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Inputs" sheetId="2" state="visible" r:id="rId4"/>
    <sheet name="Demand_History" sheetId="3" state="visible" r:id="rId5"/>
    <sheet name="Forecast" sheetId="4" state="visible" r:id="rId6"/>
    <sheet name="Forecast_Walkforward" sheetId="5" state="visible" r:id="rId7"/>
    <sheet name="Replenishment_Plan" sheetId="6" state="visible" r:id="rId8"/>
    <sheet name="Projection" sheetId="7" state="visible" r:id="rId9"/>
    <sheet name="SKU_Deep_Dive" sheetId="8" state="visible" r:id="rId10"/>
    <sheet name="Planner_Overview" sheetId="9" state="visible" r:id="rId11"/>
    <sheet name="Backtest" sheetId="10" state="visible" r:id="rId12"/>
    <sheet name="Validation" sheetId="11" state="visible" r:id="rId13"/>
    <sheet name="Formula_Guide" sheetId="12" state="visible" r:id="rId14"/>
  </sheets>
  <definedNames>
    <definedName function="false" hidden="false" name="Baseline_Weeks" vbProcedure="false">Inputs!$B$25</definedName>
    <definedName function="false" hidden="false" name="BT_Open_Cover" vbProcedure="false">Inputs!$B$26</definedName>
    <definedName function="false" hidden="false" name="BT_Start_Week" vbProcedure="false">Inputs!$B$22</definedName>
    <definedName function="false" hidden="false" name="BT_Weeks" vbProcedure="false">Inputs!$B$21</definedName>
    <definedName function="false" hidden="false" name="Cal_End_Week" vbProcedure="false">Inputs!$B$24</definedName>
    <definedName function="false" hidden="false" name="Cal_Start_Week" vbProcedure="false">Inputs!$B$23</definedName>
    <definedName function="false" hidden="false" name="Eval_Start_Week" vbProcedure="false">Inputs!$B$20</definedName>
    <definedName function="false" hidden="false" name="Eval_Weeks" vbProcedure="false">Inputs!$B$18</definedName>
    <definedName function="false" hidden="false" name="Excess_WoC" vbProcedure="false">Inputs!$B$15</definedName>
    <definedName function="false" hidden="false" name="Holding_Rate" vbProcedure="false">Inputs!$B$13</definedName>
    <definedName function="false" hidden="false" name="Portfolio_WAPE" vbProcedure="false">Forecast!$E$3</definedName>
    <definedName function="false" hidden="false" name="SES_Alpha" vbProcedure="false">Inputs!$B$16</definedName>
    <definedName function="false" hidden="false" name="SKU_List" vbProcedure="false">Inputs!$B$40:$B$87</definedName>
    <definedName function="false" hidden="false" name="Snapshot_Date" vbProcedure="false">Inputs!$B$10</definedName>
    <definedName function="false" hidden="false" name="TSL" vbProcedure="false">Inputs!$B$11</definedName>
    <definedName function="false" hidden="false" name="WAPE_Tol" vbProcedure="false">Inputs!$B$17</definedName>
    <definedName function="false" hidden="false" name="Weeks_History" vbProcedure="false">Inputs!$B$19</definedName>
    <definedName function="false" hidden="false" name="Weeks_Per_Year" vbProcedure="false">Inputs!$B$14</definedName>
    <definedName function="false" hidden="false" name="Z_Value" vbProcedure="false">Inputs!$B$12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39" authorId="0">
      <text>
        <r>
          <rPr>
            <sz val="10"/>
            <rFont val="Arial"/>
            <family val="2"/>
          </rPr>
          <t xml:space="preserve">Formula: looked up from the Suppliers table so that every SKU of a supplier shares the same fixed lead time.</t>
        </r>
      </text>
    </comment>
    <comment ref="L39" authorId="0">
      <text>
        <r>
          <rPr>
            <sz val="10"/>
            <rFont val="Arial"/>
            <family val="2"/>
          </rPr>
          <t xml:space="preserve">Week in which the existing purchase order is expected to be received (receipt at the start of that week, before demand). Must be between 1 and the supplier lead time. Leave blank if nothing is on order.</t>
        </r>
      </text>
    </comment>
    <comment ref="M39" authorId="0">
      <text>
        <r>
          <rPr>
            <sz val="10"/>
            <rFont val="Arial"/>
            <family val="2"/>
          </rPr>
          <t xml:space="preserve">Customer demand already received but not yet shipped. It is owed from the next available stock, so it reduces inventory position.</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Synthetic weekly customer demand (units). Sorted by SKU (same order as Inputs) then week 1-104. Week 104 is the last completed week before the snapshot date.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Row where this SKU's week 1 sits in Demand_History / Forecast_Walkforward (found with MATCH). Weeks are contiguous, so week w is at First Row + w - 1.</t>
        </r>
      </text>
    </comment>
    <comment ref="I6" authorId="0">
      <text>
        <r>
          <rPr>
            <sz val="10"/>
            <rFont val="Arial"/>
            <family val="2"/>
          </rPr>
          <t xml:space="preserve">WAPE = SUM(ABS(Forecast - Actual)) / SUM(Actual) over the evaluation window. Uses the ABS error helper column on Forecast_Walkforward.</t>
        </r>
      </text>
    </comment>
    <comment ref="M6" authorId="0">
      <text>
        <r>
          <rPr>
            <sz val="10"/>
            <rFont val="Arial"/>
            <family val="2"/>
          </rPr>
          <t xml:space="preserve">Bias % = SUM(Forecast - Actual) / SUM(Actual). Positive = systematic over-forecasting, negative = systematic under-forecasting.</t>
        </r>
      </text>
    </comment>
    <comment ref="Q6" authorId="0">
      <text>
        <r>
          <rPr>
            <sz val="10"/>
            <rFont val="Arial"/>
            <family val="2"/>
          </rPr>
          <t xml:space="preserve">STDEV.S of the out-of-sample errors (Forecast - Actual) in the evaluation window. Feeds Safety Stock.</t>
        </r>
      </text>
    </comment>
    <comment ref="U6" authorId="0">
      <text>
        <r>
          <rPr>
            <sz val="10"/>
            <rFont val="Arial"/>
            <family val="2"/>
          </rPr>
          <t xml:space="preserve">Forecast for week 105 (the first planning week) using actuals up to week 104. All four methods produce a flat forecast, so this value is used for every future week.</t>
        </r>
      </text>
    </comment>
    <comment ref="Z6" authorId="0">
      <text>
        <r>
          <rPr>
            <sz val="10"/>
            <rFont val="Arial"/>
            <family val="2"/>
          </rPr>
          <t xml:space="preserve">TRUE if this method's WAPE &lt;= Best WAPE + WAPE tolerance.</t>
        </r>
      </text>
    </comment>
    <comment ref="AD6" authorId="0">
      <text>
        <r>
          <rPr>
            <sz val="10"/>
            <rFont val="Arial"/>
            <family val="2"/>
          </rPr>
          <t xml:space="preserve">MATCH(TRUE, ...) returns the FIRST method (in simplicity order Naive, MA4, MA8, SES) that is within tolerance of the best WAPE.</t>
        </r>
      </text>
    </comment>
    <comment ref="AK6" authorId="0">
      <text>
        <r>
          <rPr>
            <sz val="10"/>
            <rFont val="Arial"/>
            <family val="2"/>
          </rPr>
          <t xml:space="preserve">Same logic, but measured on the weeks before the backtest starts. The Backtest sheet uses this method choice and Error SD so that no future information leaks into the replay.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Naive: forecast for week t = actual of week t-1. Available from week 2.</t>
        </r>
      </text>
    </comment>
    <comment ref="E1" authorId="0">
      <text>
        <r>
          <rPr>
            <sz val="10"/>
            <rFont val="Arial"/>
            <family val="2"/>
          </rPr>
          <t xml:space="preserve">4-week moving average: AVERAGE of the 4 actuals before week t. Available from week 5.</t>
        </r>
      </text>
    </comment>
    <comment ref="F1" authorId="0">
      <text>
        <r>
          <rPr>
            <sz val="10"/>
            <rFont val="Arial"/>
            <family val="2"/>
          </rPr>
          <t xml:space="preserve">8-week moving average: AVERAGE of the 8 actuals before week t. Available from week 9.</t>
        </r>
      </text>
    </comment>
    <comment ref="G1" authorId="0">
      <text>
        <r>
          <rPr>
            <sz val="10"/>
            <rFont val="Arial"/>
            <family val="2"/>
          </rPr>
          <t xml:space="preserve">Simple Exponential Smoothing: F(t) = alpha x A(t-1) + (1-alpha) x F(t-1). Initialised with F(2) = A(1).</t>
        </r>
      </text>
    </comment>
    <comment ref="H1" authorId="0">
      <text>
        <r>
          <rPr>
            <sz val="10"/>
            <rFont val="Arial"/>
            <family val="2"/>
          </rPr>
          <t xml:space="preserve">Sign convention used everywhere: Error = Forecast - Actual. Positive = over-forecast.</t>
        </r>
      </text>
    </comment>
    <comment ref="P1" authorId="0">
      <text>
        <r>
          <rPr>
            <sz val="10"/>
            <rFont val="Arial"/>
            <family val="2"/>
          </rPr>
          <t xml:space="preserve">YES for the weeks used to evaluate methods for live planning (default weeks 53-104). Every forecast on this sheet only uses actuals from earlier weeks, so evaluation is out-of-sample.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L6" authorId="0">
      <text>
        <r>
          <rPr>
            <sz val="10"/>
            <rFont val="Arial"/>
            <family val="2"/>
          </rPr>
          <t xml:space="preserve">Safety Stock = z x Forecast Error SD x SQRT(Lead Time). Simplified V1 formula: fixed lead time, weekly errors assumed roughly independent.</t>
        </r>
      </text>
    </comment>
    <comment ref="M6" authorId="0">
      <text>
        <r>
          <rPr>
            <sz val="10"/>
            <rFont val="Arial"/>
            <family val="2"/>
          </rPr>
          <t xml:space="preserve">Lead-Time Demand = Weekly Forecast x Lead Time: expected demand while waiting for a new order to arrive.</t>
        </r>
      </text>
    </comment>
    <comment ref="N6" authorId="0">
      <text>
        <r>
          <rPr>
            <sz val="10"/>
            <rFont val="Arial"/>
            <family val="2"/>
          </rPr>
          <t xml:space="preserve">Reorder Point = Lead-Time Demand + Safety Stock. Answers WHEN to order.</t>
        </r>
      </text>
    </comment>
    <comment ref="R6" authorId="0">
      <text>
        <r>
          <rPr>
            <sz val="10"/>
            <rFont val="Arial"/>
            <family val="2"/>
          </rPr>
          <t xml:space="preserve">Inventory Position = On Hand + On Order - Backorders. Includes stock already ordered so we do not double-order.</t>
        </r>
      </text>
    </comment>
    <comment ref="S6" authorId="0">
      <text>
        <r>
          <rPr>
            <sz val="10"/>
            <rFont val="Arial"/>
            <family val="2"/>
          </rPr>
          <t xml:space="preserve">Inventory Position / Weekly Forecast. Guard: 0 if forecast is 0.</t>
        </r>
      </text>
    </comment>
    <comment ref="Z6" authorId="0">
      <text>
        <r>
          <rPr>
            <sz val="10"/>
            <rFont val="Arial"/>
            <family val="2"/>
          </rPr>
          <t xml:space="preserve">EOQ = SQRT((2 x Annual Forecast Demand x Ordering Cost per Order) / Annual Holding Cost per Unit). Answers approximately HOW MUCH to order.</t>
        </r>
      </text>
    </comment>
    <comment ref="AB6" authorId="0">
      <text>
        <r>
          <rPr>
            <sz val="10"/>
            <rFont val="Arial"/>
            <family val="2"/>
          </rPr>
          <t xml:space="preserve">ROUNDUP(EOQ / Case Pack) x Case Pack. Always rounds up to a full case.</t>
        </r>
      </text>
    </comment>
    <comment ref="AG6" authorId="0">
      <text>
        <r>
          <rPr>
            <sz val="10"/>
            <rFont val="Arial"/>
            <family val="2"/>
          </rPr>
          <t xml:space="preserve">Priority: STOCKOUT RISK (zero projected within lead time) -&gt; REORDER REQUIRED (IP &lt;= ROP) -&gt; EXCESS STOCK (cover &gt; threshold) -&gt; HEALTHY.</t>
        </r>
      </text>
    </comment>
    <comment ref="AJ6" authorId="0">
      <text>
        <r>
          <rPr>
            <sz val="10"/>
            <rFont val="Arial"/>
            <family val="2"/>
          </rPr>
          <t xml:space="preserve">Helper to rank the attention list: status group first, then lowest weeks of cover (for excess: highest cover first).</t>
        </r>
      </text>
    </comment>
    <comment ref="AK6" authorId="0">
      <text>
        <r>
          <rPr>
            <sz val="10"/>
            <rFont val="Arial"/>
            <family val="2"/>
          </rPr>
          <t xml:space="preserve">Unique rank 1..48 from the sort key (COUNTIF of smaller keys + running count of equal keys). Used by Planner_Overview.</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R6" authorId="0">
      <text>
        <r>
          <rPr>
            <sz val="10"/>
            <rFont val="Arial"/>
            <family val="2"/>
          </rPr>
          <t xml:space="preserve">YES if projected closing inventory is &lt;= 0 in any week up to the lead time. A new order placed today cannot arrive before week Lead Time + 1, so these weeks can only be protected by stock on hand and existing POs. This drives STOCKOUT RISK.</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24" authorId="0">
      <text>
        <r>
          <rPr>
            <sz val="10"/>
            <rFont val="Arial"/>
            <family val="2"/>
          </rPr>
          <t xml:space="preserve">Computed directly from Forecast_Walkforward for the selected method (INDEX with the method number as column), independent of the Forecast summary sheet.</t>
        </r>
      </text>
    </comment>
    <comment ref="C25" authorId="0">
      <text>
        <r>
          <rPr>
            <sz val="10"/>
            <rFont val="Arial"/>
            <family val="2"/>
          </rPr>
          <t xml:space="preserve">Computed directly from Forecast_Walkforward for the selected method (INDEX with the method number as column), independent of the Forecast summary sheet.</t>
        </r>
      </text>
    </comment>
    <comment ref="C26" authorId="0">
      <text>
        <r>
          <rPr>
            <sz val="10"/>
            <rFont val="Arial"/>
            <family val="2"/>
          </rPr>
          <t xml:space="preserve">Computed directly from Forecast_Walkforward for the selected method (INDEX with the method number as column), independent of the Forecast summary sheet.</t>
        </r>
      </text>
    </comment>
    <comment ref="C27" authorId="0">
      <text>
        <r>
          <rPr>
            <sz val="10"/>
            <rFont val="Arial"/>
            <family val="2"/>
          </rPr>
          <t xml:space="preserve">Computed directly from Forecast_Walkforward for the selected method (INDEX with the method number as column), independent of the Forecast summary sheet.</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J52" authorId="0">
      <text>
        <r>
          <rPr>
            <sz val="10"/>
            <rFont val="Arial"/>
            <family val="2"/>
          </rPr>
          <t xml:space="preserve">Walk-forward 4-week moving average for week t = average of weeks t-4..t-1. Known before week t.</t>
        </r>
      </text>
    </comment>
    <comment ref="L52" authorId="0">
      <text>
        <r>
          <rPr>
            <sz val="10"/>
            <rFont val="Arial"/>
            <family val="2"/>
          </rPr>
          <t xml:space="preserve">Receipts this week = orders placed exactly Lead Time weeks earlier (SUMIFS over the rows above only, so no circular reference).</t>
        </r>
      </text>
    </comment>
    <comment ref="N52" authorId="0">
      <text>
        <r>
          <rPr>
            <sz val="10"/>
            <rFont val="Arial"/>
            <family val="2"/>
          </rPr>
          <t xml:space="preserve">On order = orders placed in the last (Lead Time - 1) weeks that have not arrived yet.</t>
        </r>
      </text>
    </comment>
    <comment ref="V52" authorId="0">
      <text>
        <r>
          <rPr>
            <sz val="10"/>
            <rFont val="Arial"/>
            <family val="2"/>
          </rPr>
          <t xml:space="preserve">Walk-forward forecast for week t from the method selected on the calibration window (uses only actuals before week t).</t>
        </r>
      </text>
    </comment>
    <comment ref="W52" authorId="0">
      <text>
        <r>
          <rPr>
            <sz val="10"/>
            <rFont val="Arial"/>
            <family val="2"/>
          </rPr>
          <t xml:space="preserve">Error SD of the calibration-window method, frozen for the whole replay (no look-ahead).</t>
        </r>
      </text>
    </comment>
  </commentList>
</comments>
</file>

<file path=xl/sharedStrings.xml><?xml version="1.0" encoding="utf-8"?>
<sst xmlns="http://schemas.openxmlformats.org/spreadsheetml/2006/main" count="6254" uniqueCount="799">
  <si>
    <t xml:space="preserve">Demand &amp; Inventory Planning Model (Excel V1: learning and validation prototype)</t>
  </si>
  <si>
    <t xml:space="preserve">Methodological source of truth for the later Python / Streamlit application. All data synthetic. No macros.</t>
  </si>
  <si>
    <t xml:space="preserve">Business question: Given what we expect customers to buy, the inventory we currently have, inventory already on order, supplier lead times and basic replenishment economics, which products need attention, when should we reorder them, and approximately how much should we order?</t>
  </si>
  <si>
    <t xml:space="preserve">PLANNING CHAIN</t>
  </si>
  <si>
    <t xml:space="preserve">Historical Sales -&gt; Simple Forecast -&gt; WAPE / Bias -&gt; Historical Forecast Error -&gt; Safety Stock -&gt; Lead-Time Demand -&gt; Reorder Point -&gt; Inventory Position -&gt; Reorder Decision -&gt; Economic Order Quantity -&gt; Recommended Order -&gt; 12-Week Inventory Projection -&gt; Stockout / Reorder / Excess / Healthy Status -&gt; Simple Historical Backtest</t>
  </si>
  <si>
    <t xml:space="preserve">SHEET MAP (in study order)</t>
  </si>
  <si>
    <t xml:space="preserve">Study step</t>
  </si>
  <si>
    <t xml:space="preserve">Sheet</t>
  </si>
  <si>
    <t xml:space="preserve">What it does</t>
  </si>
  <si>
    <t xml:space="preserve">What to focus on</t>
  </si>
  <si>
    <t xml:space="preserve">Formula_Guide</t>
  </si>
  <si>
    <t xml:space="preserve">Definitions, formulas, examples and limitations for every concept.</t>
  </si>
  <si>
    <t xml:space="preserve">Read once before touching numbers.</t>
  </si>
  <si>
    <t xml:space="preserve">Inputs</t>
  </si>
  <si>
    <t xml:space="preserve">Global parameters, suppliers (lead time, ordering cost), SKU master and current inventory.</t>
  </si>
  <si>
    <t xml:space="preserve">Which cells are inputs (blue on yellow); the fixed snapshot date.</t>
  </si>
  <si>
    <t xml:space="preserve">Demand_History</t>
  </si>
  <si>
    <t xml:space="preserve">Tidy table: Week, date, SKU, actual demand (48 SKUs x 104 weeks).</t>
  </si>
  <si>
    <t xml:space="preserve">Scroll one SKU; spot stable, variable, growing, declining patterns.</t>
  </si>
  <si>
    <t xml:space="preserve">Forecast_Walkforward</t>
  </si>
  <si>
    <t xml:space="preserve">Row per SKU-week: the four walk-forward forecasts, errors (F-A) and absolute errors.</t>
  </si>
  <si>
    <t xml:space="preserve">Click a MA4 or SES cell: it only references earlier rows.</t>
  </si>
  <si>
    <t xml:space="preserve">Forecast</t>
  </si>
  <si>
    <t xml:space="preserve">Per SKU: WAPE, Bias, Error SD and next-week forecast of each method; selection rule.</t>
  </si>
  <si>
    <t xml:space="preserve">Selected method, current forecast, the tolerance logic (MATCH TRUE).</t>
  </si>
  <si>
    <t xml:space="preserve">Replenishment_Plan</t>
  </si>
  <si>
    <t xml:space="preserve">Core table: SS, LTD, ROP, IP, weeks of cover, EOQ, trigger, recommended order, status, reason.</t>
  </si>
  <si>
    <t xml:space="preserve">Read one row left to right; ROP = when, EOQ = how much.</t>
  </si>
  <si>
    <t xml:space="preserve">Projection</t>
  </si>
  <si>
    <t xml:space="preserve">12-week closing inventory per SKU with existing PO and new order receipts.</t>
  </si>
  <si>
    <t xml:space="preserve">Timing of receipts; the zero-within-lead-time flag.</t>
  </si>
  <si>
    <t xml:space="preserve">SKU_Deep_Dive</t>
  </si>
  <si>
    <t xml:space="preserve">HERO SHEET: pick a SKU and follow every step with formula, numbers, result and interpretation.</t>
  </si>
  <si>
    <t xml:space="preserve">Explain one SKU out loud from history to projected inventory.</t>
  </si>
  <si>
    <t xml:space="preserve">Planner_Overview</t>
  </si>
  <si>
    <t xml:space="preserve">KPIs, status summary, two charts and the ranked attention list.</t>
  </si>
  <si>
    <t xml:space="preserve">How a planner would start the week.</t>
  </si>
  <si>
    <t xml:space="preserve">Backtest</t>
  </si>
  <si>
    <t xml:space="preserve">16-week replay: 4-week baseline vs forecast + SS + ROP + EOQ, lost sales, no look-ahead.</t>
  </si>
  <si>
    <t xml:space="preserve">The trade-off between fill rate, orders and inventory value.</t>
  </si>
  <si>
    <t xml:space="preserve">Validation</t>
  </si>
  <si>
    <t xml:space="preserve">Textbook examples plus four SKUs and the backtest recomputed independently in Python: PASS/FAIL.</t>
  </si>
  <si>
    <t xml:space="preserve">Confirms the Excel logic before porting it to Python.</t>
  </si>
  <si>
    <t xml:space="preserve">CELL LEGEND</t>
  </si>
  <si>
    <t xml:space="preserve">Input</t>
  </si>
  <si>
    <t xml:space="preserve">Blue text on light yellow: values you may change (Inputs sheet, SKU selectors).</t>
  </si>
  <si>
    <t xml:space="preserve">Formula</t>
  </si>
  <si>
    <t xml:space="preserve">Black text: calculated. Do not overwrite.</t>
  </si>
  <si>
    <t xml:space="preserve">Link</t>
  </si>
  <si>
    <t xml:space="preserve">Green text: value pulled from another sheet.</t>
  </si>
  <si>
    <t xml:space="preserve">Status shading</t>
  </si>
  <si>
    <t xml:space="preserve">Dark grey = STOCKOUT RISK, mid grey = REORDER REQUIRED, light grey = EXCESS STOCK. Status is always written as text too (grayscale-printable).</t>
  </si>
  <si>
    <t xml:space="preserve">KEY SIMPLIFICATIONS (V1)</t>
  </si>
  <si>
    <t xml:space="preserve">- Fixed supplier lead times; lead-time variability out of scope.</t>
  </si>
  <si>
    <t xml:space="preserve">- Flat forecasts (no trend or seasonality); growing items tend to be under-forecast and declining items over-forecast.</t>
  </si>
  <si>
    <t xml:space="preserve">- Safety stock = z x Error SD x SQRT(LT): errors assumed roughly normal and independent week to week; the weekly review period is not added to the lead time.</t>
  </si>
  <si>
    <t xml:space="preserve">- EOQ ignores quantity discounts, supplier minimums and capacity; one EOQ per weekly review.</t>
  </si>
  <si>
    <t xml:space="preserve">- One open PO per SKU at the snapshot; projection is deterministic and includes only today's recommended order.</t>
  </si>
  <si>
    <t xml:space="preserve">- Backtest: lost sales, parameters calibrated before the replay, one synthetic scenario; results show trade-offs, not proof.</t>
  </si>
  <si>
    <t xml:space="preserve">Inputs: global parameters, suppliers, SKU master and current inventory</t>
  </si>
  <si>
    <t xml:space="preserve">Fictitious company: Hearthline Home Online GmbH (home &amp; living e-commerce). One central warehouse. All data synthetic.</t>
  </si>
  <si>
    <t xml:space="preserve">Legend:</t>
  </si>
  <si>
    <t xml:space="preserve">Blue text on yellow = input you may change</t>
  </si>
  <si>
    <t xml:space="preserve">Black text = formula (do not overwrite)</t>
  </si>
  <si>
    <t xml:space="preserve">Green text = link pulled from another sheet</t>
  </si>
  <si>
    <t xml:space="preserve">GLOBAL PLANNING PARAMETERS</t>
  </si>
  <si>
    <t xml:space="preserve">Parameter</t>
  </si>
  <si>
    <t xml:space="preserve">Value</t>
  </si>
  <si>
    <t xml:space="preserve">Unit</t>
  </si>
  <si>
    <t xml:space="preserve">Note</t>
  </si>
  <si>
    <t xml:space="preserve">Company</t>
  </si>
  <si>
    <t xml:space="preserve">Hearthline Home Online GmbH</t>
  </si>
  <si>
    <t xml:space="preserve">text</t>
  </si>
  <si>
    <t xml:space="preserve">Fictitious retailer used for the scenario.</t>
  </si>
  <si>
    <t xml:space="preserve">Warehouse</t>
  </si>
  <si>
    <t xml:space="preserve">DC-01 Central Warehouse</t>
  </si>
  <si>
    <t xml:space="preserve">Single stocking location (multi-echelon is out of scope).</t>
  </si>
  <si>
    <t xml:space="preserve">Model snapshot date</t>
  </si>
  <si>
    <t xml:space="preserve">date</t>
  </si>
  <si>
    <t xml:space="preserve">Fixed planning date = start of planning week 105. TODAY() is deliberately NOT used.</t>
  </si>
  <si>
    <t xml:space="preserve">Target service level</t>
  </si>
  <si>
    <t xml:space="preserve">%</t>
  </si>
  <si>
    <t xml:space="preserve">Probability of not stocking out during lead time (cycle service level). Default 95%.</t>
  </si>
  <si>
    <t xml:space="preserve">z-value</t>
  </si>
  <si>
    <t xml:space="preserve">number</t>
  </si>
  <si>
    <t xml:space="preserve">Formula NORM.S.INV(Target service level). 95% gives about 1.645.</t>
  </si>
  <si>
    <t xml:space="preserve">Annual holding rate</t>
  </si>
  <si>
    <t xml:space="preserve">% of unit cost / year</t>
  </si>
  <si>
    <t xml:space="preserve">Cost of holding one unit for a year as % of its cost (capital, storage, obsolescence).</t>
  </si>
  <si>
    <t xml:space="preserve">Weeks per year</t>
  </si>
  <si>
    <t xml:space="preserve">weeks</t>
  </si>
  <si>
    <t xml:space="preserve">Used to annualise weekly forecast for EOQ.</t>
  </si>
  <si>
    <t xml:space="preserve">Excess-stock threshold</t>
  </si>
  <si>
    <t xml:space="preserve">weeks of cover</t>
  </si>
  <si>
    <t xml:space="preserve">Inventory position above this many weeks of forecast demand is flagged EXCESS STOCK.</t>
  </si>
  <si>
    <t xml:space="preserve">SES smoothing alpha</t>
  </si>
  <si>
    <t xml:space="preserve">0-1</t>
  </si>
  <si>
    <t xml:space="preserve">Weight on the most recent actual in Simple Exponential Smoothing.</t>
  </si>
  <si>
    <t xml:space="preserve">WAPE tie tolerance</t>
  </si>
  <si>
    <t xml:space="preserve">WAPE points</t>
  </si>
  <si>
    <t xml:space="preserve">If a simpler method is within this WAPE of the best one, the simpler method is selected. 0.01 = 1.0 percentage point.</t>
  </si>
  <si>
    <t xml:space="preserve">Forecast evaluation window</t>
  </si>
  <si>
    <t xml:space="preserve">Number of most recent weeks used for WAPE, Bias and Error SD (allowed 13-52).</t>
  </si>
  <si>
    <t xml:space="preserve">History length</t>
  </si>
  <si>
    <t xml:space="preserve">Structural: 104 weeks per SKU in Demand_History. Do not change without rebuilding.</t>
  </si>
  <si>
    <t xml:space="preserve">Evaluation start week</t>
  </si>
  <si>
    <t xml:space="preserve">week #</t>
  </si>
  <si>
    <t xml:space="preserve">First week of the evaluation window for live planning.</t>
  </si>
  <si>
    <t xml:space="preserve">Backtest length</t>
  </si>
  <si>
    <t xml:space="preserve">Structural: the Backtest sheet replays the final 16 weeks. Do not change without rebuilding.</t>
  </si>
  <si>
    <t xml:space="preserve">Backtest start week</t>
  </si>
  <si>
    <t xml:space="preserve">First replayed week.</t>
  </si>
  <si>
    <t xml:space="preserve">Backtest calibration start week</t>
  </si>
  <si>
    <t xml:space="preserve">Method choice and Error SD for the backtest are estimated only on weeks BEFORE the backtest (no look-ahead).</t>
  </si>
  <si>
    <t xml:space="preserve">Backtest calibration end week</t>
  </si>
  <si>
    <t xml:space="preserve">Last week of the calibration window.</t>
  </si>
  <si>
    <t xml:space="preserve">Baseline policy: weeks of stock</t>
  </si>
  <si>
    <t xml:space="preserve">Policy A orders up to this many weeks of the trailing 4-week average demand.</t>
  </si>
  <si>
    <t xml:space="preserve">Backtest opening stock</t>
  </si>
  <si>
    <t xml:space="preserve">Both policies start the replay with this many weeks of the trailing 8-week average demand on hand, nothing on order.</t>
  </si>
  <si>
    <t xml:space="preserve">Projection horizon</t>
  </si>
  <si>
    <t xml:space="preserve">Structural: forward projection length on the Projection sheet.</t>
  </si>
  <si>
    <t xml:space="preserve">SUPPLIERS (fixed lead times; lead-time variability is out of scope)</t>
  </si>
  <si>
    <t xml:space="preserve">Supplier ID</t>
  </si>
  <si>
    <t xml:space="preserve">Supplier Name</t>
  </si>
  <si>
    <t xml:space="preserve">Lead Time (weeks)</t>
  </si>
  <si>
    <t xml:space="preserve">Ordering Cost per Order (€)</t>
  </si>
  <si>
    <t xml:space="preserve">SUP-01</t>
  </si>
  <si>
    <t xml:space="preserve">Rhein-Main Kitchenware GmbH</t>
  </si>
  <si>
    <t xml:space="preserve">SUP-02</t>
  </si>
  <si>
    <t xml:space="preserve">Alpina Bath &amp; Textile AG</t>
  </si>
  <si>
    <t xml:space="preserve">SUP-03</t>
  </si>
  <si>
    <t xml:space="preserve">Baltic Linen Works UAB</t>
  </si>
  <si>
    <t xml:space="preserve">SUP-04</t>
  </si>
  <si>
    <t xml:space="preserve">Pearl River Electrics Ltd</t>
  </si>
  <si>
    <t xml:space="preserve">SUP-05</t>
  </si>
  <si>
    <t xml:space="preserve">CleanCare Distribution BV</t>
  </si>
  <si>
    <t xml:space="preserve">SKU MASTER AND CURRENT INVENTORY AT SNAPSHOT DATE</t>
  </si>
  <si>
    <t xml:space="preserve">SKU #</t>
  </si>
  <si>
    <t xml:space="preserve">SKU</t>
  </si>
  <si>
    <t xml:space="preserve">Product Name</t>
  </si>
  <si>
    <t xml:space="preserve">Category</t>
  </si>
  <si>
    <t xml:space="preserve">Supplier Lead Time (weeks)</t>
  </si>
  <si>
    <t xml:space="preserve">Unit Cost (€)</t>
  </si>
  <si>
    <t xml:space="preserve">Case Pack (units)</t>
  </si>
  <si>
    <t xml:space="preserve">Current On Hand (units)</t>
  </si>
  <si>
    <t xml:space="preserve">On Order (open PO units)</t>
  </si>
  <si>
    <t xml:space="preserve">Open PO Due Week (1 = week starting snapshot)</t>
  </si>
  <si>
    <t xml:space="preserve">Backorders (units)</t>
  </si>
  <si>
    <t xml:space="preserve">Synthetic Demand Pattern (info only)</t>
  </si>
  <si>
    <t xml:space="preserve">KIT-001</t>
  </si>
  <si>
    <t xml:space="preserve">Chef's Knife 20cm</t>
  </si>
  <si>
    <t xml:space="preserve">Kitchen</t>
  </si>
  <si>
    <t xml:space="preserve">stable</t>
  </si>
  <si>
    <t xml:space="preserve">KIT-002</t>
  </si>
  <si>
    <t xml:space="preserve">Non-Stick Frying Pan 28cm</t>
  </si>
  <si>
    <t xml:space="preserve">variable</t>
  </si>
  <si>
    <t xml:space="preserve">KIT-003</t>
  </si>
  <si>
    <t xml:space="preserve">Glass Food Storage Set 5pc</t>
  </si>
  <si>
    <t xml:space="preserve">growing</t>
  </si>
  <si>
    <t xml:space="preserve">KIT-004</t>
  </si>
  <si>
    <t xml:space="preserve">Bamboo Cutting Board</t>
  </si>
  <si>
    <t xml:space="preserve">KIT-005</t>
  </si>
  <si>
    <t xml:space="preserve">Stainless Saucepan 2L</t>
  </si>
  <si>
    <t xml:space="preserve">declining</t>
  </si>
  <si>
    <t xml:space="preserve">KIT-006</t>
  </si>
  <si>
    <t xml:space="preserve">Silicone Utensil Set</t>
  </si>
  <si>
    <t xml:space="preserve">KIT-007</t>
  </si>
  <si>
    <t xml:space="preserve">Cast Iron Casserole 5L</t>
  </si>
  <si>
    <t xml:space="preserve">low</t>
  </si>
  <si>
    <t xml:space="preserve">KIT-008</t>
  </si>
  <si>
    <t xml:space="preserve">Espresso Cup Set 6pc</t>
  </si>
  <si>
    <t xml:space="preserve">KIT-009</t>
  </si>
  <si>
    <t xml:space="preserve">Digital Kitchen Scale</t>
  </si>
  <si>
    <t xml:space="preserve">KIT-010</t>
  </si>
  <si>
    <t xml:space="preserve">Measuring Jug 1L</t>
  </si>
  <si>
    <t xml:space="preserve">BTH-001</t>
  </si>
  <si>
    <t xml:space="preserve">Bath Towel 70x140 Grey</t>
  </si>
  <si>
    <t xml:space="preserve">Bathroom</t>
  </si>
  <si>
    <t xml:space="preserve">BTH-002</t>
  </si>
  <si>
    <t xml:space="preserve">Hand Towel 50x100 White</t>
  </si>
  <si>
    <t xml:space="preserve">BTH-003</t>
  </si>
  <si>
    <t xml:space="preserve">Cotton Bath Mat</t>
  </si>
  <si>
    <t xml:space="preserve">BTH-004</t>
  </si>
  <si>
    <t xml:space="preserve">Waterproof Shower Curtain</t>
  </si>
  <si>
    <t xml:space="preserve">BTH-005</t>
  </si>
  <si>
    <t xml:space="preserve">Waffle Bathrobe M</t>
  </si>
  <si>
    <t xml:space="preserve">BTH-006</t>
  </si>
  <si>
    <t xml:space="preserve">Ceramic Toothbrush Holder</t>
  </si>
  <si>
    <t xml:space="preserve">BTH-007</t>
  </si>
  <si>
    <t xml:space="preserve">Glass Soap Dispenser</t>
  </si>
  <si>
    <t xml:space="preserve">BTH-008</t>
  </si>
  <si>
    <t xml:space="preserve">Chrome Towel Rail</t>
  </si>
  <si>
    <t xml:space="preserve">BTH-009</t>
  </si>
  <si>
    <t xml:space="preserve">Woven Laundry Basket</t>
  </si>
  <si>
    <t xml:space="preserve">BTH-010</t>
  </si>
  <si>
    <t xml:space="preserve">Microfibre Hair Towel</t>
  </si>
  <si>
    <t xml:space="preserve">BED-001</t>
  </si>
  <si>
    <t xml:space="preserve">All-Season Duvet 135x200</t>
  </si>
  <si>
    <t xml:space="preserve">Bedding</t>
  </si>
  <si>
    <t xml:space="preserve">BED-002</t>
  </si>
  <si>
    <t xml:space="preserve">Pillow 80x80 Medium</t>
  </si>
  <si>
    <t xml:space="preserve">BED-003</t>
  </si>
  <si>
    <t xml:space="preserve">Cotton Bed Linen Set Grey</t>
  </si>
  <si>
    <t xml:space="preserve">BED-004</t>
  </si>
  <si>
    <t xml:space="preserve">Fitted Sheet 180x200</t>
  </si>
  <si>
    <t xml:space="preserve">BED-005</t>
  </si>
  <si>
    <t xml:space="preserve">Weighted Blanket 7kg</t>
  </si>
  <si>
    <t xml:space="preserve">BED-006</t>
  </si>
  <si>
    <t xml:space="preserve">Mattress Protector 160x200</t>
  </si>
  <si>
    <t xml:space="preserve">BED-007</t>
  </si>
  <si>
    <t xml:space="preserve">Linen Throw Blanket</t>
  </si>
  <si>
    <t xml:space="preserve">BED-008</t>
  </si>
  <si>
    <t xml:space="preserve">Silk Pillowcase</t>
  </si>
  <si>
    <t xml:space="preserve">BED-009</t>
  </si>
  <si>
    <t xml:space="preserve">Kids Bedding Set Stars</t>
  </si>
  <si>
    <t xml:space="preserve">ELE-001</t>
  </si>
  <si>
    <t xml:space="preserve">Dimmable LED Desk Lamp</t>
  </si>
  <si>
    <t xml:space="preserve">Small Electrics</t>
  </si>
  <si>
    <t xml:space="preserve">ELE-002</t>
  </si>
  <si>
    <t xml:space="preserve">Electric Kettle 1.7L</t>
  </si>
  <si>
    <t xml:space="preserve">ELE-003</t>
  </si>
  <si>
    <t xml:space="preserve">Hand Blender 800W</t>
  </si>
  <si>
    <t xml:space="preserve">ELE-004</t>
  </si>
  <si>
    <t xml:space="preserve">Smart Plug 2-Pack</t>
  </si>
  <si>
    <t xml:space="preserve">ELE-005</t>
  </si>
  <si>
    <t xml:space="preserve">Mini Bluetooth Speaker</t>
  </si>
  <si>
    <t xml:space="preserve">ELE-006</t>
  </si>
  <si>
    <t xml:space="preserve">USB-C Charging Hub</t>
  </si>
  <si>
    <t xml:space="preserve">ELE-007</t>
  </si>
  <si>
    <t xml:space="preserve">Compact Air Purifier</t>
  </si>
  <si>
    <t xml:space="preserve">ELE-008</t>
  </si>
  <si>
    <t xml:space="preserve">Burr Coffee Grinder</t>
  </si>
  <si>
    <t xml:space="preserve">CLN-001</t>
  </si>
  <si>
    <t xml:space="preserve">Dishwasher Tabs 60pc</t>
  </si>
  <si>
    <t xml:space="preserve">Cleaning &amp; Care</t>
  </si>
  <si>
    <t xml:space="preserve">CLN-002</t>
  </si>
  <si>
    <t xml:space="preserve">Microfibre Cloths 10-Pack</t>
  </si>
  <si>
    <t xml:space="preserve">CLN-003</t>
  </si>
  <si>
    <t xml:space="preserve">Eco Laundry Detergent 2L</t>
  </si>
  <si>
    <t xml:space="preserve">CLN-004</t>
  </si>
  <si>
    <t xml:space="preserve">Glass Cleaner Spray</t>
  </si>
  <si>
    <t xml:space="preserve">CLN-005</t>
  </si>
  <si>
    <t xml:space="preserve">Bamboo Toilet Brush</t>
  </si>
  <si>
    <t xml:space="preserve">CLN-006</t>
  </si>
  <si>
    <t xml:space="preserve">Reusable Mop Pads 3-Pack</t>
  </si>
  <si>
    <t xml:space="preserve">CLN-007</t>
  </si>
  <si>
    <t xml:space="preserve">Kettle Descaler 500ml</t>
  </si>
  <si>
    <t xml:space="preserve">CLN-008</t>
  </si>
  <si>
    <t xml:space="preserve">Lint Roller 3-Pack</t>
  </si>
  <si>
    <t xml:space="preserve">CLN-009</t>
  </si>
  <si>
    <t xml:space="preserve">Stain Remover Pen</t>
  </si>
  <si>
    <t xml:space="preserve">CLN-010</t>
  </si>
  <si>
    <t xml:space="preserve">Scrub Brush Set</t>
  </si>
  <si>
    <t xml:space="preserve">CLN-011</t>
  </si>
  <si>
    <t xml:space="preserve">Oven Cleaner Gel</t>
  </si>
  <si>
    <t xml:space="preserve">Week</t>
  </si>
  <si>
    <t xml:space="preserve">Week Start Date</t>
  </si>
  <si>
    <t xml:space="preserve">Actual Demand (units)</t>
  </si>
  <si>
    <t xml:space="preserve">Forecast: walk-forward method comparison and selection per SKU</t>
  </si>
  <si>
    <t xml:space="preserve">WAPE = SUM|F-A| / SUM(A). Bias = SUM(F-A) / SUM(A). Error SD = STDEV.S of out-of-sample errors (F-A). Selection: lowest WAPE; a simpler method wins if within the WAPE tolerance. Simplicity order: Naive &lt; MA4 &lt; MA8 &lt; SES.</t>
  </si>
  <si>
    <t xml:space="preserve">Portfolio WAPE (selected methods, volume-weighted):</t>
  </si>
  <si>
    <t xml:space="preserve">ROW LOOKUPS</t>
  </si>
  <si>
    <t xml:space="preserve">LIVE PLANNING: evaluation window = weeks Eval_Start_Week to 104 (default 53-104)</t>
  </si>
  <si>
    <t xml:space="preserve">BACKTEST CALIBRATION: weeks Cal_Start_Week to Cal_End_Week (default 37-88), uses no data from the backtest weeks</t>
  </si>
  <si>
    <t xml:space="preserve">Product</t>
  </si>
  <si>
    <t xml:space="preserve">First Row in history</t>
  </si>
  <si>
    <t xml:space="preserve">Last Row</t>
  </si>
  <si>
    <t xml:space="preserve">Eval First Row</t>
  </si>
  <si>
    <t xml:space="preserve">Calib First Row</t>
  </si>
  <si>
    <t xml:space="preserve">Calib Last Row</t>
  </si>
  <si>
    <t xml:space="preserve">Eval Actual Sum</t>
  </si>
  <si>
    <t xml:space="preserve">WAPE Naive</t>
  </si>
  <si>
    <t xml:space="preserve">WAPE MA4</t>
  </si>
  <si>
    <t xml:space="preserve">WAPE MA8</t>
  </si>
  <si>
    <t xml:space="preserve">WAPE SES</t>
  </si>
  <si>
    <t xml:space="preserve">Bias Naive</t>
  </si>
  <si>
    <t xml:space="preserve">Bias MA4</t>
  </si>
  <si>
    <t xml:space="preserve">Bias MA8</t>
  </si>
  <si>
    <t xml:space="preserve">Bias SES</t>
  </si>
  <si>
    <t xml:space="preserve">Err SD Naive</t>
  </si>
  <si>
    <t xml:space="preserve">Err SD MA4</t>
  </si>
  <si>
    <t xml:space="preserve">Err SD MA8</t>
  </si>
  <si>
    <t xml:space="preserve">Err SD SES</t>
  </si>
  <si>
    <t xml:space="preserve">Next-Wk Fcst Naive</t>
  </si>
  <si>
    <t xml:space="preserve">Next-Wk Fcst MA4</t>
  </si>
  <si>
    <t xml:space="preserve">Next-Wk Fcst MA8</t>
  </si>
  <si>
    <t xml:space="preserve">Next-Wk Fcst SES</t>
  </si>
  <si>
    <t xml:space="preserve">Best WAPE</t>
  </si>
  <si>
    <t xml:space="preserve">Naive within tol?</t>
  </si>
  <si>
    <t xml:space="preserve">MA4 within tol?</t>
  </si>
  <si>
    <t xml:space="preserve">MA8 within tol?</t>
  </si>
  <si>
    <t xml:space="preserve">SES within tol?</t>
  </si>
  <si>
    <t xml:space="preserve">Selected Method #</t>
  </si>
  <si>
    <t xml:space="preserve">Selected Forecast Method</t>
  </si>
  <si>
    <t xml:space="preserve">Current Weekly Forecast</t>
  </si>
  <si>
    <t xml:space="preserve">Selected WAPE</t>
  </si>
  <si>
    <t xml:space="preserve">Selected Bias</t>
  </si>
  <si>
    <t xml:space="preserve">Selected Error SD</t>
  </si>
  <si>
    <t xml:space="preserve">Selected Abs Error Sum</t>
  </si>
  <si>
    <t xml:space="preserve">Calib Actual Sum</t>
  </si>
  <si>
    <t xml:space="preserve">Calib WAPE Naive</t>
  </si>
  <si>
    <t xml:space="preserve">Calib WAPE MA4</t>
  </si>
  <si>
    <t xml:space="preserve">Calib WAPE MA8</t>
  </si>
  <si>
    <t xml:space="preserve">Calib WAPE SES</t>
  </si>
  <si>
    <t xml:space="preserve">Calib Err SD Naive</t>
  </si>
  <si>
    <t xml:space="preserve">Calib Err SD MA4</t>
  </si>
  <si>
    <t xml:space="preserve">Calib Err SD MA8</t>
  </si>
  <si>
    <t xml:space="preserve">Calib Err SD SES</t>
  </si>
  <si>
    <t xml:space="preserve">Calib Best WAPE</t>
  </si>
  <si>
    <t xml:space="preserve">Calib Naive within tol?</t>
  </si>
  <si>
    <t xml:space="preserve">Calib MA4 within tol?</t>
  </si>
  <si>
    <t xml:space="preserve">Calib MA8 within tol?</t>
  </si>
  <si>
    <t xml:space="preserve">Calib SES within tol?</t>
  </si>
  <si>
    <t xml:space="preserve">Calib Selected #</t>
  </si>
  <si>
    <t xml:space="preserve">Calib Selected Method</t>
  </si>
  <si>
    <t xml:space="preserve">Calib Error SD (selected)</t>
  </si>
  <si>
    <t xml:space="preserve">Actual Demand</t>
  </si>
  <si>
    <t xml:space="preserve">Naive Fcst</t>
  </si>
  <si>
    <t xml:space="preserve">MA4 Fcst</t>
  </si>
  <si>
    <t xml:space="preserve">MA8 Fcst</t>
  </si>
  <si>
    <t xml:space="preserve">SES Fcst</t>
  </si>
  <si>
    <t xml:space="preserve">Error Naive (F-A)</t>
  </si>
  <si>
    <t xml:space="preserve">Error MA4 (F-A)</t>
  </si>
  <si>
    <t xml:space="preserve">Error MA8 (F-A)</t>
  </si>
  <si>
    <t xml:space="preserve">Error SES (F-A)</t>
  </si>
  <si>
    <t xml:space="preserve">Abs Err Naive</t>
  </si>
  <si>
    <t xml:space="preserve">Abs Err MA4</t>
  </si>
  <si>
    <t xml:space="preserve">Abs Err MA8</t>
  </si>
  <si>
    <t xml:space="preserve">Abs Err SES</t>
  </si>
  <si>
    <t xml:space="preserve">In Live Evaluation Window?</t>
  </si>
  <si>
    <t xml:space="preserve">In Backtest Calibration Window?</t>
  </si>
  <si>
    <t xml:space="preserve">Replenishment Plan: when to order (ROP) and approximately how much (EOQ)</t>
  </si>
  <si>
    <t xml:space="preserve">Which products need attention, when should we reorder them, and approximately how much should we order?</t>
  </si>
  <si>
    <t xml:space="preserve">Decision rule:  Inventory Position &gt; Reorder Point  -&gt;  Recommended Order = 0.     Inventory Position &lt;= Reorder Point  -&gt;  Recommended Order = EOQ rounded up to the case pack.</t>
  </si>
  <si>
    <t xml:space="preserve">PRODUCT</t>
  </si>
  <si>
    <t xml:space="preserve">FORECAST</t>
  </si>
  <si>
    <t xml:space="preserve">SAFETY STOCK AND REORDER POINT (WHEN)</t>
  </si>
  <si>
    <t xml:space="preserve">INVENTORY POSITION</t>
  </si>
  <si>
    <t xml:space="preserve">EOQ (HOW MUCH)</t>
  </si>
  <si>
    <t xml:space="preserve">DECISION AND STATUS</t>
  </si>
  <si>
    <t xml:space="preserve">Supplier</t>
  </si>
  <si>
    <t xml:space="preserve">Forecast Method</t>
  </si>
  <si>
    <t xml:space="preserve">Weekly Forecast (units)</t>
  </si>
  <si>
    <t xml:space="preserve">WAPE</t>
  </si>
  <si>
    <t xml:space="preserve">Bias</t>
  </si>
  <si>
    <t xml:space="preserve">Forecast Error SD (units)</t>
  </si>
  <si>
    <t xml:space="preserve">Target Service Level</t>
  </si>
  <si>
    <t xml:space="preserve">Safety Stock (units)</t>
  </si>
  <si>
    <t xml:space="preserve">Lead-Time Demand (units)</t>
  </si>
  <si>
    <t xml:space="preserve">Reorder Point (units)</t>
  </si>
  <si>
    <t xml:space="preserve">On Hand</t>
  </si>
  <si>
    <t xml:space="preserve">On Order</t>
  </si>
  <si>
    <t xml:space="preserve">Backorders</t>
  </si>
  <si>
    <t xml:space="preserve">Inventory Position</t>
  </si>
  <si>
    <t xml:space="preserve">Weeks of Cover (Inv. Position)</t>
  </si>
  <si>
    <t xml:space="preserve">Weeks of Cover (On Hand)</t>
  </si>
  <si>
    <t xml:space="preserve">Annual Forecast Demand (units)</t>
  </si>
  <si>
    <t xml:space="preserve">Annual Holding Rate</t>
  </si>
  <si>
    <t xml:space="preserve">Annual Holding Cost per Unit (€)</t>
  </si>
  <si>
    <t xml:space="preserve">EOQ (units, calculated)</t>
  </si>
  <si>
    <t xml:space="preserve">Case Pack</t>
  </si>
  <si>
    <t xml:space="preserve">EOQ Rounded to Case Pack</t>
  </si>
  <si>
    <t xml:space="preserve">Reorder Trigger (IP &lt;= ROP?)</t>
  </si>
  <si>
    <t xml:space="preserve">Recommended Order (units)</t>
  </si>
  <si>
    <t xml:space="preserve">First Projected Zero Week</t>
  </si>
  <si>
    <t xml:space="preserve">Zero Within Lead Time?</t>
  </si>
  <si>
    <t xml:space="preserve">Status</t>
  </si>
  <si>
    <t xml:space="preserve">Reason (plain English)</t>
  </si>
  <si>
    <t xml:space="preserve">On-Hand Inventory Value (€)</t>
  </si>
  <si>
    <t xml:space="preserve">Attention Sort Key</t>
  </si>
  <si>
    <t xml:space="preserve">Attention Rank</t>
  </si>
  <si>
    <t xml:space="preserve">12-Week Projected Inventory (deterministic, flat forecast)</t>
  </si>
  <si>
    <t xml:space="preserve">Closing = Opening + Existing PO Receipt + New Order Receipt - Forecast Demand. Week 1 opening = On Hand - Backorders. Receipts arrive at the start of the week. Negative = projected shortfall. Only today's recommended order is included; future reorders are not simulated.</t>
  </si>
  <si>
    <t xml:space="preserve">SKU INPUTS</t>
  </si>
  <si>
    <t xml:space="preserve">EXISTING PO RECEIPTS</t>
  </si>
  <si>
    <t xml:space="preserve">NEW RECOMMENDED ORDER RECEIPTS (arrives week Lead Time + 1)</t>
  </si>
  <si>
    <t xml:space="preserve">FORECAST DEMAND</t>
  </si>
  <si>
    <t xml:space="preserve">PROJECTED CLOSING INVENTORY</t>
  </si>
  <si>
    <t xml:space="preserve">ZERO FLAG (1 = closing &lt;= 0)</t>
  </si>
  <si>
    <t xml:space="preserve">RESULT</t>
  </si>
  <si>
    <t xml:space="preserve">Week start date -&gt;</t>
  </si>
  <si>
    <t xml:space="preserve">Weekly Forecast</t>
  </si>
  <si>
    <t xml:space="preserve">Net Opening Inventory (On Hand - Backorders)</t>
  </si>
  <si>
    <t xml:space="preserve">Open PO Qty</t>
  </si>
  <si>
    <t xml:space="preserve">Open PO Due Week</t>
  </si>
  <si>
    <t xml:space="preserve">Recommended New Order</t>
  </si>
  <si>
    <t xml:space="preserve">New Order Receipt Week</t>
  </si>
  <si>
    <t xml:space="preserve">Min Projected Inventory</t>
  </si>
  <si>
    <t xml:space="preserve">SKU Deep Dive: the complete planning chain for one SKU</t>
  </si>
  <si>
    <t xml:space="preserve">Pick a SKU in the yellow cell. Every result below is recalculated on this sheet from the displayed inputs and checked against Replenishment_Plan.</t>
  </si>
  <si>
    <t xml:space="preserve">Select SKU  &gt;&gt;</t>
  </si>
  <si>
    <t xml:space="preserve">Helper: row # in plan tables</t>
  </si>
  <si>
    <t xml:space="preserve">Helper: week-1 row in Demand_History</t>
  </si>
  <si>
    <t xml:space="preserve">Helper: selected method # (1-4)</t>
  </si>
  <si>
    <t xml:space="preserve">A. SKU FACTS</t>
  </si>
  <si>
    <t xml:space="preserve">STATUS</t>
  </si>
  <si>
    <t xml:space="preserve">Reason</t>
  </si>
  <si>
    <t xml:space="preserve">Supplier lead time (weeks)</t>
  </si>
  <si>
    <t xml:space="preserve">Unit cost (€)</t>
  </si>
  <si>
    <t xml:space="preserve">Case pack (units)</t>
  </si>
  <si>
    <t xml:space="preserve">Synthetic demand pattern</t>
  </si>
  <si>
    <t xml:space="preserve">B. FORECAST METHOD COMPARISON (walk-forward, evaluation window)</t>
  </si>
  <si>
    <t xml:space="preserve">Method</t>
  </si>
  <si>
    <t xml:space="preserve">Next-Week Forecast</t>
  </si>
  <si>
    <t xml:space="preserve">Within tolerance of best?</t>
  </si>
  <si>
    <t xml:space="preserve">Selected?</t>
  </si>
  <si>
    <t xml:space="preserve">Naive</t>
  </si>
  <si>
    <t xml:space="preserve">MA4</t>
  </si>
  <si>
    <t xml:space="preserve">MA8</t>
  </si>
  <si>
    <t xml:space="preserve">SES</t>
  </si>
  <si>
    <t xml:space="preserve">Best WAPE / tolerance</t>
  </si>
  <si>
    <t xml:space="preserve">Eval window actual demand sum</t>
  </si>
  <si>
    <t xml:space="preserve">Selected method: sum |F-A|</t>
  </si>
  <si>
    <t xml:space="preserve">Selected method: sum (F-A)</t>
  </si>
  <si>
    <t xml:space="preserve">Number of weekly errors in window</t>
  </si>
  <si>
    <t xml:space="preserve">C. STEP-BY-STEP PLANNING CHAIN</t>
  </si>
  <si>
    <t xml:space="preserve">Step</t>
  </si>
  <si>
    <t xml:space="preserve">Calculation</t>
  </si>
  <si>
    <t xml:space="preserve">Formula in plain English</t>
  </si>
  <si>
    <t xml:space="preserve">Actual Excel formula (of the Result cell)</t>
  </si>
  <si>
    <t xml:space="preserve">Numbers substituted</t>
  </si>
  <si>
    <t xml:space="preserve">Result</t>
  </si>
  <si>
    <t xml:space="preserve">Business interpretation</t>
  </si>
  <si>
    <t xml:space="preserve">Matches Replenishment_Plan?</t>
  </si>
  <si>
    <t xml:space="preserve">Historical demand (evaluation window)</t>
  </si>
  <si>
    <t xml:space="preserve">Sum of actual weekly demand in the evaluation window</t>
  </si>
  <si>
    <t xml:space="preserve">=D24</t>
  </si>
  <si>
    <t xml:space="preserve">units</t>
  </si>
  <si>
    <t xml:space="preserve">n/a</t>
  </si>
  <si>
    <t xml:space="preserve">Selected forecast method</t>
  </si>
  <si>
    <t xml:space="preserve">Lowest WAPE; a simpler method wins if within the tolerance</t>
  </si>
  <si>
    <t xml:space="preserve">=INDEX(C19:C22,$D$7)</t>
  </si>
  <si>
    <t xml:space="preserve">Current weekly forecast</t>
  </si>
  <si>
    <t xml:space="preserve">=INDEX(G19:G22,$D$7)</t>
  </si>
  <si>
    <t xml:space="preserve">units/week</t>
  </si>
  <si>
    <t xml:space="preserve">SUM(|Forecast - Actual|) / SUM(Actual)</t>
  </si>
  <si>
    <t xml:space="preserve">=D25/D24</t>
  </si>
  <si>
    <t xml:space="preserve">Forecast bias</t>
  </si>
  <si>
    <t xml:space="preserve">SUM(Forecast - Actual) / SUM(Actual)</t>
  </si>
  <si>
    <t xml:space="preserve">=D26/D24</t>
  </si>
  <si>
    <t xml:space="preserve">Forecast error standard deviation</t>
  </si>
  <si>
    <t xml:space="preserve">STDEV.S of the weekly errors (Forecast - Actual) in the window</t>
  </si>
  <si>
    <t xml:space="preserve">=_xlfn.STDEV.S(INDEX(Forecast_Walkforward!$H:$K,$D$6+Eval_Start_Week-1,$D$7):INDEX(Forecast_Walkforward!$H:$K,$D$6+Weeks_History-1,$D$7))</t>
  </si>
  <si>
    <t xml:space="preserve">Input on the Inputs sheet</t>
  </si>
  <si>
    <t xml:space="preserve">=TSL</t>
  </si>
  <si>
    <t xml:space="preserve">NORM.S.INV(Target Service Level)</t>
  </si>
  <si>
    <t xml:space="preserve">=_xlfn.NORM.S.INV(G37)</t>
  </si>
  <si>
    <t xml:space="preserve">Supplier lead time</t>
  </si>
  <si>
    <t xml:space="preserve">Fixed lead time of the supplier</t>
  </si>
  <si>
    <t xml:space="preserve">=INDEX(Replenishment_Plan!$K$7:$K$54,$D$5)</t>
  </si>
  <si>
    <t xml:space="preserve">Safety stock</t>
  </si>
  <si>
    <t xml:space="preserve">z x Forecast Error SD x SQRT(Lead Time)</t>
  </si>
  <si>
    <t xml:space="preserve">=G38*G36*SQRT(G39)</t>
  </si>
  <si>
    <t xml:space="preserve">Lead-time demand</t>
  </si>
  <si>
    <t xml:space="preserve">Weekly Forecast x Lead Time</t>
  </si>
  <si>
    <t xml:space="preserve">=G33*G39</t>
  </si>
  <si>
    <t xml:space="preserve">Reorder point (WHEN)</t>
  </si>
  <si>
    <t xml:space="preserve">Lead-Time Demand + Safety Stock</t>
  </si>
  <si>
    <t xml:space="preserve">=G41+G40</t>
  </si>
  <si>
    <t xml:space="preserve">On hand</t>
  </si>
  <si>
    <t xml:space="preserve">Physical stock in the warehouse</t>
  </si>
  <si>
    <t xml:space="preserve">=INDEX(Replenishment_Plan!$O$7:$O$54,$D$5)</t>
  </si>
  <si>
    <t xml:space="preserve">+ On order</t>
  </si>
  <si>
    <t xml:space="preserve">Open purchase order quantity</t>
  </si>
  <si>
    <t xml:space="preserve">=INDEX(Replenishment_Plan!$P$7:$P$54,$D$5)</t>
  </si>
  <si>
    <t xml:space="preserve">- Backorders</t>
  </si>
  <si>
    <t xml:space="preserve">Customer demand already owed</t>
  </si>
  <si>
    <t xml:space="preserve">=INDEX(Replenishment_Plan!$Q$7:$Q$54,$D$5)</t>
  </si>
  <si>
    <t xml:space="preserve">Inventory position</t>
  </si>
  <si>
    <t xml:space="preserve">On Hand + On Order - Backorders</t>
  </si>
  <si>
    <t xml:space="preserve">=G43+G44-G45</t>
  </si>
  <si>
    <t xml:space="preserve">Reorder decision</t>
  </si>
  <si>
    <t xml:space="preserve">Is Inventory Position &lt;= Reorder Point?</t>
  </si>
  <si>
    <t xml:space="preserve">=IF(G46&lt;=G42,"YES","NO")</t>
  </si>
  <si>
    <t xml:space="preserve">Annual forecast demand</t>
  </si>
  <si>
    <t xml:space="preserve">Weekly Forecast x 52</t>
  </si>
  <si>
    <t xml:space="preserve">=G33*Weeks_Per_Year</t>
  </si>
  <si>
    <t xml:space="preserve">units/year</t>
  </si>
  <si>
    <t xml:space="preserve">Ordering cost per order</t>
  </si>
  <si>
    <t xml:space="preserve">Supplier input</t>
  </si>
  <si>
    <t xml:space="preserve">=INDEX(Replenishment_Plan!$W$7:$W$54,$D$5)</t>
  </si>
  <si>
    <t xml:space="preserve">€/order</t>
  </si>
  <si>
    <t xml:space="preserve">Annual holding cost per unit</t>
  </si>
  <si>
    <t xml:space="preserve">Unit Cost x Annual Holding Rate</t>
  </si>
  <si>
    <t xml:space="preserve">=INDEX(Replenishment_Plan!$V$7:$V$54,$D$5)*Holding_Rate</t>
  </si>
  <si>
    <t xml:space="preserve">€/unit/year</t>
  </si>
  <si>
    <t xml:space="preserve">Economic order quantity (HOW MUCH)</t>
  </si>
  <si>
    <t xml:space="preserve">SQRT((2 x Annual Demand x Ordering Cost) / Annual Holding Cost per Unit)</t>
  </si>
  <si>
    <t xml:space="preserve">=SQRT((2*G48*G49)/G50)</t>
  </si>
  <si>
    <t xml:space="preserve">EOQ rounded to case pack</t>
  </si>
  <si>
    <t xml:space="preserve">ROUNDUP(EOQ / Case Pack) x Case Pack</t>
  </si>
  <si>
    <t xml:space="preserve">=ROUNDUP(G51/INDEX(Replenishment_Plan!$AA$7:$AA$54,$D$5),0)*INDEX(Replenishment_Plan!$AA$7:$AA$54,$D$5)</t>
  </si>
  <si>
    <t xml:space="preserve">Recommended order</t>
  </si>
  <si>
    <t xml:space="preserve">IF Reorder Trigger = YES THEN rounded EOQ ELSE 0</t>
  </si>
  <si>
    <t xml:space="preserve">=IF(G47="YES",G52,0)</t>
  </si>
  <si>
    <t xml:space="preserve">Weeks of cover</t>
  </si>
  <si>
    <t xml:space="preserve">Inventory Position / Weekly Forecast</t>
  </si>
  <si>
    <t xml:space="preserve">=IF(G33&gt;0,G46/G33,0)</t>
  </si>
  <si>
    <t xml:space="preserve">Projected inventory, end of week 12</t>
  </si>
  <si>
    <t xml:space="preserve">Opening + receipts - forecast demand, week by week (table D)</t>
  </si>
  <si>
    <t xml:space="preserve">=J71</t>
  </si>
  <si>
    <t xml:space="preserve">Planning status</t>
  </si>
  <si>
    <t xml:space="preserve">STOCKOUT RISK -&gt; REORDER REQUIRED -&gt; EXCESS STOCK -&gt; HEALTHY</t>
  </si>
  <si>
    <t xml:space="preserve">=INDEX(Replenishment_Plan!$AG$7:$AG$54,$D$5)</t>
  </si>
  <si>
    <t xml:space="preserve">D. 12-WEEK PROJECTED INVENTORY (existing PO + recommended order + flat forecast)</t>
  </si>
  <si>
    <t xml:space="preserve">Planning week (receipts at start of week)</t>
  </si>
  <si>
    <t xml:space="preserve">Model week</t>
  </si>
  <si>
    <t xml:space="preserve">Week start date</t>
  </si>
  <si>
    <t xml:space="preserve">Opening inventory</t>
  </si>
  <si>
    <t xml:space="preserve">Existing PO receipt</t>
  </si>
  <si>
    <t xml:space="preserve">New order receipt</t>
  </si>
  <si>
    <t xml:space="preserve">Forecast demand</t>
  </si>
  <si>
    <t xml:space="preserve">Closing inventory</t>
  </si>
  <si>
    <t xml:space="preserve">Reorder point</t>
  </si>
  <si>
    <t xml:space="preserve">E. PLANNING CHART: last 26 weeks of history, 12-week forward view</t>
  </si>
  <si>
    <t xml:space="preserve">F. LAST 26 WEEKS: actual demand and walk-forward forecasts</t>
  </si>
  <si>
    <t xml:space="preserve">Actual demand</t>
  </si>
  <si>
    <t xml:space="preserve">Selected method forecast</t>
  </si>
  <si>
    <t xml:space="preserve">Error (F-A)</t>
  </si>
  <si>
    <t xml:space="preserve">G. CHART DATA (feeds the chart in section E)</t>
  </si>
  <si>
    <t xml:space="preserve">Projected inventory</t>
  </si>
  <si>
    <t xml:space="preserve">Forward forecast</t>
  </si>
  <si>
    <t xml:space="preserve">Week 104 row = opening net inventory at the snapshot</t>
  </si>
  <si>
    <t xml:space="preserve">Receipt point</t>
  </si>
  <si>
    <t xml:space="preserve">Model week received</t>
  </si>
  <si>
    <t xml:space="preserve">Quantity</t>
  </si>
  <si>
    <t xml:space="preserve">Existing PO</t>
  </si>
  <si>
    <t xml:space="preserve">New recommended order</t>
  </si>
  <si>
    <t xml:space="preserve">A quantity of 0 means no PO / no new order (plotted at 0).</t>
  </si>
  <si>
    <t xml:space="preserve">Planner Overview</t>
  </si>
  <si>
    <t xml:space="preserve">Total SKUs</t>
  </si>
  <si>
    <t xml:space="preserve">Stockout Risk SKUs</t>
  </si>
  <si>
    <t xml:space="preserve">Reorder Required SKUs</t>
  </si>
  <si>
    <t xml:space="preserve">Excess Stock SKUs</t>
  </si>
  <si>
    <t xml:space="preserve">Healthy SKUs</t>
  </si>
  <si>
    <t xml:space="preserve">Total Inventory Value (on hand at cost)</t>
  </si>
  <si>
    <t xml:space="preserve">Portfolio WAPE</t>
  </si>
  <si>
    <t xml:space="preserve">STATUS SUMMARY</t>
  </si>
  <si>
    <t xml:space="preserve">SKUs</t>
  </si>
  <si>
    <t xml:space="preserve">On-hand value (€)</t>
  </si>
  <si>
    <t xml:space="preserve">Recommended order units</t>
  </si>
  <si>
    <t xml:space="preserve">Recommended order value (€)</t>
  </si>
  <si>
    <t xml:space="preserve">STOCKOUT RISK</t>
  </si>
  <si>
    <t xml:space="preserve">Non-healthy SKUs:</t>
  </si>
  <si>
    <t xml:space="preserve">REORDER REQUIRED</t>
  </si>
  <si>
    <t xml:space="preserve">EXCESS STOCK</t>
  </si>
  <si>
    <t xml:space="preserve">HEALTHY</t>
  </si>
  <si>
    <t xml:space="preserve">Total</t>
  </si>
  <si>
    <t xml:space="preserve">PRODUCTS REQUIRING ATTENTION (ranked: stockout risk, then reorder, then excess; healthy SKUs are not listed)</t>
  </si>
  <si>
    <t xml:space="preserve">Rank</t>
  </si>
  <si>
    <t xml:space="preserve">Weeks of Cover</t>
  </si>
  <si>
    <t xml:space="preserve">Reorder Point</t>
  </si>
  <si>
    <t xml:space="preserve">EOQ</t>
  </si>
  <si>
    <t xml:space="preserve">Recommended Order</t>
  </si>
  <si>
    <t xml:space="preserve">Backtest: replay of the final 16 weeks (weeks 89-104) using only information available at each week</t>
  </si>
  <si>
    <t xml:space="preserve">Two policies only. Unmet demand is a lost sale. Both policies start with the same stock and use the same case packs and lead times.</t>
  </si>
  <si>
    <t xml:space="preserve">SETUP AND TIMING (read before the results)</t>
  </si>
  <si>
    <t xml:space="preserve">Replay window</t>
  </si>
  <si>
    <t xml:space="preserve">Weekly sequence</t>
  </si>
  <si>
    <t xml:space="preserve">Start of week t: (1) receive orders placed at week t - Lead Time, (2) review inventory position = stock + on order, (3) place order (arrives start of week t + Lead Time), (4) customer demand is served from stock, shortfall is lost.</t>
  </si>
  <si>
    <t xml:space="preserve">Opening condition</t>
  </si>
  <si>
    <t xml:space="preserve">Policy A: 4-week baseline</t>
  </si>
  <si>
    <t xml:space="preserve">Policy B: proposed</t>
  </si>
  <si>
    <t xml:space="preserve">Forecast for week t from the method chosen on the calibration weeks; Safety Stock = z x calibration Error SD x SQRT(LT); ROP = Forecast x LT + SS; if IP &lt;= ROP order EOQ (from that week's forecast) rounded up to case pack.</t>
  </si>
  <si>
    <t xml:space="preserve">No look-ahead</t>
  </si>
  <si>
    <t xml:space="preserve">PORTFOLIO RESULTS (all SKUs, replay weeks)</t>
  </si>
  <si>
    <t xml:space="preserve">Metric</t>
  </si>
  <si>
    <t xml:space="preserve">4-Week Baseline</t>
  </si>
  <si>
    <t xml:space="preserve">Forecast + SS + ROP + EOQ</t>
  </si>
  <si>
    <t xml:space="preserve">Difference (Proposed - Baseline)</t>
  </si>
  <si>
    <t xml:space="preserve">How to read it</t>
  </si>
  <si>
    <t xml:space="preserve">Fill Rate</t>
  </si>
  <si>
    <t xml:space="preserve">Units sold / units demanded. Higher is better.</t>
  </si>
  <si>
    <t xml:space="preserve">Stockout Weeks (SKU-weeks with lost sales)</t>
  </si>
  <si>
    <t xml:space="preserve">Count of SKU-weeks with any lost sale (48 SKUs x 16 weeks = 768 possible). Lower is better.</t>
  </si>
  <si>
    <t xml:space="preserve">Average Inventory (units, end of week, portfolio total)</t>
  </si>
  <si>
    <t xml:space="preserve">Average units held across all SKUs. Lower means less capital tied up, but units of different SKUs are not comparable: see value.</t>
  </si>
  <si>
    <t xml:space="preserve">Number of Orders</t>
  </si>
  <si>
    <t xml:space="preserve">Purchase orders placed. Fewer orders = lower ordering workload and cost.</t>
  </si>
  <si>
    <t xml:space="preserve">Average Inventory Value (€)</t>
  </si>
  <si>
    <t xml:space="preserve">Average end-of-week stock at unit cost. The fair way to compare inventory across SKUs.</t>
  </si>
  <si>
    <t xml:space="preserve">REPRESENTATIVE SKU (pick any SKU)</t>
  </si>
  <si>
    <t xml:space="preserve">Metric (selected SKU)</t>
  </si>
  <si>
    <t xml:space="preserve">Stockout Weeks</t>
  </si>
  <si>
    <t xml:space="preserve">Average Inventory (units)</t>
  </si>
  <si>
    <t xml:space="preserve">Baseline: closing stock</t>
  </si>
  <si>
    <t xml:space="preserve">Proposed: closing stock</t>
  </si>
  <si>
    <t xml:space="preserve">Baseline: order placed</t>
  </si>
  <si>
    <t xml:space="preserve">Proposed: order placed</t>
  </si>
  <si>
    <t xml:space="preserve">Baseline: lost sales</t>
  </si>
  <si>
    <t xml:space="preserve">Proposed: lost sales</t>
  </si>
  <si>
    <t xml:space="preserve">Proposed: reorder point</t>
  </si>
  <si>
    <t xml:space="preserve">DETAILED WEEKLY SIMULATION (one block of 16 weeks per SKU)</t>
  </si>
  <si>
    <t xml:space="preserve">POLICY A: 4-WEEK BASELINE</t>
  </si>
  <si>
    <t xml:space="preserve">POLICY B: FORECAST + SAFETY STOCK + ROP + EOQ</t>
  </si>
  <si>
    <t xml:space="preserve">SKU master row</t>
  </si>
  <si>
    <t xml:space="preserve">Lead Time</t>
  </si>
  <si>
    <t xml:space="preserve">Ordering Cost (€)</t>
  </si>
  <si>
    <t xml:space="preserve">History row</t>
  </si>
  <si>
    <t xml:space="preserve">A: Trailing 4-wk avg</t>
  </si>
  <si>
    <t xml:space="preserve">A: Target stock</t>
  </si>
  <si>
    <t xml:space="preserve">A: Receipts</t>
  </si>
  <si>
    <t xml:space="preserve">A: Stock at start</t>
  </si>
  <si>
    <t xml:space="preserve">A: On order</t>
  </si>
  <si>
    <t xml:space="preserve">A: Inventory position</t>
  </si>
  <si>
    <t xml:space="preserve">A: Order placed</t>
  </si>
  <si>
    <t xml:space="preserve">A: Sales</t>
  </si>
  <si>
    <t xml:space="preserve">A: Lost sales</t>
  </si>
  <si>
    <t xml:space="preserve">A: Closing stock</t>
  </si>
  <si>
    <t xml:space="preserve">A: Stockout week?</t>
  </si>
  <si>
    <t xml:space="preserve">B: Method # (calib)</t>
  </si>
  <si>
    <t xml:space="preserve">B: Forecast</t>
  </si>
  <si>
    <t xml:space="preserve">B: Error SD (calib)</t>
  </si>
  <si>
    <t xml:space="preserve">B: Safety stock</t>
  </si>
  <si>
    <t xml:space="preserve">B: Reorder point</t>
  </si>
  <si>
    <t xml:space="preserve">B: EOQ</t>
  </si>
  <si>
    <t xml:space="preserve">B: EOQ case-pack</t>
  </si>
  <si>
    <t xml:space="preserve">B: Receipts</t>
  </si>
  <si>
    <t xml:space="preserve">B: Stock at start</t>
  </si>
  <si>
    <t xml:space="preserve">B: On order</t>
  </si>
  <si>
    <t xml:space="preserve">B: Inventory position</t>
  </si>
  <si>
    <t xml:space="preserve">B: Order placed</t>
  </si>
  <si>
    <t xml:space="preserve">B: Sales</t>
  </si>
  <si>
    <t xml:space="preserve">B: Lost sales</t>
  </si>
  <si>
    <t xml:space="preserve">B: Closing stock</t>
  </si>
  <si>
    <t xml:space="preserve">B: Stockout week?</t>
  </si>
  <si>
    <t xml:space="preserve">Validation: model results vs independent recomputation</t>
  </si>
  <si>
    <t xml:space="preserve">Expected values were computed outside Excel by a separate Python script (independent_check.py) from the same inputs, at the DEFAULT parameters. If you change inputs, FAILs are expected until you reset them.</t>
  </si>
  <si>
    <t xml:space="preserve">Checks passed:</t>
  </si>
  <si>
    <t xml:space="preserve">1. TEXTBOOK EXAMPLES FROM THE PROJECT BRIEF (inputs typed here, expected values calculated by hand)</t>
  </si>
  <si>
    <t xml:space="preserve">Example</t>
  </si>
  <si>
    <t xml:space="preserve">Check item</t>
  </si>
  <si>
    <t xml:space="preserve">Model formula result</t>
  </si>
  <si>
    <t xml:space="preserve">Expected (hand calculation)</t>
  </si>
  <si>
    <t xml:space="preserve">Difference</t>
  </si>
  <si>
    <t xml:space="preserve">Tolerance</t>
  </si>
  <si>
    <t xml:space="preserve">Inputs / hand calculation</t>
  </si>
  <si>
    <t xml:space="preserve">EOQ example</t>
  </si>
  <si>
    <t xml:space="preserve">Unit cost €20 x 20% holding rate = €4.00</t>
  </si>
  <si>
    <t xml:space="preserve">SQRT((2 x 5,200 x 40) / 4) = SQRT(104,000) = 322.49</t>
  </si>
  <si>
    <t xml:space="preserve">Safety stock example</t>
  </si>
  <si>
    <t xml:space="preserve">z-value at 95%</t>
  </si>
  <si>
    <t xml:space="preserve">NORM.S.INV(0.95) = 1.6449</t>
  </si>
  <si>
    <t xml:space="preserve">1.645 x 35 x 1.7321 = 99.72</t>
  </si>
  <si>
    <t xml:space="preserve">Lead-time demand example</t>
  </si>
  <si>
    <t xml:space="preserve">100 units/week x 3 weeks = 300</t>
  </si>
  <si>
    <t xml:space="preserve">Reorder point example</t>
  </si>
  <si>
    <t xml:space="preserve">300 + 90 = 390</t>
  </si>
  <si>
    <t xml:space="preserve">WAPE mini-example</t>
  </si>
  <si>
    <t xml:space="preserve">WAPE (actual 100, 0, 50; forecast 90, 10, 60)</t>
  </si>
  <si>
    <t xml:space="preserve">(10 + 10 + 10) / 150 = 20.0%. MAPE would divide by the zero week and fail.</t>
  </si>
  <si>
    <t xml:space="preserve">Bias mini-example</t>
  </si>
  <si>
    <t xml:space="preserve">Bias (same data)</t>
  </si>
  <si>
    <t xml:space="preserve">(-10 + 10 + 10) / 150 = +6.7% (over-forecast)</t>
  </si>
  <si>
    <t xml:space="preserve">2. SKU-LEVEL CHECKS: four representative SKUs (one per status)</t>
  </si>
  <si>
    <t xml:space="preserve">Model result (link)</t>
  </si>
  <si>
    <t xml:space="preserve">Independent expected (Python)</t>
  </si>
  <si>
    <t xml:space="preserve">Hand check with model inputs</t>
  </si>
  <si>
    <t xml:space="preserve">exact</t>
  </si>
  <si>
    <t xml:space="preserve">Forecast error SD</t>
  </si>
  <si>
    <t xml:space="preserve">Reorder trigger</t>
  </si>
  <si>
    <t xml:space="preserve">YES</t>
  </si>
  <si>
    <t xml:space="preserve">Projected inventory, end of week 4</t>
  </si>
  <si>
    <t xml:space="preserve">NO</t>
  </si>
  <si>
    <t xml:space="preserve">3. BACKTEST PORTFOLIO CHECKS (independent Python replay of both policies)</t>
  </si>
  <si>
    <t xml:space="preserve">Policy</t>
  </si>
  <si>
    <t xml:space="preserve">Fill rate</t>
  </si>
  <si>
    <t xml:space="preserve">Recomputed week by week in Python with the same timing rules</t>
  </si>
  <si>
    <t xml:space="preserve">Stockout weeks</t>
  </si>
  <si>
    <t xml:space="preserve">Average inventory (units)</t>
  </si>
  <si>
    <t xml:space="preserve">Number of orders</t>
  </si>
  <si>
    <t xml:space="preserve">Average inventory value (€)</t>
  </si>
  <si>
    <t xml:space="preserve">Formula Guide: interview-ready reference for every concept in the model</t>
  </si>
  <si>
    <t xml:space="preserve">#</t>
  </si>
  <si>
    <t xml:space="preserve">Concept</t>
  </si>
  <si>
    <t xml:space="preserve">What it is</t>
  </si>
  <si>
    <t xml:space="preserve">Why a planner uses it</t>
  </si>
  <si>
    <t xml:space="preserve">Formula (as used in this model)</t>
  </si>
  <si>
    <t xml:space="preserve">Small numerical example</t>
  </si>
  <si>
    <t xml:space="preserve">Main assumption or limitation</t>
  </si>
  <si>
    <t xml:space="preserve">Naive forecast</t>
  </si>
  <si>
    <t xml:space="preserve">Next week's forecast equals last week's actual demand.</t>
  </si>
  <si>
    <t xml:space="preserve">The simplest benchmark. Any method worth using should beat it; it also reacts instantly to level shifts.</t>
  </si>
  <si>
    <t xml:space="preserve">F(t) = A(t-1)</t>
  </si>
  <si>
    <t xml:space="preserve">Last week sold 120 -&gt; forecast 120.</t>
  </si>
  <si>
    <t xml:space="preserve">Chases noise: every random spike becomes next week's forecast.</t>
  </si>
  <si>
    <t xml:space="preserve">Moving average (4 and 8 weeks)</t>
  </si>
  <si>
    <t xml:space="preserve">Average of the last N weeks of actual demand.</t>
  </si>
  <si>
    <t xml:space="preserve">Smooths random noise into a stable level estimate. Short windows react faster, long windows are smoother.</t>
  </si>
  <si>
    <t xml:space="preserve">F(t) = AVERAGE(A(t-N) ... A(t-1))</t>
  </si>
  <si>
    <t xml:space="preserve">Last 4 weeks 100, 110, 90, 100 -&gt; 4-week MA = 100.</t>
  </si>
  <si>
    <t xml:space="preserve">Lags behind trends (a growing item is under-forecast) and ignores seasonality. Forecast is flat for all future weeks.</t>
  </si>
  <si>
    <t xml:space="preserve">Simple exponential smoothing (SES)</t>
  </si>
  <si>
    <t xml:space="preserve">Weighted average in which the latest actual gets weight alpha and the previous forecast gets 1 - alpha.</t>
  </si>
  <si>
    <t xml:space="preserve">Uses all history with geometrically declining weights; one parameter controls responsiveness.</t>
  </si>
  <si>
    <t xml:space="preserve">F(t) = alpha x A(t-1) + (1 - alpha) x F(t-1); F(2) = A(1)</t>
  </si>
  <si>
    <t xml:space="preserve">alpha 0.3, last actual 120, last forecast 100 -&gt; 0.3x120 + 0.7x100 = 106.</t>
  </si>
  <si>
    <t xml:space="preserve">Alpha is fixed (not optimised here). No trend or seasonality component, so it also lags trends.</t>
  </si>
  <si>
    <t xml:space="preserve">Forecast error</t>
  </si>
  <si>
    <t xml:space="preserve">Difference between forecast and actual for a week, measured out-of-sample (walk-forward).</t>
  </si>
  <si>
    <t xml:space="preserve">Errors are the raw material for accuracy metrics and for sizing safety stock.</t>
  </si>
  <si>
    <t xml:space="preserve">Error = Forecast - Actual (positive = over-forecast)</t>
  </si>
  <si>
    <t xml:space="preserve">Forecast 100, actual 120 -&gt; error -20.</t>
  </si>
  <si>
    <t xml:space="preserve">Sign convention must be consistent. In-sample errors would understate true uncertainty; walk-forward avoids that.</t>
  </si>
  <si>
    <t xml:space="preserve">Weighted Absolute Percentage Error: total absolute error divided by total actual demand.</t>
  </si>
  <si>
    <t xml:space="preserve">Main method-selection metric. Volume-weighted, so it reflects the units that matter and still works when some weeks have zero demand.</t>
  </si>
  <si>
    <t xml:space="preserve">WAPE = SUM(|F - A|) / SUM(A)</t>
  </si>
  <si>
    <t xml:space="preserve">Actuals 100, 0, 50; forecasts 90, 10, 60 -&gt; 30 / 150 = 20%. MAPE would divide by zero in week 2.</t>
  </si>
  <si>
    <t xml:space="preserve">Direction-blind (over and under cancel into the same score). Dominated by high-volume weeks. Undefined if total demand is 0.</t>
  </si>
  <si>
    <t xml:space="preserve">Signed total error as a share of total actual demand.</t>
  </si>
  <si>
    <t xml:space="preserve">Detects systematic over- or under-forecasting, which WAPE cannot see.</t>
  </si>
  <si>
    <t xml:space="preserve">Bias % = SUM(F - A) / SUM(A)</t>
  </si>
  <si>
    <t xml:space="preserve">Errors -10, +10, +10 on volume 150 -&gt; +6.7% (over-forecast).</t>
  </si>
  <si>
    <t xml:space="preserve">Offsetting errors can hide large misses (bias 0% with a poor WAPE). WAPE and Bias answer different questions.</t>
  </si>
  <si>
    <t xml:space="preserve">Sample standard deviation (STDEV.S) of the out-of-sample weekly errors of the selected method.</t>
  </si>
  <si>
    <t xml:space="preserve">Measures how uncertain the forecast is. It is the uncertainty input to safety stock.</t>
  </si>
  <si>
    <t xml:space="preserve">Error SD = STDEV.S(errors in evaluation window)</t>
  </si>
  <si>
    <t xml:space="preserve">Errors -8, 4, 10, -6 -&gt; SD about 8.5 units.</t>
  </si>
  <si>
    <t xml:space="preserve">Measures spread around the mean error, so a biased method's SD understates total error. Assumes the past error pattern continues.</t>
  </si>
  <si>
    <t xml:space="preserve">Desired probability of not running out of stock during a replenishment lead time (cycle service level).</t>
  </si>
  <si>
    <t xml:space="preserve">Business choice that sets how much protection to buy. Higher service needs disproportionately more stock.</t>
  </si>
  <si>
    <t xml:space="preserve">Input, default 95%</t>
  </si>
  <si>
    <t xml:space="preserve">95% -&gt; stock out in about 1 of 20 replenishment cycles.</t>
  </si>
  <si>
    <t xml:space="preserve">Cycle service level is not the same as fill rate (share of units served). One level for all SKUs here (no segmentation).</t>
  </si>
  <si>
    <t xml:space="preserve">Number of standard deviations of protection that matches the service level under a normal distribution.</t>
  </si>
  <si>
    <t xml:space="preserve">Converts a service target into a multiplier for safety stock.</t>
  </si>
  <si>
    <t xml:space="preserve">z = NORM.S.INV(Target Service Level)</t>
  </si>
  <si>
    <t xml:space="preserve">90% -&gt; 1.282; 95% -&gt; 1.645; 99% -&gt; 2.326.</t>
  </si>
  <si>
    <t xml:space="preserve">Assumes forecast errors are roughly normal. Weak for very low-volume, lumpy demand.</t>
  </si>
  <si>
    <t xml:space="preserve">Extra stock held to absorb forecast error during the lead time.</t>
  </si>
  <si>
    <t xml:space="preserve">Protects service against uncertainty. SKUs with bigger forecast misses get more protection.</t>
  </si>
  <si>
    <t xml:space="preserve">SS = z x Error SD x SQRT(Lead Time)</t>
  </si>
  <si>
    <t xml:space="preserve">z 1.645, SD 35, LT 3 weeks -&gt; 1.645 x 35 x 1.732 = 99.7 units.</t>
  </si>
  <si>
    <t xml:space="preserve">Simplified V1: fixed lead time (no lead-time variability), weekly errors assumed independent (square-root-of-time), review period not added to the protection interval.</t>
  </si>
  <si>
    <t xml:space="preserve">Expected demand while waiting for a new order to arrive.</t>
  </si>
  <si>
    <t xml:space="preserve">Stock needed just to cover normal demand until replenishment lands.</t>
  </si>
  <si>
    <t xml:space="preserve">LTD = Weekly Forecast x Lead Time</t>
  </si>
  <si>
    <t xml:space="preserve">100 units/week x 3 weeks = 300 units.</t>
  </si>
  <si>
    <t xml:space="preserve">Uses a flat forecast, so trends within the lead time are ignored.</t>
  </si>
  <si>
    <t xml:space="preserve">Reorder point (ROP)</t>
  </si>
  <si>
    <t xml:space="preserve">Inventory position level at or below which an order is placed.</t>
  </si>
  <si>
    <t xml:space="preserve">Answers WHEN to order: enough stock for expected lead-time demand plus a buffer.</t>
  </si>
  <si>
    <t xml:space="preserve">ROP = Lead-Time Demand + Safety Stock</t>
  </si>
  <si>
    <t xml:space="preserve">300 + 90 = 390 units.</t>
  </si>
  <si>
    <t xml:space="preserve">Only as good as the forecast, error SD and lead time behind it. Compared with inventory position, not on-hand stock.</t>
  </si>
  <si>
    <t xml:space="preserve">Stock on hand plus stock already on order, minus backorders owed to customers.</t>
  </si>
  <si>
    <t xml:space="preserve">The correct quantity to compare with the ROP: it prevents double-ordering when a PO is already on its way.</t>
  </si>
  <si>
    <t xml:space="preserve">IP = On Hand + On Order - Backorders</t>
  </si>
  <si>
    <t xml:space="preserve">On hand 75 + on order 380 - backorders 0 = 455.</t>
  </si>
  <si>
    <t xml:space="preserve">Treats all open POs as reliable; says nothing about WHEN they arrive (the projection covers timing).</t>
  </si>
  <si>
    <t xml:space="preserve">How many weeks the stock would last at the forecast rate.</t>
  </si>
  <si>
    <t xml:space="preserve">Easy health indicator; used here for the excess-stock flag.</t>
  </si>
  <si>
    <t xml:space="preserve">WoC = Inventory Position / Weekly Forecast (On-hand WoC = On Hand / Weekly Forecast)</t>
  </si>
  <si>
    <t xml:space="preserve">IP 600, forecast 50/week -&gt; 12 weeks.</t>
  </si>
  <si>
    <t xml:space="preserve">Depends on the forecast; misleading for items with near-zero forecast. IP cover and on-hand cover differ when POs are open.</t>
  </si>
  <si>
    <t xml:space="preserve">Weekly forecast scaled to a year.</t>
  </si>
  <si>
    <t xml:space="preserve">EOQ is defined on annual demand and annual holding cost.</t>
  </si>
  <si>
    <t xml:space="preserve">Annual Demand = Weekly Forecast x 52</t>
  </si>
  <si>
    <t xml:space="preserve">100/week -&gt; 5,200 units/year.</t>
  </si>
  <si>
    <t xml:space="preserve">Assumes the current weekly rate holds all year.</t>
  </si>
  <si>
    <t xml:space="preserve">Cost of keeping one unit in stock for a year.</t>
  </si>
  <si>
    <t xml:space="preserve">The cost that pushes toward smaller, more frequent orders.</t>
  </si>
  <si>
    <t xml:space="preserve">H = Unit Cost x Annual Holding Rate</t>
  </si>
  <si>
    <t xml:space="preserve">€20 x 20% = €4.00 per unit per year.</t>
  </si>
  <si>
    <t xml:space="preserve">Holding rate is an assumption (capital, storage, obsolescence), identical for all SKUs here.</t>
  </si>
  <si>
    <t xml:space="preserve">Economic order quantity (EOQ)</t>
  </si>
  <si>
    <t xml:space="preserve">Order size that minimises ordering cost + holding cost per year.</t>
  </si>
  <si>
    <t xml:space="preserve">Answers approximately HOW MUCH to order once the ROP says order. Balances few large orders against many small ones.</t>
  </si>
  <si>
    <t xml:space="preserve">EOQ = SQRT((2 x Annual Demand x Ordering Cost per Order) / Annual Holding Cost per Unit)</t>
  </si>
  <si>
    <t xml:space="preserve">SQRT((2 x 5,200 x €40) / €4) = 322 units.</t>
  </si>
  <si>
    <t xml:space="preserve">Assumes stable demand, known costs, no quantity discounts, no supplier minimums or capacity limits. Total cost is flat near EOQ, so rounding is cheap.</t>
  </si>
  <si>
    <t xml:space="preserve">The order the model suggests this week.</t>
  </si>
  <si>
    <t xml:space="preserve">Turns the WHEN (ROP) and HOW MUCH (EOQ) into one actionable number.</t>
  </si>
  <si>
    <t xml:space="preserve">IF IP &lt;= ROP THEN ROUNDUP(EOQ / Case Pack) x Case Pack ELSE 0</t>
  </si>
  <si>
    <t xml:space="preserve">IP 455 &lt;= ROP 479, EOQ 755.4, case pack 20 -&gt; order 760.</t>
  </si>
  <si>
    <t xml:space="preserve">One EOQ per review: if IP is far below ROP, one EOQ may not restore it and the next review orders again.</t>
  </si>
  <si>
    <t xml:space="preserve">Share of customer demand served immediately from stock.</t>
  </si>
  <si>
    <t xml:space="preserve">The customer-facing service result used in the backtest.</t>
  </si>
  <si>
    <t xml:space="preserve">Fill Rate = Units Sold / Units Demanded</t>
  </si>
  <si>
    <t xml:space="preserve">Demand 1,000, lost 40 -&gt; 96.0%.</t>
  </si>
  <si>
    <t xml:space="preserve">Here unmet demand is lost (not backordered). Different from the cycle service level used to size safety stock.</t>
  </si>
  <si>
    <t xml:space="preserve">CONVENTIONS USED THROUGHOUT THE WORKBOOK</t>
  </si>
  <si>
    <t xml:space="preserve">Error sign: Error = Forecast - Actual. Positive bias = over-forecasting.</t>
  </si>
  <si>
    <t xml:space="preserve">Timing: week 104 is the last completed week. Planning week 1 = model week 105 = week starting on the snapshot date.</t>
  </si>
  <si>
    <t xml:space="preserve">Receipts arrive at the start of a week, before that week's demand. An order placed now with lead time L arrives at the start of planning week L + 1.</t>
  </si>
  <si>
    <t xml:space="preserve">Evaluation is walk-forward: each weekly forecast uses only actuals from earlier weeks.</t>
  </si>
  <si>
    <t xml:space="preserve">Selection: lowest WAPE; the simpler method (Naive &lt; MA4 &lt; MA8 &lt; SES) wins if within the WAPE tolerance of the best.</t>
  </si>
  <si>
    <t xml:space="preserve">Status priority: STOCKOUT RISK -&gt; REORDER REQUIRED -&gt; EXCESS STOCK -&gt; HEALTHY.</t>
  </si>
  <si>
    <t xml:space="preserve">POSSIBLE FUTURE EXTENSIONS (deliberately NOT implemented in V1)</t>
  </si>
  <si>
    <t xml:space="preserve">- ABC-XYZ segmentation with service levels per segment</t>
  </si>
  <si>
    <t xml:space="preserve">- Intermittent-demand methods (Croston, TSB) and ADI/CV2 classification</t>
  </si>
  <si>
    <t xml:space="preserve">- Tracking signal and Forecast Value Added</t>
  </si>
  <si>
    <t xml:space="preserve">- Lead-time variability in safety stock</t>
  </si>
  <si>
    <t xml:space="preserve">- Review period added to the protection interval (weekly review: LT + 1)</t>
  </si>
  <si>
    <t xml:space="preserve">- Trend / seasonal forecasting methods</t>
  </si>
  <si>
    <t xml:space="preserve">- Multi-echelon or multi-warehouse inventory</t>
  </si>
  <si>
    <t xml:space="preserve">- Supplier minimums, quantity discounts, capacity constraints</t>
  </si>
  <si>
    <t xml:space="preserve">- Solver-based or simulation-based optimisation of service vs inventory</t>
  </si>
</sst>
</file>

<file path=xl/styles.xml><?xml version="1.0" encoding="utf-8"?>
<styleSheet xmlns="http://schemas.openxmlformats.org/spreadsheetml/2006/main">
  <numFmts count="19">
    <numFmt numFmtId="164" formatCode="General"/>
    <numFmt numFmtId="165" formatCode="yyyy\-mm\-dd"/>
    <numFmt numFmtId="166" formatCode="0.0%"/>
    <numFmt numFmtId="167" formatCode="0.000"/>
    <numFmt numFmtId="168" formatCode="#,##0;\-#,##0;0"/>
    <numFmt numFmtId="169" formatCode="0.00"/>
    <numFmt numFmtId="170" formatCode="\€#,##0.00"/>
    <numFmt numFmtId="171" formatCode="\+0.0%;\-0.0%;0.0%"/>
    <numFmt numFmtId="172" formatCode="#,##0.0;\-#,##0.0;0.0"/>
    <numFmt numFmtId="173" formatCode="General"/>
    <numFmt numFmtId="174" formatCode="\€#,##0"/>
    <numFmt numFmtId="175" formatCode="#,##0.00"/>
    <numFmt numFmtId="176" formatCode="dd\-mmm"/>
    <numFmt numFmtId="177" formatCode="\+#,##0;\-#,##0;0"/>
    <numFmt numFmtId="178" formatCode="&quot;+€&quot;#,##0;&quot;-€&quot;#,##0;\€0"/>
    <numFmt numFmtId="179" formatCode="0.0000"/>
    <numFmt numFmtId="180" formatCode="0.000000"/>
    <numFmt numFmtId="181" formatCode="0.00%"/>
    <numFmt numFmtId="182" formatCode="0.0000%"/>
  </numFmts>
  <fonts count="21">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10"/>
      <color rgb="FF404040"/>
      <name val="Arial"/>
      <family val="0"/>
      <charset val="1"/>
    </font>
    <font>
      <b val="true"/>
      <sz val="10"/>
      <name val="Arial"/>
      <family val="0"/>
      <charset val="1"/>
    </font>
    <font>
      <b val="true"/>
      <sz val="11"/>
      <color rgb="FFFFFFFF"/>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sz val="10"/>
      <name val="Arial"/>
      <family val="2"/>
    </font>
    <font>
      <b val="true"/>
      <sz val="12"/>
      <color rgb="FF0000FF"/>
      <name val="Arial"/>
      <family val="0"/>
      <charset val="1"/>
    </font>
    <font>
      <b val="true"/>
      <sz val="12"/>
      <name val="Arial"/>
      <family val="0"/>
      <charset val="1"/>
    </font>
    <font>
      <sz val="9"/>
      <name val="Consolas"/>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name val="Arial"/>
      <family val="0"/>
      <charset val="1"/>
    </font>
  </fonts>
  <fills count="7">
    <fill>
      <patternFill patternType="none"/>
    </fill>
    <fill>
      <patternFill patternType="gray125"/>
    </fill>
    <fill>
      <patternFill patternType="solid">
        <fgColor rgb="FF000000"/>
        <bgColor rgb="FF003300"/>
      </patternFill>
    </fill>
    <fill>
      <patternFill patternType="solid">
        <fgColor rgb="FF404040"/>
        <bgColor rgb="FF333300"/>
      </patternFill>
    </fill>
    <fill>
      <patternFill patternType="solid">
        <fgColor rgb="FFFFF2CC"/>
        <bgColor rgb="FFF2F2F2"/>
      </patternFill>
    </fill>
    <fill>
      <patternFill patternType="solid">
        <fgColor rgb="FFD9D9D9"/>
        <bgColor rgb="FFF2F2F2"/>
      </patternFill>
    </fill>
    <fill>
      <patternFill patternType="solid">
        <fgColor rgb="FFF2F2F2"/>
        <bgColor rgb="FFFFFFFF"/>
      </patternFill>
    </fill>
  </fills>
  <borders count="5">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top style="thin">
        <color rgb="FFA6A6A6"/>
      </top>
      <bottom style="thin">
        <color rgb="FFA6A6A6"/>
      </bottom>
      <diagonal/>
    </border>
    <border diagonalUp="false" diagonalDown="false">
      <left style="thin">
        <color rgb="FFA6A6A6"/>
      </left>
      <right/>
      <top style="thin">
        <color rgb="FFA6A6A6"/>
      </top>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9" fontId="10" fillId="4"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0" fontId="10" fillId="4"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center" vertical="center" textRotation="0" wrapText="tru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75" fontId="8" fillId="0" borderId="1" xfId="0" applyFont="true" applyBorder="true" applyAlignment="false" applyProtection="false">
      <alignment horizontal="general" vertical="bottom" textRotation="0" wrapText="false" indent="0" shrinkToFit="false"/>
      <protection locked="true" hidden="false"/>
    </xf>
    <xf numFmtId="176" fontId="5" fillId="0" borderId="0" xfId="0" applyFont="true" applyBorder="false" applyAlignment="true" applyProtection="false">
      <alignment horizontal="center" vertical="center" textRotation="0" wrapText="true" indent="0" shrinkToFit="false"/>
      <protection locked="true" hidden="false"/>
    </xf>
    <xf numFmtId="168" fontId="9" fillId="3" borderId="1" xfId="0" applyFont="true" applyBorder="true" applyAlignment="true" applyProtection="false">
      <alignment horizontal="center" vertical="center" textRotation="0" wrapText="tru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8" fontId="6"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8" fontId="16" fillId="5" borderId="1" xfId="0" applyFont="true" applyBorder="true" applyAlignment="true" applyProtection="false">
      <alignment horizontal="right" vertical="top"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right" vertical="top" textRotation="0" wrapText="false" indent="0" shrinkToFit="false"/>
      <protection locked="true" hidden="false"/>
    </xf>
    <xf numFmtId="172" fontId="16" fillId="5" borderId="1" xfId="0" applyFont="true" applyBorder="true" applyAlignment="true" applyProtection="false">
      <alignment horizontal="right" vertical="top" textRotation="0" wrapText="false" indent="0" shrinkToFit="false"/>
      <protection locked="true" hidden="false"/>
    </xf>
    <xf numFmtId="166" fontId="16" fillId="5" borderId="1" xfId="0" applyFont="true" applyBorder="true" applyAlignment="true" applyProtection="false">
      <alignment horizontal="right" vertical="top" textRotation="0" wrapText="false" indent="0" shrinkToFit="false"/>
      <protection locked="true" hidden="false"/>
    </xf>
    <xf numFmtId="171" fontId="16" fillId="5" borderId="1" xfId="0" applyFont="true" applyBorder="true" applyAlignment="true" applyProtection="false">
      <alignment horizontal="right" vertical="top" textRotation="0" wrapText="false" indent="0" shrinkToFit="false"/>
      <protection locked="true" hidden="false"/>
    </xf>
    <xf numFmtId="167" fontId="16" fillId="5" borderId="1" xfId="0" applyFont="true" applyBorder="true" applyAlignment="true" applyProtection="false">
      <alignment horizontal="right" vertical="top" textRotation="0" wrapText="false" indent="0" shrinkToFit="false"/>
      <protection locked="true" hidden="false"/>
    </xf>
    <xf numFmtId="170" fontId="16" fillId="5" borderId="1" xfId="0" applyFont="true" applyBorder="true" applyAlignment="true" applyProtection="false">
      <alignment horizontal="right" vertical="top"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8" fontId="20" fillId="6" borderId="1" xfId="0" applyFont="true" applyBorder="true" applyAlignment="true" applyProtection="false">
      <alignment horizontal="center" vertical="center" textRotation="0" wrapText="true" indent="0" shrinkToFit="false"/>
      <protection locked="true" hidden="false"/>
    </xf>
    <xf numFmtId="174" fontId="20" fillId="6" borderId="1" xfId="0" applyFont="true" applyBorder="true" applyAlignment="true" applyProtection="false">
      <alignment horizontal="center" vertical="center" textRotation="0" wrapText="true" indent="0" shrinkToFit="false"/>
      <protection locked="true" hidden="false"/>
    </xf>
    <xf numFmtId="166" fontId="20" fillId="6" borderId="1" xfId="0" applyFont="true" applyBorder="true" applyAlignment="true" applyProtection="false">
      <alignment horizontal="center" vertical="center" textRotation="0" wrapText="true" indent="0" shrinkToFit="false"/>
      <protection locked="true" hidden="false"/>
    </xf>
    <xf numFmtId="174" fontId="6"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68" fontId="16" fillId="0" borderId="1" xfId="0" applyFont="true" applyBorder="true" applyAlignment="false" applyProtection="false">
      <alignment horizontal="general" vertical="bottom" textRotation="0" wrapText="false" indent="0" shrinkToFit="false"/>
      <protection locked="true" hidden="false"/>
    </xf>
    <xf numFmtId="177" fontId="6" fillId="0" borderId="1" xfId="0" applyFont="true" applyBorder="true" applyAlignment="false" applyProtection="false">
      <alignment horizontal="general" vertical="bottom" textRotation="0" wrapText="false" indent="0" shrinkToFit="false"/>
      <protection locked="true" hidden="false"/>
    </xf>
    <xf numFmtId="174" fontId="16" fillId="0" borderId="1" xfId="0" applyFont="true" applyBorder="true" applyAlignment="false" applyProtection="false">
      <alignment horizontal="general" vertical="bottom" textRotation="0" wrapText="false" indent="0" shrinkToFit="false"/>
      <protection locked="true" hidden="false"/>
    </xf>
    <xf numFmtId="178" fontId="6" fillId="0" borderId="1"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4" fontId="11" fillId="0" borderId="4" xfId="0" applyFont="true" applyBorder="true" applyAlignment="false" applyProtection="false">
      <alignment horizontal="general" vertical="bottom" textRotation="0" wrapText="false" indent="0" shrinkToFit="false"/>
      <protection locked="true" hidden="false"/>
    </xf>
    <xf numFmtId="168" fontId="8" fillId="0" borderId="4" xfId="0" applyFont="true" applyBorder="true" applyAlignment="false" applyProtection="false">
      <alignment horizontal="general" vertical="bottom" textRotation="0" wrapText="false" indent="0" shrinkToFit="false"/>
      <protection locked="true" hidden="false"/>
    </xf>
    <xf numFmtId="168" fontId="11" fillId="0" borderId="4" xfId="0" applyFont="true" applyBorder="true" applyAlignment="false" applyProtection="false">
      <alignment horizontal="general" vertical="bottom" textRotation="0" wrapText="false" indent="0" shrinkToFit="false"/>
      <protection locked="true" hidden="false"/>
    </xf>
    <xf numFmtId="170" fontId="11" fillId="0" borderId="4" xfId="0" applyFont="true" applyBorder="true" applyAlignment="false" applyProtection="false">
      <alignment horizontal="general" vertical="bottom" textRotation="0" wrapText="false" indent="0" shrinkToFit="false"/>
      <protection locked="true" hidden="false"/>
    </xf>
    <xf numFmtId="172" fontId="11" fillId="0" borderId="4" xfId="0" applyFont="true" applyBorder="true" applyAlignment="false" applyProtection="false">
      <alignment horizontal="general" vertical="bottom" textRotation="0" wrapText="false" indent="0" shrinkToFit="false"/>
      <protection locked="true" hidden="false"/>
    </xf>
    <xf numFmtId="172" fontId="8" fillId="0" borderId="4" xfId="0" applyFont="true" applyBorder="true" applyAlignment="false" applyProtection="false">
      <alignment horizontal="general" vertical="bottom" textRotation="0" wrapText="false" indent="0" shrinkToFit="false"/>
      <protection locked="true" hidden="false"/>
    </xf>
    <xf numFmtId="168" fontId="6" fillId="0" borderId="4"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9" fontId="8" fillId="0" borderId="1" xfId="0" applyFont="true" applyBorder="true" applyAlignment="false" applyProtection="false">
      <alignment horizontal="general" vertical="bottom" textRotation="0" wrapText="false" indent="0" shrinkToFit="false"/>
      <protection locked="true" hidden="false"/>
    </xf>
    <xf numFmtId="179" fontId="10"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75" fontId="11" fillId="0" borderId="1" xfId="0" applyFont="true" applyBorder="true" applyAlignment="false" applyProtection="false">
      <alignment horizontal="general" vertical="bottom" textRotation="0" wrapText="false" indent="0" shrinkToFit="false"/>
      <protection locked="true" hidden="false"/>
    </xf>
    <xf numFmtId="175" fontId="10" fillId="4" borderId="1" xfId="0" applyFont="true" applyBorder="true" applyAlignment="false" applyProtection="false">
      <alignment horizontal="general" vertical="bottom" textRotation="0" wrapText="false" indent="0" shrinkToFit="false"/>
      <protection locked="true" hidden="false"/>
    </xf>
    <xf numFmtId="180" fontId="8" fillId="0" borderId="1" xfId="0" applyFont="true" applyBorder="true" applyAlignment="false" applyProtection="false">
      <alignment horizontal="general" vertical="bottom" textRotation="0" wrapText="false" indent="0" shrinkToFit="false"/>
      <protection locked="true" hidden="false"/>
    </xf>
    <xf numFmtId="181" fontId="11" fillId="0" borderId="1" xfId="0" applyFont="true" applyBorder="true" applyAlignment="false" applyProtection="false">
      <alignment horizontal="general" vertical="bottom" textRotation="0" wrapText="false" indent="0" shrinkToFit="false"/>
      <protection locked="true" hidden="false"/>
    </xf>
    <xf numFmtId="181" fontId="10" fillId="4" borderId="1" xfId="0" applyFont="true" applyBorder="true" applyAlignment="false" applyProtection="false">
      <alignment horizontal="general" vertical="bottom" textRotation="0" wrapText="false" indent="0" shrinkToFit="false"/>
      <protection locked="true" hidden="false"/>
    </xf>
    <xf numFmtId="179" fontId="11" fillId="0" borderId="1" xfId="0" applyFont="true" applyBorder="true" applyAlignment="false" applyProtection="false">
      <alignment horizontal="general" vertical="bottom" textRotation="0" wrapText="false" indent="0" shrinkToFit="false"/>
      <protection locked="true" hidden="false"/>
    </xf>
    <xf numFmtId="182" fontId="11" fillId="0" borderId="1" xfId="0" applyFont="true" applyBorder="true" applyAlignment="false" applyProtection="false">
      <alignment horizontal="general" vertical="bottom" textRotation="0" wrapText="false" indent="0" shrinkToFit="false"/>
      <protection locked="true" hidden="false"/>
    </xf>
    <xf numFmtId="182" fontId="10"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404040"/>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ont>
        <name val="Arial"/>
        <charset val="1"/>
        <family val="0"/>
        <b val="1"/>
        <color rgb="FFFFFFFF"/>
      </font>
      <fill>
        <patternFill>
          <bgColor rgb="FF404040"/>
        </patternFill>
      </fill>
    </dxf>
    <dxf>
      <font>
        <name val="Arial"/>
        <charset val="1"/>
        <family val="0"/>
        <b val="1"/>
        <color rgb="FFFFFFFF"/>
      </font>
      <fill>
        <patternFill>
          <bgColor rgb="FF808080"/>
        </patternFill>
      </fill>
    </dxf>
    <dxf>
      <font>
        <name val="Arial"/>
        <charset val="1"/>
        <family val="0"/>
        <b val="1"/>
        <color rgb="FF000000"/>
      </font>
      <fill>
        <patternFill>
          <bgColor rgb="FFD9D9D9"/>
        </patternFill>
      </fill>
    </dxf>
    <dxf>
      <font>
        <name val="Arial"/>
        <charset val="1"/>
        <family val="0"/>
        <b val="1"/>
        <color rgb="FFFFFFF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A6A6A6"/>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878787"/>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Demand, forecast and projected inventory</a:t>
            </a:r>
          </a:p>
        </c:rich>
      </c:tx>
      <c:overlay val="0"/>
      <c:spPr>
        <a:noFill/>
        <a:ln w="0">
          <a:noFill/>
        </a:ln>
      </c:spPr>
    </c:title>
    <c:autoTitleDeleted val="0"/>
    <c:plotArea>
      <c:scatterChart>
        <c:scatterStyle val="lineMarker"/>
        <c:varyColors val="0"/>
        <c:ser>
          <c:idx val="0"/>
          <c:order val="0"/>
          <c:tx>
            <c:strRef>
              <c:f>"Actual demand"</c:f>
              <c:strCache>
                <c:ptCount val="1"/>
                <c:pt idx="0">
                  <c:v>Actual demand</c:v>
                </c:pt>
              </c:strCache>
            </c:strRef>
          </c:tx>
          <c:spPr>
            <a:solidFill>
              <a:srgbClr val="000000"/>
            </a:solidFill>
            <a:ln w="25560">
              <a:solidFill>
                <a:srgbClr val="0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SKU_Deep_Dive!$C$102:$C$127</c:f>
              <c:numCache>
                <c:formatCode>#,##0;\-#,##0;0</c:formatCode>
                <c:ptCount val="26"/>
                <c:pt idx="0">
                  <c:v>79</c:v>
                </c:pt>
                <c:pt idx="1">
                  <c:v>80</c:v>
                </c:pt>
                <c:pt idx="2">
                  <c:v>81</c:v>
                </c:pt>
                <c:pt idx="3">
                  <c:v>82</c:v>
                </c:pt>
                <c:pt idx="4">
                  <c:v>83</c:v>
                </c:pt>
                <c:pt idx="5">
                  <c:v>84</c:v>
                </c:pt>
                <c:pt idx="6">
                  <c:v>85</c:v>
                </c:pt>
                <c:pt idx="7">
                  <c:v>86</c:v>
                </c:pt>
                <c:pt idx="8">
                  <c:v>87</c:v>
                </c:pt>
                <c:pt idx="9">
                  <c:v>88</c:v>
                </c:pt>
                <c:pt idx="10">
                  <c:v>89</c:v>
                </c:pt>
                <c:pt idx="11">
                  <c:v>90</c:v>
                </c:pt>
                <c:pt idx="12">
                  <c:v>91</c:v>
                </c:pt>
                <c:pt idx="13">
                  <c:v>92</c:v>
                </c:pt>
                <c:pt idx="14">
                  <c:v>93</c:v>
                </c:pt>
                <c:pt idx="15">
                  <c:v>94</c:v>
                </c:pt>
                <c:pt idx="16">
                  <c:v>95</c:v>
                </c:pt>
                <c:pt idx="17">
                  <c:v>96</c:v>
                </c:pt>
                <c:pt idx="18">
                  <c:v>97</c:v>
                </c:pt>
                <c:pt idx="19">
                  <c:v>98</c:v>
                </c:pt>
                <c:pt idx="20">
                  <c:v>99</c:v>
                </c:pt>
                <c:pt idx="21">
                  <c:v>100</c:v>
                </c:pt>
                <c:pt idx="22">
                  <c:v>101</c:v>
                </c:pt>
                <c:pt idx="23">
                  <c:v>102</c:v>
                </c:pt>
                <c:pt idx="24">
                  <c:v>103</c:v>
                </c:pt>
                <c:pt idx="25">
                  <c:v>104</c:v>
                </c:pt>
              </c:numCache>
            </c:numRef>
          </c:xVal>
          <c:yVal>
            <c:numRef>
              <c:f>SKU_Deep_Dive!$E$102:$E$127</c:f>
              <c:numCache>
                <c:formatCode>#,##0;\-#,##0;0</c:formatCode>
                <c:ptCount val="26"/>
                <c:pt idx="0">
                  <c:v>182</c:v>
                </c:pt>
                <c:pt idx="1">
                  <c:v>137</c:v>
                </c:pt>
                <c:pt idx="2">
                  <c:v>160</c:v>
                </c:pt>
                <c:pt idx="3">
                  <c:v>135</c:v>
                </c:pt>
                <c:pt idx="4">
                  <c:v>177</c:v>
                </c:pt>
                <c:pt idx="5">
                  <c:v>145</c:v>
                </c:pt>
                <c:pt idx="6">
                  <c:v>149</c:v>
                </c:pt>
                <c:pt idx="7">
                  <c:v>164</c:v>
                </c:pt>
                <c:pt idx="8">
                  <c:v>169</c:v>
                </c:pt>
                <c:pt idx="9">
                  <c:v>133</c:v>
                </c:pt>
                <c:pt idx="10">
                  <c:v>145</c:v>
                </c:pt>
                <c:pt idx="11">
                  <c:v>129</c:v>
                </c:pt>
                <c:pt idx="12">
                  <c:v>152</c:v>
                </c:pt>
                <c:pt idx="13">
                  <c:v>148</c:v>
                </c:pt>
                <c:pt idx="14">
                  <c:v>145</c:v>
                </c:pt>
                <c:pt idx="15">
                  <c:v>140</c:v>
                </c:pt>
                <c:pt idx="16">
                  <c:v>144</c:v>
                </c:pt>
                <c:pt idx="17">
                  <c:v>139</c:v>
                </c:pt>
                <c:pt idx="18">
                  <c:v>158</c:v>
                </c:pt>
                <c:pt idx="19">
                  <c:v>173</c:v>
                </c:pt>
                <c:pt idx="20">
                  <c:v>121</c:v>
                </c:pt>
                <c:pt idx="21">
                  <c:v>148</c:v>
                </c:pt>
                <c:pt idx="22">
                  <c:v>144</c:v>
                </c:pt>
                <c:pt idx="23">
                  <c:v>157</c:v>
                </c:pt>
                <c:pt idx="24">
                  <c:v>136</c:v>
                </c:pt>
                <c:pt idx="25">
                  <c:v>148</c:v>
                </c:pt>
              </c:numCache>
            </c:numRef>
          </c:yVal>
          <c:smooth val="0"/>
        </c:ser>
        <c:ser>
          <c:idx val="1"/>
          <c:order val="1"/>
          <c:tx>
            <c:strRef>
              <c:f>"Walk-forward forecast (selected method)"</c:f>
              <c:strCache>
                <c:ptCount val="1"/>
                <c:pt idx="0">
                  <c:v>Walk-forward forecast (selected method)</c:v>
                </c:pt>
              </c:strCache>
            </c:strRef>
          </c:tx>
          <c:spPr>
            <a:solidFill>
              <a:srgbClr val="7f7f7f"/>
            </a:solidFill>
            <a:ln w="1908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SKU_Deep_Dive!$C$102:$C$127</c:f>
              <c:numCache>
                <c:formatCode>#,##0;\-#,##0;0</c:formatCode>
                <c:ptCount val="26"/>
                <c:pt idx="0">
                  <c:v>79</c:v>
                </c:pt>
                <c:pt idx="1">
                  <c:v>80</c:v>
                </c:pt>
                <c:pt idx="2">
                  <c:v>81</c:v>
                </c:pt>
                <c:pt idx="3">
                  <c:v>82</c:v>
                </c:pt>
                <c:pt idx="4">
                  <c:v>83</c:v>
                </c:pt>
                <c:pt idx="5">
                  <c:v>84</c:v>
                </c:pt>
                <c:pt idx="6">
                  <c:v>85</c:v>
                </c:pt>
                <c:pt idx="7">
                  <c:v>86</c:v>
                </c:pt>
                <c:pt idx="8">
                  <c:v>87</c:v>
                </c:pt>
                <c:pt idx="9">
                  <c:v>88</c:v>
                </c:pt>
                <c:pt idx="10">
                  <c:v>89</c:v>
                </c:pt>
                <c:pt idx="11">
                  <c:v>90</c:v>
                </c:pt>
                <c:pt idx="12">
                  <c:v>91</c:v>
                </c:pt>
                <c:pt idx="13">
                  <c:v>92</c:v>
                </c:pt>
                <c:pt idx="14">
                  <c:v>93</c:v>
                </c:pt>
                <c:pt idx="15">
                  <c:v>94</c:v>
                </c:pt>
                <c:pt idx="16">
                  <c:v>95</c:v>
                </c:pt>
                <c:pt idx="17">
                  <c:v>96</c:v>
                </c:pt>
                <c:pt idx="18">
                  <c:v>97</c:v>
                </c:pt>
                <c:pt idx="19">
                  <c:v>98</c:v>
                </c:pt>
                <c:pt idx="20">
                  <c:v>99</c:v>
                </c:pt>
                <c:pt idx="21">
                  <c:v>100</c:v>
                </c:pt>
                <c:pt idx="22">
                  <c:v>101</c:v>
                </c:pt>
                <c:pt idx="23">
                  <c:v>102</c:v>
                </c:pt>
                <c:pt idx="24">
                  <c:v>103</c:v>
                </c:pt>
                <c:pt idx="25">
                  <c:v>104</c:v>
                </c:pt>
              </c:numCache>
            </c:numRef>
          </c:xVal>
          <c:yVal>
            <c:numRef>
              <c:f>SKU_Deep_Dive!$J$102:$J$127</c:f>
              <c:numCache>
                <c:formatCode>#,##0.0;\-#,##0.0;0.0</c:formatCode>
                <c:ptCount val="26"/>
                <c:pt idx="0">
                  <c:v>157.75</c:v>
                </c:pt>
                <c:pt idx="1">
                  <c:v>164.5</c:v>
                </c:pt>
                <c:pt idx="2">
                  <c:v>160</c:v>
                </c:pt>
                <c:pt idx="3">
                  <c:v>157.25</c:v>
                </c:pt>
                <c:pt idx="4">
                  <c:v>153.5</c:v>
                </c:pt>
                <c:pt idx="5">
                  <c:v>152.25</c:v>
                </c:pt>
                <c:pt idx="6">
                  <c:v>154.25</c:v>
                </c:pt>
                <c:pt idx="7">
                  <c:v>151.5</c:v>
                </c:pt>
                <c:pt idx="8">
                  <c:v>158.75</c:v>
                </c:pt>
                <c:pt idx="9">
                  <c:v>156.75</c:v>
                </c:pt>
                <c:pt idx="10">
                  <c:v>153.75</c:v>
                </c:pt>
                <c:pt idx="11">
                  <c:v>152.75</c:v>
                </c:pt>
                <c:pt idx="12">
                  <c:v>144</c:v>
                </c:pt>
                <c:pt idx="13">
                  <c:v>139.75</c:v>
                </c:pt>
                <c:pt idx="14">
                  <c:v>143.5</c:v>
                </c:pt>
                <c:pt idx="15">
                  <c:v>143.5</c:v>
                </c:pt>
                <c:pt idx="16">
                  <c:v>146.25</c:v>
                </c:pt>
                <c:pt idx="17">
                  <c:v>144.25</c:v>
                </c:pt>
                <c:pt idx="18">
                  <c:v>142</c:v>
                </c:pt>
                <c:pt idx="19">
                  <c:v>145.25</c:v>
                </c:pt>
                <c:pt idx="20">
                  <c:v>153.5</c:v>
                </c:pt>
                <c:pt idx="21">
                  <c:v>147.75</c:v>
                </c:pt>
                <c:pt idx="22">
                  <c:v>150</c:v>
                </c:pt>
                <c:pt idx="23">
                  <c:v>146.5</c:v>
                </c:pt>
                <c:pt idx="24">
                  <c:v>142.5</c:v>
                </c:pt>
                <c:pt idx="25">
                  <c:v>146.25</c:v>
                </c:pt>
              </c:numCache>
            </c:numRef>
          </c:yVal>
          <c:smooth val="0"/>
        </c:ser>
        <c:ser>
          <c:idx val="2"/>
          <c:order val="2"/>
          <c:tx>
            <c:strRef>
              <c:f>"Forward forecast"</c:f>
              <c:strCache>
                <c:ptCount val="1"/>
                <c:pt idx="0">
                  <c:v>Forward forecast</c:v>
                </c:pt>
              </c:strCache>
            </c:strRef>
          </c:tx>
          <c:spPr>
            <a:solidFill>
              <a:srgbClr val="000000"/>
            </a:solidFill>
            <a:ln w="19080">
              <a:solidFill>
                <a:srgbClr val="000000"/>
              </a:solidFill>
              <a:prstDash val="sys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SKU_Deep_Dive!$C$132:$C$143</c:f>
              <c:numCache>
                <c:formatCode>#,##0;\-#,##0;0</c:formatCode>
                <c:ptCount val="12"/>
                <c:pt idx="0">
                  <c:v>105</c:v>
                </c:pt>
                <c:pt idx="1">
                  <c:v>106</c:v>
                </c:pt>
                <c:pt idx="2">
                  <c:v>107</c:v>
                </c:pt>
                <c:pt idx="3">
                  <c:v>108</c:v>
                </c:pt>
                <c:pt idx="4">
                  <c:v>109</c:v>
                </c:pt>
                <c:pt idx="5">
                  <c:v>110</c:v>
                </c:pt>
                <c:pt idx="6">
                  <c:v>111</c:v>
                </c:pt>
                <c:pt idx="7">
                  <c:v>112</c:v>
                </c:pt>
                <c:pt idx="8">
                  <c:v>113</c:v>
                </c:pt>
                <c:pt idx="9">
                  <c:v>114</c:v>
                </c:pt>
                <c:pt idx="10">
                  <c:v>115</c:v>
                </c:pt>
                <c:pt idx="11">
                  <c:v>116</c:v>
                </c:pt>
              </c:numCache>
            </c:numRef>
          </c:xVal>
          <c:yVal>
            <c:numRef>
              <c:f>SKU_Deep_Dive!$G$132:$G$143</c:f>
              <c:numCache>
                <c:formatCode>#,##0.0;\-#,##0.0;0.0</c:formatCode>
                <c:ptCount val="12"/>
                <c:pt idx="0">
                  <c:v>146.25</c:v>
                </c:pt>
                <c:pt idx="1">
                  <c:v>146.25</c:v>
                </c:pt>
                <c:pt idx="2">
                  <c:v>146.25</c:v>
                </c:pt>
                <c:pt idx="3">
                  <c:v>146.25</c:v>
                </c:pt>
                <c:pt idx="4">
                  <c:v>146.25</c:v>
                </c:pt>
                <c:pt idx="5">
                  <c:v>146.25</c:v>
                </c:pt>
                <c:pt idx="6">
                  <c:v>146.25</c:v>
                </c:pt>
                <c:pt idx="7">
                  <c:v>146.25</c:v>
                </c:pt>
                <c:pt idx="8">
                  <c:v>146.25</c:v>
                </c:pt>
                <c:pt idx="9">
                  <c:v>146.25</c:v>
                </c:pt>
                <c:pt idx="10">
                  <c:v>146.25</c:v>
                </c:pt>
                <c:pt idx="11">
                  <c:v>146.25</c:v>
                </c:pt>
              </c:numCache>
            </c:numRef>
          </c:yVal>
          <c:smooth val="0"/>
        </c:ser>
        <c:ser>
          <c:idx val="3"/>
          <c:order val="3"/>
          <c:tx>
            <c:strRef>
              <c:f>"Projected inventory"</c:f>
              <c:strCache>
                <c:ptCount val="1"/>
                <c:pt idx="0">
                  <c:v>Projected inventory</c:v>
                </c:pt>
              </c:strCache>
            </c:strRef>
          </c:tx>
          <c:spPr>
            <a:solidFill>
              <a:srgbClr val="404040"/>
            </a:solidFill>
            <a:ln w="38160">
              <a:solidFill>
                <a:srgbClr val="404040"/>
              </a:solidFill>
              <a:round/>
            </a:ln>
          </c:spPr>
          <c:marker>
            <c:symbol val="circle"/>
            <c:size val="5"/>
            <c:spPr>
              <a:solidFill>
                <a:srgbClr val="40404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SKU_Deep_Dive!$C$131:$C$143</c:f>
              <c:numCache>
                <c:formatCode>#,##0;\-#,##0;0</c:formatCode>
                <c:ptCount val="13"/>
                <c:pt idx="0">
                  <c:v>104</c:v>
                </c:pt>
                <c:pt idx="1">
                  <c:v>105</c:v>
                </c:pt>
                <c:pt idx="2">
                  <c:v>106</c:v>
                </c:pt>
                <c:pt idx="3">
                  <c:v>107</c:v>
                </c:pt>
                <c:pt idx="4">
                  <c:v>108</c:v>
                </c:pt>
                <c:pt idx="5">
                  <c:v>109</c:v>
                </c:pt>
                <c:pt idx="6">
                  <c:v>110</c:v>
                </c:pt>
                <c:pt idx="7">
                  <c:v>111</c:v>
                </c:pt>
                <c:pt idx="8">
                  <c:v>112</c:v>
                </c:pt>
                <c:pt idx="9">
                  <c:v>113</c:v>
                </c:pt>
                <c:pt idx="10">
                  <c:v>114</c:v>
                </c:pt>
                <c:pt idx="11">
                  <c:v>115</c:v>
                </c:pt>
                <c:pt idx="12">
                  <c:v>116</c:v>
                </c:pt>
              </c:numCache>
            </c:numRef>
          </c:xVal>
          <c:yVal>
            <c:numRef>
              <c:f>SKU_Deep_Dive!$D$131:$D$143</c:f>
              <c:numCache>
                <c:formatCode>#,##0;\-#,##0;0</c:formatCode>
                <c:ptCount val="13"/>
                <c:pt idx="0">
                  <c:v>75</c:v>
                </c:pt>
                <c:pt idx="1">
                  <c:v>308.75</c:v>
                </c:pt>
                <c:pt idx="2">
                  <c:v>162.5</c:v>
                </c:pt>
                <c:pt idx="3">
                  <c:v>16.25</c:v>
                </c:pt>
                <c:pt idx="4">
                  <c:v>630</c:v>
                </c:pt>
                <c:pt idx="5">
                  <c:v>483.75</c:v>
                </c:pt>
                <c:pt idx="6">
                  <c:v>337.5</c:v>
                </c:pt>
                <c:pt idx="7">
                  <c:v>191.25</c:v>
                </c:pt>
                <c:pt idx="8">
                  <c:v>45</c:v>
                </c:pt>
                <c:pt idx="9">
                  <c:v>-101.25</c:v>
                </c:pt>
                <c:pt idx="10">
                  <c:v>-247.5</c:v>
                </c:pt>
                <c:pt idx="11">
                  <c:v>-393.75</c:v>
                </c:pt>
                <c:pt idx="12">
                  <c:v>-540</c:v>
                </c:pt>
              </c:numCache>
            </c:numRef>
          </c:yVal>
          <c:smooth val="0"/>
        </c:ser>
        <c:ser>
          <c:idx val="4"/>
          <c:order val="4"/>
          <c:tx>
            <c:strRef>
              <c:f>"Safety stock"</c:f>
              <c:strCache>
                <c:ptCount val="1"/>
                <c:pt idx="0">
                  <c:v>Safety stock</c:v>
                </c:pt>
              </c:strCache>
            </c:strRef>
          </c:tx>
          <c:spPr>
            <a:solidFill>
              <a:srgbClr val="a6a6a6"/>
            </a:solidFill>
            <a:ln w="19080">
              <a:solidFill>
                <a:srgbClr val="a6a6a6"/>
              </a:solidFill>
              <a:prstDash val="dot"/>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SKU_Deep_Dive!$C$131:$C$143</c:f>
              <c:numCache>
                <c:formatCode>#,##0;\-#,##0;0</c:formatCode>
                <c:ptCount val="13"/>
                <c:pt idx="0">
                  <c:v>104</c:v>
                </c:pt>
                <c:pt idx="1">
                  <c:v>105</c:v>
                </c:pt>
                <c:pt idx="2">
                  <c:v>106</c:v>
                </c:pt>
                <c:pt idx="3">
                  <c:v>107</c:v>
                </c:pt>
                <c:pt idx="4">
                  <c:v>108</c:v>
                </c:pt>
                <c:pt idx="5">
                  <c:v>109</c:v>
                </c:pt>
                <c:pt idx="6">
                  <c:v>110</c:v>
                </c:pt>
                <c:pt idx="7">
                  <c:v>111</c:v>
                </c:pt>
                <c:pt idx="8">
                  <c:v>112</c:v>
                </c:pt>
                <c:pt idx="9">
                  <c:v>113</c:v>
                </c:pt>
                <c:pt idx="10">
                  <c:v>114</c:v>
                </c:pt>
                <c:pt idx="11">
                  <c:v>115</c:v>
                </c:pt>
                <c:pt idx="12">
                  <c:v>116</c:v>
                </c:pt>
              </c:numCache>
            </c:numRef>
          </c:xVal>
          <c:yVal>
            <c:numRef>
              <c:f>SKU_Deep_Dive!$E$131:$E$143</c:f>
              <c:numCache>
                <c:formatCode>#,##0;\-#,##0;0</c:formatCode>
                <c:ptCount val="13"/>
                <c:pt idx="0">
                  <c:v>40.0664803311094</c:v>
                </c:pt>
                <c:pt idx="1">
                  <c:v>40.0664803311094</c:v>
                </c:pt>
                <c:pt idx="2">
                  <c:v>40.0664803311094</c:v>
                </c:pt>
                <c:pt idx="3">
                  <c:v>40.0664803311094</c:v>
                </c:pt>
                <c:pt idx="4">
                  <c:v>40.0664803311094</c:v>
                </c:pt>
                <c:pt idx="5">
                  <c:v>40.0664803311094</c:v>
                </c:pt>
                <c:pt idx="6">
                  <c:v>40.0664803311094</c:v>
                </c:pt>
                <c:pt idx="7">
                  <c:v>40.0664803311094</c:v>
                </c:pt>
                <c:pt idx="8">
                  <c:v>40.0664803311094</c:v>
                </c:pt>
                <c:pt idx="9">
                  <c:v>40.0664803311094</c:v>
                </c:pt>
                <c:pt idx="10">
                  <c:v>40.0664803311094</c:v>
                </c:pt>
                <c:pt idx="11">
                  <c:v>40.0664803311094</c:v>
                </c:pt>
                <c:pt idx="12">
                  <c:v>40.0664803311094</c:v>
                </c:pt>
              </c:numCache>
            </c:numRef>
          </c:yVal>
          <c:smooth val="0"/>
        </c:ser>
        <c:ser>
          <c:idx val="5"/>
          <c:order val="5"/>
          <c:tx>
            <c:strRef>
              <c:f>"Reorder point"</c:f>
              <c:strCache>
                <c:ptCount val="1"/>
                <c:pt idx="0">
                  <c:v>Reorder point</c:v>
                </c:pt>
              </c:strCache>
            </c:strRef>
          </c:tx>
          <c:spPr>
            <a:solidFill>
              <a:srgbClr val="595959"/>
            </a:solidFill>
            <a:ln w="19080">
              <a:solidFill>
                <a:srgbClr val="595959"/>
              </a:solidFill>
              <a:prstDash val="lgDashDot"/>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SKU_Deep_Dive!$C$131:$C$143</c:f>
              <c:numCache>
                <c:formatCode>#,##0;\-#,##0;0</c:formatCode>
                <c:ptCount val="13"/>
                <c:pt idx="0">
                  <c:v>104</c:v>
                </c:pt>
                <c:pt idx="1">
                  <c:v>105</c:v>
                </c:pt>
                <c:pt idx="2">
                  <c:v>106</c:v>
                </c:pt>
                <c:pt idx="3">
                  <c:v>107</c:v>
                </c:pt>
                <c:pt idx="4">
                  <c:v>108</c:v>
                </c:pt>
                <c:pt idx="5">
                  <c:v>109</c:v>
                </c:pt>
                <c:pt idx="6">
                  <c:v>110</c:v>
                </c:pt>
                <c:pt idx="7">
                  <c:v>111</c:v>
                </c:pt>
                <c:pt idx="8">
                  <c:v>112</c:v>
                </c:pt>
                <c:pt idx="9">
                  <c:v>113</c:v>
                </c:pt>
                <c:pt idx="10">
                  <c:v>114</c:v>
                </c:pt>
                <c:pt idx="11">
                  <c:v>115</c:v>
                </c:pt>
                <c:pt idx="12">
                  <c:v>116</c:v>
                </c:pt>
              </c:numCache>
            </c:numRef>
          </c:xVal>
          <c:yVal>
            <c:numRef>
              <c:f>SKU_Deep_Dive!$F$131:$F$143</c:f>
              <c:numCache>
                <c:formatCode>#,##0;\-#,##0;0</c:formatCode>
                <c:ptCount val="13"/>
                <c:pt idx="0">
                  <c:v>478.816480331109</c:v>
                </c:pt>
                <c:pt idx="1">
                  <c:v>478.816480331109</c:v>
                </c:pt>
                <c:pt idx="2">
                  <c:v>478.816480331109</c:v>
                </c:pt>
                <c:pt idx="3">
                  <c:v>478.816480331109</c:v>
                </c:pt>
                <c:pt idx="4">
                  <c:v>478.816480331109</c:v>
                </c:pt>
                <c:pt idx="5">
                  <c:v>478.816480331109</c:v>
                </c:pt>
                <c:pt idx="6">
                  <c:v>478.816480331109</c:v>
                </c:pt>
                <c:pt idx="7">
                  <c:v>478.816480331109</c:v>
                </c:pt>
                <c:pt idx="8">
                  <c:v>478.816480331109</c:v>
                </c:pt>
                <c:pt idx="9">
                  <c:v>478.816480331109</c:v>
                </c:pt>
                <c:pt idx="10">
                  <c:v>478.816480331109</c:v>
                </c:pt>
                <c:pt idx="11">
                  <c:v>478.816480331109</c:v>
                </c:pt>
                <c:pt idx="12">
                  <c:v>478.816480331109</c:v>
                </c:pt>
              </c:numCache>
            </c:numRef>
          </c:yVal>
          <c:smooth val="0"/>
        </c:ser>
        <c:ser>
          <c:idx val="6"/>
          <c:order val="6"/>
          <c:tx>
            <c:strRef>
              <c:f>"Existing PO receipt"</c:f>
              <c:strCache>
                <c:ptCount val="1"/>
                <c:pt idx="0">
                  <c:v>Existing PO receipt</c:v>
                </c:pt>
              </c:strCache>
            </c:strRef>
          </c:tx>
          <c:spPr>
            <a:solidFill>
              <a:srgbClr val="000000"/>
            </a:solidFill>
            <a:ln w="12600">
              <a:solidFill>
                <a:srgbClr val="000000"/>
              </a:solidFill>
              <a:round/>
            </a:ln>
          </c:spPr>
          <c:marker>
            <c:symbol val="triangle"/>
            <c:size val="11"/>
            <c:spPr>
              <a:solidFill>
                <a:srgbClr val="0000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SKU_Deep_Dive!$D$147</c:f>
              <c:numCache>
                <c:formatCode>#,##0;\-#,##0;0</c:formatCode>
                <c:ptCount val="1"/>
                <c:pt idx="0">
                  <c:v>105</c:v>
                </c:pt>
              </c:numCache>
            </c:numRef>
          </c:xVal>
          <c:yVal>
            <c:numRef>
              <c:f>SKU_Deep_Dive!$E$147</c:f>
              <c:numCache>
                <c:formatCode>#,##0;\-#,##0;0</c:formatCode>
                <c:ptCount val="1"/>
                <c:pt idx="0">
                  <c:v>380</c:v>
                </c:pt>
              </c:numCache>
            </c:numRef>
          </c:yVal>
          <c:smooth val="0"/>
        </c:ser>
        <c:ser>
          <c:idx val="7"/>
          <c:order val="7"/>
          <c:tx>
            <c:strRef>
              <c:f>"New recommended order receipt"</c:f>
              <c:strCache>
                <c:ptCount val="1"/>
                <c:pt idx="0">
                  <c:v>New recommended order receipt</c:v>
                </c:pt>
              </c:strCache>
            </c:strRef>
          </c:tx>
          <c:spPr>
            <a:solidFill>
              <a:srgbClr val="7f7f7f"/>
            </a:solidFill>
            <a:ln w="12600">
              <a:solidFill>
                <a:srgbClr val="7f7f7f"/>
              </a:solidFill>
              <a:round/>
            </a:ln>
          </c:spPr>
          <c:marker>
            <c:symbol val="square"/>
            <c:size val="11"/>
            <c:spPr>
              <a:solidFill>
                <a:srgbClr val="7f7f7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SKU_Deep_Dive!$D$148</c:f>
              <c:numCache>
                <c:formatCode>#,##0;\-#,##0;0</c:formatCode>
                <c:ptCount val="1"/>
                <c:pt idx="0">
                  <c:v>108</c:v>
                </c:pt>
              </c:numCache>
            </c:numRef>
          </c:xVal>
          <c:yVal>
            <c:numRef>
              <c:f>SKU_Deep_Dive!$E$148</c:f>
              <c:numCache>
                <c:formatCode>#,##0;\-#,##0;0</c:formatCode>
                <c:ptCount val="1"/>
                <c:pt idx="0">
                  <c:v>760</c:v>
                </c:pt>
              </c:numCache>
            </c:numRef>
          </c:yVal>
          <c:smooth val="0"/>
        </c:ser>
        <c:axId val="47911112"/>
        <c:axId val="90706587"/>
      </c:scatterChart>
      <c:valAx>
        <c:axId val="47911112"/>
        <c:scaling>
          <c:orientation val="minMax"/>
          <c:max val="117"/>
          <c:min val="78"/>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Model week (history to 104, planning 105-116)</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706587"/>
        <c:crosses val="autoZero"/>
        <c:crossBetween val="midCat"/>
        <c:majorUnit val="2"/>
      </c:valAx>
      <c:valAx>
        <c:axId val="907065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911112"/>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SKUs by planning status</a:t>
            </a:r>
          </a:p>
        </c:rich>
      </c:tx>
      <c:overlay val="0"/>
      <c:spPr>
        <a:noFill/>
        <a:ln w="0">
          <a:noFill/>
        </a:ln>
      </c:spPr>
    </c:title>
    <c:autoTitleDeleted val="0"/>
    <c:plotArea>
      <c:barChart>
        <c:barDir val="col"/>
        <c:grouping val="clustered"/>
        <c:varyColors val="0"/>
        <c:ser>
          <c:idx val="0"/>
          <c:order val="0"/>
          <c:tx>
            <c:strRef>
              <c:f>Planner_Overview!B8</c:f>
              <c:strCache>
                <c:ptCount val="1"/>
                <c:pt idx="0">
                  <c:v>SKUs</c:v>
                </c:pt>
              </c:strCache>
            </c:strRef>
          </c:tx>
          <c:spPr>
            <a:solidFill>
              <a:srgbClr val="595959"/>
            </a:solidFill>
            <a:ln w="9360">
              <a:solidFill>
                <a:srgbClr val="00000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Planner_Overview!$A$9:$A$12</c:f>
              <c:strCache>
                <c:ptCount val="4"/>
                <c:pt idx="0">
                  <c:v>STOCKOUT RISK</c:v>
                </c:pt>
                <c:pt idx="1">
                  <c:v>REORDER REQUIRED</c:v>
                </c:pt>
                <c:pt idx="2">
                  <c:v>EXCESS STOCK</c:v>
                </c:pt>
                <c:pt idx="3">
                  <c:v>HEALTHY</c:v>
                </c:pt>
              </c:strCache>
            </c:strRef>
          </c:cat>
          <c:val>
            <c:numRef>
              <c:f>Planner_Overview!$B$9:$B$12</c:f>
              <c:numCache>
                <c:formatCode>#,##0;\-#,##0;0</c:formatCode>
                <c:ptCount val="4"/>
                <c:pt idx="0">
                  <c:v>6</c:v>
                </c:pt>
                <c:pt idx="1">
                  <c:v>11</c:v>
                </c:pt>
                <c:pt idx="2">
                  <c:v>8</c:v>
                </c:pt>
                <c:pt idx="3">
                  <c:v>23</c:v>
                </c:pt>
              </c:numCache>
            </c:numRef>
          </c:val>
        </c:ser>
        <c:gapWidth val="150"/>
        <c:overlap val="0"/>
        <c:axId val="98760508"/>
        <c:axId val="81145501"/>
      </c:barChart>
      <c:catAx>
        <c:axId val="987605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145501"/>
        <c:crosses val="autoZero"/>
        <c:auto val="1"/>
        <c:lblAlgn val="ctr"/>
        <c:lblOffset val="100"/>
        <c:noMultiLvlLbl val="0"/>
      </c:catAx>
      <c:valAx>
        <c:axId val="81145501"/>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7605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On-hand inventory value by status (€)</a:t>
            </a:r>
          </a:p>
        </c:rich>
      </c:tx>
      <c:overlay val="0"/>
      <c:spPr>
        <a:noFill/>
        <a:ln w="0">
          <a:noFill/>
        </a:ln>
      </c:spPr>
    </c:title>
    <c:autoTitleDeleted val="0"/>
    <c:plotArea>
      <c:barChart>
        <c:barDir val="col"/>
        <c:grouping val="clustered"/>
        <c:varyColors val="0"/>
        <c:ser>
          <c:idx val="0"/>
          <c:order val="0"/>
          <c:tx>
            <c:strRef>
              <c:f>Planner_Overview!C8</c:f>
              <c:strCache>
                <c:ptCount val="1"/>
                <c:pt idx="0">
                  <c:v>On-hand value (€)</c:v>
                </c:pt>
              </c:strCache>
            </c:strRef>
          </c:tx>
          <c:spPr>
            <a:solidFill>
              <a:srgbClr val="a6a6a6"/>
            </a:solidFill>
            <a:ln w="9360">
              <a:solidFill>
                <a:srgbClr val="000000"/>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Planner_Overview!$A$9:$A$12</c:f>
              <c:strCache>
                <c:ptCount val="4"/>
                <c:pt idx="0">
                  <c:v>STOCKOUT RISK</c:v>
                </c:pt>
                <c:pt idx="1">
                  <c:v>REORDER REQUIRED</c:v>
                </c:pt>
                <c:pt idx="2">
                  <c:v>EXCESS STOCK</c:v>
                </c:pt>
                <c:pt idx="3">
                  <c:v>HEALTHY</c:v>
                </c:pt>
              </c:strCache>
            </c:strRef>
          </c:cat>
          <c:val>
            <c:numRef>
              <c:f>Planner_Overview!$C$9:$C$12</c:f>
              <c:numCache>
                <c:formatCode>\€#,##0</c:formatCode>
                <c:ptCount val="4"/>
                <c:pt idx="0">
                  <c:v>3425</c:v>
                </c:pt>
                <c:pt idx="1">
                  <c:v>19713</c:v>
                </c:pt>
                <c:pt idx="2">
                  <c:v>96196</c:v>
                </c:pt>
                <c:pt idx="3">
                  <c:v>106896</c:v>
                </c:pt>
              </c:numCache>
            </c:numRef>
          </c:val>
        </c:ser>
        <c:gapWidth val="150"/>
        <c:overlap val="0"/>
        <c:axId val="37990811"/>
        <c:axId val="14075547"/>
      </c:barChart>
      <c:catAx>
        <c:axId val="379908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75547"/>
        <c:crosses val="autoZero"/>
        <c:auto val="1"/>
        <c:lblAlgn val="ctr"/>
        <c:lblOffset val="100"/>
        <c:noMultiLvlLbl val="0"/>
      </c:catAx>
      <c:valAx>
        <c:axId val="1407554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9908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Selected SKU: closing stock under both policies</a:t>
            </a:r>
          </a:p>
        </c:rich>
      </c:tx>
      <c:overlay val="0"/>
      <c:spPr>
        <a:noFill/>
        <a:ln w="0">
          <a:noFill/>
        </a:ln>
      </c:spPr>
    </c:title>
    <c:autoTitleDeleted val="0"/>
    <c:plotArea>
      <c:lineChart>
        <c:grouping val="standard"/>
        <c:varyColors val="0"/>
        <c:ser>
          <c:idx val="0"/>
          <c:order val="0"/>
          <c:tx>
            <c:strRef>
              <c:f>Backtest!B32</c:f>
              <c:strCache>
                <c:ptCount val="1"/>
                <c:pt idx="0">
                  <c:v>Actual demand</c:v>
                </c:pt>
              </c:strCache>
            </c:strRef>
          </c:tx>
          <c:spPr>
            <a:solidFill>
              <a:srgbClr val="a6a6a6"/>
            </a:solidFill>
            <a:ln w="19080">
              <a:solidFill>
                <a:srgbClr val="a6a6a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Backtest!$A$33:$A$48</c:f>
              <c:strCache>
                <c:ptCount val="16"/>
                <c:pt idx="0">
                  <c:v>89</c:v>
                </c:pt>
                <c:pt idx="1">
                  <c:v>90</c:v>
                </c:pt>
                <c:pt idx="2">
                  <c:v>91</c:v>
                </c:pt>
                <c:pt idx="3">
                  <c:v>92</c:v>
                </c:pt>
                <c:pt idx="4">
                  <c:v>93</c:v>
                </c:pt>
                <c:pt idx="5">
                  <c:v>94</c:v>
                </c:pt>
                <c:pt idx="6">
                  <c:v>95</c:v>
                </c:pt>
                <c:pt idx="7">
                  <c:v>96</c:v>
                </c:pt>
                <c:pt idx="8">
                  <c:v>97</c:v>
                </c:pt>
                <c:pt idx="9">
                  <c:v>98</c:v>
                </c:pt>
                <c:pt idx="10">
                  <c:v>99</c:v>
                </c:pt>
                <c:pt idx="11">
                  <c:v>100</c:v>
                </c:pt>
                <c:pt idx="12">
                  <c:v>101</c:v>
                </c:pt>
                <c:pt idx="13">
                  <c:v>102</c:v>
                </c:pt>
                <c:pt idx="14">
                  <c:v>103</c:v>
                </c:pt>
                <c:pt idx="15">
                  <c:v>104</c:v>
                </c:pt>
              </c:strCache>
            </c:strRef>
          </c:cat>
          <c:val>
            <c:numRef>
              <c:f>Backtest!$B$33:$B$48</c:f>
              <c:numCache>
                <c:formatCode>#,##0;\-#,##0;0</c:formatCode>
                <c:ptCount val="16"/>
                <c:pt idx="0">
                  <c:v>43</c:v>
                </c:pt>
                <c:pt idx="1">
                  <c:v>55</c:v>
                </c:pt>
                <c:pt idx="2">
                  <c:v>70</c:v>
                </c:pt>
                <c:pt idx="3">
                  <c:v>2</c:v>
                </c:pt>
                <c:pt idx="4">
                  <c:v>53</c:v>
                </c:pt>
                <c:pt idx="5">
                  <c:v>65</c:v>
                </c:pt>
                <c:pt idx="6">
                  <c:v>68</c:v>
                </c:pt>
                <c:pt idx="7">
                  <c:v>88</c:v>
                </c:pt>
                <c:pt idx="8">
                  <c:v>77</c:v>
                </c:pt>
                <c:pt idx="9">
                  <c:v>61</c:v>
                </c:pt>
                <c:pt idx="10">
                  <c:v>61</c:v>
                </c:pt>
                <c:pt idx="11">
                  <c:v>70</c:v>
                </c:pt>
                <c:pt idx="12">
                  <c:v>45</c:v>
                </c:pt>
                <c:pt idx="13">
                  <c:v>54</c:v>
                </c:pt>
                <c:pt idx="14">
                  <c:v>72</c:v>
                </c:pt>
                <c:pt idx="15">
                  <c:v>93</c:v>
                </c:pt>
              </c:numCache>
            </c:numRef>
          </c:val>
          <c:smooth val="0"/>
        </c:ser>
        <c:ser>
          <c:idx val="1"/>
          <c:order val="1"/>
          <c:tx>
            <c:strRef>
              <c:f>Backtest!C32</c:f>
              <c:strCache>
                <c:ptCount val="1"/>
                <c:pt idx="0">
                  <c:v>Baseline: closing stock</c:v>
                </c:pt>
              </c:strCache>
            </c:strRef>
          </c:tx>
          <c:spPr>
            <a:solidFill>
              <a:srgbClr val="000000"/>
            </a:solidFill>
            <a:ln w="28440">
              <a:solidFill>
                <a:srgbClr val="000000"/>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Backtest!$A$33:$A$48</c:f>
              <c:strCache>
                <c:ptCount val="16"/>
                <c:pt idx="0">
                  <c:v>89</c:v>
                </c:pt>
                <c:pt idx="1">
                  <c:v>90</c:v>
                </c:pt>
                <c:pt idx="2">
                  <c:v>91</c:v>
                </c:pt>
                <c:pt idx="3">
                  <c:v>92</c:v>
                </c:pt>
                <c:pt idx="4">
                  <c:v>93</c:v>
                </c:pt>
                <c:pt idx="5">
                  <c:v>94</c:v>
                </c:pt>
                <c:pt idx="6">
                  <c:v>95</c:v>
                </c:pt>
                <c:pt idx="7">
                  <c:v>96</c:v>
                </c:pt>
                <c:pt idx="8">
                  <c:v>97</c:v>
                </c:pt>
                <c:pt idx="9">
                  <c:v>98</c:v>
                </c:pt>
                <c:pt idx="10">
                  <c:v>99</c:v>
                </c:pt>
                <c:pt idx="11">
                  <c:v>100</c:v>
                </c:pt>
                <c:pt idx="12">
                  <c:v>101</c:v>
                </c:pt>
                <c:pt idx="13">
                  <c:v>102</c:v>
                </c:pt>
                <c:pt idx="14">
                  <c:v>103</c:v>
                </c:pt>
                <c:pt idx="15">
                  <c:v>104</c:v>
                </c:pt>
              </c:strCache>
            </c:strRef>
          </c:cat>
          <c:val>
            <c:numRef>
              <c:f>Backtest!$C$33:$C$48</c:f>
              <c:numCache>
                <c:formatCode>#,##0;\-#,##0;0</c:formatCode>
                <c:ptCount val="16"/>
                <c:pt idx="0">
                  <c:v>216</c:v>
                </c:pt>
                <c:pt idx="1">
                  <c:v>161</c:v>
                </c:pt>
                <c:pt idx="2">
                  <c:v>91</c:v>
                </c:pt>
                <c:pt idx="3">
                  <c:v>99</c:v>
                </c:pt>
                <c:pt idx="4">
                  <c:v>116</c:v>
                </c:pt>
                <c:pt idx="5">
                  <c:v>111</c:v>
                </c:pt>
                <c:pt idx="6">
                  <c:v>43</c:v>
                </c:pt>
                <c:pt idx="7">
                  <c:v>0</c:v>
                </c:pt>
                <c:pt idx="8">
                  <c:v>0</c:v>
                </c:pt>
                <c:pt idx="9">
                  <c:v>9</c:v>
                </c:pt>
                <c:pt idx="10">
                  <c:v>88</c:v>
                </c:pt>
                <c:pt idx="11">
                  <c:v>108</c:v>
                </c:pt>
                <c:pt idx="12">
                  <c:v>123</c:v>
                </c:pt>
                <c:pt idx="13">
                  <c:v>119</c:v>
                </c:pt>
                <c:pt idx="14">
                  <c:v>107</c:v>
                </c:pt>
                <c:pt idx="15">
                  <c:v>24</c:v>
                </c:pt>
              </c:numCache>
            </c:numRef>
          </c:val>
          <c:smooth val="0"/>
        </c:ser>
        <c:ser>
          <c:idx val="2"/>
          <c:order val="2"/>
          <c:tx>
            <c:strRef>
              <c:f>Backtest!D32</c:f>
              <c:strCache>
                <c:ptCount val="1"/>
                <c:pt idx="0">
                  <c:v>Proposed: closing stock</c:v>
                </c:pt>
              </c:strCache>
            </c:strRef>
          </c:tx>
          <c:spPr>
            <a:solidFill>
              <a:srgbClr val="404040"/>
            </a:solidFill>
            <a:ln w="34920">
              <a:solidFill>
                <a:srgbClr val="4040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Backtest!$A$33:$A$48</c:f>
              <c:strCache>
                <c:ptCount val="16"/>
                <c:pt idx="0">
                  <c:v>89</c:v>
                </c:pt>
                <c:pt idx="1">
                  <c:v>90</c:v>
                </c:pt>
                <c:pt idx="2">
                  <c:v>91</c:v>
                </c:pt>
                <c:pt idx="3">
                  <c:v>92</c:v>
                </c:pt>
                <c:pt idx="4">
                  <c:v>93</c:v>
                </c:pt>
                <c:pt idx="5">
                  <c:v>94</c:v>
                </c:pt>
                <c:pt idx="6">
                  <c:v>95</c:v>
                </c:pt>
                <c:pt idx="7">
                  <c:v>96</c:v>
                </c:pt>
                <c:pt idx="8">
                  <c:v>97</c:v>
                </c:pt>
                <c:pt idx="9">
                  <c:v>98</c:v>
                </c:pt>
                <c:pt idx="10">
                  <c:v>99</c:v>
                </c:pt>
                <c:pt idx="11">
                  <c:v>100</c:v>
                </c:pt>
                <c:pt idx="12">
                  <c:v>101</c:v>
                </c:pt>
                <c:pt idx="13">
                  <c:v>102</c:v>
                </c:pt>
                <c:pt idx="14">
                  <c:v>103</c:v>
                </c:pt>
                <c:pt idx="15">
                  <c:v>104</c:v>
                </c:pt>
              </c:strCache>
            </c:strRef>
          </c:cat>
          <c:val>
            <c:numRef>
              <c:f>Backtest!$D$33:$D$48</c:f>
              <c:numCache>
                <c:formatCode>#,##0;\-#,##0;0</c:formatCode>
                <c:ptCount val="16"/>
                <c:pt idx="0">
                  <c:v>216</c:v>
                </c:pt>
                <c:pt idx="1">
                  <c:v>161</c:v>
                </c:pt>
                <c:pt idx="2">
                  <c:v>91</c:v>
                </c:pt>
                <c:pt idx="3">
                  <c:v>89</c:v>
                </c:pt>
                <c:pt idx="4">
                  <c:v>36</c:v>
                </c:pt>
                <c:pt idx="5">
                  <c:v>271</c:v>
                </c:pt>
                <c:pt idx="6">
                  <c:v>203</c:v>
                </c:pt>
                <c:pt idx="7">
                  <c:v>115</c:v>
                </c:pt>
                <c:pt idx="8">
                  <c:v>38</c:v>
                </c:pt>
                <c:pt idx="9">
                  <c:v>0</c:v>
                </c:pt>
                <c:pt idx="10">
                  <c:v>259</c:v>
                </c:pt>
                <c:pt idx="11">
                  <c:v>189</c:v>
                </c:pt>
                <c:pt idx="12">
                  <c:v>144</c:v>
                </c:pt>
                <c:pt idx="13">
                  <c:v>90</c:v>
                </c:pt>
                <c:pt idx="14">
                  <c:v>18</c:v>
                </c:pt>
                <c:pt idx="15">
                  <c:v>275</c:v>
                </c:pt>
              </c:numCache>
            </c:numRef>
          </c:val>
          <c:smooth val="0"/>
        </c:ser>
        <c:ser>
          <c:idx val="3"/>
          <c:order val="3"/>
          <c:tx>
            <c:strRef>
              <c:f>Backtest!I32</c:f>
              <c:strCache>
                <c:ptCount val="1"/>
                <c:pt idx="0">
                  <c:v>Proposed: reorder point</c:v>
                </c:pt>
              </c:strCache>
            </c:strRef>
          </c:tx>
          <c:spPr>
            <a:solidFill>
              <a:srgbClr val="7f7f7f"/>
            </a:solidFill>
            <a:ln w="15840">
              <a:solidFill>
                <a:srgbClr val="7f7f7f"/>
              </a:solidFill>
              <a:prstDash val="sysDot"/>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Backtest!$A$33:$A$48</c:f>
              <c:strCache>
                <c:ptCount val="16"/>
                <c:pt idx="0">
                  <c:v>89</c:v>
                </c:pt>
                <c:pt idx="1">
                  <c:v>90</c:v>
                </c:pt>
                <c:pt idx="2">
                  <c:v>91</c:v>
                </c:pt>
                <c:pt idx="3">
                  <c:v>92</c:v>
                </c:pt>
                <c:pt idx="4">
                  <c:v>93</c:v>
                </c:pt>
                <c:pt idx="5">
                  <c:v>94</c:v>
                </c:pt>
                <c:pt idx="6">
                  <c:v>95</c:v>
                </c:pt>
                <c:pt idx="7">
                  <c:v>96</c:v>
                </c:pt>
                <c:pt idx="8">
                  <c:v>97</c:v>
                </c:pt>
                <c:pt idx="9">
                  <c:v>98</c:v>
                </c:pt>
                <c:pt idx="10">
                  <c:v>99</c:v>
                </c:pt>
                <c:pt idx="11">
                  <c:v>100</c:v>
                </c:pt>
                <c:pt idx="12">
                  <c:v>101</c:v>
                </c:pt>
                <c:pt idx="13">
                  <c:v>102</c:v>
                </c:pt>
                <c:pt idx="14">
                  <c:v>103</c:v>
                </c:pt>
                <c:pt idx="15">
                  <c:v>104</c:v>
                </c:pt>
              </c:strCache>
            </c:strRef>
          </c:cat>
          <c:val>
            <c:numRef>
              <c:f>Backtest!$I$33:$I$48</c:f>
              <c:numCache>
                <c:formatCode>#,##0;\-#,##0;0</c:formatCode>
                <c:ptCount val="16"/>
                <c:pt idx="0">
                  <c:v>133.540539527858</c:v>
                </c:pt>
                <c:pt idx="1">
                  <c:v>138.790539527858</c:v>
                </c:pt>
                <c:pt idx="2">
                  <c:v>140.540539527858</c:v>
                </c:pt>
                <c:pt idx="3">
                  <c:v>147.290539527858</c:v>
                </c:pt>
                <c:pt idx="4">
                  <c:v>138.290539527858</c:v>
                </c:pt>
                <c:pt idx="5">
                  <c:v>148.790539527858</c:v>
                </c:pt>
                <c:pt idx="6">
                  <c:v>152.790539527858</c:v>
                </c:pt>
                <c:pt idx="7">
                  <c:v>151.790539527858</c:v>
                </c:pt>
                <c:pt idx="8">
                  <c:v>158.290539527858</c:v>
                </c:pt>
                <c:pt idx="9">
                  <c:v>166.790539527858</c:v>
                </c:pt>
                <c:pt idx="10">
                  <c:v>168.290539527858</c:v>
                </c:pt>
                <c:pt idx="11">
                  <c:v>166.040539527858</c:v>
                </c:pt>
                <c:pt idx="12">
                  <c:v>183.040539527858</c:v>
                </c:pt>
                <c:pt idx="13">
                  <c:v>181.040539527858</c:v>
                </c:pt>
                <c:pt idx="14">
                  <c:v>178.290539527858</c:v>
                </c:pt>
                <c:pt idx="15">
                  <c:v>179.290539527858</c:v>
                </c:pt>
              </c:numCache>
            </c:numRef>
          </c:val>
          <c:smooth val="0"/>
        </c:ser>
        <c:hiLowLines>
          <c:spPr>
            <a:ln w="0">
              <a:noFill/>
            </a:ln>
          </c:spPr>
        </c:hiLowLines>
        <c:marker val="0"/>
        <c:axId val="19786936"/>
        <c:axId val="16365333"/>
      </c:lineChart>
      <c:catAx>
        <c:axId val="1978693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365333"/>
        <c:crosses val="autoZero"/>
        <c:auto val="1"/>
        <c:lblAlgn val="ctr"/>
        <c:lblOffset val="100"/>
        <c:noMultiLvlLbl val="0"/>
      </c:catAx>
      <c:valAx>
        <c:axId val="1636533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78693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72</xdr:row>
      <xdr:rowOff>145440</xdr:rowOff>
    </xdr:from>
    <xdr:to>
      <xdr:col>7</xdr:col>
      <xdr:colOff>297360</xdr:colOff>
      <xdr:row>96</xdr:row>
      <xdr:rowOff>73080</xdr:rowOff>
    </xdr:to>
    <xdr:graphicFrame>
      <xdr:nvGraphicFramePr>
        <xdr:cNvPr id="0" name="Chart 1"/>
        <xdr:cNvGraphicFramePr/>
      </xdr:nvGraphicFramePr>
      <xdr:xfrm>
        <a:off x="141120" y="23945760"/>
        <a:ext cx="10799640" cy="44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145440</xdr:rowOff>
    </xdr:from>
    <xdr:to>
      <xdr:col>3</xdr:col>
      <xdr:colOff>1240920</xdr:colOff>
      <xdr:row>27</xdr:row>
      <xdr:rowOff>178200</xdr:rowOff>
    </xdr:to>
    <xdr:graphicFrame>
      <xdr:nvGraphicFramePr>
        <xdr:cNvPr id="1" name="Chart 1"/>
        <xdr:cNvGraphicFramePr/>
      </xdr:nvGraphicFramePr>
      <xdr:xfrm>
        <a:off x="0" y="332424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13</xdr:row>
      <xdr:rowOff>145440</xdr:rowOff>
    </xdr:from>
    <xdr:to>
      <xdr:col>9</xdr:col>
      <xdr:colOff>254160</xdr:colOff>
      <xdr:row>27</xdr:row>
      <xdr:rowOff>178200</xdr:rowOff>
    </xdr:to>
    <xdr:graphicFrame>
      <xdr:nvGraphicFramePr>
        <xdr:cNvPr id="2" name="Chart 2"/>
        <xdr:cNvGraphicFramePr/>
      </xdr:nvGraphicFramePr>
      <xdr:xfrm>
        <a:off x="5497920" y="332424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21</xdr:row>
      <xdr:rowOff>145440</xdr:rowOff>
    </xdr:from>
    <xdr:to>
      <xdr:col>19</xdr:col>
      <xdr:colOff>221760</xdr:colOff>
      <xdr:row>36</xdr:row>
      <xdr:rowOff>127440</xdr:rowOff>
    </xdr:to>
    <xdr:graphicFrame>
      <xdr:nvGraphicFramePr>
        <xdr:cNvPr id="3" name="Chart 1"/>
        <xdr:cNvGraphicFramePr/>
      </xdr:nvGraphicFramePr>
      <xdr:xfrm>
        <a:off x="11207160" y="68770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DemandHistory" displayName="tblDemandHistory" ref="A1:D4993" headerRowCount="1" totalsRowCount="0" totalsRowShown="0">
  <autoFilter ref="A1:D4993"/>
  <tableColumns count="4">
    <tableColumn id="1" name="Week"/>
    <tableColumn id="2" name="Week Start Date"/>
    <tableColumn id="3" name="SKU"/>
    <tableColumn id="4" name="Actual Demand (uni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Relationship Id="rId3"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xml"/><Relationship Id="rId3"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xml"/><Relationship Id="rId3"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75"/>
    <col collapsed="false" customWidth="true" hidden="false" outlineLevel="0" max="4" min="4" style="0" width="55"/>
  </cols>
  <sheetData>
    <row r="1" customFormat="false" ht="18.5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3"/>
      <c r="C4" s="3"/>
      <c r="D4" s="3"/>
    </row>
    <row r="6" customFormat="false" ht="15" hidden="false" customHeight="false" outlineLevel="0" collapsed="false">
      <c r="A6" s="4" t="s">
        <v>3</v>
      </c>
      <c r="B6" s="4"/>
      <c r="C6" s="4"/>
      <c r="D6" s="4"/>
    </row>
    <row r="7" customFormat="false" ht="45" hidden="false" customHeight="true" outlineLevel="0" collapsed="false">
      <c r="A7" s="5" t="s">
        <v>4</v>
      </c>
      <c r="B7" s="5"/>
      <c r="C7" s="5"/>
      <c r="D7" s="5"/>
    </row>
    <row r="9" customFormat="false" ht="15" hidden="false" customHeight="false" outlineLevel="0" collapsed="false">
      <c r="A9" s="4" t="s">
        <v>5</v>
      </c>
      <c r="B9" s="4"/>
      <c r="C9" s="4"/>
      <c r="D9" s="4"/>
    </row>
    <row r="10" customFormat="false" ht="21.75" hidden="false" customHeight="true" outlineLevel="0" collapsed="false">
      <c r="A10" s="6" t="s">
        <v>6</v>
      </c>
      <c r="B10" s="6" t="s">
        <v>7</v>
      </c>
      <c r="C10" s="6" t="s">
        <v>8</v>
      </c>
      <c r="D10" s="6" t="s">
        <v>9</v>
      </c>
    </row>
    <row r="11" customFormat="false" ht="30" hidden="false" customHeight="true" outlineLevel="0" collapsed="false">
      <c r="A11" s="7" t="n">
        <v>1</v>
      </c>
      <c r="B11" s="8" t="s">
        <v>10</v>
      </c>
      <c r="C11" s="7" t="s">
        <v>11</v>
      </c>
      <c r="D11" s="7" t="s">
        <v>12</v>
      </c>
    </row>
    <row r="12" customFormat="false" ht="30" hidden="false" customHeight="true" outlineLevel="0" collapsed="false">
      <c r="A12" s="7" t="n">
        <v>2</v>
      </c>
      <c r="B12" s="8" t="s">
        <v>13</v>
      </c>
      <c r="C12" s="7" t="s">
        <v>14</v>
      </c>
      <c r="D12" s="7" t="s">
        <v>15</v>
      </c>
    </row>
    <row r="13" customFormat="false" ht="30" hidden="false" customHeight="true" outlineLevel="0" collapsed="false">
      <c r="A13" s="7" t="n">
        <v>3</v>
      </c>
      <c r="B13" s="8" t="s">
        <v>16</v>
      </c>
      <c r="C13" s="7" t="s">
        <v>17</v>
      </c>
      <c r="D13" s="7" t="s">
        <v>18</v>
      </c>
    </row>
    <row r="14" customFormat="false" ht="30" hidden="false" customHeight="true" outlineLevel="0" collapsed="false">
      <c r="A14" s="7" t="n">
        <v>4</v>
      </c>
      <c r="B14" s="8" t="s">
        <v>19</v>
      </c>
      <c r="C14" s="7" t="s">
        <v>20</v>
      </c>
      <c r="D14" s="7" t="s">
        <v>21</v>
      </c>
    </row>
    <row r="15" customFormat="false" ht="30" hidden="false" customHeight="true" outlineLevel="0" collapsed="false">
      <c r="A15" s="7" t="n">
        <v>5</v>
      </c>
      <c r="B15" s="8" t="s">
        <v>22</v>
      </c>
      <c r="C15" s="7" t="s">
        <v>23</v>
      </c>
      <c r="D15" s="7" t="s">
        <v>24</v>
      </c>
    </row>
    <row r="16" customFormat="false" ht="30" hidden="false" customHeight="true" outlineLevel="0" collapsed="false">
      <c r="A16" s="7" t="n">
        <v>6</v>
      </c>
      <c r="B16" s="8" t="s">
        <v>25</v>
      </c>
      <c r="C16" s="7" t="s">
        <v>26</v>
      </c>
      <c r="D16" s="7" t="s">
        <v>27</v>
      </c>
    </row>
    <row r="17" customFormat="false" ht="30" hidden="false" customHeight="true" outlineLevel="0" collapsed="false">
      <c r="A17" s="7" t="n">
        <v>7</v>
      </c>
      <c r="B17" s="8" t="s">
        <v>28</v>
      </c>
      <c r="C17" s="7" t="s">
        <v>29</v>
      </c>
      <c r="D17" s="7" t="s">
        <v>30</v>
      </c>
    </row>
    <row r="18" customFormat="false" ht="30" hidden="false" customHeight="true" outlineLevel="0" collapsed="false">
      <c r="A18" s="7" t="n">
        <v>8</v>
      </c>
      <c r="B18" s="8" t="s">
        <v>31</v>
      </c>
      <c r="C18" s="7" t="s">
        <v>32</v>
      </c>
      <c r="D18" s="7" t="s">
        <v>33</v>
      </c>
    </row>
    <row r="19" customFormat="false" ht="30" hidden="false" customHeight="true" outlineLevel="0" collapsed="false">
      <c r="A19" s="7" t="n">
        <v>9</v>
      </c>
      <c r="B19" s="8" t="s">
        <v>34</v>
      </c>
      <c r="C19" s="7" t="s">
        <v>35</v>
      </c>
      <c r="D19" s="7" t="s">
        <v>36</v>
      </c>
    </row>
    <row r="20" customFormat="false" ht="30" hidden="false" customHeight="true" outlineLevel="0" collapsed="false">
      <c r="A20" s="7" t="n">
        <v>10</v>
      </c>
      <c r="B20" s="8" t="s">
        <v>37</v>
      </c>
      <c r="C20" s="7" t="s">
        <v>38</v>
      </c>
      <c r="D20" s="7" t="s">
        <v>39</v>
      </c>
    </row>
    <row r="21" customFormat="false" ht="30" hidden="false" customHeight="true" outlineLevel="0" collapsed="false">
      <c r="A21" s="7" t="n">
        <v>11</v>
      </c>
      <c r="B21" s="8" t="s">
        <v>40</v>
      </c>
      <c r="C21" s="7" t="s">
        <v>41</v>
      </c>
      <c r="D21" s="7" t="s">
        <v>42</v>
      </c>
    </row>
    <row r="23" customFormat="false" ht="15" hidden="false" customHeight="false" outlineLevel="0" collapsed="false">
      <c r="A23" s="4" t="s">
        <v>43</v>
      </c>
      <c r="B23" s="4"/>
      <c r="C23" s="4"/>
      <c r="D23" s="4"/>
    </row>
    <row r="24" customFormat="false" ht="15" hidden="false" customHeight="false" outlineLevel="0" collapsed="false">
      <c r="A24" s="9" t="s">
        <v>44</v>
      </c>
      <c r="B24" s="10" t="s">
        <v>45</v>
      </c>
    </row>
    <row r="25" customFormat="false" ht="15" hidden="false" customHeight="false" outlineLevel="0" collapsed="false">
      <c r="A25" s="10" t="s">
        <v>46</v>
      </c>
      <c r="B25" s="10" t="s">
        <v>47</v>
      </c>
    </row>
    <row r="26" customFormat="false" ht="15" hidden="false" customHeight="false" outlineLevel="0" collapsed="false">
      <c r="A26" s="11" t="s">
        <v>48</v>
      </c>
      <c r="B26" s="10" t="s">
        <v>49</v>
      </c>
    </row>
    <row r="27" customFormat="false" ht="68.65" hidden="false" customHeight="false" outlineLevel="0" collapsed="false">
      <c r="A27" s="12" t="s">
        <v>50</v>
      </c>
      <c r="B27" s="7" t="s">
        <v>51</v>
      </c>
    </row>
    <row r="29" customFormat="false" ht="15" hidden="false" customHeight="false" outlineLevel="0" collapsed="false">
      <c r="A29" s="4" t="s">
        <v>52</v>
      </c>
      <c r="B29" s="4"/>
      <c r="C29" s="4"/>
      <c r="D29" s="4"/>
    </row>
    <row r="30" customFormat="false" ht="27.75" hidden="false" customHeight="true" outlineLevel="0" collapsed="false">
      <c r="A30" s="5" t="s">
        <v>53</v>
      </c>
      <c r="B30" s="5"/>
      <c r="C30" s="5"/>
      <c r="D30" s="5"/>
    </row>
    <row r="31" customFormat="false" ht="27.75" hidden="false" customHeight="true" outlineLevel="0" collapsed="false">
      <c r="A31" s="5" t="s">
        <v>54</v>
      </c>
      <c r="B31" s="5"/>
      <c r="C31" s="5"/>
      <c r="D31" s="5"/>
    </row>
    <row r="32" customFormat="false" ht="27.75" hidden="false" customHeight="true" outlineLevel="0" collapsed="false">
      <c r="A32" s="5" t="s">
        <v>55</v>
      </c>
      <c r="B32" s="5"/>
      <c r="C32" s="5"/>
      <c r="D32" s="5"/>
    </row>
    <row r="33" customFormat="false" ht="27.75" hidden="false" customHeight="true" outlineLevel="0" collapsed="false">
      <c r="A33" s="5" t="s">
        <v>56</v>
      </c>
      <c r="B33" s="5"/>
      <c r="C33" s="5"/>
      <c r="D33" s="5"/>
    </row>
    <row r="34" customFormat="false" ht="27.75" hidden="false" customHeight="true" outlineLevel="0" collapsed="false">
      <c r="A34" s="5" t="s">
        <v>57</v>
      </c>
      <c r="B34" s="5"/>
      <c r="C34" s="5"/>
      <c r="D34" s="5"/>
    </row>
    <row r="35" customFormat="false" ht="27.75" hidden="false" customHeight="true" outlineLevel="0" collapsed="false">
      <c r="A35" s="5" t="s">
        <v>58</v>
      </c>
      <c r="B35" s="5"/>
      <c r="C35" s="5"/>
      <c r="D35" s="5"/>
    </row>
  </sheetData>
  <mergeCells count="12">
    <mergeCell ref="A4:D4"/>
    <mergeCell ref="A6:D6"/>
    <mergeCell ref="A7:D7"/>
    <mergeCell ref="A9:D9"/>
    <mergeCell ref="A23:D23"/>
    <mergeCell ref="A29:D29"/>
    <mergeCell ref="A30:D30"/>
    <mergeCell ref="A31:D31"/>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26"/>
    <col collapsed="false" customWidth="true" hidden="false" outlineLevel="0" max="4" min="4" style="0" width="55"/>
    <col collapsed="false" customWidth="true" hidden="false" outlineLevel="0" max="5" min="5" style="0" width="11"/>
    <col collapsed="false" customWidth="true" hidden="false" outlineLevel="0" max="6" min="6" style="0" width="12"/>
    <col collapsed="false" customWidth="true" hidden="false" outlineLevel="0" max="7" min="7" style="0" width="13"/>
    <col collapsed="false" customWidth="true" hidden="false" outlineLevel="0" max="8" min="8" style="0" width="11"/>
    <col collapsed="false" customWidth="true" hidden="false" outlineLevel="0" max="9" min="9" style="0" width="10"/>
    <col collapsed="false" customWidth="true" hidden="false" outlineLevel="0" max="10" min="10" style="0" width="11"/>
    <col collapsed="false" customWidth="true" hidden="false" outlineLevel="0" max="11" min="11" style="0" width="12"/>
    <col collapsed="false" customWidth="true" hidden="false" outlineLevel="0" max="12" min="12" style="0" width="14"/>
    <col collapsed="false" customWidth="true" hidden="false" outlineLevel="0" max="13" min="13" style="0" width="11"/>
    <col collapsed="false" customWidth="true" hidden="false" outlineLevel="0" max="14" min="14" style="0" width="14"/>
  </cols>
  <sheetData>
    <row r="1" customFormat="false" ht="18.55" hidden="false" customHeight="false" outlineLevel="0" collapsed="false">
      <c r="A1" s="1" t="s">
        <v>59</v>
      </c>
    </row>
    <row r="2" customFormat="false" ht="15" hidden="false" customHeight="false" outlineLevel="0" collapsed="false">
      <c r="A2" s="2" t="s">
        <v>60</v>
      </c>
    </row>
    <row r="4" customFormat="false" ht="15" hidden="false" customHeight="false" outlineLevel="0" collapsed="false">
      <c r="A4" s="13" t="s">
        <v>61</v>
      </c>
      <c r="B4" s="9" t="s">
        <v>62</v>
      </c>
      <c r="C4" s="10" t="s">
        <v>63</v>
      </c>
      <c r="D4" s="11" t="s">
        <v>64</v>
      </c>
    </row>
    <row r="6" customFormat="false" ht="15" hidden="false" customHeight="false" outlineLevel="0" collapsed="false">
      <c r="A6" s="4" t="s">
        <v>65</v>
      </c>
      <c r="B6" s="4"/>
      <c r="C6" s="4"/>
      <c r="D6" s="4"/>
    </row>
    <row r="7" customFormat="false" ht="19.5" hidden="false" customHeight="true" outlineLevel="0" collapsed="false">
      <c r="A7" s="6" t="s">
        <v>66</v>
      </c>
      <c r="B7" s="6" t="s">
        <v>67</v>
      </c>
      <c r="C7" s="6" t="s">
        <v>68</v>
      </c>
      <c r="D7" s="6" t="s">
        <v>69</v>
      </c>
    </row>
    <row r="8" customFormat="false" ht="15" hidden="false" customHeight="false" outlineLevel="0" collapsed="false">
      <c r="A8" s="12" t="s">
        <v>70</v>
      </c>
      <c r="B8" s="9" t="s">
        <v>71</v>
      </c>
      <c r="C8" s="10" t="s">
        <v>72</v>
      </c>
      <c r="D8" s="7" t="s">
        <v>73</v>
      </c>
    </row>
    <row r="9" customFormat="false" ht="15" hidden="false" customHeight="false" outlineLevel="0" collapsed="false">
      <c r="A9" s="12" t="s">
        <v>74</v>
      </c>
      <c r="B9" s="9" t="s">
        <v>75</v>
      </c>
      <c r="C9" s="10" t="s">
        <v>72</v>
      </c>
      <c r="D9" s="7" t="s">
        <v>76</v>
      </c>
    </row>
    <row r="10" customFormat="false" ht="23.85" hidden="false" customHeight="false" outlineLevel="0" collapsed="false">
      <c r="A10" s="12" t="s">
        <v>77</v>
      </c>
      <c r="B10" s="14" t="n">
        <v>46202</v>
      </c>
      <c r="C10" s="10" t="s">
        <v>78</v>
      </c>
      <c r="D10" s="7" t="s">
        <v>79</v>
      </c>
    </row>
    <row r="11" customFormat="false" ht="23.85" hidden="false" customHeight="false" outlineLevel="0" collapsed="false">
      <c r="A11" s="12" t="s">
        <v>80</v>
      </c>
      <c r="B11" s="15" t="n">
        <v>0.95</v>
      </c>
      <c r="C11" s="10" t="s">
        <v>81</v>
      </c>
      <c r="D11" s="7" t="s">
        <v>82</v>
      </c>
    </row>
    <row r="12" customFormat="false" ht="23.85" hidden="false" customHeight="false" outlineLevel="0" collapsed="false">
      <c r="A12" s="12" t="s">
        <v>83</v>
      </c>
      <c r="B12" s="16" t="n">
        <f aca="false">_xlfn.NORM.S.INV(TSL)</f>
        <v>1.64485362695147</v>
      </c>
      <c r="C12" s="10" t="s">
        <v>84</v>
      </c>
      <c r="D12" s="7" t="s">
        <v>85</v>
      </c>
    </row>
    <row r="13" customFormat="false" ht="23.85" hidden="false" customHeight="false" outlineLevel="0" collapsed="false">
      <c r="A13" s="12" t="s">
        <v>86</v>
      </c>
      <c r="B13" s="15" t="n">
        <v>0.2</v>
      </c>
      <c r="C13" s="10" t="s">
        <v>87</v>
      </c>
      <c r="D13" s="7" t="s">
        <v>88</v>
      </c>
    </row>
    <row r="14" customFormat="false" ht="15" hidden="false" customHeight="false" outlineLevel="0" collapsed="false">
      <c r="A14" s="12" t="s">
        <v>89</v>
      </c>
      <c r="B14" s="17" t="n">
        <v>52</v>
      </c>
      <c r="C14" s="10" t="s">
        <v>90</v>
      </c>
      <c r="D14" s="7" t="s">
        <v>91</v>
      </c>
    </row>
    <row r="15" customFormat="false" ht="23.85" hidden="false" customHeight="false" outlineLevel="0" collapsed="false">
      <c r="A15" s="12" t="s">
        <v>92</v>
      </c>
      <c r="B15" s="17" t="n">
        <v>12</v>
      </c>
      <c r="C15" s="10" t="s">
        <v>93</v>
      </c>
      <c r="D15" s="7" t="s">
        <v>94</v>
      </c>
    </row>
    <row r="16" customFormat="false" ht="15" hidden="false" customHeight="false" outlineLevel="0" collapsed="false">
      <c r="A16" s="12" t="s">
        <v>95</v>
      </c>
      <c r="B16" s="18" t="n">
        <v>0.3</v>
      </c>
      <c r="C16" s="10" t="s">
        <v>96</v>
      </c>
      <c r="D16" s="7" t="s">
        <v>97</v>
      </c>
    </row>
    <row r="17" customFormat="false" ht="23.85" hidden="false" customHeight="false" outlineLevel="0" collapsed="false">
      <c r="A17" s="12" t="s">
        <v>98</v>
      </c>
      <c r="B17" s="15" t="n">
        <v>0.01</v>
      </c>
      <c r="C17" s="10" t="s">
        <v>99</v>
      </c>
      <c r="D17" s="7" t="s">
        <v>100</v>
      </c>
    </row>
    <row r="18" customFormat="false" ht="23.85" hidden="false" customHeight="false" outlineLevel="0" collapsed="false">
      <c r="A18" s="12" t="s">
        <v>101</v>
      </c>
      <c r="B18" s="17" t="n">
        <v>52</v>
      </c>
      <c r="C18" s="10" t="s">
        <v>90</v>
      </c>
      <c r="D18" s="7" t="s">
        <v>102</v>
      </c>
    </row>
    <row r="19" customFormat="false" ht="23.85" hidden="false" customHeight="false" outlineLevel="0" collapsed="false">
      <c r="A19" s="12" t="s">
        <v>103</v>
      </c>
      <c r="B19" s="19" t="n">
        <v>104</v>
      </c>
      <c r="C19" s="10" t="s">
        <v>90</v>
      </c>
      <c r="D19" s="7" t="s">
        <v>104</v>
      </c>
    </row>
    <row r="20" customFormat="false" ht="15" hidden="false" customHeight="false" outlineLevel="0" collapsed="false">
      <c r="A20" s="12" t="s">
        <v>105</v>
      </c>
      <c r="B20" s="19" t="n">
        <f aca="false">Weeks_History-Eval_Weeks+1</f>
        <v>53</v>
      </c>
      <c r="C20" s="10" t="s">
        <v>106</v>
      </c>
      <c r="D20" s="7" t="s">
        <v>107</v>
      </c>
    </row>
    <row r="21" customFormat="false" ht="23.85" hidden="false" customHeight="false" outlineLevel="0" collapsed="false">
      <c r="A21" s="12" t="s">
        <v>108</v>
      </c>
      <c r="B21" s="19" t="n">
        <v>16</v>
      </c>
      <c r="C21" s="10" t="s">
        <v>90</v>
      </c>
      <c r="D21" s="7" t="s">
        <v>109</v>
      </c>
    </row>
    <row r="22" customFormat="false" ht="15" hidden="false" customHeight="false" outlineLevel="0" collapsed="false">
      <c r="A22" s="12" t="s">
        <v>110</v>
      </c>
      <c r="B22" s="19" t="n">
        <f aca="false">Weeks_History-BT_Weeks+1</f>
        <v>89</v>
      </c>
      <c r="C22" s="10" t="s">
        <v>106</v>
      </c>
      <c r="D22" s="7" t="s">
        <v>111</v>
      </c>
    </row>
    <row r="23" customFormat="false" ht="23.85" hidden="false" customHeight="false" outlineLevel="0" collapsed="false">
      <c r="A23" s="12" t="s">
        <v>112</v>
      </c>
      <c r="B23" s="19" t="n">
        <f aca="false">BT_Start_Week-Eval_Weeks</f>
        <v>37</v>
      </c>
      <c r="C23" s="10" t="s">
        <v>106</v>
      </c>
      <c r="D23" s="7" t="s">
        <v>113</v>
      </c>
    </row>
    <row r="24" customFormat="false" ht="15" hidden="false" customHeight="false" outlineLevel="0" collapsed="false">
      <c r="A24" s="12" t="s">
        <v>114</v>
      </c>
      <c r="B24" s="19" t="n">
        <f aca="false">BT_Start_Week-1</f>
        <v>88</v>
      </c>
      <c r="C24" s="10" t="s">
        <v>106</v>
      </c>
      <c r="D24" s="7" t="s">
        <v>115</v>
      </c>
    </row>
    <row r="25" customFormat="false" ht="23.85" hidden="false" customHeight="false" outlineLevel="0" collapsed="false">
      <c r="A25" s="12" t="s">
        <v>116</v>
      </c>
      <c r="B25" s="17" t="n">
        <v>4</v>
      </c>
      <c r="C25" s="10" t="s">
        <v>90</v>
      </c>
      <c r="D25" s="7" t="s">
        <v>117</v>
      </c>
    </row>
    <row r="26" customFormat="false" ht="23.85" hidden="false" customHeight="false" outlineLevel="0" collapsed="false">
      <c r="A26" s="12" t="s">
        <v>118</v>
      </c>
      <c r="B26" s="17" t="n">
        <v>6</v>
      </c>
      <c r="C26" s="10" t="s">
        <v>90</v>
      </c>
      <c r="D26" s="7" t="s">
        <v>119</v>
      </c>
    </row>
    <row r="27" customFormat="false" ht="15" hidden="false" customHeight="false" outlineLevel="0" collapsed="false">
      <c r="A27" s="12" t="s">
        <v>120</v>
      </c>
      <c r="B27" s="19" t="n">
        <v>12</v>
      </c>
      <c r="C27" s="10" t="s">
        <v>90</v>
      </c>
      <c r="D27" s="7" t="s">
        <v>121</v>
      </c>
    </row>
    <row r="29" customFormat="false" ht="15" hidden="false" customHeight="false" outlineLevel="0" collapsed="false">
      <c r="A29" s="4" t="s">
        <v>122</v>
      </c>
      <c r="B29" s="4"/>
      <c r="C29" s="4"/>
      <c r="D29" s="4"/>
    </row>
    <row r="30" customFormat="false" ht="30" hidden="false" customHeight="true" outlineLevel="0" collapsed="false">
      <c r="A30" s="6" t="s">
        <v>123</v>
      </c>
      <c r="B30" s="6" t="s">
        <v>124</v>
      </c>
      <c r="C30" s="6" t="s">
        <v>125</v>
      </c>
      <c r="D30" s="6" t="s">
        <v>126</v>
      </c>
    </row>
    <row r="31" customFormat="false" ht="15" hidden="false" customHeight="false" outlineLevel="0" collapsed="false">
      <c r="A31" s="9" t="s">
        <v>127</v>
      </c>
      <c r="B31" s="9" t="s">
        <v>128</v>
      </c>
      <c r="C31" s="17" t="n">
        <v>2</v>
      </c>
      <c r="D31" s="20" t="n">
        <v>40</v>
      </c>
    </row>
    <row r="32" customFormat="false" ht="15" hidden="false" customHeight="false" outlineLevel="0" collapsed="false">
      <c r="A32" s="9" t="s">
        <v>129</v>
      </c>
      <c r="B32" s="9" t="s">
        <v>130</v>
      </c>
      <c r="C32" s="17" t="n">
        <v>3</v>
      </c>
      <c r="D32" s="20" t="n">
        <v>45</v>
      </c>
    </row>
    <row r="33" customFormat="false" ht="15" hidden="false" customHeight="false" outlineLevel="0" collapsed="false">
      <c r="A33" s="9" t="s">
        <v>131</v>
      </c>
      <c r="B33" s="9" t="s">
        <v>132</v>
      </c>
      <c r="C33" s="17" t="n">
        <v>4</v>
      </c>
      <c r="D33" s="20" t="n">
        <v>55</v>
      </c>
    </row>
    <row r="34" customFormat="false" ht="15" hidden="false" customHeight="false" outlineLevel="0" collapsed="false">
      <c r="A34" s="9" t="s">
        <v>133</v>
      </c>
      <c r="B34" s="9" t="s">
        <v>134</v>
      </c>
      <c r="C34" s="17" t="n">
        <v>6</v>
      </c>
      <c r="D34" s="20" t="n">
        <v>90</v>
      </c>
    </row>
    <row r="35" customFormat="false" ht="15" hidden="false" customHeight="false" outlineLevel="0" collapsed="false">
      <c r="A35" s="9" t="s">
        <v>135</v>
      </c>
      <c r="B35" s="9" t="s">
        <v>136</v>
      </c>
      <c r="C35" s="17" t="n">
        <v>1</v>
      </c>
      <c r="D35" s="20" t="n">
        <v>35</v>
      </c>
    </row>
    <row r="38" customFormat="false" ht="15" hidden="false" customHeight="false" outlineLevel="0" collapsed="false">
      <c r="A38" s="4" t="s">
        <v>137</v>
      </c>
      <c r="B38" s="4"/>
      <c r="C38" s="4"/>
      <c r="D38" s="4"/>
      <c r="E38" s="4"/>
      <c r="F38" s="4"/>
      <c r="G38" s="4"/>
      <c r="H38" s="4"/>
      <c r="I38" s="4"/>
      <c r="J38" s="4"/>
      <c r="K38" s="4"/>
      <c r="L38" s="4"/>
      <c r="M38" s="4"/>
      <c r="N38" s="4"/>
    </row>
    <row r="39" customFormat="false" ht="57.75" hidden="false" customHeight="true" outlineLevel="0" collapsed="false">
      <c r="A39" s="6" t="s">
        <v>138</v>
      </c>
      <c r="B39" s="6" t="s">
        <v>139</v>
      </c>
      <c r="C39" s="6" t="s">
        <v>140</v>
      </c>
      <c r="D39" s="6" t="s">
        <v>141</v>
      </c>
      <c r="E39" s="6" t="s">
        <v>123</v>
      </c>
      <c r="F39" s="6" t="s">
        <v>142</v>
      </c>
      <c r="G39" s="6" t="s">
        <v>126</v>
      </c>
      <c r="H39" s="6" t="s">
        <v>143</v>
      </c>
      <c r="I39" s="6" t="s">
        <v>144</v>
      </c>
      <c r="J39" s="6" t="s">
        <v>145</v>
      </c>
      <c r="K39" s="6" t="s">
        <v>146</v>
      </c>
      <c r="L39" s="6" t="s">
        <v>147</v>
      </c>
      <c r="M39" s="6" t="s">
        <v>148</v>
      </c>
      <c r="N39" s="6" t="s">
        <v>149</v>
      </c>
    </row>
    <row r="40" customFormat="false" ht="15" hidden="false" customHeight="false" outlineLevel="0" collapsed="false">
      <c r="A40" s="9" t="n">
        <v>1</v>
      </c>
      <c r="B40" s="9" t="s">
        <v>150</v>
      </c>
      <c r="C40" s="9" t="s">
        <v>151</v>
      </c>
      <c r="D40" s="9" t="s">
        <v>152</v>
      </c>
      <c r="E40" s="9" t="s">
        <v>127</v>
      </c>
      <c r="F40" s="19" t="n">
        <f aca="false">INDEX(Inputs!$C$31:$C$35,MATCH(E40,Inputs!$A$31:$A$35,0))</f>
        <v>2</v>
      </c>
      <c r="G40" s="21" t="n">
        <f aca="false">INDEX(Inputs!$D$31:$D$35,MATCH(E40,Inputs!$A$31:$A$35,0))</f>
        <v>40</v>
      </c>
      <c r="H40" s="20" t="n">
        <v>18</v>
      </c>
      <c r="I40" s="17" t="n">
        <v>6</v>
      </c>
      <c r="J40" s="17" t="n">
        <v>236</v>
      </c>
      <c r="K40" s="17" t="n">
        <v>0</v>
      </c>
      <c r="L40" s="17"/>
      <c r="M40" s="17" t="n">
        <v>0</v>
      </c>
      <c r="N40" s="9" t="s">
        <v>153</v>
      </c>
    </row>
    <row r="41" customFormat="false" ht="15" hidden="false" customHeight="false" outlineLevel="0" collapsed="false">
      <c r="A41" s="9" t="n">
        <v>2</v>
      </c>
      <c r="B41" s="9" t="s">
        <v>154</v>
      </c>
      <c r="C41" s="9" t="s">
        <v>155</v>
      </c>
      <c r="D41" s="9" t="s">
        <v>152</v>
      </c>
      <c r="E41" s="9" t="s">
        <v>127</v>
      </c>
      <c r="F41" s="19" t="n">
        <f aca="false">INDEX(Inputs!$C$31:$C$35,MATCH(E41,Inputs!$A$31:$A$35,0))</f>
        <v>2</v>
      </c>
      <c r="G41" s="21" t="n">
        <f aca="false">INDEX(Inputs!$D$31:$D$35,MATCH(E41,Inputs!$A$31:$A$35,0))</f>
        <v>40</v>
      </c>
      <c r="H41" s="20" t="n">
        <v>22</v>
      </c>
      <c r="I41" s="17" t="n">
        <v>4</v>
      </c>
      <c r="J41" s="17" t="n">
        <v>6</v>
      </c>
      <c r="K41" s="17" t="n">
        <v>92</v>
      </c>
      <c r="L41" s="17" t="n">
        <v>1</v>
      </c>
      <c r="M41" s="17" t="n">
        <v>0</v>
      </c>
      <c r="N41" s="9" t="s">
        <v>156</v>
      </c>
    </row>
    <row r="42" customFormat="false" ht="15" hidden="false" customHeight="false" outlineLevel="0" collapsed="false">
      <c r="A42" s="9" t="n">
        <v>3</v>
      </c>
      <c r="B42" s="9" t="s">
        <v>157</v>
      </c>
      <c r="C42" s="9" t="s">
        <v>158</v>
      </c>
      <c r="D42" s="9" t="s">
        <v>152</v>
      </c>
      <c r="E42" s="9" t="s">
        <v>127</v>
      </c>
      <c r="F42" s="19" t="n">
        <f aca="false">INDEX(Inputs!$C$31:$C$35,MATCH(E42,Inputs!$A$31:$A$35,0))</f>
        <v>2</v>
      </c>
      <c r="G42" s="21" t="n">
        <f aca="false">INDEX(Inputs!$D$31:$D$35,MATCH(E42,Inputs!$A$31:$A$35,0))</f>
        <v>40</v>
      </c>
      <c r="H42" s="20" t="n">
        <v>15</v>
      </c>
      <c r="I42" s="17" t="n">
        <v>6</v>
      </c>
      <c r="J42" s="17" t="n">
        <v>0</v>
      </c>
      <c r="K42" s="17" t="n">
        <v>0</v>
      </c>
      <c r="L42" s="17"/>
      <c r="M42" s="17" t="n">
        <v>36</v>
      </c>
      <c r="N42" s="9" t="s">
        <v>159</v>
      </c>
    </row>
    <row r="43" customFormat="false" ht="15" hidden="false" customHeight="false" outlineLevel="0" collapsed="false">
      <c r="A43" s="9" t="n">
        <v>4</v>
      </c>
      <c r="B43" s="9" t="s">
        <v>160</v>
      </c>
      <c r="C43" s="9" t="s">
        <v>161</v>
      </c>
      <c r="D43" s="9" t="s">
        <v>152</v>
      </c>
      <c r="E43" s="9" t="s">
        <v>127</v>
      </c>
      <c r="F43" s="19" t="n">
        <f aca="false">INDEX(Inputs!$C$31:$C$35,MATCH(E43,Inputs!$A$31:$A$35,0))</f>
        <v>2</v>
      </c>
      <c r="G43" s="21" t="n">
        <f aca="false">INDEX(Inputs!$D$31:$D$35,MATCH(E43,Inputs!$A$31:$A$35,0))</f>
        <v>40</v>
      </c>
      <c r="H43" s="20" t="n">
        <v>9</v>
      </c>
      <c r="I43" s="17" t="n">
        <v>12</v>
      </c>
      <c r="J43" s="17" t="n">
        <v>270</v>
      </c>
      <c r="K43" s="17" t="n">
        <v>0</v>
      </c>
      <c r="L43" s="17"/>
      <c r="M43" s="17" t="n">
        <v>0</v>
      </c>
      <c r="N43" s="9" t="s">
        <v>153</v>
      </c>
    </row>
    <row r="44" customFormat="false" ht="15" hidden="false" customHeight="false" outlineLevel="0" collapsed="false">
      <c r="A44" s="9" t="n">
        <v>5</v>
      </c>
      <c r="B44" s="9" t="s">
        <v>162</v>
      </c>
      <c r="C44" s="9" t="s">
        <v>163</v>
      </c>
      <c r="D44" s="9" t="s">
        <v>152</v>
      </c>
      <c r="E44" s="9" t="s">
        <v>127</v>
      </c>
      <c r="F44" s="19" t="n">
        <f aca="false">INDEX(Inputs!$C$31:$C$35,MATCH(E44,Inputs!$A$31:$A$35,0))</f>
        <v>2</v>
      </c>
      <c r="G44" s="21" t="n">
        <f aca="false">INDEX(Inputs!$D$31:$D$35,MATCH(E44,Inputs!$A$31:$A$35,0))</f>
        <v>40</v>
      </c>
      <c r="H44" s="20" t="n">
        <v>28</v>
      </c>
      <c r="I44" s="17" t="n">
        <v>4</v>
      </c>
      <c r="J44" s="17" t="n">
        <v>334</v>
      </c>
      <c r="K44" s="17" t="n">
        <v>0</v>
      </c>
      <c r="L44" s="17"/>
      <c r="M44" s="17" t="n">
        <v>0</v>
      </c>
      <c r="N44" s="9" t="s">
        <v>164</v>
      </c>
    </row>
    <row r="45" customFormat="false" ht="15" hidden="false" customHeight="false" outlineLevel="0" collapsed="false">
      <c r="A45" s="9" t="n">
        <v>6</v>
      </c>
      <c r="B45" s="9" t="s">
        <v>165</v>
      </c>
      <c r="C45" s="9" t="s">
        <v>166</v>
      </c>
      <c r="D45" s="9" t="s">
        <v>152</v>
      </c>
      <c r="E45" s="9" t="s">
        <v>127</v>
      </c>
      <c r="F45" s="19" t="n">
        <f aca="false">INDEX(Inputs!$C$31:$C$35,MATCH(E45,Inputs!$A$31:$A$35,0))</f>
        <v>2</v>
      </c>
      <c r="G45" s="21" t="n">
        <f aca="false">INDEX(Inputs!$D$31:$D$35,MATCH(E45,Inputs!$A$31:$A$35,0))</f>
        <v>40</v>
      </c>
      <c r="H45" s="20" t="n">
        <v>12</v>
      </c>
      <c r="I45" s="17" t="n">
        <v>10</v>
      </c>
      <c r="J45" s="17" t="n">
        <v>378</v>
      </c>
      <c r="K45" s="17" t="n">
        <v>0</v>
      </c>
      <c r="L45" s="17"/>
      <c r="M45" s="17" t="n">
        <v>0</v>
      </c>
      <c r="N45" s="9" t="s">
        <v>156</v>
      </c>
    </row>
    <row r="46" customFormat="false" ht="15" hidden="false" customHeight="false" outlineLevel="0" collapsed="false">
      <c r="A46" s="9" t="n">
        <v>7</v>
      </c>
      <c r="B46" s="9" t="s">
        <v>167</v>
      </c>
      <c r="C46" s="9" t="s">
        <v>168</v>
      </c>
      <c r="D46" s="9" t="s">
        <v>152</v>
      </c>
      <c r="E46" s="9" t="s">
        <v>127</v>
      </c>
      <c r="F46" s="19" t="n">
        <f aca="false">INDEX(Inputs!$C$31:$C$35,MATCH(E46,Inputs!$A$31:$A$35,0))</f>
        <v>2</v>
      </c>
      <c r="G46" s="21" t="n">
        <f aca="false">INDEX(Inputs!$D$31:$D$35,MATCH(E46,Inputs!$A$31:$A$35,0))</f>
        <v>40</v>
      </c>
      <c r="H46" s="20" t="n">
        <v>85</v>
      </c>
      <c r="I46" s="17" t="n">
        <v>1</v>
      </c>
      <c r="J46" s="17" t="n">
        <v>21</v>
      </c>
      <c r="K46" s="17" t="n">
        <v>0</v>
      </c>
      <c r="L46" s="17"/>
      <c r="M46" s="17" t="n">
        <v>0</v>
      </c>
      <c r="N46" s="9" t="s">
        <v>169</v>
      </c>
    </row>
    <row r="47" customFormat="false" ht="15" hidden="false" customHeight="false" outlineLevel="0" collapsed="false">
      <c r="A47" s="9" t="n">
        <v>8</v>
      </c>
      <c r="B47" s="9" t="s">
        <v>170</v>
      </c>
      <c r="C47" s="9" t="s">
        <v>171</v>
      </c>
      <c r="D47" s="9" t="s">
        <v>152</v>
      </c>
      <c r="E47" s="9" t="s">
        <v>127</v>
      </c>
      <c r="F47" s="19" t="n">
        <f aca="false">INDEX(Inputs!$C$31:$C$35,MATCH(E47,Inputs!$A$31:$A$35,0))</f>
        <v>2</v>
      </c>
      <c r="G47" s="21" t="n">
        <f aca="false">INDEX(Inputs!$D$31:$D$35,MATCH(E47,Inputs!$A$31:$A$35,0))</f>
        <v>40</v>
      </c>
      <c r="H47" s="20" t="n">
        <v>19</v>
      </c>
      <c r="I47" s="17" t="n">
        <v>6</v>
      </c>
      <c r="J47" s="17" t="n">
        <v>766</v>
      </c>
      <c r="K47" s="17" t="n">
        <v>0</v>
      </c>
      <c r="L47" s="17"/>
      <c r="M47" s="17" t="n">
        <v>0</v>
      </c>
      <c r="N47" s="9" t="s">
        <v>153</v>
      </c>
    </row>
    <row r="48" customFormat="false" ht="15" hidden="false" customHeight="false" outlineLevel="0" collapsed="false">
      <c r="A48" s="9" t="n">
        <v>9</v>
      </c>
      <c r="B48" s="9" t="s">
        <v>172</v>
      </c>
      <c r="C48" s="9" t="s">
        <v>173</v>
      </c>
      <c r="D48" s="9" t="s">
        <v>152</v>
      </c>
      <c r="E48" s="9" t="s">
        <v>127</v>
      </c>
      <c r="F48" s="19" t="n">
        <f aca="false">INDEX(Inputs!$C$31:$C$35,MATCH(E48,Inputs!$A$31:$A$35,0))</f>
        <v>2</v>
      </c>
      <c r="G48" s="21" t="n">
        <f aca="false">INDEX(Inputs!$D$31:$D$35,MATCH(E48,Inputs!$A$31:$A$35,0))</f>
        <v>40</v>
      </c>
      <c r="H48" s="20" t="n">
        <v>24</v>
      </c>
      <c r="I48" s="17" t="n">
        <v>5</v>
      </c>
      <c r="J48" s="17" t="n">
        <v>80</v>
      </c>
      <c r="K48" s="17" t="n">
        <v>0</v>
      </c>
      <c r="L48" s="17"/>
      <c r="M48" s="17" t="n">
        <v>0</v>
      </c>
      <c r="N48" s="9" t="s">
        <v>159</v>
      </c>
    </row>
    <row r="49" customFormat="false" ht="15" hidden="false" customHeight="false" outlineLevel="0" collapsed="false">
      <c r="A49" s="9" t="n">
        <v>10</v>
      </c>
      <c r="B49" s="9" t="s">
        <v>174</v>
      </c>
      <c r="C49" s="9" t="s">
        <v>175</v>
      </c>
      <c r="D49" s="9" t="s">
        <v>152</v>
      </c>
      <c r="E49" s="9" t="s">
        <v>127</v>
      </c>
      <c r="F49" s="19" t="n">
        <f aca="false">INDEX(Inputs!$C$31:$C$35,MATCH(E49,Inputs!$A$31:$A$35,0))</f>
        <v>2</v>
      </c>
      <c r="G49" s="21" t="n">
        <f aca="false">INDEX(Inputs!$D$31:$D$35,MATCH(E49,Inputs!$A$31:$A$35,0))</f>
        <v>40</v>
      </c>
      <c r="H49" s="20" t="n">
        <v>6</v>
      </c>
      <c r="I49" s="17" t="n">
        <v>24</v>
      </c>
      <c r="J49" s="17" t="n">
        <v>304</v>
      </c>
      <c r="K49" s="17" t="n">
        <v>0</v>
      </c>
      <c r="L49" s="17"/>
      <c r="M49" s="17" t="n">
        <v>0</v>
      </c>
      <c r="N49" s="9" t="s">
        <v>153</v>
      </c>
    </row>
    <row r="50" customFormat="false" ht="15" hidden="false" customHeight="false" outlineLevel="0" collapsed="false">
      <c r="A50" s="9" t="n">
        <v>11</v>
      </c>
      <c r="B50" s="9" t="s">
        <v>176</v>
      </c>
      <c r="C50" s="9" t="s">
        <v>177</v>
      </c>
      <c r="D50" s="9" t="s">
        <v>178</v>
      </c>
      <c r="E50" s="9" t="s">
        <v>129</v>
      </c>
      <c r="F50" s="19" t="n">
        <f aca="false">INDEX(Inputs!$C$31:$C$35,MATCH(E50,Inputs!$A$31:$A$35,0))</f>
        <v>3</v>
      </c>
      <c r="G50" s="21" t="n">
        <f aca="false">INDEX(Inputs!$D$31:$D$35,MATCH(E50,Inputs!$A$31:$A$35,0))</f>
        <v>45</v>
      </c>
      <c r="H50" s="20" t="n">
        <v>11</v>
      </c>
      <c r="I50" s="17" t="n">
        <v>10</v>
      </c>
      <c r="J50" s="17" t="n">
        <v>486</v>
      </c>
      <c r="K50" s="17" t="n">
        <v>0</v>
      </c>
      <c r="L50" s="17"/>
      <c r="M50" s="17" t="n">
        <v>0</v>
      </c>
      <c r="N50" s="9" t="s">
        <v>153</v>
      </c>
    </row>
    <row r="51" customFormat="false" ht="15" hidden="false" customHeight="false" outlineLevel="0" collapsed="false">
      <c r="A51" s="9" t="n">
        <v>12</v>
      </c>
      <c r="B51" s="9" t="s">
        <v>179</v>
      </c>
      <c r="C51" s="9" t="s">
        <v>180</v>
      </c>
      <c r="D51" s="9" t="s">
        <v>178</v>
      </c>
      <c r="E51" s="9" t="s">
        <v>129</v>
      </c>
      <c r="F51" s="19" t="n">
        <f aca="false">INDEX(Inputs!$C$31:$C$35,MATCH(E51,Inputs!$A$31:$A$35,0))</f>
        <v>3</v>
      </c>
      <c r="G51" s="21" t="n">
        <f aca="false">INDEX(Inputs!$D$31:$D$35,MATCH(E51,Inputs!$A$31:$A$35,0))</f>
        <v>45</v>
      </c>
      <c r="H51" s="20" t="n">
        <v>6</v>
      </c>
      <c r="I51" s="17" t="n">
        <v>20</v>
      </c>
      <c r="J51" s="17" t="n">
        <v>75</v>
      </c>
      <c r="K51" s="17" t="n">
        <v>380</v>
      </c>
      <c r="L51" s="17" t="n">
        <v>1</v>
      </c>
      <c r="M51" s="17" t="n">
        <v>0</v>
      </c>
      <c r="N51" s="9" t="s">
        <v>153</v>
      </c>
    </row>
    <row r="52" customFormat="false" ht="15" hidden="false" customHeight="false" outlineLevel="0" collapsed="false">
      <c r="A52" s="9" t="n">
        <v>13</v>
      </c>
      <c r="B52" s="9" t="s">
        <v>181</v>
      </c>
      <c r="C52" s="9" t="s">
        <v>182</v>
      </c>
      <c r="D52" s="9" t="s">
        <v>178</v>
      </c>
      <c r="E52" s="9" t="s">
        <v>129</v>
      </c>
      <c r="F52" s="19" t="n">
        <f aca="false">INDEX(Inputs!$C$31:$C$35,MATCH(E52,Inputs!$A$31:$A$35,0))</f>
        <v>3</v>
      </c>
      <c r="G52" s="21" t="n">
        <f aca="false">INDEX(Inputs!$D$31:$D$35,MATCH(E52,Inputs!$A$31:$A$35,0))</f>
        <v>45</v>
      </c>
      <c r="H52" s="20" t="n">
        <v>14</v>
      </c>
      <c r="I52" s="17" t="n">
        <v>8</v>
      </c>
      <c r="J52" s="17" t="n">
        <v>250</v>
      </c>
      <c r="K52" s="17" t="n">
        <v>0</v>
      </c>
      <c r="L52" s="17"/>
      <c r="M52" s="17" t="n">
        <v>0</v>
      </c>
      <c r="N52" s="9" t="s">
        <v>156</v>
      </c>
    </row>
    <row r="53" customFormat="false" ht="15" hidden="false" customHeight="false" outlineLevel="0" collapsed="false">
      <c r="A53" s="9" t="n">
        <v>14</v>
      </c>
      <c r="B53" s="9" t="s">
        <v>183</v>
      </c>
      <c r="C53" s="9" t="s">
        <v>184</v>
      </c>
      <c r="D53" s="9" t="s">
        <v>178</v>
      </c>
      <c r="E53" s="9" t="s">
        <v>129</v>
      </c>
      <c r="F53" s="19" t="n">
        <f aca="false">INDEX(Inputs!$C$31:$C$35,MATCH(E53,Inputs!$A$31:$A$35,0))</f>
        <v>3</v>
      </c>
      <c r="G53" s="21" t="n">
        <f aca="false">INDEX(Inputs!$D$31:$D$35,MATCH(E53,Inputs!$A$31:$A$35,0))</f>
        <v>45</v>
      </c>
      <c r="H53" s="20" t="n">
        <v>16</v>
      </c>
      <c r="I53" s="17" t="n">
        <v>10</v>
      </c>
      <c r="J53" s="17" t="n">
        <v>443</v>
      </c>
      <c r="K53" s="17" t="n">
        <v>0</v>
      </c>
      <c r="L53" s="17"/>
      <c r="M53" s="17" t="n">
        <v>0</v>
      </c>
      <c r="N53" s="9" t="s">
        <v>164</v>
      </c>
    </row>
    <row r="54" customFormat="false" ht="15" hidden="false" customHeight="false" outlineLevel="0" collapsed="false">
      <c r="A54" s="9" t="n">
        <v>15</v>
      </c>
      <c r="B54" s="9" t="s">
        <v>185</v>
      </c>
      <c r="C54" s="9" t="s">
        <v>186</v>
      </c>
      <c r="D54" s="9" t="s">
        <v>178</v>
      </c>
      <c r="E54" s="9" t="s">
        <v>129</v>
      </c>
      <c r="F54" s="19" t="n">
        <f aca="false">INDEX(Inputs!$C$31:$C$35,MATCH(E54,Inputs!$A$31:$A$35,0))</f>
        <v>3</v>
      </c>
      <c r="G54" s="21" t="n">
        <f aca="false">INDEX(Inputs!$D$31:$D$35,MATCH(E54,Inputs!$A$31:$A$35,0))</f>
        <v>45</v>
      </c>
      <c r="H54" s="20" t="n">
        <v>32</v>
      </c>
      <c r="I54" s="17" t="n">
        <v>5</v>
      </c>
      <c r="J54" s="17" t="n">
        <v>19</v>
      </c>
      <c r="K54" s="17" t="n">
        <v>25</v>
      </c>
      <c r="L54" s="17" t="n">
        <v>2</v>
      </c>
      <c r="M54" s="17" t="n">
        <v>0</v>
      </c>
      <c r="N54" s="9" t="s">
        <v>156</v>
      </c>
    </row>
    <row r="55" customFormat="false" ht="15" hidden="false" customHeight="false" outlineLevel="0" collapsed="false">
      <c r="A55" s="9" t="n">
        <v>16</v>
      </c>
      <c r="B55" s="9" t="s">
        <v>187</v>
      </c>
      <c r="C55" s="9" t="s">
        <v>188</v>
      </c>
      <c r="D55" s="9" t="s">
        <v>178</v>
      </c>
      <c r="E55" s="9" t="s">
        <v>129</v>
      </c>
      <c r="F55" s="19" t="n">
        <f aca="false">INDEX(Inputs!$C$31:$C$35,MATCH(E55,Inputs!$A$31:$A$35,0))</f>
        <v>3</v>
      </c>
      <c r="G55" s="21" t="n">
        <f aca="false">INDEX(Inputs!$D$31:$D$35,MATCH(E55,Inputs!$A$31:$A$35,0))</f>
        <v>45</v>
      </c>
      <c r="H55" s="20" t="n">
        <v>16</v>
      </c>
      <c r="I55" s="17" t="n">
        <v>12</v>
      </c>
      <c r="J55" s="17" t="n">
        <v>164</v>
      </c>
      <c r="K55" s="17" t="n">
        <v>0</v>
      </c>
      <c r="L55" s="17"/>
      <c r="M55" s="17" t="n">
        <v>0</v>
      </c>
      <c r="N55" s="9" t="s">
        <v>153</v>
      </c>
    </row>
    <row r="56" customFormat="false" ht="15" hidden="false" customHeight="false" outlineLevel="0" collapsed="false">
      <c r="A56" s="9" t="n">
        <v>17</v>
      </c>
      <c r="B56" s="9" t="s">
        <v>189</v>
      </c>
      <c r="C56" s="9" t="s">
        <v>190</v>
      </c>
      <c r="D56" s="9" t="s">
        <v>178</v>
      </c>
      <c r="E56" s="9" t="s">
        <v>129</v>
      </c>
      <c r="F56" s="19" t="n">
        <f aca="false">INDEX(Inputs!$C$31:$C$35,MATCH(E56,Inputs!$A$31:$A$35,0))</f>
        <v>3</v>
      </c>
      <c r="G56" s="21" t="n">
        <f aca="false">INDEX(Inputs!$D$31:$D$35,MATCH(E56,Inputs!$A$31:$A$35,0))</f>
        <v>45</v>
      </c>
      <c r="H56" s="20" t="n">
        <v>12</v>
      </c>
      <c r="I56" s="17" t="n">
        <v>12</v>
      </c>
      <c r="J56" s="17" t="n">
        <v>416</v>
      </c>
      <c r="K56" s="17" t="n">
        <v>0</v>
      </c>
      <c r="L56" s="17"/>
      <c r="M56" s="17" t="n">
        <v>0</v>
      </c>
      <c r="N56" s="9" t="s">
        <v>159</v>
      </c>
    </row>
    <row r="57" customFormat="false" ht="15" hidden="false" customHeight="false" outlineLevel="0" collapsed="false">
      <c r="A57" s="9" t="n">
        <v>18</v>
      </c>
      <c r="B57" s="9" t="s">
        <v>191</v>
      </c>
      <c r="C57" s="9" t="s">
        <v>192</v>
      </c>
      <c r="D57" s="9" t="s">
        <v>178</v>
      </c>
      <c r="E57" s="9" t="s">
        <v>129</v>
      </c>
      <c r="F57" s="19" t="n">
        <f aca="false">INDEX(Inputs!$C$31:$C$35,MATCH(E57,Inputs!$A$31:$A$35,0))</f>
        <v>3</v>
      </c>
      <c r="G57" s="21" t="n">
        <f aca="false">INDEX(Inputs!$D$31:$D$35,MATCH(E57,Inputs!$A$31:$A$35,0))</f>
        <v>45</v>
      </c>
      <c r="H57" s="20" t="n">
        <v>95</v>
      </c>
      <c r="I57" s="17" t="n">
        <v>1</v>
      </c>
      <c r="J57" s="17" t="n">
        <v>126</v>
      </c>
      <c r="K57" s="17" t="n">
        <v>0</v>
      </c>
      <c r="L57" s="17"/>
      <c r="M57" s="17" t="n">
        <v>0</v>
      </c>
      <c r="N57" s="9" t="s">
        <v>169</v>
      </c>
    </row>
    <row r="58" customFormat="false" ht="15" hidden="false" customHeight="false" outlineLevel="0" collapsed="false">
      <c r="A58" s="9" t="n">
        <v>19</v>
      </c>
      <c r="B58" s="9" t="s">
        <v>193</v>
      </c>
      <c r="C58" s="9" t="s">
        <v>194</v>
      </c>
      <c r="D58" s="9" t="s">
        <v>178</v>
      </c>
      <c r="E58" s="9" t="s">
        <v>129</v>
      </c>
      <c r="F58" s="19" t="n">
        <f aca="false">INDEX(Inputs!$C$31:$C$35,MATCH(E58,Inputs!$A$31:$A$35,0))</f>
        <v>3</v>
      </c>
      <c r="G58" s="21" t="n">
        <f aca="false">INDEX(Inputs!$D$31:$D$35,MATCH(E58,Inputs!$A$31:$A$35,0))</f>
        <v>45</v>
      </c>
      <c r="H58" s="20" t="n">
        <v>21</v>
      </c>
      <c r="I58" s="17" t="n">
        <v>4</v>
      </c>
      <c r="J58" s="17" t="n">
        <v>100</v>
      </c>
      <c r="K58" s="17" t="n">
        <v>0</v>
      </c>
      <c r="L58" s="17"/>
      <c r="M58" s="17" t="n">
        <v>0</v>
      </c>
      <c r="N58" s="9" t="s">
        <v>156</v>
      </c>
    </row>
    <row r="59" customFormat="false" ht="15" hidden="false" customHeight="false" outlineLevel="0" collapsed="false">
      <c r="A59" s="9" t="n">
        <v>20</v>
      </c>
      <c r="B59" s="9" t="s">
        <v>195</v>
      </c>
      <c r="C59" s="9" t="s">
        <v>196</v>
      </c>
      <c r="D59" s="9" t="s">
        <v>178</v>
      </c>
      <c r="E59" s="9" t="s">
        <v>129</v>
      </c>
      <c r="F59" s="19" t="n">
        <f aca="false">INDEX(Inputs!$C$31:$C$35,MATCH(E59,Inputs!$A$31:$A$35,0))</f>
        <v>3</v>
      </c>
      <c r="G59" s="21" t="n">
        <f aca="false">INDEX(Inputs!$D$31:$D$35,MATCH(E59,Inputs!$A$31:$A$35,0))</f>
        <v>45</v>
      </c>
      <c r="H59" s="20" t="n">
        <v>9</v>
      </c>
      <c r="I59" s="17" t="n">
        <v>20</v>
      </c>
      <c r="J59" s="17" t="n">
        <v>81</v>
      </c>
      <c r="K59" s="17" t="n">
        <v>100</v>
      </c>
      <c r="L59" s="17" t="n">
        <v>3</v>
      </c>
      <c r="M59" s="17" t="n">
        <v>0</v>
      </c>
      <c r="N59" s="9" t="s">
        <v>159</v>
      </c>
    </row>
    <row r="60" customFormat="false" ht="15" hidden="false" customHeight="false" outlineLevel="0" collapsed="false">
      <c r="A60" s="9" t="n">
        <v>21</v>
      </c>
      <c r="B60" s="9" t="s">
        <v>197</v>
      </c>
      <c r="C60" s="9" t="s">
        <v>198</v>
      </c>
      <c r="D60" s="9" t="s">
        <v>199</v>
      </c>
      <c r="E60" s="9" t="s">
        <v>131</v>
      </c>
      <c r="F60" s="19" t="n">
        <f aca="false">INDEX(Inputs!$C$31:$C$35,MATCH(E60,Inputs!$A$31:$A$35,0))</f>
        <v>4</v>
      </c>
      <c r="G60" s="21" t="n">
        <f aca="false">INDEX(Inputs!$D$31:$D$35,MATCH(E60,Inputs!$A$31:$A$35,0))</f>
        <v>55</v>
      </c>
      <c r="H60" s="20" t="n">
        <v>45</v>
      </c>
      <c r="I60" s="17" t="n">
        <v>4</v>
      </c>
      <c r="J60" s="17" t="n">
        <v>116</v>
      </c>
      <c r="K60" s="17" t="n">
        <v>156</v>
      </c>
      <c r="L60" s="17" t="n">
        <v>1</v>
      </c>
      <c r="M60" s="17" t="n">
        <v>0</v>
      </c>
      <c r="N60" s="9" t="s">
        <v>153</v>
      </c>
    </row>
    <row r="61" customFormat="false" ht="15" hidden="false" customHeight="false" outlineLevel="0" collapsed="false">
      <c r="A61" s="9" t="n">
        <v>22</v>
      </c>
      <c r="B61" s="9" t="s">
        <v>200</v>
      </c>
      <c r="C61" s="9" t="s">
        <v>201</v>
      </c>
      <c r="D61" s="9" t="s">
        <v>199</v>
      </c>
      <c r="E61" s="9" t="s">
        <v>131</v>
      </c>
      <c r="F61" s="19" t="n">
        <f aca="false">INDEX(Inputs!$C$31:$C$35,MATCH(E61,Inputs!$A$31:$A$35,0))</f>
        <v>4</v>
      </c>
      <c r="G61" s="21" t="n">
        <f aca="false">INDEX(Inputs!$D$31:$D$35,MATCH(E61,Inputs!$A$31:$A$35,0))</f>
        <v>55</v>
      </c>
      <c r="H61" s="20" t="n">
        <v>14</v>
      </c>
      <c r="I61" s="17" t="n">
        <v>8</v>
      </c>
      <c r="J61" s="17" t="n">
        <v>350</v>
      </c>
      <c r="K61" s="17" t="n">
        <v>408</v>
      </c>
      <c r="L61" s="17" t="n">
        <v>1</v>
      </c>
      <c r="M61" s="17" t="n">
        <v>0</v>
      </c>
      <c r="N61" s="9" t="s">
        <v>153</v>
      </c>
    </row>
    <row r="62" customFormat="false" ht="15" hidden="false" customHeight="false" outlineLevel="0" collapsed="false">
      <c r="A62" s="9" t="n">
        <v>23</v>
      </c>
      <c r="B62" s="9" t="s">
        <v>202</v>
      </c>
      <c r="C62" s="9" t="s">
        <v>203</v>
      </c>
      <c r="D62" s="9" t="s">
        <v>199</v>
      </c>
      <c r="E62" s="9" t="s">
        <v>131</v>
      </c>
      <c r="F62" s="19" t="n">
        <f aca="false">INDEX(Inputs!$C$31:$C$35,MATCH(E62,Inputs!$A$31:$A$35,0))</f>
        <v>4</v>
      </c>
      <c r="G62" s="21" t="n">
        <f aca="false">INDEX(Inputs!$D$31:$D$35,MATCH(E62,Inputs!$A$31:$A$35,0))</f>
        <v>55</v>
      </c>
      <c r="H62" s="20" t="n">
        <v>38</v>
      </c>
      <c r="I62" s="17" t="n">
        <v>5</v>
      </c>
      <c r="J62" s="17" t="n">
        <v>138</v>
      </c>
      <c r="K62" s="17" t="n">
        <v>105</v>
      </c>
      <c r="L62" s="17" t="n">
        <v>1</v>
      </c>
      <c r="M62" s="17" t="n">
        <v>0</v>
      </c>
      <c r="N62" s="9" t="s">
        <v>156</v>
      </c>
    </row>
    <row r="63" customFormat="false" ht="15" hidden="false" customHeight="false" outlineLevel="0" collapsed="false">
      <c r="A63" s="9" t="n">
        <v>24</v>
      </c>
      <c r="B63" s="9" t="s">
        <v>204</v>
      </c>
      <c r="C63" s="9" t="s">
        <v>205</v>
      </c>
      <c r="D63" s="9" t="s">
        <v>199</v>
      </c>
      <c r="E63" s="9" t="s">
        <v>131</v>
      </c>
      <c r="F63" s="19" t="n">
        <f aca="false">INDEX(Inputs!$C$31:$C$35,MATCH(E63,Inputs!$A$31:$A$35,0))</f>
        <v>4</v>
      </c>
      <c r="G63" s="21" t="n">
        <f aca="false">INDEX(Inputs!$D$31:$D$35,MATCH(E63,Inputs!$A$31:$A$35,0))</f>
        <v>55</v>
      </c>
      <c r="H63" s="20" t="n">
        <v>19</v>
      </c>
      <c r="I63" s="17" t="n">
        <v>10</v>
      </c>
      <c r="J63" s="17" t="n">
        <v>0</v>
      </c>
      <c r="K63" s="17" t="n">
        <v>0</v>
      </c>
      <c r="L63" s="17"/>
      <c r="M63" s="17" t="n">
        <v>35</v>
      </c>
      <c r="N63" s="9" t="s">
        <v>159</v>
      </c>
    </row>
    <row r="64" customFormat="false" ht="15" hidden="false" customHeight="false" outlineLevel="0" collapsed="false">
      <c r="A64" s="9" t="n">
        <v>25</v>
      </c>
      <c r="B64" s="9" t="s">
        <v>206</v>
      </c>
      <c r="C64" s="9" t="s">
        <v>207</v>
      </c>
      <c r="D64" s="9" t="s">
        <v>199</v>
      </c>
      <c r="E64" s="9" t="s">
        <v>131</v>
      </c>
      <c r="F64" s="19" t="n">
        <f aca="false">INDEX(Inputs!$C$31:$C$35,MATCH(E64,Inputs!$A$31:$A$35,0))</f>
        <v>4</v>
      </c>
      <c r="G64" s="21" t="n">
        <f aca="false">INDEX(Inputs!$D$31:$D$35,MATCH(E64,Inputs!$A$31:$A$35,0))</f>
        <v>55</v>
      </c>
      <c r="H64" s="20" t="n">
        <v>65</v>
      </c>
      <c r="I64" s="17" t="n">
        <v>2</v>
      </c>
      <c r="J64" s="17" t="n">
        <v>253</v>
      </c>
      <c r="K64" s="17" t="n">
        <v>0</v>
      </c>
      <c r="L64" s="17"/>
      <c r="M64" s="17" t="n">
        <v>0</v>
      </c>
      <c r="N64" s="9" t="s">
        <v>164</v>
      </c>
    </row>
    <row r="65" customFormat="false" ht="15" hidden="false" customHeight="false" outlineLevel="0" collapsed="false">
      <c r="A65" s="9" t="n">
        <v>26</v>
      </c>
      <c r="B65" s="9" t="s">
        <v>208</v>
      </c>
      <c r="C65" s="9" t="s">
        <v>209</v>
      </c>
      <c r="D65" s="9" t="s">
        <v>199</v>
      </c>
      <c r="E65" s="9" t="s">
        <v>131</v>
      </c>
      <c r="F65" s="19" t="n">
        <f aca="false">INDEX(Inputs!$C$31:$C$35,MATCH(E65,Inputs!$A$31:$A$35,0))</f>
        <v>4</v>
      </c>
      <c r="G65" s="21" t="n">
        <f aca="false">INDEX(Inputs!$D$31:$D$35,MATCH(E65,Inputs!$A$31:$A$35,0))</f>
        <v>55</v>
      </c>
      <c r="H65" s="20" t="n">
        <v>29</v>
      </c>
      <c r="I65" s="17" t="n">
        <v>6</v>
      </c>
      <c r="J65" s="17" t="n">
        <v>74</v>
      </c>
      <c r="K65" s="17" t="n">
        <v>180</v>
      </c>
      <c r="L65" s="17" t="n">
        <v>2</v>
      </c>
      <c r="M65" s="17" t="n">
        <v>0</v>
      </c>
      <c r="N65" s="9" t="s">
        <v>153</v>
      </c>
    </row>
    <row r="66" customFormat="false" ht="15" hidden="false" customHeight="false" outlineLevel="0" collapsed="false">
      <c r="A66" s="9" t="n">
        <v>27</v>
      </c>
      <c r="B66" s="9" t="s">
        <v>210</v>
      </c>
      <c r="C66" s="9" t="s">
        <v>211</v>
      </c>
      <c r="D66" s="9" t="s">
        <v>199</v>
      </c>
      <c r="E66" s="9" t="s">
        <v>131</v>
      </c>
      <c r="F66" s="19" t="n">
        <f aca="false">INDEX(Inputs!$C$31:$C$35,MATCH(E66,Inputs!$A$31:$A$35,0))</f>
        <v>4</v>
      </c>
      <c r="G66" s="21" t="n">
        <f aca="false">INDEX(Inputs!$D$31:$D$35,MATCH(E66,Inputs!$A$31:$A$35,0))</f>
        <v>55</v>
      </c>
      <c r="H66" s="20" t="n">
        <v>34</v>
      </c>
      <c r="I66" s="17" t="n">
        <v>5</v>
      </c>
      <c r="J66" s="17" t="n">
        <v>84</v>
      </c>
      <c r="K66" s="17" t="n">
        <v>160</v>
      </c>
      <c r="L66" s="17" t="n">
        <v>3</v>
      </c>
      <c r="M66" s="17" t="n">
        <v>0</v>
      </c>
      <c r="N66" s="9" t="s">
        <v>156</v>
      </c>
    </row>
    <row r="67" customFormat="false" ht="15" hidden="false" customHeight="false" outlineLevel="0" collapsed="false">
      <c r="A67" s="9" t="n">
        <v>28</v>
      </c>
      <c r="B67" s="9" t="s">
        <v>212</v>
      </c>
      <c r="C67" s="9" t="s">
        <v>213</v>
      </c>
      <c r="D67" s="9" t="s">
        <v>199</v>
      </c>
      <c r="E67" s="9" t="s">
        <v>131</v>
      </c>
      <c r="F67" s="19" t="n">
        <f aca="false">INDEX(Inputs!$C$31:$C$35,MATCH(E67,Inputs!$A$31:$A$35,0))</f>
        <v>4</v>
      </c>
      <c r="G67" s="21" t="n">
        <f aca="false">INDEX(Inputs!$D$31:$D$35,MATCH(E67,Inputs!$A$31:$A$35,0))</f>
        <v>55</v>
      </c>
      <c r="H67" s="20" t="n">
        <v>72</v>
      </c>
      <c r="I67" s="17" t="n">
        <v>2</v>
      </c>
      <c r="J67" s="17" t="n">
        <v>35</v>
      </c>
      <c r="K67" s="17" t="n">
        <v>0</v>
      </c>
      <c r="L67" s="17"/>
      <c r="M67" s="17" t="n">
        <v>0</v>
      </c>
      <c r="N67" s="9" t="s">
        <v>169</v>
      </c>
    </row>
    <row r="68" customFormat="false" ht="15" hidden="false" customHeight="false" outlineLevel="0" collapsed="false">
      <c r="A68" s="9" t="n">
        <v>29</v>
      </c>
      <c r="B68" s="9" t="s">
        <v>214</v>
      </c>
      <c r="C68" s="9" t="s">
        <v>215</v>
      </c>
      <c r="D68" s="9" t="s">
        <v>199</v>
      </c>
      <c r="E68" s="9" t="s">
        <v>131</v>
      </c>
      <c r="F68" s="19" t="n">
        <f aca="false">INDEX(Inputs!$C$31:$C$35,MATCH(E68,Inputs!$A$31:$A$35,0))</f>
        <v>4</v>
      </c>
      <c r="G68" s="21" t="n">
        <f aca="false">INDEX(Inputs!$D$31:$D$35,MATCH(E68,Inputs!$A$31:$A$35,0))</f>
        <v>55</v>
      </c>
      <c r="H68" s="20" t="n">
        <v>30</v>
      </c>
      <c r="I68" s="17" t="n">
        <v>4</v>
      </c>
      <c r="J68" s="17" t="n">
        <v>119</v>
      </c>
      <c r="K68" s="17" t="n">
        <v>0</v>
      </c>
      <c r="L68" s="17"/>
      <c r="M68" s="17" t="n">
        <v>0</v>
      </c>
      <c r="N68" s="9" t="s">
        <v>164</v>
      </c>
    </row>
    <row r="69" customFormat="false" ht="15" hidden="false" customHeight="false" outlineLevel="0" collapsed="false">
      <c r="A69" s="9" t="n">
        <v>30</v>
      </c>
      <c r="B69" s="9" t="s">
        <v>216</v>
      </c>
      <c r="C69" s="9" t="s">
        <v>217</v>
      </c>
      <c r="D69" s="9" t="s">
        <v>218</v>
      </c>
      <c r="E69" s="9" t="s">
        <v>133</v>
      </c>
      <c r="F69" s="19" t="n">
        <f aca="false">INDEX(Inputs!$C$31:$C$35,MATCH(E69,Inputs!$A$31:$A$35,0))</f>
        <v>6</v>
      </c>
      <c r="G69" s="21" t="n">
        <f aca="false">INDEX(Inputs!$D$31:$D$35,MATCH(E69,Inputs!$A$31:$A$35,0))</f>
        <v>90</v>
      </c>
      <c r="H69" s="20" t="n">
        <v>27</v>
      </c>
      <c r="I69" s="17" t="n">
        <v>6</v>
      </c>
      <c r="J69" s="17" t="n">
        <v>375</v>
      </c>
      <c r="K69" s="17" t="n">
        <v>0</v>
      </c>
      <c r="L69" s="17"/>
      <c r="M69" s="17" t="n">
        <v>0</v>
      </c>
      <c r="N69" s="9" t="s">
        <v>153</v>
      </c>
    </row>
    <row r="70" customFormat="false" ht="15" hidden="false" customHeight="false" outlineLevel="0" collapsed="false">
      <c r="A70" s="9" t="n">
        <v>31</v>
      </c>
      <c r="B70" s="9" t="s">
        <v>219</v>
      </c>
      <c r="C70" s="9" t="s">
        <v>220</v>
      </c>
      <c r="D70" s="9" t="s">
        <v>218</v>
      </c>
      <c r="E70" s="9" t="s">
        <v>133</v>
      </c>
      <c r="F70" s="19" t="n">
        <f aca="false">INDEX(Inputs!$C$31:$C$35,MATCH(E70,Inputs!$A$31:$A$35,0))</f>
        <v>6</v>
      </c>
      <c r="G70" s="21" t="n">
        <f aca="false">INDEX(Inputs!$D$31:$D$35,MATCH(E70,Inputs!$A$31:$A$35,0))</f>
        <v>90</v>
      </c>
      <c r="H70" s="20" t="n">
        <v>31</v>
      </c>
      <c r="I70" s="17" t="n">
        <v>4</v>
      </c>
      <c r="J70" s="17" t="n">
        <v>106</v>
      </c>
      <c r="K70" s="17" t="n">
        <v>120</v>
      </c>
      <c r="L70" s="17" t="n">
        <v>2</v>
      </c>
      <c r="M70" s="17" t="n">
        <v>0</v>
      </c>
      <c r="N70" s="9" t="s">
        <v>156</v>
      </c>
    </row>
    <row r="71" customFormat="false" ht="15" hidden="false" customHeight="false" outlineLevel="0" collapsed="false">
      <c r="A71" s="9" t="n">
        <v>32</v>
      </c>
      <c r="B71" s="9" t="s">
        <v>221</v>
      </c>
      <c r="C71" s="9" t="s">
        <v>222</v>
      </c>
      <c r="D71" s="9" t="s">
        <v>218</v>
      </c>
      <c r="E71" s="9" t="s">
        <v>133</v>
      </c>
      <c r="F71" s="19" t="n">
        <f aca="false">INDEX(Inputs!$C$31:$C$35,MATCH(E71,Inputs!$A$31:$A$35,0))</f>
        <v>6</v>
      </c>
      <c r="G71" s="21" t="n">
        <f aca="false">INDEX(Inputs!$D$31:$D$35,MATCH(E71,Inputs!$A$31:$A$35,0))</f>
        <v>90</v>
      </c>
      <c r="H71" s="20" t="n">
        <v>36</v>
      </c>
      <c r="I71" s="17" t="n">
        <v>4</v>
      </c>
      <c r="J71" s="17" t="n">
        <v>58</v>
      </c>
      <c r="K71" s="17" t="n">
        <v>276</v>
      </c>
      <c r="L71" s="17" t="n">
        <v>6</v>
      </c>
      <c r="M71" s="17" t="n">
        <v>0</v>
      </c>
      <c r="N71" s="9" t="s">
        <v>159</v>
      </c>
    </row>
    <row r="72" customFormat="false" ht="15" hidden="false" customHeight="false" outlineLevel="0" collapsed="false">
      <c r="A72" s="9" t="n">
        <v>33</v>
      </c>
      <c r="B72" s="9" t="s">
        <v>223</v>
      </c>
      <c r="C72" s="9" t="s">
        <v>224</v>
      </c>
      <c r="D72" s="9" t="s">
        <v>218</v>
      </c>
      <c r="E72" s="9" t="s">
        <v>133</v>
      </c>
      <c r="F72" s="19" t="n">
        <f aca="false">INDEX(Inputs!$C$31:$C$35,MATCH(E72,Inputs!$A$31:$A$35,0))</f>
        <v>6</v>
      </c>
      <c r="G72" s="21" t="n">
        <f aca="false">INDEX(Inputs!$D$31:$D$35,MATCH(E72,Inputs!$A$31:$A$35,0))</f>
        <v>90</v>
      </c>
      <c r="H72" s="20" t="n">
        <v>14</v>
      </c>
      <c r="I72" s="17" t="n">
        <v>10</v>
      </c>
      <c r="J72" s="17" t="n">
        <v>1060</v>
      </c>
      <c r="K72" s="17" t="n">
        <v>0</v>
      </c>
      <c r="L72" s="17"/>
      <c r="M72" s="17" t="n">
        <v>0</v>
      </c>
      <c r="N72" s="9" t="s">
        <v>159</v>
      </c>
    </row>
    <row r="73" customFormat="false" ht="15" hidden="false" customHeight="false" outlineLevel="0" collapsed="false">
      <c r="A73" s="9" t="n">
        <v>34</v>
      </c>
      <c r="B73" s="9" t="s">
        <v>225</v>
      </c>
      <c r="C73" s="9" t="s">
        <v>226</v>
      </c>
      <c r="D73" s="9" t="s">
        <v>218</v>
      </c>
      <c r="E73" s="9" t="s">
        <v>133</v>
      </c>
      <c r="F73" s="19" t="n">
        <f aca="false">INDEX(Inputs!$C$31:$C$35,MATCH(E73,Inputs!$A$31:$A$35,0))</f>
        <v>6</v>
      </c>
      <c r="G73" s="21" t="n">
        <f aca="false">INDEX(Inputs!$D$31:$D$35,MATCH(E73,Inputs!$A$31:$A$35,0))</f>
        <v>90</v>
      </c>
      <c r="H73" s="20" t="n">
        <v>23</v>
      </c>
      <c r="I73" s="17" t="n">
        <v>6</v>
      </c>
      <c r="J73" s="17" t="n">
        <v>569</v>
      </c>
      <c r="K73" s="17" t="n">
        <v>0</v>
      </c>
      <c r="L73" s="17"/>
      <c r="M73" s="17" t="n">
        <v>0</v>
      </c>
      <c r="N73" s="9" t="s">
        <v>164</v>
      </c>
    </row>
    <row r="74" customFormat="false" ht="15" hidden="false" customHeight="false" outlineLevel="0" collapsed="false">
      <c r="A74" s="9" t="n">
        <v>35</v>
      </c>
      <c r="B74" s="9" t="s">
        <v>227</v>
      </c>
      <c r="C74" s="9" t="s">
        <v>228</v>
      </c>
      <c r="D74" s="9" t="s">
        <v>218</v>
      </c>
      <c r="E74" s="9" t="s">
        <v>133</v>
      </c>
      <c r="F74" s="19" t="n">
        <f aca="false">INDEX(Inputs!$C$31:$C$35,MATCH(E74,Inputs!$A$31:$A$35,0))</f>
        <v>6</v>
      </c>
      <c r="G74" s="21" t="n">
        <f aca="false">INDEX(Inputs!$D$31:$D$35,MATCH(E74,Inputs!$A$31:$A$35,0))</f>
        <v>90</v>
      </c>
      <c r="H74" s="20" t="n">
        <v>17</v>
      </c>
      <c r="I74" s="17" t="n">
        <v>10</v>
      </c>
      <c r="J74" s="17" t="n">
        <v>687</v>
      </c>
      <c r="K74" s="17" t="n">
        <v>0</v>
      </c>
      <c r="L74" s="17"/>
      <c r="M74" s="17" t="n">
        <v>0</v>
      </c>
      <c r="N74" s="9" t="s">
        <v>153</v>
      </c>
    </row>
    <row r="75" customFormat="false" ht="15" hidden="false" customHeight="false" outlineLevel="0" collapsed="false">
      <c r="A75" s="9" t="n">
        <v>36</v>
      </c>
      <c r="B75" s="9" t="s">
        <v>229</v>
      </c>
      <c r="C75" s="9" t="s">
        <v>230</v>
      </c>
      <c r="D75" s="9" t="s">
        <v>218</v>
      </c>
      <c r="E75" s="9" t="s">
        <v>133</v>
      </c>
      <c r="F75" s="19" t="n">
        <f aca="false">INDEX(Inputs!$C$31:$C$35,MATCH(E75,Inputs!$A$31:$A$35,0))</f>
        <v>6</v>
      </c>
      <c r="G75" s="21" t="n">
        <f aca="false">INDEX(Inputs!$D$31:$D$35,MATCH(E75,Inputs!$A$31:$A$35,0))</f>
        <v>90</v>
      </c>
      <c r="H75" s="20" t="n">
        <v>120</v>
      </c>
      <c r="I75" s="17" t="n">
        <v>1</v>
      </c>
      <c r="J75" s="17" t="n">
        <v>120</v>
      </c>
      <c r="K75" s="17" t="n">
        <v>0</v>
      </c>
      <c r="L75" s="17"/>
      <c r="M75" s="17" t="n">
        <v>0</v>
      </c>
      <c r="N75" s="9" t="s">
        <v>169</v>
      </c>
    </row>
    <row r="76" customFormat="false" ht="15" hidden="false" customHeight="false" outlineLevel="0" collapsed="false">
      <c r="A76" s="9" t="n">
        <v>37</v>
      </c>
      <c r="B76" s="9" t="s">
        <v>231</v>
      </c>
      <c r="C76" s="9" t="s">
        <v>232</v>
      </c>
      <c r="D76" s="9" t="s">
        <v>218</v>
      </c>
      <c r="E76" s="9" t="s">
        <v>133</v>
      </c>
      <c r="F76" s="19" t="n">
        <f aca="false">INDEX(Inputs!$C$31:$C$35,MATCH(E76,Inputs!$A$31:$A$35,0))</f>
        <v>6</v>
      </c>
      <c r="G76" s="21" t="n">
        <f aca="false">INDEX(Inputs!$D$31:$D$35,MATCH(E76,Inputs!$A$31:$A$35,0))</f>
        <v>90</v>
      </c>
      <c r="H76" s="20" t="n">
        <v>48</v>
      </c>
      <c r="I76" s="17" t="n">
        <v>2</v>
      </c>
      <c r="J76" s="17" t="n">
        <v>29</v>
      </c>
      <c r="K76" s="17" t="n">
        <v>126</v>
      </c>
      <c r="L76" s="17" t="n">
        <v>2</v>
      </c>
      <c r="M76" s="17" t="n">
        <v>0</v>
      </c>
      <c r="N76" s="9" t="s">
        <v>156</v>
      </c>
    </row>
    <row r="77" customFormat="false" ht="15" hidden="false" customHeight="false" outlineLevel="0" collapsed="false">
      <c r="A77" s="9" t="n">
        <v>38</v>
      </c>
      <c r="B77" s="9" t="s">
        <v>233</v>
      </c>
      <c r="C77" s="9" t="s">
        <v>234</v>
      </c>
      <c r="D77" s="9" t="s">
        <v>235</v>
      </c>
      <c r="E77" s="9" t="s">
        <v>135</v>
      </c>
      <c r="F77" s="19" t="n">
        <f aca="false">INDEX(Inputs!$C$31:$C$35,MATCH(E77,Inputs!$A$31:$A$35,0))</f>
        <v>1</v>
      </c>
      <c r="G77" s="21" t="n">
        <f aca="false">INDEX(Inputs!$D$31:$D$35,MATCH(E77,Inputs!$A$31:$A$35,0))</f>
        <v>35</v>
      </c>
      <c r="H77" s="20" t="n">
        <v>7</v>
      </c>
      <c r="I77" s="17" t="n">
        <v>12</v>
      </c>
      <c r="J77" s="17" t="n">
        <v>666</v>
      </c>
      <c r="K77" s="17" t="n">
        <v>0</v>
      </c>
      <c r="L77" s="17"/>
      <c r="M77" s="17" t="n">
        <v>0</v>
      </c>
      <c r="N77" s="9" t="s">
        <v>153</v>
      </c>
    </row>
    <row r="78" customFormat="false" ht="15" hidden="false" customHeight="false" outlineLevel="0" collapsed="false">
      <c r="A78" s="9" t="n">
        <v>39</v>
      </c>
      <c r="B78" s="9" t="s">
        <v>236</v>
      </c>
      <c r="C78" s="9" t="s">
        <v>237</v>
      </c>
      <c r="D78" s="9" t="s">
        <v>235</v>
      </c>
      <c r="E78" s="9" t="s">
        <v>135</v>
      </c>
      <c r="F78" s="19" t="n">
        <f aca="false">INDEX(Inputs!$C$31:$C$35,MATCH(E78,Inputs!$A$31:$A$35,0))</f>
        <v>1</v>
      </c>
      <c r="G78" s="21" t="n">
        <f aca="false">INDEX(Inputs!$D$31:$D$35,MATCH(E78,Inputs!$A$31:$A$35,0))</f>
        <v>35</v>
      </c>
      <c r="H78" s="20" t="n">
        <v>5</v>
      </c>
      <c r="I78" s="17" t="n">
        <v>20</v>
      </c>
      <c r="J78" s="17" t="n">
        <v>180</v>
      </c>
      <c r="K78" s="17" t="n">
        <v>0</v>
      </c>
      <c r="L78" s="17"/>
      <c r="M78" s="17" t="n">
        <v>0</v>
      </c>
      <c r="N78" s="9" t="s">
        <v>153</v>
      </c>
    </row>
    <row r="79" customFormat="false" ht="15" hidden="false" customHeight="false" outlineLevel="0" collapsed="false">
      <c r="A79" s="9" t="n">
        <v>40</v>
      </c>
      <c r="B79" s="9" t="s">
        <v>238</v>
      </c>
      <c r="C79" s="9" t="s">
        <v>239</v>
      </c>
      <c r="D79" s="9" t="s">
        <v>235</v>
      </c>
      <c r="E79" s="9" t="s">
        <v>135</v>
      </c>
      <c r="F79" s="19" t="n">
        <f aca="false">INDEX(Inputs!$C$31:$C$35,MATCH(E79,Inputs!$A$31:$A$35,0))</f>
        <v>1</v>
      </c>
      <c r="G79" s="21" t="n">
        <f aca="false">INDEX(Inputs!$D$31:$D$35,MATCH(E79,Inputs!$A$31:$A$35,0))</f>
        <v>35</v>
      </c>
      <c r="H79" s="20" t="n">
        <v>9</v>
      </c>
      <c r="I79" s="17" t="n">
        <v>6</v>
      </c>
      <c r="J79" s="17" t="n">
        <v>0</v>
      </c>
      <c r="K79" s="17" t="n">
        <v>0</v>
      </c>
      <c r="L79" s="17"/>
      <c r="M79" s="17" t="n">
        <v>99</v>
      </c>
      <c r="N79" s="9" t="s">
        <v>159</v>
      </c>
    </row>
    <row r="80" customFormat="false" ht="15" hidden="false" customHeight="false" outlineLevel="0" collapsed="false">
      <c r="A80" s="9" t="n">
        <v>41</v>
      </c>
      <c r="B80" s="9" t="s">
        <v>240</v>
      </c>
      <c r="C80" s="9" t="s">
        <v>241</v>
      </c>
      <c r="D80" s="9" t="s">
        <v>235</v>
      </c>
      <c r="E80" s="9" t="s">
        <v>135</v>
      </c>
      <c r="F80" s="19" t="n">
        <f aca="false">INDEX(Inputs!$C$31:$C$35,MATCH(E80,Inputs!$A$31:$A$35,0))</f>
        <v>1</v>
      </c>
      <c r="G80" s="21" t="n">
        <f aca="false">INDEX(Inputs!$D$31:$D$35,MATCH(E80,Inputs!$A$31:$A$35,0))</f>
        <v>35</v>
      </c>
      <c r="H80" s="20" t="n">
        <v>6</v>
      </c>
      <c r="I80" s="17" t="n">
        <v>12</v>
      </c>
      <c r="J80" s="17" t="n">
        <v>556</v>
      </c>
      <c r="K80" s="17" t="n">
        <v>0</v>
      </c>
      <c r="L80" s="17"/>
      <c r="M80" s="17" t="n">
        <v>0</v>
      </c>
      <c r="N80" s="9" t="s">
        <v>156</v>
      </c>
    </row>
    <row r="81" customFormat="false" ht="15" hidden="false" customHeight="false" outlineLevel="0" collapsed="false">
      <c r="A81" s="9" t="n">
        <v>42</v>
      </c>
      <c r="B81" s="9" t="s">
        <v>242</v>
      </c>
      <c r="C81" s="9" t="s">
        <v>243</v>
      </c>
      <c r="D81" s="9" t="s">
        <v>235</v>
      </c>
      <c r="E81" s="9" t="s">
        <v>135</v>
      </c>
      <c r="F81" s="19" t="n">
        <f aca="false">INDEX(Inputs!$C$31:$C$35,MATCH(E81,Inputs!$A$31:$A$35,0))</f>
        <v>1</v>
      </c>
      <c r="G81" s="21" t="n">
        <f aca="false">INDEX(Inputs!$D$31:$D$35,MATCH(E81,Inputs!$A$31:$A$35,0))</f>
        <v>35</v>
      </c>
      <c r="H81" s="20" t="n">
        <v>11</v>
      </c>
      <c r="I81" s="17" t="n">
        <v>12</v>
      </c>
      <c r="J81" s="17" t="n">
        <v>307</v>
      </c>
      <c r="K81" s="17" t="n">
        <v>0</v>
      </c>
      <c r="L81" s="17"/>
      <c r="M81" s="17" t="n">
        <v>0</v>
      </c>
      <c r="N81" s="9" t="s">
        <v>153</v>
      </c>
    </row>
    <row r="82" customFormat="false" ht="15" hidden="false" customHeight="false" outlineLevel="0" collapsed="false">
      <c r="A82" s="9" t="n">
        <v>43</v>
      </c>
      <c r="B82" s="9" t="s">
        <v>244</v>
      </c>
      <c r="C82" s="9" t="s">
        <v>245</v>
      </c>
      <c r="D82" s="9" t="s">
        <v>235</v>
      </c>
      <c r="E82" s="9" t="s">
        <v>135</v>
      </c>
      <c r="F82" s="19" t="n">
        <f aca="false">INDEX(Inputs!$C$31:$C$35,MATCH(E82,Inputs!$A$31:$A$35,0))</f>
        <v>1</v>
      </c>
      <c r="G82" s="21" t="n">
        <f aca="false">INDEX(Inputs!$D$31:$D$35,MATCH(E82,Inputs!$A$31:$A$35,0))</f>
        <v>35</v>
      </c>
      <c r="H82" s="20" t="n">
        <v>10</v>
      </c>
      <c r="I82" s="17" t="n">
        <v>12</v>
      </c>
      <c r="J82" s="17" t="n">
        <v>930</v>
      </c>
      <c r="K82" s="17" t="n">
        <v>0</v>
      </c>
      <c r="L82" s="17"/>
      <c r="M82" s="17" t="n">
        <v>0</v>
      </c>
      <c r="N82" s="9" t="s">
        <v>164</v>
      </c>
    </row>
    <row r="83" customFormat="false" ht="15" hidden="false" customHeight="false" outlineLevel="0" collapsed="false">
      <c r="A83" s="9" t="n">
        <v>44</v>
      </c>
      <c r="B83" s="9" t="s">
        <v>246</v>
      </c>
      <c r="C83" s="9" t="s">
        <v>247</v>
      </c>
      <c r="D83" s="9" t="s">
        <v>235</v>
      </c>
      <c r="E83" s="9" t="s">
        <v>135</v>
      </c>
      <c r="F83" s="19" t="n">
        <f aca="false">INDEX(Inputs!$C$31:$C$35,MATCH(E83,Inputs!$A$31:$A$35,0))</f>
        <v>1</v>
      </c>
      <c r="G83" s="21" t="n">
        <f aca="false">INDEX(Inputs!$D$31:$D$35,MATCH(E83,Inputs!$A$31:$A$35,0))</f>
        <v>35</v>
      </c>
      <c r="H83" s="20" t="n">
        <v>8</v>
      </c>
      <c r="I83" s="17" t="n">
        <v>12</v>
      </c>
      <c r="J83" s="17" t="n">
        <v>72</v>
      </c>
      <c r="K83" s="17" t="n">
        <v>0</v>
      </c>
      <c r="L83" s="17"/>
      <c r="M83" s="17" t="n">
        <v>0</v>
      </c>
      <c r="N83" s="9" t="s">
        <v>156</v>
      </c>
    </row>
    <row r="84" customFormat="false" ht="15" hidden="false" customHeight="false" outlineLevel="0" collapsed="false">
      <c r="A84" s="9" t="n">
        <v>45</v>
      </c>
      <c r="B84" s="9" t="s">
        <v>248</v>
      </c>
      <c r="C84" s="9" t="s">
        <v>249</v>
      </c>
      <c r="D84" s="9" t="s">
        <v>235</v>
      </c>
      <c r="E84" s="9" t="s">
        <v>135</v>
      </c>
      <c r="F84" s="19" t="n">
        <f aca="false">INDEX(Inputs!$C$31:$C$35,MATCH(E84,Inputs!$A$31:$A$35,0))</f>
        <v>1</v>
      </c>
      <c r="G84" s="21" t="n">
        <f aca="false">INDEX(Inputs!$D$31:$D$35,MATCH(E84,Inputs!$A$31:$A$35,0))</f>
        <v>35</v>
      </c>
      <c r="H84" s="20" t="n">
        <v>7</v>
      </c>
      <c r="I84" s="17" t="n">
        <v>24</v>
      </c>
      <c r="J84" s="17" t="n">
        <v>351</v>
      </c>
      <c r="K84" s="17" t="n">
        <v>0</v>
      </c>
      <c r="L84" s="17"/>
      <c r="M84" s="17" t="n">
        <v>0</v>
      </c>
      <c r="N84" s="9" t="s">
        <v>153</v>
      </c>
    </row>
    <row r="85" customFormat="false" ht="15" hidden="false" customHeight="false" outlineLevel="0" collapsed="false">
      <c r="A85" s="9" t="n">
        <v>46</v>
      </c>
      <c r="B85" s="9" t="s">
        <v>250</v>
      </c>
      <c r="C85" s="9" t="s">
        <v>251</v>
      </c>
      <c r="D85" s="9" t="s">
        <v>235</v>
      </c>
      <c r="E85" s="9" t="s">
        <v>135</v>
      </c>
      <c r="F85" s="19" t="n">
        <f aca="false">INDEX(Inputs!$C$31:$C$35,MATCH(E85,Inputs!$A$31:$A$35,0))</f>
        <v>1</v>
      </c>
      <c r="G85" s="21" t="n">
        <f aca="false">INDEX(Inputs!$D$31:$D$35,MATCH(E85,Inputs!$A$31:$A$35,0))</f>
        <v>35</v>
      </c>
      <c r="H85" s="20" t="n">
        <v>13</v>
      </c>
      <c r="I85" s="17" t="n">
        <v>24</v>
      </c>
      <c r="J85" s="17" t="n">
        <v>416</v>
      </c>
      <c r="K85" s="17" t="n">
        <v>0</v>
      </c>
      <c r="L85" s="17"/>
      <c r="M85" s="17" t="n">
        <v>0</v>
      </c>
      <c r="N85" s="9" t="s">
        <v>159</v>
      </c>
    </row>
    <row r="86" customFormat="false" ht="15" hidden="false" customHeight="false" outlineLevel="0" collapsed="false">
      <c r="A86" s="9" t="n">
        <v>47</v>
      </c>
      <c r="B86" s="9" t="s">
        <v>252</v>
      </c>
      <c r="C86" s="9" t="s">
        <v>253</v>
      </c>
      <c r="D86" s="9" t="s">
        <v>235</v>
      </c>
      <c r="E86" s="9" t="s">
        <v>135</v>
      </c>
      <c r="F86" s="19" t="n">
        <f aca="false">INDEX(Inputs!$C$31:$C$35,MATCH(E86,Inputs!$A$31:$A$35,0))</f>
        <v>1</v>
      </c>
      <c r="G86" s="21" t="n">
        <f aca="false">INDEX(Inputs!$D$31:$D$35,MATCH(E86,Inputs!$A$31:$A$35,0))</f>
        <v>35</v>
      </c>
      <c r="H86" s="20" t="n">
        <v>16</v>
      </c>
      <c r="I86" s="17" t="n">
        <v>12</v>
      </c>
      <c r="J86" s="17" t="n">
        <v>50</v>
      </c>
      <c r="K86" s="17" t="n">
        <v>0</v>
      </c>
      <c r="L86" s="17"/>
      <c r="M86" s="17" t="n">
        <v>0</v>
      </c>
      <c r="N86" s="9" t="s">
        <v>156</v>
      </c>
    </row>
    <row r="87" customFormat="false" ht="15" hidden="false" customHeight="false" outlineLevel="0" collapsed="false">
      <c r="A87" s="9" t="n">
        <v>48</v>
      </c>
      <c r="B87" s="9" t="s">
        <v>254</v>
      </c>
      <c r="C87" s="9" t="s">
        <v>255</v>
      </c>
      <c r="D87" s="9" t="s">
        <v>235</v>
      </c>
      <c r="E87" s="9" t="s">
        <v>135</v>
      </c>
      <c r="F87" s="19" t="n">
        <f aca="false">INDEX(Inputs!$C$31:$C$35,MATCH(E87,Inputs!$A$31:$A$35,0))</f>
        <v>1</v>
      </c>
      <c r="G87" s="21" t="n">
        <f aca="false">INDEX(Inputs!$D$31:$D$35,MATCH(E87,Inputs!$A$31:$A$35,0))</f>
        <v>35</v>
      </c>
      <c r="H87" s="20" t="n">
        <v>14</v>
      </c>
      <c r="I87" s="17" t="n">
        <v>12</v>
      </c>
      <c r="J87" s="17" t="n">
        <v>102</v>
      </c>
      <c r="K87" s="17" t="n">
        <v>0</v>
      </c>
      <c r="L87" s="17"/>
      <c r="M87" s="17" t="n">
        <v>0</v>
      </c>
      <c r="N87" s="9" t="s">
        <v>153</v>
      </c>
    </row>
  </sheetData>
  <mergeCells count="3">
    <mergeCell ref="A6:D6"/>
    <mergeCell ref="A29:D29"/>
    <mergeCell ref="A38:N38"/>
  </mergeCells>
  <dataValidations count="3">
    <dataValidation allowBlank="false" error="Service level must be between 50% and 99.9%" errorStyle="stop" operator="between" showDropDown="false" showErrorMessage="true" showInputMessage="false" sqref="B11" type="decimal">
      <formula1>0.5</formula1>
      <formula2>0.999</formula2>
    </dataValidation>
    <dataValidation allowBlank="false" error="Alpha between 0.05 and 0.95" errorStyle="stop" operator="between" showDropDown="false" showErrorMessage="true" showInputMessage="false" sqref="B16" type="decimal">
      <formula1>0.05</formula1>
      <formula2>0.95</formula2>
    </dataValidation>
    <dataValidation allowBlank="false" error="Evaluation window must be 13-52 weeks" errorStyle="stop" operator="between" showDropDown="false" showErrorMessage="true" showInputMessage="false" sqref="B18" type="whole">
      <formula1>13</formula1>
      <formula2>52</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2"/>
    <col collapsed="false" customWidth="true" hidden="false" outlineLevel="0" max="4" min="4" style="0" width="14"/>
  </cols>
  <sheetData>
    <row r="1" customFormat="false" ht="30" hidden="false" customHeight="true" outlineLevel="0" collapsed="false">
      <c r="A1" s="6" t="s">
        <v>256</v>
      </c>
      <c r="B1" s="6" t="s">
        <v>257</v>
      </c>
      <c r="C1" s="6" t="s">
        <v>139</v>
      </c>
      <c r="D1" s="6" t="s">
        <v>258</v>
      </c>
    </row>
    <row r="2" customFormat="false" ht="15" hidden="false" customHeight="false" outlineLevel="0" collapsed="false">
      <c r="A2" s="22" t="n">
        <v>1</v>
      </c>
      <c r="B2" s="23" t="n">
        <v>45474</v>
      </c>
      <c r="C2" s="22" t="s">
        <v>150</v>
      </c>
      <c r="D2" s="24" t="n">
        <v>62</v>
      </c>
    </row>
    <row r="3" customFormat="false" ht="15" hidden="false" customHeight="false" outlineLevel="0" collapsed="false">
      <c r="A3" s="22" t="n">
        <v>2</v>
      </c>
      <c r="B3" s="23" t="n">
        <v>45481</v>
      </c>
      <c r="C3" s="22" t="s">
        <v>150</v>
      </c>
      <c r="D3" s="24" t="n">
        <v>58</v>
      </c>
    </row>
    <row r="4" customFormat="false" ht="15" hidden="false" customHeight="false" outlineLevel="0" collapsed="false">
      <c r="A4" s="22" t="n">
        <v>3</v>
      </c>
      <c r="B4" s="23" t="n">
        <v>45488</v>
      </c>
      <c r="C4" s="22" t="s">
        <v>150</v>
      </c>
      <c r="D4" s="24" t="n">
        <v>53</v>
      </c>
    </row>
    <row r="5" customFormat="false" ht="15" hidden="false" customHeight="false" outlineLevel="0" collapsed="false">
      <c r="A5" s="22" t="n">
        <v>4</v>
      </c>
      <c r="B5" s="23" t="n">
        <v>45495</v>
      </c>
      <c r="C5" s="22" t="s">
        <v>150</v>
      </c>
      <c r="D5" s="24" t="n">
        <v>56</v>
      </c>
    </row>
    <row r="6" customFormat="false" ht="15" hidden="false" customHeight="false" outlineLevel="0" collapsed="false">
      <c r="A6" s="22" t="n">
        <v>5</v>
      </c>
      <c r="B6" s="23" t="n">
        <v>45502</v>
      </c>
      <c r="C6" s="22" t="s">
        <v>150</v>
      </c>
      <c r="D6" s="24" t="n">
        <v>52</v>
      </c>
    </row>
    <row r="7" customFormat="false" ht="15" hidden="false" customHeight="false" outlineLevel="0" collapsed="false">
      <c r="A7" s="22" t="n">
        <v>6</v>
      </c>
      <c r="B7" s="23" t="n">
        <v>45509</v>
      </c>
      <c r="C7" s="22" t="s">
        <v>150</v>
      </c>
      <c r="D7" s="24" t="n">
        <v>60</v>
      </c>
    </row>
    <row r="8" customFormat="false" ht="15" hidden="false" customHeight="false" outlineLevel="0" collapsed="false">
      <c r="A8" s="22" t="n">
        <v>7</v>
      </c>
      <c r="B8" s="23" t="n">
        <v>45516</v>
      </c>
      <c r="C8" s="22" t="s">
        <v>150</v>
      </c>
      <c r="D8" s="24" t="n">
        <v>71</v>
      </c>
    </row>
    <row r="9" customFormat="false" ht="15" hidden="false" customHeight="false" outlineLevel="0" collapsed="false">
      <c r="A9" s="22" t="n">
        <v>8</v>
      </c>
      <c r="B9" s="23" t="n">
        <v>45523</v>
      </c>
      <c r="C9" s="22" t="s">
        <v>150</v>
      </c>
      <c r="D9" s="24" t="n">
        <v>56</v>
      </c>
    </row>
    <row r="10" customFormat="false" ht="15" hidden="false" customHeight="false" outlineLevel="0" collapsed="false">
      <c r="A10" s="22" t="n">
        <v>9</v>
      </c>
      <c r="B10" s="23" t="n">
        <v>45530</v>
      </c>
      <c r="C10" s="22" t="s">
        <v>150</v>
      </c>
      <c r="D10" s="24" t="n">
        <v>55</v>
      </c>
    </row>
    <row r="11" customFormat="false" ht="15" hidden="false" customHeight="false" outlineLevel="0" collapsed="false">
      <c r="A11" s="22" t="n">
        <v>10</v>
      </c>
      <c r="B11" s="23" t="n">
        <v>45537</v>
      </c>
      <c r="C11" s="22" t="s">
        <v>150</v>
      </c>
      <c r="D11" s="24" t="n">
        <v>64</v>
      </c>
    </row>
    <row r="12" customFormat="false" ht="15" hidden="false" customHeight="false" outlineLevel="0" collapsed="false">
      <c r="A12" s="22" t="n">
        <v>11</v>
      </c>
      <c r="B12" s="23" t="n">
        <v>45544</v>
      </c>
      <c r="C12" s="22" t="s">
        <v>150</v>
      </c>
      <c r="D12" s="24" t="n">
        <v>63</v>
      </c>
    </row>
    <row r="13" customFormat="false" ht="15" hidden="false" customHeight="false" outlineLevel="0" collapsed="false">
      <c r="A13" s="22" t="n">
        <v>12</v>
      </c>
      <c r="B13" s="23" t="n">
        <v>45551</v>
      </c>
      <c r="C13" s="22" t="s">
        <v>150</v>
      </c>
      <c r="D13" s="24" t="n">
        <v>61</v>
      </c>
    </row>
    <row r="14" customFormat="false" ht="15" hidden="false" customHeight="false" outlineLevel="0" collapsed="false">
      <c r="A14" s="22" t="n">
        <v>13</v>
      </c>
      <c r="B14" s="23" t="n">
        <v>45558</v>
      </c>
      <c r="C14" s="22" t="s">
        <v>150</v>
      </c>
      <c r="D14" s="24" t="n">
        <v>53</v>
      </c>
    </row>
    <row r="15" customFormat="false" ht="15" hidden="false" customHeight="false" outlineLevel="0" collapsed="false">
      <c r="A15" s="22" t="n">
        <v>14</v>
      </c>
      <c r="B15" s="23" t="n">
        <v>45565</v>
      </c>
      <c r="C15" s="22" t="s">
        <v>150</v>
      </c>
      <c r="D15" s="24" t="n">
        <v>60</v>
      </c>
    </row>
    <row r="16" customFormat="false" ht="15" hidden="false" customHeight="false" outlineLevel="0" collapsed="false">
      <c r="A16" s="22" t="n">
        <v>15</v>
      </c>
      <c r="B16" s="23" t="n">
        <v>45572</v>
      </c>
      <c r="C16" s="22" t="s">
        <v>150</v>
      </c>
      <c r="D16" s="24" t="n">
        <v>65</v>
      </c>
    </row>
    <row r="17" customFormat="false" ht="15" hidden="false" customHeight="false" outlineLevel="0" collapsed="false">
      <c r="A17" s="22" t="n">
        <v>16</v>
      </c>
      <c r="B17" s="23" t="n">
        <v>45579</v>
      </c>
      <c r="C17" s="22" t="s">
        <v>150</v>
      </c>
      <c r="D17" s="24" t="n">
        <v>49</v>
      </c>
    </row>
    <row r="18" customFormat="false" ht="15" hidden="false" customHeight="false" outlineLevel="0" collapsed="false">
      <c r="A18" s="22" t="n">
        <v>17</v>
      </c>
      <c r="B18" s="23" t="n">
        <v>45586</v>
      </c>
      <c r="C18" s="22" t="s">
        <v>150</v>
      </c>
      <c r="D18" s="24" t="n">
        <v>56</v>
      </c>
    </row>
    <row r="19" customFormat="false" ht="15" hidden="false" customHeight="false" outlineLevel="0" collapsed="false">
      <c r="A19" s="22" t="n">
        <v>18</v>
      </c>
      <c r="B19" s="23" t="n">
        <v>45593</v>
      </c>
      <c r="C19" s="22" t="s">
        <v>150</v>
      </c>
      <c r="D19" s="24" t="n">
        <v>45</v>
      </c>
    </row>
    <row r="20" customFormat="false" ht="15" hidden="false" customHeight="false" outlineLevel="0" collapsed="false">
      <c r="A20" s="22" t="n">
        <v>19</v>
      </c>
      <c r="B20" s="23" t="n">
        <v>45600</v>
      </c>
      <c r="C20" s="22" t="s">
        <v>150</v>
      </c>
      <c r="D20" s="24" t="n">
        <v>50</v>
      </c>
    </row>
    <row r="21" customFormat="false" ht="15" hidden="false" customHeight="false" outlineLevel="0" collapsed="false">
      <c r="A21" s="22" t="n">
        <v>20</v>
      </c>
      <c r="B21" s="23" t="n">
        <v>45607</v>
      </c>
      <c r="C21" s="22" t="s">
        <v>150</v>
      </c>
      <c r="D21" s="24" t="n">
        <v>45</v>
      </c>
    </row>
    <row r="22" customFormat="false" ht="15" hidden="false" customHeight="false" outlineLevel="0" collapsed="false">
      <c r="A22" s="22" t="n">
        <v>21</v>
      </c>
      <c r="B22" s="23" t="n">
        <v>45614</v>
      </c>
      <c r="C22" s="22" t="s">
        <v>150</v>
      </c>
      <c r="D22" s="24" t="n">
        <v>58</v>
      </c>
    </row>
    <row r="23" customFormat="false" ht="15" hidden="false" customHeight="false" outlineLevel="0" collapsed="false">
      <c r="A23" s="22" t="n">
        <v>22</v>
      </c>
      <c r="B23" s="23" t="n">
        <v>45621</v>
      </c>
      <c r="C23" s="22" t="s">
        <v>150</v>
      </c>
      <c r="D23" s="24" t="n">
        <v>50</v>
      </c>
    </row>
    <row r="24" customFormat="false" ht="15" hidden="false" customHeight="false" outlineLevel="0" collapsed="false">
      <c r="A24" s="22" t="n">
        <v>23</v>
      </c>
      <c r="B24" s="23" t="n">
        <v>45628</v>
      </c>
      <c r="C24" s="22" t="s">
        <v>150</v>
      </c>
      <c r="D24" s="24" t="n">
        <v>62</v>
      </c>
    </row>
    <row r="25" customFormat="false" ht="15" hidden="false" customHeight="false" outlineLevel="0" collapsed="false">
      <c r="A25" s="22" t="n">
        <v>24</v>
      </c>
      <c r="B25" s="23" t="n">
        <v>45635</v>
      </c>
      <c r="C25" s="22" t="s">
        <v>150</v>
      </c>
      <c r="D25" s="24" t="n">
        <v>61</v>
      </c>
    </row>
    <row r="26" customFormat="false" ht="15" hidden="false" customHeight="false" outlineLevel="0" collapsed="false">
      <c r="A26" s="22" t="n">
        <v>25</v>
      </c>
      <c r="B26" s="23" t="n">
        <v>45642</v>
      </c>
      <c r="C26" s="22" t="s">
        <v>150</v>
      </c>
      <c r="D26" s="24" t="n">
        <v>59</v>
      </c>
    </row>
    <row r="27" customFormat="false" ht="15" hidden="false" customHeight="false" outlineLevel="0" collapsed="false">
      <c r="A27" s="22" t="n">
        <v>26</v>
      </c>
      <c r="B27" s="23" t="n">
        <v>45649</v>
      </c>
      <c r="C27" s="22" t="s">
        <v>150</v>
      </c>
      <c r="D27" s="24" t="n">
        <v>40</v>
      </c>
    </row>
    <row r="28" customFormat="false" ht="15" hidden="false" customHeight="false" outlineLevel="0" collapsed="false">
      <c r="A28" s="22" t="n">
        <v>27</v>
      </c>
      <c r="B28" s="23" t="n">
        <v>45656</v>
      </c>
      <c r="C28" s="22" t="s">
        <v>150</v>
      </c>
      <c r="D28" s="24" t="n">
        <v>56</v>
      </c>
    </row>
    <row r="29" customFormat="false" ht="15" hidden="false" customHeight="false" outlineLevel="0" collapsed="false">
      <c r="A29" s="22" t="n">
        <v>28</v>
      </c>
      <c r="B29" s="23" t="n">
        <v>45663</v>
      </c>
      <c r="C29" s="22" t="s">
        <v>150</v>
      </c>
      <c r="D29" s="24" t="n">
        <v>60</v>
      </c>
    </row>
    <row r="30" customFormat="false" ht="15" hidden="false" customHeight="false" outlineLevel="0" collapsed="false">
      <c r="A30" s="22" t="n">
        <v>29</v>
      </c>
      <c r="B30" s="23" t="n">
        <v>45670</v>
      </c>
      <c r="C30" s="22" t="s">
        <v>150</v>
      </c>
      <c r="D30" s="24" t="n">
        <v>61</v>
      </c>
    </row>
    <row r="31" customFormat="false" ht="15" hidden="false" customHeight="false" outlineLevel="0" collapsed="false">
      <c r="A31" s="22" t="n">
        <v>30</v>
      </c>
      <c r="B31" s="23" t="n">
        <v>45677</v>
      </c>
      <c r="C31" s="22" t="s">
        <v>150</v>
      </c>
      <c r="D31" s="24" t="n">
        <v>48</v>
      </c>
    </row>
    <row r="32" customFormat="false" ht="15" hidden="false" customHeight="false" outlineLevel="0" collapsed="false">
      <c r="A32" s="22" t="n">
        <v>31</v>
      </c>
      <c r="B32" s="23" t="n">
        <v>45684</v>
      </c>
      <c r="C32" s="22" t="s">
        <v>150</v>
      </c>
      <c r="D32" s="24" t="n">
        <v>56</v>
      </c>
    </row>
    <row r="33" customFormat="false" ht="15" hidden="false" customHeight="false" outlineLevel="0" collapsed="false">
      <c r="A33" s="22" t="n">
        <v>32</v>
      </c>
      <c r="B33" s="23" t="n">
        <v>45691</v>
      </c>
      <c r="C33" s="22" t="s">
        <v>150</v>
      </c>
      <c r="D33" s="24" t="n">
        <v>52</v>
      </c>
    </row>
    <row r="34" customFormat="false" ht="15" hidden="false" customHeight="false" outlineLevel="0" collapsed="false">
      <c r="A34" s="22" t="n">
        <v>33</v>
      </c>
      <c r="B34" s="23" t="n">
        <v>45698</v>
      </c>
      <c r="C34" s="22" t="s">
        <v>150</v>
      </c>
      <c r="D34" s="24" t="n">
        <v>54</v>
      </c>
    </row>
    <row r="35" customFormat="false" ht="15" hidden="false" customHeight="false" outlineLevel="0" collapsed="false">
      <c r="A35" s="22" t="n">
        <v>34</v>
      </c>
      <c r="B35" s="23" t="n">
        <v>45705</v>
      </c>
      <c r="C35" s="22" t="s">
        <v>150</v>
      </c>
      <c r="D35" s="24" t="n">
        <v>68</v>
      </c>
    </row>
    <row r="36" customFormat="false" ht="15" hidden="false" customHeight="false" outlineLevel="0" collapsed="false">
      <c r="A36" s="22" t="n">
        <v>35</v>
      </c>
      <c r="B36" s="23" t="n">
        <v>45712</v>
      </c>
      <c r="C36" s="22" t="s">
        <v>150</v>
      </c>
      <c r="D36" s="24" t="n">
        <v>54</v>
      </c>
    </row>
    <row r="37" customFormat="false" ht="15" hidden="false" customHeight="false" outlineLevel="0" collapsed="false">
      <c r="A37" s="22" t="n">
        <v>36</v>
      </c>
      <c r="B37" s="23" t="n">
        <v>45719</v>
      </c>
      <c r="C37" s="22" t="s">
        <v>150</v>
      </c>
      <c r="D37" s="24" t="n">
        <v>60</v>
      </c>
    </row>
    <row r="38" customFormat="false" ht="15" hidden="false" customHeight="false" outlineLevel="0" collapsed="false">
      <c r="A38" s="22" t="n">
        <v>37</v>
      </c>
      <c r="B38" s="23" t="n">
        <v>45726</v>
      </c>
      <c r="C38" s="22" t="s">
        <v>150</v>
      </c>
      <c r="D38" s="24" t="n">
        <v>67</v>
      </c>
    </row>
    <row r="39" customFormat="false" ht="15" hidden="false" customHeight="false" outlineLevel="0" collapsed="false">
      <c r="A39" s="22" t="n">
        <v>38</v>
      </c>
      <c r="B39" s="23" t="n">
        <v>45733</v>
      </c>
      <c r="C39" s="22" t="s">
        <v>150</v>
      </c>
      <c r="D39" s="24" t="n">
        <v>55</v>
      </c>
    </row>
    <row r="40" customFormat="false" ht="15" hidden="false" customHeight="false" outlineLevel="0" collapsed="false">
      <c r="A40" s="22" t="n">
        <v>39</v>
      </c>
      <c r="B40" s="23" t="n">
        <v>45740</v>
      </c>
      <c r="C40" s="22" t="s">
        <v>150</v>
      </c>
      <c r="D40" s="24" t="n">
        <v>59</v>
      </c>
    </row>
    <row r="41" customFormat="false" ht="15" hidden="false" customHeight="false" outlineLevel="0" collapsed="false">
      <c r="A41" s="22" t="n">
        <v>40</v>
      </c>
      <c r="B41" s="23" t="n">
        <v>45747</v>
      </c>
      <c r="C41" s="22" t="s">
        <v>150</v>
      </c>
      <c r="D41" s="24" t="n">
        <v>61</v>
      </c>
    </row>
    <row r="42" customFormat="false" ht="15" hidden="false" customHeight="false" outlineLevel="0" collapsed="false">
      <c r="A42" s="22" t="n">
        <v>41</v>
      </c>
      <c r="B42" s="23" t="n">
        <v>45754</v>
      </c>
      <c r="C42" s="22" t="s">
        <v>150</v>
      </c>
      <c r="D42" s="24" t="n">
        <v>61</v>
      </c>
    </row>
    <row r="43" customFormat="false" ht="15" hidden="false" customHeight="false" outlineLevel="0" collapsed="false">
      <c r="A43" s="22" t="n">
        <v>42</v>
      </c>
      <c r="B43" s="23" t="n">
        <v>45761</v>
      </c>
      <c r="C43" s="22" t="s">
        <v>150</v>
      </c>
      <c r="D43" s="24" t="n">
        <v>50</v>
      </c>
    </row>
    <row r="44" customFormat="false" ht="15" hidden="false" customHeight="false" outlineLevel="0" collapsed="false">
      <c r="A44" s="22" t="n">
        <v>43</v>
      </c>
      <c r="B44" s="23" t="n">
        <v>45768</v>
      </c>
      <c r="C44" s="22" t="s">
        <v>150</v>
      </c>
      <c r="D44" s="24" t="n">
        <v>61</v>
      </c>
    </row>
    <row r="45" customFormat="false" ht="15" hidden="false" customHeight="false" outlineLevel="0" collapsed="false">
      <c r="A45" s="22" t="n">
        <v>44</v>
      </c>
      <c r="B45" s="23" t="n">
        <v>45775</v>
      </c>
      <c r="C45" s="22" t="s">
        <v>150</v>
      </c>
      <c r="D45" s="24" t="n">
        <v>71</v>
      </c>
    </row>
    <row r="46" customFormat="false" ht="15" hidden="false" customHeight="false" outlineLevel="0" collapsed="false">
      <c r="A46" s="22" t="n">
        <v>45</v>
      </c>
      <c r="B46" s="23" t="n">
        <v>45782</v>
      </c>
      <c r="C46" s="22" t="s">
        <v>150</v>
      </c>
      <c r="D46" s="24" t="n">
        <v>48</v>
      </c>
    </row>
    <row r="47" customFormat="false" ht="15" hidden="false" customHeight="false" outlineLevel="0" collapsed="false">
      <c r="A47" s="22" t="n">
        <v>46</v>
      </c>
      <c r="B47" s="23" t="n">
        <v>45789</v>
      </c>
      <c r="C47" s="22" t="s">
        <v>150</v>
      </c>
      <c r="D47" s="24" t="n">
        <v>67</v>
      </c>
    </row>
    <row r="48" customFormat="false" ht="15" hidden="false" customHeight="false" outlineLevel="0" collapsed="false">
      <c r="A48" s="22" t="n">
        <v>47</v>
      </c>
      <c r="B48" s="23" t="n">
        <v>45796</v>
      </c>
      <c r="C48" s="22" t="s">
        <v>150</v>
      </c>
      <c r="D48" s="24" t="n">
        <v>61</v>
      </c>
    </row>
    <row r="49" customFormat="false" ht="15" hidden="false" customHeight="false" outlineLevel="0" collapsed="false">
      <c r="A49" s="22" t="n">
        <v>48</v>
      </c>
      <c r="B49" s="23" t="n">
        <v>45803</v>
      </c>
      <c r="C49" s="22" t="s">
        <v>150</v>
      </c>
      <c r="D49" s="24" t="n">
        <v>55</v>
      </c>
    </row>
    <row r="50" customFormat="false" ht="15" hidden="false" customHeight="false" outlineLevel="0" collapsed="false">
      <c r="A50" s="22" t="n">
        <v>49</v>
      </c>
      <c r="B50" s="23" t="n">
        <v>45810</v>
      </c>
      <c r="C50" s="22" t="s">
        <v>150</v>
      </c>
      <c r="D50" s="24" t="n">
        <v>76</v>
      </c>
    </row>
    <row r="51" customFormat="false" ht="15" hidden="false" customHeight="false" outlineLevel="0" collapsed="false">
      <c r="A51" s="22" t="n">
        <v>50</v>
      </c>
      <c r="B51" s="23" t="n">
        <v>45817</v>
      </c>
      <c r="C51" s="22" t="s">
        <v>150</v>
      </c>
      <c r="D51" s="24" t="n">
        <v>66</v>
      </c>
    </row>
    <row r="52" customFormat="false" ht="15" hidden="false" customHeight="false" outlineLevel="0" collapsed="false">
      <c r="A52" s="22" t="n">
        <v>51</v>
      </c>
      <c r="B52" s="23" t="n">
        <v>45824</v>
      </c>
      <c r="C52" s="22" t="s">
        <v>150</v>
      </c>
      <c r="D52" s="24" t="n">
        <v>51</v>
      </c>
    </row>
    <row r="53" customFormat="false" ht="15" hidden="false" customHeight="false" outlineLevel="0" collapsed="false">
      <c r="A53" s="22" t="n">
        <v>52</v>
      </c>
      <c r="B53" s="23" t="n">
        <v>45831</v>
      </c>
      <c r="C53" s="22" t="s">
        <v>150</v>
      </c>
      <c r="D53" s="24" t="n">
        <v>61</v>
      </c>
    </row>
    <row r="54" customFormat="false" ht="15" hidden="false" customHeight="false" outlineLevel="0" collapsed="false">
      <c r="A54" s="22" t="n">
        <v>53</v>
      </c>
      <c r="B54" s="23" t="n">
        <v>45838</v>
      </c>
      <c r="C54" s="22" t="s">
        <v>150</v>
      </c>
      <c r="D54" s="24" t="n">
        <v>65</v>
      </c>
    </row>
    <row r="55" customFormat="false" ht="15" hidden="false" customHeight="false" outlineLevel="0" collapsed="false">
      <c r="A55" s="22" t="n">
        <v>54</v>
      </c>
      <c r="B55" s="23" t="n">
        <v>45845</v>
      </c>
      <c r="C55" s="22" t="s">
        <v>150</v>
      </c>
      <c r="D55" s="24" t="n">
        <v>59</v>
      </c>
    </row>
    <row r="56" customFormat="false" ht="15" hidden="false" customHeight="false" outlineLevel="0" collapsed="false">
      <c r="A56" s="22" t="n">
        <v>55</v>
      </c>
      <c r="B56" s="23" t="n">
        <v>45852</v>
      </c>
      <c r="C56" s="22" t="s">
        <v>150</v>
      </c>
      <c r="D56" s="24" t="n">
        <v>65</v>
      </c>
    </row>
    <row r="57" customFormat="false" ht="15" hidden="false" customHeight="false" outlineLevel="0" collapsed="false">
      <c r="A57" s="22" t="n">
        <v>56</v>
      </c>
      <c r="B57" s="23" t="n">
        <v>45859</v>
      </c>
      <c r="C57" s="22" t="s">
        <v>150</v>
      </c>
      <c r="D57" s="24" t="n">
        <v>59</v>
      </c>
    </row>
    <row r="58" customFormat="false" ht="15" hidden="false" customHeight="false" outlineLevel="0" collapsed="false">
      <c r="A58" s="22" t="n">
        <v>57</v>
      </c>
      <c r="B58" s="23" t="n">
        <v>45866</v>
      </c>
      <c r="C58" s="22" t="s">
        <v>150</v>
      </c>
      <c r="D58" s="24" t="n">
        <v>65</v>
      </c>
    </row>
    <row r="59" customFormat="false" ht="15" hidden="false" customHeight="false" outlineLevel="0" collapsed="false">
      <c r="A59" s="22" t="n">
        <v>58</v>
      </c>
      <c r="B59" s="23" t="n">
        <v>45873</v>
      </c>
      <c r="C59" s="22" t="s">
        <v>150</v>
      </c>
      <c r="D59" s="24" t="n">
        <v>71</v>
      </c>
    </row>
    <row r="60" customFormat="false" ht="15" hidden="false" customHeight="false" outlineLevel="0" collapsed="false">
      <c r="A60" s="22" t="n">
        <v>59</v>
      </c>
      <c r="B60" s="23" t="n">
        <v>45880</v>
      </c>
      <c r="C60" s="22" t="s">
        <v>150</v>
      </c>
      <c r="D60" s="24" t="n">
        <v>55</v>
      </c>
    </row>
    <row r="61" customFormat="false" ht="15" hidden="false" customHeight="false" outlineLevel="0" collapsed="false">
      <c r="A61" s="22" t="n">
        <v>60</v>
      </c>
      <c r="B61" s="23" t="n">
        <v>45887</v>
      </c>
      <c r="C61" s="22" t="s">
        <v>150</v>
      </c>
      <c r="D61" s="24" t="n">
        <v>62</v>
      </c>
    </row>
    <row r="62" customFormat="false" ht="15" hidden="false" customHeight="false" outlineLevel="0" collapsed="false">
      <c r="A62" s="22" t="n">
        <v>61</v>
      </c>
      <c r="B62" s="23" t="n">
        <v>45894</v>
      </c>
      <c r="C62" s="22" t="s">
        <v>150</v>
      </c>
      <c r="D62" s="24" t="n">
        <v>56</v>
      </c>
    </row>
    <row r="63" customFormat="false" ht="15" hidden="false" customHeight="false" outlineLevel="0" collapsed="false">
      <c r="A63" s="22" t="n">
        <v>62</v>
      </c>
      <c r="B63" s="23" t="n">
        <v>45901</v>
      </c>
      <c r="C63" s="22" t="s">
        <v>150</v>
      </c>
      <c r="D63" s="24" t="n">
        <v>61</v>
      </c>
    </row>
    <row r="64" customFormat="false" ht="15" hidden="false" customHeight="false" outlineLevel="0" collapsed="false">
      <c r="A64" s="22" t="n">
        <v>63</v>
      </c>
      <c r="B64" s="23" t="n">
        <v>45908</v>
      </c>
      <c r="C64" s="22" t="s">
        <v>150</v>
      </c>
      <c r="D64" s="24" t="n">
        <v>51</v>
      </c>
    </row>
    <row r="65" customFormat="false" ht="15" hidden="false" customHeight="false" outlineLevel="0" collapsed="false">
      <c r="A65" s="22" t="n">
        <v>64</v>
      </c>
      <c r="B65" s="23" t="n">
        <v>45915</v>
      </c>
      <c r="C65" s="22" t="s">
        <v>150</v>
      </c>
      <c r="D65" s="24" t="n">
        <v>55</v>
      </c>
    </row>
    <row r="66" customFormat="false" ht="15" hidden="false" customHeight="false" outlineLevel="0" collapsed="false">
      <c r="A66" s="22" t="n">
        <v>65</v>
      </c>
      <c r="B66" s="23" t="n">
        <v>45922</v>
      </c>
      <c r="C66" s="22" t="s">
        <v>150</v>
      </c>
      <c r="D66" s="24" t="n">
        <v>58</v>
      </c>
    </row>
    <row r="67" customFormat="false" ht="15" hidden="false" customHeight="false" outlineLevel="0" collapsed="false">
      <c r="A67" s="22" t="n">
        <v>66</v>
      </c>
      <c r="B67" s="23" t="n">
        <v>45929</v>
      </c>
      <c r="C67" s="22" t="s">
        <v>150</v>
      </c>
      <c r="D67" s="24" t="n">
        <v>67</v>
      </c>
    </row>
    <row r="68" customFormat="false" ht="15" hidden="false" customHeight="false" outlineLevel="0" collapsed="false">
      <c r="A68" s="22" t="n">
        <v>67</v>
      </c>
      <c r="B68" s="23" t="n">
        <v>45936</v>
      </c>
      <c r="C68" s="22" t="s">
        <v>150</v>
      </c>
      <c r="D68" s="24" t="n">
        <v>69</v>
      </c>
    </row>
    <row r="69" customFormat="false" ht="15" hidden="false" customHeight="false" outlineLevel="0" collapsed="false">
      <c r="A69" s="22" t="n">
        <v>68</v>
      </c>
      <c r="B69" s="23" t="n">
        <v>45943</v>
      </c>
      <c r="C69" s="22" t="s">
        <v>150</v>
      </c>
      <c r="D69" s="24" t="n">
        <v>50</v>
      </c>
    </row>
    <row r="70" customFormat="false" ht="15" hidden="false" customHeight="false" outlineLevel="0" collapsed="false">
      <c r="A70" s="22" t="n">
        <v>69</v>
      </c>
      <c r="B70" s="23" t="n">
        <v>45950</v>
      </c>
      <c r="C70" s="22" t="s">
        <v>150</v>
      </c>
      <c r="D70" s="24" t="n">
        <v>54</v>
      </c>
    </row>
    <row r="71" customFormat="false" ht="15" hidden="false" customHeight="false" outlineLevel="0" collapsed="false">
      <c r="A71" s="22" t="n">
        <v>70</v>
      </c>
      <c r="B71" s="23" t="n">
        <v>45957</v>
      </c>
      <c r="C71" s="22" t="s">
        <v>150</v>
      </c>
      <c r="D71" s="24" t="n">
        <v>65</v>
      </c>
    </row>
    <row r="72" customFormat="false" ht="15" hidden="false" customHeight="false" outlineLevel="0" collapsed="false">
      <c r="A72" s="22" t="n">
        <v>71</v>
      </c>
      <c r="B72" s="23" t="n">
        <v>45964</v>
      </c>
      <c r="C72" s="22" t="s">
        <v>150</v>
      </c>
      <c r="D72" s="24" t="n">
        <v>44</v>
      </c>
    </row>
    <row r="73" customFormat="false" ht="15" hidden="false" customHeight="false" outlineLevel="0" collapsed="false">
      <c r="A73" s="22" t="n">
        <v>72</v>
      </c>
      <c r="B73" s="23" t="n">
        <v>45971</v>
      </c>
      <c r="C73" s="22" t="s">
        <v>150</v>
      </c>
      <c r="D73" s="24" t="n">
        <v>56</v>
      </c>
    </row>
    <row r="74" customFormat="false" ht="15" hidden="false" customHeight="false" outlineLevel="0" collapsed="false">
      <c r="A74" s="22" t="n">
        <v>73</v>
      </c>
      <c r="B74" s="23" t="n">
        <v>45978</v>
      </c>
      <c r="C74" s="22" t="s">
        <v>150</v>
      </c>
      <c r="D74" s="24" t="n">
        <v>59</v>
      </c>
    </row>
    <row r="75" customFormat="false" ht="15" hidden="false" customHeight="false" outlineLevel="0" collapsed="false">
      <c r="A75" s="22" t="n">
        <v>74</v>
      </c>
      <c r="B75" s="23" t="n">
        <v>45985</v>
      </c>
      <c r="C75" s="22" t="s">
        <v>150</v>
      </c>
      <c r="D75" s="24" t="n">
        <v>70</v>
      </c>
    </row>
    <row r="76" customFormat="false" ht="15" hidden="false" customHeight="false" outlineLevel="0" collapsed="false">
      <c r="A76" s="22" t="n">
        <v>75</v>
      </c>
      <c r="B76" s="23" t="n">
        <v>45992</v>
      </c>
      <c r="C76" s="22" t="s">
        <v>150</v>
      </c>
      <c r="D76" s="24" t="n">
        <v>65</v>
      </c>
    </row>
    <row r="77" customFormat="false" ht="15" hidden="false" customHeight="false" outlineLevel="0" collapsed="false">
      <c r="A77" s="22" t="n">
        <v>76</v>
      </c>
      <c r="B77" s="23" t="n">
        <v>45999</v>
      </c>
      <c r="C77" s="22" t="s">
        <v>150</v>
      </c>
      <c r="D77" s="24" t="n">
        <v>57</v>
      </c>
    </row>
    <row r="78" customFormat="false" ht="15" hidden="false" customHeight="false" outlineLevel="0" collapsed="false">
      <c r="A78" s="22" t="n">
        <v>77</v>
      </c>
      <c r="B78" s="23" t="n">
        <v>46006</v>
      </c>
      <c r="C78" s="22" t="s">
        <v>150</v>
      </c>
      <c r="D78" s="24" t="n">
        <v>57</v>
      </c>
    </row>
    <row r="79" customFormat="false" ht="15" hidden="false" customHeight="false" outlineLevel="0" collapsed="false">
      <c r="A79" s="22" t="n">
        <v>78</v>
      </c>
      <c r="B79" s="23" t="n">
        <v>46013</v>
      </c>
      <c r="C79" s="22" t="s">
        <v>150</v>
      </c>
      <c r="D79" s="24" t="n">
        <v>58</v>
      </c>
    </row>
    <row r="80" customFormat="false" ht="15" hidden="false" customHeight="false" outlineLevel="0" collapsed="false">
      <c r="A80" s="22" t="n">
        <v>79</v>
      </c>
      <c r="B80" s="23" t="n">
        <v>46020</v>
      </c>
      <c r="C80" s="22" t="s">
        <v>150</v>
      </c>
      <c r="D80" s="24" t="n">
        <v>72</v>
      </c>
    </row>
    <row r="81" customFormat="false" ht="15" hidden="false" customHeight="false" outlineLevel="0" collapsed="false">
      <c r="A81" s="22" t="n">
        <v>80</v>
      </c>
      <c r="B81" s="23" t="n">
        <v>46027</v>
      </c>
      <c r="C81" s="22" t="s">
        <v>150</v>
      </c>
      <c r="D81" s="24" t="n">
        <v>57</v>
      </c>
    </row>
    <row r="82" customFormat="false" ht="15" hidden="false" customHeight="false" outlineLevel="0" collapsed="false">
      <c r="A82" s="22" t="n">
        <v>81</v>
      </c>
      <c r="B82" s="23" t="n">
        <v>46034</v>
      </c>
      <c r="C82" s="22" t="s">
        <v>150</v>
      </c>
      <c r="D82" s="24" t="n">
        <v>58</v>
      </c>
    </row>
    <row r="83" customFormat="false" ht="15" hidden="false" customHeight="false" outlineLevel="0" collapsed="false">
      <c r="A83" s="22" t="n">
        <v>82</v>
      </c>
      <c r="B83" s="23" t="n">
        <v>46041</v>
      </c>
      <c r="C83" s="22" t="s">
        <v>150</v>
      </c>
      <c r="D83" s="24" t="n">
        <v>63</v>
      </c>
    </row>
    <row r="84" customFormat="false" ht="15" hidden="false" customHeight="false" outlineLevel="0" collapsed="false">
      <c r="A84" s="22" t="n">
        <v>83</v>
      </c>
      <c r="B84" s="23" t="n">
        <v>46048</v>
      </c>
      <c r="C84" s="22" t="s">
        <v>150</v>
      </c>
      <c r="D84" s="24" t="n">
        <v>59</v>
      </c>
    </row>
    <row r="85" customFormat="false" ht="15" hidden="false" customHeight="false" outlineLevel="0" collapsed="false">
      <c r="A85" s="22" t="n">
        <v>84</v>
      </c>
      <c r="B85" s="23" t="n">
        <v>46055</v>
      </c>
      <c r="C85" s="22" t="s">
        <v>150</v>
      </c>
      <c r="D85" s="24" t="n">
        <v>58</v>
      </c>
    </row>
    <row r="86" customFormat="false" ht="15" hidden="false" customHeight="false" outlineLevel="0" collapsed="false">
      <c r="A86" s="22" t="n">
        <v>85</v>
      </c>
      <c r="B86" s="23" t="n">
        <v>46062</v>
      </c>
      <c r="C86" s="22" t="s">
        <v>150</v>
      </c>
      <c r="D86" s="24" t="n">
        <v>51</v>
      </c>
    </row>
    <row r="87" customFormat="false" ht="15" hidden="false" customHeight="false" outlineLevel="0" collapsed="false">
      <c r="A87" s="22" t="n">
        <v>86</v>
      </c>
      <c r="B87" s="23" t="n">
        <v>46069</v>
      </c>
      <c r="C87" s="22" t="s">
        <v>150</v>
      </c>
      <c r="D87" s="24" t="n">
        <v>60</v>
      </c>
    </row>
    <row r="88" customFormat="false" ht="15" hidden="false" customHeight="false" outlineLevel="0" collapsed="false">
      <c r="A88" s="22" t="n">
        <v>87</v>
      </c>
      <c r="B88" s="23" t="n">
        <v>46076</v>
      </c>
      <c r="C88" s="22" t="s">
        <v>150</v>
      </c>
      <c r="D88" s="24" t="n">
        <v>57</v>
      </c>
    </row>
    <row r="89" customFormat="false" ht="15" hidden="false" customHeight="false" outlineLevel="0" collapsed="false">
      <c r="A89" s="22" t="n">
        <v>88</v>
      </c>
      <c r="B89" s="23" t="n">
        <v>46083</v>
      </c>
      <c r="C89" s="22" t="s">
        <v>150</v>
      </c>
      <c r="D89" s="24" t="n">
        <v>69</v>
      </c>
    </row>
    <row r="90" customFormat="false" ht="15" hidden="false" customHeight="false" outlineLevel="0" collapsed="false">
      <c r="A90" s="22" t="n">
        <v>89</v>
      </c>
      <c r="B90" s="23" t="n">
        <v>46090</v>
      </c>
      <c r="C90" s="22" t="s">
        <v>150</v>
      </c>
      <c r="D90" s="24" t="n">
        <v>65</v>
      </c>
    </row>
    <row r="91" customFormat="false" ht="15" hidden="false" customHeight="false" outlineLevel="0" collapsed="false">
      <c r="A91" s="22" t="n">
        <v>90</v>
      </c>
      <c r="B91" s="23" t="n">
        <v>46097</v>
      </c>
      <c r="C91" s="22" t="s">
        <v>150</v>
      </c>
      <c r="D91" s="24" t="n">
        <v>60</v>
      </c>
    </row>
    <row r="92" customFormat="false" ht="15" hidden="false" customHeight="false" outlineLevel="0" collapsed="false">
      <c r="A92" s="22" t="n">
        <v>91</v>
      </c>
      <c r="B92" s="23" t="n">
        <v>46104</v>
      </c>
      <c r="C92" s="22" t="s">
        <v>150</v>
      </c>
      <c r="D92" s="24" t="n">
        <v>65</v>
      </c>
    </row>
    <row r="93" customFormat="false" ht="15" hidden="false" customHeight="false" outlineLevel="0" collapsed="false">
      <c r="A93" s="22" t="n">
        <v>92</v>
      </c>
      <c r="B93" s="23" t="n">
        <v>46111</v>
      </c>
      <c r="C93" s="22" t="s">
        <v>150</v>
      </c>
      <c r="D93" s="24" t="n">
        <v>57</v>
      </c>
    </row>
    <row r="94" customFormat="false" ht="15" hidden="false" customHeight="false" outlineLevel="0" collapsed="false">
      <c r="A94" s="22" t="n">
        <v>93</v>
      </c>
      <c r="B94" s="23" t="n">
        <v>46118</v>
      </c>
      <c r="C94" s="22" t="s">
        <v>150</v>
      </c>
      <c r="D94" s="24" t="n">
        <v>68</v>
      </c>
    </row>
    <row r="95" customFormat="false" ht="15" hidden="false" customHeight="false" outlineLevel="0" collapsed="false">
      <c r="A95" s="22" t="n">
        <v>94</v>
      </c>
      <c r="B95" s="23" t="n">
        <v>46125</v>
      </c>
      <c r="C95" s="22" t="s">
        <v>150</v>
      </c>
      <c r="D95" s="24" t="n">
        <v>60</v>
      </c>
    </row>
    <row r="96" customFormat="false" ht="15" hidden="false" customHeight="false" outlineLevel="0" collapsed="false">
      <c r="A96" s="22" t="n">
        <v>95</v>
      </c>
      <c r="B96" s="23" t="n">
        <v>46132</v>
      </c>
      <c r="C96" s="22" t="s">
        <v>150</v>
      </c>
      <c r="D96" s="24" t="n">
        <v>65</v>
      </c>
    </row>
    <row r="97" customFormat="false" ht="15" hidden="false" customHeight="false" outlineLevel="0" collapsed="false">
      <c r="A97" s="22" t="n">
        <v>96</v>
      </c>
      <c r="B97" s="23" t="n">
        <v>46139</v>
      </c>
      <c r="C97" s="22" t="s">
        <v>150</v>
      </c>
      <c r="D97" s="24" t="n">
        <v>50</v>
      </c>
    </row>
    <row r="98" customFormat="false" ht="15" hidden="false" customHeight="false" outlineLevel="0" collapsed="false">
      <c r="A98" s="22" t="n">
        <v>97</v>
      </c>
      <c r="B98" s="23" t="n">
        <v>46146</v>
      </c>
      <c r="C98" s="22" t="s">
        <v>150</v>
      </c>
      <c r="D98" s="24" t="n">
        <v>63</v>
      </c>
    </row>
    <row r="99" customFormat="false" ht="15" hidden="false" customHeight="false" outlineLevel="0" collapsed="false">
      <c r="A99" s="22" t="n">
        <v>98</v>
      </c>
      <c r="B99" s="23" t="n">
        <v>46153</v>
      </c>
      <c r="C99" s="22" t="s">
        <v>150</v>
      </c>
      <c r="D99" s="24" t="n">
        <v>47</v>
      </c>
    </row>
    <row r="100" customFormat="false" ht="15" hidden="false" customHeight="false" outlineLevel="0" collapsed="false">
      <c r="A100" s="22" t="n">
        <v>99</v>
      </c>
      <c r="B100" s="23" t="n">
        <v>46160</v>
      </c>
      <c r="C100" s="22" t="s">
        <v>150</v>
      </c>
      <c r="D100" s="24" t="n">
        <v>44</v>
      </c>
    </row>
    <row r="101" customFormat="false" ht="15" hidden="false" customHeight="false" outlineLevel="0" collapsed="false">
      <c r="A101" s="22" t="n">
        <v>100</v>
      </c>
      <c r="B101" s="23" t="n">
        <v>46167</v>
      </c>
      <c r="C101" s="22" t="s">
        <v>150</v>
      </c>
      <c r="D101" s="24" t="n">
        <v>58</v>
      </c>
    </row>
    <row r="102" customFormat="false" ht="15" hidden="false" customHeight="false" outlineLevel="0" collapsed="false">
      <c r="A102" s="22" t="n">
        <v>101</v>
      </c>
      <c r="B102" s="23" t="n">
        <v>46174</v>
      </c>
      <c r="C102" s="22" t="s">
        <v>150</v>
      </c>
      <c r="D102" s="24" t="n">
        <v>53</v>
      </c>
    </row>
    <row r="103" customFormat="false" ht="15" hidden="false" customHeight="false" outlineLevel="0" collapsed="false">
      <c r="A103" s="22" t="n">
        <v>102</v>
      </c>
      <c r="B103" s="23" t="n">
        <v>46181</v>
      </c>
      <c r="C103" s="22" t="s">
        <v>150</v>
      </c>
      <c r="D103" s="24" t="n">
        <v>61</v>
      </c>
    </row>
    <row r="104" customFormat="false" ht="15" hidden="false" customHeight="false" outlineLevel="0" collapsed="false">
      <c r="A104" s="22" t="n">
        <v>103</v>
      </c>
      <c r="B104" s="23" t="n">
        <v>46188</v>
      </c>
      <c r="C104" s="22" t="s">
        <v>150</v>
      </c>
      <c r="D104" s="24" t="n">
        <v>78</v>
      </c>
    </row>
    <row r="105" customFormat="false" ht="15" hidden="false" customHeight="false" outlineLevel="0" collapsed="false">
      <c r="A105" s="22" t="n">
        <v>104</v>
      </c>
      <c r="B105" s="23" t="n">
        <v>46195</v>
      </c>
      <c r="C105" s="22" t="s">
        <v>150</v>
      </c>
      <c r="D105" s="24" t="n">
        <v>53</v>
      </c>
    </row>
    <row r="106" customFormat="false" ht="15" hidden="false" customHeight="false" outlineLevel="0" collapsed="false">
      <c r="A106" s="22" t="n">
        <v>1</v>
      </c>
      <c r="B106" s="23" t="n">
        <v>45474</v>
      </c>
      <c r="C106" s="22" t="s">
        <v>154</v>
      </c>
      <c r="D106" s="24" t="n">
        <v>48</v>
      </c>
    </row>
    <row r="107" customFormat="false" ht="15" hidden="false" customHeight="false" outlineLevel="0" collapsed="false">
      <c r="A107" s="22" t="n">
        <v>2</v>
      </c>
      <c r="B107" s="23" t="n">
        <v>45481</v>
      </c>
      <c r="C107" s="22" t="s">
        <v>154</v>
      </c>
      <c r="D107" s="24" t="n">
        <v>53</v>
      </c>
    </row>
    <row r="108" customFormat="false" ht="15" hidden="false" customHeight="false" outlineLevel="0" collapsed="false">
      <c r="A108" s="22" t="n">
        <v>3</v>
      </c>
      <c r="B108" s="23" t="n">
        <v>45488</v>
      </c>
      <c r="C108" s="22" t="s">
        <v>154</v>
      </c>
      <c r="D108" s="24" t="n">
        <v>42</v>
      </c>
    </row>
    <row r="109" customFormat="false" ht="15" hidden="false" customHeight="false" outlineLevel="0" collapsed="false">
      <c r="A109" s="22" t="n">
        <v>4</v>
      </c>
      <c r="B109" s="23" t="n">
        <v>45495</v>
      </c>
      <c r="C109" s="22" t="s">
        <v>154</v>
      </c>
      <c r="D109" s="24" t="n">
        <v>42</v>
      </c>
    </row>
    <row r="110" customFormat="false" ht="15" hidden="false" customHeight="false" outlineLevel="0" collapsed="false">
      <c r="A110" s="22" t="n">
        <v>5</v>
      </c>
      <c r="B110" s="23" t="n">
        <v>45502</v>
      </c>
      <c r="C110" s="22" t="s">
        <v>154</v>
      </c>
      <c r="D110" s="24" t="n">
        <v>56</v>
      </c>
    </row>
    <row r="111" customFormat="false" ht="15" hidden="false" customHeight="false" outlineLevel="0" collapsed="false">
      <c r="A111" s="22" t="n">
        <v>6</v>
      </c>
      <c r="B111" s="23" t="n">
        <v>45509</v>
      </c>
      <c r="C111" s="22" t="s">
        <v>154</v>
      </c>
      <c r="D111" s="24" t="n">
        <v>53</v>
      </c>
    </row>
    <row r="112" customFormat="false" ht="15" hidden="false" customHeight="false" outlineLevel="0" collapsed="false">
      <c r="A112" s="22" t="n">
        <v>7</v>
      </c>
      <c r="B112" s="23" t="n">
        <v>45516</v>
      </c>
      <c r="C112" s="22" t="s">
        <v>154</v>
      </c>
      <c r="D112" s="24" t="n">
        <v>29</v>
      </c>
    </row>
    <row r="113" customFormat="false" ht="15" hidden="false" customHeight="false" outlineLevel="0" collapsed="false">
      <c r="A113" s="22" t="n">
        <v>8</v>
      </c>
      <c r="B113" s="23" t="n">
        <v>45523</v>
      </c>
      <c r="C113" s="22" t="s">
        <v>154</v>
      </c>
      <c r="D113" s="24" t="n">
        <v>44</v>
      </c>
    </row>
    <row r="114" customFormat="false" ht="15" hidden="false" customHeight="false" outlineLevel="0" collapsed="false">
      <c r="A114" s="22" t="n">
        <v>9</v>
      </c>
      <c r="B114" s="23" t="n">
        <v>45530</v>
      </c>
      <c r="C114" s="22" t="s">
        <v>154</v>
      </c>
      <c r="D114" s="24" t="n">
        <v>46</v>
      </c>
    </row>
    <row r="115" customFormat="false" ht="15" hidden="false" customHeight="false" outlineLevel="0" collapsed="false">
      <c r="A115" s="22" t="n">
        <v>10</v>
      </c>
      <c r="B115" s="23" t="n">
        <v>45537</v>
      </c>
      <c r="C115" s="22" t="s">
        <v>154</v>
      </c>
      <c r="D115" s="24" t="n">
        <v>29</v>
      </c>
    </row>
    <row r="116" customFormat="false" ht="15" hidden="false" customHeight="false" outlineLevel="0" collapsed="false">
      <c r="A116" s="22" t="n">
        <v>11</v>
      </c>
      <c r="B116" s="23" t="n">
        <v>45544</v>
      </c>
      <c r="C116" s="22" t="s">
        <v>154</v>
      </c>
      <c r="D116" s="24" t="n">
        <v>49</v>
      </c>
    </row>
    <row r="117" customFormat="false" ht="15" hidden="false" customHeight="false" outlineLevel="0" collapsed="false">
      <c r="A117" s="22" t="n">
        <v>12</v>
      </c>
      <c r="B117" s="23" t="n">
        <v>45551</v>
      </c>
      <c r="C117" s="22" t="s">
        <v>154</v>
      </c>
      <c r="D117" s="24" t="n">
        <v>32</v>
      </c>
    </row>
    <row r="118" customFormat="false" ht="15" hidden="false" customHeight="false" outlineLevel="0" collapsed="false">
      <c r="A118" s="22" t="n">
        <v>13</v>
      </c>
      <c r="B118" s="23" t="n">
        <v>45558</v>
      </c>
      <c r="C118" s="22" t="s">
        <v>154</v>
      </c>
      <c r="D118" s="24" t="n">
        <v>60</v>
      </c>
    </row>
    <row r="119" customFormat="false" ht="15" hidden="false" customHeight="false" outlineLevel="0" collapsed="false">
      <c r="A119" s="22" t="n">
        <v>14</v>
      </c>
      <c r="B119" s="23" t="n">
        <v>45565</v>
      </c>
      <c r="C119" s="22" t="s">
        <v>154</v>
      </c>
      <c r="D119" s="24" t="n">
        <v>48</v>
      </c>
    </row>
    <row r="120" customFormat="false" ht="15" hidden="false" customHeight="false" outlineLevel="0" collapsed="false">
      <c r="A120" s="22" t="n">
        <v>15</v>
      </c>
      <c r="B120" s="23" t="n">
        <v>45572</v>
      </c>
      <c r="C120" s="22" t="s">
        <v>154</v>
      </c>
      <c r="D120" s="24" t="n">
        <v>46</v>
      </c>
    </row>
    <row r="121" customFormat="false" ht="15" hidden="false" customHeight="false" outlineLevel="0" collapsed="false">
      <c r="A121" s="22" t="n">
        <v>16</v>
      </c>
      <c r="B121" s="23" t="n">
        <v>45579</v>
      </c>
      <c r="C121" s="22" t="s">
        <v>154</v>
      </c>
      <c r="D121" s="24" t="n">
        <v>36</v>
      </c>
    </row>
    <row r="122" customFormat="false" ht="15" hidden="false" customHeight="false" outlineLevel="0" collapsed="false">
      <c r="A122" s="22" t="n">
        <v>17</v>
      </c>
      <c r="B122" s="23" t="n">
        <v>45586</v>
      </c>
      <c r="C122" s="22" t="s">
        <v>154</v>
      </c>
      <c r="D122" s="24" t="n">
        <v>43</v>
      </c>
    </row>
    <row r="123" customFormat="false" ht="15" hidden="false" customHeight="false" outlineLevel="0" collapsed="false">
      <c r="A123" s="22" t="n">
        <v>18</v>
      </c>
      <c r="B123" s="23" t="n">
        <v>45593</v>
      </c>
      <c r="C123" s="22" t="s">
        <v>154</v>
      </c>
      <c r="D123" s="24" t="n">
        <v>15</v>
      </c>
    </row>
    <row r="124" customFormat="false" ht="15" hidden="false" customHeight="false" outlineLevel="0" collapsed="false">
      <c r="A124" s="22" t="n">
        <v>19</v>
      </c>
      <c r="B124" s="23" t="n">
        <v>45600</v>
      </c>
      <c r="C124" s="22" t="s">
        <v>154</v>
      </c>
      <c r="D124" s="24" t="n">
        <v>28</v>
      </c>
    </row>
    <row r="125" customFormat="false" ht="15" hidden="false" customHeight="false" outlineLevel="0" collapsed="false">
      <c r="A125" s="22" t="n">
        <v>20</v>
      </c>
      <c r="B125" s="23" t="n">
        <v>45607</v>
      </c>
      <c r="C125" s="22" t="s">
        <v>154</v>
      </c>
      <c r="D125" s="24" t="n">
        <v>51</v>
      </c>
    </row>
    <row r="126" customFormat="false" ht="15" hidden="false" customHeight="false" outlineLevel="0" collapsed="false">
      <c r="A126" s="22" t="n">
        <v>21</v>
      </c>
      <c r="B126" s="23" t="n">
        <v>45614</v>
      </c>
      <c r="C126" s="22" t="s">
        <v>154</v>
      </c>
      <c r="D126" s="24" t="n">
        <v>13</v>
      </c>
    </row>
    <row r="127" customFormat="false" ht="15" hidden="false" customHeight="false" outlineLevel="0" collapsed="false">
      <c r="A127" s="22" t="n">
        <v>22</v>
      </c>
      <c r="B127" s="23" t="n">
        <v>45621</v>
      </c>
      <c r="C127" s="22" t="s">
        <v>154</v>
      </c>
      <c r="D127" s="24" t="n">
        <v>58</v>
      </c>
    </row>
    <row r="128" customFormat="false" ht="15" hidden="false" customHeight="false" outlineLevel="0" collapsed="false">
      <c r="A128" s="22" t="n">
        <v>23</v>
      </c>
      <c r="B128" s="23" t="n">
        <v>45628</v>
      </c>
      <c r="C128" s="22" t="s">
        <v>154</v>
      </c>
      <c r="D128" s="24" t="n">
        <v>18</v>
      </c>
    </row>
    <row r="129" customFormat="false" ht="15" hidden="false" customHeight="false" outlineLevel="0" collapsed="false">
      <c r="A129" s="22" t="n">
        <v>24</v>
      </c>
      <c r="B129" s="23" t="n">
        <v>45635</v>
      </c>
      <c r="C129" s="22" t="s">
        <v>154</v>
      </c>
      <c r="D129" s="24" t="n">
        <v>57</v>
      </c>
    </row>
    <row r="130" customFormat="false" ht="15" hidden="false" customHeight="false" outlineLevel="0" collapsed="false">
      <c r="A130" s="22" t="n">
        <v>25</v>
      </c>
      <c r="B130" s="23" t="n">
        <v>45642</v>
      </c>
      <c r="C130" s="22" t="s">
        <v>154</v>
      </c>
      <c r="D130" s="24" t="n">
        <v>32</v>
      </c>
    </row>
    <row r="131" customFormat="false" ht="15" hidden="false" customHeight="false" outlineLevel="0" collapsed="false">
      <c r="A131" s="22" t="n">
        <v>26</v>
      </c>
      <c r="B131" s="23" t="n">
        <v>45649</v>
      </c>
      <c r="C131" s="22" t="s">
        <v>154</v>
      </c>
      <c r="D131" s="24" t="n">
        <v>57</v>
      </c>
    </row>
    <row r="132" customFormat="false" ht="15" hidden="false" customHeight="false" outlineLevel="0" collapsed="false">
      <c r="A132" s="22" t="n">
        <v>27</v>
      </c>
      <c r="B132" s="23" t="n">
        <v>45656</v>
      </c>
      <c r="C132" s="22" t="s">
        <v>154</v>
      </c>
      <c r="D132" s="24" t="n">
        <v>47</v>
      </c>
    </row>
    <row r="133" customFormat="false" ht="15" hidden="false" customHeight="false" outlineLevel="0" collapsed="false">
      <c r="A133" s="22" t="n">
        <v>28</v>
      </c>
      <c r="B133" s="23" t="n">
        <v>45663</v>
      </c>
      <c r="C133" s="22" t="s">
        <v>154</v>
      </c>
      <c r="D133" s="24" t="n">
        <v>22</v>
      </c>
    </row>
    <row r="134" customFormat="false" ht="15" hidden="false" customHeight="false" outlineLevel="0" collapsed="false">
      <c r="A134" s="22" t="n">
        <v>29</v>
      </c>
      <c r="B134" s="23" t="n">
        <v>45670</v>
      </c>
      <c r="C134" s="22" t="s">
        <v>154</v>
      </c>
      <c r="D134" s="24" t="n">
        <v>64</v>
      </c>
    </row>
    <row r="135" customFormat="false" ht="15" hidden="false" customHeight="false" outlineLevel="0" collapsed="false">
      <c r="A135" s="22" t="n">
        <v>30</v>
      </c>
      <c r="B135" s="23" t="n">
        <v>45677</v>
      </c>
      <c r="C135" s="22" t="s">
        <v>154</v>
      </c>
      <c r="D135" s="24" t="n">
        <v>67</v>
      </c>
    </row>
    <row r="136" customFormat="false" ht="15" hidden="false" customHeight="false" outlineLevel="0" collapsed="false">
      <c r="A136" s="22" t="n">
        <v>31</v>
      </c>
      <c r="B136" s="23" t="n">
        <v>45684</v>
      </c>
      <c r="C136" s="22" t="s">
        <v>154</v>
      </c>
      <c r="D136" s="24" t="n">
        <v>44</v>
      </c>
    </row>
    <row r="137" customFormat="false" ht="15" hidden="false" customHeight="false" outlineLevel="0" collapsed="false">
      <c r="A137" s="22" t="n">
        <v>32</v>
      </c>
      <c r="B137" s="23" t="n">
        <v>45691</v>
      </c>
      <c r="C137" s="22" t="s">
        <v>154</v>
      </c>
      <c r="D137" s="24" t="n">
        <v>41</v>
      </c>
    </row>
    <row r="138" customFormat="false" ht="15" hidden="false" customHeight="false" outlineLevel="0" collapsed="false">
      <c r="A138" s="22" t="n">
        <v>33</v>
      </c>
      <c r="B138" s="23" t="n">
        <v>45698</v>
      </c>
      <c r="C138" s="22" t="s">
        <v>154</v>
      </c>
      <c r="D138" s="24" t="n">
        <v>43</v>
      </c>
    </row>
    <row r="139" customFormat="false" ht="15" hidden="false" customHeight="false" outlineLevel="0" collapsed="false">
      <c r="A139" s="22" t="n">
        <v>34</v>
      </c>
      <c r="B139" s="23" t="n">
        <v>45705</v>
      </c>
      <c r="C139" s="22" t="s">
        <v>154</v>
      </c>
      <c r="D139" s="24" t="n">
        <v>30</v>
      </c>
    </row>
    <row r="140" customFormat="false" ht="15" hidden="false" customHeight="false" outlineLevel="0" collapsed="false">
      <c r="A140" s="22" t="n">
        <v>35</v>
      </c>
      <c r="B140" s="23" t="n">
        <v>45712</v>
      </c>
      <c r="C140" s="22" t="s">
        <v>154</v>
      </c>
      <c r="D140" s="24" t="n">
        <v>62</v>
      </c>
    </row>
    <row r="141" customFormat="false" ht="15" hidden="false" customHeight="false" outlineLevel="0" collapsed="false">
      <c r="A141" s="22" t="n">
        <v>36</v>
      </c>
      <c r="B141" s="23" t="n">
        <v>45719</v>
      </c>
      <c r="C141" s="22" t="s">
        <v>154</v>
      </c>
      <c r="D141" s="24" t="n">
        <v>37</v>
      </c>
    </row>
    <row r="142" customFormat="false" ht="15" hidden="false" customHeight="false" outlineLevel="0" collapsed="false">
      <c r="A142" s="22" t="n">
        <v>37</v>
      </c>
      <c r="B142" s="23" t="n">
        <v>45726</v>
      </c>
      <c r="C142" s="22" t="s">
        <v>154</v>
      </c>
      <c r="D142" s="24" t="n">
        <v>44</v>
      </c>
    </row>
    <row r="143" customFormat="false" ht="15" hidden="false" customHeight="false" outlineLevel="0" collapsed="false">
      <c r="A143" s="22" t="n">
        <v>38</v>
      </c>
      <c r="B143" s="23" t="n">
        <v>45733</v>
      </c>
      <c r="C143" s="22" t="s">
        <v>154</v>
      </c>
      <c r="D143" s="24" t="n">
        <v>33</v>
      </c>
    </row>
    <row r="144" customFormat="false" ht="15" hidden="false" customHeight="false" outlineLevel="0" collapsed="false">
      <c r="A144" s="22" t="n">
        <v>39</v>
      </c>
      <c r="B144" s="23" t="n">
        <v>45740</v>
      </c>
      <c r="C144" s="22" t="s">
        <v>154</v>
      </c>
      <c r="D144" s="24" t="n">
        <v>35</v>
      </c>
    </row>
    <row r="145" customFormat="false" ht="15" hidden="false" customHeight="false" outlineLevel="0" collapsed="false">
      <c r="A145" s="22" t="n">
        <v>40</v>
      </c>
      <c r="B145" s="23" t="n">
        <v>45747</v>
      </c>
      <c r="C145" s="22" t="s">
        <v>154</v>
      </c>
      <c r="D145" s="24" t="n">
        <v>26</v>
      </c>
    </row>
    <row r="146" customFormat="false" ht="15" hidden="false" customHeight="false" outlineLevel="0" collapsed="false">
      <c r="A146" s="22" t="n">
        <v>41</v>
      </c>
      <c r="B146" s="23" t="n">
        <v>45754</v>
      </c>
      <c r="C146" s="22" t="s">
        <v>154</v>
      </c>
      <c r="D146" s="24" t="n">
        <v>64</v>
      </c>
    </row>
    <row r="147" customFormat="false" ht="15" hidden="false" customHeight="false" outlineLevel="0" collapsed="false">
      <c r="A147" s="22" t="n">
        <v>42</v>
      </c>
      <c r="B147" s="23" t="n">
        <v>45761</v>
      </c>
      <c r="C147" s="22" t="s">
        <v>154</v>
      </c>
      <c r="D147" s="24" t="n">
        <v>43</v>
      </c>
    </row>
    <row r="148" customFormat="false" ht="15" hidden="false" customHeight="false" outlineLevel="0" collapsed="false">
      <c r="A148" s="22" t="n">
        <v>43</v>
      </c>
      <c r="B148" s="23" t="n">
        <v>45768</v>
      </c>
      <c r="C148" s="22" t="s">
        <v>154</v>
      </c>
      <c r="D148" s="24" t="n">
        <v>60</v>
      </c>
    </row>
    <row r="149" customFormat="false" ht="15" hidden="false" customHeight="false" outlineLevel="0" collapsed="false">
      <c r="A149" s="22" t="n">
        <v>44</v>
      </c>
      <c r="B149" s="23" t="n">
        <v>45775</v>
      </c>
      <c r="C149" s="22" t="s">
        <v>154</v>
      </c>
      <c r="D149" s="24" t="n">
        <v>45</v>
      </c>
    </row>
    <row r="150" customFormat="false" ht="15" hidden="false" customHeight="false" outlineLevel="0" collapsed="false">
      <c r="A150" s="22" t="n">
        <v>45</v>
      </c>
      <c r="B150" s="23" t="n">
        <v>45782</v>
      </c>
      <c r="C150" s="22" t="s">
        <v>154</v>
      </c>
      <c r="D150" s="24" t="n">
        <v>34</v>
      </c>
    </row>
    <row r="151" customFormat="false" ht="15" hidden="false" customHeight="false" outlineLevel="0" collapsed="false">
      <c r="A151" s="22" t="n">
        <v>46</v>
      </c>
      <c r="B151" s="23" t="n">
        <v>45789</v>
      </c>
      <c r="C151" s="22" t="s">
        <v>154</v>
      </c>
      <c r="D151" s="24" t="n">
        <v>40</v>
      </c>
    </row>
    <row r="152" customFormat="false" ht="15" hidden="false" customHeight="false" outlineLevel="0" collapsed="false">
      <c r="A152" s="22" t="n">
        <v>47</v>
      </c>
      <c r="B152" s="23" t="n">
        <v>45796</v>
      </c>
      <c r="C152" s="22" t="s">
        <v>154</v>
      </c>
      <c r="D152" s="24" t="n">
        <v>36</v>
      </c>
    </row>
    <row r="153" customFormat="false" ht="15" hidden="false" customHeight="false" outlineLevel="0" collapsed="false">
      <c r="A153" s="22" t="n">
        <v>48</v>
      </c>
      <c r="B153" s="23" t="n">
        <v>45803</v>
      </c>
      <c r="C153" s="22" t="s">
        <v>154</v>
      </c>
      <c r="D153" s="24" t="n">
        <v>45</v>
      </c>
    </row>
    <row r="154" customFormat="false" ht="15" hidden="false" customHeight="false" outlineLevel="0" collapsed="false">
      <c r="A154" s="22" t="n">
        <v>49</v>
      </c>
      <c r="B154" s="23" t="n">
        <v>45810</v>
      </c>
      <c r="C154" s="22" t="s">
        <v>154</v>
      </c>
      <c r="D154" s="24" t="n">
        <v>39</v>
      </c>
    </row>
    <row r="155" customFormat="false" ht="15" hidden="false" customHeight="false" outlineLevel="0" collapsed="false">
      <c r="A155" s="22" t="n">
        <v>50</v>
      </c>
      <c r="B155" s="23" t="n">
        <v>45817</v>
      </c>
      <c r="C155" s="22" t="s">
        <v>154</v>
      </c>
      <c r="D155" s="24" t="n">
        <v>40</v>
      </c>
    </row>
    <row r="156" customFormat="false" ht="15" hidden="false" customHeight="false" outlineLevel="0" collapsed="false">
      <c r="A156" s="22" t="n">
        <v>51</v>
      </c>
      <c r="B156" s="23" t="n">
        <v>45824</v>
      </c>
      <c r="C156" s="22" t="s">
        <v>154</v>
      </c>
      <c r="D156" s="24" t="n">
        <v>24</v>
      </c>
    </row>
    <row r="157" customFormat="false" ht="15" hidden="false" customHeight="false" outlineLevel="0" collapsed="false">
      <c r="A157" s="22" t="n">
        <v>52</v>
      </c>
      <c r="B157" s="23" t="n">
        <v>45831</v>
      </c>
      <c r="C157" s="22" t="s">
        <v>154</v>
      </c>
      <c r="D157" s="24" t="n">
        <v>33</v>
      </c>
    </row>
    <row r="158" customFormat="false" ht="15" hidden="false" customHeight="false" outlineLevel="0" collapsed="false">
      <c r="A158" s="22" t="n">
        <v>53</v>
      </c>
      <c r="B158" s="23" t="n">
        <v>45838</v>
      </c>
      <c r="C158" s="22" t="s">
        <v>154</v>
      </c>
      <c r="D158" s="24" t="n">
        <v>70</v>
      </c>
    </row>
    <row r="159" customFormat="false" ht="15" hidden="false" customHeight="false" outlineLevel="0" collapsed="false">
      <c r="A159" s="22" t="n">
        <v>54</v>
      </c>
      <c r="B159" s="23" t="n">
        <v>45845</v>
      </c>
      <c r="C159" s="22" t="s">
        <v>154</v>
      </c>
      <c r="D159" s="24" t="n">
        <v>35</v>
      </c>
    </row>
    <row r="160" customFormat="false" ht="15" hidden="false" customHeight="false" outlineLevel="0" collapsed="false">
      <c r="A160" s="22" t="n">
        <v>55</v>
      </c>
      <c r="B160" s="23" t="n">
        <v>45852</v>
      </c>
      <c r="C160" s="22" t="s">
        <v>154</v>
      </c>
      <c r="D160" s="24" t="n">
        <v>29</v>
      </c>
    </row>
    <row r="161" customFormat="false" ht="15" hidden="false" customHeight="false" outlineLevel="0" collapsed="false">
      <c r="A161" s="22" t="n">
        <v>56</v>
      </c>
      <c r="B161" s="23" t="n">
        <v>45859</v>
      </c>
      <c r="C161" s="22" t="s">
        <v>154</v>
      </c>
      <c r="D161" s="24" t="n">
        <v>50</v>
      </c>
    </row>
    <row r="162" customFormat="false" ht="15" hidden="false" customHeight="false" outlineLevel="0" collapsed="false">
      <c r="A162" s="22" t="n">
        <v>57</v>
      </c>
      <c r="B162" s="23" t="n">
        <v>45866</v>
      </c>
      <c r="C162" s="22" t="s">
        <v>154</v>
      </c>
      <c r="D162" s="24" t="n">
        <v>66</v>
      </c>
    </row>
    <row r="163" customFormat="false" ht="15" hidden="false" customHeight="false" outlineLevel="0" collapsed="false">
      <c r="A163" s="22" t="n">
        <v>58</v>
      </c>
      <c r="B163" s="23" t="n">
        <v>45873</v>
      </c>
      <c r="C163" s="22" t="s">
        <v>154</v>
      </c>
      <c r="D163" s="24" t="n">
        <v>23</v>
      </c>
    </row>
    <row r="164" customFormat="false" ht="15" hidden="false" customHeight="false" outlineLevel="0" collapsed="false">
      <c r="A164" s="22" t="n">
        <v>59</v>
      </c>
      <c r="B164" s="23" t="n">
        <v>45880</v>
      </c>
      <c r="C164" s="22" t="s">
        <v>154</v>
      </c>
      <c r="D164" s="24" t="n">
        <v>42</v>
      </c>
    </row>
    <row r="165" customFormat="false" ht="15" hidden="false" customHeight="false" outlineLevel="0" collapsed="false">
      <c r="A165" s="22" t="n">
        <v>60</v>
      </c>
      <c r="B165" s="23" t="n">
        <v>45887</v>
      </c>
      <c r="C165" s="22" t="s">
        <v>154</v>
      </c>
      <c r="D165" s="24" t="n">
        <v>35</v>
      </c>
    </row>
    <row r="166" customFormat="false" ht="15" hidden="false" customHeight="false" outlineLevel="0" collapsed="false">
      <c r="A166" s="22" t="n">
        <v>61</v>
      </c>
      <c r="B166" s="23" t="n">
        <v>45894</v>
      </c>
      <c r="C166" s="22" t="s">
        <v>154</v>
      </c>
      <c r="D166" s="24" t="n">
        <v>18</v>
      </c>
    </row>
    <row r="167" customFormat="false" ht="15" hidden="false" customHeight="false" outlineLevel="0" collapsed="false">
      <c r="A167" s="22" t="n">
        <v>62</v>
      </c>
      <c r="B167" s="23" t="n">
        <v>45901</v>
      </c>
      <c r="C167" s="22" t="s">
        <v>154</v>
      </c>
      <c r="D167" s="24" t="n">
        <v>56</v>
      </c>
    </row>
    <row r="168" customFormat="false" ht="15" hidden="false" customHeight="false" outlineLevel="0" collapsed="false">
      <c r="A168" s="22" t="n">
        <v>63</v>
      </c>
      <c r="B168" s="23" t="n">
        <v>45908</v>
      </c>
      <c r="C168" s="22" t="s">
        <v>154</v>
      </c>
      <c r="D168" s="24" t="n">
        <v>45</v>
      </c>
    </row>
    <row r="169" customFormat="false" ht="15" hidden="false" customHeight="false" outlineLevel="0" collapsed="false">
      <c r="A169" s="22" t="n">
        <v>64</v>
      </c>
      <c r="B169" s="23" t="n">
        <v>45915</v>
      </c>
      <c r="C169" s="22" t="s">
        <v>154</v>
      </c>
      <c r="D169" s="24" t="n">
        <v>46</v>
      </c>
    </row>
    <row r="170" customFormat="false" ht="15" hidden="false" customHeight="false" outlineLevel="0" collapsed="false">
      <c r="A170" s="22" t="n">
        <v>65</v>
      </c>
      <c r="B170" s="23" t="n">
        <v>45922</v>
      </c>
      <c r="C170" s="22" t="s">
        <v>154</v>
      </c>
      <c r="D170" s="24" t="n">
        <v>34</v>
      </c>
    </row>
    <row r="171" customFormat="false" ht="15" hidden="false" customHeight="false" outlineLevel="0" collapsed="false">
      <c r="A171" s="22" t="n">
        <v>66</v>
      </c>
      <c r="B171" s="23" t="n">
        <v>45929</v>
      </c>
      <c r="C171" s="22" t="s">
        <v>154</v>
      </c>
      <c r="D171" s="24" t="n">
        <v>52</v>
      </c>
    </row>
    <row r="172" customFormat="false" ht="15" hidden="false" customHeight="false" outlineLevel="0" collapsed="false">
      <c r="A172" s="22" t="n">
        <v>67</v>
      </c>
      <c r="B172" s="23" t="n">
        <v>45936</v>
      </c>
      <c r="C172" s="22" t="s">
        <v>154</v>
      </c>
      <c r="D172" s="24" t="n">
        <v>37</v>
      </c>
    </row>
    <row r="173" customFormat="false" ht="15" hidden="false" customHeight="false" outlineLevel="0" collapsed="false">
      <c r="A173" s="22" t="n">
        <v>68</v>
      </c>
      <c r="B173" s="23" t="n">
        <v>45943</v>
      </c>
      <c r="C173" s="22" t="s">
        <v>154</v>
      </c>
      <c r="D173" s="24" t="n">
        <v>43</v>
      </c>
    </row>
    <row r="174" customFormat="false" ht="15" hidden="false" customHeight="false" outlineLevel="0" collapsed="false">
      <c r="A174" s="22" t="n">
        <v>69</v>
      </c>
      <c r="B174" s="23" t="n">
        <v>45950</v>
      </c>
      <c r="C174" s="22" t="s">
        <v>154</v>
      </c>
      <c r="D174" s="24" t="n">
        <v>28</v>
      </c>
    </row>
    <row r="175" customFormat="false" ht="15" hidden="false" customHeight="false" outlineLevel="0" collapsed="false">
      <c r="A175" s="22" t="n">
        <v>70</v>
      </c>
      <c r="B175" s="23" t="n">
        <v>45957</v>
      </c>
      <c r="C175" s="22" t="s">
        <v>154</v>
      </c>
      <c r="D175" s="24" t="n">
        <v>26</v>
      </c>
    </row>
    <row r="176" customFormat="false" ht="15" hidden="false" customHeight="false" outlineLevel="0" collapsed="false">
      <c r="A176" s="22" t="n">
        <v>71</v>
      </c>
      <c r="B176" s="23" t="n">
        <v>45964</v>
      </c>
      <c r="C176" s="22" t="s">
        <v>154</v>
      </c>
      <c r="D176" s="24" t="n">
        <v>65</v>
      </c>
    </row>
    <row r="177" customFormat="false" ht="15" hidden="false" customHeight="false" outlineLevel="0" collapsed="false">
      <c r="A177" s="22" t="n">
        <v>72</v>
      </c>
      <c r="B177" s="23" t="n">
        <v>45971</v>
      </c>
      <c r="C177" s="22" t="s">
        <v>154</v>
      </c>
      <c r="D177" s="24" t="n">
        <v>37</v>
      </c>
    </row>
    <row r="178" customFormat="false" ht="15" hidden="false" customHeight="false" outlineLevel="0" collapsed="false">
      <c r="A178" s="22" t="n">
        <v>73</v>
      </c>
      <c r="B178" s="23" t="n">
        <v>45978</v>
      </c>
      <c r="C178" s="22" t="s">
        <v>154</v>
      </c>
      <c r="D178" s="24" t="n">
        <v>49</v>
      </c>
    </row>
    <row r="179" customFormat="false" ht="15" hidden="false" customHeight="false" outlineLevel="0" collapsed="false">
      <c r="A179" s="22" t="n">
        <v>74</v>
      </c>
      <c r="B179" s="23" t="n">
        <v>45985</v>
      </c>
      <c r="C179" s="22" t="s">
        <v>154</v>
      </c>
      <c r="D179" s="24" t="n">
        <v>44</v>
      </c>
    </row>
    <row r="180" customFormat="false" ht="15" hidden="false" customHeight="false" outlineLevel="0" collapsed="false">
      <c r="A180" s="22" t="n">
        <v>75</v>
      </c>
      <c r="B180" s="23" t="n">
        <v>45992</v>
      </c>
      <c r="C180" s="22" t="s">
        <v>154</v>
      </c>
      <c r="D180" s="24" t="n">
        <v>38</v>
      </c>
    </row>
    <row r="181" customFormat="false" ht="15" hidden="false" customHeight="false" outlineLevel="0" collapsed="false">
      <c r="A181" s="22" t="n">
        <v>76</v>
      </c>
      <c r="B181" s="23" t="n">
        <v>45999</v>
      </c>
      <c r="C181" s="22" t="s">
        <v>154</v>
      </c>
      <c r="D181" s="24" t="n">
        <v>37</v>
      </c>
    </row>
    <row r="182" customFormat="false" ht="15" hidden="false" customHeight="false" outlineLevel="0" collapsed="false">
      <c r="A182" s="22" t="n">
        <v>77</v>
      </c>
      <c r="B182" s="23" t="n">
        <v>46006</v>
      </c>
      <c r="C182" s="22" t="s">
        <v>154</v>
      </c>
      <c r="D182" s="24" t="n">
        <v>55</v>
      </c>
    </row>
    <row r="183" customFormat="false" ht="15" hidden="false" customHeight="false" outlineLevel="0" collapsed="false">
      <c r="A183" s="22" t="n">
        <v>78</v>
      </c>
      <c r="B183" s="23" t="n">
        <v>46013</v>
      </c>
      <c r="C183" s="22" t="s">
        <v>154</v>
      </c>
      <c r="D183" s="24" t="n">
        <v>40</v>
      </c>
    </row>
    <row r="184" customFormat="false" ht="15" hidden="false" customHeight="false" outlineLevel="0" collapsed="false">
      <c r="A184" s="22" t="n">
        <v>79</v>
      </c>
      <c r="B184" s="23" t="n">
        <v>46020</v>
      </c>
      <c r="C184" s="22" t="s">
        <v>154</v>
      </c>
      <c r="D184" s="24" t="n">
        <v>43</v>
      </c>
    </row>
    <row r="185" customFormat="false" ht="15" hidden="false" customHeight="false" outlineLevel="0" collapsed="false">
      <c r="A185" s="22" t="n">
        <v>80</v>
      </c>
      <c r="B185" s="23" t="n">
        <v>46027</v>
      </c>
      <c r="C185" s="22" t="s">
        <v>154</v>
      </c>
      <c r="D185" s="24" t="n">
        <v>45</v>
      </c>
    </row>
    <row r="186" customFormat="false" ht="15" hidden="false" customHeight="false" outlineLevel="0" collapsed="false">
      <c r="A186" s="22" t="n">
        <v>81</v>
      </c>
      <c r="B186" s="23" t="n">
        <v>46034</v>
      </c>
      <c r="C186" s="22" t="s">
        <v>154</v>
      </c>
      <c r="D186" s="24" t="n">
        <v>63</v>
      </c>
    </row>
    <row r="187" customFormat="false" ht="15" hidden="false" customHeight="false" outlineLevel="0" collapsed="false">
      <c r="A187" s="22" t="n">
        <v>82</v>
      </c>
      <c r="B187" s="23" t="n">
        <v>46041</v>
      </c>
      <c r="C187" s="22" t="s">
        <v>154</v>
      </c>
      <c r="D187" s="24" t="n">
        <v>55</v>
      </c>
    </row>
    <row r="188" customFormat="false" ht="15" hidden="false" customHeight="false" outlineLevel="0" collapsed="false">
      <c r="A188" s="22" t="n">
        <v>83</v>
      </c>
      <c r="B188" s="23" t="n">
        <v>46048</v>
      </c>
      <c r="C188" s="22" t="s">
        <v>154</v>
      </c>
      <c r="D188" s="24" t="n">
        <v>51</v>
      </c>
    </row>
    <row r="189" customFormat="false" ht="15" hidden="false" customHeight="false" outlineLevel="0" collapsed="false">
      <c r="A189" s="22" t="n">
        <v>84</v>
      </c>
      <c r="B189" s="23" t="n">
        <v>46055</v>
      </c>
      <c r="C189" s="22" t="s">
        <v>154</v>
      </c>
      <c r="D189" s="24" t="n">
        <v>36</v>
      </c>
    </row>
    <row r="190" customFormat="false" ht="15" hidden="false" customHeight="false" outlineLevel="0" collapsed="false">
      <c r="A190" s="22" t="n">
        <v>85</v>
      </c>
      <c r="B190" s="23" t="n">
        <v>46062</v>
      </c>
      <c r="C190" s="22" t="s">
        <v>154</v>
      </c>
      <c r="D190" s="24" t="n">
        <v>24</v>
      </c>
    </row>
    <row r="191" customFormat="false" ht="15" hidden="false" customHeight="false" outlineLevel="0" collapsed="false">
      <c r="A191" s="22" t="n">
        <v>86</v>
      </c>
      <c r="B191" s="23" t="n">
        <v>46069</v>
      </c>
      <c r="C191" s="22" t="s">
        <v>154</v>
      </c>
      <c r="D191" s="24" t="n">
        <v>59</v>
      </c>
    </row>
    <row r="192" customFormat="false" ht="15" hidden="false" customHeight="false" outlineLevel="0" collapsed="false">
      <c r="A192" s="22" t="n">
        <v>87</v>
      </c>
      <c r="B192" s="23" t="n">
        <v>46076</v>
      </c>
      <c r="C192" s="22" t="s">
        <v>154</v>
      </c>
      <c r="D192" s="24" t="n">
        <v>60</v>
      </c>
    </row>
    <row r="193" customFormat="false" ht="15" hidden="false" customHeight="false" outlineLevel="0" collapsed="false">
      <c r="A193" s="22" t="n">
        <v>88</v>
      </c>
      <c r="B193" s="23" t="n">
        <v>46083</v>
      </c>
      <c r="C193" s="22" t="s">
        <v>154</v>
      </c>
      <c r="D193" s="24" t="n">
        <v>43</v>
      </c>
    </row>
    <row r="194" customFormat="false" ht="15" hidden="false" customHeight="false" outlineLevel="0" collapsed="false">
      <c r="A194" s="22" t="n">
        <v>89</v>
      </c>
      <c r="B194" s="23" t="n">
        <v>46090</v>
      </c>
      <c r="C194" s="22" t="s">
        <v>154</v>
      </c>
      <c r="D194" s="24" t="n">
        <v>53</v>
      </c>
    </row>
    <row r="195" customFormat="false" ht="15" hidden="false" customHeight="false" outlineLevel="0" collapsed="false">
      <c r="A195" s="22" t="n">
        <v>90</v>
      </c>
      <c r="B195" s="23" t="n">
        <v>46097</v>
      </c>
      <c r="C195" s="22" t="s">
        <v>154</v>
      </c>
      <c r="D195" s="24" t="n">
        <v>57</v>
      </c>
    </row>
    <row r="196" customFormat="false" ht="15" hidden="false" customHeight="false" outlineLevel="0" collapsed="false">
      <c r="A196" s="22" t="n">
        <v>91</v>
      </c>
      <c r="B196" s="23" t="n">
        <v>46104</v>
      </c>
      <c r="C196" s="22" t="s">
        <v>154</v>
      </c>
      <c r="D196" s="24" t="n">
        <v>58</v>
      </c>
    </row>
    <row r="197" customFormat="false" ht="15" hidden="false" customHeight="false" outlineLevel="0" collapsed="false">
      <c r="A197" s="22" t="n">
        <v>92</v>
      </c>
      <c r="B197" s="23" t="n">
        <v>46111</v>
      </c>
      <c r="C197" s="22" t="s">
        <v>154</v>
      </c>
      <c r="D197" s="24" t="n">
        <v>59</v>
      </c>
    </row>
    <row r="198" customFormat="false" ht="15" hidden="false" customHeight="false" outlineLevel="0" collapsed="false">
      <c r="A198" s="22" t="n">
        <v>93</v>
      </c>
      <c r="B198" s="23" t="n">
        <v>46118</v>
      </c>
      <c r="C198" s="22" t="s">
        <v>154</v>
      </c>
      <c r="D198" s="24" t="n">
        <v>38</v>
      </c>
    </row>
    <row r="199" customFormat="false" ht="15" hidden="false" customHeight="false" outlineLevel="0" collapsed="false">
      <c r="A199" s="22" t="n">
        <v>94</v>
      </c>
      <c r="B199" s="23" t="n">
        <v>46125</v>
      </c>
      <c r="C199" s="22" t="s">
        <v>154</v>
      </c>
      <c r="D199" s="24" t="n">
        <v>68</v>
      </c>
    </row>
    <row r="200" customFormat="false" ht="15" hidden="false" customHeight="false" outlineLevel="0" collapsed="false">
      <c r="A200" s="22" t="n">
        <v>95</v>
      </c>
      <c r="B200" s="23" t="n">
        <v>46132</v>
      </c>
      <c r="C200" s="22" t="s">
        <v>154</v>
      </c>
      <c r="D200" s="24" t="n">
        <v>26</v>
      </c>
    </row>
    <row r="201" customFormat="false" ht="15" hidden="false" customHeight="false" outlineLevel="0" collapsed="false">
      <c r="A201" s="22" t="n">
        <v>96</v>
      </c>
      <c r="B201" s="23" t="n">
        <v>46139</v>
      </c>
      <c r="C201" s="22" t="s">
        <v>154</v>
      </c>
      <c r="D201" s="24" t="n">
        <v>58</v>
      </c>
    </row>
    <row r="202" customFormat="false" ht="15" hidden="false" customHeight="false" outlineLevel="0" collapsed="false">
      <c r="A202" s="22" t="n">
        <v>97</v>
      </c>
      <c r="B202" s="23" t="n">
        <v>46146</v>
      </c>
      <c r="C202" s="22" t="s">
        <v>154</v>
      </c>
      <c r="D202" s="24" t="n">
        <v>53</v>
      </c>
    </row>
    <row r="203" customFormat="false" ht="15" hidden="false" customHeight="false" outlineLevel="0" collapsed="false">
      <c r="A203" s="22" t="n">
        <v>98</v>
      </c>
      <c r="B203" s="23" t="n">
        <v>46153</v>
      </c>
      <c r="C203" s="22" t="s">
        <v>154</v>
      </c>
      <c r="D203" s="24" t="n">
        <v>58</v>
      </c>
    </row>
    <row r="204" customFormat="false" ht="15" hidden="false" customHeight="false" outlineLevel="0" collapsed="false">
      <c r="A204" s="22" t="n">
        <v>99</v>
      </c>
      <c r="B204" s="23" t="n">
        <v>46160</v>
      </c>
      <c r="C204" s="22" t="s">
        <v>154</v>
      </c>
      <c r="D204" s="24" t="n">
        <v>74</v>
      </c>
    </row>
    <row r="205" customFormat="false" ht="15" hidden="false" customHeight="false" outlineLevel="0" collapsed="false">
      <c r="A205" s="22" t="n">
        <v>100</v>
      </c>
      <c r="B205" s="23" t="n">
        <v>46167</v>
      </c>
      <c r="C205" s="22" t="s">
        <v>154</v>
      </c>
      <c r="D205" s="24" t="n">
        <v>68</v>
      </c>
    </row>
    <row r="206" customFormat="false" ht="15" hidden="false" customHeight="false" outlineLevel="0" collapsed="false">
      <c r="A206" s="22" t="n">
        <v>101</v>
      </c>
      <c r="B206" s="23" t="n">
        <v>46174</v>
      </c>
      <c r="C206" s="22" t="s">
        <v>154</v>
      </c>
      <c r="D206" s="24" t="n">
        <v>28</v>
      </c>
    </row>
    <row r="207" customFormat="false" ht="15" hidden="false" customHeight="false" outlineLevel="0" collapsed="false">
      <c r="A207" s="22" t="n">
        <v>102</v>
      </c>
      <c r="B207" s="23" t="n">
        <v>46181</v>
      </c>
      <c r="C207" s="22" t="s">
        <v>154</v>
      </c>
      <c r="D207" s="24" t="n">
        <v>19</v>
      </c>
    </row>
    <row r="208" customFormat="false" ht="15" hidden="false" customHeight="false" outlineLevel="0" collapsed="false">
      <c r="A208" s="22" t="n">
        <v>103</v>
      </c>
      <c r="B208" s="23" t="n">
        <v>46188</v>
      </c>
      <c r="C208" s="22" t="s">
        <v>154</v>
      </c>
      <c r="D208" s="24" t="n">
        <v>57</v>
      </c>
    </row>
    <row r="209" customFormat="false" ht="15" hidden="false" customHeight="false" outlineLevel="0" collapsed="false">
      <c r="A209" s="22" t="n">
        <v>104</v>
      </c>
      <c r="B209" s="23" t="n">
        <v>46195</v>
      </c>
      <c r="C209" s="22" t="s">
        <v>154</v>
      </c>
      <c r="D209" s="24" t="n">
        <v>30</v>
      </c>
    </row>
    <row r="210" customFormat="false" ht="15" hidden="false" customHeight="false" outlineLevel="0" collapsed="false">
      <c r="A210" s="22" t="n">
        <v>1</v>
      </c>
      <c r="B210" s="23" t="n">
        <v>45474</v>
      </c>
      <c r="C210" s="22" t="s">
        <v>157</v>
      </c>
      <c r="D210" s="24" t="n">
        <v>45</v>
      </c>
    </row>
    <row r="211" customFormat="false" ht="15" hidden="false" customHeight="false" outlineLevel="0" collapsed="false">
      <c r="A211" s="22" t="n">
        <v>2</v>
      </c>
      <c r="B211" s="23" t="n">
        <v>45481</v>
      </c>
      <c r="C211" s="22" t="s">
        <v>157</v>
      </c>
      <c r="D211" s="24" t="n">
        <v>51</v>
      </c>
    </row>
    <row r="212" customFormat="false" ht="15" hidden="false" customHeight="false" outlineLevel="0" collapsed="false">
      <c r="A212" s="22" t="n">
        <v>3</v>
      </c>
      <c r="B212" s="23" t="n">
        <v>45488</v>
      </c>
      <c r="C212" s="22" t="s">
        <v>157</v>
      </c>
      <c r="D212" s="24" t="n">
        <v>36</v>
      </c>
    </row>
    <row r="213" customFormat="false" ht="15" hidden="false" customHeight="false" outlineLevel="0" collapsed="false">
      <c r="A213" s="22" t="n">
        <v>4</v>
      </c>
      <c r="B213" s="23" t="n">
        <v>45495</v>
      </c>
      <c r="C213" s="22" t="s">
        <v>157</v>
      </c>
      <c r="D213" s="24" t="n">
        <v>33</v>
      </c>
    </row>
    <row r="214" customFormat="false" ht="15" hidden="false" customHeight="false" outlineLevel="0" collapsed="false">
      <c r="A214" s="22" t="n">
        <v>5</v>
      </c>
      <c r="B214" s="23" t="n">
        <v>45502</v>
      </c>
      <c r="C214" s="22" t="s">
        <v>157</v>
      </c>
      <c r="D214" s="24" t="n">
        <v>49</v>
      </c>
    </row>
    <row r="215" customFormat="false" ht="15" hidden="false" customHeight="false" outlineLevel="0" collapsed="false">
      <c r="A215" s="22" t="n">
        <v>6</v>
      </c>
      <c r="B215" s="23" t="n">
        <v>45509</v>
      </c>
      <c r="C215" s="22" t="s">
        <v>157</v>
      </c>
      <c r="D215" s="24" t="n">
        <v>48</v>
      </c>
    </row>
    <row r="216" customFormat="false" ht="15" hidden="false" customHeight="false" outlineLevel="0" collapsed="false">
      <c r="A216" s="22" t="n">
        <v>7</v>
      </c>
      <c r="B216" s="23" t="n">
        <v>45516</v>
      </c>
      <c r="C216" s="22" t="s">
        <v>157</v>
      </c>
      <c r="D216" s="24" t="n">
        <v>47</v>
      </c>
    </row>
    <row r="217" customFormat="false" ht="15" hidden="false" customHeight="false" outlineLevel="0" collapsed="false">
      <c r="A217" s="22" t="n">
        <v>8</v>
      </c>
      <c r="B217" s="23" t="n">
        <v>45523</v>
      </c>
      <c r="C217" s="22" t="s">
        <v>157</v>
      </c>
      <c r="D217" s="24" t="n">
        <v>49</v>
      </c>
    </row>
    <row r="218" customFormat="false" ht="15" hidden="false" customHeight="false" outlineLevel="0" collapsed="false">
      <c r="A218" s="22" t="n">
        <v>9</v>
      </c>
      <c r="B218" s="23" t="n">
        <v>45530</v>
      </c>
      <c r="C218" s="22" t="s">
        <v>157</v>
      </c>
      <c r="D218" s="24" t="n">
        <v>44</v>
      </c>
    </row>
    <row r="219" customFormat="false" ht="15" hidden="false" customHeight="false" outlineLevel="0" collapsed="false">
      <c r="A219" s="22" t="n">
        <v>10</v>
      </c>
      <c r="B219" s="23" t="n">
        <v>45537</v>
      </c>
      <c r="C219" s="22" t="s">
        <v>157</v>
      </c>
      <c r="D219" s="24" t="n">
        <v>39</v>
      </c>
    </row>
    <row r="220" customFormat="false" ht="15" hidden="false" customHeight="false" outlineLevel="0" collapsed="false">
      <c r="A220" s="22" t="n">
        <v>11</v>
      </c>
      <c r="B220" s="23" t="n">
        <v>45544</v>
      </c>
      <c r="C220" s="22" t="s">
        <v>157</v>
      </c>
      <c r="D220" s="24" t="n">
        <v>49</v>
      </c>
    </row>
    <row r="221" customFormat="false" ht="15" hidden="false" customHeight="false" outlineLevel="0" collapsed="false">
      <c r="A221" s="22" t="n">
        <v>12</v>
      </c>
      <c r="B221" s="23" t="n">
        <v>45551</v>
      </c>
      <c r="C221" s="22" t="s">
        <v>157</v>
      </c>
      <c r="D221" s="24" t="n">
        <v>44</v>
      </c>
    </row>
    <row r="222" customFormat="false" ht="15" hidden="false" customHeight="false" outlineLevel="0" collapsed="false">
      <c r="A222" s="22" t="n">
        <v>13</v>
      </c>
      <c r="B222" s="23" t="n">
        <v>45558</v>
      </c>
      <c r="C222" s="22" t="s">
        <v>157</v>
      </c>
      <c r="D222" s="24" t="n">
        <v>40</v>
      </c>
    </row>
    <row r="223" customFormat="false" ht="15" hidden="false" customHeight="false" outlineLevel="0" collapsed="false">
      <c r="A223" s="22" t="n">
        <v>14</v>
      </c>
      <c r="B223" s="23" t="n">
        <v>45565</v>
      </c>
      <c r="C223" s="22" t="s">
        <v>157</v>
      </c>
      <c r="D223" s="24" t="n">
        <v>56</v>
      </c>
    </row>
    <row r="224" customFormat="false" ht="15" hidden="false" customHeight="false" outlineLevel="0" collapsed="false">
      <c r="A224" s="22" t="n">
        <v>15</v>
      </c>
      <c r="B224" s="23" t="n">
        <v>45572</v>
      </c>
      <c r="C224" s="22" t="s">
        <v>157</v>
      </c>
      <c r="D224" s="24" t="n">
        <v>52</v>
      </c>
    </row>
    <row r="225" customFormat="false" ht="15" hidden="false" customHeight="false" outlineLevel="0" collapsed="false">
      <c r="A225" s="22" t="n">
        <v>16</v>
      </c>
      <c r="B225" s="23" t="n">
        <v>45579</v>
      </c>
      <c r="C225" s="22" t="s">
        <v>157</v>
      </c>
      <c r="D225" s="24" t="n">
        <v>56</v>
      </c>
    </row>
    <row r="226" customFormat="false" ht="15" hidden="false" customHeight="false" outlineLevel="0" collapsed="false">
      <c r="A226" s="22" t="n">
        <v>17</v>
      </c>
      <c r="B226" s="23" t="n">
        <v>45586</v>
      </c>
      <c r="C226" s="22" t="s">
        <v>157</v>
      </c>
      <c r="D226" s="24" t="n">
        <v>46</v>
      </c>
    </row>
    <row r="227" customFormat="false" ht="15" hidden="false" customHeight="false" outlineLevel="0" collapsed="false">
      <c r="A227" s="22" t="n">
        <v>18</v>
      </c>
      <c r="B227" s="23" t="n">
        <v>45593</v>
      </c>
      <c r="C227" s="22" t="s">
        <v>157</v>
      </c>
      <c r="D227" s="24" t="n">
        <v>49</v>
      </c>
    </row>
    <row r="228" customFormat="false" ht="15" hidden="false" customHeight="false" outlineLevel="0" collapsed="false">
      <c r="A228" s="22" t="n">
        <v>19</v>
      </c>
      <c r="B228" s="23" t="n">
        <v>45600</v>
      </c>
      <c r="C228" s="22" t="s">
        <v>157</v>
      </c>
      <c r="D228" s="24" t="n">
        <v>47</v>
      </c>
    </row>
    <row r="229" customFormat="false" ht="15" hidden="false" customHeight="false" outlineLevel="0" collapsed="false">
      <c r="A229" s="22" t="n">
        <v>20</v>
      </c>
      <c r="B229" s="23" t="n">
        <v>45607</v>
      </c>
      <c r="C229" s="22" t="s">
        <v>157</v>
      </c>
      <c r="D229" s="24" t="n">
        <v>48</v>
      </c>
    </row>
    <row r="230" customFormat="false" ht="15" hidden="false" customHeight="false" outlineLevel="0" collapsed="false">
      <c r="A230" s="22" t="n">
        <v>21</v>
      </c>
      <c r="B230" s="23" t="n">
        <v>45614</v>
      </c>
      <c r="C230" s="22" t="s">
        <v>157</v>
      </c>
      <c r="D230" s="24" t="n">
        <v>57</v>
      </c>
    </row>
    <row r="231" customFormat="false" ht="15" hidden="false" customHeight="false" outlineLevel="0" collapsed="false">
      <c r="A231" s="22" t="n">
        <v>22</v>
      </c>
      <c r="B231" s="23" t="n">
        <v>45621</v>
      </c>
      <c r="C231" s="22" t="s">
        <v>157</v>
      </c>
      <c r="D231" s="24" t="n">
        <v>50</v>
      </c>
    </row>
    <row r="232" customFormat="false" ht="15" hidden="false" customHeight="false" outlineLevel="0" collapsed="false">
      <c r="A232" s="22" t="n">
        <v>23</v>
      </c>
      <c r="B232" s="23" t="n">
        <v>45628</v>
      </c>
      <c r="C232" s="22" t="s">
        <v>157</v>
      </c>
      <c r="D232" s="24" t="n">
        <v>60</v>
      </c>
    </row>
    <row r="233" customFormat="false" ht="15" hidden="false" customHeight="false" outlineLevel="0" collapsed="false">
      <c r="A233" s="22" t="n">
        <v>24</v>
      </c>
      <c r="B233" s="23" t="n">
        <v>45635</v>
      </c>
      <c r="C233" s="22" t="s">
        <v>157</v>
      </c>
      <c r="D233" s="24" t="n">
        <v>60</v>
      </c>
    </row>
    <row r="234" customFormat="false" ht="15" hidden="false" customHeight="false" outlineLevel="0" collapsed="false">
      <c r="A234" s="22" t="n">
        <v>25</v>
      </c>
      <c r="B234" s="23" t="n">
        <v>45642</v>
      </c>
      <c r="C234" s="22" t="s">
        <v>157</v>
      </c>
      <c r="D234" s="24" t="n">
        <v>74</v>
      </c>
    </row>
    <row r="235" customFormat="false" ht="15" hidden="false" customHeight="false" outlineLevel="0" collapsed="false">
      <c r="A235" s="22" t="n">
        <v>26</v>
      </c>
      <c r="B235" s="23" t="n">
        <v>45649</v>
      </c>
      <c r="C235" s="22" t="s">
        <v>157</v>
      </c>
      <c r="D235" s="24" t="n">
        <v>47</v>
      </c>
    </row>
    <row r="236" customFormat="false" ht="15" hidden="false" customHeight="false" outlineLevel="0" collapsed="false">
      <c r="A236" s="22" t="n">
        <v>27</v>
      </c>
      <c r="B236" s="23" t="n">
        <v>45656</v>
      </c>
      <c r="C236" s="22" t="s">
        <v>157</v>
      </c>
      <c r="D236" s="24" t="n">
        <v>66</v>
      </c>
    </row>
    <row r="237" customFormat="false" ht="15" hidden="false" customHeight="false" outlineLevel="0" collapsed="false">
      <c r="A237" s="22" t="n">
        <v>28</v>
      </c>
      <c r="B237" s="23" t="n">
        <v>45663</v>
      </c>
      <c r="C237" s="22" t="s">
        <v>157</v>
      </c>
      <c r="D237" s="24" t="n">
        <v>59</v>
      </c>
    </row>
    <row r="238" customFormat="false" ht="15" hidden="false" customHeight="false" outlineLevel="0" collapsed="false">
      <c r="A238" s="22" t="n">
        <v>29</v>
      </c>
      <c r="B238" s="23" t="n">
        <v>45670</v>
      </c>
      <c r="C238" s="22" t="s">
        <v>157</v>
      </c>
      <c r="D238" s="24" t="n">
        <v>60</v>
      </c>
    </row>
    <row r="239" customFormat="false" ht="15" hidden="false" customHeight="false" outlineLevel="0" collapsed="false">
      <c r="A239" s="22" t="n">
        <v>30</v>
      </c>
      <c r="B239" s="23" t="n">
        <v>45677</v>
      </c>
      <c r="C239" s="22" t="s">
        <v>157</v>
      </c>
      <c r="D239" s="24" t="n">
        <v>48</v>
      </c>
    </row>
    <row r="240" customFormat="false" ht="15" hidden="false" customHeight="false" outlineLevel="0" collapsed="false">
      <c r="A240" s="22" t="n">
        <v>31</v>
      </c>
      <c r="B240" s="23" t="n">
        <v>45684</v>
      </c>
      <c r="C240" s="22" t="s">
        <v>157</v>
      </c>
      <c r="D240" s="24" t="n">
        <v>57</v>
      </c>
    </row>
    <row r="241" customFormat="false" ht="15" hidden="false" customHeight="false" outlineLevel="0" collapsed="false">
      <c r="A241" s="22" t="n">
        <v>32</v>
      </c>
      <c r="B241" s="23" t="n">
        <v>45691</v>
      </c>
      <c r="C241" s="22" t="s">
        <v>157</v>
      </c>
      <c r="D241" s="24" t="n">
        <v>68</v>
      </c>
    </row>
    <row r="242" customFormat="false" ht="15" hidden="false" customHeight="false" outlineLevel="0" collapsed="false">
      <c r="A242" s="22" t="n">
        <v>33</v>
      </c>
      <c r="B242" s="23" t="n">
        <v>45698</v>
      </c>
      <c r="C242" s="22" t="s">
        <v>157</v>
      </c>
      <c r="D242" s="24" t="n">
        <v>61</v>
      </c>
    </row>
    <row r="243" customFormat="false" ht="15" hidden="false" customHeight="false" outlineLevel="0" collapsed="false">
      <c r="A243" s="22" t="n">
        <v>34</v>
      </c>
      <c r="B243" s="23" t="n">
        <v>45705</v>
      </c>
      <c r="C243" s="22" t="s">
        <v>157</v>
      </c>
      <c r="D243" s="24" t="n">
        <v>63</v>
      </c>
    </row>
    <row r="244" customFormat="false" ht="15" hidden="false" customHeight="false" outlineLevel="0" collapsed="false">
      <c r="A244" s="22" t="n">
        <v>35</v>
      </c>
      <c r="B244" s="23" t="n">
        <v>45712</v>
      </c>
      <c r="C244" s="22" t="s">
        <v>157</v>
      </c>
      <c r="D244" s="24" t="n">
        <v>60</v>
      </c>
    </row>
    <row r="245" customFormat="false" ht="15" hidden="false" customHeight="false" outlineLevel="0" collapsed="false">
      <c r="A245" s="22" t="n">
        <v>36</v>
      </c>
      <c r="B245" s="23" t="n">
        <v>45719</v>
      </c>
      <c r="C245" s="22" t="s">
        <v>157</v>
      </c>
      <c r="D245" s="24" t="n">
        <v>74</v>
      </c>
    </row>
    <row r="246" customFormat="false" ht="15" hidden="false" customHeight="false" outlineLevel="0" collapsed="false">
      <c r="A246" s="22" t="n">
        <v>37</v>
      </c>
      <c r="B246" s="23" t="n">
        <v>45726</v>
      </c>
      <c r="C246" s="22" t="s">
        <v>157</v>
      </c>
      <c r="D246" s="24" t="n">
        <v>64</v>
      </c>
    </row>
    <row r="247" customFormat="false" ht="15" hidden="false" customHeight="false" outlineLevel="0" collapsed="false">
      <c r="A247" s="22" t="n">
        <v>38</v>
      </c>
      <c r="B247" s="23" t="n">
        <v>45733</v>
      </c>
      <c r="C247" s="22" t="s">
        <v>157</v>
      </c>
      <c r="D247" s="24" t="n">
        <v>45</v>
      </c>
    </row>
    <row r="248" customFormat="false" ht="15" hidden="false" customHeight="false" outlineLevel="0" collapsed="false">
      <c r="A248" s="22" t="n">
        <v>39</v>
      </c>
      <c r="B248" s="23" t="n">
        <v>45740</v>
      </c>
      <c r="C248" s="22" t="s">
        <v>157</v>
      </c>
      <c r="D248" s="24" t="n">
        <v>59</v>
      </c>
    </row>
    <row r="249" customFormat="false" ht="15" hidden="false" customHeight="false" outlineLevel="0" collapsed="false">
      <c r="A249" s="22" t="n">
        <v>40</v>
      </c>
      <c r="B249" s="23" t="n">
        <v>45747</v>
      </c>
      <c r="C249" s="22" t="s">
        <v>157</v>
      </c>
      <c r="D249" s="24" t="n">
        <v>47</v>
      </c>
    </row>
    <row r="250" customFormat="false" ht="15" hidden="false" customHeight="false" outlineLevel="0" collapsed="false">
      <c r="A250" s="22" t="n">
        <v>41</v>
      </c>
      <c r="B250" s="23" t="n">
        <v>45754</v>
      </c>
      <c r="C250" s="22" t="s">
        <v>157</v>
      </c>
      <c r="D250" s="24" t="n">
        <v>36</v>
      </c>
    </row>
    <row r="251" customFormat="false" ht="15" hidden="false" customHeight="false" outlineLevel="0" collapsed="false">
      <c r="A251" s="22" t="n">
        <v>42</v>
      </c>
      <c r="B251" s="23" t="n">
        <v>45761</v>
      </c>
      <c r="C251" s="22" t="s">
        <v>157</v>
      </c>
      <c r="D251" s="24" t="n">
        <v>61</v>
      </c>
    </row>
    <row r="252" customFormat="false" ht="15" hidden="false" customHeight="false" outlineLevel="0" collapsed="false">
      <c r="A252" s="22" t="n">
        <v>43</v>
      </c>
      <c r="B252" s="23" t="n">
        <v>45768</v>
      </c>
      <c r="C252" s="22" t="s">
        <v>157</v>
      </c>
      <c r="D252" s="24" t="n">
        <v>79</v>
      </c>
    </row>
    <row r="253" customFormat="false" ht="15" hidden="false" customHeight="false" outlineLevel="0" collapsed="false">
      <c r="A253" s="22" t="n">
        <v>44</v>
      </c>
      <c r="B253" s="23" t="n">
        <v>45775</v>
      </c>
      <c r="C253" s="22" t="s">
        <v>157</v>
      </c>
      <c r="D253" s="24" t="n">
        <v>68</v>
      </c>
    </row>
    <row r="254" customFormat="false" ht="15" hidden="false" customHeight="false" outlineLevel="0" collapsed="false">
      <c r="A254" s="22" t="n">
        <v>45</v>
      </c>
      <c r="B254" s="23" t="n">
        <v>45782</v>
      </c>
      <c r="C254" s="22" t="s">
        <v>157</v>
      </c>
      <c r="D254" s="24" t="n">
        <v>57</v>
      </c>
    </row>
    <row r="255" customFormat="false" ht="15" hidden="false" customHeight="false" outlineLevel="0" collapsed="false">
      <c r="A255" s="22" t="n">
        <v>46</v>
      </c>
      <c r="B255" s="23" t="n">
        <v>45789</v>
      </c>
      <c r="C255" s="22" t="s">
        <v>157</v>
      </c>
      <c r="D255" s="24" t="n">
        <v>59</v>
      </c>
    </row>
    <row r="256" customFormat="false" ht="15" hidden="false" customHeight="false" outlineLevel="0" collapsed="false">
      <c r="A256" s="22" t="n">
        <v>47</v>
      </c>
      <c r="B256" s="23" t="n">
        <v>45796</v>
      </c>
      <c r="C256" s="22" t="s">
        <v>157</v>
      </c>
      <c r="D256" s="24" t="n">
        <v>80</v>
      </c>
    </row>
    <row r="257" customFormat="false" ht="15" hidden="false" customHeight="false" outlineLevel="0" collapsed="false">
      <c r="A257" s="22" t="n">
        <v>48</v>
      </c>
      <c r="B257" s="23" t="n">
        <v>45803</v>
      </c>
      <c r="C257" s="22" t="s">
        <v>157</v>
      </c>
      <c r="D257" s="24" t="n">
        <v>71</v>
      </c>
    </row>
    <row r="258" customFormat="false" ht="15" hidden="false" customHeight="false" outlineLevel="0" collapsed="false">
      <c r="A258" s="22" t="n">
        <v>49</v>
      </c>
      <c r="B258" s="23" t="n">
        <v>45810</v>
      </c>
      <c r="C258" s="22" t="s">
        <v>157</v>
      </c>
      <c r="D258" s="24" t="n">
        <v>70</v>
      </c>
    </row>
    <row r="259" customFormat="false" ht="15" hidden="false" customHeight="false" outlineLevel="0" collapsed="false">
      <c r="A259" s="22" t="n">
        <v>50</v>
      </c>
      <c r="B259" s="23" t="n">
        <v>45817</v>
      </c>
      <c r="C259" s="22" t="s">
        <v>157</v>
      </c>
      <c r="D259" s="24" t="n">
        <v>70</v>
      </c>
    </row>
    <row r="260" customFormat="false" ht="15" hidden="false" customHeight="false" outlineLevel="0" collapsed="false">
      <c r="A260" s="22" t="n">
        <v>51</v>
      </c>
      <c r="B260" s="23" t="n">
        <v>45824</v>
      </c>
      <c r="C260" s="22" t="s">
        <v>157</v>
      </c>
      <c r="D260" s="24" t="n">
        <v>71</v>
      </c>
    </row>
    <row r="261" customFormat="false" ht="15" hidden="false" customHeight="false" outlineLevel="0" collapsed="false">
      <c r="A261" s="22" t="n">
        <v>52</v>
      </c>
      <c r="B261" s="23" t="n">
        <v>45831</v>
      </c>
      <c r="C261" s="22" t="s">
        <v>157</v>
      </c>
      <c r="D261" s="24" t="n">
        <v>80</v>
      </c>
    </row>
    <row r="262" customFormat="false" ht="15" hidden="false" customHeight="false" outlineLevel="0" collapsed="false">
      <c r="A262" s="22" t="n">
        <v>53</v>
      </c>
      <c r="B262" s="23" t="n">
        <v>45838</v>
      </c>
      <c r="C262" s="22" t="s">
        <v>157</v>
      </c>
      <c r="D262" s="24" t="n">
        <v>78</v>
      </c>
    </row>
    <row r="263" customFormat="false" ht="15" hidden="false" customHeight="false" outlineLevel="0" collapsed="false">
      <c r="A263" s="22" t="n">
        <v>54</v>
      </c>
      <c r="B263" s="23" t="n">
        <v>45845</v>
      </c>
      <c r="C263" s="22" t="s">
        <v>157</v>
      </c>
      <c r="D263" s="24" t="n">
        <v>75</v>
      </c>
    </row>
    <row r="264" customFormat="false" ht="15" hidden="false" customHeight="false" outlineLevel="0" collapsed="false">
      <c r="A264" s="22" t="n">
        <v>55</v>
      </c>
      <c r="B264" s="23" t="n">
        <v>45852</v>
      </c>
      <c r="C264" s="22" t="s">
        <v>157</v>
      </c>
      <c r="D264" s="24" t="n">
        <v>62</v>
      </c>
    </row>
    <row r="265" customFormat="false" ht="15" hidden="false" customHeight="false" outlineLevel="0" collapsed="false">
      <c r="A265" s="22" t="n">
        <v>56</v>
      </c>
      <c r="B265" s="23" t="n">
        <v>45859</v>
      </c>
      <c r="C265" s="22" t="s">
        <v>157</v>
      </c>
      <c r="D265" s="24" t="n">
        <v>79</v>
      </c>
    </row>
    <row r="266" customFormat="false" ht="15" hidden="false" customHeight="false" outlineLevel="0" collapsed="false">
      <c r="A266" s="22" t="n">
        <v>57</v>
      </c>
      <c r="B266" s="23" t="n">
        <v>45866</v>
      </c>
      <c r="C266" s="22" t="s">
        <v>157</v>
      </c>
      <c r="D266" s="24" t="n">
        <v>67</v>
      </c>
    </row>
    <row r="267" customFormat="false" ht="15" hidden="false" customHeight="false" outlineLevel="0" collapsed="false">
      <c r="A267" s="22" t="n">
        <v>58</v>
      </c>
      <c r="B267" s="23" t="n">
        <v>45873</v>
      </c>
      <c r="C267" s="22" t="s">
        <v>157</v>
      </c>
      <c r="D267" s="24" t="n">
        <v>86</v>
      </c>
    </row>
    <row r="268" customFormat="false" ht="15" hidden="false" customHeight="false" outlineLevel="0" collapsed="false">
      <c r="A268" s="22" t="n">
        <v>59</v>
      </c>
      <c r="B268" s="23" t="n">
        <v>45880</v>
      </c>
      <c r="C268" s="22" t="s">
        <v>157</v>
      </c>
      <c r="D268" s="24" t="n">
        <v>62</v>
      </c>
    </row>
    <row r="269" customFormat="false" ht="15" hidden="false" customHeight="false" outlineLevel="0" collapsed="false">
      <c r="A269" s="22" t="n">
        <v>60</v>
      </c>
      <c r="B269" s="23" t="n">
        <v>45887</v>
      </c>
      <c r="C269" s="22" t="s">
        <v>157</v>
      </c>
      <c r="D269" s="24" t="n">
        <v>74</v>
      </c>
    </row>
    <row r="270" customFormat="false" ht="15" hidden="false" customHeight="false" outlineLevel="0" collapsed="false">
      <c r="A270" s="22" t="n">
        <v>61</v>
      </c>
      <c r="B270" s="23" t="n">
        <v>45894</v>
      </c>
      <c r="C270" s="22" t="s">
        <v>157</v>
      </c>
      <c r="D270" s="24" t="n">
        <v>76</v>
      </c>
    </row>
    <row r="271" customFormat="false" ht="15" hidden="false" customHeight="false" outlineLevel="0" collapsed="false">
      <c r="A271" s="22" t="n">
        <v>62</v>
      </c>
      <c r="B271" s="23" t="n">
        <v>45901</v>
      </c>
      <c r="C271" s="22" t="s">
        <v>157</v>
      </c>
      <c r="D271" s="24" t="n">
        <v>62</v>
      </c>
    </row>
    <row r="272" customFormat="false" ht="15" hidden="false" customHeight="false" outlineLevel="0" collapsed="false">
      <c r="A272" s="22" t="n">
        <v>63</v>
      </c>
      <c r="B272" s="23" t="n">
        <v>45908</v>
      </c>
      <c r="C272" s="22" t="s">
        <v>157</v>
      </c>
      <c r="D272" s="24" t="n">
        <v>96</v>
      </c>
    </row>
    <row r="273" customFormat="false" ht="15" hidden="false" customHeight="false" outlineLevel="0" collapsed="false">
      <c r="A273" s="22" t="n">
        <v>64</v>
      </c>
      <c r="B273" s="23" t="n">
        <v>45915</v>
      </c>
      <c r="C273" s="22" t="s">
        <v>157</v>
      </c>
      <c r="D273" s="24" t="n">
        <v>93</v>
      </c>
    </row>
    <row r="274" customFormat="false" ht="15" hidden="false" customHeight="false" outlineLevel="0" collapsed="false">
      <c r="A274" s="22" t="n">
        <v>65</v>
      </c>
      <c r="B274" s="23" t="n">
        <v>45922</v>
      </c>
      <c r="C274" s="22" t="s">
        <v>157</v>
      </c>
      <c r="D274" s="24" t="n">
        <v>73</v>
      </c>
    </row>
    <row r="275" customFormat="false" ht="15" hidden="false" customHeight="false" outlineLevel="0" collapsed="false">
      <c r="A275" s="22" t="n">
        <v>66</v>
      </c>
      <c r="B275" s="23" t="n">
        <v>45929</v>
      </c>
      <c r="C275" s="22" t="s">
        <v>157</v>
      </c>
      <c r="D275" s="24" t="n">
        <v>87</v>
      </c>
    </row>
    <row r="276" customFormat="false" ht="15" hidden="false" customHeight="false" outlineLevel="0" collapsed="false">
      <c r="A276" s="22" t="n">
        <v>67</v>
      </c>
      <c r="B276" s="23" t="n">
        <v>45936</v>
      </c>
      <c r="C276" s="22" t="s">
        <v>157</v>
      </c>
      <c r="D276" s="24" t="n">
        <v>83</v>
      </c>
    </row>
    <row r="277" customFormat="false" ht="15" hidden="false" customHeight="false" outlineLevel="0" collapsed="false">
      <c r="A277" s="22" t="n">
        <v>68</v>
      </c>
      <c r="B277" s="23" t="n">
        <v>45943</v>
      </c>
      <c r="C277" s="22" t="s">
        <v>157</v>
      </c>
      <c r="D277" s="24" t="n">
        <v>51</v>
      </c>
    </row>
    <row r="278" customFormat="false" ht="15" hidden="false" customHeight="false" outlineLevel="0" collapsed="false">
      <c r="A278" s="22" t="n">
        <v>69</v>
      </c>
      <c r="B278" s="23" t="n">
        <v>45950</v>
      </c>
      <c r="C278" s="22" t="s">
        <v>157</v>
      </c>
      <c r="D278" s="24" t="n">
        <v>83</v>
      </c>
    </row>
    <row r="279" customFormat="false" ht="15" hidden="false" customHeight="false" outlineLevel="0" collapsed="false">
      <c r="A279" s="22" t="n">
        <v>70</v>
      </c>
      <c r="B279" s="23" t="n">
        <v>45957</v>
      </c>
      <c r="C279" s="22" t="s">
        <v>157</v>
      </c>
      <c r="D279" s="24" t="n">
        <v>80</v>
      </c>
    </row>
    <row r="280" customFormat="false" ht="15" hidden="false" customHeight="false" outlineLevel="0" collapsed="false">
      <c r="A280" s="22" t="n">
        <v>71</v>
      </c>
      <c r="B280" s="23" t="n">
        <v>45964</v>
      </c>
      <c r="C280" s="22" t="s">
        <v>157</v>
      </c>
      <c r="D280" s="24" t="n">
        <v>82</v>
      </c>
    </row>
    <row r="281" customFormat="false" ht="15" hidden="false" customHeight="false" outlineLevel="0" collapsed="false">
      <c r="A281" s="22" t="n">
        <v>72</v>
      </c>
      <c r="B281" s="23" t="n">
        <v>45971</v>
      </c>
      <c r="C281" s="22" t="s">
        <v>157</v>
      </c>
      <c r="D281" s="24" t="n">
        <v>69</v>
      </c>
    </row>
    <row r="282" customFormat="false" ht="15" hidden="false" customHeight="false" outlineLevel="0" collapsed="false">
      <c r="A282" s="22" t="n">
        <v>73</v>
      </c>
      <c r="B282" s="23" t="n">
        <v>45978</v>
      </c>
      <c r="C282" s="22" t="s">
        <v>157</v>
      </c>
      <c r="D282" s="24" t="n">
        <v>79</v>
      </c>
    </row>
    <row r="283" customFormat="false" ht="15" hidden="false" customHeight="false" outlineLevel="0" collapsed="false">
      <c r="A283" s="22" t="n">
        <v>74</v>
      </c>
      <c r="B283" s="23" t="n">
        <v>45985</v>
      </c>
      <c r="C283" s="22" t="s">
        <v>157</v>
      </c>
      <c r="D283" s="24" t="n">
        <v>81</v>
      </c>
    </row>
    <row r="284" customFormat="false" ht="15" hidden="false" customHeight="false" outlineLevel="0" collapsed="false">
      <c r="A284" s="22" t="n">
        <v>75</v>
      </c>
      <c r="B284" s="23" t="n">
        <v>45992</v>
      </c>
      <c r="C284" s="22" t="s">
        <v>157</v>
      </c>
      <c r="D284" s="24" t="n">
        <v>97</v>
      </c>
    </row>
    <row r="285" customFormat="false" ht="15" hidden="false" customHeight="false" outlineLevel="0" collapsed="false">
      <c r="A285" s="22" t="n">
        <v>76</v>
      </c>
      <c r="B285" s="23" t="n">
        <v>45999</v>
      </c>
      <c r="C285" s="22" t="s">
        <v>157</v>
      </c>
      <c r="D285" s="24" t="n">
        <v>88</v>
      </c>
    </row>
    <row r="286" customFormat="false" ht="15" hidden="false" customHeight="false" outlineLevel="0" collapsed="false">
      <c r="A286" s="22" t="n">
        <v>77</v>
      </c>
      <c r="B286" s="23" t="n">
        <v>46006</v>
      </c>
      <c r="C286" s="22" t="s">
        <v>157</v>
      </c>
      <c r="D286" s="24" t="n">
        <v>84</v>
      </c>
    </row>
    <row r="287" customFormat="false" ht="15" hidden="false" customHeight="false" outlineLevel="0" collapsed="false">
      <c r="A287" s="22" t="n">
        <v>78</v>
      </c>
      <c r="B287" s="23" t="n">
        <v>46013</v>
      </c>
      <c r="C287" s="22" t="s">
        <v>157</v>
      </c>
      <c r="D287" s="24" t="n">
        <v>103</v>
      </c>
    </row>
    <row r="288" customFormat="false" ht="15" hidden="false" customHeight="false" outlineLevel="0" collapsed="false">
      <c r="A288" s="22" t="n">
        <v>79</v>
      </c>
      <c r="B288" s="23" t="n">
        <v>46020</v>
      </c>
      <c r="C288" s="22" t="s">
        <v>157</v>
      </c>
      <c r="D288" s="24" t="n">
        <v>79</v>
      </c>
    </row>
    <row r="289" customFormat="false" ht="15" hidden="false" customHeight="false" outlineLevel="0" collapsed="false">
      <c r="A289" s="22" t="n">
        <v>80</v>
      </c>
      <c r="B289" s="23" t="n">
        <v>46027</v>
      </c>
      <c r="C289" s="22" t="s">
        <v>157</v>
      </c>
      <c r="D289" s="24" t="n">
        <v>81</v>
      </c>
    </row>
    <row r="290" customFormat="false" ht="15" hidden="false" customHeight="false" outlineLevel="0" collapsed="false">
      <c r="A290" s="22" t="n">
        <v>81</v>
      </c>
      <c r="B290" s="23" t="n">
        <v>46034</v>
      </c>
      <c r="C290" s="22" t="s">
        <v>157</v>
      </c>
      <c r="D290" s="24" t="n">
        <v>64</v>
      </c>
    </row>
    <row r="291" customFormat="false" ht="15" hidden="false" customHeight="false" outlineLevel="0" collapsed="false">
      <c r="A291" s="22" t="n">
        <v>82</v>
      </c>
      <c r="B291" s="23" t="n">
        <v>46041</v>
      </c>
      <c r="C291" s="22" t="s">
        <v>157</v>
      </c>
      <c r="D291" s="24" t="n">
        <v>106</v>
      </c>
    </row>
    <row r="292" customFormat="false" ht="15" hidden="false" customHeight="false" outlineLevel="0" collapsed="false">
      <c r="A292" s="22" t="n">
        <v>83</v>
      </c>
      <c r="B292" s="23" t="n">
        <v>46048</v>
      </c>
      <c r="C292" s="22" t="s">
        <v>157</v>
      </c>
      <c r="D292" s="24" t="n">
        <v>99</v>
      </c>
    </row>
    <row r="293" customFormat="false" ht="15" hidden="false" customHeight="false" outlineLevel="0" collapsed="false">
      <c r="A293" s="22" t="n">
        <v>84</v>
      </c>
      <c r="B293" s="23" t="n">
        <v>46055</v>
      </c>
      <c r="C293" s="22" t="s">
        <v>157</v>
      </c>
      <c r="D293" s="24" t="n">
        <v>99</v>
      </c>
    </row>
    <row r="294" customFormat="false" ht="15" hidden="false" customHeight="false" outlineLevel="0" collapsed="false">
      <c r="A294" s="22" t="n">
        <v>85</v>
      </c>
      <c r="B294" s="23" t="n">
        <v>46062</v>
      </c>
      <c r="C294" s="22" t="s">
        <v>157</v>
      </c>
      <c r="D294" s="24" t="n">
        <v>97</v>
      </c>
    </row>
    <row r="295" customFormat="false" ht="15" hidden="false" customHeight="false" outlineLevel="0" collapsed="false">
      <c r="A295" s="22" t="n">
        <v>86</v>
      </c>
      <c r="B295" s="23" t="n">
        <v>46069</v>
      </c>
      <c r="C295" s="22" t="s">
        <v>157</v>
      </c>
      <c r="D295" s="24" t="n">
        <v>90</v>
      </c>
    </row>
    <row r="296" customFormat="false" ht="15" hidden="false" customHeight="false" outlineLevel="0" collapsed="false">
      <c r="A296" s="22" t="n">
        <v>87</v>
      </c>
      <c r="B296" s="23" t="n">
        <v>46076</v>
      </c>
      <c r="C296" s="22" t="s">
        <v>157</v>
      </c>
      <c r="D296" s="24" t="n">
        <v>92</v>
      </c>
    </row>
    <row r="297" customFormat="false" ht="15" hidden="false" customHeight="false" outlineLevel="0" collapsed="false">
      <c r="A297" s="22" t="n">
        <v>88</v>
      </c>
      <c r="B297" s="23" t="n">
        <v>46083</v>
      </c>
      <c r="C297" s="22" t="s">
        <v>157</v>
      </c>
      <c r="D297" s="24" t="n">
        <v>87</v>
      </c>
    </row>
    <row r="298" customFormat="false" ht="15" hidden="false" customHeight="false" outlineLevel="0" collapsed="false">
      <c r="A298" s="22" t="n">
        <v>89</v>
      </c>
      <c r="B298" s="23" t="n">
        <v>46090</v>
      </c>
      <c r="C298" s="22" t="s">
        <v>157</v>
      </c>
      <c r="D298" s="24" t="n">
        <v>88</v>
      </c>
    </row>
    <row r="299" customFormat="false" ht="15" hidden="false" customHeight="false" outlineLevel="0" collapsed="false">
      <c r="A299" s="22" t="n">
        <v>90</v>
      </c>
      <c r="B299" s="23" t="n">
        <v>46097</v>
      </c>
      <c r="C299" s="22" t="s">
        <v>157</v>
      </c>
      <c r="D299" s="24" t="n">
        <v>92</v>
      </c>
    </row>
    <row r="300" customFormat="false" ht="15" hidden="false" customHeight="false" outlineLevel="0" collapsed="false">
      <c r="A300" s="22" t="n">
        <v>91</v>
      </c>
      <c r="B300" s="23" t="n">
        <v>46104</v>
      </c>
      <c r="C300" s="22" t="s">
        <v>157</v>
      </c>
      <c r="D300" s="24" t="n">
        <v>111</v>
      </c>
    </row>
    <row r="301" customFormat="false" ht="15" hidden="false" customHeight="false" outlineLevel="0" collapsed="false">
      <c r="A301" s="22" t="n">
        <v>92</v>
      </c>
      <c r="B301" s="23" t="n">
        <v>46111</v>
      </c>
      <c r="C301" s="22" t="s">
        <v>157</v>
      </c>
      <c r="D301" s="24" t="n">
        <v>99</v>
      </c>
    </row>
    <row r="302" customFormat="false" ht="15" hidden="false" customHeight="false" outlineLevel="0" collapsed="false">
      <c r="A302" s="22" t="n">
        <v>93</v>
      </c>
      <c r="B302" s="23" t="n">
        <v>46118</v>
      </c>
      <c r="C302" s="22" t="s">
        <v>157</v>
      </c>
      <c r="D302" s="24" t="n">
        <v>92</v>
      </c>
    </row>
    <row r="303" customFormat="false" ht="15" hidden="false" customHeight="false" outlineLevel="0" collapsed="false">
      <c r="A303" s="22" t="n">
        <v>94</v>
      </c>
      <c r="B303" s="23" t="n">
        <v>46125</v>
      </c>
      <c r="C303" s="22" t="s">
        <v>157</v>
      </c>
      <c r="D303" s="24" t="n">
        <v>85</v>
      </c>
    </row>
    <row r="304" customFormat="false" ht="15" hidden="false" customHeight="false" outlineLevel="0" collapsed="false">
      <c r="A304" s="22" t="n">
        <v>95</v>
      </c>
      <c r="B304" s="23" t="n">
        <v>46132</v>
      </c>
      <c r="C304" s="22" t="s">
        <v>157</v>
      </c>
      <c r="D304" s="24" t="n">
        <v>85</v>
      </c>
    </row>
    <row r="305" customFormat="false" ht="15" hidden="false" customHeight="false" outlineLevel="0" collapsed="false">
      <c r="A305" s="22" t="n">
        <v>96</v>
      </c>
      <c r="B305" s="23" t="n">
        <v>46139</v>
      </c>
      <c r="C305" s="22" t="s">
        <v>157</v>
      </c>
      <c r="D305" s="24" t="n">
        <v>115</v>
      </c>
    </row>
    <row r="306" customFormat="false" ht="15" hidden="false" customHeight="false" outlineLevel="0" collapsed="false">
      <c r="A306" s="22" t="n">
        <v>97</v>
      </c>
      <c r="B306" s="23" t="n">
        <v>46146</v>
      </c>
      <c r="C306" s="22" t="s">
        <v>157</v>
      </c>
      <c r="D306" s="24" t="n">
        <v>101</v>
      </c>
    </row>
    <row r="307" customFormat="false" ht="15" hidden="false" customHeight="false" outlineLevel="0" collapsed="false">
      <c r="A307" s="22" t="n">
        <v>98</v>
      </c>
      <c r="B307" s="23" t="n">
        <v>46153</v>
      </c>
      <c r="C307" s="22" t="s">
        <v>157</v>
      </c>
      <c r="D307" s="24" t="n">
        <v>96</v>
      </c>
    </row>
    <row r="308" customFormat="false" ht="15" hidden="false" customHeight="false" outlineLevel="0" collapsed="false">
      <c r="A308" s="22" t="n">
        <v>99</v>
      </c>
      <c r="B308" s="23" t="n">
        <v>46160</v>
      </c>
      <c r="C308" s="22" t="s">
        <v>157</v>
      </c>
      <c r="D308" s="24" t="n">
        <v>91</v>
      </c>
    </row>
    <row r="309" customFormat="false" ht="15" hidden="false" customHeight="false" outlineLevel="0" collapsed="false">
      <c r="A309" s="22" t="n">
        <v>100</v>
      </c>
      <c r="B309" s="23" t="n">
        <v>46167</v>
      </c>
      <c r="C309" s="22" t="s">
        <v>157</v>
      </c>
      <c r="D309" s="24" t="n">
        <v>81</v>
      </c>
    </row>
    <row r="310" customFormat="false" ht="15" hidden="false" customHeight="false" outlineLevel="0" collapsed="false">
      <c r="A310" s="22" t="n">
        <v>101</v>
      </c>
      <c r="B310" s="23" t="n">
        <v>46174</v>
      </c>
      <c r="C310" s="22" t="s">
        <v>157</v>
      </c>
      <c r="D310" s="24" t="n">
        <v>96</v>
      </c>
    </row>
    <row r="311" customFormat="false" ht="15" hidden="false" customHeight="false" outlineLevel="0" collapsed="false">
      <c r="A311" s="22" t="n">
        <v>102</v>
      </c>
      <c r="B311" s="23" t="n">
        <v>46181</v>
      </c>
      <c r="C311" s="22" t="s">
        <v>157</v>
      </c>
      <c r="D311" s="24" t="n">
        <v>109</v>
      </c>
    </row>
    <row r="312" customFormat="false" ht="15" hidden="false" customHeight="false" outlineLevel="0" collapsed="false">
      <c r="A312" s="22" t="n">
        <v>103</v>
      </c>
      <c r="B312" s="23" t="n">
        <v>46188</v>
      </c>
      <c r="C312" s="22" t="s">
        <v>157</v>
      </c>
      <c r="D312" s="24" t="n">
        <v>92</v>
      </c>
    </row>
    <row r="313" customFormat="false" ht="15" hidden="false" customHeight="false" outlineLevel="0" collapsed="false">
      <c r="A313" s="22" t="n">
        <v>104</v>
      </c>
      <c r="B313" s="23" t="n">
        <v>46195</v>
      </c>
      <c r="C313" s="22" t="s">
        <v>157</v>
      </c>
      <c r="D313" s="24" t="n">
        <v>95</v>
      </c>
    </row>
    <row r="314" customFormat="false" ht="15" hidden="false" customHeight="false" outlineLevel="0" collapsed="false">
      <c r="A314" s="22" t="n">
        <v>1</v>
      </c>
      <c r="B314" s="23" t="n">
        <v>45474</v>
      </c>
      <c r="C314" s="22" t="s">
        <v>160</v>
      </c>
      <c r="D314" s="24" t="n">
        <v>91</v>
      </c>
    </row>
    <row r="315" customFormat="false" ht="15" hidden="false" customHeight="false" outlineLevel="0" collapsed="false">
      <c r="A315" s="22" t="n">
        <v>2</v>
      </c>
      <c r="B315" s="23" t="n">
        <v>45481</v>
      </c>
      <c r="C315" s="22" t="s">
        <v>160</v>
      </c>
      <c r="D315" s="24" t="n">
        <v>75</v>
      </c>
    </row>
    <row r="316" customFormat="false" ht="15" hidden="false" customHeight="false" outlineLevel="0" collapsed="false">
      <c r="A316" s="22" t="n">
        <v>3</v>
      </c>
      <c r="B316" s="23" t="n">
        <v>45488</v>
      </c>
      <c r="C316" s="22" t="s">
        <v>160</v>
      </c>
      <c r="D316" s="24" t="n">
        <v>88</v>
      </c>
    </row>
    <row r="317" customFormat="false" ht="15" hidden="false" customHeight="false" outlineLevel="0" collapsed="false">
      <c r="A317" s="22" t="n">
        <v>4</v>
      </c>
      <c r="B317" s="23" t="n">
        <v>45495</v>
      </c>
      <c r="C317" s="22" t="s">
        <v>160</v>
      </c>
      <c r="D317" s="24" t="n">
        <v>82</v>
      </c>
    </row>
    <row r="318" customFormat="false" ht="15" hidden="false" customHeight="false" outlineLevel="0" collapsed="false">
      <c r="A318" s="22" t="n">
        <v>5</v>
      </c>
      <c r="B318" s="23" t="n">
        <v>45502</v>
      </c>
      <c r="C318" s="22" t="s">
        <v>160</v>
      </c>
      <c r="D318" s="24" t="n">
        <v>99</v>
      </c>
    </row>
    <row r="319" customFormat="false" ht="15" hidden="false" customHeight="false" outlineLevel="0" collapsed="false">
      <c r="A319" s="22" t="n">
        <v>6</v>
      </c>
      <c r="B319" s="23" t="n">
        <v>45509</v>
      </c>
      <c r="C319" s="22" t="s">
        <v>160</v>
      </c>
      <c r="D319" s="24" t="n">
        <v>83</v>
      </c>
    </row>
    <row r="320" customFormat="false" ht="15" hidden="false" customHeight="false" outlineLevel="0" collapsed="false">
      <c r="A320" s="22" t="n">
        <v>7</v>
      </c>
      <c r="B320" s="23" t="n">
        <v>45516</v>
      </c>
      <c r="C320" s="22" t="s">
        <v>160</v>
      </c>
      <c r="D320" s="24" t="n">
        <v>96</v>
      </c>
    </row>
    <row r="321" customFormat="false" ht="15" hidden="false" customHeight="false" outlineLevel="0" collapsed="false">
      <c r="A321" s="22" t="n">
        <v>8</v>
      </c>
      <c r="B321" s="23" t="n">
        <v>45523</v>
      </c>
      <c r="C321" s="22" t="s">
        <v>160</v>
      </c>
      <c r="D321" s="24" t="n">
        <v>105</v>
      </c>
    </row>
    <row r="322" customFormat="false" ht="15" hidden="false" customHeight="false" outlineLevel="0" collapsed="false">
      <c r="A322" s="22" t="n">
        <v>9</v>
      </c>
      <c r="B322" s="23" t="n">
        <v>45530</v>
      </c>
      <c r="C322" s="22" t="s">
        <v>160</v>
      </c>
      <c r="D322" s="24" t="n">
        <v>87</v>
      </c>
    </row>
    <row r="323" customFormat="false" ht="15" hidden="false" customHeight="false" outlineLevel="0" collapsed="false">
      <c r="A323" s="22" t="n">
        <v>10</v>
      </c>
      <c r="B323" s="23" t="n">
        <v>45537</v>
      </c>
      <c r="C323" s="22" t="s">
        <v>160</v>
      </c>
      <c r="D323" s="24" t="n">
        <v>84</v>
      </c>
    </row>
    <row r="324" customFormat="false" ht="15" hidden="false" customHeight="false" outlineLevel="0" collapsed="false">
      <c r="A324" s="22" t="n">
        <v>11</v>
      </c>
      <c r="B324" s="23" t="n">
        <v>45544</v>
      </c>
      <c r="C324" s="22" t="s">
        <v>160</v>
      </c>
      <c r="D324" s="24" t="n">
        <v>92</v>
      </c>
    </row>
    <row r="325" customFormat="false" ht="15" hidden="false" customHeight="false" outlineLevel="0" collapsed="false">
      <c r="A325" s="22" t="n">
        <v>12</v>
      </c>
      <c r="B325" s="23" t="n">
        <v>45551</v>
      </c>
      <c r="C325" s="22" t="s">
        <v>160</v>
      </c>
      <c r="D325" s="24" t="n">
        <v>90</v>
      </c>
    </row>
    <row r="326" customFormat="false" ht="15" hidden="false" customHeight="false" outlineLevel="0" collapsed="false">
      <c r="A326" s="22" t="n">
        <v>13</v>
      </c>
      <c r="B326" s="23" t="n">
        <v>45558</v>
      </c>
      <c r="C326" s="22" t="s">
        <v>160</v>
      </c>
      <c r="D326" s="24" t="n">
        <v>80</v>
      </c>
    </row>
    <row r="327" customFormat="false" ht="15" hidden="false" customHeight="false" outlineLevel="0" collapsed="false">
      <c r="A327" s="22" t="n">
        <v>14</v>
      </c>
      <c r="B327" s="23" t="n">
        <v>45565</v>
      </c>
      <c r="C327" s="22" t="s">
        <v>160</v>
      </c>
      <c r="D327" s="24" t="n">
        <v>94</v>
      </c>
    </row>
    <row r="328" customFormat="false" ht="15" hidden="false" customHeight="false" outlineLevel="0" collapsed="false">
      <c r="A328" s="22" t="n">
        <v>15</v>
      </c>
      <c r="B328" s="23" t="n">
        <v>45572</v>
      </c>
      <c r="C328" s="22" t="s">
        <v>160</v>
      </c>
      <c r="D328" s="24" t="n">
        <v>109</v>
      </c>
    </row>
    <row r="329" customFormat="false" ht="15" hidden="false" customHeight="false" outlineLevel="0" collapsed="false">
      <c r="A329" s="22" t="n">
        <v>16</v>
      </c>
      <c r="B329" s="23" t="n">
        <v>45579</v>
      </c>
      <c r="C329" s="22" t="s">
        <v>160</v>
      </c>
      <c r="D329" s="24" t="n">
        <v>88</v>
      </c>
    </row>
    <row r="330" customFormat="false" ht="15" hidden="false" customHeight="false" outlineLevel="0" collapsed="false">
      <c r="A330" s="22" t="n">
        <v>17</v>
      </c>
      <c r="B330" s="23" t="n">
        <v>45586</v>
      </c>
      <c r="C330" s="22" t="s">
        <v>160</v>
      </c>
      <c r="D330" s="24" t="n">
        <v>88</v>
      </c>
    </row>
    <row r="331" customFormat="false" ht="15" hidden="false" customHeight="false" outlineLevel="0" collapsed="false">
      <c r="A331" s="22" t="n">
        <v>18</v>
      </c>
      <c r="B331" s="23" t="n">
        <v>45593</v>
      </c>
      <c r="C331" s="22" t="s">
        <v>160</v>
      </c>
      <c r="D331" s="24" t="n">
        <v>80</v>
      </c>
    </row>
    <row r="332" customFormat="false" ht="15" hidden="false" customHeight="false" outlineLevel="0" collapsed="false">
      <c r="A332" s="22" t="n">
        <v>19</v>
      </c>
      <c r="B332" s="23" t="n">
        <v>45600</v>
      </c>
      <c r="C332" s="22" t="s">
        <v>160</v>
      </c>
      <c r="D332" s="24" t="n">
        <v>93</v>
      </c>
    </row>
    <row r="333" customFormat="false" ht="15" hidden="false" customHeight="false" outlineLevel="0" collapsed="false">
      <c r="A333" s="22" t="n">
        <v>20</v>
      </c>
      <c r="B333" s="23" t="n">
        <v>45607</v>
      </c>
      <c r="C333" s="22" t="s">
        <v>160</v>
      </c>
      <c r="D333" s="24" t="n">
        <v>78</v>
      </c>
    </row>
    <row r="334" customFormat="false" ht="15" hidden="false" customHeight="false" outlineLevel="0" collapsed="false">
      <c r="A334" s="22" t="n">
        <v>21</v>
      </c>
      <c r="B334" s="23" t="n">
        <v>45614</v>
      </c>
      <c r="C334" s="22" t="s">
        <v>160</v>
      </c>
      <c r="D334" s="24" t="n">
        <v>79</v>
      </c>
    </row>
    <row r="335" customFormat="false" ht="15" hidden="false" customHeight="false" outlineLevel="0" collapsed="false">
      <c r="A335" s="22" t="n">
        <v>22</v>
      </c>
      <c r="B335" s="23" t="n">
        <v>45621</v>
      </c>
      <c r="C335" s="22" t="s">
        <v>160</v>
      </c>
      <c r="D335" s="24" t="n">
        <v>102</v>
      </c>
    </row>
    <row r="336" customFormat="false" ht="15" hidden="false" customHeight="false" outlineLevel="0" collapsed="false">
      <c r="A336" s="22" t="n">
        <v>23</v>
      </c>
      <c r="B336" s="23" t="n">
        <v>45628</v>
      </c>
      <c r="C336" s="22" t="s">
        <v>160</v>
      </c>
      <c r="D336" s="24" t="n">
        <v>81</v>
      </c>
    </row>
    <row r="337" customFormat="false" ht="15" hidden="false" customHeight="false" outlineLevel="0" collapsed="false">
      <c r="A337" s="22" t="n">
        <v>24</v>
      </c>
      <c r="B337" s="23" t="n">
        <v>45635</v>
      </c>
      <c r="C337" s="22" t="s">
        <v>160</v>
      </c>
      <c r="D337" s="24" t="n">
        <v>100</v>
      </c>
    </row>
    <row r="338" customFormat="false" ht="15" hidden="false" customHeight="false" outlineLevel="0" collapsed="false">
      <c r="A338" s="22" t="n">
        <v>25</v>
      </c>
      <c r="B338" s="23" t="n">
        <v>45642</v>
      </c>
      <c r="C338" s="22" t="s">
        <v>160</v>
      </c>
      <c r="D338" s="24" t="n">
        <v>105</v>
      </c>
    </row>
    <row r="339" customFormat="false" ht="15" hidden="false" customHeight="false" outlineLevel="0" collapsed="false">
      <c r="A339" s="22" t="n">
        <v>26</v>
      </c>
      <c r="B339" s="23" t="n">
        <v>45649</v>
      </c>
      <c r="C339" s="22" t="s">
        <v>160</v>
      </c>
      <c r="D339" s="24" t="n">
        <v>92</v>
      </c>
    </row>
    <row r="340" customFormat="false" ht="15" hidden="false" customHeight="false" outlineLevel="0" collapsed="false">
      <c r="A340" s="22" t="n">
        <v>27</v>
      </c>
      <c r="B340" s="23" t="n">
        <v>45656</v>
      </c>
      <c r="C340" s="22" t="s">
        <v>160</v>
      </c>
      <c r="D340" s="24" t="n">
        <v>95</v>
      </c>
    </row>
    <row r="341" customFormat="false" ht="15" hidden="false" customHeight="false" outlineLevel="0" collapsed="false">
      <c r="A341" s="22" t="n">
        <v>28</v>
      </c>
      <c r="B341" s="23" t="n">
        <v>45663</v>
      </c>
      <c r="C341" s="22" t="s">
        <v>160</v>
      </c>
      <c r="D341" s="24" t="n">
        <v>109</v>
      </c>
    </row>
    <row r="342" customFormat="false" ht="15" hidden="false" customHeight="false" outlineLevel="0" collapsed="false">
      <c r="A342" s="22" t="n">
        <v>29</v>
      </c>
      <c r="B342" s="23" t="n">
        <v>45670</v>
      </c>
      <c r="C342" s="22" t="s">
        <v>160</v>
      </c>
      <c r="D342" s="24" t="n">
        <v>88</v>
      </c>
    </row>
    <row r="343" customFormat="false" ht="15" hidden="false" customHeight="false" outlineLevel="0" collapsed="false">
      <c r="A343" s="22" t="n">
        <v>30</v>
      </c>
      <c r="B343" s="23" t="n">
        <v>45677</v>
      </c>
      <c r="C343" s="22" t="s">
        <v>160</v>
      </c>
      <c r="D343" s="24" t="n">
        <v>84</v>
      </c>
    </row>
    <row r="344" customFormat="false" ht="15" hidden="false" customHeight="false" outlineLevel="0" collapsed="false">
      <c r="A344" s="22" t="n">
        <v>31</v>
      </c>
      <c r="B344" s="23" t="n">
        <v>45684</v>
      </c>
      <c r="C344" s="22" t="s">
        <v>160</v>
      </c>
      <c r="D344" s="24" t="n">
        <v>77</v>
      </c>
    </row>
    <row r="345" customFormat="false" ht="15" hidden="false" customHeight="false" outlineLevel="0" collapsed="false">
      <c r="A345" s="22" t="n">
        <v>32</v>
      </c>
      <c r="B345" s="23" t="n">
        <v>45691</v>
      </c>
      <c r="C345" s="22" t="s">
        <v>160</v>
      </c>
      <c r="D345" s="24" t="n">
        <v>90</v>
      </c>
    </row>
    <row r="346" customFormat="false" ht="15" hidden="false" customHeight="false" outlineLevel="0" collapsed="false">
      <c r="A346" s="22" t="n">
        <v>33</v>
      </c>
      <c r="B346" s="23" t="n">
        <v>45698</v>
      </c>
      <c r="C346" s="22" t="s">
        <v>160</v>
      </c>
      <c r="D346" s="24" t="n">
        <v>104</v>
      </c>
    </row>
    <row r="347" customFormat="false" ht="15" hidden="false" customHeight="false" outlineLevel="0" collapsed="false">
      <c r="A347" s="22" t="n">
        <v>34</v>
      </c>
      <c r="B347" s="23" t="n">
        <v>45705</v>
      </c>
      <c r="C347" s="22" t="s">
        <v>160</v>
      </c>
      <c r="D347" s="24" t="n">
        <v>99</v>
      </c>
    </row>
    <row r="348" customFormat="false" ht="15" hidden="false" customHeight="false" outlineLevel="0" collapsed="false">
      <c r="A348" s="22" t="n">
        <v>35</v>
      </c>
      <c r="B348" s="23" t="n">
        <v>45712</v>
      </c>
      <c r="C348" s="22" t="s">
        <v>160</v>
      </c>
      <c r="D348" s="24" t="n">
        <v>81</v>
      </c>
    </row>
    <row r="349" customFormat="false" ht="15" hidden="false" customHeight="false" outlineLevel="0" collapsed="false">
      <c r="A349" s="22" t="n">
        <v>36</v>
      </c>
      <c r="B349" s="23" t="n">
        <v>45719</v>
      </c>
      <c r="C349" s="22" t="s">
        <v>160</v>
      </c>
      <c r="D349" s="24" t="n">
        <v>82</v>
      </c>
    </row>
    <row r="350" customFormat="false" ht="15" hidden="false" customHeight="false" outlineLevel="0" collapsed="false">
      <c r="A350" s="22" t="n">
        <v>37</v>
      </c>
      <c r="B350" s="23" t="n">
        <v>45726</v>
      </c>
      <c r="C350" s="22" t="s">
        <v>160</v>
      </c>
      <c r="D350" s="24" t="n">
        <v>85</v>
      </c>
    </row>
    <row r="351" customFormat="false" ht="15" hidden="false" customHeight="false" outlineLevel="0" collapsed="false">
      <c r="A351" s="22" t="n">
        <v>38</v>
      </c>
      <c r="B351" s="23" t="n">
        <v>45733</v>
      </c>
      <c r="C351" s="22" t="s">
        <v>160</v>
      </c>
      <c r="D351" s="24" t="n">
        <v>93</v>
      </c>
    </row>
    <row r="352" customFormat="false" ht="15" hidden="false" customHeight="false" outlineLevel="0" collapsed="false">
      <c r="A352" s="22" t="n">
        <v>39</v>
      </c>
      <c r="B352" s="23" t="n">
        <v>45740</v>
      </c>
      <c r="C352" s="22" t="s">
        <v>160</v>
      </c>
      <c r="D352" s="24" t="n">
        <v>88</v>
      </c>
    </row>
    <row r="353" customFormat="false" ht="15" hidden="false" customHeight="false" outlineLevel="0" collapsed="false">
      <c r="A353" s="22" t="n">
        <v>40</v>
      </c>
      <c r="B353" s="23" t="n">
        <v>45747</v>
      </c>
      <c r="C353" s="22" t="s">
        <v>160</v>
      </c>
      <c r="D353" s="24" t="n">
        <v>92</v>
      </c>
    </row>
    <row r="354" customFormat="false" ht="15" hidden="false" customHeight="false" outlineLevel="0" collapsed="false">
      <c r="A354" s="22" t="n">
        <v>41</v>
      </c>
      <c r="B354" s="23" t="n">
        <v>45754</v>
      </c>
      <c r="C354" s="22" t="s">
        <v>160</v>
      </c>
      <c r="D354" s="24" t="n">
        <v>93</v>
      </c>
    </row>
    <row r="355" customFormat="false" ht="15" hidden="false" customHeight="false" outlineLevel="0" collapsed="false">
      <c r="A355" s="22" t="n">
        <v>42</v>
      </c>
      <c r="B355" s="23" t="n">
        <v>45761</v>
      </c>
      <c r="C355" s="22" t="s">
        <v>160</v>
      </c>
      <c r="D355" s="24" t="n">
        <v>87</v>
      </c>
    </row>
    <row r="356" customFormat="false" ht="15" hidden="false" customHeight="false" outlineLevel="0" collapsed="false">
      <c r="A356" s="22" t="n">
        <v>43</v>
      </c>
      <c r="B356" s="23" t="n">
        <v>45768</v>
      </c>
      <c r="C356" s="22" t="s">
        <v>160</v>
      </c>
      <c r="D356" s="24" t="n">
        <v>90</v>
      </c>
    </row>
    <row r="357" customFormat="false" ht="15" hidden="false" customHeight="false" outlineLevel="0" collapsed="false">
      <c r="A357" s="22" t="n">
        <v>44</v>
      </c>
      <c r="B357" s="23" t="n">
        <v>45775</v>
      </c>
      <c r="C357" s="22" t="s">
        <v>160</v>
      </c>
      <c r="D357" s="24" t="n">
        <v>92</v>
      </c>
    </row>
    <row r="358" customFormat="false" ht="15" hidden="false" customHeight="false" outlineLevel="0" collapsed="false">
      <c r="A358" s="22" t="n">
        <v>45</v>
      </c>
      <c r="B358" s="23" t="n">
        <v>45782</v>
      </c>
      <c r="C358" s="22" t="s">
        <v>160</v>
      </c>
      <c r="D358" s="24" t="n">
        <v>89</v>
      </c>
    </row>
    <row r="359" customFormat="false" ht="15" hidden="false" customHeight="false" outlineLevel="0" collapsed="false">
      <c r="A359" s="22" t="n">
        <v>46</v>
      </c>
      <c r="B359" s="23" t="n">
        <v>45789</v>
      </c>
      <c r="C359" s="22" t="s">
        <v>160</v>
      </c>
      <c r="D359" s="24" t="n">
        <v>95</v>
      </c>
    </row>
    <row r="360" customFormat="false" ht="15" hidden="false" customHeight="false" outlineLevel="0" collapsed="false">
      <c r="A360" s="22" t="n">
        <v>47</v>
      </c>
      <c r="B360" s="23" t="n">
        <v>45796</v>
      </c>
      <c r="C360" s="22" t="s">
        <v>160</v>
      </c>
      <c r="D360" s="24" t="n">
        <v>108</v>
      </c>
    </row>
    <row r="361" customFormat="false" ht="15" hidden="false" customHeight="false" outlineLevel="0" collapsed="false">
      <c r="A361" s="22" t="n">
        <v>48</v>
      </c>
      <c r="B361" s="23" t="n">
        <v>45803</v>
      </c>
      <c r="C361" s="22" t="s">
        <v>160</v>
      </c>
      <c r="D361" s="24" t="n">
        <v>96</v>
      </c>
    </row>
    <row r="362" customFormat="false" ht="15" hidden="false" customHeight="false" outlineLevel="0" collapsed="false">
      <c r="A362" s="22" t="n">
        <v>49</v>
      </c>
      <c r="B362" s="23" t="n">
        <v>45810</v>
      </c>
      <c r="C362" s="22" t="s">
        <v>160</v>
      </c>
      <c r="D362" s="24" t="n">
        <v>91</v>
      </c>
    </row>
    <row r="363" customFormat="false" ht="15" hidden="false" customHeight="false" outlineLevel="0" collapsed="false">
      <c r="A363" s="22" t="n">
        <v>50</v>
      </c>
      <c r="B363" s="23" t="n">
        <v>45817</v>
      </c>
      <c r="C363" s="22" t="s">
        <v>160</v>
      </c>
      <c r="D363" s="24" t="n">
        <v>74</v>
      </c>
    </row>
    <row r="364" customFormat="false" ht="15" hidden="false" customHeight="false" outlineLevel="0" collapsed="false">
      <c r="A364" s="22" t="n">
        <v>51</v>
      </c>
      <c r="B364" s="23" t="n">
        <v>45824</v>
      </c>
      <c r="C364" s="22" t="s">
        <v>160</v>
      </c>
      <c r="D364" s="24" t="n">
        <v>94</v>
      </c>
    </row>
    <row r="365" customFormat="false" ht="15" hidden="false" customHeight="false" outlineLevel="0" collapsed="false">
      <c r="A365" s="22" t="n">
        <v>52</v>
      </c>
      <c r="B365" s="23" t="n">
        <v>45831</v>
      </c>
      <c r="C365" s="22" t="s">
        <v>160</v>
      </c>
      <c r="D365" s="24" t="n">
        <v>71</v>
      </c>
    </row>
    <row r="366" customFormat="false" ht="15" hidden="false" customHeight="false" outlineLevel="0" collapsed="false">
      <c r="A366" s="22" t="n">
        <v>53</v>
      </c>
      <c r="B366" s="23" t="n">
        <v>45838</v>
      </c>
      <c r="C366" s="22" t="s">
        <v>160</v>
      </c>
      <c r="D366" s="24" t="n">
        <v>76</v>
      </c>
    </row>
    <row r="367" customFormat="false" ht="15" hidden="false" customHeight="false" outlineLevel="0" collapsed="false">
      <c r="A367" s="22" t="n">
        <v>54</v>
      </c>
      <c r="B367" s="23" t="n">
        <v>45845</v>
      </c>
      <c r="C367" s="22" t="s">
        <v>160</v>
      </c>
      <c r="D367" s="24" t="n">
        <v>98</v>
      </c>
    </row>
    <row r="368" customFormat="false" ht="15" hidden="false" customHeight="false" outlineLevel="0" collapsed="false">
      <c r="A368" s="22" t="n">
        <v>55</v>
      </c>
      <c r="B368" s="23" t="n">
        <v>45852</v>
      </c>
      <c r="C368" s="22" t="s">
        <v>160</v>
      </c>
      <c r="D368" s="24" t="n">
        <v>97</v>
      </c>
    </row>
    <row r="369" customFormat="false" ht="15" hidden="false" customHeight="false" outlineLevel="0" collapsed="false">
      <c r="A369" s="22" t="n">
        <v>56</v>
      </c>
      <c r="B369" s="23" t="n">
        <v>45859</v>
      </c>
      <c r="C369" s="22" t="s">
        <v>160</v>
      </c>
      <c r="D369" s="24" t="n">
        <v>89</v>
      </c>
    </row>
    <row r="370" customFormat="false" ht="15" hidden="false" customHeight="false" outlineLevel="0" collapsed="false">
      <c r="A370" s="22" t="n">
        <v>57</v>
      </c>
      <c r="B370" s="23" t="n">
        <v>45866</v>
      </c>
      <c r="C370" s="22" t="s">
        <v>160</v>
      </c>
      <c r="D370" s="24" t="n">
        <v>74</v>
      </c>
    </row>
    <row r="371" customFormat="false" ht="15" hidden="false" customHeight="false" outlineLevel="0" collapsed="false">
      <c r="A371" s="22" t="n">
        <v>58</v>
      </c>
      <c r="B371" s="23" t="n">
        <v>45873</v>
      </c>
      <c r="C371" s="22" t="s">
        <v>160</v>
      </c>
      <c r="D371" s="24" t="n">
        <v>86</v>
      </c>
    </row>
    <row r="372" customFormat="false" ht="15" hidden="false" customHeight="false" outlineLevel="0" collapsed="false">
      <c r="A372" s="22" t="n">
        <v>59</v>
      </c>
      <c r="B372" s="23" t="n">
        <v>45880</v>
      </c>
      <c r="C372" s="22" t="s">
        <v>160</v>
      </c>
      <c r="D372" s="24" t="n">
        <v>83</v>
      </c>
    </row>
    <row r="373" customFormat="false" ht="15" hidden="false" customHeight="false" outlineLevel="0" collapsed="false">
      <c r="A373" s="22" t="n">
        <v>60</v>
      </c>
      <c r="B373" s="23" t="n">
        <v>45887</v>
      </c>
      <c r="C373" s="22" t="s">
        <v>160</v>
      </c>
      <c r="D373" s="24" t="n">
        <v>96</v>
      </c>
    </row>
    <row r="374" customFormat="false" ht="15" hidden="false" customHeight="false" outlineLevel="0" collapsed="false">
      <c r="A374" s="22" t="n">
        <v>61</v>
      </c>
      <c r="B374" s="23" t="n">
        <v>45894</v>
      </c>
      <c r="C374" s="22" t="s">
        <v>160</v>
      </c>
      <c r="D374" s="24" t="n">
        <v>112</v>
      </c>
    </row>
    <row r="375" customFormat="false" ht="15" hidden="false" customHeight="false" outlineLevel="0" collapsed="false">
      <c r="A375" s="22" t="n">
        <v>62</v>
      </c>
      <c r="B375" s="23" t="n">
        <v>45901</v>
      </c>
      <c r="C375" s="22" t="s">
        <v>160</v>
      </c>
      <c r="D375" s="24" t="n">
        <v>92</v>
      </c>
    </row>
    <row r="376" customFormat="false" ht="15" hidden="false" customHeight="false" outlineLevel="0" collapsed="false">
      <c r="A376" s="22" t="n">
        <v>63</v>
      </c>
      <c r="B376" s="23" t="n">
        <v>45908</v>
      </c>
      <c r="C376" s="22" t="s">
        <v>160</v>
      </c>
      <c r="D376" s="24" t="n">
        <v>83</v>
      </c>
    </row>
    <row r="377" customFormat="false" ht="15" hidden="false" customHeight="false" outlineLevel="0" collapsed="false">
      <c r="A377" s="22" t="n">
        <v>64</v>
      </c>
      <c r="B377" s="23" t="n">
        <v>45915</v>
      </c>
      <c r="C377" s="22" t="s">
        <v>160</v>
      </c>
      <c r="D377" s="24" t="n">
        <v>79</v>
      </c>
    </row>
    <row r="378" customFormat="false" ht="15" hidden="false" customHeight="false" outlineLevel="0" collapsed="false">
      <c r="A378" s="22" t="n">
        <v>65</v>
      </c>
      <c r="B378" s="23" t="n">
        <v>45922</v>
      </c>
      <c r="C378" s="22" t="s">
        <v>160</v>
      </c>
      <c r="D378" s="24" t="n">
        <v>89</v>
      </c>
    </row>
    <row r="379" customFormat="false" ht="15" hidden="false" customHeight="false" outlineLevel="0" collapsed="false">
      <c r="A379" s="22" t="n">
        <v>66</v>
      </c>
      <c r="B379" s="23" t="n">
        <v>45929</v>
      </c>
      <c r="C379" s="22" t="s">
        <v>160</v>
      </c>
      <c r="D379" s="24" t="n">
        <v>88</v>
      </c>
    </row>
    <row r="380" customFormat="false" ht="15" hidden="false" customHeight="false" outlineLevel="0" collapsed="false">
      <c r="A380" s="22" t="n">
        <v>67</v>
      </c>
      <c r="B380" s="23" t="n">
        <v>45936</v>
      </c>
      <c r="C380" s="22" t="s">
        <v>160</v>
      </c>
      <c r="D380" s="24" t="n">
        <v>79</v>
      </c>
    </row>
    <row r="381" customFormat="false" ht="15" hidden="false" customHeight="false" outlineLevel="0" collapsed="false">
      <c r="A381" s="22" t="n">
        <v>68</v>
      </c>
      <c r="B381" s="23" t="n">
        <v>45943</v>
      </c>
      <c r="C381" s="22" t="s">
        <v>160</v>
      </c>
      <c r="D381" s="24" t="n">
        <v>91</v>
      </c>
    </row>
    <row r="382" customFormat="false" ht="15" hidden="false" customHeight="false" outlineLevel="0" collapsed="false">
      <c r="A382" s="22" t="n">
        <v>69</v>
      </c>
      <c r="B382" s="23" t="n">
        <v>45950</v>
      </c>
      <c r="C382" s="22" t="s">
        <v>160</v>
      </c>
      <c r="D382" s="24" t="n">
        <v>79</v>
      </c>
    </row>
    <row r="383" customFormat="false" ht="15" hidden="false" customHeight="false" outlineLevel="0" collapsed="false">
      <c r="A383" s="22" t="n">
        <v>70</v>
      </c>
      <c r="B383" s="23" t="n">
        <v>45957</v>
      </c>
      <c r="C383" s="22" t="s">
        <v>160</v>
      </c>
      <c r="D383" s="24" t="n">
        <v>101</v>
      </c>
    </row>
    <row r="384" customFormat="false" ht="15" hidden="false" customHeight="false" outlineLevel="0" collapsed="false">
      <c r="A384" s="22" t="n">
        <v>71</v>
      </c>
      <c r="B384" s="23" t="n">
        <v>45964</v>
      </c>
      <c r="C384" s="22" t="s">
        <v>160</v>
      </c>
      <c r="D384" s="24" t="n">
        <v>100</v>
      </c>
    </row>
    <row r="385" customFormat="false" ht="15" hidden="false" customHeight="false" outlineLevel="0" collapsed="false">
      <c r="A385" s="22" t="n">
        <v>72</v>
      </c>
      <c r="B385" s="23" t="n">
        <v>45971</v>
      </c>
      <c r="C385" s="22" t="s">
        <v>160</v>
      </c>
      <c r="D385" s="24" t="n">
        <v>100</v>
      </c>
    </row>
    <row r="386" customFormat="false" ht="15" hidden="false" customHeight="false" outlineLevel="0" collapsed="false">
      <c r="A386" s="22" t="n">
        <v>73</v>
      </c>
      <c r="B386" s="23" t="n">
        <v>45978</v>
      </c>
      <c r="C386" s="22" t="s">
        <v>160</v>
      </c>
      <c r="D386" s="24" t="n">
        <v>85</v>
      </c>
    </row>
    <row r="387" customFormat="false" ht="15" hidden="false" customHeight="false" outlineLevel="0" collapsed="false">
      <c r="A387" s="22" t="n">
        <v>74</v>
      </c>
      <c r="B387" s="23" t="n">
        <v>45985</v>
      </c>
      <c r="C387" s="22" t="s">
        <v>160</v>
      </c>
      <c r="D387" s="24" t="n">
        <v>95</v>
      </c>
    </row>
    <row r="388" customFormat="false" ht="15" hidden="false" customHeight="false" outlineLevel="0" collapsed="false">
      <c r="A388" s="22" t="n">
        <v>75</v>
      </c>
      <c r="B388" s="23" t="n">
        <v>45992</v>
      </c>
      <c r="C388" s="22" t="s">
        <v>160</v>
      </c>
      <c r="D388" s="24" t="n">
        <v>89</v>
      </c>
    </row>
    <row r="389" customFormat="false" ht="15" hidden="false" customHeight="false" outlineLevel="0" collapsed="false">
      <c r="A389" s="22" t="n">
        <v>76</v>
      </c>
      <c r="B389" s="23" t="n">
        <v>45999</v>
      </c>
      <c r="C389" s="22" t="s">
        <v>160</v>
      </c>
      <c r="D389" s="24" t="n">
        <v>86</v>
      </c>
    </row>
    <row r="390" customFormat="false" ht="15" hidden="false" customHeight="false" outlineLevel="0" collapsed="false">
      <c r="A390" s="22" t="n">
        <v>77</v>
      </c>
      <c r="B390" s="23" t="n">
        <v>46006</v>
      </c>
      <c r="C390" s="22" t="s">
        <v>160</v>
      </c>
      <c r="D390" s="24" t="n">
        <v>87</v>
      </c>
    </row>
    <row r="391" customFormat="false" ht="15" hidden="false" customHeight="false" outlineLevel="0" collapsed="false">
      <c r="A391" s="22" t="n">
        <v>78</v>
      </c>
      <c r="B391" s="23" t="n">
        <v>46013</v>
      </c>
      <c r="C391" s="22" t="s">
        <v>160</v>
      </c>
      <c r="D391" s="24" t="n">
        <v>77</v>
      </c>
    </row>
    <row r="392" customFormat="false" ht="15" hidden="false" customHeight="false" outlineLevel="0" collapsed="false">
      <c r="A392" s="22" t="n">
        <v>79</v>
      </c>
      <c r="B392" s="23" t="n">
        <v>46020</v>
      </c>
      <c r="C392" s="22" t="s">
        <v>160</v>
      </c>
      <c r="D392" s="24" t="n">
        <v>76</v>
      </c>
    </row>
    <row r="393" customFormat="false" ht="15" hidden="false" customHeight="false" outlineLevel="0" collapsed="false">
      <c r="A393" s="22" t="n">
        <v>80</v>
      </c>
      <c r="B393" s="23" t="n">
        <v>46027</v>
      </c>
      <c r="C393" s="22" t="s">
        <v>160</v>
      </c>
      <c r="D393" s="24" t="n">
        <v>98</v>
      </c>
    </row>
    <row r="394" customFormat="false" ht="15" hidden="false" customHeight="false" outlineLevel="0" collapsed="false">
      <c r="A394" s="22" t="n">
        <v>81</v>
      </c>
      <c r="B394" s="23" t="n">
        <v>46034</v>
      </c>
      <c r="C394" s="22" t="s">
        <v>160</v>
      </c>
      <c r="D394" s="24" t="n">
        <v>88</v>
      </c>
    </row>
    <row r="395" customFormat="false" ht="15" hidden="false" customHeight="false" outlineLevel="0" collapsed="false">
      <c r="A395" s="22" t="n">
        <v>82</v>
      </c>
      <c r="B395" s="23" t="n">
        <v>46041</v>
      </c>
      <c r="C395" s="22" t="s">
        <v>160</v>
      </c>
      <c r="D395" s="24" t="n">
        <v>92</v>
      </c>
    </row>
    <row r="396" customFormat="false" ht="15" hidden="false" customHeight="false" outlineLevel="0" collapsed="false">
      <c r="A396" s="22" t="n">
        <v>83</v>
      </c>
      <c r="B396" s="23" t="n">
        <v>46048</v>
      </c>
      <c r="C396" s="22" t="s">
        <v>160</v>
      </c>
      <c r="D396" s="24" t="n">
        <v>100</v>
      </c>
    </row>
    <row r="397" customFormat="false" ht="15" hidden="false" customHeight="false" outlineLevel="0" collapsed="false">
      <c r="A397" s="22" t="n">
        <v>84</v>
      </c>
      <c r="B397" s="23" t="n">
        <v>46055</v>
      </c>
      <c r="C397" s="22" t="s">
        <v>160</v>
      </c>
      <c r="D397" s="24" t="n">
        <v>73</v>
      </c>
    </row>
    <row r="398" customFormat="false" ht="15" hidden="false" customHeight="false" outlineLevel="0" collapsed="false">
      <c r="A398" s="22" t="n">
        <v>85</v>
      </c>
      <c r="B398" s="23" t="n">
        <v>46062</v>
      </c>
      <c r="C398" s="22" t="s">
        <v>160</v>
      </c>
      <c r="D398" s="24" t="n">
        <v>82</v>
      </c>
    </row>
    <row r="399" customFormat="false" ht="15" hidden="false" customHeight="false" outlineLevel="0" collapsed="false">
      <c r="A399" s="22" t="n">
        <v>86</v>
      </c>
      <c r="B399" s="23" t="n">
        <v>46069</v>
      </c>
      <c r="C399" s="22" t="s">
        <v>160</v>
      </c>
      <c r="D399" s="24" t="n">
        <v>92</v>
      </c>
    </row>
    <row r="400" customFormat="false" ht="15" hidden="false" customHeight="false" outlineLevel="0" collapsed="false">
      <c r="A400" s="22" t="n">
        <v>87</v>
      </c>
      <c r="B400" s="23" t="n">
        <v>46076</v>
      </c>
      <c r="C400" s="22" t="s">
        <v>160</v>
      </c>
      <c r="D400" s="24" t="n">
        <v>94</v>
      </c>
    </row>
    <row r="401" customFormat="false" ht="15" hidden="false" customHeight="false" outlineLevel="0" collapsed="false">
      <c r="A401" s="22" t="n">
        <v>88</v>
      </c>
      <c r="B401" s="23" t="n">
        <v>46083</v>
      </c>
      <c r="C401" s="22" t="s">
        <v>160</v>
      </c>
      <c r="D401" s="24" t="n">
        <v>86</v>
      </c>
    </row>
    <row r="402" customFormat="false" ht="15" hidden="false" customHeight="false" outlineLevel="0" collapsed="false">
      <c r="A402" s="22" t="n">
        <v>89</v>
      </c>
      <c r="B402" s="23" t="n">
        <v>46090</v>
      </c>
      <c r="C402" s="22" t="s">
        <v>160</v>
      </c>
      <c r="D402" s="24" t="n">
        <v>100</v>
      </c>
    </row>
    <row r="403" customFormat="false" ht="15" hidden="false" customHeight="false" outlineLevel="0" collapsed="false">
      <c r="A403" s="22" t="n">
        <v>90</v>
      </c>
      <c r="B403" s="23" t="n">
        <v>46097</v>
      </c>
      <c r="C403" s="22" t="s">
        <v>160</v>
      </c>
      <c r="D403" s="24" t="n">
        <v>92</v>
      </c>
    </row>
    <row r="404" customFormat="false" ht="15" hidden="false" customHeight="false" outlineLevel="0" collapsed="false">
      <c r="A404" s="22" t="n">
        <v>91</v>
      </c>
      <c r="B404" s="23" t="n">
        <v>46104</v>
      </c>
      <c r="C404" s="22" t="s">
        <v>160</v>
      </c>
      <c r="D404" s="24" t="n">
        <v>78</v>
      </c>
    </row>
    <row r="405" customFormat="false" ht="15" hidden="false" customHeight="false" outlineLevel="0" collapsed="false">
      <c r="A405" s="22" t="n">
        <v>92</v>
      </c>
      <c r="B405" s="23" t="n">
        <v>46111</v>
      </c>
      <c r="C405" s="22" t="s">
        <v>160</v>
      </c>
      <c r="D405" s="24" t="n">
        <v>81</v>
      </c>
    </row>
    <row r="406" customFormat="false" ht="15" hidden="false" customHeight="false" outlineLevel="0" collapsed="false">
      <c r="A406" s="22" t="n">
        <v>93</v>
      </c>
      <c r="B406" s="23" t="n">
        <v>46118</v>
      </c>
      <c r="C406" s="22" t="s">
        <v>160</v>
      </c>
      <c r="D406" s="24" t="n">
        <v>98</v>
      </c>
    </row>
    <row r="407" customFormat="false" ht="15" hidden="false" customHeight="false" outlineLevel="0" collapsed="false">
      <c r="A407" s="22" t="n">
        <v>94</v>
      </c>
      <c r="B407" s="23" t="n">
        <v>46125</v>
      </c>
      <c r="C407" s="22" t="s">
        <v>160</v>
      </c>
      <c r="D407" s="24" t="n">
        <v>94</v>
      </c>
    </row>
    <row r="408" customFormat="false" ht="15" hidden="false" customHeight="false" outlineLevel="0" collapsed="false">
      <c r="A408" s="22" t="n">
        <v>95</v>
      </c>
      <c r="B408" s="23" t="n">
        <v>46132</v>
      </c>
      <c r="C408" s="22" t="s">
        <v>160</v>
      </c>
      <c r="D408" s="24" t="n">
        <v>72</v>
      </c>
    </row>
    <row r="409" customFormat="false" ht="15" hidden="false" customHeight="false" outlineLevel="0" collapsed="false">
      <c r="A409" s="22" t="n">
        <v>96</v>
      </c>
      <c r="B409" s="23" t="n">
        <v>46139</v>
      </c>
      <c r="C409" s="22" t="s">
        <v>160</v>
      </c>
      <c r="D409" s="24" t="n">
        <v>103</v>
      </c>
    </row>
    <row r="410" customFormat="false" ht="15" hidden="false" customHeight="false" outlineLevel="0" collapsed="false">
      <c r="A410" s="22" t="n">
        <v>97</v>
      </c>
      <c r="B410" s="23" t="n">
        <v>46146</v>
      </c>
      <c r="C410" s="22" t="s">
        <v>160</v>
      </c>
      <c r="D410" s="24" t="n">
        <v>96</v>
      </c>
    </row>
    <row r="411" customFormat="false" ht="15" hidden="false" customHeight="false" outlineLevel="0" collapsed="false">
      <c r="A411" s="22" t="n">
        <v>98</v>
      </c>
      <c r="B411" s="23" t="n">
        <v>46153</v>
      </c>
      <c r="C411" s="22" t="s">
        <v>160</v>
      </c>
      <c r="D411" s="24" t="n">
        <v>103</v>
      </c>
    </row>
    <row r="412" customFormat="false" ht="15" hidden="false" customHeight="false" outlineLevel="0" collapsed="false">
      <c r="A412" s="22" t="n">
        <v>99</v>
      </c>
      <c r="B412" s="23" t="n">
        <v>46160</v>
      </c>
      <c r="C412" s="22" t="s">
        <v>160</v>
      </c>
      <c r="D412" s="24" t="n">
        <v>86</v>
      </c>
    </row>
    <row r="413" customFormat="false" ht="15" hidden="false" customHeight="false" outlineLevel="0" collapsed="false">
      <c r="A413" s="22" t="n">
        <v>100</v>
      </c>
      <c r="B413" s="23" t="n">
        <v>46167</v>
      </c>
      <c r="C413" s="22" t="s">
        <v>160</v>
      </c>
      <c r="D413" s="24" t="n">
        <v>87</v>
      </c>
    </row>
    <row r="414" customFormat="false" ht="15" hidden="false" customHeight="false" outlineLevel="0" collapsed="false">
      <c r="A414" s="22" t="n">
        <v>101</v>
      </c>
      <c r="B414" s="23" t="n">
        <v>46174</v>
      </c>
      <c r="C414" s="22" t="s">
        <v>160</v>
      </c>
      <c r="D414" s="24" t="n">
        <v>79</v>
      </c>
    </row>
    <row r="415" customFormat="false" ht="15" hidden="false" customHeight="false" outlineLevel="0" collapsed="false">
      <c r="A415" s="22" t="n">
        <v>102</v>
      </c>
      <c r="B415" s="23" t="n">
        <v>46181</v>
      </c>
      <c r="C415" s="22" t="s">
        <v>160</v>
      </c>
      <c r="D415" s="24" t="n">
        <v>114</v>
      </c>
    </row>
    <row r="416" customFormat="false" ht="15" hidden="false" customHeight="false" outlineLevel="0" collapsed="false">
      <c r="A416" s="22" t="n">
        <v>103</v>
      </c>
      <c r="B416" s="23" t="n">
        <v>46188</v>
      </c>
      <c r="C416" s="22" t="s">
        <v>160</v>
      </c>
      <c r="D416" s="24" t="n">
        <v>88</v>
      </c>
    </row>
    <row r="417" customFormat="false" ht="15" hidden="false" customHeight="false" outlineLevel="0" collapsed="false">
      <c r="A417" s="22" t="n">
        <v>104</v>
      </c>
      <c r="B417" s="23" t="n">
        <v>46195</v>
      </c>
      <c r="C417" s="22" t="s">
        <v>160</v>
      </c>
      <c r="D417" s="24" t="n">
        <v>105</v>
      </c>
    </row>
    <row r="418" customFormat="false" ht="15" hidden="false" customHeight="false" outlineLevel="0" collapsed="false">
      <c r="A418" s="22" t="n">
        <v>1</v>
      </c>
      <c r="B418" s="23" t="n">
        <v>45474</v>
      </c>
      <c r="C418" s="22" t="s">
        <v>162</v>
      </c>
      <c r="D418" s="24" t="n">
        <v>43</v>
      </c>
    </row>
    <row r="419" customFormat="false" ht="15" hidden="false" customHeight="false" outlineLevel="0" collapsed="false">
      <c r="A419" s="22" t="n">
        <v>2</v>
      </c>
      <c r="B419" s="23" t="n">
        <v>45481</v>
      </c>
      <c r="C419" s="22" t="s">
        <v>162</v>
      </c>
      <c r="D419" s="24" t="n">
        <v>48</v>
      </c>
    </row>
    <row r="420" customFormat="false" ht="15" hidden="false" customHeight="false" outlineLevel="0" collapsed="false">
      <c r="A420" s="22" t="n">
        <v>3</v>
      </c>
      <c r="B420" s="23" t="n">
        <v>45488</v>
      </c>
      <c r="C420" s="22" t="s">
        <v>162</v>
      </c>
      <c r="D420" s="24" t="n">
        <v>36</v>
      </c>
    </row>
    <row r="421" customFormat="false" ht="15" hidden="false" customHeight="false" outlineLevel="0" collapsed="false">
      <c r="A421" s="22" t="n">
        <v>4</v>
      </c>
      <c r="B421" s="23" t="n">
        <v>45495</v>
      </c>
      <c r="C421" s="22" t="s">
        <v>162</v>
      </c>
      <c r="D421" s="24" t="n">
        <v>44</v>
      </c>
    </row>
    <row r="422" customFormat="false" ht="15" hidden="false" customHeight="false" outlineLevel="0" collapsed="false">
      <c r="A422" s="22" t="n">
        <v>5</v>
      </c>
      <c r="B422" s="23" t="n">
        <v>45502</v>
      </c>
      <c r="C422" s="22" t="s">
        <v>162</v>
      </c>
      <c r="D422" s="24" t="n">
        <v>53</v>
      </c>
    </row>
    <row r="423" customFormat="false" ht="15" hidden="false" customHeight="false" outlineLevel="0" collapsed="false">
      <c r="A423" s="22" t="n">
        <v>6</v>
      </c>
      <c r="B423" s="23" t="n">
        <v>45509</v>
      </c>
      <c r="C423" s="22" t="s">
        <v>162</v>
      </c>
      <c r="D423" s="24" t="n">
        <v>38</v>
      </c>
    </row>
    <row r="424" customFormat="false" ht="15" hidden="false" customHeight="false" outlineLevel="0" collapsed="false">
      <c r="A424" s="22" t="n">
        <v>7</v>
      </c>
      <c r="B424" s="23" t="n">
        <v>45516</v>
      </c>
      <c r="C424" s="22" t="s">
        <v>162</v>
      </c>
      <c r="D424" s="24" t="n">
        <v>53</v>
      </c>
    </row>
    <row r="425" customFormat="false" ht="15" hidden="false" customHeight="false" outlineLevel="0" collapsed="false">
      <c r="A425" s="22" t="n">
        <v>8</v>
      </c>
      <c r="B425" s="23" t="n">
        <v>45523</v>
      </c>
      <c r="C425" s="22" t="s">
        <v>162</v>
      </c>
      <c r="D425" s="24" t="n">
        <v>48</v>
      </c>
    </row>
    <row r="426" customFormat="false" ht="15" hidden="false" customHeight="false" outlineLevel="0" collapsed="false">
      <c r="A426" s="22" t="n">
        <v>9</v>
      </c>
      <c r="B426" s="23" t="n">
        <v>45530</v>
      </c>
      <c r="C426" s="22" t="s">
        <v>162</v>
      </c>
      <c r="D426" s="24" t="n">
        <v>39</v>
      </c>
    </row>
    <row r="427" customFormat="false" ht="15" hidden="false" customHeight="false" outlineLevel="0" collapsed="false">
      <c r="A427" s="22" t="n">
        <v>10</v>
      </c>
      <c r="B427" s="23" t="n">
        <v>45537</v>
      </c>
      <c r="C427" s="22" t="s">
        <v>162</v>
      </c>
      <c r="D427" s="24" t="n">
        <v>42</v>
      </c>
    </row>
    <row r="428" customFormat="false" ht="15" hidden="false" customHeight="false" outlineLevel="0" collapsed="false">
      <c r="A428" s="22" t="n">
        <v>11</v>
      </c>
      <c r="B428" s="23" t="n">
        <v>45544</v>
      </c>
      <c r="C428" s="22" t="s">
        <v>162</v>
      </c>
      <c r="D428" s="24" t="n">
        <v>42</v>
      </c>
    </row>
    <row r="429" customFormat="false" ht="15" hidden="false" customHeight="false" outlineLevel="0" collapsed="false">
      <c r="A429" s="22" t="n">
        <v>12</v>
      </c>
      <c r="B429" s="23" t="n">
        <v>45551</v>
      </c>
      <c r="C429" s="22" t="s">
        <v>162</v>
      </c>
      <c r="D429" s="24" t="n">
        <v>44</v>
      </c>
    </row>
    <row r="430" customFormat="false" ht="15" hidden="false" customHeight="false" outlineLevel="0" collapsed="false">
      <c r="A430" s="22" t="n">
        <v>13</v>
      </c>
      <c r="B430" s="23" t="n">
        <v>45558</v>
      </c>
      <c r="C430" s="22" t="s">
        <v>162</v>
      </c>
      <c r="D430" s="24" t="n">
        <v>41</v>
      </c>
    </row>
    <row r="431" customFormat="false" ht="15" hidden="false" customHeight="false" outlineLevel="0" collapsed="false">
      <c r="A431" s="22" t="n">
        <v>14</v>
      </c>
      <c r="B431" s="23" t="n">
        <v>45565</v>
      </c>
      <c r="C431" s="22" t="s">
        <v>162</v>
      </c>
      <c r="D431" s="24" t="n">
        <v>39</v>
      </c>
    </row>
    <row r="432" customFormat="false" ht="15" hidden="false" customHeight="false" outlineLevel="0" collapsed="false">
      <c r="A432" s="22" t="n">
        <v>15</v>
      </c>
      <c r="B432" s="23" t="n">
        <v>45572</v>
      </c>
      <c r="C432" s="22" t="s">
        <v>162</v>
      </c>
      <c r="D432" s="24" t="n">
        <v>42</v>
      </c>
    </row>
    <row r="433" customFormat="false" ht="15" hidden="false" customHeight="false" outlineLevel="0" collapsed="false">
      <c r="A433" s="22" t="n">
        <v>16</v>
      </c>
      <c r="B433" s="23" t="n">
        <v>45579</v>
      </c>
      <c r="C433" s="22" t="s">
        <v>162</v>
      </c>
      <c r="D433" s="24" t="n">
        <v>37</v>
      </c>
    </row>
    <row r="434" customFormat="false" ht="15" hidden="false" customHeight="false" outlineLevel="0" collapsed="false">
      <c r="A434" s="22" t="n">
        <v>17</v>
      </c>
      <c r="B434" s="23" t="n">
        <v>45586</v>
      </c>
      <c r="C434" s="22" t="s">
        <v>162</v>
      </c>
      <c r="D434" s="24" t="n">
        <v>36</v>
      </c>
    </row>
    <row r="435" customFormat="false" ht="15" hidden="false" customHeight="false" outlineLevel="0" collapsed="false">
      <c r="A435" s="22" t="n">
        <v>18</v>
      </c>
      <c r="B435" s="23" t="n">
        <v>45593</v>
      </c>
      <c r="C435" s="22" t="s">
        <v>162</v>
      </c>
      <c r="D435" s="24" t="n">
        <v>43</v>
      </c>
    </row>
    <row r="436" customFormat="false" ht="15" hidden="false" customHeight="false" outlineLevel="0" collapsed="false">
      <c r="A436" s="22" t="n">
        <v>19</v>
      </c>
      <c r="B436" s="23" t="n">
        <v>45600</v>
      </c>
      <c r="C436" s="22" t="s">
        <v>162</v>
      </c>
      <c r="D436" s="24" t="n">
        <v>48</v>
      </c>
    </row>
    <row r="437" customFormat="false" ht="15" hidden="false" customHeight="false" outlineLevel="0" collapsed="false">
      <c r="A437" s="22" t="n">
        <v>20</v>
      </c>
      <c r="B437" s="23" t="n">
        <v>45607</v>
      </c>
      <c r="C437" s="22" t="s">
        <v>162</v>
      </c>
      <c r="D437" s="24" t="n">
        <v>34</v>
      </c>
    </row>
    <row r="438" customFormat="false" ht="15" hidden="false" customHeight="false" outlineLevel="0" collapsed="false">
      <c r="A438" s="22" t="n">
        <v>21</v>
      </c>
      <c r="B438" s="23" t="n">
        <v>45614</v>
      </c>
      <c r="C438" s="22" t="s">
        <v>162</v>
      </c>
      <c r="D438" s="24" t="n">
        <v>43</v>
      </c>
    </row>
    <row r="439" customFormat="false" ht="15" hidden="false" customHeight="false" outlineLevel="0" collapsed="false">
      <c r="A439" s="22" t="n">
        <v>22</v>
      </c>
      <c r="B439" s="23" t="n">
        <v>45621</v>
      </c>
      <c r="C439" s="22" t="s">
        <v>162</v>
      </c>
      <c r="D439" s="24" t="n">
        <v>38</v>
      </c>
    </row>
    <row r="440" customFormat="false" ht="15" hidden="false" customHeight="false" outlineLevel="0" collapsed="false">
      <c r="A440" s="22" t="n">
        <v>23</v>
      </c>
      <c r="B440" s="23" t="n">
        <v>45628</v>
      </c>
      <c r="C440" s="22" t="s">
        <v>162</v>
      </c>
      <c r="D440" s="24" t="n">
        <v>36</v>
      </c>
    </row>
    <row r="441" customFormat="false" ht="15" hidden="false" customHeight="false" outlineLevel="0" collapsed="false">
      <c r="A441" s="22" t="n">
        <v>24</v>
      </c>
      <c r="B441" s="23" t="n">
        <v>45635</v>
      </c>
      <c r="C441" s="22" t="s">
        <v>162</v>
      </c>
      <c r="D441" s="24" t="n">
        <v>47</v>
      </c>
    </row>
    <row r="442" customFormat="false" ht="15" hidden="false" customHeight="false" outlineLevel="0" collapsed="false">
      <c r="A442" s="22" t="n">
        <v>25</v>
      </c>
      <c r="B442" s="23" t="n">
        <v>45642</v>
      </c>
      <c r="C442" s="22" t="s">
        <v>162</v>
      </c>
      <c r="D442" s="24" t="n">
        <v>39</v>
      </c>
    </row>
    <row r="443" customFormat="false" ht="15" hidden="false" customHeight="false" outlineLevel="0" collapsed="false">
      <c r="A443" s="22" t="n">
        <v>26</v>
      </c>
      <c r="B443" s="23" t="n">
        <v>45649</v>
      </c>
      <c r="C443" s="22" t="s">
        <v>162</v>
      </c>
      <c r="D443" s="24" t="n">
        <v>50</v>
      </c>
    </row>
    <row r="444" customFormat="false" ht="15" hidden="false" customHeight="false" outlineLevel="0" collapsed="false">
      <c r="A444" s="22" t="n">
        <v>27</v>
      </c>
      <c r="B444" s="23" t="n">
        <v>45656</v>
      </c>
      <c r="C444" s="22" t="s">
        <v>162</v>
      </c>
      <c r="D444" s="24" t="n">
        <v>37</v>
      </c>
    </row>
    <row r="445" customFormat="false" ht="15" hidden="false" customHeight="false" outlineLevel="0" collapsed="false">
      <c r="A445" s="22" t="n">
        <v>28</v>
      </c>
      <c r="B445" s="23" t="n">
        <v>45663</v>
      </c>
      <c r="C445" s="22" t="s">
        <v>162</v>
      </c>
      <c r="D445" s="24" t="n">
        <v>43</v>
      </c>
    </row>
    <row r="446" customFormat="false" ht="15" hidden="false" customHeight="false" outlineLevel="0" collapsed="false">
      <c r="A446" s="22" t="n">
        <v>29</v>
      </c>
      <c r="B446" s="23" t="n">
        <v>45670</v>
      </c>
      <c r="C446" s="22" t="s">
        <v>162</v>
      </c>
      <c r="D446" s="24" t="n">
        <v>39</v>
      </c>
    </row>
    <row r="447" customFormat="false" ht="15" hidden="false" customHeight="false" outlineLevel="0" collapsed="false">
      <c r="A447" s="22" t="n">
        <v>30</v>
      </c>
      <c r="B447" s="23" t="n">
        <v>45677</v>
      </c>
      <c r="C447" s="22" t="s">
        <v>162</v>
      </c>
      <c r="D447" s="24" t="n">
        <v>36</v>
      </c>
    </row>
    <row r="448" customFormat="false" ht="15" hidden="false" customHeight="false" outlineLevel="0" collapsed="false">
      <c r="A448" s="22" t="n">
        <v>31</v>
      </c>
      <c r="B448" s="23" t="n">
        <v>45684</v>
      </c>
      <c r="C448" s="22" t="s">
        <v>162</v>
      </c>
      <c r="D448" s="24" t="n">
        <v>43</v>
      </c>
    </row>
    <row r="449" customFormat="false" ht="15" hidden="false" customHeight="false" outlineLevel="0" collapsed="false">
      <c r="A449" s="22" t="n">
        <v>32</v>
      </c>
      <c r="B449" s="23" t="n">
        <v>45691</v>
      </c>
      <c r="C449" s="22" t="s">
        <v>162</v>
      </c>
      <c r="D449" s="24" t="n">
        <v>39</v>
      </c>
    </row>
    <row r="450" customFormat="false" ht="15" hidden="false" customHeight="false" outlineLevel="0" collapsed="false">
      <c r="A450" s="22" t="n">
        <v>33</v>
      </c>
      <c r="B450" s="23" t="n">
        <v>45698</v>
      </c>
      <c r="C450" s="22" t="s">
        <v>162</v>
      </c>
      <c r="D450" s="24" t="n">
        <v>43</v>
      </c>
    </row>
    <row r="451" customFormat="false" ht="15" hidden="false" customHeight="false" outlineLevel="0" collapsed="false">
      <c r="A451" s="22" t="n">
        <v>34</v>
      </c>
      <c r="B451" s="23" t="n">
        <v>45705</v>
      </c>
      <c r="C451" s="22" t="s">
        <v>162</v>
      </c>
      <c r="D451" s="24" t="n">
        <v>39</v>
      </c>
    </row>
    <row r="452" customFormat="false" ht="15" hidden="false" customHeight="false" outlineLevel="0" collapsed="false">
      <c r="A452" s="22" t="n">
        <v>35</v>
      </c>
      <c r="B452" s="23" t="n">
        <v>45712</v>
      </c>
      <c r="C452" s="22" t="s">
        <v>162</v>
      </c>
      <c r="D452" s="24" t="n">
        <v>33</v>
      </c>
    </row>
    <row r="453" customFormat="false" ht="15" hidden="false" customHeight="false" outlineLevel="0" collapsed="false">
      <c r="A453" s="22" t="n">
        <v>36</v>
      </c>
      <c r="B453" s="23" t="n">
        <v>45719</v>
      </c>
      <c r="C453" s="22" t="s">
        <v>162</v>
      </c>
      <c r="D453" s="24" t="n">
        <v>38</v>
      </c>
    </row>
    <row r="454" customFormat="false" ht="15" hidden="false" customHeight="false" outlineLevel="0" collapsed="false">
      <c r="A454" s="22" t="n">
        <v>37</v>
      </c>
      <c r="B454" s="23" t="n">
        <v>45726</v>
      </c>
      <c r="C454" s="22" t="s">
        <v>162</v>
      </c>
      <c r="D454" s="24" t="n">
        <v>39</v>
      </c>
    </row>
    <row r="455" customFormat="false" ht="15" hidden="false" customHeight="false" outlineLevel="0" collapsed="false">
      <c r="A455" s="22" t="n">
        <v>38</v>
      </c>
      <c r="B455" s="23" t="n">
        <v>45733</v>
      </c>
      <c r="C455" s="22" t="s">
        <v>162</v>
      </c>
      <c r="D455" s="24" t="n">
        <v>44</v>
      </c>
    </row>
    <row r="456" customFormat="false" ht="15" hidden="false" customHeight="false" outlineLevel="0" collapsed="false">
      <c r="A456" s="22" t="n">
        <v>39</v>
      </c>
      <c r="B456" s="23" t="n">
        <v>45740</v>
      </c>
      <c r="C456" s="22" t="s">
        <v>162</v>
      </c>
      <c r="D456" s="24" t="n">
        <v>33</v>
      </c>
    </row>
    <row r="457" customFormat="false" ht="15" hidden="false" customHeight="false" outlineLevel="0" collapsed="false">
      <c r="A457" s="22" t="n">
        <v>40</v>
      </c>
      <c r="B457" s="23" t="n">
        <v>45747</v>
      </c>
      <c r="C457" s="22" t="s">
        <v>162</v>
      </c>
      <c r="D457" s="24" t="n">
        <v>38</v>
      </c>
    </row>
    <row r="458" customFormat="false" ht="15" hidden="false" customHeight="false" outlineLevel="0" collapsed="false">
      <c r="A458" s="22" t="n">
        <v>41</v>
      </c>
      <c r="B458" s="23" t="n">
        <v>45754</v>
      </c>
      <c r="C458" s="22" t="s">
        <v>162</v>
      </c>
      <c r="D458" s="24" t="n">
        <v>29</v>
      </c>
    </row>
    <row r="459" customFormat="false" ht="15" hidden="false" customHeight="false" outlineLevel="0" collapsed="false">
      <c r="A459" s="22" t="n">
        <v>42</v>
      </c>
      <c r="B459" s="23" t="n">
        <v>45761</v>
      </c>
      <c r="C459" s="22" t="s">
        <v>162</v>
      </c>
      <c r="D459" s="24" t="n">
        <v>41</v>
      </c>
    </row>
    <row r="460" customFormat="false" ht="15" hidden="false" customHeight="false" outlineLevel="0" collapsed="false">
      <c r="A460" s="22" t="n">
        <v>43</v>
      </c>
      <c r="B460" s="23" t="n">
        <v>45768</v>
      </c>
      <c r="C460" s="22" t="s">
        <v>162</v>
      </c>
      <c r="D460" s="24" t="n">
        <v>32</v>
      </c>
    </row>
    <row r="461" customFormat="false" ht="15" hidden="false" customHeight="false" outlineLevel="0" collapsed="false">
      <c r="A461" s="22" t="n">
        <v>44</v>
      </c>
      <c r="B461" s="23" t="n">
        <v>45775</v>
      </c>
      <c r="C461" s="22" t="s">
        <v>162</v>
      </c>
      <c r="D461" s="24" t="n">
        <v>28</v>
      </c>
    </row>
    <row r="462" customFormat="false" ht="15" hidden="false" customHeight="false" outlineLevel="0" collapsed="false">
      <c r="A462" s="22" t="n">
        <v>45</v>
      </c>
      <c r="B462" s="23" t="n">
        <v>45782</v>
      </c>
      <c r="C462" s="22" t="s">
        <v>162</v>
      </c>
      <c r="D462" s="24" t="n">
        <v>36</v>
      </c>
    </row>
    <row r="463" customFormat="false" ht="15" hidden="false" customHeight="false" outlineLevel="0" collapsed="false">
      <c r="A463" s="22" t="n">
        <v>46</v>
      </c>
      <c r="B463" s="23" t="n">
        <v>45789</v>
      </c>
      <c r="C463" s="22" t="s">
        <v>162</v>
      </c>
      <c r="D463" s="24" t="n">
        <v>42</v>
      </c>
    </row>
    <row r="464" customFormat="false" ht="15" hidden="false" customHeight="false" outlineLevel="0" collapsed="false">
      <c r="A464" s="22" t="n">
        <v>47</v>
      </c>
      <c r="B464" s="23" t="n">
        <v>45796</v>
      </c>
      <c r="C464" s="22" t="s">
        <v>162</v>
      </c>
      <c r="D464" s="24" t="n">
        <v>29</v>
      </c>
    </row>
    <row r="465" customFormat="false" ht="15" hidden="false" customHeight="false" outlineLevel="0" collapsed="false">
      <c r="A465" s="22" t="n">
        <v>48</v>
      </c>
      <c r="B465" s="23" t="n">
        <v>45803</v>
      </c>
      <c r="C465" s="22" t="s">
        <v>162</v>
      </c>
      <c r="D465" s="24" t="n">
        <v>31</v>
      </c>
    </row>
    <row r="466" customFormat="false" ht="15" hidden="false" customHeight="false" outlineLevel="0" collapsed="false">
      <c r="A466" s="22" t="n">
        <v>49</v>
      </c>
      <c r="B466" s="23" t="n">
        <v>45810</v>
      </c>
      <c r="C466" s="22" t="s">
        <v>162</v>
      </c>
      <c r="D466" s="24" t="n">
        <v>32</v>
      </c>
    </row>
    <row r="467" customFormat="false" ht="15" hidden="false" customHeight="false" outlineLevel="0" collapsed="false">
      <c r="A467" s="22" t="n">
        <v>50</v>
      </c>
      <c r="B467" s="23" t="n">
        <v>45817</v>
      </c>
      <c r="C467" s="22" t="s">
        <v>162</v>
      </c>
      <c r="D467" s="24" t="n">
        <v>30</v>
      </c>
    </row>
    <row r="468" customFormat="false" ht="15" hidden="false" customHeight="false" outlineLevel="0" collapsed="false">
      <c r="A468" s="22" t="n">
        <v>51</v>
      </c>
      <c r="B468" s="23" t="n">
        <v>45824</v>
      </c>
      <c r="C468" s="22" t="s">
        <v>162</v>
      </c>
      <c r="D468" s="24" t="n">
        <v>37</v>
      </c>
    </row>
    <row r="469" customFormat="false" ht="15" hidden="false" customHeight="false" outlineLevel="0" collapsed="false">
      <c r="A469" s="22" t="n">
        <v>52</v>
      </c>
      <c r="B469" s="23" t="n">
        <v>45831</v>
      </c>
      <c r="C469" s="22" t="s">
        <v>162</v>
      </c>
      <c r="D469" s="24" t="n">
        <v>31</v>
      </c>
    </row>
    <row r="470" customFormat="false" ht="15" hidden="false" customHeight="false" outlineLevel="0" collapsed="false">
      <c r="A470" s="22" t="n">
        <v>53</v>
      </c>
      <c r="B470" s="23" t="n">
        <v>45838</v>
      </c>
      <c r="C470" s="22" t="s">
        <v>162</v>
      </c>
      <c r="D470" s="24" t="n">
        <v>31</v>
      </c>
    </row>
    <row r="471" customFormat="false" ht="15" hidden="false" customHeight="false" outlineLevel="0" collapsed="false">
      <c r="A471" s="22" t="n">
        <v>54</v>
      </c>
      <c r="B471" s="23" t="n">
        <v>45845</v>
      </c>
      <c r="C471" s="22" t="s">
        <v>162</v>
      </c>
      <c r="D471" s="24" t="n">
        <v>37</v>
      </c>
    </row>
    <row r="472" customFormat="false" ht="15" hidden="false" customHeight="false" outlineLevel="0" collapsed="false">
      <c r="A472" s="22" t="n">
        <v>55</v>
      </c>
      <c r="B472" s="23" t="n">
        <v>45852</v>
      </c>
      <c r="C472" s="22" t="s">
        <v>162</v>
      </c>
      <c r="D472" s="24" t="n">
        <v>31</v>
      </c>
    </row>
    <row r="473" customFormat="false" ht="15" hidden="false" customHeight="false" outlineLevel="0" collapsed="false">
      <c r="A473" s="22" t="n">
        <v>56</v>
      </c>
      <c r="B473" s="23" t="n">
        <v>45859</v>
      </c>
      <c r="C473" s="22" t="s">
        <v>162</v>
      </c>
      <c r="D473" s="24" t="n">
        <v>36</v>
      </c>
    </row>
    <row r="474" customFormat="false" ht="15" hidden="false" customHeight="false" outlineLevel="0" collapsed="false">
      <c r="A474" s="22" t="n">
        <v>57</v>
      </c>
      <c r="B474" s="23" t="n">
        <v>45866</v>
      </c>
      <c r="C474" s="22" t="s">
        <v>162</v>
      </c>
      <c r="D474" s="24" t="n">
        <v>29</v>
      </c>
    </row>
    <row r="475" customFormat="false" ht="15" hidden="false" customHeight="false" outlineLevel="0" collapsed="false">
      <c r="A475" s="22" t="n">
        <v>58</v>
      </c>
      <c r="B475" s="23" t="n">
        <v>45873</v>
      </c>
      <c r="C475" s="22" t="s">
        <v>162</v>
      </c>
      <c r="D475" s="24" t="n">
        <v>28</v>
      </c>
    </row>
    <row r="476" customFormat="false" ht="15" hidden="false" customHeight="false" outlineLevel="0" collapsed="false">
      <c r="A476" s="22" t="n">
        <v>59</v>
      </c>
      <c r="B476" s="23" t="n">
        <v>45880</v>
      </c>
      <c r="C476" s="22" t="s">
        <v>162</v>
      </c>
      <c r="D476" s="24" t="n">
        <v>25</v>
      </c>
    </row>
    <row r="477" customFormat="false" ht="15" hidden="false" customHeight="false" outlineLevel="0" collapsed="false">
      <c r="A477" s="22" t="n">
        <v>60</v>
      </c>
      <c r="B477" s="23" t="n">
        <v>45887</v>
      </c>
      <c r="C477" s="22" t="s">
        <v>162</v>
      </c>
      <c r="D477" s="24" t="n">
        <v>42</v>
      </c>
    </row>
    <row r="478" customFormat="false" ht="15" hidden="false" customHeight="false" outlineLevel="0" collapsed="false">
      <c r="A478" s="22" t="n">
        <v>61</v>
      </c>
      <c r="B478" s="23" t="n">
        <v>45894</v>
      </c>
      <c r="C478" s="22" t="s">
        <v>162</v>
      </c>
      <c r="D478" s="24" t="n">
        <v>31</v>
      </c>
    </row>
    <row r="479" customFormat="false" ht="15" hidden="false" customHeight="false" outlineLevel="0" collapsed="false">
      <c r="A479" s="22" t="n">
        <v>62</v>
      </c>
      <c r="B479" s="23" t="n">
        <v>45901</v>
      </c>
      <c r="C479" s="22" t="s">
        <v>162</v>
      </c>
      <c r="D479" s="24" t="n">
        <v>34</v>
      </c>
    </row>
    <row r="480" customFormat="false" ht="15" hidden="false" customHeight="false" outlineLevel="0" collapsed="false">
      <c r="A480" s="22" t="n">
        <v>63</v>
      </c>
      <c r="B480" s="23" t="n">
        <v>45908</v>
      </c>
      <c r="C480" s="22" t="s">
        <v>162</v>
      </c>
      <c r="D480" s="24" t="n">
        <v>32</v>
      </c>
    </row>
    <row r="481" customFormat="false" ht="15" hidden="false" customHeight="false" outlineLevel="0" collapsed="false">
      <c r="A481" s="22" t="n">
        <v>64</v>
      </c>
      <c r="B481" s="23" t="n">
        <v>45915</v>
      </c>
      <c r="C481" s="22" t="s">
        <v>162</v>
      </c>
      <c r="D481" s="24" t="n">
        <v>33</v>
      </c>
    </row>
    <row r="482" customFormat="false" ht="15" hidden="false" customHeight="false" outlineLevel="0" collapsed="false">
      <c r="A482" s="22" t="n">
        <v>65</v>
      </c>
      <c r="B482" s="23" t="n">
        <v>45922</v>
      </c>
      <c r="C482" s="22" t="s">
        <v>162</v>
      </c>
      <c r="D482" s="24" t="n">
        <v>32</v>
      </c>
    </row>
    <row r="483" customFormat="false" ht="15" hidden="false" customHeight="false" outlineLevel="0" collapsed="false">
      <c r="A483" s="22" t="n">
        <v>66</v>
      </c>
      <c r="B483" s="23" t="n">
        <v>45929</v>
      </c>
      <c r="C483" s="22" t="s">
        <v>162</v>
      </c>
      <c r="D483" s="24" t="n">
        <v>40</v>
      </c>
    </row>
    <row r="484" customFormat="false" ht="15" hidden="false" customHeight="false" outlineLevel="0" collapsed="false">
      <c r="A484" s="22" t="n">
        <v>67</v>
      </c>
      <c r="B484" s="23" t="n">
        <v>45936</v>
      </c>
      <c r="C484" s="22" t="s">
        <v>162</v>
      </c>
      <c r="D484" s="24" t="n">
        <v>27</v>
      </c>
    </row>
    <row r="485" customFormat="false" ht="15" hidden="false" customHeight="false" outlineLevel="0" collapsed="false">
      <c r="A485" s="22" t="n">
        <v>68</v>
      </c>
      <c r="B485" s="23" t="n">
        <v>45943</v>
      </c>
      <c r="C485" s="22" t="s">
        <v>162</v>
      </c>
      <c r="D485" s="24" t="n">
        <v>24</v>
      </c>
    </row>
    <row r="486" customFormat="false" ht="15" hidden="false" customHeight="false" outlineLevel="0" collapsed="false">
      <c r="A486" s="22" t="n">
        <v>69</v>
      </c>
      <c r="B486" s="23" t="n">
        <v>45950</v>
      </c>
      <c r="C486" s="22" t="s">
        <v>162</v>
      </c>
      <c r="D486" s="24" t="n">
        <v>27</v>
      </c>
    </row>
    <row r="487" customFormat="false" ht="15" hidden="false" customHeight="false" outlineLevel="0" collapsed="false">
      <c r="A487" s="22" t="n">
        <v>70</v>
      </c>
      <c r="B487" s="23" t="n">
        <v>45957</v>
      </c>
      <c r="C487" s="22" t="s">
        <v>162</v>
      </c>
      <c r="D487" s="24" t="n">
        <v>25</v>
      </c>
    </row>
    <row r="488" customFormat="false" ht="15" hidden="false" customHeight="false" outlineLevel="0" collapsed="false">
      <c r="A488" s="22" t="n">
        <v>71</v>
      </c>
      <c r="B488" s="23" t="n">
        <v>45964</v>
      </c>
      <c r="C488" s="22" t="s">
        <v>162</v>
      </c>
      <c r="D488" s="24" t="n">
        <v>34</v>
      </c>
    </row>
    <row r="489" customFormat="false" ht="15" hidden="false" customHeight="false" outlineLevel="0" collapsed="false">
      <c r="A489" s="22" t="n">
        <v>72</v>
      </c>
      <c r="B489" s="23" t="n">
        <v>45971</v>
      </c>
      <c r="C489" s="22" t="s">
        <v>162</v>
      </c>
      <c r="D489" s="24" t="n">
        <v>34</v>
      </c>
    </row>
    <row r="490" customFormat="false" ht="15" hidden="false" customHeight="false" outlineLevel="0" collapsed="false">
      <c r="A490" s="22" t="n">
        <v>73</v>
      </c>
      <c r="B490" s="23" t="n">
        <v>45978</v>
      </c>
      <c r="C490" s="22" t="s">
        <v>162</v>
      </c>
      <c r="D490" s="24" t="n">
        <v>26</v>
      </c>
    </row>
    <row r="491" customFormat="false" ht="15" hidden="false" customHeight="false" outlineLevel="0" collapsed="false">
      <c r="A491" s="22" t="n">
        <v>74</v>
      </c>
      <c r="B491" s="23" t="n">
        <v>45985</v>
      </c>
      <c r="C491" s="22" t="s">
        <v>162</v>
      </c>
      <c r="D491" s="24" t="n">
        <v>24</v>
      </c>
    </row>
    <row r="492" customFormat="false" ht="15" hidden="false" customHeight="false" outlineLevel="0" collapsed="false">
      <c r="A492" s="22" t="n">
        <v>75</v>
      </c>
      <c r="B492" s="23" t="n">
        <v>45992</v>
      </c>
      <c r="C492" s="22" t="s">
        <v>162</v>
      </c>
      <c r="D492" s="24" t="n">
        <v>28</v>
      </c>
    </row>
    <row r="493" customFormat="false" ht="15" hidden="false" customHeight="false" outlineLevel="0" collapsed="false">
      <c r="A493" s="22" t="n">
        <v>76</v>
      </c>
      <c r="B493" s="23" t="n">
        <v>45999</v>
      </c>
      <c r="C493" s="22" t="s">
        <v>162</v>
      </c>
      <c r="D493" s="24" t="n">
        <v>35</v>
      </c>
    </row>
    <row r="494" customFormat="false" ht="15" hidden="false" customHeight="false" outlineLevel="0" collapsed="false">
      <c r="A494" s="22" t="n">
        <v>77</v>
      </c>
      <c r="B494" s="23" t="n">
        <v>46006</v>
      </c>
      <c r="C494" s="22" t="s">
        <v>162</v>
      </c>
      <c r="D494" s="24" t="n">
        <v>18</v>
      </c>
    </row>
    <row r="495" customFormat="false" ht="15" hidden="false" customHeight="false" outlineLevel="0" collapsed="false">
      <c r="A495" s="22" t="n">
        <v>78</v>
      </c>
      <c r="B495" s="23" t="n">
        <v>46013</v>
      </c>
      <c r="C495" s="22" t="s">
        <v>162</v>
      </c>
      <c r="D495" s="24" t="n">
        <v>31</v>
      </c>
    </row>
    <row r="496" customFormat="false" ht="15" hidden="false" customHeight="false" outlineLevel="0" collapsed="false">
      <c r="A496" s="22" t="n">
        <v>79</v>
      </c>
      <c r="B496" s="23" t="n">
        <v>46020</v>
      </c>
      <c r="C496" s="22" t="s">
        <v>162</v>
      </c>
      <c r="D496" s="24" t="n">
        <v>24</v>
      </c>
    </row>
    <row r="497" customFormat="false" ht="15" hidden="false" customHeight="false" outlineLevel="0" collapsed="false">
      <c r="A497" s="22" t="n">
        <v>80</v>
      </c>
      <c r="B497" s="23" t="n">
        <v>46027</v>
      </c>
      <c r="C497" s="22" t="s">
        <v>162</v>
      </c>
      <c r="D497" s="24" t="n">
        <v>33</v>
      </c>
    </row>
    <row r="498" customFormat="false" ht="15" hidden="false" customHeight="false" outlineLevel="0" collapsed="false">
      <c r="A498" s="22" t="n">
        <v>81</v>
      </c>
      <c r="B498" s="23" t="n">
        <v>46034</v>
      </c>
      <c r="C498" s="22" t="s">
        <v>162</v>
      </c>
      <c r="D498" s="24" t="n">
        <v>24</v>
      </c>
    </row>
    <row r="499" customFormat="false" ht="15" hidden="false" customHeight="false" outlineLevel="0" collapsed="false">
      <c r="A499" s="22" t="n">
        <v>82</v>
      </c>
      <c r="B499" s="23" t="n">
        <v>46041</v>
      </c>
      <c r="C499" s="22" t="s">
        <v>162</v>
      </c>
      <c r="D499" s="24" t="n">
        <v>27</v>
      </c>
    </row>
    <row r="500" customFormat="false" ht="15" hidden="false" customHeight="false" outlineLevel="0" collapsed="false">
      <c r="A500" s="22" t="n">
        <v>83</v>
      </c>
      <c r="B500" s="23" t="n">
        <v>46048</v>
      </c>
      <c r="C500" s="22" t="s">
        <v>162</v>
      </c>
      <c r="D500" s="24" t="n">
        <v>22</v>
      </c>
    </row>
    <row r="501" customFormat="false" ht="15" hidden="false" customHeight="false" outlineLevel="0" collapsed="false">
      <c r="A501" s="22" t="n">
        <v>84</v>
      </c>
      <c r="B501" s="23" t="n">
        <v>46055</v>
      </c>
      <c r="C501" s="22" t="s">
        <v>162</v>
      </c>
      <c r="D501" s="24" t="n">
        <v>24</v>
      </c>
    </row>
    <row r="502" customFormat="false" ht="15" hidden="false" customHeight="false" outlineLevel="0" collapsed="false">
      <c r="A502" s="22" t="n">
        <v>85</v>
      </c>
      <c r="B502" s="23" t="n">
        <v>46062</v>
      </c>
      <c r="C502" s="22" t="s">
        <v>162</v>
      </c>
      <c r="D502" s="24" t="n">
        <v>33</v>
      </c>
    </row>
    <row r="503" customFormat="false" ht="15" hidden="false" customHeight="false" outlineLevel="0" collapsed="false">
      <c r="A503" s="22" t="n">
        <v>86</v>
      </c>
      <c r="B503" s="23" t="n">
        <v>46069</v>
      </c>
      <c r="C503" s="22" t="s">
        <v>162</v>
      </c>
      <c r="D503" s="24" t="n">
        <v>30</v>
      </c>
    </row>
    <row r="504" customFormat="false" ht="15" hidden="false" customHeight="false" outlineLevel="0" collapsed="false">
      <c r="A504" s="22" t="n">
        <v>87</v>
      </c>
      <c r="B504" s="23" t="n">
        <v>46076</v>
      </c>
      <c r="C504" s="22" t="s">
        <v>162</v>
      </c>
      <c r="D504" s="24" t="n">
        <v>25</v>
      </c>
    </row>
    <row r="505" customFormat="false" ht="15" hidden="false" customHeight="false" outlineLevel="0" collapsed="false">
      <c r="A505" s="22" t="n">
        <v>88</v>
      </c>
      <c r="B505" s="23" t="n">
        <v>46083</v>
      </c>
      <c r="C505" s="22" t="s">
        <v>162</v>
      </c>
      <c r="D505" s="24" t="n">
        <v>23</v>
      </c>
    </row>
    <row r="506" customFormat="false" ht="15" hidden="false" customHeight="false" outlineLevel="0" collapsed="false">
      <c r="A506" s="22" t="n">
        <v>89</v>
      </c>
      <c r="B506" s="23" t="n">
        <v>46090</v>
      </c>
      <c r="C506" s="22" t="s">
        <v>162</v>
      </c>
      <c r="D506" s="24" t="n">
        <v>19</v>
      </c>
    </row>
    <row r="507" customFormat="false" ht="15" hidden="false" customHeight="false" outlineLevel="0" collapsed="false">
      <c r="A507" s="22" t="n">
        <v>90</v>
      </c>
      <c r="B507" s="23" t="n">
        <v>46097</v>
      </c>
      <c r="C507" s="22" t="s">
        <v>162</v>
      </c>
      <c r="D507" s="24" t="n">
        <v>25</v>
      </c>
    </row>
    <row r="508" customFormat="false" ht="15" hidden="false" customHeight="false" outlineLevel="0" collapsed="false">
      <c r="A508" s="22" t="n">
        <v>91</v>
      </c>
      <c r="B508" s="23" t="n">
        <v>46104</v>
      </c>
      <c r="C508" s="22" t="s">
        <v>162</v>
      </c>
      <c r="D508" s="24" t="n">
        <v>26</v>
      </c>
    </row>
    <row r="509" customFormat="false" ht="15" hidden="false" customHeight="false" outlineLevel="0" collapsed="false">
      <c r="A509" s="22" t="n">
        <v>92</v>
      </c>
      <c r="B509" s="23" t="n">
        <v>46111</v>
      </c>
      <c r="C509" s="22" t="s">
        <v>162</v>
      </c>
      <c r="D509" s="24" t="n">
        <v>25</v>
      </c>
    </row>
    <row r="510" customFormat="false" ht="15" hidden="false" customHeight="false" outlineLevel="0" collapsed="false">
      <c r="A510" s="22" t="n">
        <v>93</v>
      </c>
      <c r="B510" s="23" t="n">
        <v>46118</v>
      </c>
      <c r="C510" s="22" t="s">
        <v>162</v>
      </c>
      <c r="D510" s="24" t="n">
        <v>25</v>
      </c>
    </row>
    <row r="511" customFormat="false" ht="15" hidden="false" customHeight="false" outlineLevel="0" collapsed="false">
      <c r="A511" s="22" t="n">
        <v>94</v>
      </c>
      <c r="B511" s="23" t="n">
        <v>46125</v>
      </c>
      <c r="C511" s="22" t="s">
        <v>162</v>
      </c>
      <c r="D511" s="24" t="n">
        <v>21</v>
      </c>
    </row>
    <row r="512" customFormat="false" ht="15" hidden="false" customHeight="false" outlineLevel="0" collapsed="false">
      <c r="A512" s="22" t="n">
        <v>95</v>
      </c>
      <c r="B512" s="23" t="n">
        <v>46132</v>
      </c>
      <c r="C512" s="22" t="s">
        <v>162</v>
      </c>
      <c r="D512" s="24" t="n">
        <v>25</v>
      </c>
    </row>
    <row r="513" customFormat="false" ht="15" hidden="false" customHeight="false" outlineLevel="0" collapsed="false">
      <c r="A513" s="22" t="n">
        <v>96</v>
      </c>
      <c r="B513" s="23" t="n">
        <v>46139</v>
      </c>
      <c r="C513" s="22" t="s">
        <v>162</v>
      </c>
      <c r="D513" s="24" t="n">
        <v>25</v>
      </c>
    </row>
    <row r="514" customFormat="false" ht="15" hidden="false" customHeight="false" outlineLevel="0" collapsed="false">
      <c r="A514" s="22" t="n">
        <v>97</v>
      </c>
      <c r="B514" s="23" t="n">
        <v>46146</v>
      </c>
      <c r="C514" s="22" t="s">
        <v>162</v>
      </c>
      <c r="D514" s="24" t="n">
        <v>29</v>
      </c>
    </row>
    <row r="515" customFormat="false" ht="15" hidden="false" customHeight="false" outlineLevel="0" collapsed="false">
      <c r="A515" s="22" t="n">
        <v>98</v>
      </c>
      <c r="B515" s="23" t="n">
        <v>46153</v>
      </c>
      <c r="C515" s="22" t="s">
        <v>162</v>
      </c>
      <c r="D515" s="24" t="n">
        <v>30</v>
      </c>
    </row>
    <row r="516" customFormat="false" ht="15" hidden="false" customHeight="false" outlineLevel="0" collapsed="false">
      <c r="A516" s="22" t="n">
        <v>99</v>
      </c>
      <c r="B516" s="23" t="n">
        <v>46160</v>
      </c>
      <c r="C516" s="22" t="s">
        <v>162</v>
      </c>
      <c r="D516" s="24" t="n">
        <v>23</v>
      </c>
    </row>
    <row r="517" customFormat="false" ht="15" hidden="false" customHeight="false" outlineLevel="0" collapsed="false">
      <c r="A517" s="22" t="n">
        <v>100</v>
      </c>
      <c r="B517" s="23" t="n">
        <v>46167</v>
      </c>
      <c r="C517" s="22" t="s">
        <v>162</v>
      </c>
      <c r="D517" s="24" t="n">
        <v>21</v>
      </c>
    </row>
    <row r="518" customFormat="false" ht="15" hidden="false" customHeight="false" outlineLevel="0" collapsed="false">
      <c r="A518" s="22" t="n">
        <v>101</v>
      </c>
      <c r="B518" s="23" t="n">
        <v>46174</v>
      </c>
      <c r="C518" s="22" t="s">
        <v>162</v>
      </c>
      <c r="D518" s="24" t="n">
        <v>23</v>
      </c>
    </row>
    <row r="519" customFormat="false" ht="15" hidden="false" customHeight="false" outlineLevel="0" collapsed="false">
      <c r="A519" s="22" t="n">
        <v>102</v>
      </c>
      <c r="B519" s="23" t="n">
        <v>46181</v>
      </c>
      <c r="C519" s="22" t="s">
        <v>162</v>
      </c>
      <c r="D519" s="24" t="n">
        <v>21</v>
      </c>
    </row>
    <row r="520" customFormat="false" ht="15" hidden="false" customHeight="false" outlineLevel="0" collapsed="false">
      <c r="A520" s="22" t="n">
        <v>103</v>
      </c>
      <c r="B520" s="23" t="n">
        <v>46188</v>
      </c>
      <c r="C520" s="22" t="s">
        <v>162</v>
      </c>
      <c r="D520" s="24" t="n">
        <v>21</v>
      </c>
    </row>
    <row r="521" customFormat="false" ht="15" hidden="false" customHeight="false" outlineLevel="0" collapsed="false">
      <c r="A521" s="22" t="n">
        <v>104</v>
      </c>
      <c r="B521" s="23" t="n">
        <v>46195</v>
      </c>
      <c r="C521" s="22" t="s">
        <v>162</v>
      </c>
      <c r="D521" s="24" t="n">
        <v>23</v>
      </c>
    </row>
    <row r="522" customFormat="false" ht="15" hidden="false" customHeight="false" outlineLevel="0" collapsed="false">
      <c r="A522" s="22" t="n">
        <v>1</v>
      </c>
      <c r="B522" s="23" t="n">
        <v>45474</v>
      </c>
      <c r="C522" s="22" t="s">
        <v>165</v>
      </c>
      <c r="D522" s="24" t="n">
        <v>67</v>
      </c>
    </row>
    <row r="523" customFormat="false" ht="15" hidden="false" customHeight="false" outlineLevel="0" collapsed="false">
      <c r="A523" s="22" t="n">
        <v>2</v>
      </c>
      <c r="B523" s="23" t="n">
        <v>45481</v>
      </c>
      <c r="C523" s="22" t="s">
        <v>165</v>
      </c>
      <c r="D523" s="24" t="n">
        <v>53</v>
      </c>
    </row>
    <row r="524" customFormat="false" ht="15" hidden="false" customHeight="false" outlineLevel="0" collapsed="false">
      <c r="A524" s="22" t="n">
        <v>3</v>
      </c>
      <c r="B524" s="23" t="n">
        <v>45488</v>
      </c>
      <c r="C524" s="22" t="s">
        <v>165</v>
      </c>
      <c r="D524" s="24" t="n">
        <v>60</v>
      </c>
    </row>
    <row r="525" customFormat="false" ht="15" hidden="false" customHeight="false" outlineLevel="0" collapsed="false">
      <c r="A525" s="22" t="n">
        <v>4</v>
      </c>
      <c r="B525" s="23" t="n">
        <v>45495</v>
      </c>
      <c r="C525" s="22" t="s">
        <v>165</v>
      </c>
      <c r="D525" s="24" t="n">
        <v>51</v>
      </c>
    </row>
    <row r="526" customFormat="false" ht="15" hidden="false" customHeight="false" outlineLevel="0" collapsed="false">
      <c r="A526" s="22" t="n">
        <v>5</v>
      </c>
      <c r="B526" s="23" t="n">
        <v>45502</v>
      </c>
      <c r="C526" s="22" t="s">
        <v>165</v>
      </c>
      <c r="D526" s="24" t="n">
        <v>41</v>
      </c>
    </row>
    <row r="527" customFormat="false" ht="15" hidden="false" customHeight="false" outlineLevel="0" collapsed="false">
      <c r="A527" s="22" t="n">
        <v>6</v>
      </c>
      <c r="B527" s="23" t="n">
        <v>45509</v>
      </c>
      <c r="C527" s="22" t="s">
        <v>165</v>
      </c>
      <c r="D527" s="24" t="n">
        <v>37</v>
      </c>
    </row>
    <row r="528" customFormat="false" ht="15" hidden="false" customHeight="false" outlineLevel="0" collapsed="false">
      <c r="A528" s="22" t="n">
        <v>7</v>
      </c>
      <c r="B528" s="23" t="n">
        <v>45516</v>
      </c>
      <c r="C528" s="22" t="s">
        <v>165</v>
      </c>
      <c r="D528" s="24" t="n">
        <v>50</v>
      </c>
    </row>
    <row r="529" customFormat="false" ht="15" hidden="false" customHeight="false" outlineLevel="0" collapsed="false">
      <c r="A529" s="22" t="n">
        <v>8</v>
      </c>
      <c r="B529" s="23" t="n">
        <v>45523</v>
      </c>
      <c r="C529" s="22" t="s">
        <v>165</v>
      </c>
      <c r="D529" s="24" t="n">
        <v>44</v>
      </c>
    </row>
    <row r="530" customFormat="false" ht="15" hidden="false" customHeight="false" outlineLevel="0" collapsed="false">
      <c r="A530" s="22" t="n">
        <v>9</v>
      </c>
      <c r="B530" s="23" t="n">
        <v>45530</v>
      </c>
      <c r="C530" s="22" t="s">
        <v>165</v>
      </c>
      <c r="D530" s="24" t="n">
        <v>60</v>
      </c>
    </row>
    <row r="531" customFormat="false" ht="15" hidden="false" customHeight="false" outlineLevel="0" collapsed="false">
      <c r="A531" s="22" t="n">
        <v>10</v>
      </c>
      <c r="B531" s="23" t="n">
        <v>45537</v>
      </c>
      <c r="C531" s="22" t="s">
        <v>165</v>
      </c>
      <c r="D531" s="24" t="n">
        <v>55</v>
      </c>
    </row>
    <row r="532" customFormat="false" ht="15" hidden="false" customHeight="false" outlineLevel="0" collapsed="false">
      <c r="A532" s="22" t="n">
        <v>11</v>
      </c>
      <c r="B532" s="23" t="n">
        <v>45544</v>
      </c>
      <c r="C532" s="22" t="s">
        <v>165</v>
      </c>
      <c r="D532" s="24" t="n">
        <v>29</v>
      </c>
    </row>
    <row r="533" customFormat="false" ht="15" hidden="false" customHeight="false" outlineLevel="0" collapsed="false">
      <c r="A533" s="22" t="n">
        <v>12</v>
      </c>
      <c r="B533" s="23" t="n">
        <v>45551</v>
      </c>
      <c r="C533" s="22" t="s">
        <v>165</v>
      </c>
      <c r="D533" s="24" t="n">
        <v>56</v>
      </c>
    </row>
    <row r="534" customFormat="false" ht="15" hidden="false" customHeight="false" outlineLevel="0" collapsed="false">
      <c r="A534" s="22" t="n">
        <v>13</v>
      </c>
      <c r="B534" s="23" t="n">
        <v>45558</v>
      </c>
      <c r="C534" s="22" t="s">
        <v>165</v>
      </c>
      <c r="D534" s="24" t="n">
        <v>29</v>
      </c>
    </row>
    <row r="535" customFormat="false" ht="15" hidden="false" customHeight="false" outlineLevel="0" collapsed="false">
      <c r="A535" s="22" t="n">
        <v>14</v>
      </c>
      <c r="B535" s="23" t="n">
        <v>45565</v>
      </c>
      <c r="C535" s="22" t="s">
        <v>165</v>
      </c>
      <c r="D535" s="24" t="n">
        <v>43</v>
      </c>
    </row>
    <row r="536" customFormat="false" ht="15" hidden="false" customHeight="false" outlineLevel="0" collapsed="false">
      <c r="A536" s="22" t="n">
        <v>15</v>
      </c>
      <c r="B536" s="23" t="n">
        <v>45572</v>
      </c>
      <c r="C536" s="22" t="s">
        <v>165</v>
      </c>
      <c r="D536" s="24" t="n">
        <v>49</v>
      </c>
    </row>
    <row r="537" customFormat="false" ht="15" hidden="false" customHeight="false" outlineLevel="0" collapsed="false">
      <c r="A537" s="22" t="n">
        <v>16</v>
      </c>
      <c r="B537" s="23" t="n">
        <v>45579</v>
      </c>
      <c r="C537" s="22" t="s">
        <v>165</v>
      </c>
      <c r="D537" s="24" t="n">
        <v>15</v>
      </c>
    </row>
    <row r="538" customFormat="false" ht="15" hidden="false" customHeight="false" outlineLevel="0" collapsed="false">
      <c r="A538" s="22" t="n">
        <v>17</v>
      </c>
      <c r="B538" s="23" t="n">
        <v>45586</v>
      </c>
      <c r="C538" s="22" t="s">
        <v>165</v>
      </c>
      <c r="D538" s="24" t="n">
        <v>57</v>
      </c>
    </row>
    <row r="539" customFormat="false" ht="15" hidden="false" customHeight="false" outlineLevel="0" collapsed="false">
      <c r="A539" s="22" t="n">
        <v>18</v>
      </c>
      <c r="B539" s="23" t="n">
        <v>45593</v>
      </c>
      <c r="C539" s="22" t="s">
        <v>165</v>
      </c>
      <c r="D539" s="24" t="n">
        <v>58</v>
      </c>
    </row>
    <row r="540" customFormat="false" ht="15" hidden="false" customHeight="false" outlineLevel="0" collapsed="false">
      <c r="A540" s="22" t="n">
        <v>19</v>
      </c>
      <c r="B540" s="23" t="n">
        <v>45600</v>
      </c>
      <c r="C540" s="22" t="s">
        <v>165</v>
      </c>
      <c r="D540" s="24" t="n">
        <v>52</v>
      </c>
    </row>
    <row r="541" customFormat="false" ht="15" hidden="false" customHeight="false" outlineLevel="0" collapsed="false">
      <c r="A541" s="22" t="n">
        <v>20</v>
      </c>
      <c r="B541" s="23" t="n">
        <v>45607</v>
      </c>
      <c r="C541" s="22" t="s">
        <v>165</v>
      </c>
      <c r="D541" s="24" t="n">
        <v>47</v>
      </c>
    </row>
    <row r="542" customFormat="false" ht="15" hidden="false" customHeight="false" outlineLevel="0" collapsed="false">
      <c r="A542" s="22" t="n">
        <v>21</v>
      </c>
      <c r="B542" s="23" t="n">
        <v>45614</v>
      </c>
      <c r="C542" s="22" t="s">
        <v>165</v>
      </c>
      <c r="D542" s="24" t="n">
        <v>48</v>
      </c>
    </row>
    <row r="543" customFormat="false" ht="15" hidden="false" customHeight="false" outlineLevel="0" collapsed="false">
      <c r="A543" s="22" t="n">
        <v>22</v>
      </c>
      <c r="B543" s="23" t="n">
        <v>45621</v>
      </c>
      <c r="C543" s="22" t="s">
        <v>165</v>
      </c>
      <c r="D543" s="24" t="n">
        <v>36</v>
      </c>
    </row>
    <row r="544" customFormat="false" ht="15" hidden="false" customHeight="false" outlineLevel="0" collapsed="false">
      <c r="A544" s="22" t="n">
        <v>23</v>
      </c>
      <c r="B544" s="23" t="n">
        <v>45628</v>
      </c>
      <c r="C544" s="22" t="s">
        <v>165</v>
      </c>
      <c r="D544" s="24" t="n">
        <v>50</v>
      </c>
    </row>
    <row r="545" customFormat="false" ht="15" hidden="false" customHeight="false" outlineLevel="0" collapsed="false">
      <c r="A545" s="22" t="n">
        <v>24</v>
      </c>
      <c r="B545" s="23" t="n">
        <v>45635</v>
      </c>
      <c r="C545" s="22" t="s">
        <v>165</v>
      </c>
      <c r="D545" s="24" t="n">
        <v>44</v>
      </c>
    </row>
    <row r="546" customFormat="false" ht="15" hidden="false" customHeight="false" outlineLevel="0" collapsed="false">
      <c r="A546" s="22" t="n">
        <v>25</v>
      </c>
      <c r="B546" s="23" t="n">
        <v>45642</v>
      </c>
      <c r="C546" s="22" t="s">
        <v>165</v>
      </c>
      <c r="D546" s="24" t="n">
        <v>57</v>
      </c>
    </row>
    <row r="547" customFormat="false" ht="15" hidden="false" customHeight="false" outlineLevel="0" collapsed="false">
      <c r="A547" s="22" t="n">
        <v>26</v>
      </c>
      <c r="B547" s="23" t="n">
        <v>45649</v>
      </c>
      <c r="C547" s="22" t="s">
        <v>165</v>
      </c>
      <c r="D547" s="24" t="n">
        <v>32</v>
      </c>
    </row>
    <row r="548" customFormat="false" ht="15" hidden="false" customHeight="false" outlineLevel="0" collapsed="false">
      <c r="A548" s="22" t="n">
        <v>27</v>
      </c>
      <c r="B548" s="23" t="n">
        <v>45656</v>
      </c>
      <c r="C548" s="22" t="s">
        <v>165</v>
      </c>
      <c r="D548" s="24" t="n">
        <v>60</v>
      </c>
    </row>
    <row r="549" customFormat="false" ht="15" hidden="false" customHeight="false" outlineLevel="0" collapsed="false">
      <c r="A549" s="22" t="n">
        <v>28</v>
      </c>
      <c r="B549" s="23" t="n">
        <v>45663</v>
      </c>
      <c r="C549" s="22" t="s">
        <v>165</v>
      </c>
      <c r="D549" s="24" t="n">
        <v>58</v>
      </c>
    </row>
    <row r="550" customFormat="false" ht="15" hidden="false" customHeight="false" outlineLevel="0" collapsed="false">
      <c r="A550" s="22" t="n">
        <v>29</v>
      </c>
      <c r="B550" s="23" t="n">
        <v>45670</v>
      </c>
      <c r="C550" s="22" t="s">
        <v>165</v>
      </c>
      <c r="D550" s="24" t="n">
        <v>52</v>
      </c>
    </row>
    <row r="551" customFormat="false" ht="15" hidden="false" customHeight="false" outlineLevel="0" collapsed="false">
      <c r="A551" s="22" t="n">
        <v>30</v>
      </c>
      <c r="B551" s="23" t="n">
        <v>45677</v>
      </c>
      <c r="C551" s="22" t="s">
        <v>165</v>
      </c>
      <c r="D551" s="24" t="n">
        <v>47</v>
      </c>
    </row>
    <row r="552" customFormat="false" ht="15" hidden="false" customHeight="false" outlineLevel="0" collapsed="false">
      <c r="A552" s="22" t="n">
        <v>31</v>
      </c>
      <c r="B552" s="23" t="n">
        <v>45684</v>
      </c>
      <c r="C552" s="22" t="s">
        <v>165</v>
      </c>
      <c r="D552" s="24" t="n">
        <v>66</v>
      </c>
    </row>
    <row r="553" customFormat="false" ht="15" hidden="false" customHeight="false" outlineLevel="0" collapsed="false">
      <c r="A553" s="22" t="n">
        <v>32</v>
      </c>
      <c r="B553" s="23" t="n">
        <v>45691</v>
      </c>
      <c r="C553" s="22" t="s">
        <v>165</v>
      </c>
      <c r="D553" s="24" t="n">
        <v>23</v>
      </c>
    </row>
    <row r="554" customFormat="false" ht="15" hidden="false" customHeight="false" outlineLevel="0" collapsed="false">
      <c r="A554" s="22" t="n">
        <v>33</v>
      </c>
      <c r="B554" s="23" t="n">
        <v>45698</v>
      </c>
      <c r="C554" s="22" t="s">
        <v>165</v>
      </c>
      <c r="D554" s="24" t="n">
        <v>64</v>
      </c>
    </row>
    <row r="555" customFormat="false" ht="15" hidden="false" customHeight="false" outlineLevel="0" collapsed="false">
      <c r="A555" s="22" t="n">
        <v>34</v>
      </c>
      <c r="B555" s="23" t="n">
        <v>45705</v>
      </c>
      <c r="C555" s="22" t="s">
        <v>165</v>
      </c>
      <c r="D555" s="24" t="n">
        <v>60</v>
      </c>
    </row>
    <row r="556" customFormat="false" ht="15" hidden="false" customHeight="false" outlineLevel="0" collapsed="false">
      <c r="A556" s="22" t="n">
        <v>35</v>
      </c>
      <c r="B556" s="23" t="n">
        <v>45712</v>
      </c>
      <c r="C556" s="22" t="s">
        <v>165</v>
      </c>
      <c r="D556" s="24" t="n">
        <v>60</v>
      </c>
    </row>
    <row r="557" customFormat="false" ht="15" hidden="false" customHeight="false" outlineLevel="0" collapsed="false">
      <c r="A557" s="22" t="n">
        <v>36</v>
      </c>
      <c r="B557" s="23" t="n">
        <v>45719</v>
      </c>
      <c r="C557" s="22" t="s">
        <v>165</v>
      </c>
      <c r="D557" s="24" t="n">
        <v>62</v>
      </c>
    </row>
    <row r="558" customFormat="false" ht="15" hidden="false" customHeight="false" outlineLevel="0" collapsed="false">
      <c r="A558" s="22" t="n">
        <v>37</v>
      </c>
      <c r="B558" s="23" t="n">
        <v>45726</v>
      </c>
      <c r="C558" s="22" t="s">
        <v>165</v>
      </c>
      <c r="D558" s="24" t="n">
        <v>42</v>
      </c>
    </row>
    <row r="559" customFormat="false" ht="15" hidden="false" customHeight="false" outlineLevel="0" collapsed="false">
      <c r="A559" s="22" t="n">
        <v>38</v>
      </c>
      <c r="B559" s="23" t="n">
        <v>45733</v>
      </c>
      <c r="C559" s="22" t="s">
        <v>165</v>
      </c>
      <c r="D559" s="24" t="n">
        <v>50</v>
      </c>
    </row>
    <row r="560" customFormat="false" ht="15" hidden="false" customHeight="false" outlineLevel="0" collapsed="false">
      <c r="A560" s="22" t="n">
        <v>39</v>
      </c>
      <c r="B560" s="23" t="n">
        <v>45740</v>
      </c>
      <c r="C560" s="22" t="s">
        <v>165</v>
      </c>
      <c r="D560" s="24" t="n">
        <v>67</v>
      </c>
    </row>
    <row r="561" customFormat="false" ht="15" hidden="false" customHeight="false" outlineLevel="0" collapsed="false">
      <c r="A561" s="22" t="n">
        <v>40</v>
      </c>
      <c r="B561" s="23" t="n">
        <v>45747</v>
      </c>
      <c r="C561" s="22" t="s">
        <v>165</v>
      </c>
      <c r="D561" s="24" t="n">
        <v>63</v>
      </c>
    </row>
    <row r="562" customFormat="false" ht="15" hidden="false" customHeight="false" outlineLevel="0" collapsed="false">
      <c r="A562" s="22" t="n">
        <v>41</v>
      </c>
      <c r="B562" s="23" t="n">
        <v>45754</v>
      </c>
      <c r="C562" s="22" t="s">
        <v>165</v>
      </c>
      <c r="D562" s="24" t="n">
        <v>59</v>
      </c>
    </row>
    <row r="563" customFormat="false" ht="15" hidden="false" customHeight="false" outlineLevel="0" collapsed="false">
      <c r="A563" s="22" t="n">
        <v>42</v>
      </c>
      <c r="B563" s="23" t="n">
        <v>45761</v>
      </c>
      <c r="C563" s="22" t="s">
        <v>165</v>
      </c>
      <c r="D563" s="24" t="n">
        <v>26</v>
      </c>
    </row>
    <row r="564" customFormat="false" ht="15" hidden="false" customHeight="false" outlineLevel="0" collapsed="false">
      <c r="A564" s="22" t="n">
        <v>43</v>
      </c>
      <c r="B564" s="23" t="n">
        <v>45768</v>
      </c>
      <c r="C564" s="22" t="s">
        <v>165</v>
      </c>
      <c r="D564" s="24" t="n">
        <v>65</v>
      </c>
    </row>
    <row r="565" customFormat="false" ht="15" hidden="false" customHeight="false" outlineLevel="0" collapsed="false">
      <c r="A565" s="22" t="n">
        <v>44</v>
      </c>
      <c r="B565" s="23" t="n">
        <v>45775</v>
      </c>
      <c r="C565" s="22" t="s">
        <v>165</v>
      </c>
      <c r="D565" s="24" t="n">
        <v>78</v>
      </c>
    </row>
    <row r="566" customFormat="false" ht="15" hidden="false" customHeight="false" outlineLevel="0" collapsed="false">
      <c r="A566" s="22" t="n">
        <v>45</v>
      </c>
      <c r="B566" s="23" t="n">
        <v>45782</v>
      </c>
      <c r="C566" s="22" t="s">
        <v>165</v>
      </c>
      <c r="D566" s="24" t="n">
        <v>74</v>
      </c>
    </row>
    <row r="567" customFormat="false" ht="15" hidden="false" customHeight="false" outlineLevel="0" collapsed="false">
      <c r="A567" s="22" t="n">
        <v>46</v>
      </c>
      <c r="B567" s="23" t="n">
        <v>45789</v>
      </c>
      <c r="C567" s="22" t="s">
        <v>165</v>
      </c>
      <c r="D567" s="24" t="n">
        <v>60</v>
      </c>
    </row>
    <row r="568" customFormat="false" ht="15" hidden="false" customHeight="false" outlineLevel="0" collapsed="false">
      <c r="A568" s="22" t="n">
        <v>47</v>
      </c>
      <c r="B568" s="23" t="n">
        <v>45796</v>
      </c>
      <c r="C568" s="22" t="s">
        <v>165</v>
      </c>
      <c r="D568" s="24" t="n">
        <v>25</v>
      </c>
    </row>
    <row r="569" customFormat="false" ht="15" hidden="false" customHeight="false" outlineLevel="0" collapsed="false">
      <c r="A569" s="22" t="n">
        <v>48</v>
      </c>
      <c r="B569" s="23" t="n">
        <v>45803</v>
      </c>
      <c r="C569" s="22" t="s">
        <v>165</v>
      </c>
      <c r="D569" s="24" t="n">
        <v>73</v>
      </c>
    </row>
    <row r="570" customFormat="false" ht="15" hidden="false" customHeight="false" outlineLevel="0" collapsed="false">
      <c r="A570" s="22" t="n">
        <v>49</v>
      </c>
      <c r="B570" s="23" t="n">
        <v>45810</v>
      </c>
      <c r="C570" s="22" t="s">
        <v>165</v>
      </c>
      <c r="D570" s="24" t="n">
        <v>52</v>
      </c>
    </row>
    <row r="571" customFormat="false" ht="15" hidden="false" customHeight="false" outlineLevel="0" collapsed="false">
      <c r="A571" s="22" t="n">
        <v>50</v>
      </c>
      <c r="B571" s="23" t="n">
        <v>45817</v>
      </c>
      <c r="C571" s="22" t="s">
        <v>165</v>
      </c>
      <c r="D571" s="24" t="n">
        <v>6</v>
      </c>
    </row>
    <row r="572" customFormat="false" ht="15" hidden="false" customHeight="false" outlineLevel="0" collapsed="false">
      <c r="A572" s="22" t="n">
        <v>51</v>
      </c>
      <c r="B572" s="23" t="n">
        <v>45824</v>
      </c>
      <c r="C572" s="22" t="s">
        <v>165</v>
      </c>
      <c r="D572" s="24" t="n">
        <v>62</v>
      </c>
    </row>
    <row r="573" customFormat="false" ht="15" hidden="false" customHeight="false" outlineLevel="0" collapsed="false">
      <c r="A573" s="22" t="n">
        <v>52</v>
      </c>
      <c r="B573" s="23" t="n">
        <v>45831</v>
      </c>
      <c r="C573" s="22" t="s">
        <v>165</v>
      </c>
      <c r="D573" s="24" t="n">
        <v>26</v>
      </c>
    </row>
    <row r="574" customFormat="false" ht="15" hidden="false" customHeight="false" outlineLevel="0" collapsed="false">
      <c r="A574" s="22" t="n">
        <v>53</v>
      </c>
      <c r="B574" s="23" t="n">
        <v>45838</v>
      </c>
      <c r="C574" s="22" t="s">
        <v>165</v>
      </c>
      <c r="D574" s="24" t="n">
        <v>30</v>
      </c>
    </row>
    <row r="575" customFormat="false" ht="15" hidden="false" customHeight="false" outlineLevel="0" collapsed="false">
      <c r="A575" s="22" t="n">
        <v>54</v>
      </c>
      <c r="B575" s="23" t="n">
        <v>45845</v>
      </c>
      <c r="C575" s="22" t="s">
        <v>165</v>
      </c>
      <c r="D575" s="24" t="n">
        <v>43</v>
      </c>
    </row>
    <row r="576" customFormat="false" ht="15" hidden="false" customHeight="false" outlineLevel="0" collapsed="false">
      <c r="A576" s="22" t="n">
        <v>55</v>
      </c>
      <c r="B576" s="23" t="n">
        <v>45852</v>
      </c>
      <c r="C576" s="22" t="s">
        <v>165</v>
      </c>
      <c r="D576" s="24" t="n">
        <v>80</v>
      </c>
    </row>
    <row r="577" customFormat="false" ht="15" hidden="false" customHeight="false" outlineLevel="0" collapsed="false">
      <c r="A577" s="22" t="n">
        <v>56</v>
      </c>
      <c r="B577" s="23" t="n">
        <v>45859</v>
      </c>
      <c r="C577" s="22" t="s">
        <v>165</v>
      </c>
      <c r="D577" s="24" t="n">
        <v>48</v>
      </c>
    </row>
    <row r="578" customFormat="false" ht="15" hidden="false" customHeight="false" outlineLevel="0" collapsed="false">
      <c r="A578" s="22" t="n">
        <v>57</v>
      </c>
      <c r="B578" s="23" t="n">
        <v>45866</v>
      </c>
      <c r="C578" s="22" t="s">
        <v>165</v>
      </c>
      <c r="D578" s="24" t="n">
        <v>60</v>
      </c>
    </row>
    <row r="579" customFormat="false" ht="15" hidden="false" customHeight="false" outlineLevel="0" collapsed="false">
      <c r="A579" s="22" t="n">
        <v>58</v>
      </c>
      <c r="B579" s="23" t="n">
        <v>45873</v>
      </c>
      <c r="C579" s="22" t="s">
        <v>165</v>
      </c>
      <c r="D579" s="24" t="n">
        <v>89</v>
      </c>
    </row>
    <row r="580" customFormat="false" ht="15" hidden="false" customHeight="false" outlineLevel="0" collapsed="false">
      <c r="A580" s="22" t="n">
        <v>59</v>
      </c>
      <c r="B580" s="23" t="n">
        <v>45880</v>
      </c>
      <c r="C580" s="22" t="s">
        <v>165</v>
      </c>
      <c r="D580" s="24" t="n">
        <v>86</v>
      </c>
    </row>
    <row r="581" customFormat="false" ht="15" hidden="false" customHeight="false" outlineLevel="0" collapsed="false">
      <c r="A581" s="22" t="n">
        <v>60</v>
      </c>
      <c r="B581" s="23" t="n">
        <v>45887</v>
      </c>
      <c r="C581" s="22" t="s">
        <v>165</v>
      </c>
      <c r="D581" s="24" t="n">
        <v>53</v>
      </c>
    </row>
    <row r="582" customFormat="false" ht="15" hidden="false" customHeight="false" outlineLevel="0" collapsed="false">
      <c r="A582" s="22" t="n">
        <v>61</v>
      </c>
      <c r="B582" s="23" t="n">
        <v>45894</v>
      </c>
      <c r="C582" s="22" t="s">
        <v>165</v>
      </c>
      <c r="D582" s="24" t="n">
        <v>50</v>
      </c>
    </row>
    <row r="583" customFormat="false" ht="15" hidden="false" customHeight="false" outlineLevel="0" collapsed="false">
      <c r="A583" s="22" t="n">
        <v>62</v>
      </c>
      <c r="B583" s="23" t="n">
        <v>45901</v>
      </c>
      <c r="C583" s="22" t="s">
        <v>165</v>
      </c>
      <c r="D583" s="24" t="n">
        <v>31</v>
      </c>
    </row>
    <row r="584" customFormat="false" ht="15" hidden="false" customHeight="false" outlineLevel="0" collapsed="false">
      <c r="A584" s="22" t="n">
        <v>63</v>
      </c>
      <c r="B584" s="23" t="n">
        <v>45908</v>
      </c>
      <c r="C584" s="22" t="s">
        <v>165</v>
      </c>
      <c r="D584" s="24" t="n">
        <v>42</v>
      </c>
    </row>
    <row r="585" customFormat="false" ht="15" hidden="false" customHeight="false" outlineLevel="0" collapsed="false">
      <c r="A585" s="22" t="n">
        <v>64</v>
      </c>
      <c r="B585" s="23" t="n">
        <v>45915</v>
      </c>
      <c r="C585" s="22" t="s">
        <v>165</v>
      </c>
      <c r="D585" s="24" t="n">
        <v>63</v>
      </c>
    </row>
    <row r="586" customFormat="false" ht="15" hidden="false" customHeight="false" outlineLevel="0" collapsed="false">
      <c r="A586" s="22" t="n">
        <v>65</v>
      </c>
      <c r="B586" s="23" t="n">
        <v>45922</v>
      </c>
      <c r="C586" s="22" t="s">
        <v>165</v>
      </c>
      <c r="D586" s="24" t="n">
        <v>63</v>
      </c>
    </row>
    <row r="587" customFormat="false" ht="15" hidden="false" customHeight="false" outlineLevel="0" collapsed="false">
      <c r="A587" s="22" t="n">
        <v>66</v>
      </c>
      <c r="B587" s="23" t="n">
        <v>45929</v>
      </c>
      <c r="C587" s="22" t="s">
        <v>165</v>
      </c>
      <c r="D587" s="24" t="n">
        <v>57</v>
      </c>
    </row>
    <row r="588" customFormat="false" ht="15" hidden="false" customHeight="false" outlineLevel="0" collapsed="false">
      <c r="A588" s="22" t="n">
        <v>67</v>
      </c>
      <c r="B588" s="23" t="n">
        <v>45936</v>
      </c>
      <c r="C588" s="22" t="s">
        <v>165</v>
      </c>
      <c r="D588" s="24" t="n">
        <v>74</v>
      </c>
    </row>
    <row r="589" customFormat="false" ht="15" hidden="false" customHeight="false" outlineLevel="0" collapsed="false">
      <c r="A589" s="22" t="n">
        <v>68</v>
      </c>
      <c r="B589" s="23" t="n">
        <v>45943</v>
      </c>
      <c r="C589" s="22" t="s">
        <v>165</v>
      </c>
      <c r="D589" s="24" t="n">
        <v>40</v>
      </c>
    </row>
    <row r="590" customFormat="false" ht="15" hidden="false" customHeight="false" outlineLevel="0" collapsed="false">
      <c r="A590" s="22" t="n">
        <v>69</v>
      </c>
      <c r="B590" s="23" t="n">
        <v>45950</v>
      </c>
      <c r="C590" s="22" t="s">
        <v>165</v>
      </c>
      <c r="D590" s="24" t="n">
        <v>54</v>
      </c>
    </row>
    <row r="591" customFormat="false" ht="15" hidden="false" customHeight="false" outlineLevel="0" collapsed="false">
      <c r="A591" s="22" t="n">
        <v>70</v>
      </c>
      <c r="B591" s="23" t="n">
        <v>45957</v>
      </c>
      <c r="C591" s="22" t="s">
        <v>165</v>
      </c>
      <c r="D591" s="24" t="n">
        <v>69</v>
      </c>
    </row>
    <row r="592" customFormat="false" ht="15" hidden="false" customHeight="false" outlineLevel="0" collapsed="false">
      <c r="A592" s="22" t="n">
        <v>71</v>
      </c>
      <c r="B592" s="23" t="n">
        <v>45964</v>
      </c>
      <c r="C592" s="22" t="s">
        <v>165</v>
      </c>
      <c r="D592" s="24" t="n">
        <v>66</v>
      </c>
    </row>
    <row r="593" customFormat="false" ht="15" hidden="false" customHeight="false" outlineLevel="0" collapsed="false">
      <c r="A593" s="22" t="n">
        <v>72</v>
      </c>
      <c r="B593" s="23" t="n">
        <v>45971</v>
      </c>
      <c r="C593" s="22" t="s">
        <v>165</v>
      </c>
      <c r="D593" s="24" t="n">
        <v>76</v>
      </c>
    </row>
    <row r="594" customFormat="false" ht="15" hidden="false" customHeight="false" outlineLevel="0" collapsed="false">
      <c r="A594" s="22" t="n">
        <v>73</v>
      </c>
      <c r="B594" s="23" t="n">
        <v>45978</v>
      </c>
      <c r="C594" s="22" t="s">
        <v>165</v>
      </c>
      <c r="D594" s="24" t="n">
        <v>63</v>
      </c>
    </row>
    <row r="595" customFormat="false" ht="15" hidden="false" customHeight="false" outlineLevel="0" collapsed="false">
      <c r="A595" s="22" t="n">
        <v>74</v>
      </c>
      <c r="B595" s="23" t="n">
        <v>45985</v>
      </c>
      <c r="C595" s="22" t="s">
        <v>165</v>
      </c>
      <c r="D595" s="24" t="n">
        <v>49</v>
      </c>
    </row>
    <row r="596" customFormat="false" ht="15" hidden="false" customHeight="false" outlineLevel="0" collapsed="false">
      <c r="A596" s="22" t="n">
        <v>75</v>
      </c>
      <c r="B596" s="23" t="n">
        <v>45992</v>
      </c>
      <c r="C596" s="22" t="s">
        <v>165</v>
      </c>
      <c r="D596" s="24" t="n">
        <v>62</v>
      </c>
    </row>
    <row r="597" customFormat="false" ht="15" hidden="false" customHeight="false" outlineLevel="0" collapsed="false">
      <c r="A597" s="22" t="n">
        <v>76</v>
      </c>
      <c r="B597" s="23" t="n">
        <v>45999</v>
      </c>
      <c r="C597" s="22" t="s">
        <v>165</v>
      </c>
      <c r="D597" s="24" t="n">
        <v>36</v>
      </c>
    </row>
    <row r="598" customFormat="false" ht="15" hidden="false" customHeight="false" outlineLevel="0" collapsed="false">
      <c r="A598" s="22" t="n">
        <v>77</v>
      </c>
      <c r="B598" s="23" t="n">
        <v>46006</v>
      </c>
      <c r="C598" s="22" t="s">
        <v>165</v>
      </c>
      <c r="D598" s="24" t="n">
        <v>23</v>
      </c>
    </row>
    <row r="599" customFormat="false" ht="15" hidden="false" customHeight="false" outlineLevel="0" collapsed="false">
      <c r="A599" s="22" t="n">
        <v>78</v>
      </c>
      <c r="B599" s="23" t="n">
        <v>46013</v>
      </c>
      <c r="C599" s="22" t="s">
        <v>165</v>
      </c>
      <c r="D599" s="24" t="n">
        <v>66</v>
      </c>
    </row>
    <row r="600" customFormat="false" ht="15" hidden="false" customHeight="false" outlineLevel="0" collapsed="false">
      <c r="A600" s="22" t="n">
        <v>79</v>
      </c>
      <c r="B600" s="23" t="n">
        <v>46020</v>
      </c>
      <c r="C600" s="22" t="s">
        <v>165</v>
      </c>
      <c r="D600" s="24" t="n">
        <v>54</v>
      </c>
    </row>
    <row r="601" customFormat="false" ht="15" hidden="false" customHeight="false" outlineLevel="0" collapsed="false">
      <c r="A601" s="22" t="n">
        <v>80</v>
      </c>
      <c r="B601" s="23" t="n">
        <v>46027</v>
      </c>
      <c r="C601" s="22" t="s">
        <v>165</v>
      </c>
      <c r="D601" s="24" t="n">
        <v>61</v>
      </c>
    </row>
    <row r="602" customFormat="false" ht="15" hidden="false" customHeight="false" outlineLevel="0" collapsed="false">
      <c r="A602" s="22" t="n">
        <v>81</v>
      </c>
      <c r="B602" s="23" t="n">
        <v>46034</v>
      </c>
      <c r="C602" s="22" t="s">
        <v>165</v>
      </c>
      <c r="D602" s="24" t="n">
        <v>22</v>
      </c>
    </row>
    <row r="603" customFormat="false" ht="15" hidden="false" customHeight="false" outlineLevel="0" collapsed="false">
      <c r="A603" s="22" t="n">
        <v>82</v>
      </c>
      <c r="B603" s="23" t="n">
        <v>46041</v>
      </c>
      <c r="C603" s="22" t="s">
        <v>165</v>
      </c>
      <c r="D603" s="24" t="n">
        <v>48</v>
      </c>
    </row>
    <row r="604" customFormat="false" ht="15" hidden="false" customHeight="false" outlineLevel="0" collapsed="false">
      <c r="A604" s="22" t="n">
        <v>83</v>
      </c>
      <c r="B604" s="23" t="n">
        <v>46048</v>
      </c>
      <c r="C604" s="22" t="s">
        <v>165</v>
      </c>
      <c r="D604" s="24" t="n">
        <v>43</v>
      </c>
    </row>
    <row r="605" customFormat="false" ht="15" hidden="false" customHeight="false" outlineLevel="0" collapsed="false">
      <c r="A605" s="22" t="n">
        <v>84</v>
      </c>
      <c r="B605" s="23" t="n">
        <v>46055</v>
      </c>
      <c r="C605" s="22" t="s">
        <v>165</v>
      </c>
      <c r="D605" s="24" t="n">
        <v>38</v>
      </c>
    </row>
    <row r="606" customFormat="false" ht="15" hidden="false" customHeight="false" outlineLevel="0" collapsed="false">
      <c r="A606" s="22" t="n">
        <v>85</v>
      </c>
      <c r="B606" s="23" t="n">
        <v>46062</v>
      </c>
      <c r="C606" s="22" t="s">
        <v>165</v>
      </c>
      <c r="D606" s="24" t="n">
        <v>11</v>
      </c>
    </row>
    <row r="607" customFormat="false" ht="15" hidden="false" customHeight="false" outlineLevel="0" collapsed="false">
      <c r="A607" s="22" t="n">
        <v>86</v>
      </c>
      <c r="B607" s="23" t="n">
        <v>46069</v>
      </c>
      <c r="C607" s="22" t="s">
        <v>165</v>
      </c>
      <c r="D607" s="24" t="n">
        <v>49</v>
      </c>
    </row>
    <row r="608" customFormat="false" ht="15" hidden="false" customHeight="false" outlineLevel="0" collapsed="false">
      <c r="A608" s="22" t="n">
        <v>87</v>
      </c>
      <c r="B608" s="23" t="n">
        <v>46076</v>
      </c>
      <c r="C608" s="22" t="s">
        <v>165</v>
      </c>
      <c r="D608" s="24" t="n">
        <v>72</v>
      </c>
    </row>
    <row r="609" customFormat="false" ht="15" hidden="false" customHeight="false" outlineLevel="0" collapsed="false">
      <c r="A609" s="22" t="n">
        <v>88</v>
      </c>
      <c r="B609" s="23" t="n">
        <v>46083</v>
      </c>
      <c r="C609" s="22" t="s">
        <v>165</v>
      </c>
      <c r="D609" s="24" t="n">
        <v>62</v>
      </c>
    </row>
    <row r="610" customFormat="false" ht="15" hidden="false" customHeight="false" outlineLevel="0" collapsed="false">
      <c r="A610" s="22" t="n">
        <v>89</v>
      </c>
      <c r="B610" s="23" t="n">
        <v>46090</v>
      </c>
      <c r="C610" s="22" t="s">
        <v>165</v>
      </c>
      <c r="D610" s="24" t="n">
        <v>43</v>
      </c>
    </row>
    <row r="611" customFormat="false" ht="15" hidden="false" customHeight="false" outlineLevel="0" collapsed="false">
      <c r="A611" s="22" t="n">
        <v>90</v>
      </c>
      <c r="B611" s="23" t="n">
        <v>46097</v>
      </c>
      <c r="C611" s="22" t="s">
        <v>165</v>
      </c>
      <c r="D611" s="24" t="n">
        <v>55</v>
      </c>
    </row>
    <row r="612" customFormat="false" ht="15" hidden="false" customHeight="false" outlineLevel="0" collapsed="false">
      <c r="A612" s="22" t="n">
        <v>91</v>
      </c>
      <c r="B612" s="23" t="n">
        <v>46104</v>
      </c>
      <c r="C612" s="22" t="s">
        <v>165</v>
      </c>
      <c r="D612" s="24" t="n">
        <v>70</v>
      </c>
    </row>
    <row r="613" customFormat="false" ht="15" hidden="false" customHeight="false" outlineLevel="0" collapsed="false">
      <c r="A613" s="22" t="n">
        <v>92</v>
      </c>
      <c r="B613" s="23" t="n">
        <v>46111</v>
      </c>
      <c r="C613" s="22" t="s">
        <v>165</v>
      </c>
      <c r="D613" s="24" t="n">
        <v>2</v>
      </c>
    </row>
    <row r="614" customFormat="false" ht="15" hidden="false" customHeight="false" outlineLevel="0" collapsed="false">
      <c r="A614" s="22" t="n">
        <v>93</v>
      </c>
      <c r="B614" s="23" t="n">
        <v>46118</v>
      </c>
      <c r="C614" s="22" t="s">
        <v>165</v>
      </c>
      <c r="D614" s="24" t="n">
        <v>53</v>
      </c>
    </row>
    <row r="615" customFormat="false" ht="15" hidden="false" customHeight="false" outlineLevel="0" collapsed="false">
      <c r="A615" s="22" t="n">
        <v>94</v>
      </c>
      <c r="B615" s="23" t="n">
        <v>46125</v>
      </c>
      <c r="C615" s="22" t="s">
        <v>165</v>
      </c>
      <c r="D615" s="24" t="n">
        <v>65</v>
      </c>
    </row>
    <row r="616" customFormat="false" ht="15" hidden="false" customHeight="false" outlineLevel="0" collapsed="false">
      <c r="A616" s="22" t="n">
        <v>95</v>
      </c>
      <c r="B616" s="23" t="n">
        <v>46132</v>
      </c>
      <c r="C616" s="22" t="s">
        <v>165</v>
      </c>
      <c r="D616" s="24" t="n">
        <v>68</v>
      </c>
    </row>
    <row r="617" customFormat="false" ht="15" hidden="false" customHeight="false" outlineLevel="0" collapsed="false">
      <c r="A617" s="22" t="n">
        <v>96</v>
      </c>
      <c r="B617" s="23" t="n">
        <v>46139</v>
      </c>
      <c r="C617" s="22" t="s">
        <v>165</v>
      </c>
      <c r="D617" s="24" t="n">
        <v>88</v>
      </c>
    </row>
    <row r="618" customFormat="false" ht="15" hidden="false" customHeight="false" outlineLevel="0" collapsed="false">
      <c r="A618" s="22" t="n">
        <v>97</v>
      </c>
      <c r="B618" s="23" t="n">
        <v>46146</v>
      </c>
      <c r="C618" s="22" t="s">
        <v>165</v>
      </c>
      <c r="D618" s="24" t="n">
        <v>77</v>
      </c>
    </row>
    <row r="619" customFormat="false" ht="15" hidden="false" customHeight="false" outlineLevel="0" collapsed="false">
      <c r="A619" s="22" t="n">
        <v>98</v>
      </c>
      <c r="B619" s="23" t="n">
        <v>46153</v>
      </c>
      <c r="C619" s="22" t="s">
        <v>165</v>
      </c>
      <c r="D619" s="24" t="n">
        <v>61</v>
      </c>
    </row>
    <row r="620" customFormat="false" ht="15" hidden="false" customHeight="false" outlineLevel="0" collapsed="false">
      <c r="A620" s="22" t="n">
        <v>99</v>
      </c>
      <c r="B620" s="23" t="n">
        <v>46160</v>
      </c>
      <c r="C620" s="22" t="s">
        <v>165</v>
      </c>
      <c r="D620" s="24" t="n">
        <v>61</v>
      </c>
    </row>
    <row r="621" customFormat="false" ht="15" hidden="false" customHeight="false" outlineLevel="0" collapsed="false">
      <c r="A621" s="22" t="n">
        <v>100</v>
      </c>
      <c r="B621" s="23" t="n">
        <v>46167</v>
      </c>
      <c r="C621" s="22" t="s">
        <v>165</v>
      </c>
      <c r="D621" s="24" t="n">
        <v>70</v>
      </c>
    </row>
    <row r="622" customFormat="false" ht="15" hidden="false" customHeight="false" outlineLevel="0" collapsed="false">
      <c r="A622" s="22" t="n">
        <v>101</v>
      </c>
      <c r="B622" s="23" t="n">
        <v>46174</v>
      </c>
      <c r="C622" s="22" t="s">
        <v>165</v>
      </c>
      <c r="D622" s="24" t="n">
        <v>45</v>
      </c>
    </row>
    <row r="623" customFormat="false" ht="15" hidden="false" customHeight="false" outlineLevel="0" collapsed="false">
      <c r="A623" s="22" t="n">
        <v>102</v>
      </c>
      <c r="B623" s="23" t="n">
        <v>46181</v>
      </c>
      <c r="C623" s="22" t="s">
        <v>165</v>
      </c>
      <c r="D623" s="24" t="n">
        <v>54</v>
      </c>
    </row>
    <row r="624" customFormat="false" ht="15" hidden="false" customHeight="false" outlineLevel="0" collapsed="false">
      <c r="A624" s="22" t="n">
        <v>103</v>
      </c>
      <c r="B624" s="23" t="n">
        <v>46188</v>
      </c>
      <c r="C624" s="22" t="s">
        <v>165</v>
      </c>
      <c r="D624" s="24" t="n">
        <v>72</v>
      </c>
    </row>
    <row r="625" customFormat="false" ht="15" hidden="false" customHeight="false" outlineLevel="0" collapsed="false">
      <c r="A625" s="22" t="n">
        <v>104</v>
      </c>
      <c r="B625" s="23" t="n">
        <v>46195</v>
      </c>
      <c r="C625" s="22" t="s">
        <v>165</v>
      </c>
      <c r="D625" s="24" t="n">
        <v>93</v>
      </c>
    </row>
    <row r="626" customFormat="false" ht="15" hidden="false" customHeight="false" outlineLevel="0" collapsed="false">
      <c r="A626" s="22" t="n">
        <v>1</v>
      </c>
      <c r="B626" s="23" t="n">
        <v>45474</v>
      </c>
      <c r="C626" s="22" t="s">
        <v>167</v>
      </c>
      <c r="D626" s="24" t="n">
        <v>8</v>
      </c>
    </row>
    <row r="627" customFormat="false" ht="15" hidden="false" customHeight="false" outlineLevel="0" collapsed="false">
      <c r="A627" s="22" t="n">
        <v>2</v>
      </c>
      <c r="B627" s="23" t="n">
        <v>45481</v>
      </c>
      <c r="C627" s="22" t="s">
        <v>167</v>
      </c>
      <c r="D627" s="24" t="n">
        <v>9</v>
      </c>
    </row>
    <row r="628" customFormat="false" ht="15" hidden="false" customHeight="false" outlineLevel="0" collapsed="false">
      <c r="A628" s="22" t="n">
        <v>3</v>
      </c>
      <c r="B628" s="23" t="n">
        <v>45488</v>
      </c>
      <c r="C628" s="22" t="s">
        <v>167</v>
      </c>
      <c r="D628" s="24" t="n">
        <v>3</v>
      </c>
    </row>
    <row r="629" customFormat="false" ht="15" hidden="false" customHeight="false" outlineLevel="0" collapsed="false">
      <c r="A629" s="22" t="n">
        <v>4</v>
      </c>
      <c r="B629" s="23" t="n">
        <v>45495</v>
      </c>
      <c r="C629" s="22" t="s">
        <v>167</v>
      </c>
      <c r="D629" s="24" t="n">
        <v>6</v>
      </c>
    </row>
    <row r="630" customFormat="false" ht="15" hidden="false" customHeight="false" outlineLevel="0" collapsed="false">
      <c r="A630" s="22" t="n">
        <v>5</v>
      </c>
      <c r="B630" s="23" t="n">
        <v>45502</v>
      </c>
      <c r="C630" s="22" t="s">
        <v>167</v>
      </c>
      <c r="D630" s="24" t="n">
        <v>6</v>
      </c>
    </row>
    <row r="631" customFormat="false" ht="15" hidden="false" customHeight="false" outlineLevel="0" collapsed="false">
      <c r="A631" s="22" t="n">
        <v>6</v>
      </c>
      <c r="B631" s="23" t="n">
        <v>45509</v>
      </c>
      <c r="C631" s="22" t="s">
        <v>167</v>
      </c>
      <c r="D631" s="24" t="n">
        <v>5</v>
      </c>
    </row>
    <row r="632" customFormat="false" ht="15" hidden="false" customHeight="false" outlineLevel="0" collapsed="false">
      <c r="A632" s="22" t="n">
        <v>7</v>
      </c>
      <c r="B632" s="23" t="n">
        <v>45516</v>
      </c>
      <c r="C632" s="22" t="s">
        <v>167</v>
      </c>
      <c r="D632" s="24" t="n">
        <v>7</v>
      </c>
    </row>
    <row r="633" customFormat="false" ht="15" hidden="false" customHeight="false" outlineLevel="0" collapsed="false">
      <c r="A633" s="22" t="n">
        <v>8</v>
      </c>
      <c r="B633" s="23" t="n">
        <v>45523</v>
      </c>
      <c r="C633" s="22" t="s">
        <v>167</v>
      </c>
      <c r="D633" s="24" t="n">
        <v>3</v>
      </c>
    </row>
    <row r="634" customFormat="false" ht="15" hidden="false" customHeight="false" outlineLevel="0" collapsed="false">
      <c r="A634" s="22" t="n">
        <v>9</v>
      </c>
      <c r="B634" s="23" t="n">
        <v>45530</v>
      </c>
      <c r="C634" s="22" t="s">
        <v>167</v>
      </c>
      <c r="D634" s="24" t="n">
        <v>11</v>
      </c>
    </row>
    <row r="635" customFormat="false" ht="15" hidden="false" customHeight="false" outlineLevel="0" collapsed="false">
      <c r="A635" s="22" t="n">
        <v>10</v>
      </c>
      <c r="B635" s="23" t="n">
        <v>45537</v>
      </c>
      <c r="C635" s="22" t="s">
        <v>167</v>
      </c>
      <c r="D635" s="24" t="n">
        <v>7</v>
      </c>
    </row>
    <row r="636" customFormat="false" ht="15" hidden="false" customHeight="false" outlineLevel="0" collapsed="false">
      <c r="A636" s="22" t="n">
        <v>11</v>
      </c>
      <c r="B636" s="23" t="n">
        <v>45544</v>
      </c>
      <c r="C636" s="22" t="s">
        <v>167</v>
      </c>
      <c r="D636" s="24" t="n">
        <v>8</v>
      </c>
    </row>
    <row r="637" customFormat="false" ht="15" hidden="false" customHeight="false" outlineLevel="0" collapsed="false">
      <c r="A637" s="22" t="n">
        <v>12</v>
      </c>
      <c r="B637" s="23" t="n">
        <v>45551</v>
      </c>
      <c r="C637" s="22" t="s">
        <v>167</v>
      </c>
      <c r="D637" s="24" t="n">
        <v>5</v>
      </c>
    </row>
    <row r="638" customFormat="false" ht="15" hidden="false" customHeight="false" outlineLevel="0" collapsed="false">
      <c r="A638" s="22" t="n">
        <v>13</v>
      </c>
      <c r="B638" s="23" t="n">
        <v>45558</v>
      </c>
      <c r="C638" s="22" t="s">
        <v>167</v>
      </c>
      <c r="D638" s="24" t="n">
        <v>5</v>
      </c>
    </row>
    <row r="639" customFormat="false" ht="15" hidden="false" customHeight="false" outlineLevel="0" collapsed="false">
      <c r="A639" s="22" t="n">
        <v>14</v>
      </c>
      <c r="B639" s="23" t="n">
        <v>45565</v>
      </c>
      <c r="C639" s="22" t="s">
        <v>167</v>
      </c>
      <c r="D639" s="24" t="n">
        <v>7</v>
      </c>
    </row>
    <row r="640" customFormat="false" ht="15" hidden="false" customHeight="false" outlineLevel="0" collapsed="false">
      <c r="A640" s="22" t="n">
        <v>15</v>
      </c>
      <c r="B640" s="23" t="n">
        <v>45572</v>
      </c>
      <c r="C640" s="22" t="s">
        <v>167</v>
      </c>
      <c r="D640" s="24" t="n">
        <v>5</v>
      </c>
    </row>
    <row r="641" customFormat="false" ht="15" hidden="false" customHeight="false" outlineLevel="0" collapsed="false">
      <c r="A641" s="22" t="n">
        <v>16</v>
      </c>
      <c r="B641" s="23" t="n">
        <v>45579</v>
      </c>
      <c r="C641" s="22" t="s">
        <v>167</v>
      </c>
      <c r="D641" s="24" t="n">
        <v>6</v>
      </c>
    </row>
    <row r="642" customFormat="false" ht="15" hidden="false" customHeight="false" outlineLevel="0" collapsed="false">
      <c r="A642" s="22" t="n">
        <v>17</v>
      </c>
      <c r="B642" s="23" t="n">
        <v>45586</v>
      </c>
      <c r="C642" s="22" t="s">
        <v>167</v>
      </c>
      <c r="D642" s="24" t="n">
        <v>5</v>
      </c>
    </row>
    <row r="643" customFormat="false" ht="15" hidden="false" customHeight="false" outlineLevel="0" collapsed="false">
      <c r="A643" s="22" t="n">
        <v>18</v>
      </c>
      <c r="B643" s="23" t="n">
        <v>45593</v>
      </c>
      <c r="C643" s="22" t="s">
        <v>167</v>
      </c>
      <c r="D643" s="24" t="n">
        <v>4</v>
      </c>
    </row>
    <row r="644" customFormat="false" ht="15" hidden="false" customHeight="false" outlineLevel="0" collapsed="false">
      <c r="A644" s="22" t="n">
        <v>19</v>
      </c>
      <c r="B644" s="23" t="n">
        <v>45600</v>
      </c>
      <c r="C644" s="22" t="s">
        <v>167</v>
      </c>
      <c r="D644" s="24" t="n">
        <v>8</v>
      </c>
    </row>
    <row r="645" customFormat="false" ht="15" hidden="false" customHeight="false" outlineLevel="0" collapsed="false">
      <c r="A645" s="22" t="n">
        <v>20</v>
      </c>
      <c r="B645" s="23" t="n">
        <v>45607</v>
      </c>
      <c r="C645" s="22" t="s">
        <v>167</v>
      </c>
      <c r="D645" s="24" t="n">
        <v>8</v>
      </c>
    </row>
    <row r="646" customFormat="false" ht="15" hidden="false" customHeight="false" outlineLevel="0" collapsed="false">
      <c r="A646" s="22" t="n">
        <v>21</v>
      </c>
      <c r="B646" s="23" t="n">
        <v>45614</v>
      </c>
      <c r="C646" s="22" t="s">
        <v>167</v>
      </c>
      <c r="D646" s="24" t="n">
        <v>5</v>
      </c>
    </row>
    <row r="647" customFormat="false" ht="15" hidden="false" customHeight="false" outlineLevel="0" collapsed="false">
      <c r="A647" s="22" t="n">
        <v>22</v>
      </c>
      <c r="B647" s="23" t="n">
        <v>45621</v>
      </c>
      <c r="C647" s="22" t="s">
        <v>167</v>
      </c>
      <c r="D647" s="24" t="n">
        <v>9</v>
      </c>
    </row>
    <row r="648" customFormat="false" ht="15" hidden="false" customHeight="false" outlineLevel="0" collapsed="false">
      <c r="A648" s="22" t="n">
        <v>23</v>
      </c>
      <c r="B648" s="23" t="n">
        <v>45628</v>
      </c>
      <c r="C648" s="22" t="s">
        <v>167</v>
      </c>
      <c r="D648" s="24" t="n">
        <v>14</v>
      </c>
    </row>
    <row r="649" customFormat="false" ht="15" hidden="false" customHeight="false" outlineLevel="0" collapsed="false">
      <c r="A649" s="22" t="n">
        <v>24</v>
      </c>
      <c r="B649" s="23" t="n">
        <v>45635</v>
      </c>
      <c r="C649" s="22" t="s">
        <v>167</v>
      </c>
      <c r="D649" s="24" t="n">
        <v>4</v>
      </c>
    </row>
    <row r="650" customFormat="false" ht="15" hidden="false" customHeight="false" outlineLevel="0" collapsed="false">
      <c r="A650" s="22" t="n">
        <v>25</v>
      </c>
      <c r="B650" s="23" t="n">
        <v>45642</v>
      </c>
      <c r="C650" s="22" t="s">
        <v>167</v>
      </c>
      <c r="D650" s="24" t="n">
        <v>8</v>
      </c>
    </row>
    <row r="651" customFormat="false" ht="15" hidden="false" customHeight="false" outlineLevel="0" collapsed="false">
      <c r="A651" s="22" t="n">
        <v>26</v>
      </c>
      <c r="B651" s="23" t="n">
        <v>45649</v>
      </c>
      <c r="C651" s="22" t="s">
        <v>167</v>
      </c>
      <c r="D651" s="24" t="n">
        <v>6</v>
      </c>
    </row>
    <row r="652" customFormat="false" ht="15" hidden="false" customHeight="false" outlineLevel="0" collapsed="false">
      <c r="A652" s="22" t="n">
        <v>27</v>
      </c>
      <c r="B652" s="23" t="n">
        <v>45656</v>
      </c>
      <c r="C652" s="22" t="s">
        <v>167</v>
      </c>
      <c r="D652" s="24" t="n">
        <v>5</v>
      </c>
    </row>
    <row r="653" customFormat="false" ht="15" hidden="false" customHeight="false" outlineLevel="0" collapsed="false">
      <c r="A653" s="22" t="n">
        <v>28</v>
      </c>
      <c r="B653" s="23" t="n">
        <v>45663</v>
      </c>
      <c r="C653" s="22" t="s">
        <v>167</v>
      </c>
      <c r="D653" s="24" t="n">
        <v>7</v>
      </c>
    </row>
    <row r="654" customFormat="false" ht="15" hidden="false" customHeight="false" outlineLevel="0" collapsed="false">
      <c r="A654" s="22" t="n">
        <v>29</v>
      </c>
      <c r="B654" s="23" t="n">
        <v>45670</v>
      </c>
      <c r="C654" s="22" t="s">
        <v>167</v>
      </c>
      <c r="D654" s="24" t="n">
        <v>7</v>
      </c>
    </row>
    <row r="655" customFormat="false" ht="15" hidden="false" customHeight="false" outlineLevel="0" collapsed="false">
      <c r="A655" s="22" t="n">
        <v>30</v>
      </c>
      <c r="B655" s="23" t="n">
        <v>45677</v>
      </c>
      <c r="C655" s="22" t="s">
        <v>167</v>
      </c>
      <c r="D655" s="24" t="n">
        <v>5</v>
      </c>
    </row>
    <row r="656" customFormat="false" ht="15" hidden="false" customHeight="false" outlineLevel="0" collapsed="false">
      <c r="A656" s="22" t="n">
        <v>31</v>
      </c>
      <c r="B656" s="23" t="n">
        <v>45684</v>
      </c>
      <c r="C656" s="22" t="s">
        <v>167</v>
      </c>
      <c r="D656" s="24" t="n">
        <v>3</v>
      </c>
    </row>
    <row r="657" customFormat="false" ht="15" hidden="false" customHeight="false" outlineLevel="0" collapsed="false">
      <c r="A657" s="22" t="n">
        <v>32</v>
      </c>
      <c r="B657" s="23" t="n">
        <v>45691</v>
      </c>
      <c r="C657" s="22" t="s">
        <v>167</v>
      </c>
      <c r="D657" s="24" t="n">
        <v>2</v>
      </c>
    </row>
    <row r="658" customFormat="false" ht="15" hidden="false" customHeight="false" outlineLevel="0" collapsed="false">
      <c r="A658" s="22" t="n">
        <v>33</v>
      </c>
      <c r="B658" s="23" t="n">
        <v>45698</v>
      </c>
      <c r="C658" s="22" t="s">
        <v>167</v>
      </c>
      <c r="D658" s="24" t="n">
        <v>4</v>
      </c>
    </row>
    <row r="659" customFormat="false" ht="15" hidden="false" customHeight="false" outlineLevel="0" collapsed="false">
      <c r="A659" s="22" t="n">
        <v>34</v>
      </c>
      <c r="B659" s="23" t="n">
        <v>45705</v>
      </c>
      <c r="C659" s="22" t="s">
        <v>167</v>
      </c>
      <c r="D659" s="24" t="n">
        <v>6</v>
      </c>
    </row>
    <row r="660" customFormat="false" ht="15" hidden="false" customHeight="false" outlineLevel="0" collapsed="false">
      <c r="A660" s="22" t="n">
        <v>35</v>
      </c>
      <c r="B660" s="23" t="n">
        <v>45712</v>
      </c>
      <c r="C660" s="22" t="s">
        <v>167</v>
      </c>
      <c r="D660" s="24" t="n">
        <v>2</v>
      </c>
    </row>
    <row r="661" customFormat="false" ht="15" hidden="false" customHeight="false" outlineLevel="0" collapsed="false">
      <c r="A661" s="22" t="n">
        <v>36</v>
      </c>
      <c r="B661" s="23" t="n">
        <v>45719</v>
      </c>
      <c r="C661" s="22" t="s">
        <v>167</v>
      </c>
      <c r="D661" s="24" t="n">
        <v>6</v>
      </c>
    </row>
    <row r="662" customFormat="false" ht="15" hidden="false" customHeight="false" outlineLevel="0" collapsed="false">
      <c r="A662" s="22" t="n">
        <v>37</v>
      </c>
      <c r="B662" s="23" t="n">
        <v>45726</v>
      </c>
      <c r="C662" s="22" t="s">
        <v>167</v>
      </c>
      <c r="D662" s="24" t="n">
        <v>10</v>
      </c>
    </row>
    <row r="663" customFormat="false" ht="15" hidden="false" customHeight="false" outlineLevel="0" collapsed="false">
      <c r="A663" s="22" t="n">
        <v>38</v>
      </c>
      <c r="B663" s="23" t="n">
        <v>45733</v>
      </c>
      <c r="C663" s="22" t="s">
        <v>167</v>
      </c>
      <c r="D663" s="24" t="n">
        <v>2</v>
      </c>
    </row>
    <row r="664" customFormat="false" ht="15" hidden="false" customHeight="false" outlineLevel="0" collapsed="false">
      <c r="A664" s="22" t="n">
        <v>39</v>
      </c>
      <c r="B664" s="23" t="n">
        <v>45740</v>
      </c>
      <c r="C664" s="22" t="s">
        <v>167</v>
      </c>
      <c r="D664" s="24" t="n">
        <v>6</v>
      </c>
    </row>
    <row r="665" customFormat="false" ht="15" hidden="false" customHeight="false" outlineLevel="0" collapsed="false">
      <c r="A665" s="22" t="n">
        <v>40</v>
      </c>
      <c r="B665" s="23" t="n">
        <v>45747</v>
      </c>
      <c r="C665" s="22" t="s">
        <v>167</v>
      </c>
      <c r="D665" s="24" t="n">
        <v>7</v>
      </c>
    </row>
    <row r="666" customFormat="false" ht="15" hidden="false" customHeight="false" outlineLevel="0" collapsed="false">
      <c r="A666" s="22" t="n">
        <v>41</v>
      </c>
      <c r="B666" s="23" t="n">
        <v>45754</v>
      </c>
      <c r="C666" s="22" t="s">
        <v>167</v>
      </c>
      <c r="D666" s="24" t="n">
        <v>10</v>
      </c>
    </row>
    <row r="667" customFormat="false" ht="15" hidden="false" customHeight="false" outlineLevel="0" collapsed="false">
      <c r="A667" s="22" t="n">
        <v>42</v>
      </c>
      <c r="B667" s="23" t="n">
        <v>45761</v>
      </c>
      <c r="C667" s="22" t="s">
        <v>167</v>
      </c>
      <c r="D667" s="24" t="n">
        <v>4</v>
      </c>
    </row>
    <row r="668" customFormat="false" ht="15" hidden="false" customHeight="false" outlineLevel="0" collapsed="false">
      <c r="A668" s="22" t="n">
        <v>43</v>
      </c>
      <c r="B668" s="23" t="n">
        <v>45768</v>
      </c>
      <c r="C668" s="22" t="s">
        <v>167</v>
      </c>
      <c r="D668" s="24" t="n">
        <v>8</v>
      </c>
    </row>
    <row r="669" customFormat="false" ht="15" hidden="false" customHeight="false" outlineLevel="0" collapsed="false">
      <c r="A669" s="22" t="n">
        <v>44</v>
      </c>
      <c r="B669" s="23" t="n">
        <v>45775</v>
      </c>
      <c r="C669" s="22" t="s">
        <v>167</v>
      </c>
      <c r="D669" s="24" t="n">
        <v>5</v>
      </c>
    </row>
    <row r="670" customFormat="false" ht="15" hidden="false" customHeight="false" outlineLevel="0" collapsed="false">
      <c r="A670" s="22" t="n">
        <v>45</v>
      </c>
      <c r="B670" s="23" t="n">
        <v>45782</v>
      </c>
      <c r="C670" s="22" t="s">
        <v>167</v>
      </c>
      <c r="D670" s="24" t="n">
        <v>6</v>
      </c>
    </row>
    <row r="671" customFormat="false" ht="15" hidden="false" customHeight="false" outlineLevel="0" collapsed="false">
      <c r="A671" s="22" t="n">
        <v>46</v>
      </c>
      <c r="B671" s="23" t="n">
        <v>45789</v>
      </c>
      <c r="C671" s="22" t="s">
        <v>167</v>
      </c>
      <c r="D671" s="24" t="n">
        <v>2</v>
      </c>
    </row>
    <row r="672" customFormat="false" ht="15" hidden="false" customHeight="false" outlineLevel="0" collapsed="false">
      <c r="A672" s="22" t="n">
        <v>47</v>
      </c>
      <c r="B672" s="23" t="n">
        <v>45796</v>
      </c>
      <c r="C672" s="22" t="s">
        <v>167</v>
      </c>
      <c r="D672" s="24" t="n">
        <v>9</v>
      </c>
    </row>
    <row r="673" customFormat="false" ht="15" hidden="false" customHeight="false" outlineLevel="0" collapsed="false">
      <c r="A673" s="22" t="n">
        <v>48</v>
      </c>
      <c r="B673" s="23" t="n">
        <v>45803</v>
      </c>
      <c r="C673" s="22" t="s">
        <v>167</v>
      </c>
      <c r="D673" s="24" t="n">
        <v>8</v>
      </c>
    </row>
    <row r="674" customFormat="false" ht="15" hidden="false" customHeight="false" outlineLevel="0" collapsed="false">
      <c r="A674" s="22" t="n">
        <v>49</v>
      </c>
      <c r="B674" s="23" t="n">
        <v>45810</v>
      </c>
      <c r="C674" s="22" t="s">
        <v>167</v>
      </c>
      <c r="D674" s="24" t="n">
        <v>6</v>
      </c>
    </row>
    <row r="675" customFormat="false" ht="15" hidden="false" customHeight="false" outlineLevel="0" collapsed="false">
      <c r="A675" s="22" t="n">
        <v>50</v>
      </c>
      <c r="B675" s="23" t="n">
        <v>45817</v>
      </c>
      <c r="C675" s="22" t="s">
        <v>167</v>
      </c>
      <c r="D675" s="24" t="n">
        <v>11</v>
      </c>
    </row>
    <row r="676" customFormat="false" ht="15" hidden="false" customHeight="false" outlineLevel="0" collapsed="false">
      <c r="A676" s="22" t="n">
        <v>51</v>
      </c>
      <c r="B676" s="23" t="n">
        <v>45824</v>
      </c>
      <c r="C676" s="22" t="s">
        <v>167</v>
      </c>
      <c r="D676" s="24" t="n">
        <v>5</v>
      </c>
    </row>
    <row r="677" customFormat="false" ht="15" hidden="false" customHeight="false" outlineLevel="0" collapsed="false">
      <c r="A677" s="22" t="n">
        <v>52</v>
      </c>
      <c r="B677" s="23" t="n">
        <v>45831</v>
      </c>
      <c r="C677" s="22" t="s">
        <v>167</v>
      </c>
      <c r="D677" s="24" t="n">
        <v>4</v>
      </c>
    </row>
    <row r="678" customFormat="false" ht="15" hidden="false" customHeight="false" outlineLevel="0" collapsed="false">
      <c r="A678" s="22" t="n">
        <v>53</v>
      </c>
      <c r="B678" s="23" t="n">
        <v>45838</v>
      </c>
      <c r="C678" s="22" t="s">
        <v>167</v>
      </c>
      <c r="D678" s="24" t="n">
        <v>5</v>
      </c>
    </row>
    <row r="679" customFormat="false" ht="15" hidden="false" customHeight="false" outlineLevel="0" collapsed="false">
      <c r="A679" s="22" t="n">
        <v>54</v>
      </c>
      <c r="B679" s="23" t="n">
        <v>45845</v>
      </c>
      <c r="C679" s="22" t="s">
        <v>167</v>
      </c>
      <c r="D679" s="24" t="n">
        <v>9</v>
      </c>
    </row>
    <row r="680" customFormat="false" ht="15" hidden="false" customHeight="false" outlineLevel="0" collapsed="false">
      <c r="A680" s="22" t="n">
        <v>55</v>
      </c>
      <c r="B680" s="23" t="n">
        <v>45852</v>
      </c>
      <c r="C680" s="22" t="s">
        <v>167</v>
      </c>
      <c r="D680" s="24" t="n">
        <v>6</v>
      </c>
    </row>
    <row r="681" customFormat="false" ht="15" hidden="false" customHeight="false" outlineLevel="0" collapsed="false">
      <c r="A681" s="22" t="n">
        <v>56</v>
      </c>
      <c r="B681" s="23" t="n">
        <v>45859</v>
      </c>
      <c r="C681" s="22" t="s">
        <v>167</v>
      </c>
      <c r="D681" s="24" t="n">
        <v>3</v>
      </c>
    </row>
    <row r="682" customFormat="false" ht="15" hidden="false" customHeight="false" outlineLevel="0" collapsed="false">
      <c r="A682" s="22" t="n">
        <v>57</v>
      </c>
      <c r="B682" s="23" t="n">
        <v>45866</v>
      </c>
      <c r="C682" s="22" t="s">
        <v>167</v>
      </c>
      <c r="D682" s="24" t="n">
        <v>5</v>
      </c>
    </row>
    <row r="683" customFormat="false" ht="15" hidden="false" customHeight="false" outlineLevel="0" collapsed="false">
      <c r="A683" s="22" t="n">
        <v>58</v>
      </c>
      <c r="B683" s="23" t="n">
        <v>45873</v>
      </c>
      <c r="C683" s="22" t="s">
        <v>167</v>
      </c>
      <c r="D683" s="24" t="n">
        <v>10</v>
      </c>
    </row>
    <row r="684" customFormat="false" ht="15" hidden="false" customHeight="false" outlineLevel="0" collapsed="false">
      <c r="A684" s="22" t="n">
        <v>59</v>
      </c>
      <c r="B684" s="23" t="n">
        <v>45880</v>
      </c>
      <c r="C684" s="22" t="s">
        <v>167</v>
      </c>
      <c r="D684" s="24" t="n">
        <v>10</v>
      </c>
    </row>
    <row r="685" customFormat="false" ht="15" hidden="false" customHeight="false" outlineLevel="0" collapsed="false">
      <c r="A685" s="22" t="n">
        <v>60</v>
      </c>
      <c r="B685" s="23" t="n">
        <v>45887</v>
      </c>
      <c r="C685" s="22" t="s">
        <v>167</v>
      </c>
      <c r="D685" s="24" t="n">
        <v>12</v>
      </c>
    </row>
    <row r="686" customFormat="false" ht="15" hidden="false" customHeight="false" outlineLevel="0" collapsed="false">
      <c r="A686" s="22" t="n">
        <v>61</v>
      </c>
      <c r="B686" s="23" t="n">
        <v>45894</v>
      </c>
      <c r="C686" s="22" t="s">
        <v>167</v>
      </c>
      <c r="D686" s="24" t="n">
        <v>5</v>
      </c>
    </row>
    <row r="687" customFormat="false" ht="15" hidden="false" customHeight="false" outlineLevel="0" collapsed="false">
      <c r="A687" s="22" t="n">
        <v>62</v>
      </c>
      <c r="B687" s="23" t="n">
        <v>45901</v>
      </c>
      <c r="C687" s="22" t="s">
        <v>167</v>
      </c>
      <c r="D687" s="24" t="n">
        <v>8</v>
      </c>
    </row>
    <row r="688" customFormat="false" ht="15" hidden="false" customHeight="false" outlineLevel="0" collapsed="false">
      <c r="A688" s="22" t="n">
        <v>63</v>
      </c>
      <c r="B688" s="23" t="n">
        <v>45908</v>
      </c>
      <c r="C688" s="22" t="s">
        <v>167</v>
      </c>
      <c r="D688" s="24" t="n">
        <v>9</v>
      </c>
    </row>
    <row r="689" customFormat="false" ht="15" hidden="false" customHeight="false" outlineLevel="0" collapsed="false">
      <c r="A689" s="22" t="n">
        <v>64</v>
      </c>
      <c r="B689" s="23" t="n">
        <v>45915</v>
      </c>
      <c r="C689" s="22" t="s">
        <v>167</v>
      </c>
      <c r="D689" s="24" t="n">
        <v>5</v>
      </c>
    </row>
    <row r="690" customFormat="false" ht="15" hidden="false" customHeight="false" outlineLevel="0" collapsed="false">
      <c r="A690" s="22" t="n">
        <v>65</v>
      </c>
      <c r="B690" s="23" t="n">
        <v>45922</v>
      </c>
      <c r="C690" s="22" t="s">
        <v>167</v>
      </c>
      <c r="D690" s="24" t="n">
        <v>8</v>
      </c>
    </row>
    <row r="691" customFormat="false" ht="15" hidden="false" customHeight="false" outlineLevel="0" collapsed="false">
      <c r="A691" s="22" t="n">
        <v>66</v>
      </c>
      <c r="B691" s="23" t="n">
        <v>45929</v>
      </c>
      <c r="C691" s="22" t="s">
        <v>167</v>
      </c>
      <c r="D691" s="24" t="n">
        <v>8</v>
      </c>
    </row>
    <row r="692" customFormat="false" ht="15" hidden="false" customHeight="false" outlineLevel="0" collapsed="false">
      <c r="A692" s="22" t="n">
        <v>67</v>
      </c>
      <c r="B692" s="23" t="n">
        <v>45936</v>
      </c>
      <c r="C692" s="22" t="s">
        <v>167</v>
      </c>
      <c r="D692" s="24" t="n">
        <v>5</v>
      </c>
    </row>
    <row r="693" customFormat="false" ht="15" hidden="false" customHeight="false" outlineLevel="0" collapsed="false">
      <c r="A693" s="22" t="n">
        <v>68</v>
      </c>
      <c r="B693" s="23" t="n">
        <v>45943</v>
      </c>
      <c r="C693" s="22" t="s">
        <v>167</v>
      </c>
      <c r="D693" s="24" t="n">
        <v>8</v>
      </c>
    </row>
    <row r="694" customFormat="false" ht="15" hidden="false" customHeight="false" outlineLevel="0" collapsed="false">
      <c r="A694" s="22" t="n">
        <v>69</v>
      </c>
      <c r="B694" s="23" t="n">
        <v>45950</v>
      </c>
      <c r="C694" s="22" t="s">
        <v>167</v>
      </c>
      <c r="D694" s="24" t="n">
        <v>8</v>
      </c>
    </row>
    <row r="695" customFormat="false" ht="15" hidden="false" customHeight="false" outlineLevel="0" collapsed="false">
      <c r="A695" s="22" t="n">
        <v>70</v>
      </c>
      <c r="B695" s="23" t="n">
        <v>45957</v>
      </c>
      <c r="C695" s="22" t="s">
        <v>167</v>
      </c>
      <c r="D695" s="24" t="n">
        <v>10</v>
      </c>
    </row>
    <row r="696" customFormat="false" ht="15" hidden="false" customHeight="false" outlineLevel="0" collapsed="false">
      <c r="A696" s="22" t="n">
        <v>71</v>
      </c>
      <c r="B696" s="23" t="n">
        <v>45964</v>
      </c>
      <c r="C696" s="22" t="s">
        <v>167</v>
      </c>
      <c r="D696" s="24" t="n">
        <v>6</v>
      </c>
    </row>
    <row r="697" customFormat="false" ht="15" hidden="false" customHeight="false" outlineLevel="0" collapsed="false">
      <c r="A697" s="22" t="n">
        <v>72</v>
      </c>
      <c r="B697" s="23" t="n">
        <v>45971</v>
      </c>
      <c r="C697" s="22" t="s">
        <v>167</v>
      </c>
      <c r="D697" s="24" t="n">
        <v>7</v>
      </c>
    </row>
    <row r="698" customFormat="false" ht="15" hidden="false" customHeight="false" outlineLevel="0" collapsed="false">
      <c r="A698" s="22" t="n">
        <v>73</v>
      </c>
      <c r="B698" s="23" t="n">
        <v>45978</v>
      </c>
      <c r="C698" s="22" t="s">
        <v>167</v>
      </c>
      <c r="D698" s="24" t="n">
        <v>9</v>
      </c>
    </row>
    <row r="699" customFormat="false" ht="15" hidden="false" customHeight="false" outlineLevel="0" collapsed="false">
      <c r="A699" s="22" t="n">
        <v>74</v>
      </c>
      <c r="B699" s="23" t="n">
        <v>45985</v>
      </c>
      <c r="C699" s="22" t="s">
        <v>167</v>
      </c>
      <c r="D699" s="24" t="n">
        <v>7</v>
      </c>
    </row>
    <row r="700" customFormat="false" ht="15" hidden="false" customHeight="false" outlineLevel="0" collapsed="false">
      <c r="A700" s="22" t="n">
        <v>75</v>
      </c>
      <c r="B700" s="23" t="n">
        <v>45992</v>
      </c>
      <c r="C700" s="22" t="s">
        <v>167</v>
      </c>
      <c r="D700" s="24" t="n">
        <v>7</v>
      </c>
    </row>
    <row r="701" customFormat="false" ht="15" hidden="false" customHeight="false" outlineLevel="0" collapsed="false">
      <c r="A701" s="22" t="n">
        <v>76</v>
      </c>
      <c r="B701" s="23" t="n">
        <v>45999</v>
      </c>
      <c r="C701" s="22" t="s">
        <v>167</v>
      </c>
      <c r="D701" s="24" t="n">
        <v>0</v>
      </c>
    </row>
    <row r="702" customFormat="false" ht="15" hidden="false" customHeight="false" outlineLevel="0" collapsed="false">
      <c r="A702" s="22" t="n">
        <v>77</v>
      </c>
      <c r="B702" s="23" t="n">
        <v>46006</v>
      </c>
      <c r="C702" s="22" t="s">
        <v>167</v>
      </c>
      <c r="D702" s="24" t="n">
        <v>11</v>
      </c>
    </row>
    <row r="703" customFormat="false" ht="15" hidden="false" customHeight="false" outlineLevel="0" collapsed="false">
      <c r="A703" s="22" t="n">
        <v>78</v>
      </c>
      <c r="B703" s="23" t="n">
        <v>46013</v>
      </c>
      <c r="C703" s="22" t="s">
        <v>167</v>
      </c>
      <c r="D703" s="24" t="n">
        <v>11</v>
      </c>
    </row>
    <row r="704" customFormat="false" ht="15" hidden="false" customHeight="false" outlineLevel="0" collapsed="false">
      <c r="A704" s="22" t="n">
        <v>79</v>
      </c>
      <c r="B704" s="23" t="n">
        <v>46020</v>
      </c>
      <c r="C704" s="22" t="s">
        <v>167</v>
      </c>
      <c r="D704" s="24" t="n">
        <v>3</v>
      </c>
    </row>
    <row r="705" customFormat="false" ht="15" hidden="false" customHeight="false" outlineLevel="0" collapsed="false">
      <c r="A705" s="22" t="n">
        <v>80</v>
      </c>
      <c r="B705" s="23" t="n">
        <v>46027</v>
      </c>
      <c r="C705" s="22" t="s">
        <v>167</v>
      </c>
      <c r="D705" s="24" t="n">
        <v>6</v>
      </c>
    </row>
    <row r="706" customFormat="false" ht="15" hidden="false" customHeight="false" outlineLevel="0" collapsed="false">
      <c r="A706" s="22" t="n">
        <v>81</v>
      </c>
      <c r="B706" s="23" t="n">
        <v>46034</v>
      </c>
      <c r="C706" s="22" t="s">
        <v>167</v>
      </c>
      <c r="D706" s="24" t="n">
        <v>5</v>
      </c>
    </row>
    <row r="707" customFormat="false" ht="15" hidden="false" customHeight="false" outlineLevel="0" collapsed="false">
      <c r="A707" s="22" t="n">
        <v>82</v>
      </c>
      <c r="B707" s="23" t="n">
        <v>46041</v>
      </c>
      <c r="C707" s="22" t="s">
        <v>167</v>
      </c>
      <c r="D707" s="24" t="n">
        <v>4</v>
      </c>
    </row>
    <row r="708" customFormat="false" ht="15" hidden="false" customHeight="false" outlineLevel="0" collapsed="false">
      <c r="A708" s="22" t="n">
        <v>83</v>
      </c>
      <c r="B708" s="23" t="n">
        <v>46048</v>
      </c>
      <c r="C708" s="22" t="s">
        <v>167</v>
      </c>
      <c r="D708" s="24" t="n">
        <v>8</v>
      </c>
    </row>
    <row r="709" customFormat="false" ht="15" hidden="false" customHeight="false" outlineLevel="0" collapsed="false">
      <c r="A709" s="22" t="n">
        <v>84</v>
      </c>
      <c r="B709" s="23" t="n">
        <v>46055</v>
      </c>
      <c r="C709" s="22" t="s">
        <v>167</v>
      </c>
      <c r="D709" s="24" t="n">
        <v>5</v>
      </c>
    </row>
    <row r="710" customFormat="false" ht="15" hidden="false" customHeight="false" outlineLevel="0" collapsed="false">
      <c r="A710" s="22" t="n">
        <v>85</v>
      </c>
      <c r="B710" s="23" t="n">
        <v>46062</v>
      </c>
      <c r="C710" s="22" t="s">
        <v>167</v>
      </c>
      <c r="D710" s="24" t="n">
        <v>10</v>
      </c>
    </row>
    <row r="711" customFormat="false" ht="15" hidden="false" customHeight="false" outlineLevel="0" collapsed="false">
      <c r="A711" s="22" t="n">
        <v>86</v>
      </c>
      <c r="B711" s="23" t="n">
        <v>46069</v>
      </c>
      <c r="C711" s="22" t="s">
        <v>167</v>
      </c>
      <c r="D711" s="24" t="n">
        <v>7</v>
      </c>
    </row>
    <row r="712" customFormat="false" ht="15" hidden="false" customHeight="false" outlineLevel="0" collapsed="false">
      <c r="A712" s="22" t="n">
        <v>87</v>
      </c>
      <c r="B712" s="23" t="n">
        <v>46076</v>
      </c>
      <c r="C712" s="22" t="s">
        <v>167</v>
      </c>
      <c r="D712" s="24" t="n">
        <v>12</v>
      </c>
    </row>
    <row r="713" customFormat="false" ht="15" hidden="false" customHeight="false" outlineLevel="0" collapsed="false">
      <c r="A713" s="22" t="n">
        <v>88</v>
      </c>
      <c r="B713" s="23" t="n">
        <v>46083</v>
      </c>
      <c r="C713" s="22" t="s">
        <v>167</v>
      </c>
      <c r="D713" s="24" t="n">
        <v>5</v>
      </c>
    </row>
    <row r="714" customFormat="false" ht="15" hidden="false" customHeight="false" outlineLevel="0" collapsed="false">
      <c r="A714" s="22" t="n">
        <v>89</v>
      </c>
      <c r="B714" s="23" t="n">
        <v>46090</v>
      </c>
      <c r="C714" s="22" t="s">
        <v>167</v>
      </c>
      <c r="D714" s="24" t="n">
        <v>9</v>
      </c>
    </row>
    <row r="715" customFormat="false" ht="15" hidden="false" customHeight="false" outlineLevel="0" collapsed="false">
      <c r="A715" s="22" t="n">
        <v>90</v>
      </c>
      <c r="B715" s="23" t="n">
        <v>46097</v>
      </c>
      <c r="C715" s="22" t="s">
        <v>167</v>
      </c>
      <c r="D715" s="24" t="n">
        <v>7</v>
      </c>
    </row>
    <row r="716" customFormat="false" ht="15" hidden="false" customHeight="false" outlineLevel="0" collapsed="false">
      <c r="A716" s="22" t="n">
        <v>91</v>
      </c>
      <c r="B716" s="23" t="n">
        <v>46104</v>
      </c>
      <c r="C716" s="22" t="s">
        <v>167</v>
      </c>
      <c r="D716" s="24" t="n">
        <v>7</v>
      </c>
    </row>
    <row r="717" customFormat="false" ht="15" hidden="false" customHeight="false" outlineLevel="0" collapsed="false">
      <c r="A717" s="22" t="n">
        <v>92</v>
      </c>
      <c r="B717" s="23" t="n">
        <v>46111</v>
      </c>
      <c r="C717" s="22" t="s">
        <v>167</v>
      </c>
      <c r="D717" s="24" t="n">
        <v>11</v>
      </c>
    </row>
    <row r="718" customFormat="false" ht="15" hidden="false" customHeight="false" outlineLevel="0" collapsed="false">
      <c r="A718" s="22" t="n">
        <v>93</v>
      </c>
      <c r="B718" s="23" t="n">
        <v>46118</v>
      </c>
      <c r="C718" s="22" t="s">
        <v>167</v>
      </c>
      <c r="D718" s="24" t="n">
        <v>6</v>
      </c>
    </row>
    <row r="719" customFormat="false" ht="15" hidden="false" customHeight="false" outlineLevel="0" collapsed="false">
      <c r="A719" s="22" t="n">
        <v>94</v>
      </c>
      <c r="B719" s="23" t="n">
        <v>46125</v>
      </c>
      <c r="C719" s="22" t="s">
        <v>167</v>
      </c>
      <c r="D719" s="24" t="n">
        <v>4</v>
      </c>
    </row>
    <row r="720" customFormat="false" ht="15" hidden="false" customHeight="false" outlineLevel="0" collapsed="false">
      <c r="A720" s="22" t="n">
        <v>95</v>
      </c>
      <c r="B720" s="23" t="n">
        <v>46132</v>
      </c>
      <c r="C720" s="22" t="s">
        <v>167</v>
      </c>
      <c r="D720" s="24" t="n">
        <v>7</v>
      </c>
    </row>
    <row r="721" customFormat="false" ht="15" hidden="false" customHeight="false" outlineLevel="0" collapsed="false">
      <c r="A721" s="22" t="n">
        <v>96</v>
      </c>
      <c r="B721" s="23" t="n">
        <v>46139</v>
      </c>
      <c r="C721" s="22" t="s">
        <v>167</v>
      </c>
      <c r="D721" s="24" t="n">
        <v>7</v>
      </c>
    </row>
    <row r="722" customFormat="false" ht="15" hidden="false" customHeight="false" outlineLevel="0" collapsed="false">
      <c r="A722" s="22" t="n">
        <v>97</v>
      </c>
      <c r="B722" s="23" t="n">
        <v>46146</v>
      </c>
      <c r="C722" s="22" t="s">
        <v>167</v>
      </c>
      <c r="D722" s="24" t="n">
        <v>12</v>
      </c>
    </row>
    <row r="723" customFormat="false" ht="15" hidden="false" customHeight="false" outlineLevel="0" collapsed="false">
      <c r="A723" s="22" t="n">
        <v>98</v>
      </c>
      <c r="B723" s="23" t="n">
        <v>46153</v>
      </c>
      <c r="C723" s="22" t="s">
        <v>167</v>
      </c>
      <c r="D723" s="24" t="n">
        <v>5</v>
      </c>
    </row>
    <row r="724" customFormat="false" ht="15" hidden="false" customHeight="false" outlineLevel="0" collapsed="false">
      <c r="A724" s="22" t="n">
        <v>99</v>
      </c>
      <c r="B724" s="23" t="n">
        <v>46160</v>
      </c>
      <c r="C724" s="22" t="s">
        <v>167</v>
      </c>
      <c r="D724" s="24" t="n">
        <v>7</v>
      </c>
    </row>
    <row r="725" customFormat="false" ht="15" hidden="false" customHeight="false" outlineLevel="0" collapsed="false">
      <c r="A725" s="22" t="n">
        <v>100</v>
      </c>
      <c r="B725" s="23" t="n">
        <v>46167</v>
      </c>
      <c r="C725" s="22" t="s">
        <v>167</v>
      </c>
      <c r="D725" s="24" t="n">
        <v>13</v>
      </c>
    </row>
    <row r="726" customFormat="false" ht="15" hidden="false" customHeight="false" outlineLevel="0" collapsed="false">
      <c r="A726" s="22" t="n">
        <v>101</v>
      </c>
      <c r="B726" s="23" t="n">
        <v>46174</v>
      </c>
      <c r="C726" s="22" t="s">
        <v>167</v>
      </c>
      <c r="D726" s="24" t="n">
        <v>7</v>
      </c>
    </row>
    <row r="727" customFormat="false" ht="15" hidden="false" customHeight="false" outlineLevel="0" collapsed="false">
      <c r="A727" s="22" t="n">
        <v>102</v>
      </c>
      <c r="B727" s="23" t="n">
        <v>46181</v>
      </c>
      <c r="C727" s="22" t="s">
        <v>167</v>
      </c>
      <c r="D727" s="24" t="n">
        <v>9</v>
      </c>
    </row>
    <row r="728" customFormat="false" ht="15" hidden="false" customHeight="false" outlineLevel="0" collapsed="false">
      <c r="A728" s="22" t="n">
        <v>103</v>
      </c>
      <c r="B728" s="23" t="n">
        <v>46188</v>
      </c>
      <c r="C728" s="22" t="s">
        <v>167</v>
      </c>
      <c r="D728" s="24" t="n">
        <v>9</v>
      </c>
    </row>
    <row r="729" customFormat="false" ht="15" hidden="false" customHeight="false" outlineLevel="0" collapsed="false">
      <c r="A729" s="22" t="n">
        <v>104</v>
      </c>
      <c r="B729" s="23" t="n">
        <v>46195</v>
      </c>
      <c r="C729" s="22" t="s">
        <v>167</v>
      </c>
      <c r="D729" s="24" t="n">
        <v>9</v>
      </c>
    </row>
    <row r="730" customFormat="false" ht="15" hidden="false" customHeight="false" outlineLevel="0" collapsed="false">
      <c r="A730" s="22" t="n">
        <v>1</v>
      </c>
      <c r="B730" s="23" t="n">
        <v>45474</v>
      </c>
      <c r="C730" s="22" t="s">
        <v>170</v>
      </c>
      <c r="D730" s="24" t="n">
        <v>46</v>
      </c>
    </row>
    <row r="731" customFormat="false" ht="15" hidden="false" customHeight="false" outlineLevel="0" collapsed="false">
      <c r="A731" s="22" t="n">
        <v>2</v>
      </c>
      <c r="B731" s="23" t="n">
        <v>45481</v>
      </c>
      <c r="C731" s="22" t="s">
        <v>170</v>
      </c>
      <c r="D731" s="24" t="n">
        <v>50</v>
      </c>
    </row>
    <row r="732" customFormat="false" ht="15" hidden="false" customHeight="false" outlineLevel="0" collapsed="false">
      <c r="A732" s="22" t="n">
        <v>3</v>
      </c>
      <c r="B732" s="23" t="n">
        <v>45488</v>
      </c>
      <c r="C732" s="22" t="s">
        <v>170</v>
      </c>
      <c r="D732" s="24" t="n">
        <v>42</v>
      </c>
    </row>
    <row r="733" customFormat="false" ht="15" hidden="false" customHeight="false" outlineLevel="0" collapsed="false">
      <c r="A733" s="22" t="n">
        <v>4</v>
      </c>
      <c r="B733" s="23" t="n">
        <v>45495</v>
      </c>
      <c r="C733" s="22" t="s">
        <v>170</v>
      </c>
      <c r="D733" s="24" t="n">
        <v>37</v>
      </c>
    </row>
    <row r="734" customFormat="false" ht="15" hidden="false" customHeight="false" outlineLevel="0" collapsed="false">
      <c r="A734" s="22" t="n">
        <v>5</v>
      </c>
      <c r="B734" s="23" t="n">
        <v>45502</v>
      </c>
      <c r="C734" s="22" t="s">
        <v>170</v>
      </c>
      <c r="D734" s="24" t="n">
        <v>43</v>
      </c>
    </row>
    <row r="735" customFormat="false" ht="15" hidden="false" customHeight="false" outlineLevel="0" collapsed="false">
      <c r="A735" s="22" t="n">
        <v>6</v>
      </c>
      <c r="B735" s="23" t="n">
        <v>45509</v>
      </c>
      <c r="C735" s="22" t="s">
        <v>170</v>
      </c>
      <c r="D735" s="24" t="n">
        <v>39</v>
      </c>
    </row>
    <row r="736" customFormat="false" ht="15" hidden="false" customHeight="false" outlineLevel="0" collapsed="false">
      <c r="A736" s="22" t="n">
        <v>7</v>
      </c>
      <c r="B736" s="23" t="n">
        <v>45516</v>
      </c>
      <c r="C736" s="22" t="s">
        <v>170</v>
      </c>
      <c r="D736" s="24" t="n">
        <v>43</v>
      </c>
    </row>
    <row r="737" customFormat="false" ht="15" hidden="false" customHeight="false" outlineLevel="0" collapsed="false">
      <c r="A737" s="22" t="n">
        <v>8</v>
      </c>
      <c r="B737" s="23" t="n">
        <v>45523</v>
      </c>
      <c r="C737" s="22" t="s">
        <v>170</v>
      </c>
      <c r="D737" s="24" t="n">
        <v>41</v>
      </c>
    </row>
    <row r="738" customFormat="false" ht="15" hidden="false" customHeight="false" outlineLevel="0" collapsed="false">
      <c r="A738" s="22" t="n">
        <v>9</v>
      </c>
      <c r="B738" s="23" t="n">
        <v>45530</v>
      </c>
      <c r="C738" s="22" t="s">
        <v>170</v>
      </c>
      <c r="D738" s="24" t="n">
        <v>41</v>
      </c>
    </row>
    <row r="739" customFormat="false" ht="15" hidden="false" customHeight="false" outlineLevel="0" collapsed="false">
      <c r="A739" s="22" t="n">
        <v>10</v>
      </c>
      <c r="B739" s="23" t="n">
        <v>45537</v>
      </c>
      <c r="C739" s="22" t="s">
        <v>170</v>
      </c>
      <c r="D739" s="24" t="n">
        <v>43</v>
      </c>
    </row>
    <row r="740" customFormat="false" ht="15" hidden="false" customHeight="false" outlineLevel="0" collapsed="false">
      <c r="A740" s="22" t="n">
        <v>11</v>
      </c>
      <c r="B740" s="23" t="n">
        <v>45544</v>
      </c>
      <c r="C740" s="22" t="s">
        <v>170</v>
      </c>
      <c r="D740" s="24" t="n">
        <v>38</v>
      </c>
    </row>
    <row r="741" customFormat="false" ht="15" hidden="false" customHeight="false" outlineLevel="0" collapsed="false">
      <c r="A741" s="22" t="n">
        <v>12</v>
      </c>
      <c r="B741" s="23" t="n">
        <v>45551</v>
      </c>
      <c r="C741" s="22" t="s">
        <v>170</v>
      </c>
      <c r="D741" s="24" t="n">
        <v>38</v>
      </c>
    </row>
    <row r="742" customFormat="false" ht="15" hidden="false" customHeight="false" outlineLevel="0" collapsed="false">
      <c r="A742" s="22" t="n">
        <v>13</v>
      </c>
      <c r="B742" s="23" t="n">
        <v>45558</v>
      </c>
      <c r="C742" s="22" t="s">
        <v>170</v>
      </c>
      <c r="D742" s="24" t="n">
        <v>33</v>
      </c>
    </row>
    <row r="743" customFormat="false" ht="15" hidden="false" customHeight="false" outlineLevel="0" collapsed="false">
      <c r="A743" s="22" t="n">
        <v>14</v>
      </c>
      <c r="B743" s="23" t="n">
        <v>45565</v>
      </c>
      <c r="C743" s="22" t="s">
        <v>170</v>
      </c>
      <c r="D743" s="24" t="n">
        <v>38</v>
      </c>
    </row>
    <row r="744" customFormat="false" ht="15" hidden="false" customHeight="false" outlineLevel="0" collapsed="false">
      <c r="A744" s="22" t="n">
        <v>15</v>
      </c>
      <c r="B744" s="23" t="n">
        <v>45572</v>
      </c>
      <c r="C744" s="22" t="s">
        <v>170</v>
      </c>
      <c r="D744" s="24" t="n">
        <v>34</v>
      </c>
    </row>
    <row r="745" customFormat="false" ht="15" hidden="false" customHeight="false" outlineLevel="0" collapsed="false">
      <c r="A745" s="22" t="n">
        <v>16</v>
      </c>
      <c r="B745" s="23" t="n">
        <v>45579</v>
      </c>
      <c r="C745" s="22" t="s">
        <v>170</v>
      </c>
      <c r="D745" s="24" t="n">
        <v>39</v>
      </c>
    </row>
    <row r="746" customFormat="false" ht="15" hidden="false" customHeight="false" outlineLevel="0" collapsed="false">
      <c r="A746" s="22" t="n">
        <v>17</v>
      </c>
      <c r="B746" s="23" t="n">
        <v>45586</v>
      </c>
      <c r="C746" s="22" t="s">
        <v>170</v>
      </c>
      <c r="D746" s="24" t="n">
        <v>36</v>
      </c>
    </row>
    <row r="747" customFormat="false" ht="15" hidden="false" customHeight="false" outlineLevel="0" collapsed="false">
      <c r="A747" s="22" t="n">
        <v>18</v>
      </c>
      <c r="B747" s="23" t="n">
        <v>45593</v>
      </c>
      <c r="C747" s="22" t="s">
        <v>170</v>
      </c>
      <c r="D747" s="24" t="n">
        <v>40</v>
      </c>
    </row>
    <row r="748" customFormat="false" ht="15" hidden="false" customHeight="false" outlineLevel="0" collapsed="false">
      <c r="A748" s="22" t="n">
        <v>19</v>
      </c>
      <c r="B748" s="23" t="n">
        <v>45600</v>
      </c>
      <c r="C748" s="22" t="s">
        <v>170</v>
      </c>
      <c r="D748" s="24" t="n">
        <v>42</v>
      </c>
    </row>
    <row r="749" customFormat="false" ht="15" hidden="false" customHeight="false" outlineLevel="0" collapsed="false">
      <c r="A749" s="22" t="n">
        <v>20</v>
      </c>
      <c r="B749" s="23" t="n">
        <v>45607</v>
      </c>
      <c r="C749" s="22" t="s">
        <v>170</v>
      </c>
      <c r="D749" s="24" t="n">
        <v>34</v>
      </c>
    </row>
    <row r="750" customFormat="false" ht="15" hidden="false" customHeight="false" outlineLevel="0" collapsed="false">
      <c r="A750" s="22" t="n">
        <v>21</v>
      </c>
      <c r="B750" s="23" t="n">
        <v>45614</v>
      </c>
      <c r="C750" s="22" t="s">
        <v>170</v>
      </c>
      <c r="D750" s="24" t="n">
        <v>37</v>
      </c>
    </row>
    <row r="751" customFormat="false" ht="15" hidden="false" customHeight="false" outlineLevel="0" collapsed="false">
      <c r="A751" s="22" t="n">
        <v>22</v>
      </c>
      <c r="B751" s="23" t="n">
        <v>45621</v>
      </c>
      <c r="C751" s="22" t="s">
        <v>170</v>
      </c>
      <c r="D751" s="24" t="n">
        <v>36</v>
      </c>
    </row>
    <row r="752" customFormat="false" ht="15" hidden="false" customHeight="false" outlineLevel="0" collapsed="false">
      <c r="A752" s="22" t="n">
        <v>23</v>
      </c>
      <c r="B752" s="23" t="n">
        <v>45628</v>
      </c>
      <c r="C752" s="22" t="s">
        <v>170</v>
      </c>
      <c r="D752" s="24" t="n">
        <v>43</v>
      </c>
    </row>
    <row r="753" customFormat="false" ht="15" hidden="false" customHeight="false" outlineLevel="0" collapsed="false">
      <c r="A753" s="22" t="n">
        <v>24</v>
      </c>
      <c r="B753" s="23" t="n">
        <v>45635</v>
      </c>
      <c r="C753" s="22" t="s">
        <v>170</v>
      </c>
      <c r="D753" s="24" t="n">
        <v>47</v>
      </c>
    </row>
    <row r="754" customFormat="false" ht="15" hidden="false" customHeight="false" outlineLevel="0" collapsed="false">
      <c r="A754" s="22" t="n">
        <v>25</v>
      </c>
      <c r="B754" s="23" t="n">
        <v>45642</v>
      </c>
      <c r="C754" s="22" t="s">
        <v>170</v>
      </c>
      <c r="D754" s="24" t="n">
        <v>44</v>
      </c>
    </row>
    <row r="755" customFormat="false" ht="15" hidden="false" customHeight="false" outlineLevel="0" collapsed="false">
      <c r="A755" s="22" t="n">
        <v>26</v>
      </c>
      <c r="B755" s="23" t="n">
        <v>45649</v>
      </c>
      <c r="C755" s="22" t="s">
        <v>170</v>
      </c>
      <c r="D755" s="24" t="n">
        <v>39</v>
      </c>
    </row>
    <row r="756" customFormat="false" ht="15" hidden="false" customHeight="false" outlineLevel="0" collapsed="false">
      <c r="A756" s="22" t="n">
        <v>27</v>
      </c>
      <c r="B756" s="23" t="n">
        <v>45656</v>
      </c>
      <c r="C756" s="22" t="s">
        <v>170</v>
      </c>
      <c r="D756" s="24" t="n">
        <v>46</v>
      </c>
    </row>
    <row r="757" customFormat="false" ht="15" hidden="false" customHeight="false" outlineLevel="0" collapsed="false">
      <c r="A757" s="22" t="n">
        <v>28</v>
      </c>
      <c r="B757" s="23" t="n">
        <v>45663</v>
      </c>
      <c r="C757" s="22" t="s">
        <v>170</v>
      </c>
      <c r="D757" s="24" t="n">
        <v>34</v>
      </c>
    </row>
    <row r="758" customFormat="false" ht="15" hidden="false" customHeight="false" outlineLevel="0" collapsed="false">
      <c r="A758" s="22" t="n">
        <v>29</v>
      </c>
      <c r="B758" s="23" t="n">
        <v>45670</v>
      </c>
      <c r="C758" s="22" t="s">
        <v>170</v>
      </c>
      <c r="D758" s="24" t="n">
        <v>46</v>
      </c>
    </row>
    <row r="759" customFormat="false" ht="15" hidden="false" customHeight="false" outlineLevel="0" collapsed="false">
      <c r="A759" s="22" t="n">
        <v>30</v>
      </c>
      <c r="B759" s="23" t="n">
        <v>45677</v>
      </c>
      <c r="C759" s="22" t="s">
        <v>170</v>
      </c>
      <c r="D759" s="24" t="n">
        <v>37</v>
      </c>
    </row>
    <row r="760" customFormat="false" ht="15" hidden="false" customHeight="false" outlineLevel="0" collapsed="false">
      <c r="A760" s="22" t="n">
        <v>31</v>
      </c>
      <c r="B760" s="23" t="n">
        <v>45684</v>
      </c>
      <c r="C760" s="22" t="s">
        <v>170</v>
      </c>
      <c r="D760" s="24" t="n">
        <v>28</v>
      </c>
    </row>
    <row r="761" customFormat="false" ht="15" hidden="false" customHeight="false" outlineLevel="0" collapsed="false">
      <c r="A761" s="22" t="n">
        <v>32</v>
      </c>
      <c r="B761" s="23" t="n">
        <v>45691</v>
      </c>
      <c r="C761" s="22" t="s">
        <v>170</v>
      </c>
      <c r="D761" s="24" t="n">
        <v>51</v>
      </c>
    </row>
    <row r="762" customFormat="false" ht="15" hidden="false" customHeight="false" outlineLevel="0" collapsed="false">
      <c r="A762" s="22" t="n">
        <v>33</v>
      </c>
      <c r="B762" s="23" t="n">
        <v>45698</v>
      </c>
      <c r="C762" s="22" t="s">
        <v>170</v>
      </c>
      <c r="D762" s="24" t="n">
        <v>47</v>
      </c>
    </row>
    <row r="763" customFormat="false" ht="15" hidden="false" customHeight="false" outlineLevel="0" collapsed="false">
      <c r="A763" s="22" t="n">
        <v>34</v>
      </c>
      <c r="B763" s="23" t="n">
        <v>45705</v>
      </c>
      <c r="C763" s="22" t="s">
        <v>170</v>
      </c>
      <c r="D763" s="24" t="n">
        <v>36</v>
      </c>
    </row>
    <row r="764" customFormat="false" ht="15" hidden="false" customHeight="false" outlineLevel="0" collapsed="false">
      <c r="A764" s="22" t="n">
        <v>35</v>
      </c>
      <c r="B764" s="23" t="n">
        <v>45712</v>
      </c>
      <c r="C764" s="22" t="s">
        <v>170</v>
      </c>
      <c r="D764" s="24" t="n">
        <v>41</v>
      </c>
    </row>
    <row r="765" customFormat="false" ht="15" hidden="false" customHeight="false" outlineLevel="0" collapsed="false">
      <c r="A765" s="22" t="n">
        <v>36</v>
      </c>
      <c r="B765" s="23" t="n">
        <v>45719</v>
      </c>
      <c r="C765" s="22" t="s">
        <v>170</v>
      </c>
      <c r="D765" s="24" t="n">
        <v>39</v>
      </c>
    </row>
    <row r="766" customFormat="false" ht="15" hidden="false" customHeight="false" outlineLevel="0" collapsed="false">
      <c r="A766" s="22" t="n">
        <v>37</v>
      </c>
      <c r="B766" s="23" t="n">
        <v>45726</v>
      </c>
      <c r="C766" s="22" t="s">
        <v>170</v>
      </c>
      <c r="D766" s="24" t="n">
        <v>40</v>
      </c>
    </row>
    <row r="767" customFormat="false" ht="15" hidden="false" customHeight="false" outlineLevel="0" collapsed="false">
      <c r="A767" s="22" t="n">
        <v>38</v>
      </c>
      <c r="B767" s="23" t="n">
        <v>45733</v>
      </c>
      <c r="C767" s="22" t="s">
        <v>170</v>
      </c>
      <c r="D767" s="24" t="n">
        <v>34</v>
      </c>
    </row>
    <row r="768" customFormat="false" ht="15" hidden="false" customHeight="false" outlineLevel="0" collapsed="false">
      <c r="A768" s="22" t="n">
        <v>39</v>
      </c>
      <c r="B768" s="23" t="n">
        <v>45740</v>
      </c>
      <c r="C768" s="22" t="s">
        <v>170</v>
      </c>
      <c r="D768" s="24" t="n">
        <v>37</v>
      </c>
    </row>
    <row r="769" customFormat="false" ht="15" hidden="false" customHeight="false" outlineLevel="0" collapsed="false">
      <c r="A769" s="22" t="n">
        <v>40</v>
      </c>
      <c r="B769" s="23" t="n">
        <v>45747</v>
      </c>
      <c r="C769" s="22" t="s">
        <v>170</v>
      </c>
      <c r="D769" s="24" t="n">
        <v>42</v>
      </c>
    </row>
    <row r="770" customFormat="false" ht="15" hidden="false" customHeight="false" outlineLevel="0" collapsed="false">
      <c r="A770" s="22" t="n">
        <v>41</v>
      </c>
      <c r="B770" s="23" t="n">
        <v>45754</v>
      </c>
      <c r="C770" s="22" t="s">
        <v>170</v>
      </c>
      <c r="D770" s="24" t="n">
        <v>41</v>
      </c>
    </row>
    <row r="771" customFormat="false" ht="15" hidden="false" customHeight="false" outlineLevel="0" collapsed="false">
      <c r="A771" s="22" t="n">
        <v>42</v>
      </c>
      <c r="B771" s="23" t="n">
        <v>45761</v>
      </c>
      <c r="C771" s="22" t="s">
        <v>170</v>
      </c>
      <c r="D771" s="24" t="n">
        <v>45</v>
      </c>
    </row>
    <row r="772" customFormat="false" ht="15" hidden="false" customHeight="false" outlineLevel="0" collapsed="false">
      <c r="A772" s="22" t="n">
        <v>43</v>
      </c>
      <c r="B772" s="23" t="n">
        <v>45768</v>
      </c>
      <c r="C772" s="22" t="s">
        <v>170</v>
      </c>
      <c r="D772" s="24" t="n">
        <v>40</v>
      </c>
    </row>
    <row r="773" customFormat="false" ht="15" hidden="false" customHeight="false" outlineLevel="0" collapsed="false">
      <c r="A773" s="22" t="n">
        <v>44</v>
      </c>
      <c r="B773" s="23" t="n">
        <v>45775</v>
      </c>
      <c r="C773" s="22" t="s">
        <v>170</v>
      </c>
      <c r="D773" s="24" t="n">
        <v>50</v>
      </c>
    </row>
    <row r="774" customFormat="false" ht="15" hidden="false" customHeight="false" outlineLevel="0" collapsed="false">
      <c r="A774" s="22" t="n">
        <v>45</v>
      </c>
      <c r="B774" s="23" t="n">
        <v>45782</v>
      </c>
      <c r="C774" s="22" t="s">
        <v>170</v>
      </c>
      <c r="D774" s="24" t="n">
        <v>37</v>
      </c>
    </row>
    <row r="775" customFormat="false" ht="15" hidden="false" customHeight="false" outlineLevel="0" collapsed="false">
      <c r="A775" s="22" t="n">
        <v>46</v>
      </c>
      <c r="B775" s="23" t="n">
        <v>45789</v>
      </c>
      <c r="C775" s="22" t="s">
        <v>170</v>
      </c>
      <c r="D775" s="24" t="n">
        <v>41</v>
      </c>
    </row>
    <row r="776" customFormat="false" ht="15" hidden="false" customHeight="false" outlineLevel="0" collapsed="false">
      <c r="A776" s="22" t="n">
        <v>47</v>
      </c>
      <c r="B776" s="23" t="n">
        <v>45796</v>
      </c>
      <c r="C776" s="22" t="s">
        <v>170</v>
      </c>
      <c r="D776" s="24" t="n">
        <v>32</v>
      </c>
    </row>
    <row r="777" customFormat="false" ht="15" hidden="false" customHeight="false" outlineLevel="0" collapsed="false">
      <c r="A777" s="22" t="n">
        <v>48</v>
      </c>
      <c r="B777" s="23" t="n">
        <v>45803</v>
      </c>
      <c r="C777" s="22" t="s">
        <v>170</v>
      </c>
      <c r="D777" s="24" t="n">
        <v>35</v>
      </c>
    </row>
    <row r="778" customFormat="false" ht="15" hidden="false" customHeight="false" outlineLevel="0" collapsed="false">
      <c r="A778" s="22" t="n">
        <v>49</v>
      </c>
      <c r="B778" s="23" t="n">
        <v>45810</v>
      </c>
      <c r="C778" s="22" t="s">
        <v>170</v>
      </c>
      <c r="D778" s="24" t="n">
        <v>46</v>
      </c>
    </row>
    <row r="779" customFormat="false" ht="15" hidden="false" customHeight="false" outlineLevel="0" collapsed="false">
      <c r="A779" s="22" t="n">
        <v>50</v>
      </c>
      <c r="B779" s="23" t="n">
        <v>45817</v>
      </c>
      <c r="C779" s="22" t="s">
        <v>170</v>
      </c>
      <c r="D779" s="24" t="n">
        <v>36</v>
      </c>
    </row>
    <row r="780" customFormat="false" ht="15" hidden="false" customHeight="false" outlineLevel="0" collapsed="false">
      <c r="A780" s="22" t="n">
        <v>51</v>
      </c>
      <c r="B780" s="23" t="n">
        <v>45824</v>
      </c>
      <c r="C780" s="22" t="s">
        <v>170</v>
      </c>
      <c r="D780" s="24" t="n">
        <v>42</v>
      </c>
    </row>
    <row r="781" customFormat="false" ht="15" hidden="false" customHeight="false" outlineLevel="0" collapsed="false">
      <c r="A781" s="22" t="n">
        <v>52</v>
      </c>
      <c r="B781" s="23" t="n">
        <v>45831</v>
      </c>
      <c r="C781" s="22" t="s">
        <v>170</v>
      </c>
      <c r="D781" s="24" t="n">
        <v>40</v>
      </c>
    </row>
    <row r="782" customFormat="false" ht="15" hidden="false" customHeight="false" outlineLevel="0" collapsed="false">
      <c r="A782" s="22" t="n">
        <v>53</v>
      </c>
      <c r="B782" s="23" t="n">
        <v>45838</v>
      </c>
      <c r="C782" s="22" t="s">
        <v>170</v>
      </c>
      <c r="D782" s="24" t="n">
        <v>36</v>
      </c>
    </row>
    <row r="783" customFormat="false" ht="15" hidden="false" customHeight="false" outlineLevel="0" collapsed="false">
      <c r="A783" s="22" t="n">
        <v>54</v>
      </c>
      <c r="B783" s="23" t="n">
        <v>45845</v>
      </c>
      <c r="C783" s="22" t="s">
        <v>170</v>
      </c>
      <c r="D783" s="24" t="n">
        <v>39</v>
      </c>
    </row>
    <row r="784" customFormat="false" ht="15" hidden="false" customHeight="false" outlineLevel="0" collapsed="false">
      <c r="A784" s="22" t="n">
        <v>55</v>
      </c>
      <c r="B784" s="23" t="n">
        <v>45852</v>
      </c>
      <c r="C784" s="22" t="s">
        <v>170</v>
      </c>
      <c r="D784" s="24" t="n">
        <v>38</v>
      </c>
    </row>
    <row r="785" customFormat="false" ht="15" hidden="false" customHeight="false" outlineLevel="0" collapsed="false">
      <c r="A785" s="22" t="n">
        <v>56</v>
      </c>
      <c r="B785" s="23" t="n">
        <v>45859</v>
      </c>
      <c r="C785" s="22" t="s">
        <v>170</v>
      </c>
      <c r="D785" s="24" t="n">
        <v>38</v>
      </c>
    </row>
    <row r="786" customFormat="false" ht="15" hidden="false" customHeight="false" outlineLevel="0" collapsed="false">
      <c r="A786" s="22" t="n">
        <v>57</v>
      </c>
      <c r="B786" s="23" t="n">
        <v>45866</v>
      </c>
      <c r="C786" s="22" t="s">
        <v>170</v>
      </c>
      <c r="D786" s="24" t="n">
        <v>43</v>
      </c>
    </row>
    <row r="787" customFormat="false" ht="15" hidden="false" customHeight="false" outlineLevel="0" collapsed="false">
      <c r="A787" s="22" t="n">
        <v>58</v>
      </c>
      <c r="B787" s="23" t="n">
        <v>45873</v>
      </c>
      <c r="C787" s="22" t="s">
        <v>170</v>
      </c>
      <c r="D787" s="24" t="n">
        <v>43</v>
      </c>
    </row>
    <row r="788" customFormat="false" ht="15" hidden="false" customHeight="false" outlineLevel="0" collapsed="false">
      <c r="A788" s="22" t="n">
        <v>59</v>
      </c>
      <c r="B788" s="23" t="n">
        <v>45880</v>
      </c>
      <c r="C788" s="22" t="s">
        <v>170</v>
      </c>
      <c r="D788" s="24" t="n">
        <v>38</v>
      </c>
    </row>
    <row r="789" customFormat="false" ht="15" hidden="false" customHeight="false" outlineLevel="0" collapsed="false">
      <c r="A789" s="22" t="n">
        <v>60</v>
      </c>
      <c r="B789" s="23" t="n">
        <v>45887</v>
      </c>
      <c r="C789" s="22" t="s">
        <v>170</v>
      </c>
      <c r="D789" s="24" t="n">
        <v>36</v>
      </c>
    </row>
    <row r="790" customFormat="false" ht="15" hidden="false" customHeight="false" outlineLevel="0" collapsed="false">
      <c r="A790" s="22" t="n">
        <v>61</v>
      </c>
      <c r="B790" s="23" t="n">
        <v>45894</v>
      </c>
      <c r="C790" s="22" t="s">
        <v>170</v>
      </c>
      <c r="D790" s="24" t="n">
        <v>41</v>
      </c>
    </row>
    <row r="791" customFormat="false" ht="15" hidden="false" customHeight="false" outlineLevel="0" collapsed="false">
      <c r="A791" s="22" t="n">
        <v>62</v>
      </c>
      <c r="B791" s="23" t="n">
        <v>45901</v>
      </c>
      <c r="C791" s="22" t="s">
        <v>170</v>
      </c>
      <c r="D791" s="24" t="n">
        <v>40</v>
      </c>
    </row>
    <row r="792" customFormat="false" ht="15" hidden="false" customHeight="false" outlineLevel="0" collapsed="false">
      <c r="A792" s="22" t="n">
        <v>63</v>
      </c>
      <c r="B792" s="23" t="n">
        <v>45908</v>
      </c>
      <c r="C792" s="22" t="s">
        <v>170</v>
      </c>
      <c r="D792" s="24" t="n">
        <v>44</v>
      </c>
    </row>
    <row r="793" customFormat="false" ht="15" hidden="false" customHeight="false" outlineLevel="0" collapsed="false">
      <c r="A793" s="22" t="n">
        <v>64</v>
      </c>
      <c r="B793" s="23" t="n">
        <v>45915</v>
      </c>
      <c r="C793" s="22" t="s">
        <v>170</v>
      </c>
      <c r="D793" s="24" t="n">
        <v>51</v>
      </c>
    </row>
    <row r="794" customFormat="false" ht="15" hidden="false" customHeight="false" outlineLevel="0" collapsed="false">
      <c r="A794" s="22" t="n">
        <v>65</v>
      </c>
      <c r="B794" s="23" t="n">
        <v>45922</v>
      </c>
      <c r="C794" s="22" t="s">
        <v>170</v>
      </c>
      <c r="D794" s="24" t="n">
        <v>44</v>
      </c>
    </row>
    <row r="795" customFormat="false" ht="15" hidden="false" customHeight="false" outlineLevel="0" collapsed="false">
      <c r="A795" s="22" t="n">
        <v>66</v>
      </c>
      <c r="B795" s="23" t="n">
        <v>45929</v>
      </c>
      <c r="C795" s="22" t="s">
        <v>170</v>
      </c>
      <c r="D795" s="24" t="n">
        <v>40</v>
      </c>
    </row>
    <row r="796" customFormat="false" ht="15" hidden="false" customHeight="false" outlineLevel="0" collapsed="false">
      <c r="A796" s="22" t="n">
        <v>67</v>
      </c>
      <c r="B796" s="23" t="n">
        <v>45936</v>
      </c>
      <c r="C796" s="22" t="s">
        <v>170</v>
      </c>
      <c r="D796" s="24" t="n">
        <v>39</v>
      </c>
    </row>
    <row r="797" customFormat="false" ht="15" hidden="false" customHeight="false" outlineLevel="0" collapsed="false">
      <c r="A797" s="22" t="n">
        <v>68</v>
      </c>
      <c r="B797" s="23" t="n">
        <v>45943</v>
      </c>
      <c r="C797" s="22" t="s">
        <v>170</v>
      </c>
      <c r="D797" s="24" t="n">
        <v>36</v>
      </c>
    </row>
    <row r="798" customFormat="false" ht="15" hidden="false" customHeight="false" outlineLevel="0" collapsed="false">
      <c r="A798" s="22" t="n">
        <v>69</v>
      </c>
      <c r="B798" s="23" t="n">
        <v>45950</v>
      </c>
      <c r="C798" s="22" t="s">
        <v>170</v>
      </c>
      <c r="D798" s="24" t="n">
        <v>36</v>
      </c>
    </row>
    <row r="799" customFormat="false" ht="15" hidden="false" customHeight="false" outlineLevel="0" collapsed="false">
      <c r="A799" s="22" t="n">
        <v>70</v>
      </c>
      <c r="B799" s="23" t="n">
        <v>45957</v>
      </c>
      <c r="C799" s="22" t="s">
        <v>170</v>
      </c>
      <c r="D799" s="24" t="n">
        <v>36</v>
      </c>
    </row>
    <row r="800" customFormat="false" ht="15" hidden="false" customHeight="false" outlineLevel="0" collapsed="false">
      <c r="A800" s="22" t="n">
        <v>71</v>
      </c>
      <c r="B800" s="23" t="n">
        <v>45964</v>
      </c>
      <c r="C800" s="22" t="s">
        <v>170</v>
      </c>
      <c r="D800" s="24" t="n">
        <v>38</v>
      </c>
    </row>
    <row r="801" customFormat="false" ht="15" hidden="false" customHeight="false" outlineLevel="0" collapsed="false">
      <c r="A801" s="22" t="n">
        <v>72</v>
      </c>
      <c r="B801" s="23" t="n">
        <v>45971</v>
      </c>
      <c r="C801" s="22" t="s">
        <v>170</v>
      </c>
      <c r="D801" s="24" t="n">
        <v>38</v>
      </c>
    </row>
    <row r="802" customFormat="false" ht="15" hidden="false" customHeight="false" outlineLevel="0" collapsed="false">
      <c r="A802" s="22" t="n">
        <v>73</v>
      </c>
      <c r="B802" s="23" t="n">
        <v>45978</v>
      </c>
      <c r="C802" s="22" t="s">
        <v>170</v>
      </c>
      <c r="D802" s="24" t="n">
        <v>43</v>
      </c>
    </row>
    <row r="803" customFormat="false" ht="15" hidden="false" customHeight="false" outlineLevel="0" collapsed="false">
      <c r="A803" s="22" t="n">
        <v>74</v>
      </c>
      <c r="B803" s="23" t="n">
        <v>45985</v>
      </c>
      <c r="C803" s="22" t="s">
        <v>170</v>
      </c>
      <c r="D803" s="24" t="n">
        <v>38</v>
      </c>
    </row>
    <row r="804" customFormat="false" ht="15" hidden="false" customHeight="false" outlineLevel="0" collapsed="false">
      <c r="A804" s="22" t="n">
        <v>75</v>
      </c>
      <c r="B804" s="23" t="n">
        <v>45992</v>
      </c>
      <c r="C804" s="22" t="s">
        <v>170</v>
      </c>
      <c r="D804" s="24" t="n">
        <v>39</v>
      </c>
    </row>
    <row r="805" customFormat="false" ht="15" hidden="false" customHeight="false" outlineLevel="0" collapsed="false">
      <c r="A805" s="22" t="n">
        <v>76</v>
      </c>
      <c r="B805" s="23" t="n">
        <v>45999</v>
      </c>
      <c r="C805" s="22" t="s">
        <v>170</v>
      </c>
      <c r="D805" s="24" t="n">
        <v>35</v>
      </c>
    </row>
    <row r="806" customFormat="false" ht="15" hidden="false" customHeight="false" outlineLevel="0" collapsed="false">
      <c r="A806" s="22" t="n">
        <v>77</v>
      </c>
      <c r="B806" s="23" t="n">
        <v>46006</v>
      </c>
      <c r="C806" s="22" t="s">
        <v>170</v>
      </c>
      <c r="D806" s="24" t="n">
        <v>47</v>
      </c>
    </row>
    <row r="807" customFormat="false" ht="15" hidden="false" customHeight="false" outlineLevel="0" collapsed="false">
      <c r="A807" s="22" t="n">
        <v>78</v>
      </c>
      <c r="B807" s="23" t="n">
        <v>46013</v>
      </c>
      <c r="C807" s="22" t="s">
        <v>170</v>
      </c>
      <c r="D807" s="24" t="n">
        <v>42</v>
      </c>
    </row>
    <row r="808" customFormat="false" ht="15" hidden="false" customHeight="false" outlineLevel="0" collapsed="false">
      <c r="A808" s="22" t="n">
        <v>79</v>
      </c>
      <c r="B808" s="23" t="n">
        <v>46020</v>
      </c>
      <c r="C808" s="22" t="s">
        <v>170</v>
      </c>
      <c r="D808" s="24" t="n">
        <v>48</v>
      </c>
    </row>
    <row r="809" customFormat="false" ht="15" hidden="false" customHeight="false" outlineLevel="0" collapsed="false">
      <c r="A809" s="22" t="n">
        <v>80</v>
      </c>
      <c r="B809" s="23" t="n">
        <v>46027</v>
      </c>
      <c r="C809" s="22" t="s">
        <v>170</v>
      </c>
      <c r="D809" s="24" t="n">
        <v>43</v>
      </c>
    </row>
    <row r="810" customFormat="false" ht="15" hidden="false" customHeight="false" outlineLevel="0" collapsed="false">
      <c r="A810" s="22" t="n">
        <v>81</v>
      </c>
      <c r="B810" s="23" t="n">
        <v>46034</v>
      </c>
      <c r="C810" s="22" t="s">
        <v>170</v>
      </c>
      <c r="D810" s="24" t="n">
        <v>46</v>
      </c>
    </row>
    <row r="811" customFormat="false" ht="15" hidden="false" customHeight="false" outlineLevel="0" collapsed="false">
      <c r="A811" s="22" t="n">
        <v>82</v>
      </c>
      <c r="B811" s="23" t="n">
        <v>46041</v>
      </c>
      <c r="C811" s="22" t="s">
        <v>170</v>
      </c>
      <c r="D811" s="24" t="n">
        <v>39</v>
      </c>
    </row>
    <row r="812" customFormat="false" ht="15" hidden="false" customHeight="false" outlineLevel="0" collapsed="false">
      <c r="A812" s="22" t="n">
        <v>83</v>
      </c>
      <c r="B812" s="23" t="n">
        <v>46048</v>
      </c>
      <c r="C812" s="22" t="s">
        <v>170</v>
      </c>
      <c r="D812" s="24" t="n">
        <v>43</v>
      </c>
    </row>
    <row r="813" customFormat="false" ht="15" hidden="false" customHeight="false" outlineLevel="0" collapsed="false">
      <c r="A813" s="22" t="n">
        <v>84</v>
      </c>
      <c r="B813" s="23" t="n">
        <v>46055</v>
      </c>
      <c r="C813" s="22" t="s">
        <v>170</v>
      </c>
      <c r="D813" s="24" t="n">
        <v>51</v>
      </c>
    </row>
    <row r="814" customFormat="false" ht="15" hidden="false" customHeight="false" outlineLevel="0" collapsed="false">
      <c r="A814" s="22" t="n">
        <v>85</v>
      </c>
      <c r="B814" s="23" t="n">
        <v>46062</v>
      </c>
      <c r="C814" s="22" t="s">
        <v>170</v>
      </c>
      <c r="D814" s="24" t="n">
        <v>35</v>
      </c>
    </row>
    <row r="815" customFormat="false" ht="15" hidden="false" customHeight="false" outlineLevel="0" collapsed="false">
      <c r="A815" s="22" t="n">
        <v>86</v>
      </c>
      <c r="B815" s="23" t="n">
        <v>46069</v>
      </c>
      <c r="C815" s="22" t="s">
        <v>170</v>
      </c>
      <c r="D815" s="24" t="n">
        <v>45</v>
      </c>
    </row>
    <row r="816" customFormat="false" ht="15" hidden="false" customHeight="false" outlineLevel="0" collapsed="false">
      <c r="A816" s="22" t="n">
        <v>87</v>
      </c>
      <c r="B816" s="23" t="n">
        <v>46076</v>
      </c>
      <c r="C816" s="22" t="s">
        <v>170</v>
      </c>
      <c r="D816" s="24" t="n">
        <v>47</v>
      </c>
    </row>
    <row r="817" customFormat="false" ht="15" hidden="false" customHeight="false" outlineLevel="0" collapsed="false">
      <c r="A817" s="22" t="n">
        <v>88</v>
      </c>
      <c r="B817" s="23" t="n">
        <v>46083</v>
      </c>
      <c r="C817" s="22" t="s">
        <v>170</v>
      </c>
      <c r="D817" s="24" t="n">
        <v>42</v>
      </c>
    </row>
    <row r="818" customFormat="false" ht="15" hidden="false" customHeight="false" outlineLevel="0" collapsed="false">
      <c r="A818" s="22" t="n">
        <v>89</v>
      </c>
      <c r="B818" s="23" t="n">
        <v>46090</v>
      </c>
      <c r="C818" s="22" t="s">
        <v>170</v>
      </c>
      <c r="D818" s="24" t="n">
        <v>43</v>
      </c>
    </row>
    <row r="819" customFormat="false" ht="15" hidden="false" customHeight="false" outlineLevel="0" collapsed="false">
      <c r="A819" s="22" t="n">
        <v>90</v>
      </c>
      <c r="B819" s="23" t="n">
        <v>46097</v>
      </c>
      <c r="C819" s="22" t="s">
        <v>170</v>
      </c>
      <c r="D819" s="24" t="n">
        <v>45</v>
      </c>
    </row>
    <row r="820" customFormat="false" ht="15" hidden="false" customHeight="false" outlineLevel="0" collapsed="false">
      <c r="A820" s="22" t="n">
        <v>91</v>
      </c>
      <c r="B820" s="23" t="n">
        <v>46104</v>
      </c>
      <c r="C820" s="22" t="s">
        <v>170</v>
      </c>
      <c r="D820" s="24" t="n">
        <v>37</v>
      </c>
    </row>
    <row r="821" customFormat="false" ht="15" hidden="false" customHeight="false" outlineLevel="0" collapsed="false">
      <c r="A821" s="22" t="n">
        <v>92</v>
      </c>
      <c r="B821" s="23" t="n">
        <v>46111</v>
      </c>
      <c r="C821" s="22" t="s">
        <v>170</v>
      </c>
      <c r="D821" s="24" t="n">
        <v>42</v>
      </c>
    </row>
    <row r="822" customFormat="false" ht="15" hidden="false" customHeight="false" outlineLevel="0" collapsed="false">
      <c r="A822" s="22" t="n">
        <v>93</v>
      </c>
      <c r="B822" s="23" t="n">
        <v>46118</v>
      </c>
      <c r="C822" s="22" t="s">
        <v>170</v>
      </c>
      <c r="D822" s="24" t="n">
        <v>36</v>
      </c>
    </row>
    <row r="823" customFormat="false" ht="15" hidden="false" customHeight="false" outlineLevel="0" collapsed="false">
      <c r="A823" s="22" t="n">
        <v>94</v>
      </c>
      <c r="B823" s="23" t="n">
        <v>46125</v>
      </c>
      <c r="C823" s="22" t="s">
        <v>170</v>
      </c>
      <c r="D823" s="24" t="n">
        <v>37</v>
      </c>
    </row>
    <row r="824" customFormat="false" ht="15" hidden="false" customHeight="false" outlineLevel="0" collapsed="false">
      <c r="A824" s="22" t="n">
        <v>95</v>
      </c>
      <c r="B824" s="23" t="n">
        <v>46132</v>
      </c>
      <c r="C824" s="22" t="s">
        <v>170</v>
      </c>
      <c r="D824" s="24" t="n">
        <v>37</v>
      </c>
    </row>
    <row r="825" customFormat="false" ht="15" hidden="false" customHeight="false" outlineLevel="0" collapsed="false">
      <c r="A825" s="22" t="n">
        <v>96</v>
      </c>
      <c r="B825" s="23" t="n">
        <v>46139</v>
      </c>
      <c r="C825" s="22" t="s">
        <v>170</v>
      </c>
      <c r="D825" s="24" t="n">
        <v>39</v>
      </c>
    </row>
    <row r="826" customFormat="false" ht="15" hidden="false" customHeight="false" outlineLevel="0" collapsed="false">
      <c r="A826" s="22" t="n">
        <v>97</v>
      </c>
      <c r="B826" s="23" t="n">
        <v>46146</v>
      </c>
      <c r="C826" s="22" t="s">
        <v>170</v>
      </c>
      <c r="D826" s="24" t="n">
        <v>41</v>
      </c>
    </row>
    <row r="827" customFormat="false" ht="15" hidden="false" customHeight="false" outlineLevel="0" collapsed="false">
      <c r="A827" s="22" t="n">
        <v>98</v>
      </c>
      <c r="B827" s="23" t="n">
        <v>46153</v>
      </c>
      <c r="C827" s="22" t="s">
        <v>170</v>
      </c>
      <c r="D827" s="24" t="n">
        <v>42</v>
      </c>
    </row>
    <row r="828" customFormat="false" ht="15" hidden="false" customHeight="false" outlineLevel="0" collapsed="false">
      <c r="A828" s="22" t="n">
        <v>99</v>
      </c>
      <c r="B828" s="23" t="n">
        <v>46160</v>
      </c>
      <c r="C828" s="22" t="s">
        <v>170</v>
      </c>
      <c r="D828" s="24" t="n">
        <v>34</v>
      </c>
    </row>
    <row r="829" customFormat="false" ht="15" hidden="false" customHeight="false" outlineLevel="0" collapsed="false">
      <c r="A829" s="22" t="n">
        <v>100</v>
      </c>
      <c r="B829" s="23" t="n">
        <v>46167</v>
      </c>
      <c r="C829" s="22" t="s">
        <v>170</v>
      </c>
      <c r="D829" s="24" t="n">
        <v>49</v>
      </c>
    </row>
    <row r="830" customFormat="false" ht="15" hidden="false" customHeight="false" outlineLevel="0" collapsed="false">
      <c r="A830" s="22" t="n">
        <v>101</v>
      </c>
      <c r="B830" s="23" t="n">
        <v>46174</v>
      </c>
      <c r="C830" s="22" t="s">
        <v>170</v>
      </c>
      <c r="D830" s="24" t="n">
        <v>45</v>
      </c>
    </row>
    <row r="831" customFormat="false" ht="15" hidden="false" customHeight="false" outlineLevel="0" collapsed="false">
      <c r="A831" s="22" t="n">
        <v>102</v>
      </c>
      <c r="B831" s="23" t="n">
        <v>46181</v>
      </c>
      <c r="C831" s="22" t="s">
        <v>170</v>
      </c>
      <c r="D831" s="24" t="n">
        <v>43</v>
      </c>
    </row>
    <row r="832" customFormat="false" ht="15" hidden="false" customHeight="false" outlineLevel="0" collapsed="false">
      <c r="A832" s="22" t="n">
        <v>103</v>
      </c>
      <c r="B832" s="23" t="n">
        <v>46188</v>
      </c>
      <c r="C832" s="22" t="s">
        <v>170</v>
      </c>
      <c r="D832" s="24" t="n">
        <v>38</v>
      </c>
    </row>
    <row r="833" customFormat="false" ht="15" hidden="false" customHeight="false" outlineLevel="0" collapsed="false">
      <c r="A833" s="22" t="n">
        <v>104</v>
      </c>
      <c r="B833" s="23" t="n">
        <v>46195</v>
      </c>
      <c r="C833" s="22" t="s">
        <v>170</v>
      </c>
      <c r="D833" s="24" t="n">
        <v>40</v>
      </c>
    </row>
    <row r="834" customFormat="false" ht="15" hidden="false" customHeight="false" outlineLevel="0" collapsed="false">
      <c r="A834" s="22" t="n">
        <v>1</v>
      </c>
      <c r="B834" s="23" t="n">
        <v>45474</v>
      </c>
      <c r="C834" s="22" t="s">
        <v>172</v>
      </c>
      <c r="D834" s="24" t="n">
        <v>21</v>
      </c>
    </row>
    <row r="835" customFormat="false" ht="15" hidden="false" customHeight="false" outlineLevel="0" collapsed="false">
      <c r="A835" s="22" t="n">
        <v>2</v>
      </c>
      <c r="B835" s="23" t="n">
        <v>45481</v>
      </c>
      <c r="C835" s="22" t="s">
        <v>172</v>
      </c>
      <c r="D835" s="24" t="n">
        <v>21</v>
      </c>
    </row>
    <row r="836" customFormat="false" ht="15" hidden="false" customHeight="false" outlineLevel="0" collapsed="false">
      <c r="A836" s="22" t="n">
        <v>3</v>
      </c>
      <c r="B836" s="23" t="n">
        <v>45488</v>
      </c>
      <c r="C836" s="22" t="s">
        <v>172</v>
      </c>
      <c r="D836" s="24" t="n">
        <v>15</v>
      </c>
    </row>
    <row r="837" customFormat="false" ht="15" hidden="false" customHeight="false" outlineLevel="0" collapsed="false">
      <c r="A837" s="22" t="n">
        <v>4</v>
      </c>
      <c r="B837" s="23" t="n">
        <v>45495</v>
      </c>
      <c r="C837" s="22" t="s">
        <v>172</v>
      </c>
      <c r="D837" s="24" t="n">
        <v>22</v>
      </c>
    </row>
    <row r="838" customFormat="false" ht="15" hidden="false" customHeight="false" outlineLevel="0" collapsed="false">
      <c r="A838" s="22" t="n">
        <v>5</v>
      </c>
      <c r="B838" s="23" t="n">
        <v>45502</v>
      </c>
      <c r="C838" s="22" t="s">
        <v>172</v>
      </c>
      <c r="D838" s="24" t="n">
        <v>29</v>
      </c>
    </row>
    <row r="839" customFormat="false" ht="15" hidden="false" customHeight="false" outlineLevel="0" collapsed="false">
      <c r="A839" s="22" t="n">
        <v>6</v>
      </c>
      <c r="B839" s="23" t="n">
        <v>45509</v>
      </c>
      <c r="C839" s="22" t="s">
        <v>172</v>
      </c>
      <c r="D839" s="24" t="n">
        <v>15</v>
      </c>
    </row>
    <row r="840" customFormat="false" ht="15" hidden="false" customHeight="false" outlineLevel="0" collapsed="false">
      <c r="A840" s="22" t="n">
        <v>7</v>
      </c>
      <c r="B840" s="23" t="n">
        <v>45516</v>
      </c>
      <c r="C840" s="22" t="s">
        <v>172</v>
      </c>
      <c r="D840" s="24" t="n">
        <v>24</v>
      </c>
    </row>
    <row r="841" customFormat="false" ht="15" hidden="false" customHeight="false" outlineLevel="0" collapsed="false">
      <c r="A841" s="22" t="n">
        <v>8</v>
      </c>
      <c r="B841" s="23" t="n">
        <v>45523</v>
      </c>
      <c r="C841" s="22" t="s">
        <v>172</v>
      </c>
      <c r="D841" s="24" t="n">
        <v>22</v>
      </c>
    </row>
    <row r="842" customFormat="false" ht="15" hidden="false" customHeight="false" outlineLevel="0" collapsed="false">
      <c r="A842" s="22" t="n">
        <v>9</v>
      </c>
      <c r="B842" s="23" t="n">
        <v>45530</v>
      </c>
      <c r="C842" s="22" t="s">
        <v>172</v>
      </c>
      <c r="D842" s="24" t="n">
        <v>21</v>
      </c>
    </row>
    <row r="843" customFormat="false" ht="15" hidden="false" customHeight="false" outlineLevel="0" collapsed="false">
      <c r="A843" s="22" t="n">
        <v>10</v>
      </c>
      <c r="B843" s="23" t="n">
        <v>45537</v>
      </c>
      <c r="C843" s="22" t="s">
        <v>172</v>
      </c>
      <c r="D843" s="24" t="n">
        <v>26</v>
      </c>
    </row>
    <row r="844" customFormat="false" ht="15" hidden="false" customHeight="false" outlineLevel="0" collapsed="false">
      <c r="A844" s="22" t="n">
        <v>11</v>
      </c>
      <c r="B844" s="23" t="n">
        <v>45544</v>
      </c>
      <c r="C844" s="22" t="s">
        <v>172</v>
      </c>
      <c r="D844" s="24" t="n">
        <v>18</v>
      </c>
    </row>
    <row r="845" customFormat="false" ht="15" hidden="false" customHeight="false" outlineLevel="0" collapsed="false">
      <c r="A845" s="22" t="n">
        <v>12</v>
      </c>
      <c r="B845" s="23" t="n">
        <v>45551</v>
      </c>
      <c r="C845" s="22" t="s">
        <v>172</v>
      </c>
      <c r="D845" s="24" t="n">
        <v>22</v>
      </c>
    </row>
    <row r="846" customFormat="false" ht="15" hidden="false" customHeight="false" outlineLevel="0" collapsed="false">
      <c r="A846" s="22" t="n">
        <v>13</v>
      </c>
      <c r="B846" s="23" t="n">
        <v>45558</v>
      </c>
      <c r="C846" s="22" t="s">
        <v>172</v>
      </c>
      <c r="D846" s="24" t="n">
        <v>27</v>
      </c>
    </row>
    <row r="847" customFormat="false" ht="15" hidden="false" customHeight="false" outlineLevel="0" collapsed="false">
      <c r="A847" s="22" t="n">
        <v>14</v>
      </c>
      <c r="B847" s="23" t="n">
        <v>45565</v>
      </c>
      <c r="C847" s="22" t="s">
        <v>172</v>
      </c>
      <c r="D847" s="24" t="n">
        <v>22</v>
      </c>
    </row>
    <row r="848" customFormat="false" ht="15" hidden="false" customHeight="false" outlineLevel="0" collapsed="false">
      <c r="A848" s="22" t="n">
        <v>15</v>
      </c>
      <c r="B848" s="23" t="n">
        <v>45572</v>
      </c>
      <c r="C848" s="22" t="s">
        <v>172</v>
      </c>
      <c r="D848" s="24" t="n">
        <v>21</v>
      </c>
    </row>
    <row r="849" customFormat="false" ht="15" hidden="false" customHeight="false" outlineLevel="0" collapsed="false">
      <c r="A849" s="22" t="n">
        <v>16</v>
      </c>
      <c r="B849" s="23" t="n">
        <v>45579</v>
      </c>
      <c r="C849" s="22" t="s">
        <v>172</v>
      </c>
      <c r="D849" s="24" t="n">
        <v>23</v>
      </c>
    </row>
    <row r="850" customFormat="false" ht="15" hidden="false" customHeight="false" outlineLevel="0" collapsed="false">
      <c r="A850" s="22" t="n">
        <v>17</v>
      </c>
      <c r="B850" s="23" t="n">
        <v>45586</v>
      </c>
      <c r="C850" s="22" t="s">
        <v>172</v>
      </c>
      <c r="D850" s="24" t="n">
        <v>22</v>
      </c>
    </row>
    <row r="851" customFormat="false" ht="15" hidden="false" customHeight="false" outlineLevel="0" collapsed="false">
      <c r="A851" s="22" t="n">
        <v>18</v>
      </c>
      <c r="B851" s="23" t="n">
        <v>45593</v>
      </c>
      <c r="C851" s="22" t="s">
        <v>172</v>
      </c>
      <c r="D851" s="24" t="n">
        <v>28</v>
      </c>
    </row>
    <row r="852" customFormat="false" ht="15" hidden="false" customHeight="false" outlineLevel="0" collapsed="false">
      <c r="A852" s="22" t="n">
        <v>19</v>
      </c>
      <c r="B852" s="23" t="n">
        <v>45600</v>
      </c>
      <c r="C852" s="22" t="s">
        <v>172</v>
      </c>
      <c r="D852" s="24" t="n">
        <v>20</v>
      </c>
    </row>
    <row r="853" customFormat="false" ht="15" hidden="false" customHeight="false" outlineLevel="0" collapsed="false">
      <c r="A853" s="22" t="n">
        <v>20</v>
      </c>
      <c r="B853" s="23" t="n">
        <v>45607</v>
      </c>
      <c r="C853" s="22" t="s">
        <v>172</v>
      </c>
      <c r="D853" s="24" t="n">
        <v>27</v>
      </c>
    </row>
    <row r="854" customFormat="false" ht="15" hidden="false" customHeight="false" outlineLevel="0" collapsed="false">
      <c r="A854" s="22" t="n">
        <v>21</v>
      </c>
      <c r="B854" s="23" t="n">
        <v>45614</v>
      </c>
      <c r="C854" s="22" t="s">
        <v>172</v>
      </c>
      <c r="D854" s="24" t="n">
        <v>20</v>
      </c>
    </row>
    <row r="855" customFormat="false" ht="15" hidden="false" customHeight="false" outlineLevel="0" collapsed="false">
      <c r="A855" s="22" t="n">
        <v>22</v>
      </c>
      <c r="B855" s="23" t="n">
        <v>45621</v>
      </c>
      <c r="C855" s="22" t="s">
        <v>172</v>
      </c>
      <c r="D855" s="24" t="n">
        <v>26</v>
      </c>
    </row>
    <row r="856" customFormat="false" ht="15" hidden="false" customHeight="false" outlineLevel="0" collapsed="false">
      <c r="A856" s="22" t="n">
        <v>23</v>
      </c>
      <c r="B856" s="23" t="n">
        <v>45628</v>
      </c>
      <c r="C856" s="22" t="s">
        <v>172</v>
      </c>
      <c r="D856" s="24" t="n">
        <v>24</v>
      </c>
    </row>
    <row r="857" customFormat="false" ht="15" hidden="false" customHeight="false" outlineLevel="0" collapsed="false">
      <c r="A857" s="22" t="n">
        <v>24</v>
      </c>
      <c r="B857" s="23" t="n">
        <v>45635</v>
      </c>
      <c r="C857" s="22" t="s">
        <v>172</v>
      </c>
      <c r="D857" s="24" t="n">
        <v>15</v>
      </c>
    </row>
    <row r="858" customFormat="false" ht="15" hidden="false" customHeight="false" outlineLevel="0" collapsed="false">
      <c r="A858" s="22" t="n">
        <v>25</v>
      </c>
      <c r="B858" s="23" t="n">
        <v>45642</v>
      </c>
      <c r="C858" s="22" t="s">
        <v>172</v>
      </c>
      <c r="D858" s="24" t="n">
        <v>25</v>
      </c>
    </row>
    <row r="859" customFormat="false" ht="15" hidden="false" customHeight="false" outlineLevel="0" collapsed="false">
      <c r="A859" s="22" t="n">
        <v>26</v>
      </c>
      <c r="B859" s="23" t="n">
        <v>45649</v>
      </c>
      <c r="C859" s="22" t="s">
        <v>172</v>
      </c>
      <c r="D859" s="24" t="n">
        <v>21</v>
      </c>
    </row>
    <row r="860" customFormat="false" ht="15" hidden="false" customHeight="false" outlineLevel="0" collapsed="false">
      <c r="A860" s="22" t="n">
        <v>27</v>
      </c>
      <c r="B860" s="23" t="n">
        <v>45656</v>
      </c>
      <c r="C860" s="22" t="s">
        <v>172</v>
      </c>
      <c r="D860" s="24" t="n">
        <v>24</v>
      </c>
    </row>
    <row r="861" customFormat="false" ht="15" hidden="false" customHeight="false" outlineLevel="0" collapsed="false">
      <c r="A861" s="22" t="n">
        <v>28</v>
      </c>
      <c r="B861" s="23" t="n">
        <v>45663</v>
      </c>
      <c r="C861" s="22" t="s">
        <v>172</v>
      </c>
      <c r="D861" s="24" t="n">
        <v>31</v>
      </c>
    </row>
    <row r="862" customFormat="false" ht="15" hidden="false" customHeight="false" outlineLevel="0" collapsed="false">
      <c r="A862" s="22" t="n">
        <v>29</v>
      </c>
      <c r="B862" s="23" t="n">
        <v>45670</v>
      </c>
      <c r="C862" s="22" t="s">
        <v>172</v>
      </c>
      <c r="D862" s="24" t="n">
        <v>21</v>
      </c>
    </row>
    <row r="863" customFormat="false" ht="15" hidden="false" customHeight="false" outlineLevel="0" collapsed="false">
      <c r="A863" s="22" t="n">
        <v>30</v>
      </c>
      <c r="B863" s="23" t="n">
        <v>45677</v>
      </c>
      <c r="C863" s="22" t="s">
        <v>172</v>
      </c>
      <c r="D863" s="24" t="n">
        <v>22</v>
      </c>
    </row>
    <row r="864" customFormat="false" ht="15" hidden="false" customHeight="false" outlineLevel="0" collapsed="false">
      <c r="A864" s="22" t="n">
        <v>31</v>
      </c>
      <c r="B864" s="23" t="n">
        <v>45684</v>
      </c>
      <c r="C864" s="22" t="s">
        <v>172</v>
      </c>
      <c r="D864" s="24" t="n">
        <v>31</v>
      </c>
    </row>
    <row r="865" customFormat="false" ht="15" hidden="false" customHeight="false" outlineLevel="0" collapsed="false">
      <c r="A865" s="22" t="n">
        <v>32</v>
      </c>
      <c r="B865" s="23" t="n">
        <v>45691</v>
      </c>
      <c r="C865" s="22" t="s">
        <v>172</v>
      </c>
      <c r="D865" s="24" t="n">
        <v>27</v>
      </c>
    </row>
    <row r="866" customFormat="false" ht="15" hidden="false" customHeight="false" outlineLevel="0" collapsed="false">
      <c r="A866" s="22" t="n">
        <v>33</v>
      </c>
      <c r="B866" s="23" t="n">
        <v>45698</v>
      </c>
      <c r="C866" s="22" t="s">
        <v>172</v>
      </c>
      <c r="D866" s="24" t="n">
        <v>32</v>
      </c>
    </row>
    <row r="867" customFormat="false" ht="15" hidden="false" customHeight="false" outlineLevel="0" collapsed="false">
      <c r="A867" s="22" t="n">
        <v>34</v>
      </c>
      <c r="B867" s="23" t="n">
        <v>45705</v>
      </c>
      <c r="C867" s="22" t="s">
        <v>172</v>
      </c>
      <c r="D867" s="24" t="n">
        <v>28</v>
      </c>
    </row>
    <row r="868" customFormat="false" ht="15" hidden="false" customHeight="false" outlineLevel="0" collapsed="false">
      <c r="A868" s="22" t="n">
        <v>35</v>
      </c>
      <c r="B868" s="23" t="n">
        <v>45712</v>
      </c>
      <c r="C868" s="22" t="s">
        <v>172</v>
      </c>
      <c r="D868" s="24" t="n">
        <v>24</v>
      </c>
    </row>
    <row r="869" customFormat="false" ht="15" hidden="false" customHeight="false" outlineLevel="0" collapsed="false">
      <c r="A869" s="22" t="n">
        <v>36</v>
      </c>
      <c r="B869" s="23" t="n">
        <v>45719</v>
      </c>
      <c r="C869" s="22" t="s">
        <v>172</v>
      </c>
      <c r="D869" s="24" t="n">
        <v>27</v>
      </c>
    </row>
    <row r="870" customFormat="false" ht="15" hidden="false" customHeight="false" outlineLevel="0" collapsed="false">
      <c r="A870" s="22" t="n">
        <v>37</v>
      </c>
      <c r="B870" s="23" t="n">
        <v>45726</v>
      </c>
      <c r="C870" s="22" t="s">
        <v>172</v>
      </c>
      <c r="D870" s="24" t="n">
        <v>32</v>
      </c>
    </row>
    <row r="871" customFormat="false" ht="15" hidden="false" customHeight="false" outlineLevel="0" collapsed="false">
      <c r="A871" s="22" t="n">
        <v>38</v>
      </c>
      <c r="B871" s="23" t="n">
        <v>45733</v>
      </c>
      <c r="C871" s="22" t="s">
        <v>172</v>
      </c>
      <c r="D871" s="24" t="n">
        <v>31</v>
      </c>
    </row>
    <row r="872" customFormat="false" ht="15" hidden="false" customHeight="false" outlineLevel="0" collapsed="false">
      <c r="A872" s="22" t="n">
        <v>39</v>
      </c>
      <c r="B872" s="23" t="n">
        <v>45740</v>
      </c>
      <c r="C872" s="22" t="s">
        <v>172</v>
      </c>
      <c r="D872" s="24" t="n">
        <v>28</v>
      </c>
    </row>
    <row r="873" customFormat="false" ht="15" hidden="false" customHeight="false" outlineLevel="0" collapsed="false">
      <c r="A873" s="22" t="n">
        <v>40</v>
      </c>
      <c r="B873" s="23" t="n">
        <v>45747</v>
      </c>
      <c r="C873" s="22" t="s">
        <v>172</v>
      </c>
      <c r="D873" s="24" t="n">
        <v>28</v>
      </c>
    </row>
    <row r="874" customFormat="false" ht="15" hidden="false" customHeight="false" outlineLevel="0" collapsed="false">
      <c r="A874" s="22" t="n">
        <v>41</v>
      </c>
      <c r="B874" s="23" t="n">
        <v>45754</v>
      </c>
      <c r="C874" s="22" t="s">
        <v>172</v>
      </c>
      <c r="D874" s="24" t="n">
        <v>28</v>
      </c>
    </row>
    <row r="875" customFormat="false" ht="15" hidden="false" customHeight="false" outlineLevel="0" collapsed="false">
      <c r="A875" s="22" t="n">
        <v>42</v>
      </c>
      <c r="B875" s="23" t="n">
        <v>45761</v>
      </c>
      <c r="C875" s="22" t="s">
        <v>172</v>
      </c>
      <c r="D875" s="24" t="n">
        <v>26</v>
      </c>
    </row>
    <row r="876" customFormat="false" ht="15" hidden="false" customHeight="false" outlineLevel="0" collapsed="false">
      <c r="A876" s="22" t="n">
        <v>43</v>
      </c>
      <c r="B876" s="23" t="n">
        <v>45768</v>
      </c>
      <c r="C876" s="22" t="s">
        <v>172</v>
      </c>
      <c r="D876" s="24" t="n">
        <v>37</v>
      </c>
    </row>
    <row r="877" customFormat="false" ht="15" hidden="false" customHeight="false" outlineLevel="0" collapsed="false">
      <c r="A877" s="22" t="n">
        <v>44</v>
      </c>
      <c r="B877" s="23" t="n">
        <v>45775</v>
      </c>
      <c r="C877" s="22" t="s">
        <v>172</v>
      </c>
      <c r="D877" s="24" t="n">
        <v>29</v>
      </c>
    </row>
    <row r="878" customFormat="false" ht="15" hidden="false" customHeight="false" outlineLevel="0" collapsed="false">
      <c r="A878" s="22" t="n">
        <v>45</v>
      </c>
      <c r="B878" s="23" t="n">
        <v>45782</v>
      </c>
      <c r="C878" s="22" t="s">
        <v>172</v>
      </c>
      <c r="D878" s="24" t="n">
        <v>24</v>
      </c>
    </row>
    <row r="879" customFormat="false" ht="15" hidden="false" customHeight="false" outlineLevel="0" collapsed="false">
      <c r="A879" s="22" t="n">
        <v>46</v>
      </c>
      <c r="B879" s="23" t="n">
        <v>45789</v>
      </c>
      <c r="C879" s="22" t="s">
        <v>172</v>
      </c>
      <c r="D879" s="24" t="n">
        <v>27</v>
      </c>
    </row>
    <row r="880" customFormat="false" ht="15" hidden="false" customHeight="false" outlineLevel="0" collapsed="false">
      <c r="A880" s="22" t="n">
        <v>47</v>
      </c>
      <c r="B880" s="23" t="n">
        <v>45796</v>
      </c>
      <c r="C880" s="22" t="s">
        <v>172</v>
      </c>
      <c r="D880" s="24" t="n">
        <v>33</v>
      </c>
    </row>
    <row r="881" customFormat="false" ht="15" hidden="false" customHeight="false" outlineLevel="0" collapsed="false">
      <c r="A881" s="22" t="n">
        <v>48</v>
      </c>
      <c r="B881" s="23" t="n">
        <v>45803</v>
      </c>
      <c r="C881" s="22" t="s">
        <v>172</v>
      </c>
      <c r="D881" s="24" t="n">
        <v>33</v>
      </c>
    </row>
    <row r="882" customFormat="false" ht="15" hidden="false" customHeight="false" outlineLevel="0" collapsed="false">
      <c r="A882" s="22" t="n">
        <v>49</v>
      </c>
      <c r="B882" s="23" t="n">
        <v>45810</v>
      </c>
      <c r="C882" s="22" t="s">
        <v>172</v>
      </c>
      <c r="D882" s="24" t="n">
        <v>29</v>
      </c>
    </row>
    <row r="883" customFormat="false" ht="15" hidden="false" customHeight="false" outlineLevel="0" collapsed="false">
      <c r="A883" s="22" t="n">
        <v>50</v>
      </c>
      <c r="B883" s="23" t="n">
        <v>45817</v>
      </c>
      <c r="C883" s="22" t="s">
        <v>172</v>
      </c>
      <c r="D883" s="24" t="n">
        <v>27</v>
      </c>
    </row>
    <row r="884" customFormat="false" ht="15" hidden="false" customHeight="false" outlineLevel="0" collapsed="false">
      <c r="A884" s="22" t="n">
        <v>51</v>
      </c>
      <c r="B884" s="23" t="n">
        <v>45824</v>
      </c>
      <c r="C884" s="22" t="s">
        <v>172</v>
      </c>
      <c r="D884" s="24" t="n">
        <v>31</v>
      </c>
    </row>
    <row r="885" customFormat="false" ht="15" hidden="false" customHeight="false" outlineLevel="0" collapsed="false">
      <c r="A885" s="22" t="n">
        <v>52</v>
      </c>
      <c r="B885" s="23" t="n">
        <v>45831</v>
      </c>
      <c r="C885" s="22" t="s">
        <v>172</v>
      </c>
      <c r="D885" s="24" t="n">
        <v>23</v>
      </c>
    </row>
    <row r="886" customFormat="false" ht="15" hidden="false" customHeight="false" outlineLevel="0" collapsed="false">
      <c r="A886" s="22" t="n">
        <v>53</v>
      </c>
      <c r="B886" s="23" t="n">
        <v>45838</v>
      </c>
      <c r="C886" s="22" t="s">
        <v>172</v>
      </c>
      <c r="D886" s="24" t="n">
        <v>25</v>
      </c>
    </row>
    <row r="887" customFormat="false" ht="15" hidden="false" customHeight="false" outlineLevel="0" collapsed="false">
      <c r="A887" s="22" t="n">
        <v>54</v>
      </c>
      <c r="B887" s="23" t="n">
        <v>45845</v>
      </c>
      <c r="C887" s="22" t="s">
        <v>172</v>
      </c>
      <c r="D887" s="24" t="n">
        <v>35</v>
      </c>
    </row>
    <row r="888" customFormat="false" ht="15" hidden="false" customHeight="false" outlineLevel="0" collapsed="false">
      <c r="A888" s="22" t="n">
        <v>55</v>
      </c>
      <c r="B888" s="23" t="n">
        <v>45852</v>
      </c>
      <c r="C888" s="22" t="s">
        <v>172</v>
      </c>
      <c r="D888" s="24" t="n">
        <v>29</v>
      </c>
    </row>
    <row r="889" customFormat="false" ht="15" hidden="false" customHeight="false" outlineLevel="0" collapsed="false">
      <c r="A889" s="22" t="n">
        <v>56</v>
      </c>
      <c r="B889" s="23" t="n">
        <v>45859</v>
      </c>
      <c r="C889" s="22" t="s">
        <v>172</v>
      </c>
      <c r="D889" s="24" t="n">
        <v>33</v>
      </c>
    </row>
    <row r="890" customFormat="false" ht="15" hidden="false" customHeight="false" outlineLevel="0" collapsed="false">
      <c r="A890" s="22" t="n">
        <v>57</v>
      </c>
      <c r="B890" s="23" t="n">
        <v>45866</v>
      </c>
      <c r="C890" s="22" t="s">
        <v>172</v>
      </c>
      <c r="D890" s="24" t="n">
        <v>37</v>
      </c>
    </row>
    <row r="891" customFormat="false" ht="15" hidden="false" customHeight="false" outlineLevel="0" collapsed="false">
      <c r="A891" s="22" t="n">
        <v>58</v>
      </c>
      <c r="B891" s="23" t="n">
        <v>45873</v>
      </c>
      <c r="C891" s="22" t="s">
        <v>172</v>
      </c>
      <c r="D891" s="24" t="n">
        <v>35</v>
      </c>
    </row>
    <row r="892" customFormat="false" ht="15" hidden="false" customHeight="false" outlineLevel="0" collapsed="false">
      <c r="A892" s="22" t="n">
        <v>59</v>
      </c>
      <c r="B892" s="23" t="n">
        <v>45880</v>
      </c>
      <c r="C892" s="22" t="s">
        <v>172</v>
      </c>
      <c r="D892" s="24" t="n">
        <v>32</v>
      </c>
    </row>
    <row r="893" customFormat="false" ht="15" hidden="false" customHeight="false" outlineLevel="0" collapsed="false">
      <c r="A893" s="22" t="n">
        <v>60</v>
      </c>
      <c r="B893" s="23" t="n">
        <v>45887</v>
      </c>
      <c r="C893" s="22" t="s">
        <v>172</v>
      </c>
      <c r="D893" s="24" t="n">
        <v>42</v>
      </c>
    </row>
    <row r="894" customFormat="false" ht="15" hidden="false" customHeight="false" outlineLevel="0" collapsed="false">
      <c r="A894" s="22" t="n">
        <v>61</v>
      </c>
      <c r="B894" s="23" t="n">
        <v>45894</v>
      </c>
      <c r="C894" s="22" t="s">
        <v>172</v>
      </c>
      <c r="D894" s="24" t="n">
        <v>36</v>
      </c>
    </row>
    <row r="895" customFormat="false" ht="15" hidden="false" customHeight="false" outlineLevel="0" collapsed="false">
      <c r="A895" s="22" t="n">
        <v>62</v>
      </c>
      <c r="B895" s="23" t="n">
        <v>45901</v>
      </c>
      <c r="C895" s="22" t="s">
        <v>172</v>
      </c>
      <c r="D895" s="24" t="n">
        <v>31</v>
      </c>
    </row>
    <row r="896" customFormat="false" ht="15" hidden="false" customHeight="false" outlineLevel="0" collapsed="false">
      <c r="A896" s="22" t="n">
        <v>63</v>
      </c>
      <c r="B896" s="23" t="n">
        <v>45908</v>
      </c>
      <c r="C896" s="22" t="s">
        <v>172</v>
      </c>
      <c r="D896" s="24" t="n">
        <v>37</v>
      </c>
    </row>
    <row r="897" customFormat="false" ht="15" hidden="false" customHeight="false" outlineLevel="0" collapsed="false">
      <c r="A897" s="22" t="n">
        <v>64</v>
      </c>
      <c r="B897" s="23" t="n">
        <v>45915</v>
      </c>
      <c r="C897" s="22" t="s">
        <v>172</v>
      </c>
      <c r="D897" s="24" t="n">
        <v>35</v>
      </c>
    </row>
    <row r="898" customFormat="false" ht="15" hidden="false" customHeight="false" outlineLevel="0" collapsed="false">
      <c r="A898" s="22" t="n">
        <v>65</v>
      </c>
      <c r="B898" s="23" t="n">
        <v>45922</v>
      </c>
      <c r="C898" s="22" t="s">
        <v>172</v>
      </c>
      <c r="D898" s="24" t="n">
        <v>29</v>
      </c>
    </row>
    <row r="899" customFormat="false" ht="15" hidden="false" customHeight="false" outlineLevel="0" collapsed="false">
      <c r="A899" s="22" t="n">
        <v>66</v>
      </c>
      <c r="B899" s="23" t="n">
        <v>45929</v>
      </c>
      <c r="C899" s="22" t="s">
        <v>172</v>
      </c>
      <c r="D899" s="24" t="n">
        <v>34</v>
      </c>
    </row>
    <row r="900" customFormat="false" ht="15" hidden="false" customHeight="false" outlineLevel="0" collapsed="false">
      <c r="A900" s="22" t="n">
        <v>67</v>
      </c>
      <c r="B900" s="23" t="n">
        <v>45936</v>
      </c>
      <c r="C900" s="22" t="s">
        <v>172</v>
      </c>
      <c r="D900" s="24" t="n">
        <v>33</v>
      </c>
    </row>
    <row r="901" customFormat="false" ht="15" hidden="false" customHeight="false" outlineLevel="0" collapsed="false">
      <c r="A901" s="22" t="n">
        <v>68</v>
      </c>
      <c r="B901" s="23" t="n">
        <v>45943</v>
      </c>
      <c r="C901" s="22" t="s">
        <v>172</v>
      </c>
      <c r="D901" s="24" t="n">
        <v>24</v>
      </c>
    </row>
    <row r="902" customFormat="false" ht="15" hidden="false" customHeight="false" outlineLevel="0" collapsed="false">
      <c r="A902" s="22" t="n">
        <v>69</v>
      </c>
      <c r="B902" s="23" t="n">
        <v>45950</v>
      </c>
      <c r="C902" s="22" t="s">
        <v>172</v>
      </c>
      <c r="D902" s="24" t="n">
        <v>34</v>
      </c>
    </row>
    <row r="903" customFormat="false" ht="15" hidden="false" customHeight="false" outlineLevel="0" collapsed="false">
      <c r="A903" s="22" t="n">
        <v>70</v>
      </c>
      <c r="B903" s="23" t="n">
        <v>45957</v>
      </c>
      <c r="C903" s="22" t="s">
        <v>172</v>
      </c>
      <c r="D903" s="24" t="n">
        <v>33</v>
      </c>
    </row>
    <row r="904" customFormat="false" ht="15" hidden="false" customHeight="false" outlineLevel="0" collapsed="false">
      <c r="A904" s="22" t="n">
        <v>71</v>
      </c>
      <c r="B904" s="23" t="n">
        <v>45964</v>
      </c>
      <c r="C904" s="22" t="s">
        <v>172</v>
      </c>
      <c r="D904" s="24" t="n">
        <v>33</v>
      </c>
    </row>
    <row r="905" customFormat="false" ht="15" hidden="false" customHeight="false" outlineLevel="0" collapsed="false">
      <c r="A905" s="22" t="n">
        <v>72</v>
      </c>
      <c r="B905" s="23" t="n">
        <v>45971</v>
      </c>
      <c r="C905" s="22" t="s">
        <v>172</v>
      </c>
      <c r="D905" s="24" t="n">
        <v>27</v>
      </c>
    </row>
    <row r="906" customFormat="false" ht="15" hidden="false" customHeight="false" outlineLevel="0" collapsed="false">
      <c r="A906" s="22" t="n">
        <v>73</v>
      </c>
      <c r="B906" s="23" t="n">
        <v>45978</v>
      </c>
      <c r="C906" s="22" t="s">
        <v>172</v>
      </c>
      <c r="D906" s="24" t="n">
        <v>33</v>
      </c>
    </row>
    <row r="907" customFormat="false" ht="15" hidden="false" customHeight="false" outlineLevel="0" collapsed="false">
      <c r="A907" s="22" t="n">
        <v>74</v>
      </c>
      <c r="B907" s="23" t="n">
        <v>45985</v>
      </c>
      <c r="C907" s="22" t="s">
        <v>172</v>
      </c>
      <c r="D907" s="24" t="n">
        <v>35</v>
      </c>
    </row>
    <row r="908" customFormat="false" ht="15" hidden="false" customHeight="false" outlineLevel="0" collapsed="false">
      <c r="A908" s="22" t="n">
        <v>75</v>
      </c>
      <c r="B908" s="23" t="n">
        <v>45992</v>
      </c>
      <c r="C908" s="22" t="s">
        <v>172</v>
      </c>
      <c r="D908" s="24" t="n">
        <v>36</v>
      </c>
    </row>
    <row r="909" customFormat="false" ht="15" hidden="false" customHeight="false" outlineLevel="0" collapsed="false">
      <c r="A909" s="22" t="n">
        <v>76</v>
      </c>
      <c r="B909" s="23" t="n">
        <v>45999</v>
      </c>
      <c r="C909" s="22" t="s">
        <v>172</v>
      </c>
      <c r="D909" s="24" t="n">
        <v>30</v>
      </c>
    </row>
    <row r="910" customFormat="false" ht="15" hidden="false" customHeight="false" outlineLevel="0" collapsed="false">
      <c r="A910" s="22" t="n">
        <v>77</v>
      </c>
      <c r="B910" s="23" t="n">
        <v>46006</v>
      </c>
      <c r="C910" s="22" t="s">
        <v>172</v>
      </c>
      <c r="D910" s="24" t="n">
        <v>39</v>
      </c>
    </row>
    <row r="911" customFormat="false" ht="15" hidden="false" customHeight="false" outlineLevel="0" collapsed="false">
      <c r="A911" s="22" t="n">
        <v>78</v>
      </c>
      <c r="B911" s="23" t="n">
        <v>46013</v>
      </c>
      <c r="C911" s="22" t="s">
        <v>172</v>
      </c>
      <c r="D911" s="24" t="n">
        <v>30</v>
      </c>
    </row>
    <row r="912" customFormat="false" ht="15" hidden="false" customHeight="false" outlineLevel="0" collapsed="false">
      <c r="A912" s="22" t="n">
        <v>79</v>
      </c>
      <c r="B912" s="23" t="n">
        <v>46020</v>
      </c>
      <c r="C912" s="22" t="s">
        <v>172</v>
      </c>
      <c r="D912" s="24" t="n">
        <v>35</v>
      </c>
    </row>
    <row r="913" customFormat="false" ht="15" hidden="false" customHeight="false" outlineLevel="0" collapsed="false">
      <c r="A913" s="22" t="n">
        <v>80</v>
      </c>
      <c r="B913" s="23" t="n">
        <v>46027</v>
      </c>
      <c r="C913" s="22" t="s">
        <v>172</v>
      </c>
      <c r="D913" s="24" t="n">
        <v>44</v>
      </c>
    </row>
    <row r="914" customFormat="false" ht="15" hidden="false" customHeight="false" outlineLevel="0" collapsed="false">
      <c r="A914" s="22" t="n">
        <v>81</v>
      </c>
      <c r="B914" s="23" t="n">
        <v>46034</v>
      </c>
      <c r="C914" s="22" t="s">
        <v>172</v>
      </c>
      <c r="D914" s="24" t="n">
        <v>33</v>
      </c>
    </row>
    <row r="915" customFormat="false" ht="15" hidden="false" customHeight="false" outlineLevel="0" collapsed="false">
      <c r="A915" s="22" t="n">
        <v>82</v>
      </c>
      <c r="B915" s="23" t="n">
        <v>46041</v>
      </c>
      <c r="C915" s="22" t="s">
        <v>172</v>
      </c>
      <c r="D915" s="24" t="n">
        <v>34</v>
      </c>
    </row>
    <row r="916" customFormat="false" ht="15" hidden="false" customHeight="false" outlineLevel="0" collapsed="false">
      <c r="A916" s="22" t="n">
        <v>83</v>
      </c>
      <c r="B916" s="23" t="n">
        <v>46048</v>
      </c>
      <c r="C916" s="22" t="s">
        <v>172</v>
      </c>
      <c r="D916" s="24" t="n">
        <v>43</v>
      </c>
    </row>
    <row r="917" customFormat="false" ht="15" hidden="false" customHeight="false" outlineLevel="0" collapsed="false">
      <c r="A917" s="22" t="n">
        <v>84</v>
      </c>
      <c r="B917" s="23" t="n">
        <v>46055</v>
      </c>
      <c r="C917" s="22" t="s">
        <v>172</v>
      </c>
      <c r="D917" s="24" t="n">
        <v>36</v>
      </c>
    </row>
    <row r="918" customFormat="false" ht="15" hidden="false" customHeight="false" outlineLevel="0" collapsed="false">
      <c r="A918" s="22" t="n">
        <v>85</v>
      </c>
      <c r="B918" s="23" t="n">
        <v>46062</v>
      </c>
      <c r="C918" s="22" t="s">
        <v>172</v>
      </c>
      <c r="D918" s="24" t="n">
        <v>36</v>
      </c>
    </row>
    <row r="919" customFormat="false" ht="15" hidden="false" customHeight="false" outlineLevel="0" collapsed="false">
      <c r="A919" s="22" t="n">
        <v>86</v>
      </c>
      <c r="B919" s="23" t="n">
        <v>46069</v>
      </c>
      <c r="C919" s="22" t="s">
        <v>172</v>
      </c>
      <c r="D919" s="24" t="n">
        <v>39</v>
      </c>
    </row>
    <row r="920" customFormat="false" ht="15" hidden="false" customHeight="false" outlineLevel="0" collapsed="false">
      <c r="A920" s="22" t="n">
        <v>87</v>
      </c>
      <c r="B920" s="23" t="n">
        <v>46076</v>
      </c>
      <c r="C920" s="22" t="s">
        <v>172</v>
      </c>
      <c r="D920" s="24" t="n">
        <v>44</v>
      </c>
    </row>
    <row r="921" customFormat="false" ht="15" hidden="false" customHeight="false" outlineLevel="0" collapsed="false">
      <c r="A921" s="22" t="n">
        <v>88</v>
      </c>
      <c r="B921" s="23" t="n">
        <v>46083</v>
      </c>
      <c r="C921" s="22" t="s">
        <v>172</v>
      </c>
      <c r="D921" s="24" t="n">
        <v>26</v>
      </c>
    </row>
    <row r="922" customFormat="false" ht="15" hidden="false" customHeight="false" outlineLevel="0" collapsed="false">
      <c r="A922" s="22" t="n">
        <v>89</v>
      </c>
      <c r="B922" s="23" t="n">
        <v>46090</v>
      </c>
      <c r="C922" s="22" t="s">
        <v>172</v>
      </c>
      <c r="D922" s="24" t="n">
        <v>34</v>
      </c>
    </row>
    <row r="923" customFormat="false" ht="15" hidden="false" customHeight="false" outlineLevel="0" collapsed="false">
      <c r="A923" s="22" t="n">
        <v>90</v>
      </c>
      <c r="B923" s="23" t="n">
        <v>46097</v>
      </c>
      <c r="C923" s="22" t="s">
        <v>172</v>
      </c>
      <c r="D923" s="24" t="n">
        <v>33</v>
      </c>
    </row>
    <row r="924" customFormat="false" ht="15" hidden="false" customHeight="false" outlineLevel="0" collapsed="false">
      <c r="A924" s="22" t="n">
        <v>91</v>
      </c>
      <c r="B924" s="23" t="n">
        <v>46104</v>
      </c>
      <c r="C924" s="22" t="s">
        <v>172</v>
      </c>
      <c r="D924" s="24" t="n">
        <v>33</v>
      </c>
    </row>
    <row r="925" customFormat="false" ht="15" hidden="false" customHeight="false" outlineLevel="0" collapsed="false">
      <c r="A925" s="22" t="n">
        <v>92</v>
      </c>
      <c r="B925" s="23" t="n">
        <v>46111</v>
      </c>
      <c r="C925" s="22" t="s">
        <v>172</v>
      </c>
      <c r="D925" s="24" t="n">
        <v>35</v>
      </c>
    </row>
    <row r="926" customFormat="false" ht="15" hidden="false" customHeight="false" outlineLevel="0" collapsed="false">
      <c r="A926" s="22" t="n">
        <v>93</v>
      </c>
      <c r="B926" s="23" t="n">
        <v>46118</v>
      </c>
      <c r="C926" s="22" t="s">
        <v>172</v>
      </c>
      <c r="D926" s="24" t="n">
        <v>35</v>
      </c>
    </row>
    <row r="927" customFormat="false" ht="15" hidden="false" customHeight="false" outlineLevel="0" collapsed="false">
      <c r="A927" s="22" t="n">
        <v>94</v>
      </c>
      <c r="B927" s="23" t="n">
        <v>46125</v>
      </c>
      <c r="C927" s="22" t="s">
        <v>172</v>
      </c>
      <c r="D927" s="24" t="n">
        <v>42</v>
      </c>
    </row>
    <row r="928" customFormat="false" ht="15" hidden="false" customHeight="false" outlineLevel="0" collapsed="false">
      <c r="A928" s="22" t="n">
        <v>95</v>
      </c>
      <c r="B928" s="23" t="n">
        <v>46132</v>
      </c>
      <c r="C928" s="22" t="s">
        <v>172</v>
      </c>
      <c r="D928" s="24" t="n">
        <v>35</v>
      </c>
    </row>
    <row r="929" customFormat="false" ht="15" hidden="false" customHeight="false" outlineLevel="0" collapsed="false">
      <c r="A929" s="22" t="n">
        <v>96</v>
      </c>
      <c r="B929" s="23" t="n">
        <v>46139</v>
      </c>
      <c r="C929" s="22" t="s">
        <v>172</v>
      </c>
      <c r="D929" s="24" t="n">
        <v>41</v>
      </c>
    </row>
    <row r="930" customFormat="false" ht="15" hidden="false" customHeight="false" outlineLevel="0" collapsed="false">
      <c r="A930" s="22" t="n">
        <v>97</v>
      </c>
      <c r="B930" s="23" t="n">
        <v>46146</v>
      </c>
      <c r="C930" s="22" t="s">
        <v>172</v>
      </c>
      <c r="D930" s="24" t="n">
        <v>43</v>
      </c>
    </row>
    <row r="931" customFormat="false" ht="15" hidden="false" customHeight="false" outlineLevel="0" collapsed="false">
      <c r="A931" s="22" t="n">
        <v>98</v>
      </c>
      <c r="B931" s="23" t="n">
        <v>46153</v>
      </c>
      <c r="C931" s="22" t="s">
        <v>172</v>
      </c>
      <c r="D931" s="24" t="n">
        <v>36</v>
      </c>
    </row>
    <row r="932" customFormat="false" ht="15" hidden="false" customHeight="false" outlineLevel="0" collapsed="false">
      <c r="A932" s="22" t="n">
        <v>99</v>
      </c>
      <c r="B932" s="23" t="n">
        <v>46160</v>
      </c>
      <c r="C932" s="22" t="s">
        <v>172</v>
      </c>
      <c r="D932" s="24" t="n">
        <v>42</v>
      </c>
    </row>
    <row r="933" customFormat="false" ht="15" hidden="false" customHeight="false" outlineLevel="0" collapsed="false">
      <c r="A933" s="22" t="n">
        <v>100</v>
      </c>
      <c r="B933" s="23" t="n">
        <v>46167</v>
      </c>
      <c r="C933" s="22" t="s">
        <v>172</v>
      </c>
      <c r="D933" s="24" t="n">
        <v>51</v>
      </c>
    </row>
    <row r="934" customFormat="false" ht="15" hidden="false" customHeight="false" outlineLevel="0" collapsed="false">
      <c r="A934" s="22" t="n">
        <v>101</v>
      </c>
      <c r="B934" s="23" t="n">
        <v>46174</v>
      </c>
      <c r="C934" s="22" t="s">
        <v>172</v>
      </c>
      <c r="D934" s="24" t="n">
        <v>43</v>
      </c>
    </row>
    <row r="935" customFormat="false" ht="15" hidden="false" customHeight="false" outlineLevel="0" collapsed="false">
      <c r="A935" s="22" t="n">
        <v>102</v>
      </c>
      <c r="B935" s="23" t="n">
        <v>46181</v>
      </c>
      <c r="C935" s="22" t="s">
        <v>172</v>
      </c>
      <c r="D935" s="24" t="n">
        <v>38</v>
      </c>
    </row>
    <row r="936" customFormat="false" ht="15" hidden="false" customHeight="false" outlineLevel="0" collapsed="false">
      <c r="A936" s="22" t="n">
        <v>103</v>
      </c>
      <c r="B936" s="23" t="n">
        <v>46188</v>
      </c>
      <c r="C936" s="22" t="s">
        <v>172</v>
      </c>
      <c r="D936" s="24" t="n">
        <v>41</v>
      </c>
    </row>
    <row r="937" customFormat="false" ht="15" hidden="false" customHeight="false" outlineLevel="0" collapsed="false">
      <c r="A937" s="22" t="n">
        <v>104</v>
      </c>
      <c r="B937" s="23" t="n">
        <v>46195</v>
      </c>
      <c r="C937" s="22" t="s">
        <v>172</v>
      </c>
      <c r="D937" s="24" t="n">
        <v>36</v>
      </c>
    </row>
    <row r="938" customFormat="false" ht="15" hidden="false" customHeight="false" outlineLevel="0" collapsed="false">
      <c r="A938" s="22" t="n">
        <v>1</v>
      </c>
      <c r="B938" s="23" t="n">
        <v>45474</v>
      </c>
      <c r="C938" s="22" t="s">
        <v>174</v>
      </c>
      <c r="D938" s="24" t="n">
        <v>109</v>
      </c>
    </row>
    <row r="939" customFormat="false" ht="15" hidden="false" customHeight="false" outlineLevel="0" collapsed="false">
      <c r="A939" s="22" t="n">
        <v>2</v>
      </c>
      <c r="B939" s="23" t="n">
        <v>45481</v>
      </c>
      <c r="C939" s="22" t="s">
        <v>174</v>
      </c>
      <c r="D939" s="24" t="n">
        <v>92</v>
      </c>
    </row>
    <row r="940" customFormat="false" ht="15" hidden="false" customHeight="false" outlineLevel="0" collapsed="false">
      <c r="A940" s="22" t="n">
        <v>3</v>
      </c>
      <c r="B940" s="23" t="n">
        <v>45488</v>
      </c>
      <c r="C940" s="22" t="s">
        <v>174</v>
      </c>
      <c r="D940" s="24" t="n">
        <v>98</v>
      </c>
    </row>
    <row r="941" customFormat="false" ht="15" hidden="false" customHeight="false" outlineLevel="0" collapsed="false">
      <c r="A941" s="22" t="n">
        <v>4</v>
      </c>
      <c r="B941" s="23" t="n">
        <v>45495</v>
      </c>
      <c r="C941" s="22" t="s">
        <v>174</v>
      </c>
      <c r="D941" s="24" t="n">
        <v>111</v>
      </c>
    </row>
    <row r="942" customFormat="false" ht="15" hidden="false" customHeight="false" outlineLevel="0" collapsed="false">
      <c r="A942" s="22" t="n">
        <v>5</v>
      </c>
      <c r="B942" s="23" t="n">
        <v>45502</v>
      </c>
      <c r="C942" s="22" t="s">
        <v>174</v>
      </c>
      <c r="D942" s="24" t="n">
        <v>95</v>
      </c>
    </row>
    <row r="943" customFormat="false" ht="15" hidden="false" customHeight="false" outlineLevel="0" collapsed="false">
      <c r="A943" s="22" t="n">
        <v>6</v>
      </c>
      <c r="B943" s="23" t="n">
        <v>45509</v>
      </c>
      <c r="C943" s="22" t="s">
        <v>174</v>
      </c>
      <c r="D943" s="24" t="n">
        <v>102</v>
      </c>
    </row>
    <row r="944" customFormat="false" ht="15" hidden="false" customHeight="false" outlineLevel="0" collapsed="false">
      <c r="A944" s="22" t="n">
        <v>7</v>
      </c>
      <c r="B944" s="23" t="n">
        <v>45516</v>
      </c>
      <c r="C944" s="22" t="s">
        <v>174</v>
      </c>
      <c r="D944" s="24" t="n">
        <v>89</v>
      </c>
    </row>
    <row r="945" customFormat="false" ht="15" hidden="false" customHeight="false" outlineLevel="0" collapsed="false">
      <c r="A945" s="22" t="n">
        <v>8</v>
      </c>
      <c r="B945" s="23" t="n">
        <v>45523</v>
      </c>
      <c r="C945" s="22" t="s">
        <v>174</v>
      </c>
      <c r="D945" s="24" t="n">
        <v>92</v>
      </c>
    </row>
    <row r="946" customFormat="false" ht="15" hidden="false" customHeight="false" outlineLevel="0" collapsed="false">
      <c r="A946" s="22" t="n">
        <v>9</v>
      </c>
      <c r="B946" s="23" t="n">
        <v>45530</v>
      </c>
      <c r="C946" s="22" t="s">
        <v>174</v>
      </c>
      <c r="D946" s="24" t="n">
        <v>95</v>
      </c>
    </row>
    <row r="947" customFormat="false" ht="15" hidden="false" customHeight="false" outlineLevel="0" collapsed="false">
      <c r="A947" s="22" t="n">
        <v>10</v>
      </c>
      <c r="B947" s="23" t="n">
        <v>45537</v>
      </c>
      <c r="C947" s="22" t="s">
        <v>174</v>
      </c>
      <c r="D947" s="24" t="n">
        <v>122</v>
      </c>
    </row>
    <row r="948" customFormat="false" ht="15" hidden="false" customHeight="false" outlineLevel="0" collapsed="false">
      <c r="A948" s="22" t="n">
        <v>11</v>
      </c>
      <c r="B948" s="23" t="n">
        <v>45544</v>
      </c>
      <c r="C948" s="22" t="s">
        <v>174</v>
      </c>
      <c r="D948" s="24" t="n">
        <v>96</v>
      </c>
    </row>
    <row r="949" customFormat="false" ht="15" hidden="false" customHeight="false" outlineLevel="0" collapsed="false">
      <c r="A949" s="22" t="n">
        <v>12</v>
      </c>
      <c r="B949" s="23" t="n">
        <v>45551</v>
      </c>
      <c r="C949" s="22" t="s">
        <v>174</v>
      </c>
      <c r="D949" s="24" t="n">
        <v>95</v>
      </c>
    </row>
    <row r="950" customFormat="false" ht="15" hidden="false" customHeight="false" outlineLevel="0" collapsed="false">
      <c r="A950" s="22" t="n">
        <v>13</v>
      </c>
      <c r="B950" s="23" t="n">
        <v>45558</v>
      </c>
      <c r="C950" s="22" t="s">
        <v>174</v>
      </c>
      <c r="D950" s="24" t="n">
        <v>94</v>
      </c>
    </row>
    <row r="951" customFormat="false" ht="15" hidden="false" customHeight="false" outlineLevel="0" collapsed="false">
      <c r="A951" s="22" t="n">
        <v>14</v>
      </c>
      <c r="B951" s="23" t="n">
        <v>45565</v>
      </c>
      <c r="C951" s="22" t="s">
        <v>174</v>
      </c>
      <c r="D951" s="24" t="n">
        <v>98</v>
      </c>
    </row>
    <row r="952" customFormat="false" ht="15" hidden="false" customHeight="false" outlineLevel="0" collapsed="false">
      <c r="A952" s="22" t="n">
        <v>15</v>
      </c>
      <c r="B952" s="23" t="n">
        <v>45572</v>
      </c>
      <c r="C952" s="22" t="s">
        <v>174</v>
      </c>
      <c r="D952" s="24" t="n">
        <v>107</v>
      </c>
    </row>
    <row r="953" customFormat="false" ht="15" hidden="false" customHeight="false" outlineLevel="0" collapsed="false">
      <c r="A953" s="22" t="n">
        <v>16</v>
      </c>
      <c r="B953" s="23" t="n">
        <v>45579</v>
      </c>
      <c r="C953" s="22" t="s">
        <v>174</v>
      </c>
      <c r="D953" s="24" t="n">
        <v>102</v>
      </c>
    </row>
    <row r="954" customFormat="false" ht="15" hidden="false" customHeight="false" outlineLevel="0" collapsed="false">
      <c r="A954" s="22" t="n">
        <v>17</v>
      </c>
      <c r="B954" s="23" t="n">
        <v>45586</v>
      </c>
      <c r="C954" s="22" t="s">
        <v>174</v>
      </c>
      <c r="D954" s="24" t="n">
        <v>121</v>
      </c>
    </row>
    <row r="955" customFormat="false" ht="15" hidden="false" customHeight="false" outlineLevel="0" collapsed="false">
      <c r="A955" s="22" t="n">
        <v>18</v>
      </c>
      <c r="B955" s="23" t="n">
        <v>45593</v>
      </c>
      <c r="C955" s="22" t="s">
        <v>174</v>
      </c>
      <c r="D955" s="24" t="n">
        <v>102</v>
      </c>
    </row>
    <row r="956" customFormat="false" ht="15" hidden="false" customHeight="false" outlineLevel="0" collapsed="false">
      <c r="A956" s="22" t="n">
        <v>19</v>
      </c>
      <c r="B956" s="23" t="n">
        <v>45600</v>
      </c>
      <c r="C956" s="22" t="s">
        <v>174</v>
      </c>
      <c r="D956" s="24" t="n">
        <v>115</v>
      </c>
    </row>
    <row r="957" customFormat="false" ht="15" hidden="false" customHeight="false" outlineLevel="0" collapsed="false">
      <c r="A957" s="22" t="n">
        <v>20</v>
      </c>
      <c r="B957" s="23" t="n">
        <v>45607</v>
      </c>
      <c r="C957" s="22" t="s">
        <v>174</v>
      </c>
      <c r="D957" s="24" t="n">
        <v>103</v>
      </c>
    </row>
    <row r="958" customFormat="false" ht="15" hidden="false" customHeight="false" outlineLevel="0" collapsed="false">
      <c r="A958" s="22" t="n">
        <v>21</v>
      </c>
      <c r="B958" s="23" t="n">
        <v>45614</v>
      </c>
      <c r="C958" s="22" t="s">
        <v>174</v>
      </c>
      <c r="D958" s="24" t="n">
        <v>106</v>
      </c>
    </row>
    <row r="959" customFormat="false" ht="15" hidden="false" customHeight="false" outlineLevel="0" collapsed="false">
      <c r="A959" s="22" t="n">
        <v>22</v>
      </c>
      <c r="B959" s="23" t="n">
        <v>45621</v>
      </c>
      <c r="C959" s="22" t="s">
        <v>174</v>
      </c>
      <c r="D959" s="24" t="n">
        <v>85</v>
      </c>
    </row>
    <row r="960" customFormat="false" ht="15" hidden="false" customHeight="false" outlineLevel="0" collapsed="false">
      <c r="A960" s="22" t="n">
        <v>23</v>
      </c>
      <c r="B960" s="23" t="n">
        <v>45628</v>
      </c>
      <c r="C960" s="22" t="s">
        <v>174</v>
      </c>
      <c r="D960" s="24" t="n">
        <v>99</v>
      </c>
    </row>
    <row r="961" customFormat="false" ht="15" hidden="false" customHeight="false" outlineLevel="0" collapsed="false">
      <c r="A961" s="22" t="n">
        <v>24</v>
      </c>
      <c r="B961" s="23" t="n">
        <v>45635</v>
      </c>
      <c r="C961" s="22" t="s">
        <v>174</v>
      </c>
      <c r="D961" s="24" t="n">
        <v>99</v>
      </c>
    </row>
    <row r="962" customFormat="false" ht="15" hidden="false" customHeight="false" outlineLevel="0" collapsed="false">
      <c r="A962" s="22" t="n">
        <v>25</v>
      </c>
      <c r="B962" s="23" t="n">
        <v>45642</v>
      </c>
      <c r="C962" s="22" t="s">
        <v>174</v>
      </c>
      <c r="D962" s="24" t="n">
        <v>98</v>
      </c>
    </row>
    <row r="963" customFormat="false" ht="15" hidden="false" customHeight="false" outlineLevel="0" collapsed="false">
      <c r="A963" s="22" t="n">
        <v>26</v>
      </c>
      <c r="B963" s="23" t="n">
        <v>45649</v>
      </c>
      <c r="C963" s="22" t="s">
        <v>174</v>
      </c>
      <c r="D963" s="24" t="n">
        <v>78</v>
      </c>
    </row>
    <row r="964" customFormat="false" ht="15" hidden="false" customHeight="false" outlineLevel="0" collapsed="false">
      <c r="A964" s="22" t="n">
        <v>27</v>
      </c>
      <c r="B964" s="23" t="n">
        <v>45656</v>
      </c>
      <c r="C964" s="22" t="s">
        <v>174</v>
      </c>
      <c r="D964" s="24" t="n">
        <v>109</v>
      </c>
    </row>
    <row r="965" customFormat="false" ht="15" hidden="false" customHeight="false" outlineLevel="0" collapsed="false">
      <c r="A965" s="22" t="n">
        <v>28</v>
      </c>
      <c r="B965" s="23" t="n">
        <v>45663</v>
      </c>
      <c r="C965" s="22" t="s">
        <v>174</v>
      </c>
      <c r="D965" s="24" t="n">
        <v>96</v>
      </c>
    </row>
    <row r="966" customFormat="false" ht="15" hidden="false" customHeight="false" outlineLevel="0" collapsed="false">
      <c r="A966" s="22" t="n">
        <v>29</v>
      </c>
      <c r="B966" s="23" t="n">
        <v>45670</v>
      </c>
      <c r="C966" s="22" t="s">
        <v>174</v>
      </c>
      <c r="D966" s="24" t="n">
        <v>96</v>
      </c>
    </row>
    <row r="967" customFormat="false" ht="15" hidden="false" customHeight="false" outlineLevel="0" collapsed="false">
      <c r="A967" s="22" t="n">
        <v>30</v>
      </c>
      <c r="B967" s="23" t="n">
        <v>45677</v>
      </c>
      <c r="C967" s="22" t="s">
        <v>174</v>
      </c>
      <c r="D967" s="24" t="n">
        <v>97</v>
      </c>
    </row>
    <row r="968" customFormat="false" ht="15" hidden="false" customHeight="false" outlineLevel="0" collapsed="false">
      <c r="A968" s="22" t="n">
        <v>31</v>
      </c>
      <c r="B968" s="23" t="n">
        <v>45684</v>
      </c>
      <c r="C968" s="22" t="s">
        <v>174</v>
      </c>
      <c r="D968" s="24" t="n">
        <v>98</v>
      </c>
    </row>
    <row r="969" customFormat="false" ht="15" hidden="false" customHeight="false" outlineLevel="0" collapsed="false">
      <c r="A969" s="22" t="n">
        <v>32</v>
      </c>
      <c r="B969" s="23" t="n">
        <v>45691</v>
      </c>
      <c r="C969" s="22" t="s">
        <v>174</v>
      </c>
      <c r="D969" s="24" t="n">
        <v>104</v>
      </c>
    </row>
    <row r="970" customFormat="false" ht="15" hidden="false" customHeight="false" outlineLevel="0" collapsed="false">
      <c r="A970" s="22" t="n">
        <v>33</v>
      </c>
      <c r="B970" s="23" t="n">
        <v>45698</v>
      </c>
      <c r="C970" s="22" t="s">
        <v>174</v>
      </c>
      <c r="D970" s="24" t="n">
        <v>87</v>
      </c>
    </row>
    <row r="971" customFormat="false" ht="15" hidden="false" customHeight="false" outlineLevel="0" collapsed="false">
      <c r="A971" s="22" t="n">
        <v>34</v>
      </c>
      <c r="B971" s="23" t="n">
        <v>45705</v>
      </c>
      <c r="C971" s="22" t="s">
        <v>174</v>
      </c>
      <c r="D971" s="24" t="n">
        <v>91</v>
      </c>
    </row>
    <row r="972" customFormat="false" ht="15" hidden="false" customHeight="false" outlineLevel="0" collapsed="false">
      <c r="A972" s="22" t="n">
        <v>35</v>
      </c>
      <c r="B972" s="23" t="n">
        <v>45712</v>
      </c>
      <c r="C972" s="22" t="s">
        <v>174</v>
      </c>
      <c r="D972" s="24" t="n">
        <v>103</v>
      </c>
    </row>
    <row r="973" customFormat="false" ht="15" hidden="false" customHeight="false" outlineLevel="0" collapsed="false">
      <c r="A973" s="22" t="n">
        <v>36</v>
      </c>
      <c r="B973" s="23" t="n">
        <v>45719</v>
      </c>
      <c r="C973" s="22" t="s">
        <v>174</v>
      </c>
      <c r="D973" s="24" t="n">
        <v>101</v>
      </c>
    </row>
    <row r="974" customFormat="false" ht="15" hidden="false" customHeight="false" outlineLevel="0" collapsed="false">
      <c r="A974" s="22" t="n">
        <v>37</v>
      </c>
      <c r="B974" s="23" t="n">
        <v>45726</v>
      </c>
      <c r="C974" s="22" t="s">
        <v>174</v>
      </c>
      <c r="D974" s="24" t="n">
        <v>96</v>
      </c>
    </row>
    <row r="975" customFormat="false" ht="15" hidden="false" customHeight="false" outlineLevel="0" collapsed="false">
      <c r="A975" s="22" t="n">
        <v>38</v>
      </c>
      <c r="B975" s="23" t="n">
        <v>45733</v>
      </c>
      <c r="C975" s="22" t="s">
        <v>174</v>
      </c>
      <c r="D975" s="24" t="n">
        <v>94</v>
      </c>
    </row>
    <row r="976" customFormat="false" ht="15" hidden="false" customHeight="false" outlineLevel="0" collapsed="false">
      <c r="A976" s="22" t="n">
        <v>39</v>
      </c>
      <c r="B976" s="23" t="n">
        <v>45740</v>
      </c>
      <c r="C976" s="22" t="s">
        <v>174</v>
      </c>
      <c r="D976" s="24" t="n">
        <v>92</v>
      </c>
    </row>
    <row r="977" customFormat="false" ht="15" hidden="false" customHeight="false" outlineLevel="0" collapsed="false">
      <c r="A977" s="22" t="n">
        <v>40</v>
      </c>
      <c r="B977" s="23" t="n">
        <v>45747</v>
      </c>
      <c r="C977" s="22" t="s">
        <v>174</v>
      </c>
      <c r="D977" s="24" t="n">
        <v>99</v>
      </c>
    </row>
    <row r="978" customFormat="false" ht="15" hidden="false" customHeight="false" outlineLevel="0" collapsed="false">
      <c r="A978" s="22" t="n">
        <v>41</v>
      </c>
      <c r="B978" s="23" t="n">
        <v>45754</v>
      </c>
      <c r="C978" s="22" t="s">
        <v>174</v>
      </c>
      <c r="D978" s="24" t="n">
        <v>112</v>
      </c>
    </row>
    <row r="979" customFormat="false" ht="15" hidden="false" customHeight="false" outlineLevel="0" collapsed="false">
      <c r="A979" s="22" t="n">
        <v>42</v>
      </c>
      <c r="B979" s="23" t="n">
        <v>45761</v>
      </c>
      <c r="C979" s="22" t="s">
        <v>174</v>
      </c>
      <c r="D979" s="24" t="n">
        <v>89</v>
      </c>
    </row>
    <row r="980" customFormat="false" ht="15" hidden="false" customHeight="false" outlineLevel="0" collapsed="false">
      <c r="A980" s="22" t="n">
        <v>43</v>
      </c>
      <c r="B980" s="23" t="n">
        <v>45768</v>
      </c>
      <c r="C980" s="22" t="s">
        <v>174</v>
      </c>
      <c r="D980" s="24" t="n">
        <v>115</v>
      </c>
    </row>
    <row r="981" customFormat="false" ht="15" hidden="false" customHeight="false" outlineLevel="0" collapsed="false">
      <c r="A981" s="22" t="n">
        <v>44</v>
      </c>
      <c r="B981" s="23" t="n">
        <v>45775</v>
      </c>
      <c r="C981" s="22" t="s">
        <v>174</v>
      </c>
      <c r="D981" s="24" t="n">
        <v>108</v>
      </c>
    </row>
    <row r="982" customFormat="false" ht="15" hidden="false" customHeight="false" outlineLevel="0" collapsed="false">
      <c r="A982" s="22" t="n">
        <v>45</v>
      </c>
      <c r="B982" s="23" t="n">
        <v>45782</v>
      </c>
      <c r="C982" s="22" t="s">
        <v>174</v>
      </c>
      <c r="D982" s="24" t="n">
        <v>95</v>
      </c>
    </row>
    <row r="983" customFormat="false" ht="15" hidden="false" customHeight="false" outlineLevel="0" collapsed="false">
      <c r="A983" s="22" t="n">
        <v>46</v>
      </c>
      <c r="B983" s="23" t="n">
        <v>45789</v>
      </c>
      <c r="C983" s="22" t="s">
        <v>174</v>
      </c>
      <c r="D983" s="24" t="n">
        <v>108</v>
      </c>
    </row>
    <row r="984" customFormat="false" ht="15" hidden="false" customHeight="false" outlineLevel="0" collapsed="false">
      <c r="A984" s="22" t="n">
        <v>47</v>
      </c>
      <c r="B984" s="23" t="n">
        <v>45796</v>
      </c>
      <c r="C984" s="22" t="s">
        <v>174</v>
      </c>
      <c r="D984" s="24" t="n">
        <v>85</v>
      </c>
    </row>
    <row r="985" customFormat="false" ht="15" hidden="false" customHeight="false" outlineLevel="0" collapsed="false">
      <c r="A985" s="22" t="n">
        <v>48</v>
      </c>
      <c r="B985" s="23" t="n">
        <v>45803</v>
      </c>
      <c r="C985" s="22" t="s">
        <v>174</v>
      </c>
      <c r="D985" s="24" t="n">
        <v>83</v>
      </c>
    </row>
    <row r="986" customFormat="false" ht="15" hidden="false" customHeight="false" outlineLevel="0" collapsed="false">
      <c r="A986" s="22" t="n">
        <v>49</v>
      </c>
      <c r="B986" s="23" t="n">
        <v>45810</v>
      </c>
      <c r="C986" s="22" t="s">
        <v>174</v>
      </c>
      <c r="D986" s="24" t="n">
        <v>87</v>
      </c>
    </row>
    <row r="987" customFormat="false" ht="15" hidden="false" customHeight="false" outlineLevel="0" collapsed="false">
      <c r="A987" s="22" t="n">
        <v>50</v>
      </c>
      <c r="B987" s="23" t="n">
        <v>45817</v>
      </c>
      <c r="C987" s="22" t="s">
        <v>174</v>
      </c>
      <c r="D987" s="24" t="n">
        <v>96</v>
      </c>
    </row>
    <row r="988" customFormat="false" ht="15" hidden="false" customHeight="false" outlineLevel="0" collapsed="false">
      <c r="A988" s="22" t="n">
        <v>51</v>
      </c>
      <c r="B988" s="23" t="n">
        <v>45824</v>
      </c>
      <c r="C988" s="22" t="s">
        <v>174</v>
      </c>
      <c r="D988" s="24" t="n">
        <v>97</v>
      </c>
    </row>
    <row r="989" customFormat="false" ht="15" hidden="false" customHeight="false" outlineLevel="0" collapsed="false">
      <c r="A989" s="22" t="n">
        <v>52</v>
      </c>
      <c r="B989" s="23" t="n">
        <v>45831</v>
      </c>
      <c r="C989" s="22" t="s">
        <v>174</v>
      </c>
      <c r="D989" s="24" t="n">
        <v>95</v>
      </c>
    </row>
    <row r="990" customFormat="false" ht="15" hidden="false" customHeight="false" outlineLevel="0" collapsed="false">
      <c r="A990" s="22" t="n">
        <v>53</v>
      </c>
      <c r="B990" s="23" t="n">
        <v>45838</v>
      </c>
      <c r="C990" s="22" t="s">
        <v>174</v>
      </c>
      <c r="D990" s="24" t="n">
        <v>101</v>
      </c>
    </row>
    <row r="991" customFormat="false" ht="15" hidden="false" customHeight="false" outlineLevel="0" collapsed="false">
      <c r="A991" s="22" t="n">
        <v>54</v>
      </c>
      <c r="B991" s="23" t="n">
        <v>45845</v>
      </c>
      <c r="C991" s="22" t="s">
        <v>174</v>
      </c>
      <c r="D991" s="24" t="n">
        <v>79</v>
      </c>
    </row>
    <row r="992" customFormat="false" ht="15" hidden="false" customHeight="false" outlineLevel="0" collapsed="false">
      <c r="A992" s="22" t="n">
        <v>55</v>
      </c>
      <c r="B992" s="23" t="n">
        <v>45852</v>
      </c>
      <c r="C992" s="22" t="s">
        <v>174</v>
      </c>
      <c r="D992" s="24" t="n">
        <v>105</v>
      </c>
    </row>
    <row r="993" customFormat="false" ht="15" hidden="false" customHeight="false" outlineLevel="0" collapsed="false">
      <c r="A993" s="22" t="n">
        <v>56</v>
      </c>
      <c r="B993" s="23" t="n">
        <v>45859</v>
      </c>
      <c r="C993" s="22" t="s">
        <v>174</v>
      </c>
      <c r="D993" s="24" t="n">
        <v>86</v>
      </c>
    </row>
    <row r="994" customFormat="false" ht="15" hidden="false" customHeight="false" outlineLevel="0" collapsed="false">
      <c r="A994" s="22" t="n">
        <v>57</v>
      </c>
      <c r="B994" s="23" t="n">
        <v>45866</v>
      </c>
      <c r="C994" s="22" t="s">
        <v>174</v>
      </c>
      <c r="D994" s="24" t="n">
        <v>93</v>
      </c>
    </row>
    <row r="995" customFormat="false" ht="15" hidden="false" customHeight="false" outlineLevel="0" collapsed="false">
      <c r="A995" s="22" t="n">
        <v>58</v>
      </c>
      <c r="B995" s="23" t="n">
        <v>45873</v>
      </c>
      <c r="C995" s="22" t="s">
        <v>174</v>
      </c>
      <c r="D995" s="24" t="n">
        <v>96</v>
      </c>
    </row>
    <row r="996" customFormat="false" ht="15" hidden="false" customHeight="false" outlineLevel="0" collapsed="false">
      <c r="A996" s="22" t="n">
        <v>59</v>
      </c>
      <c r="B996" s="23" t="n">
        <v>45880</v>
      </c>
      <c r="C996" s="22" t="s">
        <v>174</v>
      </c>
      <c r="D996" s="24" t="n">
        <v>88</v>
      </c>
    </row>
    <row r="997" customFormat="false" ht="15" hidden="false" customHeight="false" outlineLevel="0" collapsed="false">
      <c r="A997" s="22" t="n">
        <v>60</v>
      </c>
      <c r="B997" s="23" t="n">
        <v>45887</v>
      </c>
      <c r="C997" s="22" t="s">
        <v>174</v>
      </c>
      <c r="D997" s="24" t="n">
        <v>86</v>
      </c>
    </row>
    <row r="998" customFormat="false" ht="15" hidden="false" customHeight="false" outlineLevel="0" collapsed="false">
      <c r="A998" s="22" t="n">
        <v>61</v>
      </c>
      <c r="B998" s="23" t="n">
        <v>45894</v>
      </c>
      <c r="C998" s="22" t="s">
        <v>174</v>
      </c>
      <c r="D998" s="24" t="n">
        <v>90</v>
      </c>
    </row>
    <row r="999" customFormat="false" ht="15" hidden="false" customHeight="false" outlineLevel="0" collapsed="false">
      <c r="A999" s="22" t="n">
        <v>62</v>
      </c>
      <c r="B999" s="23" t="n">
        <v>45901</v>
      </c>
      <c r="C999" s="22" t="s">
        <v>174</v>
      </c>
      <c r="D999" s="24" t="n">
        <v>100</v>
      </c>
    </row>
    <row r="1000" customFormat="false" ht="15" hidden="false" customHeight="false" outlineLevel="0" collapsed="false">
      <c r="A1000" s="22" t="n">
        <v>63</v>
      </c>
      <c r="B1000" s="23" t="n">
        <v>45908</v>
      </c>
      <c r="C1000" s="22" t="s">
        <v>174</v>
      </c>
      <c r="D1000" s="24" t="n">
        <v>106</v>
      </c>
    </row>
    <row r="1001" customFormat="false" ht="15" hidden="false" customHeight="false" outlineLevel="0" collapsed="false">
      <c r="A1001" s="22" t="n">
        <v>64</v>
      </c>
      <c r="B1001" s="23" t="n">
        <v>45915</v>
      </c>
      <c r="C1001" s="22" t="s">
        <v>174</v>
      </c>
      <c r="D1001" s="24" t="n">
        <v>106</v>
      </c>
    </row>
    <row r="1002" customFormat="false" ht="15" hidden="false" customHeight="false" outlineLevel="0" collapsed="false">
      <c r="A1002" s="22" t="n">
        <v>65</v>
      </c>
      <c r="B1002" s="23" t="n">
        <v>45922</v>
      </c>
      <c r="C1002" s="22" t="s">
        <v>174</v>
      </c>
      <c r="D1002" s="24" t="n">
        <v>90</v>
      </c>
    </row>
    <row r="1003" customFormat="false" ht="15" hidden="false" customHeight="false" outlineLevel="0" collapsed="false">
      <c r="A1003" s="22" t="n">
        <v>66</v>
      </c>
      <c r="B1003" s="23" t="n">
        <v>45929</v>
      </c>
      <c r="C1003" s="22" t="s">
        <v>174</v>
      </c>
      <c r="D1003" s="24" t="n">
        <v>92</v>
      </c>
    </row>
    <row r="1004" customFormat="false" ht="15" hidden="false" customHeight="false" outlineLevel="0" collapsed="false">
      <c r="A1004" s="22" t="n">
        <v>67</v>
      </c>
      <c r="B1004" s="23" t="n">
        <v>45936</v>
      </c>
      <c r="C1004" s="22" t="s">
        <v>174</v>
      </c>
      <c r="D1004" s="24" t="n">
        <v>91</v>
      </c>
    </row>
    <row r="1005" customFormat="false" ht="15" hidden="false" customHeight="false" outlineLevel="0" collapsed="false">
      <c r="A1005" s="22" t="n">
        <v>68</v>
      </c>
      <c r="B1005" s="23" t="n">
        <v>45943</v>
      </c>
      <c r="C1005" s="22" t="s">
        <v>174</v>
      </c>
      <c r="D1005" s="24" t="n">
        <v>105</v>
      </c>
    </row>
    <row r="1006" customFormat="false" ht="15" hidden="false" customHeight="false" outlineLevel="0" collapsed="false">
      <c r="A1006" s="22" t="n">
        <v>69</v>
      </c>
      <c r="B1006" s="23" t="n">
        <v>45950</v>
      </c>
      <c r="C1006" s="22" t="s">
        <v>174</v>
      </c>
      <c r="D1006" s="24" t="n">
        <v>79</v>
      </c>
    </row>
    <row r="1007" customFormat="false" ht="15" hidden="false" customHeight="false" outlineLevel="0" collapsed="false">
      <c r="A1007" s="22" t="n">
        <v>70</v>
      </c>
      <c r="B1007" s="23" t="n">
        <v>45957</v>
      </c>
      <c r="C1007" s="22" t="s">
        <v>174</v>
      </c>
      <c r="D1007" s="24" t="n">
        <v>112</v>
      </c>
    </row>
    <row r="1008" customFormat="false" ht="15" hidden="false" customHeight="false" outlineLevel="0" collapsed="false">
      <c r="A1008" s="22" t="n">
        <v>71</v>
      </c>
      <c r="B1008" s="23" t="n">
        <v>45964</v>
      </c>
      <c r="C1008" s="22" t="s">
        <v>174</v>
      </c>
      <c r="D1008" s="24" t="n">
        <v>95</v>
      </c>
    </row>
    <row r="1009" customFormat="false" ht="15" hidden="false" customHeight="false" outlineLevel="0" collapsed="false">
      <c r="A1009" s="22" t="n">
        <v>72</v>
      </c>
      <c r="B1009" s="23" t="n">
        <v>45971</v>
      </c>
      <c r="C1009" s="22" t="s">
        <v>174</v>
      </c>
      <c r="D1009" s="24" t="n">
        <v>92</v>
      </c>
    </row>
    <row r="1010" customFormat="false" ht="15" hidden="false" customHeight="false" outlineLevel="0" collapsed="false">
      <c r="A1010" s="22" t="n">
        <v>73</v>
      </c>
      <c r="B1010" s="23" t="n">
        <v>45978</v>
      </c>
      <c r="C1010" s="22" t="s">
        <v>174</v>
      </c>
      <c r="D1010" s="24" t="n">
        <v>103</v>
      </c>
    </row>
    <row r="1011" customFormat="false" ht="15" hidden="false" customHeight="false" outlineLevel="0" collapsed="false">
      <c r="A1011" s="22" t="n">
        <v>74</v>
      </c>
      <c r="B1011" s="23" t="n">
        <v>45985</v>
      </c>
      <c r="C1011" s="22" t="s">
        <v>174</v>
      </c>
      <c r="D1011" s="24" t="n">
        <v>110</v>
      </c>
    </row>
    <row r="1012" customFormat="false" ht="15" hidden="false" customHeight="false" outlineLevel="0" collapsed="false">
      <c r="A1012" s="22" t="n">
        <v>75</v>
      </c>
      <c r="B1012" s="23" t="n">
        <v>45992</v>
      </c>
      <c r="C1012" s="22" t="s">
        <v>174</v>
      </c>
      <c r="D1012" s="24" t="n">
        <v>103</v>
      </c>
    </row>
    <row r="1013" customFormat="false" ht="15" hidden="false" customHeight="false" outlineLevel="0" collapsed="false">
      <c r="A1013" s="22" t="n">
        <v>76</v>
      </c>
      <c r="B1013" s="23" t="n">
        <v>45999</v>
      </c>
      <c r="C1013" s="22" t="s">
        <v>174</v>
      </c>
      <c r="D1013" s="24" t="n">
        <v>111</v>
      </c>
    </row>
    <row r="1014" customFormat="false" ht="15" hidden="false" customHeight="false" outlineLevel="0" collapsed="false">
      <c r="A1014" s="22" t="n">
        <v>77</v>
      </c>
      <c r="B1014" s="23" t="n">
        <v>46006</v>
      </c>
      <c r="C1014" s="22" t="s">
        <v>174</v>
      </c>
      <c r="D1014" s="24" t="n">
        <v>101</v>
      </c>
    </row>
    <row r="1015" customFormat="false" ht="15" hidden="false" customHeight="false" outlineLevel="0" collapsed="false">
      <c r="A1015" s="22" t="n">
        <v>78</v>
      </c>
      <c r="B1015" s="23" t="n">
        <v>46013</v>
      </c>
      <c r="C1015" s="22" t="s">
        <v>174</v>
      </c>
      <c r="D1015" s="24" t="n">
        <v>112</v>
      </c>
    </row>
    <row r="1016" customFormat="false" ht="15" hidden="false" customHeight="false" outlineLevel="0" collapsed="false">
      <c r="A1016" s="22" t="n">
        <v>79</v>
      </c>
      <c r="B1016" s="23" t="n">
        <v>46020</v>
      </c>
      <c r="C1016" s="22" t="s">
        <v>174</v>
      </c>
      <c r="D1016" s="24" t="n">
        <v>113</v>
      </c>
    </row>
    <row r="1017" customFormat="false" ht="15" hidden="false" customHeight="false" outlineLevel="0" collapsed="false">
      <c r="A1017" s="22" t="n">
        <v>80</v>
      </c>
      <c r="B1017" s="23" t="n">
        <v>46027</v>
      </c>
      <c r="C1017" s="22" t="s">
        <v>174</v>
      </c>
      <c r="D1017" s="24" t="n">
        <v>99</v>
      </c>
    </row>
    <row r="1018" customFormat="false" ht="15" hidden="false" customHeight="false" outlineLevel="0" collapsed="false">
      <c r="A1018" s="22" t="n">
        <v>81</v>
      </c>
      <c r="B1018" s="23" t="n">
        <v>46034</v>
      </c>
      <c r="C1018" s="22" t="s">
        <v>174</v>
      </c>
      <c r="D1018" s="24" t="n">
        <v>114</v>
      </c>
    </row>
    <row r="1019" customFormat="false" ht="15" hidden="false" customHeight="false" outlineLevel="0" collapsed="false">
      <c r="A1019" s="22" t="n">
        <v>82</v>
      </c>
      <c r="B1019" s="23" t="n">
        <v>46041</v>
      </c>
      <c r="C1019" s="22" t="s">
        <v>174</v>
      </c>
      <c r="D1019" s="24" t="n">
        <v>102</v>
      </c>
    </row>
    <row r="1020" customFormat="false" ht="15" hidden="false" customHeight="false" outlineLevel="0" collapsed="false">
      <c r="A1020" s="22" t="n">
        <v>83</v>
      </c>
      <c r="B1020" s="23" t="n">
        <v>46048</v>
      </c>
      <c r="C1020" s="22" t="s">
        <v>174</v>
      </c>
      <c r="D1020" s="24" t="n">
        <v>101</v>
      </c>
    </row>
    <row r="1021" customFormat="false" ht="15" hidden="false" customHeight="false" outlineLevel="0" collapsed="false">
      <c r="A1021" s="22" t="n">
        <v>84</v>
      </c>
      <c r="B1021" s="23" t="n">
        <v>46055</v>
      </c>
      <c r="C1021" s="22" t="s">
        <v>174</v>
      </c>
      <c r="D1021" s="24" t="n">
        <v>91</v>
      </c>
    </row>
    <row r="1022" customFormat="false" ht="15" hidden="false" customHeight="false" outlineLevel="0" collapsed="false">
      <c r="A1022" s="22" t="n">
        <v>85</v>
      </c>
      <c r="B1022" s="23" t="n">
        <v>46062</v>
      </c>
      <c r="C1022" s="22" t="s">
        <v>174</v>
      </c>
      <c r="D1022" s="24" t="n">
        <v>97</v>
      </c>
    </row>
    <row r="1023" customFormat="false" ht="15" hidden="false" customHeight="false" outlineLevel="0" collapsed="false">
      <c r="A1023" s="22" t="n">
        <v>86</v>
      </c>
      <c r="B1023" s="23" t="n">
        <v>46069</v>
      </c>
      <c r="C1023" s="22" t="s">
        <v>174</v>
      </c>
      <c r="D1023" s="24" t="n">
        <v>108</v>
      </c>
    </row>
    <row r="1024" customFormat="false" ht="15" hidden="false" customHeight="false" outlineLevel="0" collapsed="false">
      <c r="A1024" s="22" t="n">
        <v>87</v>
      </c>
      <c r="B1024" s="23" t="n">
        <v>46076</v>
      </c>
      <c r="C1024" s="22" t="s">
        <v>174</v>
      </c>
      <c r="D1024" s="24" t="n">
        <v>87</v>
      </c>
    </row>
    <row r="1025" customFormat="false" ht="15" hidden="false" customHeight="false" outlineLevel="0" collapsed="false">
      <c r="A1025" s="22" t="n">
        <v>88</v>
      </c>
      <c r="B1025" s="23" t="n">
        <v>46083</v>
      </c>
      <c r="C1025" s="22" t="s">
        <v>174</v>
      </c>
      <c r="D1025" s="24" t="n">
        <v>107</v>
      </c>
    </row>
    <row r="1026" customFormat="false" ht="15" hidden="false" customHeight="false" outlineLevel="0" collapsed="false">
      <c r="A1026" s="22" t="n">
        <v>89</v>
      </c>
      <c r="B1026" s="23" t="n">
        <v>46090</v>
      </c>
      <c r="C1026" s="22" t="s">
        <v>174</v>
      </c>
      <c r="D1026" s="24" t="n">
        <v>104</v>
      </c>
    </row>
    <row r="1027" customFormat="false" ht="15" hidden="false" customHeight="false" outlineLevel="0" collapsed="false">
      <c r="A1027" s="22" t="n">
        <v>90</v>
      </c>
      <c r="B1027" s="23" t="n">
        <v>46097</v>
      </c>
      <c r="C1027" s="22" t="s">
        <v>174</v>
      </c>
      <c r="D1027" s="24" t="n">
        <v>103</v>
      </c>
    </row>
    <row r="1028" customFormat="false" ht="15" hidden="false" customHeight="false" outlineLevel="0" collapsed="false">
      <c r="A1028" s="22" t="n">
        <v>91</v>
      </c>
      <c r="B1028" s="23" t="n">
        <v>46104</v>
      </c>
      <c r="C1028" s="22" t="s">
        <v>174</v>
      </c>
      <c r="D1028" s="24" t="n">
        <v>78</v>
      </c>
    </row>
    <row r="1029" customFormat="false" ht="15" hidden="false" customHeight="false" outlineLevel="0" collapsed="false">
      <c r="A1029" s="22" t="n">
        <v>92</v>
      </c>
      <c r="B1029" s="23" t="n">
        <v>46111</v>
      </c>
      <c r="C1029" s="22" t="s">
        <v>174</v>
      </c>
      <c r="D1029" s="24" t="n">
        <v>99</v>
      </c>
    </row>
    <row r="1030" customFormat="false" ht="15" hidden="false" customHeight="false" outlineLevel="0" collapsed="false">
      <c r="A1030" s="22" t="n">
        <v>93</v>
      </c>
      <c r="B1030" s="23" t="n">
        <v>46118</v>
      </c>
      <c r="C1030" s="22" t="s">
        <v>174</v>
      </c>
      <c r="D1030" s="24" t="n">
        <v>107</v>
      </c>
    </row>
    <row r="1031" customFormat="false" ht="15" hidden="false" customHeight="false" outlineLevel="0" collapsed="false">
      <c r="A1031" s="22" t="n">
        <v>94</v>
      </c>
      <c r="B1031" s="23" t="n">
        <v>46125</v>
      </c>
      <c r="C1031" s="22" t="s">
        <v>174</v>
      </c>
      <c r="D1031" s="24" t="n">
        <v>92</v>
      </c>
    </row>
    <row r="1032" customFormat="false" ht="15" hidden="false" customHeight="false" outlineLevel="0" collapsed="false">
      <c r="A1032" s="22" t="n">
        <v>95</v>
      </c>
      <c r="B1032" s="23" t="n">
        <v>46132</v>
      </c>
      <c r="C1032" s="22" t="s">
        <v>174</v>
      </c>
      <c r="D1032" s="24" t="n">
        <v>101</v>
      </c>
    </row>
    <row r="1033" customFormat="false" ht="15" hidden="false" customHeight="false" outlineLevel="0" collapsed="false">
      <c r="A1033" s="22" t="n">
        <v>96</v>
      </c>
      <c r="B1033" s="23" t="n">
        <v>46139</v>
      </c>
      <c r="C1033" s="22" t="s">
        <v>174</v>
      </c>
      <c r="D1033" s="24" t="n">
        <v>76</v>
      </c>
    </row>
    <row r="1034" customFormat="false" ht="15" hidden="false" customHeight="false" outlineLevel="0" collapsed="false">
      <c r="A1034" s="22" t="n">
        <v>97</v>
      </c>
      <c r="B1034" s="23" t="n">
        <v>46146</v>
      </c>
      <c r="C1034" s="22" t="s">
        <v>174</v>
      </c>
      <c r="D1034" s="24" t="n">
        <v>107</v>
      </c>
    </row>
    <row r="1035" customFormat="false" ht="15" hidden="false" customHeight="false" outlineLevel="0" collapsed="false">
      <c r="A1035" s="22" t="n">
        <v>98</v>
      </c>
      <c r="B1035" s="23" t="n">
        <v>46153</v>
      </c>
      <c r="C1035" s="22" t="s">
        <v>174</v>
      </c>
      <c r="D1035" s="24" t="n">
        <v>93</v>
      </c>
    </row>
    <row r="1036" customFormat="false" ht="15" hidden="false" customHeight="false" outlineLevel="0" collapsed="false">
      <c r="A1036" s="22" t="n">
        <v>99</v>
      </c>
      <c r="B1036" s="23" t="n">
        <v>46160</v>
      </c>
      <c r="C1036" s="22" t="s">
        <v>174</v>
      </c>
      <c r="D1036" s="24" t="n">
        <v>109</v>
      </c>
    </row>
    <row r="1037" customFormat="false" ht="15" hidden="false" customHeight="false" outlineLevel="0" collapsed="false">
      <c r="A1037" s="22" t="n">
        <v>100</v>
      </c>
      <c r="B1037" s="23" t="n">
        <v>46167</v>
      </c>
      <c r="C1037" s="22" t="s">
        <v>174</v>
      </c>
      <c r="D1037" s="24" t="n">
        <v>81</v>
      </c>
    </row>
    <row r="1038" customFormat="false" ht="15" hidden="false" customHeight="false" outlineLevel="0" collapsed="false">
      <c r="A1038" s="22" t="n">
        <v>101</v>
      </c>
      <c r="B1038" s="23" t="n">
        <v>46174</v>
      </c>
      <c r="C1038" s="22" t="s">
        <v>174</v>
      </c>
      <c r="D1038" s="24" t="n">
        <v>107</v>
      </c>
    </row>
    <row r="1039" customFormat="false" ht="15" hidden="false" customHeight="false" outlineLevel="0" collapsed="false">
      <c r="A1039" s="22" t="n">
        <v>102</v>
      </c>
      <c r="B1039" s="23" t="n">
        <v>46181</v>
      </c>
      <c r="C1039" s="22" t="s">
        <v>174</v>
      </c>
      <c r="D1039" s="24" t="n">
        <v>98</v>
      </c>
    </row>
    <row r="1040" customFormat="false" ht="15" hidden="false" customHeight="false" outlineLevel="0" collapsed="false">
      <c r="A1040" s="22" t="n">
        <v>103</v>
      </c>
      <c r="B1040" s="23" t="n">
        <v>46188</v>
      </c>
      <c r="C1040" s="22" t="s">
        <v>174</v>
      </c>
      <c r="D1040" s="24" t="n">
        <v>108</v>
      </c>
    </row>
    <row r="1041" customFormat="false" ht="15" hidden="false" customHeight="false" outlineLevel="0" collapsed="false">
      <c r="A1041" s="22" t="n">
        <v>104</v>
      </c>
      <c r="B1041" s="23" t="n">
        <v>46195</v>
      </c>
      <c r="C1041" s="22" t="s">
        <v>174</v>
      </c>
      <c r="D1041" s="24" t="n">
        <v>91</v>
      </c>
    </row>
    <row r="1042" customFormat="false" ht="15" hidden="false" customHeight="false" outlineLevel="0" collapsed="false">
      <c r="A1042" s="22" t="n">
        <v>1</v>
      </c>
      <c r="B1042" s="23" t="n">
        <v>45474</v>
      </c>
      <c r="C1042" s="22" t="s">
        <v>176</v>
      </c>
      <c r="D1042" s="24" t="n">
        <v>159</v>
      </c>
    </row>
    <row r="1043" customFormat="false" ht="15" hidden="false" customHeight="false" outlineLevel="0" collapsed="false">
      <c r="A1043" s="22" t="n">
        <v>2</v>
      </c>
      <c r="B1043" s="23" t="n">
        <v>45481</v>
      </c>
      <c r="C1043" s="22" t="s">
        <v>176</v>
      </c>
      <c r="D1043" s="24" t="n">
        <v>105</v>
      </c>
    </row>
    <row r="1044" customFormat="false" ht="15" hidden="false" customHeight="false" outlineLevel="0" collapsed="false">
      <c r="A1044" s="22" t="n">
        <v>3</v>
      </c>
      <c r="B1044" s="23" t="n">
        <v>45488</v>
      </c>
      <c r="C1044" s="22" t="s">
        <v>176</v>
      </c>
      <c r="D1044" s="24" t="n">
        <v>108</v>
      </c>
    </row>
    <row r="1045" customFormat="false" ht="15" hidden="false" customHeight="false" outlineLevel="0" collapsed="false">
      <c r="A1045" s="22" t="n">
        <v>4</v>
      </c>
      <c r="B1045" s="23" t="n">
        <v>45495</v>
      </c>
      <c r="C1045" s="22" t="s">
        <v>176</v>
      </c>
      <c r="D1045" s="24" t="n">
        <v>115</v>
      </c>
    </row>
    <row r="1046" customFormat="false" ht="15" hidden="false" customHeight="false" outlineLevel="0" collapsed="false">
      <c r="A1046" s="22" t="n">
        <v>5</v>
      </c>
      <c r="B1046" s="23" t="n">
        <v>45502</v>
      </c>
      <c r="C1046" s="22" t="s">
        <v>176</v>
      </c>
      <c r="D1046" s="24" t="n">
        <v>102</v>
      </c>
    </row>
    <row r="1047" customFormat="false" ht="15" hidden="false" customHeight="false" outlineLevel="0" collapsed="false">
      <c r="A1047" s="22" t="n">
        <v>6</v>
      </c>
      <c r="B1047" s="23" t="n">
        <v>45509</v>
      </c>
      <c r="C1047" s="22" t="s">
        <v>176</v>
      </c>
      <c r="D1047" s="24" t="n">
        <v>141</v>
      </c>
    </row>
    <row r="1048" customFormat="false" ht="15" hidden="false" customHeight="false" outlineLevel="0" collapsed="false">
      <c r="A1048" s="22" t="n">
        <v>7</v>
      </c>
      <c r="B1048" s="23" t="n">
        <v>45516</v>
      </c>
      <c r="C1048" s="22" t="s">
        <v>176</v>
      </c>
      <c r="D1048" s="24" t="n">
        <v>150</v>
      </c>
    </row>
    <row r="1049" customFormat="false" ht="15" hidden="false" customHeight="false" outlineLevel="0" collapsed="false">
      <c r="A1049" s="22" t="n">
        <v>8</v>
      </c>
      <c r="B1049" s="23" t="n">
        <v>45523</v>
      </c>
      <c r="C1049" s="22" t="s">
        <v>176</v>
      </c>
      <c r="D1049" s="24" t="n">
        <v>108</v>
      </c>
    </row>
    <row r="1050" customFormat="false" ht="15" hidden="false" customHeight="false" outlineLevel="0" collapsed="false">
      <c r="A1050" s="22" t="n">
        <v>9</v>
      </c>
      <c r="B1050" s="23" t="n">
        <v>45530</v>
      </c>
      <c r="C1050" s="22" t="s">
        <v>176</v>
      </c>
      <c r="D1050" s="24" t="n">
        <v>90</v>
      </c>
    </row>
    <row r="1051" customFormat="false" ht="15" hidden="false" customHeight="false" outlineLevel="0" collapsed="false">
      <c r="A1051" s="22" t="n">
        <v>10</v>
      </c>
      <c r="B1051" s="23" t="n">
        <v>45537</v>
      </c>
      <c r="C1051" s="22" t="s">
        <v>176</v>
      </c>
      <c r="D1051" s="24" t="n">
        <v>141</v>
      </c>
    </row>
    <row r="1052" customFormat="false" ht="15" hidden="false" customHeight="false" outlineLevel="0" collapsed="false">
      <c r="A1052" s="22" t="n">
        <v>11</v>
      </c>
      <c r="B1052" s="23" t="n">
        <v>45544</v>
      </c>
      <c r="C1052" s="22" t="s">
        <v>176</v>
      </c>
      <c r="D1052" s="24" t="n">
        <v>139</v>
      </c>
    </row>
    <row r="1053" customFormat="false" ht="15" hidden="false" customHeight="false" outlineLevel="0" collapsed="false">
      <c r="A1053" s="22" t="n">
        <v>12</v>
      </c>
      <c r="B1053" s="23" t="n">
        <v>45551</v>
      </c>
      <c r="C1053" s="22" t="s">
        <v>176</v>
      </c>
      <c r="D1053" s="24" t="n">
        <v>134</v>
      </c>
    </row>
    <row r="1054" customFormat="false" ht="15" hidden="false" customHeight="false" outlineLevel="0" collapsed="false">
      <c r="A1054" s="22" t="n">
        <v>13</v>
      </c>
      <c r="B1054" s="23" t="n">
        <v>45558</v>
      </c>
      <c r="C1054" s="22" t="s">
        <v>176</v>
      </c>
      <c r="D1054" s="24" t="n">
        <v>140</v>
      </c>
    </row>
    <row r="1055" customFormat="false" ht="15" hidden="false" customHeight="false" outlineLevel="0" collapsed="false">
      <c r="A1055" s="22" t="n">
        <v>14</v>
      </c>
      <c r="B1055" s="23" t="n">
        <v>45565</v>
      </c>
      <c r="C1055" s="22" t="s">
        <v>176</v>
      </c>
      <c r="D1055" s="24" t="n">
        <v>105</v>
      </c>
    </row>
    <row r="1056" customFormat="false" ht="15" hidden="false" customHeight="false" outlineLevel="0" collapsed="false">
      <c r="A1056" s="22" t="n">
        <v>15</v>
      </c>
      <c r="B1056" s="23" t="n">
        <v>45572</v>
      </c>
      <c r="C1056" s="22" t="s">
        <v>176</v>
      </c>
      <c r="D1056" s="24" t="n">
        <v>117</v>
      </c>
    </row>
    <row r="1057" customFormat="false" ht="15" hidden="false" customHeight="false" outlineLevel="0" collapsed="false">
      <c r="A1057" s="22" t="n">
        <v>16</v>
      </c>
      <c r="B1057" s="23" t="n">
        <v>45579</v>
      </c>
      <c r="C1057" s="22" t="s">
        <v>176</v>
      </c>
      <c r="D1057" s="24" t="n">
        <v>96</v>
      </c>
    </row>
    <row r="1058" customFormat="false" ht="15" hidden="false" customHeight="false" outlineLevel="0" collapsed="false">
      <c r="A1058" s="22" t="n">
        <v>17</v>
      </c>
      <c r="B1058" s="23" t="n">
        <v>45586</v>
      </c>
      <c r="C1058" s="22" t="s">
        <v>176</v>
      </c>
      <c r="D1058" s="24" t="n">
        <v>95</v>
      </c>
    </row>
    <row r="1059" customFormat="false" ht="15" hidden="false" customHeight="false" outlineLevel="0" collapsed="false">
      <c r="A1059" s="22" t="n">
        <v>18</v>
      </c>
      <c r="B1059" s="23" t="n">
        <v>45593</v>
      </c>
      <c r="C1059" s="22" t="s">
        <v>176</v>
      </c>
      <c r="D1059" s="24" t="n">
        <v>137</v>
      </c>
    </row>
    <row r="1060" customFormat="false" ht="15" hidden="false" customHeight="false" outlineLevel="0" collapsed="false">
      <c r="A1060" s="22" t="n">
        <v>19</v>
      </c>
      <c r="B1060" s="23" t="n">
        <v>45600</v>
      </c>
      <c r="C1060" s="22" t="s">
        <v>176</v>
      </c>
      <c r="D1060" s="24" t="n">
        <v>108</v>
      </c>
    </row>
    <row r="1061" customFormat="false" ht="15" hidden="false" customHeight="false" outlineLevel="0" collapsed="false">
      <c r="A1061" s="22" t="n">
        <v>20</v>
      </c>
      <c r="B1061" s="23" t="n">
        <v>45607</v>
      </c>
      <c r="C1061" s="22" t="s">
        <v>176</v>
      </c>
      <c r="D1061" s="24" t="n">
        <v>160</v>
      </c>
    </row>
    <row r="1062" customFormat="false" ht="15" hidden="false" customHeight="false" outlineLevel="0" collapsed="false">
      <c r="A1062" s="22" t="n">
        <v>21</v>
      </c>
      <c r="B1062" s="23" t="n">
        <v>45614</v>
      </c>
      <c r="C1062" s="22" t="s">
        <v>176</v>
      </c>
      <c r="D1062" s="24" t="n">
        <v>121</v>
      </c>
    </row>
    <row r="1063" customFormat="false" ht="15" hidden="false" customHeight="false" outlineLevel="0" collapsed="false">
      <c r="A1063" s="22" t="n">
        <v>22</v>
      </c>
      <c r="B1063" s="23" t="n">
        <v>45621</v>
      </c>
      <c r="C1063" s="22" t="s">
        <v>176</v>
      </c>
      <c r="D1063" s="24" t="n">
        <v>109</v>
      </c>
    </row>
    <row r="1064" customFormat="false" ht="15" hidden="false" customHeight="false" outlineLevel="0" collapsed="false">
      <c r="A1064" s="22" t="n">
        <v>23</v>
      </c>
      <c r="B1064" s="23" t="n">
        <v>45628</v>
      </c>
      <c r="C1064" s="22" t="s">
        <v>176</v>
      </c>
      <c r="D1064" s="24" t="n">
        <v>134</v>
      </c>
    </row>
    <row r="1065" customFormat="false" ht="15" hidden="false" customHeight="false" outlineLevel="0" collapsed="false">
      <c r="A1065" s="22" t="n">
        <v>24</v>
      </c>
      <c r="B1065" s="23" t="n">
        <v>45635</v>
      </c>
      <c r="C1065" s="22" t="s">
        <v>176</v>
      </c>
      <c r="D1065" s="24" t="n">
        <v>152</v>
      </c>
    </row>
    <row r="1066" customFormat="false" ht="15" hidden="false" customHeight="false" outlineLevel="0" collapsed="false">
      <c r="A1066" s="22" t="n">
        <v>25</v>
      </c>
      <c r="B1066" s="23" t="n">
        <v>45642</v>
      </c>
      <c r="C1066" s="22" t="s">
        <v>176</v>
      </c>
      <c r="D1066" s="24" t="n">
        <v>129</v>
      </c>
    </row>
    <row r="1067" customFormat="false" ht="15" hidden="false" customHeight="false" outlineLevel="0" collapsed="false">
      <c r="A1067" s="22" t="n">
        <v>26</v>
      </c>
      <c r="B1067" s="23" t="n">
        <v>45649</v>
      </c>
      <c r="C1067" s="22" t="s">
        <v>176</v>
      </c>
      <c r="D1067" s="24" t="n">
        <v>99</v>
      </c>
    </row>
    <row r="1068" customFormat="false" ht="15" hidden="false" customHeight="false" outlineLevel="0" collapsed="false">
      <c r="A1068" s="22" t="n">
        <v>27</v>
      </c>
      <c r="B1068" s="23" t="n">
        <v>45656</v>
      </c>
      <c r="C1068" s="22" t="s">
        <v>176</v>
      </c>
      <c r="D1068" s="24" t="n">
        <v>127</v>
      </c>
    </row>
    <row r="1069" customFormat="false" ht="15" hidden="false" customHeight="false" outlineLevel="0" collapsed="false">
      <c r="A1069" s="22" t="n">
        <v>28</v>
      </c>
      <c r="B1069" s="23" t="n">
        <v>45663</v>
      </c>
      <c r="C1069" s="22" t="s">
        <v>176</v>
      </c>
      <c r="D1069" s="24" t="n">
        <v>144</v>
      </c>
    </row>
    <row r="1070" customFormat="false" ht="15" hidden="false" customHeight="false" outlineLevel="0" collapsed="false">
      <c r="A1070" s="22" t="n">
        <v>29</v>
      </c>
      <c r="B1070" s="23" t="n">
        <v>45670</v>
      </c>
      <c r="C1070" s="22" t="s">
        <v>176</v>
      </c>
      <c r="D1070" s="24" t="n">
        <v>111</v>
      </c>
    </row>
    <row r="1071" customFormat="false" ht="15" hidden="false" customHeight="false" outlineLevel="0" collapsed="false">
      <c r="A1071" s="22" t="n">
        <v>30</v>
      </c>
      <c r="B1071" s="23" t="n">
        <v>45677</v>
      </c>
      <c r="C1071" s="22" t="s">
        <v>176</v>
      </c>
      <c r="D1071" s="24" t="n">
        <v>106</v>
      </c>
    </row>
    <row r="1072" customFormat="false" ht="15" hidden="false" customHeight="false" outlineLevel="0" collapsed="false">
      <c r="A1072" s="22" t="n">
        <v>31</v>
      </c>
      <c r="B1072" s="23" t="n">
        <v>45684</v>
      </c>
      <c r="C1072" s="22" t="s">
        <v>176</v>
      </c>
      <c r="D1072" s="24" t="n">
        <v>138</v>
      </c>
    </row>
    <row r="1073" customFormat="false" ht="15" hidden="false" customHeight="false" outlineLevel="0" collapsed="false">
      <c r="A1073" s="22" t="n">
        <v>32</v>
      </c>
      <c r="B1073" s="23" t="n">
        <v>45691</v>
      </c>
      <c r="C1073" s="22" t="s">
        <v>176</v>
      </c>
      <c r="D1073" s="24" t="n">
        <v>122</v>
      </c>
    </row>
    <row r="1074" customFormat="false" ht="15" hidden="false" customHeight="false" outlineLevel="0" collapsed="false">
      <c r="A1074" s="22" t="n">
        <v>33</v>
      </c>
      <c r="B1074" s="23" t="n">
        <v>45698</v>
      </c>
      <c r="C1074" s="22" t="s">
        <v>176</v>
      </c>
      <c r="D1074" s="24" t="n">
        <v>101</v>
      </c>
    </row>
    <row r="1075" customFormat="false" ht="15" hidden="false" customHeight="false" outlineLevel="0" collapsed="false">
      <c r="A1075" s="22" t="n">
        <v>34</v>
      </c>
      <c r="B1075" s="23" t="n">
        <v>45705</v>
      </c>
      <c r="C1075" s="22" t="s">
        <v>176</v>
      </c>
      <c r="D1075" s="24" t="n">
        <v>113</v>
      </c>
    </row>
    <row r="1076" customFormat="false" ht="15" hidden="false" customHeight="false" outlineLevel="0" collapsed="false">
      <c r="A1076" s="22" t="n">
        <v>35</v>
      </c>
      <c r="B1076" s="23" t="n">
        <v>45712</v>
      </c>
      <c r="C1076" s="22" t="s">
        <v>176</v>
      </c>
      <c r="D1076" s="24" t="n">
        <v>107</v>
      </c>
    </row>
    <row r="1077" customFormat="false" ht="15" hidden="false" customHeight="false" outlineLevel="0" collapsed="false">
      <c r="A1077" s="22" t="n">
        <v>36</v>
      </c>
      <c r="B1077" s="23" t="n">
        <v>45719</v>
      </c>
      <c r="C1077" s="22" t="s">
        <v>176</v>
      </c>
      <c r="D1077" s="24" t="n">
        <v>125</v>
      </c>
    </row>
    <row r="1078" customFormat="false" ht="15" hidden="false" customHeight="false" outlineLevel="0" collapsed="false">
      <c r="A1078" s="22" t="n">
        <v>37</v>
      </c>
      <c r="B1078" s="23" t="n">
        <v>45726</v>
      </c>
      <c r="C1078" s="22" t="s">
        <v>176</v>
      </c>
      <c r="D1078" s="24" t="n">
        <v>122</v>
      </c>
    </row>
    <row r="1079" customFormat="false" ht="15" hidden="false" customHeight="false" outlineLevel="0" collapsed="false">
      <c r="A1079" s="22" t="n">
        <v>38</v>
      </c>
      <c r="B1079" s="23" t="n">
        <v>45733</v>
      </c>
      <c r="C1079" s="22" t="s">
        <v>176</v>
      </c>
      <c r="D1079" s="24" t="n">
        <v>140</v>
      </c>
    </row>
    <row r="1080" customFormat="false" ht="15" hidden="false" customHeight="false" outlineLevel="0" collapsed="false">
      <c r="A1080" s="22" t="n">
        <v>39</v>
      </c>
      <c r="B1080" s="23" t="n">
        <v>45740</v>
      </c>
      <c r="C1080" s="22" t="s">
        <v>176</v>
      </c>
      <c r="D1080" s="24" t="n">
        <v>132</v>
      </c>
    </row>
    <row r="1081" customFormat="false" ht="15" hidden="false" customHeight="false" outlineLevel="0" collapsed="false">
      <c r="A1081" s="22" t="n">
        <v>40</v>
      </c>
      <c r="B1081" s="23" t="n">
        <v>45747</v>
      </c>
      <c r="C1081" s="22" t="s">
        <v>176</v>
      </c>
      <c r="D1081" s="24" t="n">
        <v>93</v>
      </c>
    </row>
    <row r="1082" customFormat="false" ht="15" hidden="false" customHeight="false" outlineLevel="0" collapsed="false">
      <c r="A1082" s="22" t="n">
        <v>41</v>
      </c>
      <c r="B1082" s="23" t="n">
        <v>45754</v>
      </c>
      <c r="C1082" s="22" t="s">
        <v>176</v>
      </c>
      <c r="D1082" s="24" t="n">
        <v>127</v>
      </c>
    </row>
    <row r="1083" customFormat="false" ht="15" hidden="false" customHeight="false" outlineLevel="0" collapsed="false">
      <c r="A1083" s="22" t="n">
        <v>42</v>
      </c>
      <c r="B1083" s="23" t="n">
        <v>45761</v>
      </c>
      <c r="C1083" s="22" t="s">
        <v>176</v>
      </c>
      <c r="D1083" s="24" t="n">
        <v>136</v>
      </c>
    </row>
    <row r="1084" customFormat="false" ht="15" hidden="false" customHeight="false" outlineLevel="0" collapsed="false">
      <c r="A1084" s="22" t="n">
        <v>43</v>
      </c>
      <c r="B1084" s="23" t="n">
        <v>45768</v>
      </c>
      <c r="C1084" s="22" t="s">
        <v>176</v>
      </c>
      <c r="D1084" s="24" t="n">
        <v>128</v>
      </c>
    </row>
    <row r="1085" customFormat="false" ht="15" hidden="false" customHeight="false" outlineLevel="0" collapsed="false">
      <c r="A1085" s="22" t="n">
        <v>44</v>
      </c>
      <c r="B1085" s="23" t="n">
        <v>45775</v>
      </c>
      <c r="C1085" s="22" t="s">
        <v>176</v>
      </c>
      <c r="D1085" s="24" t="n">
        <v>138</v>
      </c>
    </row>
    <row r="1086" customFormat="false" ht="15" hidden="false" customHeight="false" outlineLevel="0" collapsed="false">
      <c r="A1086" s="22" t="n">
        <v>45</v>
      </c>
      <c r="B1086" s="23" t="n">
        <v>45782</v>
      </c>
      <c r="C1086" s="22" t="s">
        <v>176</v>
      </c>
      <c r="D1086" s="24" t="n">
        <v>110</v>
      </c>
    </row>
    <row r="1087" customFormat="false" ht="15" hidden="false" customHeight="false" outlineLevel="0" collapsed="false">
      <c r="A1087" s="22" t="n">
        <v>46</v>
      </c>
      <c r="B1087" s="23" t="n">
        <v>45789</v>
      </c>
      <c r="C1087" s="22" t="s">
        <v>176</v>
      </c>
      <c r="D1087" s="24" t="n">
        <v>103</v>
      </c>
    </row>
    <row r="1088" customFormat="false" ht="15" hidden="false" customHeight="false" outlineLevel="0" collapsed="false">
      <c r="A1088" s="22" t="n">
        <v>47</v>
      </c>
      <c r="B1088" s="23" t="n">
        <v>45796</v>
      </c>
      <c r="C1088" s="22" t="s">
        <v>176</v>
      </c>
      <c r="D1088" s="24" t="n">
        <v>136</v>
      </c>
    </row>
    <row r="1089" customFormat="false" ht="15" hidden="false" customHeight="false" outlineLevel="0" collapsed="false">
      <c r="A1089" s="22" t="n">
        <v>48</v>
      </c>
      <c r="B1089" s="23" t="n">
        <v>45803</v>
      </c>
      <c r="C1089" s="22" t="s">
        <v>176</v>
      </c>
      <c r="D1089" s="24" t="n">
        <v>101</v>
      </c>
    </row>
    <row r="1090" customFormat="false" ht="15" hidden="false" customHeight="false" outlineLevel="0" collapsed="false">
      <c r="A1090" s="22" t="n">
        <v>49</v>
      </c>
      <c r="B1090" s="23" t="n">
        <v>45810</v>
      </c>
      <c r="C1090" s="22" t="s">
        <v>176</v>
      </c>
      <c r="D1090" s="24" t="n">
        <v>82</v>
      </c>
    </row>
    <row r="1091" customFormat="false" ht="15" hidden="false" customHeight="false" outlineLevel="0" collapsed="false">
      <c r="A1091" s="22" t="n">
        <v>50</v>
      </c>
      <c r="B1091" s="23" t="n">
        <v>45817</v>
      </c>
      <c r="C1091" s="22" t="s">
        <v>176</v>
      </c>
      <c r="D1091" s="24" t="n">
        <v>138</v>
      </c>
    </row>
    <row r="1092" customFormat="false" ht="15" hidden="false" customHeight="false" outlineLevel="0" collapsed="false">
      <c r="A1092" s="22" t="n">
        <v>51</v>
      </c>
      <c r="B1092" s="23" t="n">
        <v>45824</v>
      </c>
      <c r="C1092" s="22" t="s">
        <v>176</v>
      </c>
      <c r="D1092" s="24" t="n">
        <v>107</v>
      </c>
    </row>
    <row r="1093" customFormat="false" ht="15" hidden="false" customHeight="false" outlineLevel="0" collapsed="false">
      <c r="A1093" s="22" t="n">
        <v>52</v>
      </c>
      <c r="B1093" s="23" t="n">
        <v>45831</v>
      </c>
      <c r="C1093" s="22" t="s">
        <v>176</v>
      </c>
      <c r="D1093" s="24" t="n">
        <v>115</v>
      </c>
    </row>
    <row r="1094" customFormat="false" ht="15" hidden="false" customHeight="false" outlineLevel="0" collapsed="false">
      <c r="A1094" s="22" t="n">
        <v>53</v>
      </c>
      <c r="B1094" s="23" t="n">
        <v>45838</v>
      </c>
      <c r="C1094" s="22" t="s">
        <v>176</v>
      </c>
      <c r="D1094" s="24" t="n">
        <v>95</v>
      </c>
    </row>
    <row r="1095" customFormat="false" ht="15" hidden="false" customHeight="false" outlineLevel="0" collapsed="false">
      <c r="A1095" s="22" t="n">
        <v>54</v>
      </c>
      <c r="B1095" s="23" t="n">
        <v>45845</v>
      </c>
      <c r="C1095" s="22" t="s">
        <v>176</v>
      </c>
      <c r="D1095" s="24" t="n">
        <v>97</v>
      </c>
    </row>
    <row r="1096" customFormat="false" ht="15" hidden="false" customHeight="false" outlineLevel="0" collapsed="false">
      <c r="A1096" s="22" t="n">
        <v>55</v>
      </c>
      <c r="B1096" s="23" t="n">
        <v>45852</v>
      </c>
      <c r="C1096" s="22" t="s">
        <v>176</v>
      </c>
      <c r="D1096" s="24" t="n">
        <v>100</v>
      </c>
    </row>
    <row r="1097" customFormat="false" ht="15" hidden="false" customHeight="false" outlineLevel="0" collapsed="false">
      <c r="A1097" s="22" t="n">
        <v>56</v>
      </c>
      <c r="B1097" s="23" t="n">
        <v>45859</v>
      </c>
      <c r="C1097" s="22" t="s">
        <v>176</v>
      </c>
      <c r="D1097" s="24" t="n">
        <v>114</v>
      </c>
    </row>
    <row r="1098" customFormat="false" ht="15" hidden="false" customHeight="false" outlineLevel="0" collapsed="false">
      <c r="A1098" s="22" t="n">
        <v>57</v>
      </c>
      <c r="B1098" s="23" t="n">
        <v>45866</v>
      </c>
      <c r="C1098" s="22" t="s">
        <v>176</v>
      </c>
      <c r="D1098" s="24" t="n">
        <v>127</v>
      </c>
    </row>
    <row r="1099" customFormat="false" ht="15" hidden="false" customHeight="false" outlineLevel="0" collapsed="false">
      <c r="A1099" s="22" t="n">
        <v>58</v>
      </c>
      <c r="B1099" s="23" t="n">
        <v>45873</v>
      </c>
      <c r="C1099" s="22" t="s">
        <v>176</v>
      </c>
      <c r="D1099" s="24" t="n">
        <v>80</v>
      </c>
    </row>
    <row r="1100" customFormat="false" ht="15" hidden="false" customHeight="false" outlineLevel="0" collapsed="false">
      <c r="A1100" s="22" t="n">
        <v>59</v>
      </c>
      <c r="B1100" s="23" t="n">
        <v>45880</v>
      </c>
      <c r="C1100" s="22" t="s">
        <v>176</v>
      </c>
      <c r="D1100" s="24" t="n">
        <v>133</v>
      </c>
    </row>
    <row r="1101" customFormat="false" ht="15" hidden="false" customHeight="false" outlineLevel="0" collapsed="false">
      <c r="A1101" s="22" t="n">
        <v>60</v>
      </c>
      <c r="B1101" s="23" t="n">
        <v>45887</v>
      </c>
      <c r="C1101" s="22" t="s">
        <v>176</v>
      </c>
      <c r="D1101" s="24" t="n">
        <v>99</v>
      </c>
    </row>
    <row r="1102" customFormat="false" ht="15" hidden="false" customHeight="false" outlineLevel="0" collapsed="false">
      <c r="A1102" s="22" t="n">
        <v>61</v>
      </c>
      <c r="B1102" s="23" t="n">
        <v>45894</v>
      </c>
      <c r="C1102" s="22" t="s">
        <v>176</v>
      </c>
      <c r="D1102" s="24" t="n">
        <v>101</v>
      </c>
    </row>
    <row r="1103" customFormat="false" ht="15" hidden="false" customHeight="false" outlineLevel="0" collapsed="false">
      <c r="A1103" s="22" t="n">
        <v>62</v>
      </c>
      <c r="B1103" s="23" t="n">
        <v>45901</v>
      </c>
      <c r="C1103" s="22" t="s">
        <v>176</v>
      </c>
      <c r="D1103" s="24" t="n">
        <v>132</v>
      </c>
    </row>
    <row r="1104" customFormat="false" ht="15" hidden="false" customHeight="false" outlineLevel="0" collapsed="false">
      <c r="A1104" s="22" t="n">
        <v>63</v>
      </c>
      <c r="B1104" s="23" t="n">
        <v>45908</v>
      </c>
      <c r="C1104" s="22" t="s">
        <v>176</v>
      </c>
      <c r="D1104" s="24" t="n">
        <v>119</v>
      </c>
    </row>
    <row r="1105" customFormat="false" ht="15" hidden="false" customHeight="false" outlineLevel="0" collapsed="false">
      <c r="A1105" s="22" t="n">
        <v>64</v>
      </c>
      <c r="B1105" s="23" t="n">
        <v>45915</v>
      </c>
      <c r="C1105" s="22" t="s">
        <v>176</v>
      </c>
      <c r="D1105" s="24" t="n">
        <v>93</v>
      </c>
    </row>
    <row r="1106" customFormat="false" ht="15" hidden="false" customHeight="false" outlineLevel="0" collapsed="false">
      <c r="A1106" s="22" t="n">
        <v>65</v>
      </c>
      <c r="B1106" s="23" t="n">
        <v>45922</v>
      </c>
      <c r="C1106" s="22" t="s">
        <v>176</v>
      </c>
      <c r="D1106" s="24" t="n">
        <v>152</v>
      </c>
    </row>
    <row r="1107" customFormat="false" ht="15" hidden="false" customHeight="false" outlineLevel="0" collapsed="false">
      <c r="A1107" s="22" t="n">
        <v>66</v>
      </c>
      <c r="B1107" s="23" t="n">
        <v>45929</v>
      </c>
      <c r="C1107" s="22" t="s">
        <v>176</v>
      </c>
      <c r="D1107" s="24" t="n">
        <v>105</v>
      </c>
    </row>
    <row r="1108" customFormat="false" ht="15" hidden="false" customHeight="false" outlineLevel="0" collapsed="false">
      <c r="A1108" s="22" t="n">
        <v>67</v>
      </c>
      <c r="B1108" s="23" t="n">
        <v>45936</v>
      </c>
      <c r="C1108" s="22" t="s">
        <v>176</v>
      </c>
      <c r="D1108" s="24" t="n">
        <v>124</v>
      </c>
    </row>
    <row r="1109" customFormat="false" ht="15" hidden="false" customHeight="false" outlineLevel="0" collapsed="false">
      <c r="A1109" s="22" t="n">
        <v>68</v>
      </c>
      <c r="B1109" s="23" t="n">
        <v>45943</v>
      </c>
      <c r="C1109" s="22" t="s">
        <v>176</v>
      </c>
      <c r="D1109" s="24" t="n">
        <v>124</v>
      </c>
    </row>
    <row r="1110" customFormat="false" ht="15" hidden="false" customHeight="false" outlineLevel="0" collapsed="false">
      <c r="A1110" s="22" t="n">
        <v>69</v>
      </c>
      <c r="B1110" s="23" t="n">
        <v>45950</v>
      </c>
      <c r="C1110" s="22" t="s">
        <v>176</v>
      </c>
      <c r="D1110" s="24" t="n">
        <v>145</v>
      </c>
    </row>
    <row r="1111" customFormat="false" ht="15" hidden="false" customHeight="false" outlineLevel="0" collapsed="false">
      <c r="A1111" s="22" t="n">
        <v>70</v>
      </c>
      <c r="B1111" s="23" t="n">
        <v>45957</v>
      </c>
      <c r="C1111" s="22" t="s">
        <v>176</v>
      </c>
      <c r="D1111" s="24" t="n">
        <v>112</v>
      </c>
    </row>
    <row r="1112" customFormat="false" ht="15" hidden="false" customHeight="false" outlineLevel="0" collapsed="false">
      <c r="A1112" s="22" t="n">
        <v>71</v>
      </c>
      <c r="B1112" s="23" t="n">
        <v>45964</v>
      </c>
      <c r="C1112" s="22" t="s">
        <v>176</v>
      </c>
      <c r="D1112" s="24" t="n">
        <v>138</v>
      </c>
    </row>
    <row r="1113" customFormat="false" ht="15" hidden="false" customHeight="false" outlineLevel="0" collapsed="false">
      <c r="A1113" s="22" t="n">
        <v>72</v>
      </c>
      <c r="B1113" s="23" t="n">
        <v>45971</v>
      </c>
      <c r="C1113" s="22" t="s">
        <v>176</v>
      </c>
      <c r="D1113" s="24" t="n">
        <v>107</v>
      </c>
    </row>
    <row r="1114" customFormat="false" ht="15" hidden="false" customHeight="false" outlineLevel="0" collapsed="false">
      <c r="A1114" s="22" t="n">
        <v>73</v>
      </c>
      <c r="B1114" s="23" t="n">
        <v>45978</v>
      </c>
      <c r="C1114" s="22" t="s">
        <v>176</v>
      </c>
      <c r="D1114" s="24" t="n">
        <v>140</v>
      </c>
    </row>
    <row r="1115" customFormat="false" ht="15" hidden="false" customHeight="false" outlineLevel="0" collapsed="false">
      <c r="A1115" s="22" t="n">
        <v>74</v>
      </c>
      <c r="B1115" s="23" t="n">
        <v>45985</v>
      </c>
      <c r="C1115" s="22" t="s">
        <v>176</v>
      </c>
      <c r="D1115" s="24" t="n">
        <v>107</v>
      </c>
    </row>
    <row r="1116" customFormat="false" ht="15" hidden="false" customHeight="false" outlineLevel="0" collapsed="false">
      <c r="A1116" s="22" t="n">
        <v>75</v>
      </c>
      <c r="B1116" s="23" t="n">
        <v>45992</v>
      </c>
      <c r="C1116" s="22" t="s">
        <v>176</v>
      </c>
      <c r="D1116" s="24" t="n">
        <v>114</v>
      </c>
    </row>
    <row r="1117" customFormat="false" ht="15" hidden="false" customHeight="false" outlineLevel="0" collapsed="false">
      <c r="A1117" s="22" t="n">
        <v>76</v>
      </c>
      <c r="B1117" s="23" t="n">
        <v>45999</v>
      </c>
      <c r="C1117" s="22" t="s">
        <v>176</v>
      </c>
      <c r="D1117" s="24" t="n">
        <v>153</v>
      </c>
    </row>
    <row r="1118" customFormat="false" ht="15" hidden="false" customHeight="false" outlineLevel="0" collapsed="false">
      <c r="A1118" s="22" t="n">
        <v>77</v>
      </c>
      <c r="B1118" s="23" t="n">
        <v>46006</v>
      </c>
      <c r="C1118" s="22" t="s">
        <v>176</v>
      </c>
      <c r="D1118" s="24" t="n">
        <v>126</v>
      </c>
    </row>
    <row r="1119" customFormat="false" ht="15" hidden="false" customHeight="false" outlineLevel="0" collapsed="false">
      <c r="A1119" s="22" t="n">
        <v>78</v>
      </c>
      <c r="B1119" s="23" t="n">
        <v>46013</v>
      </c>
      <c r="C1119" s="22" t="s">
        <v>176</v>
      </c>
      <c r="D1119" s="24" t="n">
        <v>122</v>
      </c>
    </row>
    <row r="1120" customFormat="false" ht="15" hidden="false" customHeight="false" outlineLevel="0" collapsed="false">
      <c r="A1120" s="22" t="n">
        <v>79</v>
      </c>
      <c r="B1120" s="23" t="n">
        <v>46020</v>
      </c>
      <c r="C1120" s="22" t="s">
        <v>176</v>
      </c>
      <c r="D1120" s="24" t="n">
        <v>159</v>
      </c>
    </row>
    <row r="1121" customFormat="false" ht="15" hidden="false" customHeight="false" outlineLevel="0" collapsed="false">
      <c r="A1121" s="22" t="n">
        <v>80</v>
      </c>
      <c r="B1121" s="23" t="n">
        <v>46027</v>
      </c>
      <c r="C1121" s="22" t="s">
        <v>176</v>
      </c>
      <c r="D1121" s="24" t="n">
        <v>126</v>
      </c>
    </row>
    <row r="1122" customFormat="false" ht="15" hidden="false" customHeight="false" outlineLevel="0" collapsed="false">
      <c r="A1122" s="22" t="n">
        <v>81</v>
      </c>
      <c r="B1122" s="23" t="n">
        <v>46034</v>
      </c>
      <c r="C1122" s="22" t="s">
        <v>176</v>
      </c>
      <c r="D1122" s="24" t="n">
        <v>106</v>
      </c>
    </row>
    <row r="1123" customFormat="false" ht="15" hidden="false" customHeight="false" outlineLevel="0" collapsed="false">
      <c r="A1123" s="22" t="n">
        <v>82</v>
      </c>
      <c r="B1123" s="23" t="n">
        <v>46041</v>
      </c>
      <c r="C1123" s="22" t="s">
        <v>176</v>
      </c>
      <c r="D1123" s="24" t="n">
        <v>133</v>
      </c>
    </row>
    <row r="1124" customFormat="false" ht="15" hidden="false" customHeight="false" outlineLevel="0" collapsed="false">
      <c r="A1124" s="22" t="n">
        <v>83</v>
      </c>
      <c r="B1124" s="23" t="n">
        <v>46048</v>
      </c>
      <c r="C1124" s="22" t="s">
        <v>176</v>
      </c>
      <c r="D1124" s="24" t="n">
        <v>99</v>
      </c>
    </row>
    <row r="1125" customFormat="false" ht="15" hidden="false" customHeight="false" outlineLevel="0" collapsed="false">
      <c r="A1125" s="22" t="n">
        <v>84</v>
      </c>
      <c r="B1125" s="23" t="n">
        <v>46055</v>
      </c>
      <c r="C1125" s="22" t="s">
        <v>176</v>
      </c>
      <c r="D1125" s="24" t="n">
        <v>140</v>
      </c>
    </row>
    <row r="1126" customFormat="false" ht="15" hidden="false" customHeight="false" outlineLevel="0" collapsed="false">
      <c r="A1126" s="22" t="n">
        <v>85</v>
      </c>
      <c r="B1126" s="23" t="n">
        <v>46062</v>
      </c>
      <c r="C1126" s="22" t="s">
        <v>176</v>
      </c>
      <c r="D1126" s="24" t="n">
        <v>141</v>
      </c>
    </row>
    <row r="1127" customFormat="false" ht="15" hidden="false" customHeight="false" outlineLevel="0" collapsed="false">
      <c r="A1127" s="22" t="n">
        <v>86</v>
      </c>
      <c r="B1127" s="23" t="n">
        <v>46069</v>
      </c>
      <c r="C1127" s="22" t="s">
        <v>176</v>
      </c>
      <c r="D1127" s="24" t="n">
        <v>110</v>
      </c>
    </row>
    <row r="1128" customFormat="false" ht="15" hidden="false" customHeight="false" outlineLevel="0" collapsed="false">
      <c r="A1128" s="22" t="n">
        <v>87</v>
      </c>
      <c r="B1128" s="23" t="n">
        <v>46076</v>
      </c>
      <c r="C1128" s="22" t="s">
        <v>176</v>
      </c>
      <c r="D1128" s="24" t="n">
        <v>109</v>
      </c>
    </row>
    <row r="1129" customFormat="false" ht="15" hidden="false" customHeight="false" outlineLevel="0" collapsed="false">
      <c r="A1129" s="22" t="n">
        <v>88</v>
      </c>
      <c r="B1129" s="23" t="n">
        <v>46083</v>
      </c>
      <c r="C1129" s="22" t="s">
        <v>176</v>
      </c>
      <c r="D1129" s="24" t="n">
        <v>123</v>
      </c>
    </row>
    <row r="1130" customFormat="false" ht="15" hidden="false" customHeight="false" outlineLevel="0" collapsed="false">
      <c r="A1130" s="22" t="n">
        <v>89</v>
      </c>
      <c r="B1130" s="23" t="n">
        <v>46090</v>
      </c>
      <c r="C1130" s="22" t="s">
        <v>176</v>
      </c>
      <c r="D1130" s="24" t="n">
        <v>120</v>
      </c>
    </row>
    <row r="1131" customFormat="false" ht="15" hidden="false" customHeight="false" outlineLevel="0" collapsed="false">
      <c r="A1131" s="22" t="n">
        <v>90</v>
      </c>
      <c r="B1131" s="23" t="n">
        <v>46097</v>
      </c>
      <c r="C1131" s="22" t="s">
        <v>176</v>
      </c>
      <c r="D1131" s="24" t="n">
        <v>103</v>
      </c>
    </row>
    <row r="1132" customFormat="false" ht="15" hidden="false" customHeight="false" outlineLevel="0" collapsed="false">
      <c r="A1132" s="22" t="n">
        <v>91</v>
      </c>
      <c r="B1132" s="23" t="n">
        <v>46104</v>
      </c>
      <c r="C1132" s="22" t="s">
        <v>176</v>
      </c>
      <c r="D1132" s="24" t="n">
        <v>130</v>
      </c>
    </row>
    <row r="1133" customFormat="false" ht="15" hidden="false" customHeight="false" outlineLevel="0" collapsed="false">
      <c r="A1133" s="22" t="n">
        <v>92</v>
      </c>
      <c r="B1133" s="23" t="n">
        <v>46111</v>
      </c>
      <c r="C1133" s="22" t="s">
        <v>176</v>
      </c>
      <c r="D1133" s="24" t="n">
        <v>84</v>
      </c>
    </row>
    <row r="1134" customFormat="false" ht="15" hidden="false" customHeight="false" outlineLevel="0" collapsed="false">
      <c r="A1134" s="22" t="n">
        <v>93</v>
      </c>
      <c r="B1134" s="23" t="n">
        <v>46118</v>
      </c>
      <c r="C1134" s="22" t="s">
        <v>176</v>
      </c>
      <c r="D1134" s="24" t="n">
        <v>112</v>
      </c>
    </row>
    <row r="1135" customFormat="false" ht="15" hidden="false" customHeight="false" outlineLevel="0" collapsed="false">
      <c r="A1135" s="22" t="n">
        <v>94</v>
      </c>
      <c r="B1135" s="23" t="n">
        <v>46125</v>
      </c>
      <c r="C1135" s="22" t="s">
        <v>176</v>
      </c>
      <c r="D1135" s="24" t="n">
        <v>113</v>
      </c>
    </row>
    <row r="1136" customFormat="false" ht="15" hidden="false" customHeight="false" outlineLevel="0" collapsed="false">
      <c r="A1136" s="22" t="n">
        <v>95</v>
      </c>
      <c r="B1136" s="23" t="n">
        <v>46132</v>
      </c>
      <c r="C1136" s="22" t="s">
        <v>176</v>
      </c>
      <c r="D1136" s="24" t="n">
        <v>115</v>
      </c>
    </row>
    <row r="1137" customFormat="false" ht="15" hidden="false" customHeight="false" outlineLevel="0" collapsed="false">
      <c r="A1137" s="22" t="n">
        <v>96</v>
      </c>
      <c r="B1137" s="23" t="n">
        <v>46139</v>
      </c>
      <c r="C1137" s="22" t="s">
        <v>176</v>
      </c>
      <c r="D1137" s="24" t="n">
        <v>125</v>
      </c>
    </row>
    <row r="1138" customFormat="false" ht="15" hidden="false" customHeight="false" outlineLevel="0" collapsed="false">
      <c r="A1138" s="22" t="n">
        <v>97</v>
      </c>
      <c r="B1138" s="23" t="n">
        <v>46146</v>
      </c>
      <c r="C1138" s="22" t="s">
        <v>176</v>
      </c>
      <c r="D1138" s="24" t="n">
        <v>98</v>
      </c>
    </row>
    <row r="1139" customFormat="false" ht="15" hidden="false" customHeight="false" outlineLevel="0" collapsed="false">
      <c r="A1139" s="22" t="n">
        <v>98</v>
      </c>
      <c r="B1139" s="23" t="n">
        <v>46153</v>
      </c>
      <c r="C1139" s="22" t="s">
        <v>176</v>
      </c>
      <c r="D1139" s="24" t="n">
        <v>130</v>
      </c>
    </row>
    <row r="1140" customFormat="false" ht="15" hidden="false" customHeight="false" outlineLevel="0" collapsed="false">
      <c r="A1140" s="22" t="n">
        <v>99</v>
      </c>
      <c r="B1140" s="23" t="n">
        <v>46160</v>
      </c>
      <c r="C1140" s="22" t="s">
        <v>176</v>
      </c>
      <c r="D1140" s="24" t="n">
        <v>117</v>
      </c>
    </row>
    <row r="1141" customFormat="false" ht="15" hidden="false" customHeight="false" outlineLevel="0" collapsed="false">
      <c r="A1141" s="22" t="n">
        <v>100</v>
      </c>
      <c r="B1141" s="23" t="n">
        <v>46167</v>
      </c>
      <c r="C1141" s="22" t="s">
        <v>176</v>
      </c>
      <c r="D1141" s="24" t="n">
        <v>109</v>
      </c>
    </row>
    <row r="1142" customFormat="false" ht="15" hidden="false" customHeight="false" outlineLevel="0" collapsed="false">
      <c r="A1142" s="22" t="n">
        <v>101</v>
      </c>
      <c r="B1142" s="23" t="n">
        <v>46174</v>
      </c>
      <c r="C1142" s="22" t="s">
        <v>176</v>
      </c>
      <c r="D1142" s="24" t="n">
        <v>96</v>
      </c>
    </row>
    <row r="1143" customFormat="false" ht="15" hidden="false" customHeight="false" outlineLevel="0" collapsed="false">
      <c r="A1143" s="22" t="n">
        <v>102</v>
      </c>
      <c r="B1143" s="23" t="n">
        <v>46181</v>
      </c>
      <c r="C1143" s="22" t="s">
        <v>176</v>
      </c>
      <c r="D1143" s="24" t="n">
        <v>99</v>
      </c>
    </row>
    <row r="1144" customFormat="false" ht="15" hidden="false" customHeight="false" outlineLevel="0" collapsed="false">
      <c r="A1144" s="22" t="n">
        <v>103</v>
      </c>
      <c r="B1144" s="23" t="n">
        <v>46188</v>
      </c>
      <c r="C1144" s="22" t="s">
        <v>176</v>
      </c>
      <c r="D1144" s="24" t="n">
        <v>126</v>
      </c>
    </row>
    <row r="1145" customFormat="false" ht="15" hidden="false" customHeight="false" outlineLevel="0" collapsed="false">
      <c r="A1145" s="22" t="n">
        <v>104</v>
      </c>
      <c r="B1145" s="23" t="n">
        <v>46195</v>
      </c>
      <c r="C1145" s="22" t="s">
        <v>176</v>
      </c>
      <c r="D1145" s="24" t="n">
        <v>103</v>
      </c>
    </row>
    <row r="1146" customFormat="false" ht="15" hidden="false" customHeight="false" outlineLevel="0" collapsed="false">
      <c r="A1146" s="22" t="n">
        <v>1</v>
      </c>
      <c r="B1146" s="23" t="n">
        <v>45474</v>
      </c>
      <c r="C1146" s="22" t="s">
        <v>179</v>
      </c>
      <c r="D1146" s="24" t="n">
        <v>166</v>
      </c>
    </row>
    <row r="1147" customFormat="false" ht="15" hidden="false" customHeight="false" outlineLevel="0" collapsed="false">
      <c r="A1147" s="22" t="n">
        <v>2</v>
      </c>
      <c r="B1147" s="23" t="n">
        <v>45481</v>
      </c>
      <c r="C1147" s="22" t="s">
        <v>179</v>
      </c>
      <c r="D1147" s="24" t="n">
        <v>166</v>
      </c>
    </row>
    <row r="1148" customFormat="false" ht="15" hidden="false" customHeight="false" outlineLevel="0" collapsed="false">
      <c r="A1148" s="22" t="n">
        <v>3</v>
      </c>
      <c r="B1148" s="23" t="n">
        <v>45488</v>
      </c>
      <c r="C1148" s="22" t="s">
        <v>179</v>
      </c>
      <c r="D1148" s="24" t="n">
        <v>173</v>
      </c>
    </row>
    <row r="1149" customFormat="false" ht="15" hidden="false" customHeight="false" outlineLevel="0" collapsed="false">
      <c r="A1149" s="22" t="n">
        <v>4</v>
      </c>
      <c r="B1149" s="23" t="n">
        <v>45495</v>
      </c>
      <c r="C1149" s="22" t="s">
        <v>179</v>
      </c>
      <c r="D1149" s="24" t="n">
        <v>146</v>
      </c>
    </row>
    <row r="1150" customFormat="false" ht="15" hidden="false" customHeight="false" outlineLevel="0" collapsed="false">
      <c r="A1150" s="22" t="n">
        <v>5</v>
      </c>
      <c r="B1150" s="23" t="n">
        <v>45502</v>
      </c>
      <c r="C1150" s="22" t="s">
        <v>179</v>
      </c>
      <c r="D1150" s="24" t="n">
        <v>134</v>
      </c>
    </row>
    <row r="1151" customFormat="false" ht="15" hidden="false" customHeight="false" outlineLevel="0" collapsed="false">
      <c r="A1151" s="22" t="n">
        <v>6</v>
      </c>
      <c r="B1151" s="23" t="n">
        <v>45509</v>
      </c>
      <c r="C1151" s="22" t="s">
        <v>179</v>
      </c>
      <c r="D1151" s="24" t="n">
        <v>165</v>
      </c>
    </row>
    <row r="1152" customFormat="false" ht="15" hidden="false" customHeight="false" outlineLevel="0" collapsed="false">
      <c r="A1152" s="22" t="n">
        <v>7</v>
      </c>
      <c r="B1152" s="23" t="n">
        <v>45516</v>
      </c>
      <c r="C1152" s="22" t="s">
        <v>179</v>
      </c>
      <c r="D1152" s="24" t="n">
        <v>155</v>
      </c>
    </row>
    <row r="1153" customFormat="false" ht="15" hidden="false" customHeight="false" outlineLevel="0" collapsed="false">
      <c r="A1153" s="22" t="n">
        <v>8</v>
      </c>
      <c r="B1153" s="23" t="n">
        <v>45523</v>
      </c>
      <c r="C1153" s="22" t="s">
        <v>179</v>
      </c>
      <c r="D1153" s="24" t="n">
        <v>167</v>
      </c>
    </row>
    <row r="1154" customFormat="false" ht="15" hidden="false" customHeight="false" outlineLevel="0" collapsed="false">
      <c r="A1154" s="22" t="n">
        <v>9</v>
      </c>
      <c r="B1154" s="23" t="n">
        <v>45530</v>
      </c>
      <c r="C1154" s="22" t="s">
        <v>179</v>
      </c>
      <c r="D1154" s="24" t="n">
        <v>150</v>
      </c>
    </row>
    <row r="1155" customFormat="false" ht="15" hidden="false" customHeight="false" outlineLevel="0" collapsed="false">
      <c r="A1155" s="22" t="n">
        <v>10</v>
      </c>
      <c r="B1155" s="23" t="n">
        <v>45537</v>
      </c>
      <c r="C1155" s="22" t="s">
        <v>179</v>
      </c>
      <c r="D1155" s="24" t="n">
        <v>168</v>
      </c>
    </row>
    <row r="1156" customFormat="false" ht="15" hidden="false" customHeight="false" outlineLevel="0" collapsed="false">
      <c r="A1156" s="22" t="n">
        <v>11</v>
      </c>
      <c r="B1156" s="23" t="n">
        <v>45544</v>
      </c>
      <c r="C1156" s="22" t="s">
        <v>179</v>
      </c>
      <c r="D1156" s="24" t="n">
        <v>163</v>
      </c>
    </row>
    <row r="1157" customFormat="false" ht="15" hidden="false" customHeight="false" outlineLevel="0" collapsed="false">
      <c r="A1157" s="22" t="n">
        <v>12</v>
      </c>
      <c r="B1157" s="23" t="n">
        <v>45551</v>
      </c>
      <c r="C1157" s="22" t="s">
        <v>179</v>
      </c>
      <c r="D1157" s="24" t="n">
        <v>161</v>
      </c>
    </row>
    <row r="1158" customFormat="false" ht="15" hidden="false" customHeight="false" outlineLevel="0" collapsed="false">
      <c r="A1158" s="22" t="n">
        <v>13</v>
      </c>
      <c r="B1158" s="23" t="n">
        <v>45558</v>
      </c>
      <c r="C1158" s="22" t="s">
        <v>179</v>
      </c>
      <c r="D1158" s="24" t="n">
        <v>158</v>
      </c>
    </row>
    <row r="1159" customFormat="false" ht="15" hidden="false" customHeight="false" outlineLevel="0" collapsed="false">
      <c r="A1159" s="22" t="n">
        <v>14</v>
      </c>
      <c r="B1159" s="23" t="n">
        <v>45565</v>
      </c>
      <c r="C1159" s="22" t="s">
        <v>179</v>
      </c>
      <c r="D1159" s="24" t="n">
        <v>156</v>
      </c>
    </row>
    <row r="1160" customFormat="false" ht="15" hidden="false" customHeight="false" outlineLevel="0" collapsed="false">
      <c r="A1160" s="22" t="n">
        <v>15</v>
      </c>
      <c r="B1160" s="23" t="n">
        <v>45572</v>
      </c>
      <c r="C1160" s="22" t="s">
        <v>179</v>
      </c>
      <c r="D1160" s="24" t="n">
        <v>154</v>
      </c>
    </row>
    <row r="1161" customFormat="false" ht="15" hidden="false" customHeight="false" outlineLevel="0" collapsed="false">
      <c r="A1161" s="22" t="n">
        <v>16</v>
      </c>
      <c r="B1161" s="23" t="n">
        <v>45579</v>
      </c>
      <c r="C1161" s="22" t="s">
        <v>179</v>
      </c>
      <c r="D1161" s="24" t="n">
        <v>153</v>
      </c>
    </row>
    <row r="1162" customFormat="false" ht="15" hidden="false" customHeight="false" outlineLevel="0" collapsed="false">
      <c r="A1162" s="22" t="n">
        <v>17</v>
      </c>
      <c r="B1162" s="23" t="n">
        <v>45586</v>
      </c>
      <c r="C1162" s="22" t="s">
        <v>179</v>
      </c>
      <c r="D1162" s="24" t="n">
        <v>165</v>
      </c>
    </row>
    <row r="1163" customFormat="false" ht="15" hidden="false" customHeight="false" outlineLevel="0" collapsed="false">
      <c r="A1163" s="22" t="n">
        <v>18</v>
      </c>
      <c r="B1163" s="23" t="n">
        <v>45593</v>
      </c>
      <c r="C1163" s="22" t="s">
        <v>179</v>
      </c>
      <c r="D1163" s="24" t="n">
        <v>142</v>
      </c>
    </row>
    <row r="1164" customFormat="false" ht="15" hidden="false" customHeight="false" outlineLevel="0" collapsed="false">
      <c r="A1164" s="22" t="n">
        <v>19</v>
      </c>
      <c r="B1164" s="23" t="n">
        <v>45600</v>
      </c>
      <c r="C1164" s="22" t="s">
        <v>179</v>
      </c>
      <c r="D1164" s="24" t="n">
        <v>176</v>
      </c>
    </row>
    <row r="1165" customFormat="false" ht="15" hidden="false" customHeight="false" outlineLevel="0" collapsed="false">
      <c r="A1165" s="22" t="n">
        <v>20</v>
      </c>
      <c r="B1165" s="23" t="n">
        <v>45607</v>
      </c>
      <c r="C1165" s="22" t="s">
        <v>179</v>
      </c>
      <c r="D1165" s="24" t="n">
        <v>148</v>
      </c>
    </row>
    <row r="1166" customFormat="false" ht="15" hidden="false" customHeight="false" outlineLevel="0" collapsed="false">
      <c r="A1166" s="22" t="n">
        <v>21</v>
      </c>
      <c r="B1166" s="23" t="n">
        <v>45614</v>
      </c>
      <c r="C1166" s="22" t="s">
        <v>179</v>
      </c>
      <c r="D1166" s="24" t="n">
        <v>165</v>
      </c>
    </row>
    <row r="1167" customFormat="false" ht="15" hidden="false" customHeight="false" outlineLevel="0" collapsed="false">
      <c r="A1167" s="22" t="n">
        <v>22</v>
      </c>
      <c r="B1167" s="23" t="n">
        <v>45621</v>
      </c>
      <c r="C1167" s="22" t="s">
        <v>179</v>
      </c>
      <c r="D1167" s="24" t="n">
        <v>149</v>
      </c>
    </row>
    <row r="1168" customFormat="false" ht="15" hidden="false" customHeight="false" outlineLevel="0" collapsed="false">
      <c r="A1168" s="22" t="n">
        <v>23</v>
      </c>
      <c r="B1168" s="23" t="n">
        <v>45628</v>
      </c>
      <c r="C1168" s="22" t="s">
        <v>179</v>
      </c>
      <c r="D1168" s="24" t="n">
        <v>146</v>
      </c>
    </row>
    <row r="1169" customFormat="false" ht="15" hidden="false" customHeight="false" outlineLevel="0" collapsed="false">
      <c r="A1169" s="22" t="n">
        <v>24</v>
      </c>
      <c r="B1169" s="23" t="n">
        <v>45635</v>
      </c>
      <c r="C1169" s="22" t="s">
        <v>179</v>
      </c>
      <c r="D1169" s="24" t="n">
        <v>181</v>
      </c>
    </row>
    <row r="1170" customFormat="false" ht="15" hidden="false" customHeight="false" outlineLevel="0" collapsed="false">
      <c r="A1170" s="22" t="n">
        <v>25</v>
      </c>
      <c r="B1170" s="23" t="n">
        <v>45642</v>
      </c>
      <c r="C1170" s="22" t="s">
        <v>179</v>
      </c>
      <c r="D1170" s="24" t="n">
        <v>145</v>
      </c>
    </row>
    <row r="1171" customFormat="false" ht="15" hidden="false" customHeight="false" outlineLevel="0" collapsed="false">
      <c r="A1171" s="22" t="n">
        <v>26</v>
      </c>
      <c r="B1171" s="23" t="n">
        <v>45649</v>
      </c>
      <c r="C1171" s="22" t="s">
        <v>179</v>
      </c>
      <c r="D1171" s="24" t="n">
        <v>131</v>
      </c>
    </row>
    <row r="1172" customFormat="false" ht="15" hidden="false" customHeight="false" outlineLevel="0" collapsed="false">
      <c r="A1172" s="22" t="n">
        <v>27</v>
      </c>
      <c r="B1172" s="23" t="n">
        <v>45656</v>
      </c>
      <c r="C1172" s="22" t="s">
        <v>179</v>
      </c>
      <c r="D1172" s="24" t="n">
        <v>139</v>
      </c>
    </row>
    <row r="1173" customFormat="false" ht="15" hidden="false" customHeight="false" outlineLevel="0" collapsed="false">
      <c r="A1173" s="22" t="n">
        <v>28</v>
      </c>
      <c r="B1173" s="23" t="n">
        <v>45663</v>
      </c>
      <c r="C1173" s="22" t="s">
        <v>179</v>
      </c>
      <c r="D1173" s="24" t="n">
        <v>145</v>
      </c>
    </row>
    <row r="1174" customFormat="false" ht="15" hidden="false" customHeight="false" outlineLevel="0" collapsed="false">
      <c r="A1174" s="22" t="n">
        <v>29</v>
      </c>
      <c r="B1174" s="23" t="n">
        <v>45670</v>
      </c>
      <c r="C1174" s="22" t="s">
        <v>179</v>
      </c>
      <c r="D1174" s="24" t="n">
        <v>182</v>
      </c>
    </row>
    <row r="1175" customFormat="false" ht="15" hidden="false" customHeight="false" outlineLevel="0" collapsed="false">
      <c r="A1175" s="22" t="n">
        <v>30</v>
      </c>
      <c r="B1175" s="23" t="n">
        <v>45677</v>
      </c>
      <c r="C1175" s="22" t="s">
        <v>179</v>
      </c>
      <c r="D1175" s="24" t="n">
        <v>153</v>
      </c>
    </row>
    <row r="1176" customFormat="false" ht="15" hidden="false" customHeight="false" outlineLevel="0" collapsed="false">
      <c r="A1176" s="22" t="n">
        <v>31</v>
      </c>
      <c r="B1176" s="23" t="n">
        <v>45684</v>
      </c>
      <c r="C1176" s="22" t="s">
        <v>179</v>
      </c>
      <c r="D1176" s="24" t="n">
        <v>164</v>
      </c>
    </row>
    <row r="1177" customFormat="false" ht="15" hidden="false" customHeight="false" outlineLevel="0" collapsed="false">
      <c r="A1177" s="22" t="n">
        <v>32</v>
      </c>
      <c r="B1177" s="23" t="n">
        <v>45691</v>
      </c>
      <c r="C1177" s="22" t="s">
        <v>179</v>
      </c>
      <c r="D1177" s="24" t="n">
        <v>135</v>
      </c>
    </row>
    <row r="1178" customFormat="false" ht="15" hidden="false" customHeight="false" outlineLevel="0" collapsed="false">
      <c r="A1178" s="22" t="n">
        <v>33</v>
      </c>
      <c r="B1178" s="23" t="n">
        <v>45698</v>
      </c>
      <c r="C1178" s="22" t="s">
        <v>179</v>
      </c>
      <c r="D1178" s="24" t="n">
        <v>155</v>
      </c>
    </row>
    <row r="1179" customFormat="false" ht="15" hidden="false" customHeight="false" outlineLevel="0" collapsed="false">
      <c r="A1179" s="22" t="n">
        <v>34</v>
      </c>
      <c r="B1179" s="23" t="n">
        <v>45705</v>
      </c>
      <c r="C1179" s="22" t="s">
        <v>179</v>
      </c>
      <c r="D1179" s="24" t="n">
        <v>160</v>
      </c>
    </row>
    <row r="1180" customFormat="false" ht="15" hidden="false" customHeight="false" outlineLevel="0" collapsed="false">
      <c r="A1180" s="22" t="n">
        <v>35</v>
      </c>
      <c r="B1180" s="23" t="n">
        <v>45712</v>
      </c>
      <c r="C1180" s="22" t="s">
        <v>179</v>
      </c>
      <c r="D1180" s="24" t="n">
        <v>177</v>
      </c>
    </row>
    <row r="1181" customFormat="false" ht="15" hidden="false" customHeight="false" outlineLevel="0" collapsed="false">
      <c r="A1181" s="22" t="n">
        <v>36</v>
      </c>
      <c r="B1181" s="23" t="n">
        <v>45719</v>
      </c>
      <c r="C1181" s="22" t="s">
        <v>179</v>
      </c>
      <c r="D1181" s="24" t="n">
        <v>140</v>
      </c>
    </row>
    <row r="1182" customFormat="false" ht="15" hidden="false" customHeight="false" outlineLevel="0" collapsed="false">
      <c r="A1182" s="22" t="n">
        <v>37</v>
      </c>
      <c r="B1182" s="23" t="n">
        <v>45726</v>
      </c>
      <c r="C1182" s="22" t="s">
        <v>179</v>
      </c>
      <c r="D1182" s="24" t="n">
        <v>159</v>
      </c>
    </row>
    <row r="1183" customFormat="false" ht="15" hidden="false" customHeight="false" outlineLevel="0" collapsed="false">
      <c r="A1183" s="22" t="n">
        <v>38</v>
      </c>
      <c r="B1183" s="23" t="n">
        <v>45733</v>
      </c>
      <c r="C1183" s="22" t="s">
        <v>179</v>
      </c>
      <c r="D1183" s="24" t="n">
        <v>155</v>
      </c>
    </row>
    <row r="1184" customFormat="false" ht="15" hidden="false" customHeight="false" outlineLevel="0" collapsed="false">
      <c r="A1184" s="22" t="n">
        <v>39</v>
      </c>
      <c r="B1184" s="23" t="n">
        <v>45740</v>
      </c>
      <c r="C1184" s="22" t="s">
        <v>179</v>
      </c>
      <c r="D1184" s="24" t="n">
        <v>135</v>
      </c>
    </row>
    <row r="1185" customFormat="false" ht="15" hidden="false" customHeight="false" outlineLevel="0" collapsed="false">
      <c r="A1185" s="22" t="n">
        <v>40</v>
      </c>
      <c r="B1185" s="23" t="n">
        <v>45747</v>
      </c>
      <c r="C1185" s="22" t="s">
        <v>179</v>
      </c>
      <c r="D1185" s="24" t="n">
        <v>150</v>
      </c>
    </row>
    <row r="1186" customFormat="false" ht="15" hidden="false" customHeight="false" outlineLevel="0" collapsed="false">
      <c r="A1186" s="22" t="n">
        <v>41</v>
      </c>
      <c r="B1186" s="23" t="n">
        <v>45754</v>
      </c>
      <c r="C1186" s="22" t="s">
        <v>179</v>
      </c>
      <c r="D1186" s="24" t="n">
        <v>146</v>
      </c>
    </row>
    <row r="1187" customFormat="false" ht="15" hidden="false" customHeight="false" outlineLevel="0" collapsed="false">
      <c r="A1187" s="22" t="n">
        <v>42</v>
      </c>
      <c r="B1187" s="23" t="n">
        <v>45761</v>
      </c>
      <c r="C1187" s="22" t="s">
        <v>179</v>
      </c>
      <c r="D1187" s="24" t="n">
        <v>115</v>
      </c>
    </row>
    <row r="1188" customFormat="false" ht="15" hidden="false" customHeight="false" outlineLevel="0" collapsed="false">
      <c r="A1188" s="22" t="n">
        <v>43</v>
      </c>
      <c r="B1188" s="23" t="n">
        <v>45768</v>
      </c>
      <c r="C1188" s="22" t="s">
        <v>179</v>
      </c>
      <c r="D1188" s="24" t="n">
        <v>159</v>
      </c>
    </row>
    <row r="1189" customFormat="false" ht="15" hidden="false" customHeight="false" outlineLevel="0" collapsed="false">
      <c r="A1189" s="22" t="n">
        <v>44</v>
      </c>
      <c r="B1189" s="23" t="n">
        <v>45775</v>
      </c>
      <c r="C1189" s="22" t="s">
        <v>179</v>
      </c>
      <c r="D1189" s="24" t="n">
        <v>158</v>
      </c>
    </row>
    <row r="1190" customFormat="false" ht="15" hidden="false" customHeight="false" outlineLevel="0" collapsed="false">
      <c r="A1190" s="22" t="n">
        <v>45</v>
      </c>
      <c r="B1190" s="23" t="n">
        <v>45782</v>
      </c>
      <c r="C1190" s="22" t="s">
        <v>179</v>
      </c>
      <c r="D1190" s="24" t="n">
        <v>143</v>
      </c>
    </row>
    <row r="1191" customFormat="false" ht="15" hidden="false" customHeight="false" outlineLevel="0" collapsed="false">
      <c r="A1191" s="22" t="n">
        <v>46</v>
      </c>
      <c r="B1191" s="23" t="n">
        <v>45789</v>
      </c>
      <c r="C1191" s="22" t="s">
        <v>179</v>
      </c>
      <c r="D1191" s="24" t="n">
        <v>130</v>
      </c>
    </row>
    <row r="1192" customFormat="false" ht="15" hidden="false" customHeight="false" outlineLevel="0" collapsed="false">
      <c r="A1192" s="22" t="n">
        <v>47</v>
      </c>
      <c r="B1192" s="23" t="n">
        <v>45796</v>
      </c>
      <c r="C1192" s="22" t="s">
        <v>179</v>
      </c>
      <c r="D1192" s="24" t="n">
        <v>172</v>
      </c>
    </row>
    <row r="1193" customFormat="false" ht="15" hidden="false" customHeight="false" outlineLevel="0" collapsed="false">
      <c r="A1193" s="22" t="n">
        <v>48</v>
      </c>
      <c r="B1193" s="23" t="n">
        <v>45803</v>
      </c>
      <c r="C1193" s="22" t="s">
        <v>179</v>
      </c>
      <c r="D1193" s="24" t="n">
        <v>154</v>
      </c>
    </row>
    <row r="1194" customFormat="false" ht="15" hidden="false" customHeight="false" outlineLevel="0" collapsed="false">
      <c r="A1194" s="22" t="n">
        <v>49</v>
      </c>
      <c r="B1194" s="23" t="n">
        <v>45810</v>
      </c>
      <c r="C1194" s="22" t="s">
        <v>179</v>
      </c>
      <c r="D1194" s="24" t="n">
        <v>165</v>
      </c>
    </row>
    <row r="1195" customFormat="false" ht="15" hidden="false" customHeight="false" outlineLevel="0" collapsed="false">
      <c r="A1195" s="22" t="n">
        <v>50</v>
      </c>
      <c r="B1195" s="23" t="n">
        <v>45817</v>
      </c>
      <c r="C1195" s="22" t="s">
        <v>179</v>
      </c>
      <c r="D1195" s="24" t="n">
        <v>171</v>
      </c>
    </row>
    <row r="1196" customFormat="false" ht="15" hidden="false" customHeight="false" outlineLevel="0" collapsed="false">
      <c r="A1196" s="22" t="n">
        <v>51</v>
      </c>
      <c r="B1196" s="23" t="n">
        <v>45824</v>
      </c>
      <c r="C1196" s="22" t="s">
        <v>179</v>
      </c>
      <c r="D1196" s="24" t="n">
        <v>142</v>
      </c>
    </row>
    <row r="1197" customFormat="false" ht="15" hidden="false" customHeight="false" outlineLevel="0" collapsed="false">
      <c r="A1197" s="22" t="n">
        <v>52</v>
      </c>
      <c r="B1197" s="23" t="n">
        <v>45831</v>
      </c>
      <c r="C1197" s="22" t="s">
        <v>179</v>
      </c>
      <c r="D1197" s="24" t="n">
        <v>162</v>
      </c>
    </row>
    <row r="1198" customFormat="false" ht="15" hidden="false" customHeight="false" outlineLevel="0" collapsed="false">
      <c r="A1198" s="22" t="n">
        <v>53</v>
      </c>
      <c r="B1198" s="23" t="n">
        <v>45838</v>
      </c>
      <c r="C1198" s="22" t="s">
        <v>179</v>
      </c>
      <c r="D1198" s="24" t="n">
        <v>146</v>
      </c>
    </row>
    <row r="1199" customFormat="false" ht="15" hidden="false" customHeight="false" outlineLevel="0" collapsed="false">
      <c r="A1199" s="22" t="n">
        <v>54</v>
      </c>
      <c r="B1199" s="23" t="n">
        <v>45845</v>
      </c>
      <c r="C1199" s="22" t="s">
        <v>179</v>
      </c>
      <c r="D1199" s="24" t="n">
        <v>149</v>
      </c>
    </row>
    <row r="1200" customFormat="false" ht="15" hidden="false" customHeight="false" outlineLevel="0" collapsed="false">
      <c r="A1200" s="22" t="n">
        <v>55</v>
      </c>
      <c r="B1200" s="23" t="n">
        <v>45852</v>
      </c>
      <c r="C1200" s="22" t="s">
        <v>179</v>
      </c>
      <c r="D1200" s="24" t="n">
        <v>149</v>
      </c>
    </row>
    <row r="1201" customFormat="false" ht="15" hidden="false" customHeight="false" outlineLevel="0" collapsed="false">
      <c r="A1201" s="22" t="n">
        <v>56</v>
      </c>
      <c r="B1201" s="23" t="n">
        <v>45859</v>
      </c>
      <c r="C1201" s="22" t="s">
        <v>179</v>
      </c>
      <c r="D1201" s="24" t="n">
        <v>150</v>
      </c>
    </row>
    <row r="1202" customFormat="false" ht="15" hidden="false" customHeight="false" outlineLevel="0" collapsed="false">
      <c r="A1202" s="22" t="n">
        <v>57</v>
      </c>
      <c r="B1202" s="23" t="n">
        <v>45866</v>
      </c>
      <c r="C1202" s="22" t="s">
        <v>179</v>
      </c>
      <c r="D1202" s="24" t="n">
        <v>167</v>
      </c>
    </row>
    <row r="1203" customFormat="false" ht="15" hidden="false" customHeight="false" outlineLevel="0" collapsed="false">
      <c r="A1203" s="22" t="n">
        <v>58</v>
      </c>
      <c r="B1203" s="23" t="n">
        <v>45873</v>
      </c>
      <c r="C1203" s="22" t="s">
        <v>179</v>
      </c>
      <c r="D1203" s="24" t="n">
        <v>152</v>
      </c>
    </row>
    <row r="1204" customFormat="false" ht="15" hidden="false" customHeight="false" outlineLevel="0" collapsed="false">
      <c r="A1204" s="22" t="n">
        <v>59</v>
      </c>
      <c r="B1204" s="23" t="n">
        <v>45880</v>
      </c>
      <c r="C1204" s="22" t="s">
        <v>179</v>
      </c>
      <c r="D1204" s="24" t="n">
        <v>148</v>
      </c>
    </row>
    <row r="1205" customFormat="false" ht="15" hidden="false" customHeight="false" outlineLevel="0" collapsed="false">
      <c r="A1205" s="22" t="n">
        <v>60</v>
      </c>
      <c r="B1205" s="23" t="n">
        <v>45887</v>
      </c>
      <c r="C1205" s="22" t="s">
        <v>179</v>
      </c>
      <c r="D1205" s="24" t="n">
        <v>146</v>
      </c>
    </row>
    <row r="1206" customFormat="false" ht="15" hidden="false" customHeight="false" outlineLevel="0" collapsed="false">
      <c r="A1206" s="22" t="n">
        <v>61</v>
      </c>
      <c r="B1206" s="23" t="n">
        <v>45894</v>
      </c>
      <c r="C1206" s="22" t="s">
        <v>179</v>
      </c>
      <c r="D1206" s="24" t="n">
        <v>155</v>
      </c>
    </row>
    <row r="1207" customFormat="false" ht="15" hidden="false" customHeight="false" outlineLevel="0" collapsed="false">
      <c r="A1207" s="22" t="n">
        <v>62</v>
      </c>
      <c r="B1207" s="23" t="n">
        <v>45901</v>
      </c>
      <c r="C1207" s="22" t="s">
        <v>179</v>
      </c>
      <c r="D1207" s="24" t="n">
        <v>137</v>
      </c>
    </row>
    <row r="1208" customFormat="false" ht="15" hidden="false" customHeight="false" outlineLevel="0" collapsed="false">
      <c r="A1208" s="22" t="n">
        <v>63</v>
      </c>
      <c r="B1208" s="23" t="n">
        <v>45908</v>
      </c>
      <c r="C1208" s="22" t="s">
        <v>179</v>
      </c>
      <c r="D1208" s="24" t="n">
        <v>142</v>
      </c>
    </row>
    <row r="1209" customFormat="false" ht="15" hidden="false" customHeight="false" outlineLevel="0" collapsed="false">
      <c r="A1209" s="22" t="n">
        <v>64</v>
      </c>
      <c r="B1209" s="23" t="n">
        <v>45915</v>
      </c>
      <c r="C1209" s="22" t="s">
        <v>179</v>
      </c>
      <c r="D1209" s="24" t="n">
        <v>149</v>
      </c>
    </row>
    <row r="1210" customFormat="false" ht="15" hidden="false" customHeight="false" outlineLevel="0" collapsed="false">
      <c r="A1210" s="22" t="n">
        <v>65</v>
      </c>
      <c r="B1210" s="23" t="n">
        <v>45922</v>
      </c>
      <c r="C1210" s="22" t="s">
        <v>179</v>
      </c>
      <c r="D1210" s="24" t="n">
        <v>141</v>
      </c>
    </row>
    <row r="1211" customFormat="false" ht="15" hidden="false" customHeight="false" outlineLevel="0" collapsed="false">
      <c r="A1211" s="22" t="n">
        <v>66</v>
      </c>
      <c r="B1211" s="23" t="n">
        <v>45929</v>
      </c>
      <c r="C1211" s="22" t="s">
        <v>179</v>
      </c>
      <c r="D1211" s="24" t="n">
        <v>148</v>
      </c>
    </row>
    <row r="1212" customFormat="false" ht="15" hidden="false" customHeight="false" outlineLevel="0" collapsed="false">
      <c r="A1212" s="22" t="n">
        <v>67</v>
      </c>
      <c r="B1212" s="23" t="n">
        <v>45936</v>
      </c>
      <c r="C1212" s="22" t="s">
        <v>179</v>
      </c>
      <c r="D1212" s="24" t="n">
        <v>141</v>
      </c>
    </row>
    <row r="1213" customFormat="false" ht="15" hidden="false" customHeight="false" outlineLevel="0" collapsed="false">
      <c r="A1213" s="22" t="n">
        <v>68</v>
      </c>
      <c r="B1213" s="23" t="n">
        <v>45943</v>
      </c>
      <c r="C1213" s="22" t="s">
        <v>179</v>
      </c>
      <c r="D1213" s="24" t="n">
        <v>180</v>
      </c>
    </row>
    <row r="1214" customFormat="false" ht="15" hidden="false" customHeight="false" outlineLevel="0" collapsed="false">
      <c r="A1214" s="22" t="n">
        <v>69</v>
      </c>
      <c r="B1214" s="23" t="n">
        <v>45950</v>
      </c>
      <c r="C1214" s="22" t="s">
        <v>179</v>
      </c>
      <c r="D1214" s="24" t="n">
        <v>170</v>
      </c>
    </row>
    <row r="1215" customFormat="false" ht="15" hidden="false" customHeight="false" outlineLevel="0" collapsed="false">
      <c r="A1215" s="22" t="n">
        <v>70</v>
      </c>
      <c r="B1215" s="23" t="n">
        <v>45957</v>
      </c>
      <c r="C1215" s="22" t="s">
        <v>179</v>
      </c>
      <c r="D1215" s="24" t="n">
        <v>157</v>
      </c>
    </row>
    <row r="1216" customFormat="false" ht="15" hidden="false" customHeight="false" outlineLevel="0" collapsed="false">
      <c r="A1216" s="22" t="n">
        <v>71</v>
      </c>
      <c r="B1216" s="23" t="n">
        <v>45964</v>
      </c>
      <c r="C1216" s="22" t="s">
        <v>179</v>
      </c>
      <c r="D1216" s="24" t="n">
        <v>149</v>
      </c>
    </row>
    <row r="1217" customFormat="false" ht="15" hidden="false" customHeight="false" outlineLevel="0" collapsed="false">
      <c r="A1217" s="22" t="n">
        <v>72</v>
      </c>
      <c r="B1217" s="23" t="n">
        <v>45971</v>
      </c>
      <c r="C1217" s="22" t="s">
        <v>179</v>
      </c>
      <c r="D1217" s="24" t="n">
        <v>183</v>
      </c>
    </row>
    <row r="1218" customFormat="false" ht="15" hidden="false" customHeight="false" outlineLevel="0" collapsed="false">
      <c r="A1218" s="22" t="n">
        <v>73</v>
      </c>
      <c r="B1218" s="23" t="n">
        <v>45978</v>
      </c>
      <c r="C1218" s="22" t="s">
        <v>179</v>
      </c>
      <c r="D1218" s="24" t="n">
        <v>155</v>
      </c>
    </row>
    <row r="1219" customFormat="false" ht="15" hidden="false" customHeight="false" outlineLevel="0" collapsed="false">
      <c r="A1219" s="22" t="n">
        <v>74</v>
      </c>
      <c r="B1219" s="23" t="n">
        <v>45985</v>
      </c>
      <c r="C1219" s="22" t="s">
        <v>179</v>
      </c>
      <c r="D1219" s="24" t="n">
        <v>149</v>
      </c>
    </row>
    <row r="1220" customFormat="false" ht="15" hidden="false" customHeight="false" outlineLevel="0" collapsed="false">
      <c r="A1220" s="22" t="n">
        <v>75</v>
      </c>
      <c r="B1220" s="23" t="n">
        <v>45992</v>
      </c>
      <c r="C1220" s="22" t="s">
        <v>179</v>
      </c>
      <c r="D1220" s="24" t="n">
        <v>155</v>
      </c>
    </row>
    <row r="1221" customFormat="false" ht="15" hidden="false" customHeight="false" outlineLevel="0" collapsed="false">
      <c r="A1221" s="22" t="n">
        <v>76</v>
      </c>
      <c r="B1221" s="23" t="n">
        <v>45999</v>
      </c>
      <c r="C1221" s="22" t="s">
        <v>179</v>
      </c>
      <c r="D1221" s="24" t="n">
        <v>155</v>
      </c>
    </row>
    <row r="1222" customFormat="false" ht="15" hidden="false" customHeight="false" outlineLevel="0" collapsed="false">
      <c r="A1222" s="22" t="n">
        <v>77</v>
      </c>
      <c r="B1222" s="23" t="n">
        <v>46006</v>
      </c>
      <c r="C1222" s="22" t="s">
        <v>179</v>
      </c>
      <c r="D1222" s="24" t="n">
        <v>171</v>
      </c>
    </row>
    <row r="1223" customFormat="false" ht="15" hidden="false" customHeight="false" outlineLevel="0" collapsed="false">
      <c r="A1223" s="22" t="n">
        <v>78</v>
      </c>
      <c r="B1223" s="23" t="n">
        <v>46013</v>
      </c>
      <c r="C1223" s="22" t="s">
        <v>179</v>
      </c>
      <c r="D1223" s="24" t="n">
        <v>150</v>
      </c>
    </row>
    <row r="1224" customFormat="false" ht="15" hidden="false" customHeight="false" outlineLevel="0" collapsed="false">
      <c r="A1224" s="22" t="n">
        <v>79</v>
      </c>
      <c r="B1224" s="23" t="n">
        <v>46020</v>
      </c>
      <c r="C1224" s="22" t="s">
        <v>179</v>
      </c>
      <c r="D1224" s="24" t="n">
        <v>182</v>
      </c>
    </row>
    <row r="1225" customFormat="false" ht="15" hidden="false" customHeight="false" outlineLevel="0" collapsed="false">
      <c r="A1225" s="22" t="n">
        <v>80</v>
      </c>
      <c r="B1225" s="23" t="n">
        <v>46027</v>
      </c>
      <c r="C1225" s="22" t="s">
        <v>179</v>
      </c>
      <c r="D1225" s="24" t="n">
        <v>137</v>
      </c>
    </row>
    <row r="1226" customFormat="false" ht="15" hidden="false" customHeight="false" outlineLevel="0" collapsed="false">
      <c r="A1226" s="22" t="n">
        <v>81</v>
      </c>
      <c r="B1226" s="23" t="n">
        <v>46034</v>
      </c>
      <c r="C1226" s="22" t="s">
        <v>179</v>
      </c>
      <c r="D1226" s="24" t="n">
        <v>160</v>
      </c>
    </row>
    <row r="1227" customFormat="false" ht="15" hidden="false" customHeight="false" outlineLevel="0" collapsed="false">
      <c r="A1227" s="22" t="n">
        <v>82</v>
      </c>
      <c r="B1227" s="23" t="n">
        <v>46041</v>
      </c>
      <c r="C1227" s="22" t="s">
        <v>179</v>
      </c>
      <c r="D1227" s="24" t="n">
        <v>135</v>
      </c>
    </row>
    <row r="1228" customFormat="false" ht="15" hidden="false" customHeight="false" outlineLevel="0" collapsed="false">
      <c r="A1228" s="22" t="n">
        <v>83</v>
      </c>
      <c r="B1228" s="23" t="n">
        <v>46048</v>
      </c>
      <c r="C1228" s="22" t="s">
        <v>179</v>
      </c>
      <c r="D1228" s="24" t="n">
        <v>177</v>
      </c>
    </row>
    <row r="1229" customFormat="false" ht="15" hidden="false" customHeight="false" outlineLevel="0" collapsed="false">
      <c r="A1229" s="22" t="n">
        <v>84</v>
      </c>
      <c r="B1229" s="23" t="n">
        <v>46055</v>
      </c>
      <c r="C1229" s="22" t="s">
        <v>179</v>
      </c>
      <c r="D1229" s="24" t="n">
        <v>145</v>
      </c>
    </row>
    <row r="1230" customFormat="false" ht="15" hidden="false" customHeight="false" outlineLevel="0" collapsed="false">
      <c r="A1230" s="22" t="n">
        <v>85</v>
      </c>
      <c r="B1230" s="23" t="n">
        <v>46062</v>
      </c>
      <c r="C1230" s="22" t="s">
        <v>179</v>
      </c>
      <c r="D1230" s="24" t="n">
        <v>149</v>
      </c>
    </row>
    <row r="1231" customFormat="false" ht="15" hidden="false" customHeight="false" outlineLevel="0" collapsed="false">
      <c r="A1231" s="22" t="n">
        <v>86</v>
      </c>
      <c r="B1231" s="23" t="n">
        <v>46069</v>
      </c>
      <c r="C1231" s="22" t="s">
        <v>179</v>
      </c>
      <c r="D1231" s="24" t="n">
        <v>164</v>
      </c>
    </row>
    <row r="1232" customFormat="false" ht="15" hidden="false" customHeight="false" outlineLevel="0" collapsed="false">
      <c r="A1232" s="22" t="n">
        <v>87</v>
      </c>
      <c r="B1232" s="23" t="n">
        <v>46076</v>
      </c>
      <c r="C1232" s="22" t="s">
        <v>179</v>
      </c>
      <c r="D1232" s="24" t="n">
        <v>169</v>
      </c>
    </row>
    <row r="1233" customFormat="false" ht="15" hidden="false" customHeight="false" outlineLevel="0" collapsed="false">
      <c r="A1233" s="22" t="n">
        <v>88</v>
      </c>
      <c r="B1233" s="23" t="n">
        <v>46083</v>
      </c>
      <c r="C1233" s="22" t="s">
        <v>179</v>
      </c>
      <c r="D1233" s="24" t="n">
        <v>133</v>
      </c>
    </row>
    <row r="1234" customFormat="false" ht="15" hidden="false" customHeight="false" outlineLevel="0" collapsed="false">
      <c r="A1234" s="22" t="n">
        <v>89</v>
      </c>
      <c r="B1234" s="23" t="n">
        <v>46090</v>
      </c>
      <c r="C1234" s="22" t="s">
        <v>179</v>
      </c>
      <c r="D1234" s="24" t="n">
        <v>145</v>
      </c>
    </row>
    <row r="1235" customFormat="false" ht="15" hidden="false" customHeight="false" outlineLevel="0" collapsed="false">
      <c r="A1235" s="22" t="n">
        <v>90</v>
      </c>
      <c r="B1235" s="23" t="n">
        <v>46097</v>
      </c>
      <c r="C1235" s="22" t="s">
        <v>179</v>
      </c>
      <c r="D1235" s="24" t="n">
        <v>129</v>
      </c>
    </row>
    <row r="1236" customFormat="false" ht="15" hidden="false" customHeight="false" outlineLevel="0" collapsed="false">
      <c r="A1236" s="22" t="n">
        <v>91</v>
      </c>
      <c r="B1236" s="23" t="n">
        <v>46104</v>
      </c>
      <c r="C1236" s="22" t="s">
        <v>179</v>
      </c>
      <c r="D1236" s="24" t="n">
        <v>152</v>
      </c>
    </row>
    <row r="1237" customFormat="false" ht="15" hidden="false" customHeight="false" outlineLevel="0" collapsed="false">
      <c r="A1237" s="22" t="n">
        <v>92</v>
      </c>
      <c r="B1237" s="23" t="n">
        <v>46111</v>
      </c>
      <c r="C1237" s="22" t="s">
        <v>179</v>
      </c>
      <c r="D1237" s="24" t="n">
        <v>148</v>
      </c>
    </row>
    <row r="1238" customFormat="false" ht="15" hidden="false" customHeight="false" outlineLevel="0" collapsed="false">
      <c r="A1238" s="22" t="n">
        <v>93</v>
      </c>
      <c r="B1238" s="23" t="n">
        <v>46118</v>
      </c>
      <c r="C1238" s="22" t="s">
        <v>179</v>
      </c>
      <c r="D1238" s="24" t="n">
        <v>145</v>
      </c>
    </row>
    <row r="1239" customFormat="false" ht="15" hidden="false" customHeight="false" outlineLevel="0" collapsed="false">
      <c r="A1239" s="22" t="n">
        <v>94</v>
      </c>
      <c r="B1239" s="23" t="n">
        <v>46125</v>
      </c>
      <c r="C1239" s="22" t="s">
        <v>179</v>
      </c>
      <c r="D1239" s="24" t="n">
        <v>140</v>
      </c>
    </row>
    <row r="1240" customFormat="false" ht="15" hidden="false" customHeight="false" outlineLevel="0" collapsed="false">
      <c r="A1240" s="22" t="n">
        <v>95</v>
      </c>
      <c r="B1240" s="23" t="n">
        <v>46132</v>
      </c>
      <c r="C1240" s="22" t="s">
        <v>179</v>
      </c>
      <c r="D1240" s="24" t="n">
        <v>144</v>
      </c>
    </row>
    <row r="1241" customFormat="false" ht="15" hidden="false" customHeight="false" outlineLevel="0" collapsed="false">
      <c r="A1241" s="22" t="n">
        <v>96</v>
      </c>
      <c r="B1241" s="23" t="n">
        <v>46139</v>
      </c>
      <c r="C1241" s="22" t="s">
        <v>179</v>
      </c>
      <c r="D1241" s="24" t="n">
        <v>139</v>
      </c>
    </row>
    <row r="1242" customFormat="false" ht="15" hidden="false" customHeight="false" outlineLevel="0" collapsed="false">
      <c r="A1242" s="22" t="n">
        <v>97</v>
      </c>
      <c r="B1242" s="23" t="n">
        <v>46146</v>
      </c>
      <c r="C1242" s="22" t="s">
        <v>179</v>
      </c>
      <c r="D1242" s="24" t="n">
        <v>158</v>
      </c>
    </row>
    <row r="1243" customFormat="false" ht="15" hidden="false" customHeight="false" outlineLevel="0" collapsed="false">
      <c r="A1243" s="22" t="n">
        <v>98</v>
      </c>
      <c r="B1243" s="23" t="n">
        <v>46153</v>
      </c>
      <c r="C1243" s="22" t="s">
        <v>179</v>
      </c>
      <c r="D1243" s="24" t="n">
        <v>173</v>
      </c>
    </row>
    <row r="1244" customFormat="false" ht="15" hidden="false" customHeight="false" outlineLevel="0" collapsed="false">
      <c r="A1244" s="22" t="n">
        <v>99</v>
      </c>
      <c r="B1244" s="23" t="n">
        <v>46160</v>
      </c>
      <c r="C1244" s="22" t="s">
        <v>179</v>
      </c>
      <c r="D1244" s="24" t="n">
        <v>121</v>
      </c>
    </row>
    <row r="1245" customFormat="false" ht="15" hidden="false" customHeight="false" outlineLevel="0" collapsed="false">
      <c r="A1245" s="22" t="n">
        <v>100</v>
      </c>
      <c r="B1245" s="23" t="n">
        <v>46167</v>
      </c>
      <c r="C1245" s="22" t="s">
        <v>179</v>
      </c>
      <c r="D1245" s="24" t="n">
        <v>148</v>
      </c>
    </row>
    <row r="1246" customFormat="false" ht="15" hidden="false" customHeight="false" outlineLevel="0" collapsed="false">
      <c r="A1246" s="22" t="n">
        <v>101</v>
      </c>
      <c r="B1246" s="23" t="n">
        <v>46174</v>
      </c>
      <c r="C1246" s="22" t="s">
        <v>179</v>
      </c>
      <c r="D1246" s="24" t="n">
        <v>144</v>
      </c>
    </row>
    <row r="1247" customFormat="false" ht="15" hidden="false" customHeight="false" outlineLevel="0" collapsed="false">
      <c r="A1247" s="22" t="n">
        <v>102</v>
      </c>
      <c r="B1247" s="23" t="n">
        <v>46181</v>
      </c>
      <c r="C1247" s="22" t="s">
        <v>179</v>
      </c>
      <c r="D1247" s="24" t="n">
        <v>157</v>
      </c>
    </row>
    <row r="1248" customFormat="false" ht="15" hidden="false" customHeight="false" outlineLevel="0" collapsed="false">
      <c r="A1248" s="22" t="n">
        <v>103</v>
      </c>
      <c r="B1248" s="23" t="n">
        <v>46188</v>
      </c>
      <c r="C1248" s="22" t="s">
        <v>179</v>
      </c>
      <c r="D1248" s="24" t="n">
        <v>136</v>
      </c>
    </row>
    <row r="1249" customFormat="false" ht="15" hidden="false" customHeight="false" outlineLevel="0" collapsed="false">
      <c r="A1249" s="22" t="n">
        <v>104</v>
      </c>
      <c r="B1249" s="23" t="n">
        <v>46195</v>
      </c>
      <c r="C1249" s="22" t="s">
        <v>179</v>
      </c>
      <c r="D1249" s="24" t="n">
        <v>148</v>
      </c>
    </row>
    <row r="1250" customFormat="false" ht="15" hidden="false" customHeight="false" outlineLevel="0" collapsed="false">
      <c r="A1250" s="22" t="n">
        <v>1</v>
      </c>
      <c r="B1250" s="23" t="n">
        <v>45474</v>
      </c>
      <c r="C1250" s="22" t="s">
        <v>181</v>
      </c>
      <c r="D1250" s="24" t="n">
        <v>61</v>
      </c>
    </row>
    <row r="1251" customFormat="false" ht="15" hidden="false" customHeight="false" outlineLevel="0" collapsed="false">
      <c r="A1251" s="22" t="n">
        <v>2</v>
      </c>
      <c r="B1251" s="23" t="n">
        <v>45481</v>
      </c>
      <c r="C1251" s="22" t="s">
        <v>181</v>
      </c>
      <c r="D1251" s="24" t="n">
        <v>52</v>
      </c>
    </row>
    <row r="1252" customFormat="false" ht="15" hidden="false" customHeight="false" outlineLevel="0" collapsed="false">
      <c r="A1252" s="22" t="n">
        <v>3</v>
      </c>
      <c r="B1252" s="23" t="n">
        <v>45488</v>
      </c>
      <c r="C1252" s="22" t="s">
        <v>181</v>
      </c>
      <c r="D1252" s="24" t="n">
        <v>48</v>
      </c>
    </row>
    <row r="1253" customFormat="false" ht="15" hidden="false" customHeight="false" outlineLevel="0" collapsed="false">
      <c r="A1253" s="22" t="n">
        <v>4</v>
      </c>
      <c r="B1253" s="23" t="n">
        <v>45495</v>
      </c>
      <c r="C1253" s="22" t="s">
        <v>181</v>
      </c>
      <c r="D1253" s="24" t="n">
        <v>56</v>
      </c>
    </row>
    <row r="1254" customFormat="false" ht="15" hidden="false" customHeight="false" outlineLevel="0" collapsed="false">
      <c r="A1254" s="22" t="n">
        <v>5</v>
      </c>
      <c r="B1254" s="23" t="n">
        <v>45502</v>
      </c>
      <c r="C1254" s="22" t="s">
        <v>181</v>
      </c>
      <c r="D1254" s="24" t="n">
        <v>46</v>
      </c>
    </row>
    <row r="1255" customFormat="false" ht="15" hidden="false" customHeight="false" outlineLevel="0" collapsed="false">
      <c r="A1255" s="22" t="n">
        <v>6</v>
      </c>
      <c r="B1255" s="23" t="n">
        <v>45509</v>
      </c>
      <c r="C1255" s="22" t="s">
        <v>181</v>
      </c>
      <c r="D1255" s="24" t="n">
        <v>26</v>
      </c>
    </row>
    <row r="1256" customFormat="false" ht="15" hidden="false" customHeight="false" outlineLevel="0" collapsed="false">
      <c r="A1256" s="22" t="n">
        <v>7</v>
      </c>
      <c r="B1256" s="23" t="n">
        <v>45516</v>
      </c>
      <c r="C1256" s="22" t="s">
        <v>181</v>
      </c>
      <c r="D1256" s="24" t="n">
        <v>59</v>
      </c>
    </row>
    <row r="1257" customFormat="false" ht="15" hidden="false" customHeight="false" outlineLevel="0" collapsed="false">
      <c r="A1257" s="22" t="n">
        <v>8</v>
      </c>
      <c r="B1257" s="23" t="n">
        <v>45523</v>
      </c>
      <c r="C1257" s="22" t="s">
        <v>181</v>
      </c>
      <c r="D1257" s="24" t="n">
        <v>54</v>
      </c>
    </row>
    <row r="1258" customFormat="false" ht="15" hidden="false" customHeight="false" outlineLevel="0" collapsed="false">
      <c r="A1258" s="22" t="n">
        <v>9</v>
      </c>
      <c r="B1258" s="23" t="n">
        <v>45530</v>
      </c>
      <c r="C1258" s="22" t="s">
        <v>181</v>
      </c>
      <c r="D1258" s="24" t="n">
        <v>48</v>
      </c>
    </row>
    <row r="1259" customFormat="false" ht="15" hidden="false" customHeight="false" outlineLevel="0" collapsed="false">
      <c r="A1259" s="22" t="n">
        <v>10</v>
      </c>
      <c r="B1259" s="23" t="n">
        <v>45537</v>
      </c>
      <c r="C1259" s="22" t="s">
        <v>181</v>
      </c>
      <c r="D1259" s="24" t="n">
        <v>65</v>
      </c>
    </row>
    <row r="1260" customFormat="false" ht="15" hidden="false" customHeight="false" outlineLevel="0" collapsed="false">
      <c r="A1260" s="22" t="n">
        <v>11</v>
      </c>
      <c r="B1260" s="23" t="n">
        <v>45544</v>
      </c>
      <c r="C1260" s="22" t="s">
        <v>181</v>
      </c>
      <c r="D1260" s="24" t="n">
        <v>69</v>
      </c>
    </row>
    <row r="1261" customFormat="false" ht="15" hidden="false" customHeight="false" outlineLevel="0" collapsed="false">
      <c r="A1261" s="22" t="n">
        <v>12</v>
      </c>
      <c r="B1261" s="23" t="n">
        <v>45551</v>
      </c>
      <c r="C1261" s="22" t="s">
        <v>181</v>
      </c>
      <c r="D1261" s="24" t="n">
        <v>33</v>
      </c>
    </row>
    <row r="1262" customFormat="false" ht="15" hidden="false" customHeight="false" outlineLevel="0" collapsed="false">
      <c r="A1262" s="22" t="n">
        <v>13</v>
      </c>
      <c r="B1262" s="23" t="n">
        <v>45558</v>
      </c>
      <c r="C1262" s="22" t="s">
        <v>181</v>
      </c>
      <c r="D1262" s="24" t="n">
        <v>38</v>
      </c>
    </row>
    <row r="1263" customFormat="false" ht="15" hidden="false" customHeight="false" outlineLevel="0" collapsed="false">
      <c r="A1263" s="22" t="n">
        <v>14</v>
      </c>
      <c r="B1263" s="23" t="n">
        <v>45565</v>
      </c>
      <c r="C1263" s="22" t="s">
        <v>181</v>
      </c>
      <c r="D1263" s="24" t="n">
        <v>74</v>
      </c>
    </row>
    <row r="1264" customFormat="false" ht="15" hidden="false" customHeight="false" outlineLevel="0" collapsed="false">
      <c r="A1264" s="22" t="n">
        <v>15</v>
      </c>
      <c r="B1264" s="23" t="n">
        <v>45572</v>
      </c>
      <c r="C1264" s="22" t="s">
        <v>181</v>
      </c>
      <c r="D1264" s="24" t="n">
        <v>72</v>
      </c>
    </row>
    <row r="1265" customFormat="false" ht="15" hidden="false" customHeight="false" outlineLevel="0" collapsed="false">
      <c r="A1265" s="22" t="n">
        <v>16</v>
      </c>
      <c r="B1265" s="23" t="n">
        <v>45579</v>
      </c>
      <c r="C1265" s="22" t="s">
        <v>181</v>
      </c>
      <c r="D1265" s="24" t="n">
        <v>39</v>
      </c>
    </row>
    <row r="1266" customFormat="false" ht="15" hidden="false" customHeight="false" outlineLevel="0" collapsed="false">
      <c r="A1266" s="22" t="n">
        <v>17</v>
      </c>
      <c r="B1266" s="23" t="n">
        <v>45586</v>
      </c>
      <c r="C1266" s="22" t="s">
        <v>181</v>
      </c>
      <c r="D1266" s="24" t="n">
        <v>32</v>
      </c>
    </row>
    <row r="1267" customFormat="false" ht="15" hidden="false" customHeight="false" outlineLevel="0" collapsed="false">
      <c r="A1267" s="22" t="n">
        <v>18</v>
      </c>
      <c r="B1267" s="23" t="n">
        <v>45593</v>
      </c>
      <c r="C1267" s="22" t="s">
        <v>181</v>
      </c>
      <c r="D1267" s="24" t="n">
        <v>40</v>
      </c>
    </row>
    <row r="1268" customFormat="false" ht="15" hidden="false" customHeight="false" outlineLevel="0" collapsed="false">
      <c r="A1268" s="22" t="n">
        <v>19</v>
      </c>
      <c r="B1268" s="23" t="n">
        <v>45600</v>
      </c>
      <c r="C1268" s="22" t="s">
        <v>181</v>
      </c>
      <c r="D1268" s="24" t="n">
        <v>42</v>
      </c>
    </row>
    <row r="1269" customFormat="false" ht="15" hidden="false" customHeight="false" outlineLevel="0" collapsed="false">
      <c r="A1269" s="22" t="n">
        <v>20</v>
      </c>
      <c r="B1269" s="23" t="n">
        <v>45607</v>
      </c>
      <c r="C1269" s="22" t="s">
        <v>181</v>
      </c>
      <c r="D1269" s="24" t="n">
        <v>26</v>
      </c>
    </row>
    <row r="1270" customFormat="false" ht="15" hidden="false" customHeight="false" outlineLevel="0" collapsed="false">
      <c r="A1270" s="22" t="n">
        <v>21</v>
      </c>
      <c r="B1270" s="23" t="n">
        <v>45614</v>
      </c>
      <c r="C1270" s="22" t="s">
        <v>181</v>
      </c>
      <c r="D1270" s="24" t="n">
        <v>50</v>
      </c>
    </row>
    <row r="1271" customFormat="false" ht="15" hidden="false" customHeight="false" outlineLevel="0" collapsed="false">
      <c r="A1271" s="22" t="n">
        <v>22</v>
      </c>
      <c r="B1271" s="23" t="n">
        <v>45621</v>
      </c>
      <c r="C1271" s="22" t="s">
        <v>181</v>
      </c>
      <c r="D1271" s="24" t="n">
        <v>31</v>
      </c>
    </row>
    <row r="1272" customFormat="false" ht="15" hidden="false" customHeight="false" outlineLevel="0" collapsed="false">
      <c r="A1272" s="22" t="n">
        <v>23</v>
      </c>
      <c r="B1272" s="23" t="n">
        <v>45628</v>
      </c>
      <c r="C1272" s="22" t="s">
        <v>181</v>
      </c>
      <c r="D1272" s="24" t="n">
        <v>32</v>
      </c>
    </row>
    <row r="1273" customFormat="false" ht="15" hidden="false" customHeight="false" outlineLevel="0" collapsed="false">
      <c r="A1273" s="22" t="n">
        <v>24</v>
      </c>
      <c r="B1273" s="23" t="n">
        <v>45635</v>
      </c>
      <c r="C1273" s="22" t="s">
        <v>181</v>
      </c>
      <c r="D1273" s="24" t="n">
        <v>64</v>
      </c>
    </row>
    <row r="1274" customFormat="false" ht="15" hidden="false" customHeight="false" outlineLevel="0" collapsed="false">
      <c r="A1274" s="22" t="n">
        <v>25</v>
      </c>
      <c r="B1274" s="23" t="n">
        <v>45642</v>
      </c>
      <c r="C1274" s="22" t="s">
        <v>181</v>
      </c>
      <c r="D1274" s="24" t="n">
        <v>40</v>
      </c>
    </row>
    <row r="1275" customFormat="false" ht="15" hidden="false" customHeight="false" outlineLevel="0" collapsed="false">
      <c r="A1275" s="22" t="n">
        <v>26</v>
      </c>
      <c r="B1275" s="23" t="n">
        <v>45649</v>
      </c>
      <c r="C1275" s="22" t="s">
        <v>181</v>
      </c>
      <c r="D1275" s="24" t="n">
        <v>49</v>
      </c>
    </row>
    <row r="1276" customFormat="false" ht="15" hidden="false" customHeight="false" outlineLevel="0" collapsed="false">
      <c r="A1276" s="22" t="n">
        <v>27</v>
      </c>
      <c r="B1276" s="23" t="n">
        <v>45656</v>
      </c>
      <c r="C1276" s="22" t="s">
        <v>181</v>
      </c>
      <c r="D1276" s="24" t="n">
        <v>60</v>
      </c>
    </row>
    <row r="1277" customFormat="false" ht="15" hidden="false" customHeight="false" outlineLevel="0" collapsed="false">
      <c r="A1277" s="22" t="n">
        <v>28</v>
      </c>
      <c r="B1277" s="23" t="n">
        <v>45663</v>
      </c>
      <c r="C1277" s="22" t="s">
        <v>181</v>
      </c>
      <c r="D1277" s="24" t="n">
        <v>62</v>
      </c>
    </row>
    <row r="1278" customFormat="false" ht="15" hidden="false" customHeight="false" outlineLevel="0" collapsed="false">
      <c r="A1278" s="22" t="n">
        <v>29</v>
      </c>
      <c r="B1278" s="23" t="n">
        <v>45670</v>
      </c>
      <c r="C1278" s="22" t="s">
        <v>181</v>
      </c>
      <c r="D1278" s="24" t="n">
        <v>45</v>
      </c>
    </row>
    <row r="1279" customFormat="false" ht="15" hidden="false" customHeight="false" outlineLevel="0" collapsed="false">
      <c r="A1279" s="22" t="n">
        <v>30</v>
      </c>
      <c r="B1279" s="23" t="n">
        <v>45677</v>
      </c>
      <c r="C1279" s="22" t="s">
        <v>181</v>
      </c>
      <c r="D1279" s="24" t="n">
        <v>51</v>
      </c>
    </row>
    <row r="1280" customFormat="false" ht="15" hidden="false" customHeight="false" outlineLevel="0" collapsed="false">
      <c r="A1280" s="22" t="n">
        <v>31</v>
      </c>
      <c r="B1280" s="23" t="n">
        <v>45684</v>
      </c>
      <c r="C1280" s="22" t="s">
        <v>181</v>
      </c>
      <c r="D1280" s="24" t="n">
        <v>37</v>
      </c>
    </row>
    <row r="1281" customFormat="false" ht="15" hidden="false" customHeight="false" outlineLevel="0" collapsed="false">
      <c r="A1281" s="22" t="n">
        <v>32</v>
      </c>
      <c r="B1281" s="23" t="n">
        <v>45691</v>
      </c>
      <c r="C1281" s="22" t="s">
        <v>181</v>
      </c>
      <c r="D1281" s="24" t="n">
        <v>77</v>
      </c>
    </row>
    <row r="1282" customFormat="false" ht="15" hidden="false" customHeight="false" outlineLevel="0" collapsed="false">
      <c r="A1282" s="22" t="n">
        <v>33</v>
      </c>
      <c r="B1282" s="23" t="n">
        <v>45698</v>
      </c>
      <c r="C1282" s="22" t="s">
        <v>181</v>
      </c>
      <c r="D1282" s="24" t="n">
        <v>60</v>
      </c>
    </row>
    <row r="1283" customFormat="false" ht="15" hidden="false" customHeight="false" outlineLevel="0" collapsed="false">
      <c r="A1283" s="22" t="n">
        <v>34</v>
      </c>
      <c r="B1283" s="23" t="n">
        <v>45705</v>
      </c>
      <c r="C1283" s="22" t="s">
        <v>181</v>
      </c>
      <c r="D1283" s="24" t="n">
        <v>33</v>
      </c>
    </row>
    <row r="1284" customFormat="false" ht="15" hidden="false" customHeight="false" outlineLevel="0" collapsed="false">
      <c r="A1284" s="22" t="n">
        <v>35</v>
      </c>
      <c r="B1284" s="23" t="n">
        <v>45712</v>
      </c>
      <c r="C1284" s="22" t="s">
        <v>181</v>
      </c>
      <c r="D1284" s="24" t="n">
        <v>50</v>
      </c>
    </row>
    <row r="1285" customFormat="false" ht="15" hidden="false" customHeight="false" outlineLevel="0" collapsed="false">
      <c r="A1285" s="22" t="n">
        <v>36</v>
      </c>
      <c r="B1285" s="23" t="n">
        <v>45719</v>
      </c>
      <c r="C1285" s="22" t="s">
        <v>181</v>
      </c>
      <c r="D1285" s="24" t="n">
        <v>61</v>
      </c>
    </row>
    <row r="1286" customFormat="false" ht="15" hidden="false" customHeight="false" outlineLevel="0" collapsed="false">
      <c r="A1286" s="22" t="n">
        <v>37</v>
      </c>
      <c r="B1286" s="23" t="n">
        <v>45726</v>
      </c>
      <c r="C1286" s="22" t="s">
        <v>181</v>
      </c>
      <c r="D1286" s="24" t="n">
        <v>57</v>
      </c>
    </row>
    <row r="1287" customFormat="false" ht="15" hidden="false" customHeight="false" outlineLevel="0" collapsed="false">
      <c r="A1287" s="22" t="n">
        <v>38</v>
      </c>
      <c r="B1287" s="23" t="n">
        <v>45733</v>
      </c>
      <c r="C1287" s="22" t="s">
        <v>181</v>
      </c>
      <c r="D1287" s="24" t="n">
        <v>78</v>
      </c>
    </row>
    <row r="1288" customFormat="false" ht="15" hidden="false" customHeight="false" outlineLevel="0" collapsed="false">
      <c r="A1288" s="22" t="n">
        <v>39</v>
      </c>
      <c r="B1288" s="23" t="n">
        <v>45740</v>
      </c>
      <c r="C1288" s="22" t="s">
        <v>181</v>
      </c>
      <c r="D1288" s="24" t="n">
        <v>71</v>
      </c>
    </row>
    <row r="1289" customFormat="false" ht="15" hidden="false" customHeight="false" outlineLevel="0" collapsed="false">
      <c r="A1289" s="22" t="n">
        <v>40</v>
      </c>
      <c r="B1289" s="23" t="n">
        <v>45747</v>
      </c>
      <c r="C1289" s="22" t="s">
        <v>181</v>
      </c>
      <c r="D1289" s="24" t="n">
        <v>42</v>
      </c>
    </row>
    <row r="1290" customFormat="false" ht="15" hidden="false" customHeight="false" outlineLevel="0" collapsed="false">
      <c r="A1290" s="22" t="n">
        <v>41</v>
      </c>
      <c r="B1290" s="23" t="n">
        <v>45754</v>
      </c>
      <c r="C1290" s="22" t="s">
        <v>181</v>
      </c>
      <c r="D1290" s="24" t="n">
        <v>49</v>
      </c>
    </row>
    <row r="1291" customFormat="false" ht="15" hidden="false" customHeight="false" outlineLevel="0" collapsed="false">
      <c r="A1291" s="22" t="n">
        <v>42</v>
      </c>
      <c r="B1291" s="23" t="n">
        <v>45761</v>
      </c>
      <c r="C1291" s="22" t="s">
        <v>181</v>
      </c>
      <c r="D1291" s="24" t="n">
        <v>31</v>
      </c>
    </row>
    <row r="1292" customFormat="false" ht="15" hidden="false" customHeight="false" outlineLevel="0" collapsed="false">
      <c r="A1292" s="22" t="n">
        <v>43</v>
      </c>
      <c r="B1292" s="23" t="n">
        <v>45768</v>
      </c>
      <c r="C1292" s="22" t="s">
        <v>181</v>
      </c>
      <c r="D1292" s="24" t="n">
        <v>54</v>
      </c>
    </row>
    <row r="1293" customFormat="false" ht="15" hidden="false" customHeight="false" outlineLevel="0" collapsed="false">
      <c r="A1293" s="22" t="n">
        <v>44</v>
      </c>
      <c r="B1293" s="23" t="n">
        <v>45775</v>
      </c>
      <c r="C1293" s="22" t="s">
        <v>181</v>
      </c>
      <c r="D1293" s="24" t="n">
        <v>52</v>
      </c>
    </row>
    <row r="1294" customFormat="false" ht="15" hidden="false" customHeight="false" outlineLevel="0" collapsed="false">
      <c r="A1294" s="22" t="n">
        <v>45</v>
      </c>
      <c r="B1294" s="23" t="n">
        <v>45782</v>
      </c>
      <c r="C1294" s="22" t="s">
        <v>181</v>
      </c>
      <c r="D1294" s="24" t="n">
        <v>91</v>
      </c>
    </row>
    <row r="1295" customFormat="false" ht="15" hidden="false" customHeight="false" outlineLevel="0" collapsed="false">
      <c r="A1295" s="22" t="n">
        <v>46</v>
      </c>
      <c r="B1295" s="23" t="n">
        <v>45789</v>
      </c>
      <c r="C1295" s="22" t="s">
        <v>181</v>
      </c>
      <c r="D1295" s="24" t="n">
        <v>51</v>
      </c>
    </row>
    <row r="1296" customFormat="false" ht="15" hidden="false" customHeight="false" outlineLevel="0" collapsed="false">
      <c r="A1296" s="22" t="n">
        <v>47</v>
      </c>
      <c r="B1296" s="23" t="n">
        <v>45796</v>
      </c>
      <c r="C1296" s="22" t="s">
        <v>181</v>
      </c>
      <c r="D1296" s="24" t="n">
        <v>18</v>
      </c>
    </row>
    <row r="1297" customFormat="false" ht="15" hidden="false" customHeight="false" outlineLevel="0" collapsed="false">
      <c r="A1297" s="22" t="n">
        <v>48</v>
      </c>
      <c r="B1297" s="23" t="n">
        <v>45803</v>
      </c>
      <c r="C1297" s="22" t="s">
        <v>181</v>
      </c>
      <c r="D1297" s="24" t="n">
        <v>40</v>
      </c>
    </row>
    <row r="1298" customFormat="false" ht="15" hidden="false" customHeight="false" outlineLevel="0" collapsed="false">
      <c r="A1298" s="22" t="n">
        <v>49</v>
      </c>
      <c r="B1298" s="23" t="n">
        <v>45810</v>
      </c>
      <c r="C1298" s="22" t="s">
        <v>181</v>
      </c>
      <c r="D1298" s="24" t="n">
        <v>52</v>
      </c>
    </row>
    <row r="1299" customFormat="false" ht="15" hidden="false" customHeight="false" outlineLevel="0" collapsed="false">
      <c r="A1299" s="22" t="n">
        <v>50</v>
      </c>
      <c r="B1299" s="23" t="n">
        <v>45817</v>
      </c>
      <c r="C1299" s="22" t="s">
        <v>181</v>
      </c>
      <c r="D1299" s="24" t="n">
        <v>31</v>
      </c>
    </row>
    <row r="1300" customFormat="false" ht="15" hidden="false" customHeight="false" outlineLevel="0" collapsed="false">
      <c r="A1300" s="22" t="n">
        <v>51</v>
      </c>
      <c r="B1300" s="23" t="n">
        <v>45824</v>
      </c>
      <c r="C1300" s="22" t="s">
        <v>181</v>
      </c>
      <c r="D1300" s="24" t="n">
        <v>37</v>
      </c>
    </row>
    <row r="1301" customFormat="false" ht="15" hidden="false" customHeight="false" outlineLevel="0" collapsed="false">
      <c r="A1301" s="22" t="n">
        <v>52</v>
      </c>
      <c r="B1301" s="23" t="n">
        <v>45831</v>
      </c>
      <c r="C1301" s="22" t="s">
        <v>181</v>
      </c>
      <c r="D1301" s="24" t="n">
        <v>44</v>
      </c>
    </row>
    <row r="1302" customFormat="false" ht="15" hidden="false" customHeight="false" outlineLevel="0" collapsed="false">
      <c r="A1302" s="22" t="n">
        <v>53</v>
      </c>
      <c r="B1302" s="23" t="n">
        <v>45838</v>
      </c>
      <c r="C1302" s="22" t="s">
        <v>181</v>
      </c>
      <c r="D1302" s="24" t="n">
        <v>55</v>
      </c>
    </row>
    <row r="1303" customFormat="false" ht="15" hidden="false" customHeight="false" outlineLevel="0" collapsed="false">
      <c r="A1303" s="22" t="n">
        <v>54</v>
      </c>
      <c r="B1303" s="23" t="n">
        <v>45845</v>
      </c>
      <c r="C1303" s="22" t="s">
        <v>181</v>
      </c>
      <c r="D1303" s="24" t="n">
        <v>47</v>
      </c>
    </row>
    <row r="1304" customFormat="false" ht="15" hidden="false" customHeight="false" outlineLevel="0" collapsed="false">
      <c r="A1304" s="22" t="n">
        <v>55</v>
      </c>
      <c r="B1304" s="23" t="n">
        <v>45852</v>
      </c>
      <c r="C1304" s="22" t="s">
        <v>181</v>
      </c>
      <c r="D1304" s="24" t="n">
        <v>36</v>
      </c>
    </row>
    <row r="1305" customFormat="false" ht="15" hidden="false" customHeight="false" outlineLevel="0" collapsed="false">
      <c r="A1305" s="22" t="n">
        <v>56</v>
      </c>
      <c r="B1305" s="23" t="n">
        <v>45859</v>
      </c>
      <c r="C1305" s="22" t="s">
        <v>181</v>
      </c>
      <c r="D1305" s="24" t="n">
        <v>62</v>
      </c>
    </row>
    <row r="1306" customFormat="false" ht="15" hidden="false" customHeight="false" outlineLevel="0" collapsed="false">
      <c r="A1306" s="22" t="n">
        <v>57</v>
      </c>
      <c r="B1306" s="23" t="n">
        <v>45866</v>
      </c>
      <c r="C1306" s="22" t="s">
        <v>181</v>
      </c>
      <c r="D1306" s="24" t="n">
        <v>42</v>
      </c>
    </row>
    <row r="1307" customFormat="false" ht="15" hidden="false" customHeight="false" outlineLevel="0" collapsed="false">
      <c r="A1307" s="22" t="n">
        <v>58</v>
      </c>
      <c r="B1307" s="23" t="n">
        <v>45873</v>
      </c>
      <c r="C1307" s="22" t="s">
        <v>181</v>
      </c>
      <c r="D1307" s="24" t="n">
        <v>42</v>
      </c>
    </row>
    <row r="1308" customFormat="false" ht="15" hidden="false" customHeight="false" outlineLevel="0" collapsed="false">
      <c r="A1308" s="22" t="n">
        <v>59</v>
      </c>
      <c r="B1308" s="23" t="n">
        <v>45880</v>
      </c>
      <c r="C1308" s="22" t="s">
        <v>181</v>
      </c>
      <c r="D1308" s="24" t="n">
        <v>29</v>
      </c>
    </row>
    <row r="1309" customFormat="false" ht="15" hidden="false" customHeight="false" outlineLevel="0" collapsed="false">
      <c r="A1309" s="22" t="n">
        <v>60</v>
      </c>
      <c r="B1309" s="23" t="n">
        <v>45887</v>
      </c>
      <c r="C1309" s="22" t="s">
        <v>181</v>
      </c>
      <c r="D1309" s="24" t="n">
        <v>38</v>
      </c>
    </row>
    <row r="1310" customFormat="false" ht="15" hidden="false" customHeight="false" outlineLevel="0" collapsed="false">
      <c r="A1310" s="22" t="n">
        <v>61</v>
      </c>
      <c r="B1310" s="23" t="n">
        <v>45894</v>
      </c>
      <c r="C1310" s="22" t="s">
        <v>181</v>
      </c>
      <c r="D1310" s="24" t="n">
        <v>60</v>
      </c>
    </row>
    <row r="1311" customFormat="false" ht="15" hidden="false" customHeight="false" outlineLevel="0" collapsed="false">
      <c r="A1311" s="22" t="n">
        <v>62</v>
      </c>
      <c r="B1311" s="23" t="n">
        <v>45901</v>
      </c>
      <c r="C1311" s="22" t="s">
        <v>181</v>
      </c>
      <c r="D1311" s="24" t="n">
        <v>25</v>
      </c>
    </row>
    <row r="1312" customFormat="false" ht="15" hidden="false" customHeight="false" outlineLevel="0" collapsed="false">
      <c r="A1312" s="22" t="n">
        <v>63</v>
      </c>
      <c r="B1312" s="23" t="n">
        <v>45908</v>
      </c>
      <c r="C1312" s="22" t="s">
        <v>181</v>
      </c>
      <c r="D1312" s="24" t="n">
        <v>49</v>
      </c>
    </row>
    <row r="1313" customFormat="false" ht="15" hidden="false" customHeight="false" outlineLevel="0" collapsed="false">
      <c r="A1313" s="22" t="n">
        <v>64</v>
      </c>
      <c r="B1313" s="23" t="n">
        <v>45915</v>
      </c>
      <c r="C1313" s="22" t="s">
        <v>181</v>
      </c>
      <c r="D1313" s="24" t="n">
        <v>61</v>
      </c>
    </row>
    <row r="1314" customFormat="false" ht="15" hidden="false" customHeight="false" outlineLevel="0" collapsed="false">
      <c r="A1314" s="22" t="n">
        <v>65</v>
      </c>
      <c r="B1314" s="23" t="n">
        <v>45922</v>
      </c>
      <c r="C1314" s="22" t="s">
        <v>181</v>
      </c>
      <c r="D1314" s="24" t="n">
        <v>44</v>
      </c>
    </row>
    <row r="1315" customFormat="false" ht="15" hidden="false" customHeight="false" outlineLevel="0" collapsed="false">
      <c r="A1315" s="22" t="n">
        <v>66</v>
      </c>
      <c r="B1315" s="23" t="n">
        <v>45929</v>
      </c>
      <c r="C1315" s="22" t="s">
        <v>181</v>
      </c>
      <c r="D1315" s="24" t="n">
        <v>54</v>
      </c>
    </row>
    <row r="1316" customFormat="false" ht="15" hidden="false" customHeight="false" outlineLevel="0" collapsed="false">
      <c r="A1316" s="22" t="n">
        <v>67</v>
      </c>
      <c r="B1316" s="23" t="n">
        <v>45936</v>
      </c>
      <c r="C1316" s="22" t="s">
        <v>181</v>
      </c>
      <c r="D1316" s="24" t="n">
        <v>33</v>
      </c>
    </row>
    <row r="1317" customFormat="false" ht="15" hidden="false" customHeight="false" outlineLevel="0" collapsed="false">
      <c r="A1317" s="22" t="n">
        <v>68</v>
      </c>
      <c r="B1317" s="23" t="n">
        <v>45943</v>
      </c>
      <c r="C1317" s="22" t="s">
        <v>181</v>
      </c>
      <c r="D1317" s="24" t="n">
        <v>70</v>
      </c>
    </row>
    <row r="1318" customFormat="false" ht="15" hidden="false" customHeight="false" outlineLevel="0" collapsed="false">
      <c r="A1318" s="22" t="n">
        <v>69</v>
      </c>
      <c r="B1318" s="23" t="n">
        <v>45950</v>
      </c>
      <c r="C1318" s="22" t="s">
        <v>181</v>
      </c>
      <c r="D1318" s="24" t="n">
        <v>67</v>
      </c>
    </row>
    <row r="1319" customFormat="false" ht="15" hidden="false" customHeight="false" outlineLevel="0" collapsed="false">
      <c r="A1319" s="22" t="n">
        <v>70</v>
      </c>
      <c r="B1319" s="23" t="n">
        <v>45957</v>
      </c>
      <c r="C1319" s="22" t="s">
        <v>181</v>
      </c>
      <c r="D1319" s="24" t="n">
        <v>54</v>
      </c>
    </row>
    <row r="1320" customFormat="false" ht="15" hidden="false" customHeight="false" outlineLevel="0" collapsed="false">
      <c r="A1320" s="22" t="n">
        <v>71</v>
      </c>
      <c r="B1320" s="23" t="n">
        <v>45964</v>
      </c>
      <c r="C1320" s="22" t="s">
        <v>181</v>
      </c>
      <c r="D1320" s="24" t="n">
        <v>23</v>
      </c>
    </row>
    <row r="1321" customFormat="false" ht="15" hidden="false" customHeight="false" outlineLevel="0" collapsed="false">
      <c r="A1321" s="22" t="n">
        <v>72</v>
      </c>
      <c r="B1321" s="23" t="n">
        <v>45971</v>
      </c>
      <c r="C1321" s="22" t="s">
        <v>181</v>
      </c>
      <c r="D1321" s="24" t="n">
        <v>34</v>
      </c>
    </row>
    <row r="1322" customFormat="false" ht="15" hidden="false" customHeight="false" outlineLevel="0" collapsed="false">
      <c r="A1322" s="22" t="n">
        <v>73</v>
      </c>
      <c r="B1322" s="23" t="n">
        <v>45978</v>
      </c>
      <c r="C1322" s="22" t="s">
        <v>181</v>
      </c>
      <c r="D1322" s="24" t="n">
        <v>65</v>
      </c>
    </row>
    <row r="1323" customFormat="false" ht="15" hidden="false" customHeight="false" outlineLevel="0" collapsed="false">
      <c r="A1323" s="22" t="n">
        <v>74</v>
      </c>
      <c r="B1323" s="23" t="n">
        <v>45985</v>
      </c>
      <c r="C1323" s="22" t="s">
        <v>181</v>
      </c>
      <c r="D1323" s="24" t="n">
        <v>76</v>
      </c>
    </row>
    <row r="1324" customFormat="false" ht="15" hidden="false" customHeight="false" outlineLevel="0" collapsed="false">
      <c r="A1324" s="22" t="n">
        <v>75</v>
      </c>
      <c r="B1324" s="23" t="n">
        <v>45992</v>
      </c>
      <c r="C1324" s="22" t="s">
        <v>181</v>
      </c>
      <c r="D1324" s="24" t="n">
        <v>55</v>
      </c>
    </row>
    <row r="1325" customFormat="false" ht="15" hidden="false" customHeight="false" outlineLevel="0" collapsed="false">
      <c r="A1325" s="22" t="n">
        <v>76</v>
      </c>
      <c r="B1325" s="23" t="n">
        <v>45999</v>
      </c>
      <c r="C1325" s="22" t="s">
        <v>181</v>
      </c>
      <c r="D1325" s="24" t="n">
        <v>69</v>
      </c>
    </row>
    <row r="1326" customFormat="false" ht="15" hidden="false" customHeight="false" outlineLevel="0" collapsed="false">
      <c r="A1326" s="22" t="n">
        <v>77</v>
      </c>
      <c r="B1326" s="23" t="n">
        <v>46006</v>
      </c>
      <c r="C1326" s="22" t="s">
        <v>181</v>
      </c>
      <c r="D1326" s="24" t="n">
        <v>41</v>
      </c>
    </row>
    <row r="1327" customFormat="false" ht="15" hidden="false" customHeight="false" outlineLevel="0" collapsed="false">
      <c r="A1327" s="22" t="n">
        <v>78</v>
      </c>
      <c r="B1327" s="23" t="n">
        <v>46013</v>
      </c>
      <c r="C1327" s="22" t="s">
        <v>181</v>
      </c>
      <c r="D1327" s="24" t="n">
        <v>47</v>
      </c>
    </row>
    <row r="1328" customFormat="false" ht="15" hidden="false" customHeight="false" outlineLevel="0" collapsed="false">
      <c r="A1328" s="22" t="n">
        <v>79</v>
      </c>
      <c r="B1328" s="23" t="n">
        <v>46020</v>
      </c>
      <c r="C1328" s="22" t="s">
        <v>181</v>
      </c>
      <c r="D1328" s="24" t="n">
        <v>50</v>
      </c>
    </row>
    <row r="1329" customFormat="false" ht="15" hidden="false" customHeight="false" outlineLevel="0" collapsed="false">
      <c r="A1329" s="22" t="n">
        <v>80</v>
      </c>
      <c r="B1329" s="23" t="n">
        <v>46027</v>
      </c>
      <c r="C1329" s="22" t="s">
        <v>181</v>
      </c>
      <c r="D1329" s="24" t="n">
        <v>56</v>
      </c>
    </row>
    <row r="1330" customFormat="false" ht="15" hidden="false" customHeight="false" outlineLevel="0" collapsed="false">
      <c r="A1330" s="22" t="n">
        <v>81</v>
      </c>
      <c r="B1330" s="23" t="n">
        <v>46034</v>
      </c>
      <c r="C1330" s="22" t="s">
        <v>181</v>
      </c>
      <c r="D1330" s="24" t="n">
        <v>27</v>
      </c>
    </row>
    <row r="1331" customFormat="false" ht="15" hidden="false" customHeight="false" outlineLevel="0" collapsed="false">
      <c r="A1331" s="22" t="n">
        <v>82</v>
      </c>
      <c r="B1331" s="23" t="n">
        <v>46041</v>
      </c>
      <c r="C1331" s="22" t="s">
        <v>181</v>
      </c>
      <c r="D1331" s="24" t="n">
        <v>64</v>
      </c>
    </row>
    <row r="1332" customFormat="false" ht="15" hidden="false" customHeight="false" outlineLevel="0" collapsed="false">
      <c r="A1332" s="22" t="n">
        <v>83</v>
      </c>
      <c r="B1332" s="23" t="n">
        <v>46048</v>
      </c>
      <c r="C1332" s="22" t="s">
        <v>181</v>
      </c>
      <c r="D1332" s="24" t="n">
        <v>70</v>
      </c>
    </row>
    <row r="1333" customFormat="false" ht="15" hidden="false" customHeight="false" outlineLevel="0" collapsed="false">
      <c r="A1333" s="22" t="n">
        <v>84</v>
      </c>
      <c r="B1333" s="23" t="n">
        <v>46055</v>
      </c>
      <c r="C1333" s="22" t="s">
        <v>181</v>
      </c>
      <c r="D1333" s="24" t="n">
        <v>33</v>
      </c>
    </row>
    <row r="1334" customFormat="false" ht="15" hidden="false" customHeight="false" outlineLevel="0" collapsed="false">
      <c r="A1334" s="22" t="n">
        <v>85</v>
      </c>
      <c r="B1334" s="23" t="n">
        <v>46062</v>
      </c>
      <c r="C1334" s="22" t="s">
        <v>181</v>
      </c>
      <c r="D1334" s="24" t="n">
        <v>29</v>
      </c>
    </row>
    <row r="1335" customFormat="false" ht="15" hidden="false" customHeight="false" outlineLevel="0" collapsed="false">
      <c r="A1335" s="22" t="n">
        <v>86</v>
      </c>
      <c r="B1335" s="23" t="n">
        <v>46069</v>
      </c>
      <c r="C1335" s="22" t="s">
        <v>181</v>
      </c>
      <c r="D1335" s="24" t="n">
        <v>55</v>
      </c>
    </row>
    <row r="1336" customFormat="false" ht="15" hidden="false" customHeight="false" outlineLevel="0" collapsed="false">
      <c r="A1336" s="22" t="n">
        <v>87</v>
      </c>
      <c r="B1336" s="23" t="n">
        <v>46076</v>
      </c>
      <c r="C1336" s="22" t="s">
        <v>181</v>
      </c>
      <c r="D1336" s="24" t="n">
        <v>40</v>
      </c>
    </row>
    <row r="1337" customFormat="false" ht="15" hidden="false" customHeight="false" outlineLevel="0" collapsed="false">
      <c r="A1337" s="22" t="n">
        <v>88</v>
      </c>
      <c r="B1337" s="23" t="n">
        <v>46083</v>
      </c>
      <c r="C1337" s="22" t="s">
        <v>181</v>
      </c>
      <c r="D1337" s="24" t="n">
        <v>14</v>
      </c>
    </row>
    <row r="1338" customFormat="false" ht="15" hidden="false" customHeight="false" outlineLevel="0" collapsed="false">
      <c r="A1338" s="22" t="n">
        <v>89</v>
      </c>
      <c r="B1338" s="23" t="n">
        <v>46090</v>
      </c>
      <c r="C1338" s="22" t="s">
        <v>181</v>
      </c>
      <c r="D1338" s="24" t="n">
        <v>62</v>
      </c>
    </row>
    <row r="1339" customFormat="false" ht="15" hidden="false" customHeight="false" outlineLevel="0" collapsed="false">
      <c r="A1339" s="22" t="n">
        <v>90</v>
      </c>
      <c r="B1339" s="23" t="n">
        <v>46097</v>
      </c>
      <c r="C1339" s="22" t="s">
        <v>181</v>
      </c>
      <c r="D1339" s="24" t="n">
        <v>52</v>
      </c>
    </row>
    <row r="1340" customFormat="false" ht="15" hidden="false" customHeight="false" outlineLevel="0" collapsed="false">
      <c r="A1340" s="22" t="n">
        <v>91</v>
      </c>
      <c r="B1340" s="23" t="n">
        <v>46104</v>
      </c>
      <c r="C1340" s="22" t="s">
        <v>181</v>
      </c>
      <c r="D1340" s="24" t="n">
        <v>43</v>
      </c>
    </row>
    <row r="1341" customFormat="false" ht="15" hidden="false" customHeight="false" outlineLevel="0" collapsed="false">
      <c r="A1341" s="22" t="n">
        <v>92</v>
      </c>
      <c r="B1341" s="23" t="n">
        <v>46111</v>
      </c>
      <c r="C1341" s="22" t="s">
        <v>181</v>
      </c>
      <c r="D1341" s="24" t="n">
        <v>82</v>
      </c>
    </row>
    <row r="1342" customFormat="false" ht="15" hidden="false" customHeight="false" outlineLevel="0" collapsed="false">
      <c r="A1342" s="22" t="n">
        <v>93</v>
      </c>
      <c r="B1342" s="23" t="n">
        <v>46118</v>
      </c>
      <c r="C1342" s="22" t="s">
        <v>181</v>
      </c>
      <c r="D1342" s="24" t="n">
        <v>52</v>
      </c>
    </row>
    <row r="1343" customFormat="false" ht="15" hidden="false" customHeight="false" outlineLevel="0" collapsed="false">
      <c r="A1343" s="22" t="n">
        <v>94</v>
      </c>
      <c r="B1343" s="23" t="n">
        <v>46125</v>
      </c>
      <c r="C1343" s="22" t="s">
        <v>181</v>
      </c>
      <c r="D1343" s="24" t="n">
        <v>39</v>
      </c>
    </row>
    <row r="1344" customFormat="false" ht="15" hidden="false" customHeight="false" outlineLevel="0" collapsed="false">
      <c r="A1344" s="22" t="n">
        <v>95</v>
      </c>
      <c r="B1344" s="23" t="n">
        <v>46132</v>
      </c>
      <c r="C1344" s="22" t="s">
        <v>181</v>
      </c>
      <c r="D1344" s="24" t="n">
        <v>52</v>
      </c>
    </row>
    <row r="1345" customFormat="false" ht="15" hidden="false" customHeight="false" outlineLevel="0" collapsed="false">
      <c r="A1345" s="22" t="n">
        <v>96</v>
      </c>
      <c r="B1345" s="23" t="n">
        <v>46139</v>
      </c>
      <c r="C1345" s="22" t="s">
        <v>181</v>
      </c>
      <c r="D1345" s="24" t="n">
        <v>34</v>
      </c>
    </row>
    <row r="1346" customFormat="false" ht="15" hidden="false" customHeight="false" outlineLevel="0" collapsed="false">
      <c r="A1346" s="22" t="n">
        <v>97</v>
      </c>
      <c r="B1346" s="23" t="n">
        <v>46146</v>
      </c>
      <c r="C1346" s="22" t="s">
        <v>181</v>
      </c>
      <c r="D1346" s="24" t="n">
        <v>38</v>
      </c>
    </row>
    <row r="1347" customFormat="false" ht="15" hidden="false" customHeight="false" outlineLevel="0" collapsed="false">
      <c r="A1347" s="22" t="n">
        <v>98</v>
      </c>
      <c r="B1347" s="23" t="n">
        <v>46153</v>
      </c>
      <c r="C1347" s="22" t="s">
        <v>181</v>
      </c>
      <c r="D1347" s="24" t="n">
        <v>56</v>
      </c>
    </row>
    <row r="1348" customFormat="false" ht="15" hidden="false" customHeight="false" outlineLevel="0" collapsed="false">
      <c r="A1348" s="22" t="n">
        <v>99</v>
      </c>
      <c r="B1348" s="23" t="n">
        <v>46160</v>
      </c>
      <c r="C1348" s="22" t="s">
        <v>181</v>
      </c>
      <c r="D1348" s="24" t="n">
        <v>42</v>
      </c>
    </row>
    <row r="1349" customFormat="false" ht="15" hidden="false" customHeight="false" outlineLevel="0" collapsed="false">
      <c r="A1349" s="22" t="n">
        <v>100</v>
      </c>
      <c r="B1349" s="23" t="n">
        <v>46167</v>
      </c>
      <c r="C1349" s="22" t="s">
        <v>181</v>
      </c>
      <c r="D1349" s="24" t="n">
        <v>43</v>
      </c>
    </row>
    <row r="1350" customFormat="false" ht="15" hidden="false" customHeight="false" outlineLevel="0" collapsed="false">
      <c r="A1350" s="22" t="n">
        <v>101</v>
      </c>
      <c r="B1350" s="23" t="n">
        <v>46174</v>
      </c>
      <c r="C1350" s="22" t="s">
        <v>181</v>
      </c>
      <c r="D1350" s="24" t="n">
        <v>75</v>
      </c>
    </row>
    <row r="1351" customFormat="false" ht="15" hidden="false" customHeight="false" outlineLevel="0" collapsed="false">
      <c r="A1351" s="22" t="n">
        <v>102</v>
      </c>
      <c r="B1351" s="23" t="n">
        <v>46181</v>
      </c>
      <c r="C1351" s="22" t="s">
        <v>181</v>
      </c>
      <c r="D1351" s="24" t="n">
        <v>63</v>
      </c>
    </row>
    <row r="1352" customFormat="false" ht="15" hidden="false" customHeight="false" outlineLevel="0" collapsed="false">
      <c r="A1352" s="22" t="n">
        <v>103</v>
      </c>
      <c r="B1352" s="23" t="n">
        <v>46188</v>
      </c>
      <c r="C1352" s="22" t="s">
        <v>181</v>
      </c>
      <c r="D1352" s="24" t="n">
        <v>62</v>
      </c>
    </row>
    <row r="1353" customFormat="false" ht="15" hidden="false" customHeight="false" outlineLevel="0" collapsed="false">
      <c r="A1353" s="22" t="n">
        <v>104</v>
      </c>
      <c r="B1353" s="23" t="n">
        <v>46195</v>
      </c>
      <c r="C1353" s="22" t="s">
        <v>181</v>
      </c>
      <c r="D1353" s="24" t="n">
        <v>58</v>
      </c>
    </row>
    <row r="1354" customFormat="false" ht="15" hidden="false" customHeight="false" outlineLevel="0" collapsed="false">
      <c r="A1354" s="22" t="n">
        <v>1</v>
      </c>
      <c r="B1354" s="23" t="n">
        <v>45474</v>
      </c>
      <c r="C1354" s="22" t="s">
        <v>183</v>
      </c>
      <c r="D1354" s="24" t="n">
        <v>58</v>
      </c>
    </row>
    <row r="1355" customFormat="false" ht="15" hidden="false" customHeight="false" outlineLevel="0" collapsed="false">
      <c r="A1355" s="22" t="n">
        <v>2</v>
      </c>
      <c r="B1355" s="23" t="n">
        <v>45481</v>
      </c>
      <c r="C1355" s="22" t="s">
        <v>183</v>
      </c>
      <c r="D1355" s="24" t="n">
        <v>65</v>
      </c>
    </row>
    <row r="1356" customFormat="false" ht="15" hidden="false" customHeight="false" outlineLevel="0" collapsed="false">
      <c r="A1356" s="22" t="n">
        <v>3</v>
      </c>
      <c r="B1356" s="23" t="n">
        <v>45488</v>
      </c>
      <c r="C1356" s="22" t="s">
        <v>183</v>
      </c>
      <c r="D1356" s="24" t="n">
        <v>53</v>
      </c>
    </row>
    <row r="1357" customFormat="false" ht="15" hidden="false" customHeight="false" outlineLevel="0" collapsed="false">
      <c r="A1357" s="22" t="n">
        <v>4</v>
      </c>
      <c r="B1357" s="23" t="n">
        <v>45495</v>
      </c>
      <c r="C1357" s="22" t="s">
        <v>183</v>
      </c>
      <c r="D1357" s="24" t="n">
        <v>67</v>
      </c>
    </row>
    <row r="1358" customFormat="false" ht="15" hidden="false" customHeight="false" outlineLevel="0" collapsed="false">
      <c r="A1358" s="22" t="n">
        <v>5</v>
      </c>
      <c r="B1358" s="23" t="n">
        <v>45502</v>
      </c>
      <c r="C1358" s="22" t="s">
        <v>183</v>
      </c>
      <c r="D1358" s="24" t="n">
        <v>46</v>
      </c>
    </row>
    <row r="1359" customFormat="false" ht="15" hidden="false" customHeight="false" outlineLevel="0" collapsed="false">
      <c r="A1359" s="22" t="n">
        <v>6</v>
      </c>
      <c r="B1359" s="23" t="n">
        <v>45509</v>
      </c>
      <c r="C1359" s="22" t="s">
        <v>183</v>
      </c>
      <c r="D1359" s="24" t="n">
        <v>51</v>
      </c>
    </row>
    <row r="1360" customFormat="false" ht="15" hidden="false" customHeight="false" outlineLevel="0" collapsed="false">
      <c r="A1360" s="22" t="n">
        <v>7</v>
      </c>
      <c r="B1360" s="23" t="n">
        <v>45516</v>
      </c>
      <c r="C1360" s="22" t="s">
        <v>183</v>
      </c>
      <c r="D1360" s="24" t="n">
        <v>42</v>
      </c>
    </row>
    <row r="1361" customFormat="false" ht="15" hidden="false" customHeight="false" outlineLevel="0" collapsed="false">
      <c r="A1361" s="22" t="n">
        <v>8</v>
      </c>
      <c r="B1361" s="23" t="n">
        <v>45523</v>
      </c>
      <c r="C1361" s="22" t="s">
        <v>183</v>
      </c>
      <c r="D1361" s="24" t="n">
        <v>50</v>
      </c>
    </row>
    <row r="1362" customFormat="false" ht="15" hidden="false" customHeight="false" outlineLevel="0" collapsed="false">
      <c r="A1362" s="22" t="n">
        <v>9</v>
      </c>
      <c r="B1362" s="23" t="n">
        <v>45530</v>
      </c>
      <c r="C1362" s="22" t="s">
        <v>183</v>
      </c>
      <c r="D1362" s="24" t="n">
        <v>56</v>
      </c>
    </row>
    <row r="1363" customFormat="false" ht="15" hidden="false" customHeight="false" outlineLevel="0" collapsed="false">
      <c r="A1363" s="22" t="n">
        <v>10</v>
      </c>
      <c r="B1363" s="23" t="n">
        <v>45537</v>
      </c>
      <c r="C1363" s="22" t="s">
        <v>183</v>
      </c>
      <c r="D1363" s="24" t="n">
        <v>62</v>
      </c>
    </row>
    <row r="1364" customFormat="false" ht="15" hidden="false" customHeight="false" outlineLevel="0" collapsed="false">
      <c r="A1364" s="22" t="n">
        <v>11</v>
      </c>
      <c r="B1364" s="23" t="n">
        <v>45544</v>
      </c>
      <c r="C1364" s="22" t="s">
        <v>183</v>
      </c>
      <c r="D1364" s="24" t="n">
        <v>47</v>
      </c>
    </row>
    <row r="1365" customFormat="false" ht="15" hidden="false" customHeight="false" outlineLevel="0" collapsed="false">
      <c r="A1365" s="22" t="n">
        <v>12</v>
      </c>
      <c r="B1365" s="23" t="n">
        <v>45551</v>
      </c>
      <c r="C1365" s="22" t="s">
        <v>183</v>
      </c>
      <c r="D1365" s="24" t="n">
        <v>51</v>
      </c>
    </row>
    <row r="1366" customFormat="false" ht="15" hidden="false" customHeight="false" outlineLevel="0" collapsed="false">
      <c r="A1366" s="22" t="n">
        <v>13</v>
      </c>
      <c r="B1366" s="23" t="n">
        <v>45558</v>
      </c>
      <c r="C1366" s="22" t="s">
        <v>183</v>
      </c>
      <c r="D1366" s="24" t="n">
        <v>48</v>
      </c>
    </row>
    <row r="1367" customFormat="false" ht="15" hidden="false" customHeight="false" outlineLevel="0" collapsed="false">
      <c r="A1367" s="22" t="n">
        <v>14</v>
      </c>
      <c r="B1367" s="23" t="n">
        <v>45565</v>
      </c>
      <c r="C1367" s="22" t="s">
        <v>183</v>
      </c>
      <c r="D1367" s="24" t="n">
        <v>45</v>
      </c>
    </row>
    <row r="1368" customFormat="false" ht="15" hidden="false" customHeight="false" outlineLevel="0" collapsed="false">
      <c r="A1368" s="22" t="n">
        <v>15</v>
      </c>
      <c r="B1368" s="23" t="n">
        <v>45572</v>
      </c>
      <c r="C1368" s="22" t="s">
        <v>183</v>
      </c>
      <c r="D1368" s="24" t="n">
        <v>42</v>
      </c>
    </row>
    <row r="1369" customFormat="false" ht="15" hidden="false" customHeight="false" outlineLevel="0" collapsed="false">
      <c r="A1369" s="22" t="n">
        <v>16</v>
      </c>
      <c r="B1369" s="23" t="n">
        <v>45579</v>
      </c>
      <c r="C1369" s="22" t="s">
        <v>183</v>
      </c>
      <c r="D1369" s="24" t="n">
        <v>50</v>
      </c>
    </row>
    <row r="1370" customFormat="false" ht="15" hidden="false" customHeight="false" outlineLevel="0" collapsed="false">
      <c r="A1370" s="22" t="n">
        <v>17</v>
      </c>
      <c r="B1370" s="23" t="n">
        <v>45586</v>
      </c>
      <c r="C1370" s="22" t="s">
        <v>183</v>
      </c>
      <c r="D1370" s="24" t="n">
        <v>38</v>
      </c>
    </row>
    <row r="1371" customFormat="false" ht="15" hidden="false" customHeight="false" outlineLevel="0" collapsed="false">
      <c r="A1371" s="22" t="n">
        <v>18</v>
      </c>
      <c r="B1371" s="23" t="n">
        <v>45593</v>
      </c>
      <c r="C1371" s="22" t="s">
        <v>183</v>
      </c>
      <c r="D1371" s="24" t="n">
        <v>50</v>
      </c>
    </row>
    <row r="1372" customFormat="false" ht="15" hidden="false" customHeight="false" outlineLevel="0" collapsed="false">
      <c r="A1372" s="22" t="n">
        <v>19</v>
      </c>
      <c r="B1372" s="23" t="n">
        <v>45600</v>
      </c>
      <c r="C1372" s="22" t="s">
        <v>183</v>
      </c>
      <c r="D1372" s="24" t="n">
        <v>49</v>
      </c>
    </row>
    <row r="1373" customFormat="false" ht="15" hidden="false" customHeight="false" outlineLevel="0" collapsed="false">
      <c r="A1373" s="22" t="n">
        <v>20</v>
      </c>
      <c r="B1373" s="23" t="n">
        <v>45607</v>
      </c>
      <c r="C1373" s="22" t="s">
        <v>183</v>
      </c>
      <c r="D1373" s="24" t="n">
        <v>44</v>
      </c>
    </row>
    <row r="1374" customFormat="false" ht="15" hidden="false" customHeight="false" outlineLevel="0" collapsed="false">
      <c r="A1374" s="22" t="n">
        <v>21</v>
      </c>
      <c r="B1374" s="23" t="n">
        <v>45614</v>
      </c>
      <c r="C1374" s="22" t="s">
        <v>183</v>
      </c>
      <c r="D1374" s="24" t="n">
        <v>42</v>
      </c>
    </row>
    <row r="1375" customFormat="false" ht="15" hidden="false" customHeight="false" outlineLevel="0" collapsed="false">
      <c r="A1375" s="22" t="n">
        <v>22</v>
      </c>
      <c r="B1375" s="23" t="n">
        <v>45621</v>
      </c>
      <c r="C1375" s="22" t="s">
        <v>183</v>
      </c>
      <c r="D1375" s="24" t="n">
        <v>39</v>
      </c>
    </row>
    <row r="1376" customFormat="false" ht="15" hidden="false" customHeight="false" outlineLevel="0" collapsed="false">
      <c r="A1376" s="22" t="n">
        <v>23</v>
      </c>
      <c r="B1376" s="23" t="n">
        <v>45628</v>
      </c>
      <c r="C1376" s="22" t="s">
        <v>183</v>
      </c>
      <c r="D1376" s="24" t="n">
        <v>61</v>
      </c>
    </row>
    <row r="1377" customFormat="false" ht="15" hidden="false" customHeight="false" outlineLevel="0" collapsed="false">
      <c r="A1377" s="22" t="n">
        <v>24</v>
      </c>
      <c r="B1377" s="23" t="n">
        <v>45635</v>
      </c>
      <c r="C1377" s="22" t="s">
        <v>183</v>
      </c>
      <c r="D1377" s="24" t="n">
        <v>39</v>
      </c>
    </row>
    <row r="1378" customFormat="false" ht="15" hidden="false" customHeight="false" outlineLevel="0" collapsed="false">
      <c r="A1378" s="22" t="n">
        <v>25</v>
      </c>
      <c r="B1378" s="23" t="n">
        <v>45642</v>
      </c>
      <c r="C1378" s="22" t="s">
        <v>183</v>
      </c>
      <c r="D1378" s="24" t="n">
        <v>58</v>
      </c>
    </row>
    <row r="1379" customFormat="false" ht="15" hidden="false" customHeight="false" outlineLevel="0" collapsed="false">
      <c r="A1379" s="22" t="n">
        <v>26</v>
      </c>
      <c r="B1379" s="23" t="n">
        <v>45649</v>
      </c>
      <c r="C1379" s="22" t="s">
        <v>183</v>
      </c>
      <c r="D1379" s="24" t="n">
        <v>51</v>
      </c>
    </row>
    <row r="1380" customFormat="false" ht="15" hidden="false" customHeight="false" outlineLevel="0" collapsed="false">
      <c r="A1380" s="22" t="n">
        <v>27</v>
      </c>
      <c r="B1380" s="23" t="n">
        <v>45656</v>
      </c>
      <c r="C1380" s="22" t="s">
        <v>183</v>
      </c>
      <c r="D1380" s="24" t="n">
        <v>45</v>
      </c>
    </row>
    <row r="1381" customFormat="false" ht="15" hidden="false" customHeight="false" outlineLevel="0" collapsed="false">
      <c r="A1381" s="22" t="n">
        <v>28</v>
      </c>
      <c r="B1381" s="23" t="n">
        <v>45663</v>
      </c>
      <c r="C1381" s="22" t="s">
        <v>183</v>
      </c>
      <c r="D1381" s="24" t="n">
        <v>39</v>
      </c>
    </row>
    <row r="1382" customFormat="false" ht="15" hidden="false" customHeight="false" outlineLevel="0" collapsed="false">
      <c r="A1382" s="22" t="n">
        <v>29</v>
      </c>
      <c r="B1382" s="23" t="n">
        <v>45670</v>
      </c>
      <c r="C1382" s="22" t="s">
        <v>183</v>
      </c>
      <c r="D1382" s="24" t="n">
        <v>53</v>
      </c>
    </row>
    <row r="1383" customFormat="false" ht="15" hidden="false" customHeight="false" outlineLevel="0" collapsed="false">
      <c r="A1383" s="22" t="n">
        <v>30</v>
      </c>
      <c r="B1383" s="23" t="n">
        <v>45677</v>
      </c>
      <c r="C1383" s="22" t="s">
        <v>183</v>
      </c>
      <c r="D1383" s="24" t="n">
        <v>57</v>
      </c>
    </row>
    <row r="1384" customFormat="false" ht="15" hidden="false" customHeight="false" outlineLevel="0" collapsed="false">
      <c r="A1384" s="22" t="n">
        <v>31</v>
      </c>
      <c r="B1384" s="23" t="n">
        <v>45684</v>
      </c>
      <c r="C1384" s="22" t="s">
        <v>183</v>
      </c>
      <c r="D1384" s="24" t="n">
        <v>40</v>
      </c>
    </row>
    <row r="1385" customFormat="false" ht="15" hidden="false" customHeight="false" outlineLevel="0" collapsed="false">
      <c r="A1385" s="22" t="n">
        <v>32</v>
      </c>
      <c r="B1385" s="23" t="n">
        <v>45691</v>
      </c>
      <c r="C1385" s="22" t="s">
        <v>183</v>
      </c>
      <c r="D1385" s="24" t="n">
        <v>44</v>
      </c>
    </row>
    <row r="1386" customFormat="false" ht="15" hidden="false" customHeight="false" outlineLevel="0" collapsed="false">
      <c r="A1386" s="22" t="n">
        <v>33</v>
      </c>
      <c r="B1386" s="23" t="n">
        <v>45698</v>
      </c>
      <c r="C1386" s="22" t="s">
        <v>183</v>
      </c>
      <c r="D1386" s="24" t="n">
        <v>52</v>
      </c>
    </row>
    <row r="1387" customFormat="false" ht="15" hidden="false" customHeight="false" outlineLevel="0" collapsed="false">
      <c r="A1387" s="22" t="n">
        <v>34</v>
      </c>
      <c r="B1387" s="23" t="n">
        <v>45705</v>
      </c>
      <c r="C1387" s="22" t="s">
        <v>183</v>
      </c>
      <c r="D1387" s="24" t="n">
        <v>47</v>
      </c>
    </row>
    <row r="1388" customFormat="false" ht="15" hidden="false" customHeight="false" outlineLevel="0" collapsed="false">
      <c r="A1388" s="22" t="n">
        <v>35</v>
      </c>
      <c r="B1388" s="23" t="n">
        <v>45712</v>
      </c>
      <c r="C1388" s="22" t="s">
        <v>183</v>
      </c>
      <c r="D1388" s="24" t="n">
        <v>57</v>
      </c>
    </row>
    <row r="1389" customFormat="false" ht="15" hidden="false" customHeight="false" outlineLevel="0" collapsed="false">
      <c r="A1389" s="22" t="n">
        <v>36</v>
      </c>
      <c r="B1389" s="23" t="n">
        <v>45719</v>
      </c>
      <c r="C1389" s="22" t="s">
        <v>183</v>
      </c>
      <c r="D1389" s="24" t="n">
        <v>41</v>
      </c>
    </row>
    <row r="1390" customFormat="false" ht="15" hidden="false" customHeight="false" outlineLevel="0" collapsed="false">
      <c r="A1390" s="22" t="n">
        <v>37</v>
      </c>
      <c r="B1390" s="23" t="n">
        <v>45726</v>
      </c>
      <c r="C1390" s="22" t="s">
        <v>183</v>
      </c>
      <c r="D1390" s="24" t="n">
        <v>48</v>
      </c>
    </row>
    <row r="1391" customFormat="false" ht="15" hidden="false" customHeight="false" outlineLevel="0" collapsed="false">
      <c r="A1391" s="22" t="n">
        <v>38</v>
      </c>
      <c r="B1391" s="23" t="n">
        <v>45733</v>
      </c>
      <c r="C1391" s="22" t="s">
        <v>183</v>
      </c>
      <c r="D1391" s="24" t="n">
        <v>36</v>
      </c>
    </row>
    <row r="1392" customFormat="false" ht="15" hidden="false" customHeight="false" outlineLevel="0" collapsed="false">
      <c r="A1392" s="22" t="n">
        <v>39</v>
      </c>
      <c r="B1392" s="23" t="n">
        <v>45740</v>
      </c>
      <c r="C1392" s="22" t="s">
        <v>183</v>
      </c>
      <c r="D1392" s="24" t="n">
        <v>56</v>
      </c>
    </row>
    <row r="1393" customFormat="false" ht="15" hidden="false" customHeight="false" outlineLevel="0" collapsed="false">
      <c r="A1393" s="22" t="n">
        <v>40</v>
      </c>
      <c r="B1393" s="23" t="n">
        <v>45747</v>
      </c>
      <c r="C1393" s="22" t="s">
        <v>183</v>
      </c>
      <c r="D1393" s="24" t="n">
        <v>39</v>
      </c>
    </row>
    <row r="1394" customFormat="false" ht="15" hidden="false" customHeight="false" outlineLevel="0" collapsed="false">
      <c r="A1394" s="22" t="n">
        <v>41</v>
      </c>
      <c r="B1394" s="23" t="n">
        <v>45754</v>
      </c>
      <c r="C1394" s="22" t="s">
        <v>183</v>
      </c>
      <c r="D1394" s="24" t="n">
        <v>30</v>
      </c>
    </row>
    <row r="1395" customFormat="false" ht="15" hidden="false" customHeight="false" outlineLevel="0" collapsed="false">
      <c r="A1395" s="22" t="n">
        <v>42</v>
      </c>
      <c r="B1395" s="23" t="n">
        <v>45761</v>
      </c>
      <c r="C1395" s="22" t="s">
        <v>183</v>
      </c>
      <c r="D1395" s="24" t="n">
        <v>42</v>
      </c>
    </row>
    <row r="1396" customFormat="false" ht="15" hidden="false" customHeight="false" outlineLevel="0" collapsed="false">
      <c r="A1396" s="22" t="n">
        <v>43</v>
      </c>
      <c r="B1396" s="23" t="n">
        <v>45768</v>
      </c>
      <c r="C1396" s="22" t="s">
        <v>183</v>
      </c>
      <c r="D1396" s="24" t="n">
        <v>42</v>
      </c>
    </row>
    <row r="1397" customFormat="false" ht="15" hidden="false" customHeight="false" outlineLevel="0" collapsed="false">
      <c r="A1397" s="22" t="n">
        <v>44</v>
      </c>
      <c r="B1397" s="23" t="n">
        <v>45775</v>
      </c>
      <c r="C1397" s="22" t="s">
        <v>183</v>
      </c>
      <c r="D1397" s="24" t="n">
        <v>54</v>
      </c>
    </row>
    <row r="1398" customFormat="false" ht="15" hidden="false" customHeight="false" outlineLevel="0" collapsed="false">
      <c r="A1398" s="22" t="n">
        <v>45</v>
      </c>
      <c r="B1398" s="23" t="n">
        <v>45782</v>
      </c>
      <c r="C1398" s="22" t="s">
        <v>183</v>
      </c>
      <c r="D1398" s="24" t="n">
        <v>40</v>
      </c>
    </row>
    <row r="1399" customFormat="false" ht="15" hidden="false" customHeight="false" outlineLevel="0" collapsed="false">
      <c r="A1399" s="22" t="n">
        <v>46</v>
      </c>
      <c r="B1399" s="23" t="n">
        <v>45789</v>
      </c>
      <c r="C1399" s="22" t="s">
        <v>183</v>
      </c>
      <c r="D1399" s="24" t="n">
        <v>42</v>
      </c>
    </row>
    <row r="1400" customFormat="false" ht="15" hidden="false" customHeight="false" outlineLevel="0" collapsed="false">
      <c r="A1400" s="22" t="n">
        <v>47</v>
      </c>
      <c r="B1400" s="23" t="n">
        <v>45796</v>
      </c>
      <c r="C1400" s="22" t="s">
        <v>183</v>
      </c>
      <c r="D1400" s="24" t="n">
        <v>45</v>
      </c>
    </row>
    <row r="1401" customFormat="false" ht="15" hidden="false" customHeight="false" outlineLevel="0" collapsed="false">
      <c r="A1401" s="22" t="n">
        <v>48</v>
      </c>
      <c r="B1401" s="23" t="n">
        <v>45803</v>
      </c>
      <c r="C1401" s="22" t="s">
        <v>183</v>
      </c>
      <c r="D1401" s="24" t="n">
        <v>50</v>
      </c>
    </row>
    <row r="1402" customFormat="false" ht="15" hidden="false" customHeight="false" outlineLevel="0" collapsed="false">
      <c r="A1402" s="22" t="n">
        <v>49</v>
      </c>
      <c r="B1402" s="23" t="n">
        <v>45810</v>
      </c>
      <c r="C1402" s="22" t="s">
        <v>183</v>
      </c>
      <c r="D1402" s="24" t="n">
        <v>41</v>
      </c>
    </row>
    <row r="1403" customFormat="false" ht="15" hidden="false" customHeight="false" outlineLevel="0" collapsed="false">
      <c r="A1403" s="22" t="n">
        <v>50</v>
      </c>
      <c r="B1403" s="23" t="n">
        <v>45817</v>
      </c>
      <c r="C1403" s="22" t="s">
        <v>183</v>
      </c>
      <c r="D1403" s="24" t="n">
        <v>47</v>
      </c>
    </row>
    <row r="1404" customFormat="false" ht="15" hidden="false" customHeight="false" outlineLevel="0" collapsed="false">
      <c r="A1404" s="22" t="n">
        <v>51</v>
      </c>
      <c r="B1404" s="23" t="n">
        <v>45824</v>
      </c>
      <c r="C1404" s="22" t="s">
        <v>183</v>
      </c>
      <c r="D1404" s="24" t="n">
        <v>43</v>
      </c>
    </row>
    <row r="1405" customFormat="false" ht="15" hidden="false" customHeight="false" outlineLevel="0" collapsed="false">
      <c r="A1405" s="22" t="n">
        <v>52</v>
      </c>
      <c r="B1405" s="23" t="n">
        <v>45831</v>
      </c>
      <c r="C1405" s="22" t="s">
        <v>183</v>
      </c>
      <c r="D1405" s="24" t="n">
        <v>38</v>
      </c>
    </row>
    <row r="1406" customFormat="false" ht="15" hidden="false" customHeight="false" outlineLevel="0" collapsed="false">
      <c r="A1406" s="22" t="n">
        <v>53</v>
      </c>
      <c r="B1406" s="23" t="n">
        <v>45838</v>
      </c>
      <c r="C1406" s="22" t="s">
        <v>183</v>
      </c>
      <c r="D1406" s="24" t="n">
        <v>40</v>
      </c>
    </row>
    <row r="1407" customFormat="false" ht="15" hidden="false" customHeight="false" outlineLevel="0" collapsed="false">
      <c r="A1407" s="22" t="n">
        <v>54</v>
      </c>
      <c r="B1407" s="23" t="n">
        <v>45845</v>
      </c>
      <c r="C1407" s="22" t="s">
        <v>183</v>
      </c>
      <c r="D1407" s="24" t="n">
        <v>40</v>
      </c>
    </row>
    <row r="1408" customFormat="false" ht="15" hidden="false" customHeight="false" outlineLevel="0" collapsed="false">
      <c r="A1408" s="22" t="n">
        <v>55</v>
      </c>
      <c r="B1408" s="23" t="n">
        <v>45852</v>
      </c>
      <c r="C1408" s="22" t="s">
        <v>183</v>
      </c>
      <c r="D1408" s="24" t="n">
        <v>34</v>
      </c>
    </row>
    <row r="1409" customFormat="false" ht="15" hidden="false" customHeight="false" outlineLevel="0" collapsed="false">
      <c r="A1409" s="22" t="n">
        <v>56</v>
      </c>
      <c r="B1409" s="23" t="n">
        <v>45859</v>
      </c>
      <c r="C1409" s="22" t="s">
        <v>183</v>
      </c>
      <c r="D1409" s="24" t="n">
        <v>46</v>
      </c>
    </row>
    <row r="1410" customFormat="false" ht="15" hidden="false" customHeight="false" outlineLevel="0" collapsed="false">
      <c r="A1410" s="22" t="n">
        <v>57</v>
      </c>
      <c r="B1410" s="23" t="n">
        <v>45866</v>
      </c>
      <c r="C1410" s="22" t="s">
        <v>183</v>
      </c>
      <c r="D1410" s="24" t="n">
        <v>31</v>
      </c>
    </row>
    <row r="1411" customFormat="false" ht="15" hidden="false" customHeight="false" outlineLevel="0" collapsed="false">
      <c r="A1411" s="22" t="n">
        <v>58</v>
      </c>
      <c r="B1411" s="23" t="n">
        <v>45873</v>
      </c>
      <c r="C1411" s="22" t="s">
        <v>183</v>
      </c>
      <c r="D1411" s="24" t="n">
        <v>45</v>
      </c>
    </row>
    <row r="1412" customFormat="false" ht="15" hidden="false" customHeight="false" outlineLevel="0" collapsed="false">
      <c r="A1412" s="22" t="n">
        <v>59</v>
      </c>
      <c r="B1412" s="23" t="n">
        <v>45880</v>
      </c>
      <c r="C1412" s="22" t="s">
        <v>183</v>
      </c>
      <c r="D1412" s="24" t="n">
        <v>43</v>
      </c>
    </row>
    <row r="1413" customFormat="false" ht="15" hidden="false" customHeight="false" outlineLevel="0" collapsed="false">
      <c r="A1413" s="22" t="n">
        <v>60</v>
      </c>
      <c r="B1413" s="23" t="n">
        <v>45887</v>
      </c>
      <c r="C1413" s="22" t="s">
        <v>183</v>
      </c>
      <c r="D1413" s="24" t="n">
        <v>37</v>
      </c>
    </row>
    <row r="1414" customFormat="false" ht="15" hidden="false" customHeight="false" outlineLevel="0" collapsed="false">
      <c r="A1414" s="22" t="n">
        <v>61</v>
      </c>
      <c r="B1414" s="23" t="n">
        <v>45894</v>
      </c>
      <c r="C1414" s="22" t="s">
        <v>183</v>
      </c>
      <c r="D1414" s="24" t="n">
        <v>34</v>
      </c>
    </row>
    <row r="1415" customFormat="false" ht="15" hidden="false" customHeight="false" outlineLevel="0" collapsed="false">
      <c r="A1415" s="22" t="n">
        <v>62</v>
      </c>
      <c r="B1415" s="23" t="n">
        <v>45901</v>
      </c>
      <c r="C1415" s="22" t="s">
        <v>183</v>
      </c>
      <c r="D1415" s="24" t="n">
        <v>36</v>
      </c>
    </row>
    <row r="1416" customFormat="false" ht="15" hidden="false" customHeight="false" outlineLevel="0" collapsed="false">
      <c r="A1416" s="22" t="n">
        <v>63</v>
      </c>
      <c r="B1416" s="23" t="n">
        <v>45908</v>
      </c>
      <c r="C1416" s="22" t="s">
        <v>183</v>
      </c>
      <c r="D1416" s="24" t="n">
        <v>40</v>
      </c>
    </row>
    <row r="1417" customFormat="false" ht="15" hidden="false" customHeight="false" outlineLevel="0" collapsed="false">
      <c r="A1417" s="22" t="n">
        <v>64</v>
      </c>
      <c r="B1417" s="23" t="n">
        <v>45915</v>
      </c>
      <c r="C1417" s="22" t="s">
        <v>183</v>
      </c>
      <c r="D1417" s="24" t="n">
        <v>41</v>
      </c>
    </row>
    <row r="1418" customFormat="false" ht="15" hidden="false" customHeight="false" outlineLevel="0" collapsed="false">
      <c r="A1418" s="22" t="n">
        <v>65</v>
      </c>
      <c r="B1418" s="23" t="n">
        <v>45922</v>
      </c>
      <c r="C1418" s="22" t="s">
        <v>183</v>
      </c>
      <c r="D1418" s="24" t="n">
        <v>38</v>
      </c>
    </row>
    <row r="1419" customFormat="false" ht="15" hidden="false" customHeight="false" outlineLevel="0" collapsed="false">
      <c r="A1419" s="22" t="n">
        <v>66</v>
      </c>
      <c r="B1419" s="23" t="n">
        <v>45929</v>
      </c>
      <c r="C1419" s="22" t="s">
        <v>183</v>
      </c>
      <c r="D1419" s="24" t="n">
        <v>41</v>
      </c>
    </row>
    <row r="1420" customFormat="false" ht="15" hidden="false" customHeight="false" outlineLevel="0" collapsed="false">
      <c r="A1420" s="22" t="n">
        <v>67</v>
      </c>
      <c r="B1420" s="23" t="n">
        <v>45936</v>
      </c>
      <c r="C1420" s="22" t="s">
        <v>183</v>
      </c>
      <c r="D1420" s="24" t="n">
        <v>33</v>
      </c>
    </row>
    <row r="1421" customFormat="false" ht="15" hidden="false" customHeight="false" outlineLevel="0" collapsed="false">
      <c r="A1421" s="22" t="n">
        <v>68</v>
      </c>
      <c r="B1421" s="23" t="n">
        <v>45943</v>
      </c>
      <c r="C1421" s="22" t="s">
        <v>183</v>
      </c>
      <c r="D1421" s="24" t="n">
        <v>37</v>
      </c>
    </row>
    <row r="1422" customFormat="false" ht="15" hidden="false" customHeight="false" outlineLevel="0" collapsed="false">
      <c r="A1422" s="22" t="n">
        <v>69</v>
      </c>
      <c r="B1422" s="23" t="n">
        <v>45950</v>
      </c>
      <c r="C1422" s="22" t="s">
        <v>183</v>
      </c>
      <c r="D1422" s="24" t="n">
        <v>28</v>
      </c>
    </row>
    <row r="1423" customFormat="false" ht="15" hidden="false" customHeight="false" outlineLevel="0" collapsed="false">
      <c r="A1423" s="22" t="n">
        <v>70</v>
      </c>
      <c r="B1423" s="23" t="n">
        <v>45957</v>
      </c>
      <c r="C1423" s="22" t="s">
        <v>183</v>
      </c>
      <c r="D1423" s="24" t="n">
        <v>39</v>
      </c>
    </row>
    <row r="1424" customFormat="false" ht="15" hidden="false" customHeight="false" outlineLevel="0" collapsed="false">
      <c r="A1424" s="22" t="n">
        <v>71</v>
      </c>
      <c r="B1424" s="23" t="n">
        <v>45964</v>
      </c>
      <c r="C1424" s="22" t="s">
        <v>183</v>
      </c>
      <c r="D1424" s="24" t="n">
        <v>36</v>
      </c>
    </row>
    <row r="1425" customFormat="false" ht="15" hidden="false" customHeight="false" outlineLevel="0" collapsed="false">
      <c r="A1425" s="22" t="n">
        <v>72</v>
      </c>
      <c r="B1425" s="23" t="n">
        <v>45971</v>
      </c>
      <c r="C1425" s="22" t="s">
        <v>183</v>
      </c>
      <c r="D1425" s="24" t="n">
        <v>33</v>
      </c>
    </row>
    <row r="1426" customFormat="false" ht="15" hidden="false" customHeight="false" outlineLevel="0" collapsed="false">
      <c r="A1426" s="22" t="n">
        <v>73</v>
      </c>
      <c r="B1426" s="23" t="n">
        <v>45978</v>
      </c>
      <c r="C1426" s="22" t="s">
        <v>183</v>
      </c>
      <c r="D1426" s="24" t="n">
        <v>40</v>
      </c>
    </row>
    <row r="1427" customFormat="false" ht="15" hidden="false" customHeight="false" outlineLevel="0" collapsed="false">
      <c r="A1427" s="22" t="n">
        <v>74</v>
      </c>
      <c r="B1427" s="23" t="n">
        <v>45985</v>
      </c>
      <c r="C1427" s="22" t="s">
        <v>183</v>
      </c>
      <c r="D1427" s="24" t="n">
        <v>37</v>
      </c>
    </row>
    <row r="1428" customFormat="false" ht="15" hidden="false" customHeight="false" outlineLevel="0" collapsed="false">
      <c r="A1428" s="22" t="n">
        <v>75</v>
      </c>
      <c r="B1428" s="23" t="n">
        <v>45992</v>
      </c>
      <c r="C1428" s="22" t="s">
        <v>183</v>
      </c>
      <c r="D1428" s="24" t="n">
        <v>21</v>
      </c>
    </row>
    <row r="1429" customFormat="false" ht="15" hidden="false" customHeight="false" outlineLevel="0" collapsed="false">
      <c r="A1429" s="22" t="n">
        <v>76</v>
      </c>
      <c r="B1429" s="23" t="n">
        <v>45999</v>
      </c>
      <c r="C1429" s="22" t="s">
        <v>183</v>
      </c>
      <c r="D1429" s="24" t="n">
        <v>34</v>
      </c>
    </row>
    <row r="1430" customFormat="false" ht="15" hidden="false" customHeight="false" outlineLevel="0" collapsed="false">
      <c r="A1430" s="22" t="n">
        <v>77</v>
      </c>
      <c r="B1430" s="23" t="n">
        <v>46006</v>
      </c>
      <c r="C1430" s="22" t="s">
        <v>183</v>
      </c>
      <c r="D1430" s="24" t="n">
        <v>27</v>
      </c>
    </row>
    <row r="1431" customFormat="false" ht="15" hidden="false" customHeight="false" outlineLevel="0" collapsed="false">
      <c r="A1431" s="22" t="n">
        <v>78</v>
      </c>
      <c r="B1431" s="23" t="n">
        <v>46013</v>
      </c>
      <c r="C1431" s="22" t="s">
        <v>183</v>
      </c>
      <c r="D1431" s="24" t="n">
        <v>38</v>
      </c>
    </row>
    <row r="1432" customFormat="false" ht="15" hidden="false" customHeight="false" outlineLevel="0" collapsed="false">
      <c r="A1432" s="22" t="n">
        <v>79</v>
      </c>
      <c r="B1432" s="23" t="n">
        <v>46020</v>
      </c>
      <c r="C1432" s="22" t="s">
        <v>183</v>
      </c>
      <c r="D1432" s="24" t="n">
        <v>44</v>
      </c>
    </row>
    <row r="1433" customFormat="false" ht="15" hidden="false" customHeight="false" outlineLevel="0" collapsed="false">
      <c r="A1433" s="22" t="n">
        <v>80</v>
      </c>
      <c r="B1433" s="23" t="n">
        <v>46027</v>
      </c>
      <c r="C1433" s="22" t="s">
        <v>183</v>
      </c>
      <c r="D1433" s="24" t="n">
        <v>30</v>
      </c>
    </row>
    <row r="1434" customFormat="false" ht="15" hidden="false" customHeight="false" outlineLevel="0" collapsed="false">
      <c r="A1434" s="22" t="n">
        <v>81</v>
      </c>
      <c r="B1434" s="23" t="n">
        <v>46034</v>
      </c>
      <c r="C1434" s="22" t="s">
        <v>183</v>
      </c>
      <c r="D1434" s="24" t="n">
        <v>33</v>
      </c>
    </row>
    <row r="1435" customFormat="false" ht="15" hidden="false" customHeight="false" outlineLevel="0" collapsed="false">
      <c r="A1435" s="22" t="n">
        <v>82</v>
      </c>
      <c r="B1435" s="23" t="n">
        <v>46041</v>
      </c>
      <c r="C1435" s="22" t="s">
        <v>183</v>
      </c>
      <c r="D1435" s="24" t="n">
        <v>31</v>
      </c>
    </row>
    <row r="1436" customFormat="false" ht="15" hidden="false" customHeight="false" outlineLevel="0" collapsed="false">
      <c r="A1436" s="22" t="n">
        <v>83</v>
      </c>
      <c r="B1436" s="23" t="n">
        <v>46048</v>
      </c>
      <c r="C1436" s="22" t="s">
        <v>183</v>
      </c>
      <c r="D1436" s="24" t="n">
        <v>33</v>
      </c>
    </row>
    <row r="1437" customFormat="false" ht="15" hidden="false" customHeight="false" outlineLevel="0" collapsed="false">
      <c r="A1437" s="22" t="n">
        <v>84</v>
      </c>
      <c r="B1437" s="23" t="n">
        <v>46055</v>
      </c>
      <c r="C1437" s="22" t="s">
        <v>183</v>
      </c>
      <c r="D1437" s="24" t="n">
        <v>34</v>
      </c>
    </row>
    <row r="1438" customFormat="false" ht="15" hidden="false" customHeight="false" outlineLevel="0" collapsed="false">
      <c r="A1438" s="22" t="n">
        <v>85</v>
      </c>
      <c r="B1438" s="23" t="n">
        <v>46062</v>
      </c>
      <c r="C1438" s="22" t="s">
        <v>183</v>
      </c>
      <c r="D1438" s="24" t="n">
        <v>37</v>
      </c>
    </row>
    <row r="1439" customFormat="false" ht="15" hidden="false" customHeight="false" outlineLevel="0" collapsed="false">
      <c r="A1439" s="22" t="n">
        <v>86</v>
      </c>
      <c r="B1439" s="23" t="n">
        <v>46069</v>
      </c>
      <c r="C1439" s="22" t="s">
        <v>183</v>
      </c>
      <c r="D1439" s="24" t="n">
        <v>27</v>
      </c>
    </row>
    <row r="1440" customFormat="false" ht="15" hidden="false" customHeight="false" outlineLevel="0" collapsed="false">
      <c r="A1440" s="22" t="n">
        <v>87</v>
      </c>
      <c r="B1440" s="23" t="n">
        <v>46076</v>
      </c>
      <c r="C1440" s="22" t="s">
        <v>183</v>
      </c>
      <c r="D1440" s="24" t="n">
        <v>37</v>
      </c>
    </row>
    <row r="1441" customFormat="false" ht="15" hidden="false" customHeight="false" outlineLevel="0" collapsed="false">
      <c r="A1441" s="22" t="n">
        <v>88</v>
      </c>
      <c r="B1441" s="23" t="n">
        <v>46083</v>
      </c>
      <c r="C1441" s="22" t="s">
        <v>183</v>
      </c>
      <c r="D1441" s="24" t="n">
        <v>26</v>
      </c>
    </row>
    <row r="1442" customFormat="false" ht="15" hidden="false" customHeight="false" outlineLevel="0" collapsed="false">
      <c r="A1442" s="22" t="n">
        <v>89</v>
      </c>
      <c r="B1442" s="23" t="n">
        <v>46090</v>
      </c>
      <c r="C1442" s="22" t="s">
        <v>183</v>
      </c>
      <c r="D1442" s="24" t="n">
        <v>31</v>
      </c>
    </row>
    <row r="1443" customFormat="false" ht="15" hidden="false" customHeight="false" outlineLevel="0" collapsed="false">
      <c r="A1443" s="22" t="n">
        <v>90</v>
      </c>
      <c r="B1443" s="23" t="n">
        <v>46097</v>
      </c>
      <c r="C1443" s="22" t="s">
        <v>183</v>
      </c>
      <c r="D1443" s="24" t="n">
        <v>35</v>
      </c>
    </row>
    <row r="1444" customFormat="false" ht="15" hidden="false" customHeight="false" outlineLevel="0" collapsed="false">
      <c r="A1444" s="22" t="n">
        <v>91</v>
      </c>
      <c r="B1444" s="23" t="n">
        <v>46104</v>
      </c>
      <c r="C1444" s="22" t="s">
        <v>183</v>
      </c>
      <c r="D1444" s="24" t="n">
        <v>32</v>
      </c>
    </row>
    <row r="1445" customFormat="false" ht="15" hidden="false" customHeight="false" outlineLevel="0" collapsed="false">
      <c r="A1445" s="22" t="n">
        <v>92</v>
      </c>
      <c r="B1445" s="23" t="n">
        <v>46111</v>
      </c>
      <c r="C1445" s="22" t="s">
        <v>183</v>
      </c>
      <c r="D1445" s="24" t="n">
        <v>25</v>
      </c>
    </row>
    <row r="1446" customFormat="false" ht="15" hidden="false" customHeight="false" outlineLevel="0" collapsed="false">
      <c r="A1446" s="22" t="n">
        <v>93</v>
      </c>
      <c r="B1446" s="23" t="n">
        <v>46118</v>
      </c>
      <c r="C1446" s="22" t="s">
        <v>183</v>
      </c>
      <c r="D1446" s="24" t="n">
        <v>26</v>
      </c>
    </row>
    <row r="1447" customFormat="false" ht="15" hidden="false" customHeight="false" outlineLevel="0" collapsed="false">
      <c r="A1447" s="22" t="n">
        <v>94</v>
      </c>
      <c r="B1447" s="23" t="n">
        <v>46125</v>
      </c>
      <c r="C1447" s="22" t="s">
        <v>183</v>
      </c>
      <c r="D1447" s="24" t="n">
        <v>27</v>
      </c>
    </row>
    <row r="1448" customFormat="false" ht="15" hidden="false" customHeight="false" outlineLevel="0" collapsed="false">
      <c r="A1448" s="22" t="n">
        <v>95</v>
      </c>
      <c r="B1448" s="23" t="n">
        <v>46132</v>
      </c>
      <c r="C1448" s="22" t="s">
        <v>183</v>
      </c>
      <c r="D1448" s="24" t="n">
        <v>28</v>
      </c>
    </row>
    <row r="1449" customFormat="false" ht="15" hidden="false" customHeight="false" outlineLevel="0" collapsed="false">
      <c r="A1449" s="22" t="n">
        <v>96</v>
      </c>
      <c r="B1449" s="23" t="n">
        <v>46139</v>
      </c>
      <c r="C1449" s="22" t="s">
        <v>183</v>
      </c>
      <c r="D1449" s="24" t="n">
        <v>33</v>
      </c>
    </row>
    <row r="1450" customFormat="false" ht="15" hidden="false" customHeight="false" outlineLevel="0" collapsed="false">
      <c r="A1450" s="22" t="n">
        <v>97</v>
      </c>
      <c r="B1450" s="23" t="n">
        <v>46146</v>
      </c>
      <c r="C1450" s="22" t="s">
        <v>183</v>
      </c>
      <c r="D1450" s="24" t="n">
        <v>23</v>
      </c>
    </row>
    <row r="1451" customFormat="false" ht="15" hidden="false" customHeight="false" outlineLevel="0" collapsed="false">
      <c r="A1451" s="22" t="n">
        <v>98</v>
      </c>
      <c r="B1451" s="23" t="n">
        <v>46153</v>
      </c>
      <c r="C1451" s="22" t="s">
        <v>183</v>
      </c>
      <c r="D1451" s="24" t="n">
        <v>29</v>
      </c>
    </row>
    <row r="1452" customFormat="false" ht="15" hidden="false" customHeight="false" outlineLevel="0" collapsed="false">
      <c r="A1452" s="22" t="n">
        <v>99</v>
      </c>
      <c r="B1452" s="23" t="n">
        <v>46160</v>
      </c>
      <c r="C1452" s="22" t="s">
        <v>183</v>
      </c>
      <c r="D1452" s="24" t="n">
        <v>30</v>
      </c>
    </row>
    <row r="1453" customFormat="false" ht="15" hidden="false" customHeight="false" outlineLevel="0" collapsed="false">
      <c r="A1453" s="22" t="n">
        <v>100</v>
      </c>
      <c r="B1453" s="23" t="n">
        <v>46167</v>
      </c>
      <c r="C1453" s="22" t="s">
        <v>183</v>
      </c>
      <c r="D1453" s="24" t="n">
        <v>29</v>
      </c>
    </row>
    <row r="1454" customFormat="false" ht="15" hidden="false" customHeight="false" outlineLevel="0" collapsed="false">
      <c r="A1454" s="22" t="n">
        <v>101</v>
      </c>
      <c r="B1454" s="23" t="n">
        <v>46174</v>
      </c>
      <c r="C1454" s="22" t="s">
        <v>183</v>
      </c>
      <c r="D1454" s="24" t="n">
        <v>29</v>
      </c>
    </row>
    <row r="1455" customFormat="false" ht="15" hidden="false" customHeight="false" outlineLevel="0" collapsed="false">
      <c r="A1455" s="22" t="n">
        <v>102</v>
      </c>
      <c r="B1455" s="23" t="n">
        <v>46181</v>
      </c>
      <c r="C1455" s="22" t="s">
        <v>183</v>
      </c>
      <c r="D1455" s="24" t="n">
        <v>32</v>
      </c>
    </row>
    <row r="1456" customFormat="false" ht="15" hidden="false" customHeight="false" outlineLevel="0" collapsed="false">
      <c r="A1456" s="22" t="n">
        <v>103</v>
      </c>
      <c r="B1456" s="23" t="n">
        <v>46188</v>
      </c>
      <c r="C1456" s="22" t="s">
        <v>183</v>
      </c>
      <c r="D1456" s="24" t="n">
        <v>28</v>
      </c>
    </row>
    <row r="1457" customFormat="false" ht="15" hidden="false" customHeight="false" outlineLevel="0" collapsed="false">
      <c r="A1457" s="22" t="n">
        <v>104</v>
      </c>
      <c r="B1457" s="23" t="n">
        <v>46195</v>
      </c>
      <c r="C1457" s="22" t="s">
        <v>183</v>
      </c>
      <c r="D1457" s="24" t="n">
        <v>29</v>
      </c>
    </row>
    <row r="1458" customFormat="false" ht="15" hidden="false" customHeight="false" outlineLevel="0" collapsed="false">
      <c r="A1458" s="22" t="n">
        <v>1</v>
      </c>
      <c r="B1458" s="23" t="n">
        <v>45474</v>
      </c>
      <c r="C1458" s="22" t="s">
        <v>185</v>
      </c>
      <c r="D1458" s="24" t="n">
        <v>31</v>
      </c>
    </row>
    <row r="1459" customFormat="false" ht="15" hidden="false" customHeight="false" outlineLevel="0" collapsed="false">
      <c r="A1459" s="22" t="n">
        <v>2</v>
      </c>
      <c r="B1459" s="23" t="n">
        <v>45481</v>
      </c>
      <c r="C1459" s="22" t="s">
        <v>185</v>
      </c>
      <c r="D1459" s="24" t="n">
        <v>8</v>
      </c>
    </row>
    <row r="1460" customFormat="false" ht="15" hidden="false" customHeight="false" outlineLevel="0" collapsed="false">
      <c r="A1460" s="22" t="n">
        <v>3</v>
      </c>
      <c r="B1460" s="23" t="n">
        <v>45488</v>
      </c>
      <c r="C1460" s="22" t="s">
        <v>185</v>
      </c>
      <c r="D1460" s="24" t="n">
        <v>28</v>
      </c>
    </row>
    <row r="1461" customFormat="false" ht="15" hidden="false" customHeight="false" outlineLevel="0" collapsed="false">
      <c r="A1461" s="22" t="n">
        <v>4</v>
      </c>
      <c r="B1461" s="23" t="n">
        <v>45495</v>
      </c>
      <c r="C1461" s="22" t="s">
        <v>185</v>
      </c>
      <c r="D1461" s="24" t="n">
        <v>18</v>
      </c>
    </row>
    <row r="1462" customFormat="false" ht="15" hidden="false" customHeight="false" outlineLevel="0" collapsed="false">
      <c r="A1462" s="22" t="n">
        <v>5</v>
      </c>
      <c r="B1462" s="23" t="n">
        <v>45502</v>
      </c>
      <c r="C1462" s="22" t="s">
        <v>185</v>
      </c>
      <c r="D1462" s="24" t="n">
        <v>18</v>
      </c>
    </row>
    <row r="1463" customFormat="false" ht="15" hidden="false" customHeight="false" outlineLevel="0" collapsed="false">
      <c r="A1463" s="22" t="n">
        <v>6</v>
      </c>
      <c r="B1463" s="23" t="n">
        <v>45509</v>
      </c>
      <c r="C1463" s="22" t="s">
        <v>185</v>
      </c>
      <c r="D1463" s="24" t="n">
        <v>14</v>
      </c>
    </row>
    <row r="1464" customFormat="false" ht="15" hidden="false" customHeight="false" outlineLevel="0" collapsed="false">
      <c r="A1464" s="22" t="n">
        <v>7</v>
      </c>
      <c r="B1464" s="23" t="n">
        <v>45516</v>
      </c>
      <c r="C1464" s="22" t="s">
        <v>185</v>
      </c>
      <c r="D1464" s="24" t="n">
        <v>8</v>
      </c>
    </row>
    <row r="1465" customFormat="false" ht="15" hidden="false" customHeight="false" outlineLevel="0" collapsed="false">
      <c r="A1465" s="22" t="n">
        <v>8</v>
      </c>
      <c r="B1465" s="23" t="n">
        <v>45523</v>
      </c>
      <c r="C1465" s="22" t="s">
        <v>185</v>
      </c>
      <c r="D1465" s="24" t="n">
        <v>18</v>
      </c>
    </row>
    <row r="1466" customFormat="false" ht="15" hidden="false" customHeight="false" outlineLevel="0" collapsed="false">
      <c r="A1466" s="22" t="n">
        <v>9</v>
      </c>
      <c r="B1466" s="23" t="n">
        <v>45530</v>
      </c>
      <c r="C1466" s="22" t="s">
        <v>185</v>
      </c>
      <c r="D1466" s="24" t="n">
        <v>16</v>
      </c>
    </row>
    <row r="1467" customFormat="false" ht="15" hidden="false" customHeight="false" outlineLevel="0" collapsed="false">
      <c r="A1467" s="22" t="n">
        <v>10</v>
      </c>
      <c r="B1467" s="23" t="n">
        <v>45537</v>
      </c>
      <c r="C1467" s="22" t="s">
        <v>185</v>
      </c>
      <c r="D1467" s="24" t="n">
        <v>23</v>
      </c>
    </row>
    <row r="1468" customFormat="false" ht="15" hidden="false" customHeight="false" outlineLevel="0" collapsed="false">
      <c r="A1468" s="22" t="n">
        <v>11</v>
      </c>
      <c r="B1468" s="23" t="n">
        <v>45544</v>
      </c>
      <c r="C1468" s="22" t="s">
        <v>185</v>
      </c>
      <c r="D1468" s="24" t="n">
        <v>11</v>
      </c>
    </row>
    <row r="1469" customFormat="false" ht="15" hidden="false" customHeight="false" outlineLevel="0" collapsed="false">
      <c r="A1469" s="22" t="n">
        <v>12</v>
      </c>
      <c r="B1469" s="23" t="n">
        <v>45551</v>
      </c>
      <c r="C1469" s="22" t="s">
        <v>185</v>
      </c>
      <c r="D1469" s="24" t="n">
        <v>29</v>
      </c>
    </row>
    <row r="1470" customFormat="false" ht="15" hidden="false" customHeight="false" outlineLevel="0" collapsed="false">
      <c r="A1470" s="22" t="n">
        <v>13</v>
      </c>
      <c r="B1470" s="23" t="n">
        <v>45558</v>
      </c>
      <c r="C1470" s="22" t="s">
        <v>185</v>
      </c>
      <c r="D1470" s="24" t="n">
        <v>22</v>
      </c>
    </row>
    <row r="1471" customFormat="false" ht="15" hidden="false" customHeight="false" outlineLevel="0" collapsed="false">
      <c r="A1471" s="22" t="n">
        <v>14</v>
      </c>
      <c r="B1471" s="23" t="n">
        <v>45565</v>
      </c>
      <c r="C1471" s="22" t="s">
        <v>185</v>
      </c>
      <c r="D1471" s="24" t="n">
        <v>18</v>
      </c>
    </row>
    <row r="1472" customFormat="false" ht="15" hidden="false" customHeight="false" outlineLevel="0" collapsed="false">
      <c r="A1472" s="22" t="n">
        <v>15</v>
      </c>
      <c r="B1472" s="23" t="n">
        <v>45572</v>
      </c>
      <c r="C1472" s="22" t="s">
        <v>185</v>
      </c>
      <c r="D1472" s="24" t="n">
        <v>16</v>
      </c>
    </row>
    <row r="1473" customFormat="false" ht="15" hidden="false" customHeight="false" outlineLevel="0" collapsed="false">
      <c r="A1473" s="22" t="n">
        <v>16</v>
      </c>
      <c r="B1473" s="23" t="n">
        <v>45579</v>
      </c>
      <c r="C1473" s="22" t="s">
        <v>185</v>
      </c>
      <c r="D1473" s="24" t="n">
        <v>15</v>
      </c>
    </row>
    <row r="1474" customFormat="false" ht="15" hidden="false" customHeight="false" outlineLevel="0" collapsed="false">
      <c r="A1474" s="22" t="n">
        <v>17</v>
      </c>
      <c r="B1474" s="23" t="n">
        <v>45586</v>
      </c>
      <c r="C1474" s="22" t="s">
        <v>185</v>
      </c>
      <c r="D1474" s="24" t="n">
        <v>13</v>
      </c>
    </row>
    <row r="1475" customFormat="false" ht="15" hidden="false" customHeight="false" outlineLevel="0" collapsed="false">
      <c r="A1475" s="22" t="n">
        <v>18</v>
      </c>
      <c r="B1475" s="23" t="n">
        <v>45593</v>
      </c>
      <c r="C1475" s="22" t="s">
        <v>185</v>
      </c>
      <c r="D1475" s="24" t="n">
        <v>17</v>
      </c>
    </row>
    <row r="1476" customFormat="false" ht="15" hidden="false" customHeight="false" outlineLevel="0" collapsed="false">
      <c r="A1476" s="22" t="n">
        <v>19</v>
      </c>
      <c r="B1476" s="23" t="n">
        <v>45600</v>
      </c>
      <c r="C1476" s="22" t="s">
        <v>185</v>
      </c>
      <c r="D1476" s="24" t="n">
        <v>20</v>
      </c>
    </row>
    <row r="1477" customFormat="false" ht="15" hidden="false" customHeight="false" outlineLevel="0" collapsed="false">
      <c r="A1477" s="22" t="n">
        <v>20</v>
      </c>
      <c r="B1477" s="23" t="n">
        <v>45607</v>
      </c>
      <c r="C1477" s="22" t="s">
        <v>185</v>
      </c>
      <c r="D1477" s="24" t="n">
        <v>19</v>
      </c>
    </row>
    <row r="1478" customFormat="false" ht="15" hidden="false" customHeight="false" outlineLevel="0" collapsed="false">
      <c r="A1478" s="22" t="n">
        <v>21</v>
      </c>
      <c r="B1478" s="23" t="n">
        <v>45614</v>
      </c>
      <c r="C1478" s="22" t="s">
        <v>185</v>
      </c>
      <c r="D1478" s="24" t="n">
        <v>11</v>
      </c>
    </row>
    <row r="1479" customFormat="false" ht="15" hidden="false" customHeight="false" outlineLevel="0" collapsed="false">
      <c r="A1479" s="22" t="n">
        <v>22</v>
      </c>
      <c r="B1479" s="23" t="n">
        <v>45621</v>
      </c>
      <c r="C1479" s="22" t="s">
        <v>185</v>
      </c>
      <c r="D1479" s="24" t="n">
        <v>18</v>
      </c>
    </row>
    <row r="1480" customFormat="false" ht="15" hidden="false" customHeight="false" outlineLevel="0" collapsed="false">
      <c r="A1480" s="22" t="n">
        <v>23</v>
      </c>
      <c r="B1480" s="23" t="n">
        <v>45628</v>
      </c>
      <c r="C1480" s="22" t="s">
        <v>185</v>
      </c>
      <c r="D1480" s="24" t="n">
        <v>14</v>
      </c>
    </row>
    <row r="1481" customFormat="false" ht="15" hidden="false" customHeight="false" outlineLevel="0" collapsed="false">
      <c r="A1481" s="22" t="n">
        <v>24</v>
      </c>
      <c r="B1481" s="23" t="n">
        <v>45635</v>
      </c>
      <c r="C1481" s="22" t="s">
        <v>185</v>
      </c>
      <c r="D1481" s="24" t="n">
        <v>21</v>
      </c>
    </row>
    <row r="1482" customFormat="false" ht="15" hidden="false" customHeight="false" outlineLevel="0" collapsed="false">
      <c r="A1482" s="22" t="n">
        <v>25</v>
      </c>
      <c r="B1482" s="23" t="n">
        <v>45642</v>
      </c>
      <c r="C1482" s="22" t="s">
        <v>185</v>
      </c>
      <c r="D1482" s="24" t="n">
        <v>31</v>
      </c>
    </row>
    <row r="1483" customFormat="false" ht="15" hidden="false" customHeight="false" outlineLevel="0" collapsed="false">
      <c r="A1483" s="22" t="n">
        <v>26</v>
      </c>
      <c r="B1483" s="23" t="n">
        <v>45649</v>
      </c>
      <c r="C1483" s="22" t="s">
        <v>185</v>
      </c>
      <c r="D1483" s="24" t="n">
        <v>24</v>
      </c>
    </row>
    <row r="1484" customFormat="false" ht="15" hidden="false" customHeight="false" outlineLevel="0" collapsed="false">
      <c r="A1484" s="22" t="n">
        <v>27</v>
      </c>
      <c r="B1484" s="23" t="n">
        <v>45656</v>
      </c>
      <c r="C1484" s="22" t="s">
        <v>185</v>
      </c>
      <c r="D1484" s="24" t="n">
        <v>18</v>
      </c>
    </row>
    <row r="1485" customFormat="false" ht="15" hidden="false" customHeight="false" outlineLevel="0" collapsed="false">
      <c r="A1485" s="22" t="n">
        <v>28</v>
      </c>
      <c r="B1485" s="23" t="n">
        <v>45663</v>
      </c>
      <c r="C1485" s="22" t="s">
        <v>185</v>
      </c>
      <c r="D1485" s="24" t="n">
        <v>10</v>
      </c>
    </row>
    <row r="1486" customFormat="false" ht="15" hidden="false" customHeight="false" outlineLevel="0" collapsed="false">
      <c r="A1486" s="22" t="n">
        <v>29</v>
      </c>
      <c r="B1486" s="23" t="n">
        <v>45670</v>
      </c>
      <c r="C1486" s="22" t="s">
        <v>185</v>
      </c>
      <c r="D1486" s="24" t="n">
        <v>11</v>
      </c>
    </row>
    <row r="1487" customFormat="false" ht="15" hidden="false" customHeight="false" outlineLevel="0" collapsed="false">
      <c r="A1487" s="22" t="n">
        <v>30</v>
      </c>
      <c r="B1487" s="23" t="n">
        <v>45677</v>
      </c>
      <c r="C1487" s="22" t="s">
        <v>185</v>
      </c>
      <c r="D1487" s="24" t="n">
        <v>10</v>
      </c>
    </row>
    <row r="1488" customFormat="false" ht="15" hidden="false" customHeight="false" outlineLevel="0" collapsed="false">
      <c r="A1488" s="22" t="n">
        <v>31</v>
      </c>
      <c r="B1488" s="23" t="n">
        <v>45684</v>
      </c>
      <c r="C1488" s="22" t="s">
        <v>185</v>
      </c>
      <c r="D1488" s="24" t="n">
        <v>24</v>
      </c>
    </row>
    <row r="1489" customFormat="false" ht="15" hidden="false" customHeight="false" outlineLevel="0" collapsed="false">
      <c r="A1489" s="22" t="n">
        <v>32</v>
      </c>
      <c r="B1489" s="23" t="n">
        <v>45691</v>
      </c>
      <c r="C1489" s="22" t="s">
        <v>185</v>
      </c>
      <c r="D1489" s="24" t="n">
        <v>15</v>
      </c>
    </row>
    <row r="1490" customFormat="false" ht="15" hidden="false" customHeight="false" outlineLevel="0" collapsed="false">
      <c r="A1490" s="22" t="n">
        <v>33</v>
      </c>
      <c r="B1490" s="23" t="n">
        <v>45698</v>
      </c>
      <c r="C1490" s="22" t="s">
        <v>185</v>
      </c>
      <c r="D1490" s="24" t="n">
        <v>20</v>
      </c>
    </row>
    <row r="1491" customFormat="false" ht="15" hidden="false" customHeight="false" outlineLevel="0" collapsed="false">
      <c r="A1491" s="22" t="n">
        <v>34</v>
      </c>
      <c r="B1491" s="23" t="n">
        <v>45705</v>
      </c>
      <c r="C1491" s="22" t="s">
        <v>185</v>
      </c>
      <c r="D1491" s="24" t="n">
        <v>16</v>
      </c>
    </row>
    <row r="1492" customFormat="false" ht="15" hidden="false" customHeight="false" outlineLevel="0" collapsed="false">
      <c r="A1492" s="22" t="n">
        <v>35</v>
      </c>
      <c r="B1492" s="23" t="n">
        <v>45712</v>
      </c>
      <c r="C1492" s="22" t="s">
        <v>185</v>
      </c>
      <c r="D1492" s="24" t="n">
        <v>21</v>
      </c>
    </row>
    <row r="1493" customFormat="false" ht="15" hidden="false" customHeight="false" outlineLevel="0" collapsed="false">
      <c r="A1493" s="22" t="n">
        <v>36</v>
      </c>
      <c r="B1493" s="23" t="n">
        <v>45719</v>
      </c>
      <c r="C1493" s="22" t="s">
        <v>185</v>
      </c>
      <c r="D1493" s="24" t="n">
        <v>29</v>
      </c>
    </row>
    <row r="1494" customFormat="false" ht="15" hidden="false" customHeight="false" outlineLevel="0" collapsed="false">
      <c r="A1494" s="22" t="n">
        <v>37</v>
      </c>
      <c r="B1494" s="23" t="n">
        <v>45726</v>
      </c>
      <c r="C1494" s="22" t="s">
        <v>185</v>
      </c>
      <c r="D1494" s="24" t="n">
        <v>16</v>
      </c>
    </row>
    <row r="1495" customFormat="false" ht="15" hidden="false" customHeight="false" outlineLevel="0" collapsed="false">
      <c r="A1495" s="22" t="n">
        <v>38</v>
      </c>
      <c r="B1495" s="23" t="n">
        <v>45733</v>
      </c>
      <c r="C1495" s="22" t="s">
        <v>185</v>
      </c>
      <c r="D1495" s="24" t="n">
        <v>18</v>
      </c>
    </row>
    <row r="1496" customFormat="false" ht="15" hidden="false" customHeight="false" outlineLevel="0" collapsed="false">
      <c r="A1496" s="22" t="n">
        <v>39</v>
      </c>
      <c r="B1496" s="23" t="n">
        <v>45740</v>
      </c>
      <c r="C1496" s="22" t="s">
        <v>185</v>
      </c>
      <c r="D1496" s="24" t="n">
        <v>15</v>
      </c>
    </row>
    <row r="1497" customFormat="false" ht="15" hidden="false" customHeight="false" outlineLevel="0" collapsed="false">
      <c r="A1497" s="22" t="n">
        <v>40</v>
      </c>
      <c r="B1497" s="23" t="n">
        <v>45747</v>
      </c>
      <c r="C1497" s="22" t="s">
        <v>185</v>
      </c>
      <c r="D1497" s="24" t="n">
        <v>25</v>
      </c>
    </row>
    <row r="1498" customFormat="false" ht="15" hidden="false" customHeight="false" outlineLevel="0" collapsed="false">
      <c r="A1498" s="22" t="n">
        <v>41</v>
      </c>
      <c r="B1498" s="23" t="n">
        <v>45754</v>
      </c>
      <c r="C1498" s="22" t="s">
        <v>185</v>
      </c>
      <c r="D1498" s="24" t="n">
        <v>14</v>
      </c>
    </row>
    <row r="1499" customFormat="false" ht="15" hidden="false" customHeight="false" outlineLevel="0" collapsed="false">
      <c r="A1499" s="22" t="n">
        <v>42</v>
      </c>
      <c r="B1499" s="23" t="n">
        <v>45761</v>
      </c>
      <c r="C1499" s="22" t="s">
        <v>185</v>
      </c>
      <c r="D1499" s="24" t="n">
        <v>13</v>
      </c>
    </row>
    <row r="1500" customFormat="false" ht="15" hidden="false" customHeight="false" outlineLevel="0" collapsed="false">
      <c r="A1500" s="22" t="n">
        <v>43</v>
      </c>
      <c r="B1500" s="23" t="n">
        <v>45768</v>
      </c>
      <c r="C1500" s="22" t="s">
        <v>185</v>
      </c>
      <c r="D1500" s="24" t="n">
        <v>11</v>
      </c>
    </row>
    <row r="1501" customFormat="false" ht="15" hidden="false" customHeight="false" outlineLevel="0" collapsed="false">
      <c r="A1501" s="22" t="n">
        <v>44</v>
      </c>
      <c r="B1501" s="23" t="n">
        <v>45775</v>
      </c>
      <c r="C1501" s="22" t="s">
        <v>185</v>
      </c>
      <c r="D1501" s="24" t="n">
        <v>11</v>
      </c>
    </row>
    <row r="1502" customFormat="false" ht="15" hidden="false" customHeight="false" outlineLevel="0" collapsed="false">
      <c r="A1502" s="22" t="n">
        <v>45</v>
      </c>
      <c r="B1502" s="23" t="n">
        <v>45782</v>
      </c>
      <c r="C1502" s="22" t="s">
        <v>185</v>
      </c>
      <c r="D1502" s="24" t="n">
        <v>23</v>
      </c>
    </row>
    <row r="1503" customFormat="false" ht="15" hidden="false" customHeight="false" outlineLevel="0" collapsed="false">
      <c r="A1503" s="22" t="n">
        <v>46</v>
      </c>
      <c r="B1503" s="23" t="n">
        <v>45789</v>
      </c>
      <c r="C1503" s="22" t="s">
        <v>185</v>
      </c>
      <c r="D1503" s="24" t="n">
        <v>36</v>
      </c>
    </row>
    <row r="1504" customFormat="false" ht="15" hidden="false" customHeight="false" outlineLevel="0" collapsed="false">
      <c r="A1504" s="22" t="n">
        <v>47</v>
      </c>
      <c r="B1504" s="23" t="n">
        <v>45796</v>
      </c>
      <c r="C1504" s="22" t="s">
        <v>185</v>
      </c>
      <c r="D1504" s="24" t="n">
        <v>14</v>
      </c>
    </row>
    <row r="1505" customFormat="false" ht="15" hidden="false" customHeight="false" outlineLevel="0" collapsed="false">
      <c r="A1505" s="22" t="n">
        <v>48</v>
      </c>
      <c r="B1505" s="23" t="n">
        <v>45803</v>
      </c>
      <c r="C1505" s="22" t="s">
        <v>185</v>
      </c>
      <c r="D1505" s="24" t="n">
        <v>26</v>
      </c>
    </row>
    <row r="1506" customFormat="false" ht="15" hidden="false" customHeight="false" outlineLevel="0" collapsed="false">
      <c r="A1506" s="22" t="n">
        <v>49</v>
      </c>
      <c r="B1506" s="23" t="n">
        <v>45810</v>
      </c>
      <c r="C1506" s="22" t="s">
        <v>185</v>
      </c>
      <c r="D1506" s="24" t="n">
        <v>22</v>
      </c>
    </row>
    <row r="1507" customFormat="false" ht="15" hidden="false" customHeight="false" outlineLevel="0" collapsed="false">
      <c r="A1507" s="22" t="n">
        <v>50</v>
      </c>
      <c r="B1507" s="23" t="n">
        <v>45817</v>
      </c>
      <c r="C1507" s="22" t="s">
        <v>185</v>
      </c>
      <c r="D1507" s="24" t="n">
        <v>13</v>
      </c>
    </row>
    <row r="1508" customFormat="false" ht="15" hidden="false" customHeight="false" outlineLevel="0" collapsed="false">
      <c r="A1508" s="22" t="n">
        <v>51</v>
      </c>
      <c r="B1508" s="23" t="n">
        <v>45824</v>
      </c>
      <c r="C1508" s="22" t="s">
        <v>185</v>
      </c>
      <c r="D1508" s="24" t="n">
        <v>18</v>
      </c>
    </row>
    <row r="1509" customFormat="false" ht="15" hidden="false" customHeight="false" outlineLevel="0" collapsed="false">
      <c r="A1509" s="22" t="n">
        <v>52</v>
      </c>
      <c r="B1509" s="23" t="n">
        <v>45831</v>
      </c>
      <c r="C1509" s="22" t="s">
        <v>185</v>
      </c>
      <c r="D1509" s="24" t="n">
        <v>19</v>
      </c>
    </row>
    <row r="1510" customFormat="false" ht="15" hidden="false" customHeight="false" outlineLevel="0" collapsed="false">
      <c r="A1510" s="22" t="n">
        <v>53</v>
      </c>
      <c r="B1510" s="23" t="n">
        <v>45838</v>
      </c>
      <c r="C1510" s="22" t="s">
        <v>185</v>
      </c>
      <c r="D1510" s="24" t="n">
        <v>16</v>
      </c>
    </row>
    <row r="1511" customFormat="false" ht="15" hidden="false" customHeight="false" outlineLevel="0" collapsed="false">
      <c r="A1511" s="22" t="n">
        <v>54</v>
      </c>
      <c r="B1511" s="23" t="n">
        <v>45845</v>
      </c>
      <c r="C1511" s="22" t="s">
        <v>185</v>
      </c>
      <c r="D1511" s="24" t="n">
        <v>32</v>
      </c>
    </row>
    <row r="1512" customFormat="false" ht="15" hidden="false" customHeight="false" outlineLevel="0" collapsed="false">
      <c r="A1512" s="22" t="n">
        <v>55</v>
      </c>
      <c r="B1512" s="23" t="n">
        <v>45852</v>
      </c>
      <c r="C1512" s="22" t="s">
        <v>185</v>
      </c>
      <c r="D1512" s="24" t="n">
        <v>8</v>
      </c>
    </row>
    <row r="1513" customFormat="false" ht="15" hidden="false" customHeight="false" outlineLevel="0" collapsed="false">
      <c r="A1513" s="22" t="n">
        <v>56</v>
      </c>
      <c r="B1513" s="23" t="n">
        <v>45859</v>
      </c>
      <c r="C1513" s="22" t="s">
        <v>185</v>
      </c>
      <c r="D1513" s="24" t="n">
        <v>22</v>
      </c>
    </row>
    <row r="1514" customFormat="false" ht="15" hidden="false" customHeight="false" outlineLevel="0" collapsed="false">
      <c r="A1514" s="22" t="n">
        <v>57</v>
      </c>
      <c r="B1514" s="23" t="n">
        <v>45866</v>
      </c>
      <c r="C1514" s="22" t="s">
        <v>185</v>
      </c>
      <c r="D1514" s="24" t="n">
        <v>22</v>
      </c>
    </row>
    <row r="1515" customFormat="false" ht="15" hidden="false" customHeight="false" outlineLevel="0" collapsed="false">
      <c r="A1515" s="22" t="n">
        <v>58</v>
      </c>
      <c r="B1515" s="23" t="n">
        <v>45873</v>
      </c>
      <c r="C1515" s="22" t="s">
        <v>185</v>
      </c>
      <c r="D1515" s="24" t="n">
        <v>16</v>
      </c>
    </row>
    <row r="1516" customFormat="false" ht="15" hidden="false" customHeight="false" outlineLevel="0" collapsed="false">
      <c r="A1516" s="22" t="n">
        <v>59</v>
      </c>
      <c r="B1516" s="23" t="n">
        <v>45880</v>
      </c>
      <c r="C1516" s="22" t="s">
        <v>185</v>
      </c>
      <c r="D1516" s="24" t="n">
        <v>21</v>
      </c>
    </row>
    <row r="1517" customFormat="false" ht="15" hidden="false" customHeight="false" outlineLevel="0" collapsed="false">
      <c r="A1517" s="22" t="n">
        <v>60</v>
      </c>
      <c r="B1517" s="23" t="n">
        <v>45887</v>
      </c>
      <c r="C1517" s="22" t="s">
        <v>185</v>
      </c>
      <c r="D1517" s="24" t="n">
        <v>25</v>
      </c>
    </row>
    <row r="1518" customFormat="false" ht="15" hidden="false" customHeight="false" outlineLevel="0" collapsed="false">
      <c r="A1518" s="22" t="n">
        <v>61</v>
      </c>
      <c r="B1518" s="23" t="n">
        <v>45894</v>
      </c>
      <c r="C1518" s="22" t="s">
        <v>185</v>
      </c>
      <c r="D1518" s="24" t="n">
        <v>21</v>
      </c>
    </row>
    <row r="1519" customFormat="false" ht="15" hidden="false" customHeight="false" outlineLevel="0" collapsed="false">
      <c r="A1519" s="22" t="n">
        <v>62</v>
      </c>
      <c r="B1519" s="23" t="n">
        <v>45901</v>
      </c>
      <c r="C1519" s="22" t="s">
        <v>185</v>
      </c>
      <c r="D1519" s="24" t="n">
        <v>23</v>
      </c>
    </row>
    <row r="1520" customFormat="false" ht="15" hidden="false" customHeight="false" outlineLevel="0" collapsed="false">
      <c r="A1520" s="22" t="n">
        <v>63</v>
      </c>
      <c r="B1520" s="23" t="n">
        <v>45908</v>
      </c>
      <c r="C1520" s="22" t="s">
        <v>185</v>
      </c>
      <c r="D1520" s="24" t="n">
        <v>24</v>
      </c>
    </row>
    <row r="1521" customFormat="false" ht="15" hidden="false" customHeight="false" outlineLevel="0" collapsed="false">
      <c r="A1521" s="22" t="n">
        <v>64</v>
      </c>
      <c r="B1521" s="23" t="n">
        <v>45915</v>
      </c>
      <c r="C1521" s="22" t="s">
        <v>185</v>
      </c>
      <c r="D1521" s="24" t="n">
        <v>7</v>
      </c>
    </row>
    <row r="1522" customFormat="false" ht="15" hidden="false" customHeight="false" outlineLevel="0" collapsed="false">
      <c r="A1522" s="22" t="n">
        <v>65</v>
      </c>
      <c r="B1522" s="23" t="n">
        <v>45922</v>
      </c>
      <c r="C1522" s="22" t="s">
        <v>185</v>
      </c>
      <c r="D1522" s="24" t="n">
        <v>29</v>
      </c>
    </row>
    <row r="1523" customFormat="false" ht="15" hidden="false" customHeight="false" outlineLevel="0" collapsed="false">
      <c r="A1523" s="22" t="n">
        <v>66</v>
      </c>
      <c r="B1523" s="23" t="n">
        <v>45929</v>
      </c>
      <c r="C1523" s="22" t="s">
        <v>185</v>
      </c>
      <c r="D1523" s="24" t="n">
        <v>34</v>
      </c>
    </row>
    <row r="1524" customFormat="false" ht="15" hidden="false" customHeight="false" outlineLevel="0" collapsed="false">
      <c r="A1524" s="22" t="n">
        <v>67</v>
      </c>
      <c r="B1524" s="23" t="n">
        <v>45936</v>
      </c>
      <c r="C1524" s="22" t="s">
        <v>185</v>
      </c>
      <c r="D1524" s="24" t="n">
        <v>26</v>
      </c>
    </row>
    <row r="1525" customFormat="false" ht="15" hidden="false" customHeight="false" outlineLevel="0" collapsed="false">
      <c r="A1525" s="22" t="n">
        <v>68</v>
      </c>
      <c r="B1525" s="23" t="n">
        <v>45943</v>
      </c>
      <c r="C1525" s="22" t="s">
        <v>185</v>
      </c>
      <c r="D1525" s="24" t="n">
        <v>26</v>
      </c>
    </row>
    <row r="1526" customFormat="false" ht="15" hidden="false" customHeight="false" outlineLevel="0" collapsed="false">
      <c r="A1526" s="22" t="n">
        <v>69</v>
      </c>
      <c r="B1526" s="23" t="n">
        <v>45950</v>
      </c>
      <c r="C1526" s="22" t="s">
        <v>185</v>
      </c>
      <c r="D1526" s="24" t="n">
        <v>11</v>
      </c>
    </row>
    <row r="1527" customFormat="false" ht="15" hidden="false" customHeight="false" outlineLevel="0" collapsed="false">
      <c r="A1527" s="22" t="n">
        <v>70</v>
      </c>
      <c r="B1527" s="23" t="n">
        <v>45957</v>
      </c>
      <c r="C1527" s="22" t="s">
        <v>185</v>
      </c>
      <c r="D1527" s="24" t="n">
        <v>19</v>
      </c>
    </row>
    <row r="1528" customFormat="false" ht="15" hidden="false" customHeight="false" outlineLevel="0" collapsed="false">
      <c r="A1528" s="22" t="n">
        <v>71</v>
      </c>
      <c r="B1528" s="23" t="n">
        <v>45964</v>
      </c>
      <c r="C1528" s="22" t="s">
        <v>185</v>
      </c>
      <c r="D1528" s="24" t="n">
        <v>15</v>
      </c>
    </row>
    <row r="1529" customFormat="false" ht="15" hidden="false" customHeight="false" outlineLevel="0" collapsed="false">
      <c r="A1529" s="22" t="n">
        <v>72</v>
      </c>
      <c r="B1529" s="23" t="n">
        <v>45971</v>
      </c>
      <c r="C1529" s="22" t="s">
        <v>185</v>
      </c>
      <c r="D1529" s="24" t="n">
        <v>16</v>
      </c>
    </row>
    <row r="1530" customFormat="false" ht="15" hidden="false" customHeight="false" outlineLevel="0" collapsed="false">
      <c r="A1530" s="22" t="n">
        <v>73</v>
      </c>
      <c r="B1530" s="23" t="n">
        <v>45978</v>
      </c>
      <c r="C1530" s="22" t="s">
        <v>185</v>
      </c>
      <c r="D1530" s="24" t="n">
        <v>26</v>
      </c>
    </row>
    <row r="1531" customFormat="false" ht="15" hidden="false" customHeight="false" outlineLevel="0" collapsed="false">
      <c r="A1531" s="22" t="n">
        <v>74</v>
      </c>
      <c r="B1531" s="23" t="n">
        <v>45985</v>
      </c>
      <c r="C1531" s="22" t="s">
        <v>185</v>
      </c>
      <c r="D1531" s="24" t="n">
        <v>15</v>
      </c>
    </row>
    <row r="1532" customFormat="false" ht="15" hidden="false" customHeight="false" outlineLevel="0" collapsed="false">
      <c r="A1532" s="22" t="n">
        <v>75</v>
      </c>
      <c r="B1532" s="23" t="n">
        <v>45992</v>
      </c>
      <c r="C1532" s="22" t="s">
        <v>185</v>
      </c>
      <c r="D1532" s="24" t="n">
        <v>19</v>
      </c>
    </row>
    <row r="1533" customFormat="false" ht="15" hidden="false" customHeight="false" outlineLevel="0" collapsed="false">
      <c r="A1533" s="22" t="n">
        <v>76</v>
      </c>
      <c r="B1533" s="23" t="n">
        <v>45999</v>
      </c>
      <c r="C1533" s="22" t="s">
        <v>185</v>
      </c>
      <c r="D1533" s="24" t="n">
        <v>8</v>
      </c>
    </row>
    <row r="1534" customFormat="false" ht="15" hidden="false" customHeight="false" outlineLevel="0" collapsed="false">
      <c r="A1534" s="22" t="n">
        <v>77</v>
      </c>
      <c r="B1534" s="23" t="n">
        <v>46006</v>
      </c>
      <c r="C1534" s="22" t="s">
        <v>185</v>
      </c>
      <c r="D1534" s="24" t="n">
        <v>19</v>
      </c>
    </row>
    <row r="1535" customFormat="false" ht="15" hidden="false" customHeight="false" outlineLevel="0" collapsed="false">
      <c r="A1535" s="22" t="n">
        <v>78</v>
      </c>
      <c r="B1535" s="23" t="n">
        <v>46013</v>
      </c>
      <c r="C1535" s="22" t="s">
        <v>185</v>
      </c>
      <c r="D1535" s="24" t="n">
        <v>21</v>
      </c>
    </row>
    <row r="1536" customFormat="false" ht="15" hidden="false" customHeight="false" outlineLevel="0" collapsed="false">
      <c r="A1536" s="22" t="n">
        <v>79</v>
      </c>
      <c r="B1536" s="23" t="n">
        <v>46020</v>
      </c>
      <c r="C1536" s="22" t="s">
        <v>185</v>
      </c>
      <c r="D1536" s="24" t="n">
        <v>16</v>
      </c>
    </row>
    <row r="1537" customFormat="false" ht="15" hidden="false" customHeight="false" outlineLevel="0" collapsed="false">
      <c r="A1537" s="22" t="n">
        <v>80</v>
      </c>
      <c r="B1537" s="23" t="n">
        <v>46027</v>
      </c>
      <c r="C1537" s="22" t="s">
        <v>185</v>
      </c>
      <c r="D1537" s="24" t="n">
        <v>16</v>
      </c>
    </row>
    <row r="1538" customFormat="false" ht="15" hidden="false" customHeight="false" outlineLevel="0" collapsed="false">
      <c r="A1538" s="22" t="n">
        <v>81</v>
      </c>
      <c r="B1538" s="23" t="n">
        <v>46034</v>
      </c>
      <c r="C1538" s="22" t="s">
        <v>185</v>
      </c>
      <c r="D1538" s="24" t="n">
        <v>32</v>
      </c>
    </row>
    <row r="1539" customFormat="false" ht="15" hidden="false" customHeight="false" outlineLevel="0" collapsed="false">
      <c r="A1539" s="22" t="n">
        <v>82</v>
      </c>
      <c r="B1539" s="23" t="n">
        <v>46041</v>
      </c>
      <c r="C1539" s="22" t="s">
        <v>185</v>
      </c>
      <c r="D1539" s="24" t="n">
        <v>13</v>
      </c>
    </row>
    <row r="1540" customFormat="false" ht="15" hidden="false" customHeight="false" outlineLevel="0" collapsed="false">
      <c r="A1540" s="22" t="n">
        <v>83</v>
      </c>
      <c r="B1540" s="23" t="n">
        <v>46048</v>
      </c>
      <c r="C1540" s="22" t="s">
        <v>185</v>
      </c>
      <c r="D1540" s="24" t="n">
        <v>14</v>
      </c>
    </row>
    <row r="1541" customFormat="false" ht="15" hidden="false" customHeight="false" outlineLevel="0" collapsed="false">
      <c r="A1541" s="22" t="n">
        <v>84</v>
      </c>
      <c r="B1541" s="23" t="n">
        <v>46055</v>
      </c>
      <c r="C1541" s="22" t="s">
        <v>185</v>
      </c>
      <c r="D1541" s="24" t="n">
        <v>15</v>
      </c>
    </row>
    <row r="1542" customFormat="false" ht="15" hidden="false" customHeight="false" outlineLevel="0" collapsed="false">
      <c r="A1542" s="22" t="n">
        <v>85</v>
      </c>
      <c r="B1542" s="23" t="n">
        <v>46062</v>
      </c>
      <c r="C1542" s="22" t="s">
        <v>185</v>
      </c>
      <c r="D1542" s="24" t="n">
        <v>27</v>
      </c>
    </row>
    <row r="1543" customFormat="false" ht="15" hidden="false" customHeight="false" outlineLevel="0" collapsed="false">
      <c r="A1543" s="22" t="n">
        <v>86</v>
      </c>
      <c r="B1543" s="23" t="n">
        <v>46069</v>
      </c>
      <c r="C1543" s="22" t="s">
        <v>185</v>
      </c>
      <c r="D1543" s="24" t="n">
        <v>33</v>
      </c>
    </row>
    <row r="1544" customFormat="false" ht="15" hidden="false" customHeight="false" outlineLevel="0" collapsed="false">
      <c r="A1544" s="22" t="n">
        <v>87</v>
      </c>
      <c r="B1544" s="23" t="n">
        <v>46076</v>
      </c>
      <c r="C1544" s="22" t="s">
        <v>185</v>
      </c>
      <c r="D1544" s="24" t="n">
        <v>22</v>
      </c>
    </row>
    <row r="1545" customFormat="false" ht="15" hidden="false" customHeight="false" outlineLevel="0" collapsed="false">
      <c r="A1545" s="22" t="n">
        <v>88</v>
      </c>
      <c r="B1545" s="23" t="n">
        <v>46083</v>
      </c>
      <c r="C1545" s="22" t="s">
        <v>185</v>
      </c>
      <c r="D1545" s="24" t="n">
        <v>16</v>
      </c>
    </row>
    <row r="1546" customFormat="false" ht="15" hidden="false" customHeight="false" outlineLevel="0" collapsed="false">
      <c r="A1546" s="22" t="n">
        <v>89</v>
      </c>
      <c r="B1546" s="23" t="n">
        <v>46090</v>
      </c>
      <c r="C1546" s="22" t="s">
        <v>185</v>
      </c>
      <c r="D1546" s="24" t="n">
        <v>17</v>
      </c>
    </row>
    <row r="1547" customFormat="false" ht="15" hidden="false" customHeight="false" outlineLevel="0" collapsed="false">
      <c r="A1547" s="22" t="n">
        <v>90</v>
      </c>
      <c r="B1547" s="23" t="n">
        <v>46097</v>
      </c>
      <c r="C1547" s="22" t="s">
        <v>185</v>
      </c>
      <c r="D1547" s="24" t="n">
        <v>27</v>
      </c>
    </row>
    <row r="1548" customFormat="false" ht="15" hidden="false" customHeight="false" outlineLevel="0" collapsed="false">
      <c r="A1548" s="22" t="n">
        <v>91</v>
      </c>
      <c r="B1548" s="23" t="n">
        <v>46104</v>
      </c>
      <c r="C1548" s="22" t="s">
        <v>185</v>
      </c>
      <c r="D1548" s="24" t="n">
        <v>14</v>
      </c>
    </row>
    <row r="1549" customFormat="false" ht="15" hidden="false" customHeight="false" outlineLevel="0" collapsed="false">
      <c r="A1549" s="22" t="n">
        <v>92</v>
      </c>
      <c r="B1549" s="23" t="n">
        <v>46111</v>
      </c>
      <c r="C1549" s="22" t="s">
        <v>185</v>
      </c>
      <c r="D1549" s="24" t="n">
        <v>29</v>
      </c>
    </row>
    <row r="1550" customFormat="false" ht="15" hidden="false" customHeight="false" outlineLevel="0" collapsed="false">
      <c r="A1550" s="22" t="n">
        <v>93</v>
      </c>
      <c r="B1550" s="23" t="n">
        <v>46118</v>
      </c>
      <c r="C1550" s="22" t="s">
        <v>185</v>
      </c>
      <c r="D1550" s="24" t="n">
        <v>29</v>
      </c>
    </row>
    <row r="1551" customFormat="false" ht="15" hidden="false" customHeight="false" outlineLevel="0" collapsed="false">
      <c r="A1551" s="22" t="n">
        <v>94</v>
      </c>
      <c r="B1551" s="23" t="n">
        <v>46125</v>
      </c>
      <c r="C1551" s="22" t="s">
        <v>185</v>
      </c>
      <c r="D1551" s="24" t="n">
        <v>20</v>
      </c>
    </row>
    <row r="1552" customFormat="false" ht="15" hidden="false" customHeight="false" outlineLevel="0" collapsed="false">
      <c r="A1552" s="22" t="n">
        <v>95</v>
      </c>
      <c r="B1552" s="23" t="n">
        <v>46132</v>
      </c>
      <c r="C1552" s="22" t="s">
        <v>185</v>
      </c>
      <c r="D1552" s="24" t="n">
        <v>24</v>
      </c>
    </row>
    <row r="1553" customFormat="false" ht="15" hidden="false" customHeight="false" outlineLevel="0" collapsed="false">
      <c r="A1553" s="22" t="n">
        <v>96</v>
      </c>
      <c r="B1553" s="23" t="n">
        <v>46139</v>
      </c>
      <c r="C1553" s="22" t="s">
        <v>185</v>
      </c>
      <c r="D1553" s="24" t="n">
        <v>25</v>
      </c>
    </row>
    <row r="1554" customFormat="false" ht="15" hidden="false" customHeight="false" outlineLevel="0" collapsed="false">
      <c r="A1554" s="22" t="n">
        <v>97</v>
      </c>
      <c r="B1554" s="23" t="n">
        <v>46146</v>
      </c>
      <c r="C1554" s="22" t="s">
        <v>185</v>
      </c>
      <c r="D1554" s="24" t="n">
        <v>30</v>
      </c>
    </row>
    <row r="1555" customFormat="false" ht="15" hidden="false" customHeight="false" outlineLevel="0" collapsed="false">
      <c r="A1555" s="22" t="n">
        <v>98</v>
      </c>
      <c r="B1555" s="23" t="n">
        <v>46153</v>
      </c>
      <c r="C1555" s="22" t="s">
        <v>185</v>
      </c>
      <c r="D1555" s="24" t="n">
        <v>14</v>
      </c>
    </row>
    <row r="1556" customFormat="false" ht="15" hidden="false" customHeight="false" outlineLevel="0" collapsed="false">
      <c r="A1556" s="22" t="n">
        <v>99</v>
      </c>
      <c r="B1556" s="23" t="n">
        <v>46160</v>
      </c>
      <c r="C1556" s="22" t="s">
        <v>185</v>
      </c>
      <c r="D1556" s="24" t="n">
        <v>27</v>
      </c>
    </row>
    <row r="1557" customFormat="false" ht="15" hidden="false" customHeight="false" outlineLevel="0" collapsed="false">
      <c r="A1557" s="22" t="n">
        <v>100</v>
      </c>
      <c r="B1557" s="23" t="n">
        <v>46167</v>
      </c>
      <c r="C1557" s="22" t="s">
        <v>185</v>
      </c>
      <c r="D1557" s="24" t="n">
        <v>18</v>
      </c>
    </row>
    <row r="1558" customFormat="false" ht="15" hidden="false" customHeight="false" outlineLevel="0" collapsed="false">
      <c r="A1558" s="22" t="n">
        <v>101</v>
      </c>
      <c r="B1558" s="23" t="n">
        <v>46174</v>
      </c>
      <c r="C1558" s="22" t="s">
        <v>185</v>
      </c>
      <c r="D1558" s="24" t="n">
        <v>15</v>
      </c>
    </row>
    <row r="1559" customFormat="false" ht="15" hidden="false" customHeight="false" outlineLevel="0" collapsed="false">
      <c r="A1559" s="22" t="n">
        <v>102</v>
      </c>
      <c r="B1559" s="23" t="n">
        <v>46181</v>
      </c>
      <c r="C1559" s="22" t="s">
        <v>185</v>
      </c>
      <c r="D1559" s="24" t="n">
        <v>21</v>
      </c>
    </row>
    <row r="1560" customFormat="false" ht="15" hidden="false" customHeight="false" outlineLevel="0" collapsed="false">
      <c r="A1560" s="22" t="n">
        <v>103</v>
      </c>
      <c r="B1560" s="23" t="n">
        <v>46188</v>
      </c>
      <c r="C1560" s="22" t="s">
        <v>185</v>
      </c>
      <c r="D1560" s="24" t="n">
        <v>19</v>
      </c>
    </row>
    <row r="1561" customFormat="false" ht="15" hidden="false" customHeight="false" outlineLevel="0" collapsed="false">
      <c r="A1561" s="22" t="n">
        <v>104</v>
      </c>
      <c r="B1561" s="23" t="n">
        <v>46195</v>
      </c>
      <c r="C1561" s="22" t="s">
        <v>185</v>
      </c>
      <c r="D1561" s="24" t="n">
        <v>14</v>
      </c>
    </row>
    <row r="1562" customFormat="false" ht="15" hidden="false" customHeight="false" outlineLevel="0" collapsed="false">
      <c r="A1562" s="22" t="n">
        <v>1</v>
      </c>
      <c r="B1562" s="23" t="n">
        <v>45474</v>
      </c>
      <c r="C1562" s="22" t="s">
        <v>187</v>
      </c>
      <c r="D1562" s="24" t="n">
        <v>32</v>
      </c>
    </row>
    <row r="1563" customFormat="false" ht="15" hidden="false" customHeight="false" outlineLevel="0" collapsed="false">
      <c r="A1563" s="22" t="n">
        <v>2</v>
      </c>
      <c r="B1563" s="23" t="n">
        <v>45481</v>
      </c>
      <c r="C1563" s="22" t="s">
        <v>187</v>
      </c>
      <c r="D1563" s="24" t="n">
        <v>40</v>
      </c>
    </row>
    <row r="1564" customFormat="false" ht="15" hidden="false" customHeight="false" outlineLevel="0" collapsed="false">
      <c r="A1564" s="22" t="n">
        <v>3</v>
      </c>
      <c r="B1564" s="23" t="n">
        <v>45488</v>
      </c>
      <c r="C1564" s="22" t="s">
        <v>187</v>
      </c>
      <c r="D1564" s="24" t="n">
        <v>42</v>
      </c>
    </row>
    <row r="1565" customFormat="false" ht="15" hidden="false" customHeight="false" outlineLevel="0" collapsed="false">
      <c r="A1565" s="22" t="n">
        <v>4</v>
      </c>
      <c r="B1565" s="23" t="n">
        <v>45495</v>
      </c>
      <c r="C1565" s="22" t="s">
        <v>187</v>
      </c>
      <c r="D1565" s="24" t="n">
        <v>37</v>
      </c>
    </row>
    <row r="1566" customFormat="false" ht="15" hidden="false" customHeight="false" outlineLevel="0" collapsed="false">
      <c r="A1566" s="22" t="n">
        <v>5</v>
      </c>
      <c r="B1566" s="23" t="n">
        <v>45502</v>
      </c>
      <c r="C1566" s="22" t="s">
        <v>187</v>
      </c>
      <c r="D1566" s="24" t="n">
        <v>39</v>
      </c>
    </row>
    <row r="1567" customFormat="false" ht="15" hidden="false" customHeight="false" outlineLevel="0" collapsed="false">
      <c r="A1567" s="22" t="n">
        <v>6</v>
      </c>
      <c r="B1567" s="23" t="n">
        <v>45509</v>
      </c>
      <c r="C1567" s="22" t="s">
        <v>187</v>
      </c>
      <c r="D1567" s="24" t="n">
        <v>33</v>
      </c>
    </row>
    <row r="1568" customFormat="false" ht="15" hidden="false" customHeight="false" outlineLevel="0" collapsed="false">
      <c r="A1568" s="22" t="n">
        <v>7</v>
      </c>
      <c r="B1568" s="23" t="n">
        <v>45516</v>
      </c>
      <c r="C1568" s="22" t="s">
        <v>187</v>
      </c>
      <c r="D1568" s="24" t="n">
        <v>35</v>
      </c>
    </row>
    <row r="1569" customFormat="false" ht="15" hidden="false" customHeight="false" outlineLevel="0" collapsed="false">
      <c r="A1569" s="22" t="n">
        <v>8</v>
      </c>
      <c r="B1569" s="23" t="n">
        <v>45523</v>
      </c>
      <c r="C1569" s="22" t="s">
        <v>187</v>
      </c>
      <c r="D1569" s="24" t="n">
        <v>36</v>
      </c>
    </row>
    <row r="1570" customFormat="false" ht="15" hidden="false" customHeight="false" outlineLevel="0" collapsed="false">
      <c r="A1570" s="22" t="n">
        <v>9</v>
      </c>
      <c r="B1570" s="23" t="n">
        <v>45530</v>
      </c>
      <c r="C1570" s="22" t="s">
        <v>187</v>
      </c>
      <c r="D1570" s="24" t="n">
        <v>31</v>
      </c>
    </row>
    <row r="1571" customFormat="false" ht="15" hidden="false" customHeight="false" outlineLevel="0" collapsed="false">
      <c r="A1571" s="22" t="n">
        <v>10</v>
      </c>
      <c r="B1571" s="23" t="n">
        <v>45537</v>
      </c>
      <c r="C1571" s="22" t="s">
        <v>187</v>
      </c>
      <c r="D1571" s="24" t="n">
        <v>31</v>
      </c>
    </row>
    <row r="1572" customFormat="false" ht="15" hidden="false" customHeight="false" outlineLevel="0" collapsed="false">
      <c r="A1572" s="22" t="n">
        <v>11</v>
      </c>
      <c r="B1572" s="23" t="n">
        <v>45544</v>
      </c>
      <c r="C1572" s="22" t="s">
        <v>187</v>
      </c>
      <c r="D1572" s="24" t="n">
        <v>35</v>
      </c>
    </row>
    <row r="1573" customFormat="false" ht="15" hidden="false" customHeight="false" outlineLevel="0" collapsed="false">
      <c r="A1573" s="22" t="n">
        <v>12</v>
      </c>
      <c r="B1573" s="23" t="n">
        <v>45551</v>
      </c>
      <c r="C1573" s="22" t="s">
        <v>187</v>
      </c>
      <c r="D1573" s="24" t="n">
        <v>34</v>
      </c>
    </row>
    <row r="1574" customFormat="false" ht="15" hidden="false" customHeight="false" outlineLevel="0" collapsed="false">
      <c r="A1574" s="22" t="n">
        <v>13</v>
      </c>
      <c r="B1574" s="23" t="n">
        <v>45558</v>
      </c>
      <c r="C1574" s="22" t="s">
        <v>187</v>
      </c>
      <c r="D1574" s="24" t="n">
        <v>31</v>
      </c>
    </row>
    <row r="1575" customFormat="false" ht="15" hidden="false" customHeight="false" outlineLevel="0" collapsed="false">
      <c r="A1575" s="22" t="n">
        <v>14</v>
      </c>
      <c r="B1575" s="23" t="n">
        <v>45565</v>
      </c>
      <c r="C1575" s="22" t="s">
        <v>187</v>
      </c>
      <c r="D1575" s="24" t="n">
        <v>36</v>
      </c>
    </row>
    <row r="1576" customFormat="false" ht="15" hidden="false" customHeight="false" outlineLevel="0" collapsed="false">
      <c r="A1576" s="22" t="n">
        <v>15</v>
      </c>
      <c r="B1576" s="23" t="n">
        <v>45572</v>
      </c>
      <c r="C1576" s="22" t="s">
        <v>187</v>
      </c>
      <c r="D1576" s="24" t="n">
        <v>34</v>
      </c>
    </row>
    <row r="1577" customFormat="false" ht="15" hidden="false" customHeight="false" outlineLevel="0" collapsed="false">
      <c r="A1577" s="22" t="n">
        <v>16</v>
      </c>
      <c r="B1577" s="23" t="n">
        <v>45579</v>
      </c>
      <c r="C1577" s="22" t="s">
        <v>187</v>
      </c>
      <c r="D1577" s="24" t="n">
        <v>39</v>
      </c>
    </row>
    <row r="1578" customFormat="false" ht="15" hidden="false" customHeight="false" outlineLevel="0" collapsed="false">
      <c r="A1578" s="22" t="n">
        <v>17</v>
      </c>
      <c r="B1578" s="23" t="n">
        <v>45586</v>
      </c>
      <c r="C1578" s="22" t="s">
        <v>187</v>
      </c>
      <c r="D1578" s="24" t="n">
        <v>35</v>
      </c>
    </row>
    <row r="1579" customFormat="false" ht="15" hidden="false" customHeight="false" outlineLevel="0" collapsed="false">
      <c r="A1579" s="22" t="n">
        <v>18</v>
      </c>
      <c r="B1579" s="23" t="n">
        <v>45593</v>
      </c>
      <c r="C1579" s="22" t="s">
        <v>187</v>
      </c>
      <c r="D1579" s="24" t="n">
        <v>34</v>
      </c>
    </row>
    <row r="1580" customFormat="false" ht="15" hidden="false" customHeight="false" outlineLevel="0" collapsed="false">
      <c r="A1580" s="22" t="n">
        <v>19</v>
      </c>
      <c r="B1580" s="23" t="n">
        <v>45600</v>
      </c>
      <c r="C1580" s="22" t="s">
        <v>187</v>
      </c>
      <c r="D1580" s="24" t="n">
        <v>35</v>
      </c>
    </row>
    <row r="1581" customFormat="false" ht="15" hidden="false" customHeight="false" outlineLevel="0" collapsed="false">
      <c r="A1581" s="22" t="n">
        <v>20</v>
      </c>
      <c r="B1581" s="23" t="n">
        <v>45607</v>
      </c>
      <c r="C1581" s="22" t="s">
        <v>187</v>
      </c>
      <c r="D1581" s="24" t="n">
        <v>34</v>
      </c>
    </row>
    <row r="1582" customFormat="false" ht="15" hidden="false" customHeight="false" outlineLevel="0" collapsed="false">
      <c r="A1582" s="22" t="n">
        <v>21</v>
      </c>
      <c r="B1582" s="23" t="n">
        <v>45614</v>
      </c>
      <c r="C1582" s="22" t="s">
        <v>187</v>
      </c>
      <c r="D1582" s="24" t="n">
        <v>33</v>
      </c>
    </row>
    <row r="1583" customFormat="false" ht="15" hidden="false" customHeight="false" outlineLevel="0" collapsed="false">
      <c r="A1583" s="22" t="n">
        <v>22</v>
      </c>
      <c r="B1583" s="23" t="n">
        <v>45621</v>
      </c>
      <c r="C1583" s="22" t="s">
        <v>187</v>
      </c>
      <c r="D1583" s="24" t="n">
        <v>34</v>
      </c>
    </row>
    <row r="1584" customFormat="false" ht="15" hidden="false" customHeight="false" outlineLevel="0" collapsed="false">
      <c r="A1584" s="22" t="n">
        <v>23</v>
      </c>
      <c r="B1584" s="23" t="n">
        <v>45628</v>
      </c>
      <c r="C1584" s="22" t="s">
        <v>187</v>
      </c>
      <c r="D1584" s="24" t="n">
        <v>38</v>
      </c>
    </row>
    <row r="1585" customFormat="false" ht="15" hidden="false" customHeight="false" outlineLevel="0" collapsed="false">
      <c r="A1585" s="22" t="n">
        <v>24</v>
      </c>
      <c r="B1585" s="23" t="n">
        <v>45635</v>
      </c>
      <c r="C1585" s="22" t="s">
        <v>187</v>
      </c>
      <c r="D1585" s="24" t="n">
        <v>37</v>
      </c>
    </row>
    <row r="1586" customFormat="false" ht="15" hidden="false" customHeight="false" outlineLevel="0" collapsed="false">
      <c r="A1586" s="22" t="n">
        <v>25</v>
      </c>
      <c r="B1586" s="23" t="n">
        <v>45642</v>
      </c>
      <c r="C1586" s="22" t="s">
        <v>187</v>
      </c>
      <c r="D1586" s="24" t="n">
        <v>40</v>
      </c>
    </row>
    <row r="1587" customFormat="false" ht="15" hidden="false" customHeight="false" outlineLevel="0" collapsed="false">
      <c r="A1587" s="22" t="n">
        <v>26</v>
      </c>
      <c r="B1587" s="23" t="n">
        <v>45649</v>
      </c>
      <c r="C1587" s="22" t="s">
        <v>187</v>
      </c>
      <c r="D1587" s="24" t="n">
        <v>29</v>
      </c>
    </row>
    <row r="1588" customFormat="false" ht="15" hidden="false" customHeight="false" outlineLevel="0" collapsed="false">
      <c r="A1588" s="22" t="n">
        <v>27</v>
      </c>
      <c r="B1588" s="23" t="n">
        <v>45656</v>
      </c>
      <c r="C1588" s="22" t="s">
        <v>187</v>
      </c>
      <c r="D1588" s="24" t="n">
        <v>34</v>
      </c>
    </row>
    <row r="1589" customFormat="false" ht="15" hidden="false" customHeight="false" outlineLevel="0" collapsed="false">
      <c r="A1589" s="22" t="n">
        <v>28</v>
      </c>
      <c r="B1589" s="23" t="n">
        <v>45663</v>
      </c>
      <c r="C1589" s="22" t="s">
        <v>187</v>
      </c>
      <c r="D1589" s="24" t="n">
        <v>33</v>
      </c>
    </row>
    <row r="1590" customFormat="false" ht="15" hidden="false" customHeight="false" outlineLevel="0" collapsed="false">
      <c r="A1590" s="22" t="n">
        <v>29</v>
      </c>
      <c r="B1590" s="23" t="n">
        <v>45670</v>
      </c>
      <c r="C1590" s="22" t="s">
        <v>187</v>
      </c>
      <c r="D1590" s="24" t="n">
        <v>36</v>
      </c>
    </row>
    <row r="1591" customFormat="false" ht="15" hidden="false" customHeight="false" outlineLevel="0" collapsed="false">
      <c r="A1591" s="22" t="n">
        <v>30</v>
      </c>
      <c r="B1591" s="23" t="n">
        <v>45677</v>
      </c>
      <c r="C1591" s="22" t="s">
        <v>187</v>
      </c>
      <c r="D1591" s="24" t="n">
        <v>33</v>
      </c>
    </row>
    <row r="1592" customFormat="false" ht="15" hidden="false" customHeight="false" outlineLevel="0" collapsed="false">
      <c r="A1592" s="22" t="n">
        <v>31</v>
      </c>
      <c r="B1592" s="23" t="n">
        <v>45684</v>
      </c>
      <c r="C1592" s="22" t="s">
        <v>187</v>
      </c>
      <c r="D1592" s="24" t="n">
        <v>33</v>
      </c>
    </row>
    <row r="1593" customFormat="false" ht="15" hidden="false" customHeight="false" outlineLevel="0" collapsed="false">
      <c r="A1593" s="22" t="n">
        <v>32</v>
      </c>
      <c r="B1593" s="23" t="n">
        <v>45691</v>
      </c>
      <c r="C1593" s="22" t="s">
        <v>187</v>
      </c>
      <c r="D1593" s="24" t="n">
        <v>38</v>
      </c>
    </row>
    <row r="1594" customFormat="false" ht="15" hidden="false" customHeight="false" outlineLevel="0" collapsed="false">
      <c r="A1594" s="22" t="n">
        <v>33</v>
      </c>
      <c r="B1594" s="23" t="n">
        <v>45698</v>
      </c>
      <c r="C1594" s="22" t="s">
        <v>187</v>
      </c>
      <c r="D1594" s="24" t="n">
        <v>36</v>
      </c>
    </row>
    <row r="1595" customFormat="false" ht="15" hidden="false" customHeight="false" outlineLevel="0" collapsed="false">
      <c r="A1595" s="22" t="n">
        <v>34</v>
      </c>
      <c r="B1595" s="23" t="n">
        <v>45705</v>
      </c>
      <c r="C1595" s="22" t="s">
        <v>187</v>
      </c>
      <c r="D1595" s="24" t="n">
        <v>31</v>
      </c>
    </row>
    <row r="1596" customFormat="false" ht="15" hidden="false" customHeight="false" outlineLevel="0" collapsed="false">
      <c r="A1596" s="22" t="n">
        <v>35</v>
      </c>
      <c r="B1596" s="23" t="n">
        <v>45712</v>
      </c>
      <c r="C1596" s="22" t="s">
        <v>187</v>
      </c>
      <c r="D1596" s="24" t="n">
        <v>40</v>
      </c>
    </row>
    <row r="1597" customFormat="false" ht="15" hidden="false" customHeight="false" outlineLevel="0" collapsed="false">
      <c r="A1597" s="22" t="n">
        <v>36</v>
      </c>
      <c r="B1597" s="23" t="n">
        <v>45719</v>
      </c>
      <c r="C1597" s="22" t="s">
        <v>187</v>
      </c>
      <c r="D1597" s="24" t="n">
        <v>39</v>
      </c>
    </row>
    <row r="1598" customFormat="false" ht="15" hidden="false" customHeight="false" outlineLevel="0" collapsed="false">
      <c r="A1598" s="22" t="n">
        <v>37</v>
      </c>
      <c r="B1598" s="23" t="n">
        <v>45726</v>
      </c>
      <c r="C1598" s="22" t="s">
        <v>187</v>
      </c>
      <c r="D1598" s="24" t="n">
        <v>33</v>
      </c>
    </row>
    <row r="1599" customFormat="false" ht="15" hidden="false" customHeight="false" outlineLevel="0" collapsed="false">
      <c r="A1599" s="22" t="n">
        <v>38</v>
      </c>
      <c r="B1599" s="23" t="n">
        <v>45733</v>
      </c>
      <c r="C1599" s="22" t="s">
        <v>187</v>
      </c>
      <c r="D1599" s="24" t="n">
        <v>38</v>
      </c>
    </row>
    <row r="1600" customFormat="false" ht="15" hidden="false" customHeight="false" outlineLevel="0" collapsed="false">
      <c r="A1600" s="22" t="n">
        <v>39</v>
      </c>
      <c r="B1600" s="23" t="n">
        <v>45740</v>
      </c>
      <c r="C1600" s="22" t="s">
        <v>187</v>
      </c>
      <c r="D1600" s="24" t="n">
        <v>32</v>
      </c>
    </row>
    <row r="1601" customFormat="false" ht="15" hidden="false" customHeight="false" outlineLevel="0" collapsed="false">
      <c r="A1601" s="22" t="n">
        <v>40</v>
      </c>
      <c r="B1601" s="23" t="n">
        <v>45747</v>
      </c>
      <c r="C1601" s="22" t="s">
        <v>187</v>
      </c>
      <c r="D1601" s="24" t="n">
        <v>39</v>
      </c>
    </row>
    <row r="1602" customFormat="false" ht="15" hidden="false" customHeight="false" outlineLevel="0" collapsed="false">
      <c r="A1602" s="22" t="n">
        <v>41</v>
      </c>
      <c r="B1602" s="23" t="n">
        <v>45754</v>
      </c>
      <c r="C1602" s="22" t="s">
        <v>187</v>
      </c>
      <c r="D1602" s="24" t="n">
        <v>34</v>
      </c>
    </row>
    <row r="1603" customFormat="false" ht="15" hidden="false" customHeight="false" outlineLevel="0" collapsed="false">
      <c r="A1603" s="22" t="n">
        <v>42</v>
      </c>
      <c r="B1603" s="23" t="n">
        <v>45761</v>
      </c>
      <c r="C1603" s="22" t="s">
        <v>187</v>
      </c>
      <c r="D1603" s="24" t="n">
        <v>32</v>
      </c>
    </row>
    <row r="1604" customFormat="false" ht="15" hidden="false" customHeight="false" outlineLevel="0" collapsed="false">
      <c r="A1604" s="22" t="n">
        <v>43</v>
      </c>
      <c r="B1604" s="23" t="n">
        <v>45768</v>
      </c>
      <c r="C1604" s="22" t="s">
        <v>187</v>
      </c>
      <c r="D1604" s="24" t="n">
        <v>34</v>
      </c>
    </row>
    <row r="1605" customFormat="false" ht="15" hidden="false" customHeight="false" outlineLevel="0" collapsed="false">
      <c r="A1605" s="22" t="n">
        <v>44</v>
      </c>
      <c r="B1605" s="23" t="n">
        <v>45775</v>
      </c>
      <c r="C1605" s="22" t="s">
        <v>187</v>
      </c>
      <c r="D1605" s="24" t="n">
        <v>32</v>
      </c>
    </row>
    <row r="1606" customFormat="false" ht="15" hidden="false" customHeight="false" outlineLevel="0" collapsed="false">
      <c r="A1606" s="22" t="n">
        <v>45</v>
      </c>
      <c r="B1606" s="23" t="n">
        <v>45782</v>
      </c>
      <c r="C1606" s="22" t="s">
        <v>187</v>
      </c>
      <c r="D1606" s="24" t="n">
        <v>36</v>
      </c>
    </row>
    <row r="1607" customFormat="false" ht="15" hidden="false" customHeight="false" outlineLevel="0" collapsed="false">
      <c r="A1607" s="22" t="n">
        <v>46</v>
      </c>
      <c r="B1607" s="23" t="n">
        <v>45789</v>
      </c>
      <c r="C1607" s="22" t="s">
        <v>187</v>
      </c>
      <c r="D1607" s="24" t="n">
        <v>36</v>
      </c>
    </row>
    <row r="1608" customFormat="false" ht="15" hidden="false" customHeight="false" outlineLevel="0" collapsed="false">
      <c r="A1608" s="22" t="n">
        <v>47</v>
      </c>
      <c r="B1608" s="23" t="n">
        <v>45796</v>
      </c>
      <c r="C1608" s="22" t="s">
        <v>187</v>
      </c>
      <c r="D1608" s="24" t="n">
        <v>35</v>
      </c>
    </row>
    <row r="1609" customFormat="false" ht="15" hidden="false" customHeight="false" outlineLevel="0" collapsed="false">
      <c r="A1609" s="22" t="n">
        <v>48</v>
      </c>
      <c r="B1609" s="23" t="n">
        <v>45803</v>
      </c>
      <c r="C1609" s="22" t="s">
        <v>187</v>
      </c>
      <c r="D1609" s="24" t="n">
        <v>33</v>
      </c>
    </row>
    <row r="1610" customFormat="false" ht="15" hidden="false" customHeight="false" outlineLevel="0" collapsed="false">
      <c r="A1610" s="22" t="n">
        <v>49</v>
      </c>
      <c r="B1610" s="23" t="n">
        <v>45810</v>
      </c>
      <c r="C1610" s="22" t="s">
        <v>187</v>
      </c>
      <c r="D1610" s="24" t="n">
        <v>22</v>
      </c>
    </row>
    <row r="1611" customFormat="false" ht="15" hidden="false" customHeight="false" outlineLevel="0" collapsed="false">
      <c r="A1611" s="22" t="n">
        <v>50</v>
      </c>
      <c r="B1611" s="23" t="n">
        <v>45817</v>
      </c>
      <c r="C1611" s="22" t="s">
        <v>187</v>
      </c>
      <c r="D1611" s="24" t="n">
        <v>35</v>
      </c>
    </row>
    <row r="1612" customFormat="false" ht="15" hidden="false" customHeight="false" outlineLevel="0" collapsed="false">
      <c r="A1612" s="22" t="n">
        <v>51</v>
      </c>
      <c r="B1612" s="23" t="n">
        <v>45824</v>
      </c>
      <c r="C1612" s="22" t="s">
        <v>187</v>
      </c>
      <c r="D1612" s="24" t="n">
        <v>28</v>
      </c>
    </row>
    <row r="1613" customFormat="false" ht="15" hidden="false" customHeight="false" outlineLevel="0" collapsed="false">
      <c r="A1613" s="22" t="n">
        <v>52</v>
      </c>
      <c r="B1613" s="23" t="n">
        <v>45831</v>
      </c>
      <c r="C1613" s="22" t="s">
        <v>187</v>
      </c>
      <c r="D1613" s="24" t="n">
        <v>36</v>
      </c>
    </row>
    <row r="1614" customFormat="false" ht="15" hidden="false" customHeight="false" outlineLevel="0" collapsed="false">
      <c r="A1614" s="22" t="n">
        <v>53</v>
      </c>
      <c r="B1614" s="23" t="n">
        <v>45838</v>
      </c>
      <c r="C1614" s="22" t="s">
        <v>187</v>
      </c>
      <c r="D1614" s="24" t="n">
        <v>39</v>
      </c>
    </row>
    <row r="1615" customFormat="false" ht="15" hidden="false" customHeight="false" outlineLevel="0" collapsed="false">
      <c r="A1615" s="22" t="n">
        <v>54</v>
      </c>
      <c r="B1615" s="23" t="n">
        <v>45845</v>
      </c>
      <c r="C1615" s="22" t="s">
        <v>187</v>
      </c>
      <c r="D1615" s="24" t="n">
        <v>36</v>
      </c>
    </row>
    <row r="1616" customFormat="false" ht="15" hidden="false" customHeight="false" outlineLevel="0" collapsed="false">
      <c r="A1616" s="22" t="n">
        <v>55</v>
      </c>
      <c r="B1616" s="23" t="n">
        <v>45852</v>
      </c>
      <c r="C1616" s="22" t="s">
        <v>187</v>
      </c>
      <c r="D1616" s="24" t="n">
        <v>34</v>
      </c>
    </row>
    <row r="1617" customFormat="false" ht="15" hidden="false" customHeight="false" outlineLevel="0" collapsed="false">
      <c r="A1617" s="22" t="n">
        <v>56</v>
      </c>
      <c r="B1617" s="23" t="n">
        <v>45859</v>
      </c>
      <c r="C1617" s="22" t="s">
        <v>187</v>
      </c>
      <c r="D1617" s="24" t="n">
        <v>34</v>
      </c>
    </row>
    <row r="1618" customFormat="false" ht="15" hidden="false" customHeight="false" outlineLevel="0" collapsed="false">
      <c r="A1618" s="22" t="n">
        <v>57</v>
      </c>
      <c r="B1618" s="23" t="n">
        <v>45866</v>
      </c>
      <c r="C1618" s="22" t="s">
        <v>187</v>
      </c>
      <c r="D1618" s="24" t="n">
        <v>35</v>
      </c>
    </row>
    <row r="1619" customFormat="false" ht="15" hidden="false" customHeight="false" outlineLevel="0" collapsed="false">
      <c r="A1619" s="22" t="n">
        <v>58</v>
      </c>
      <c r="B1619" s="23" t="n">
        <v>45873</v>
      </c>
      <c r="C1619" s="22" t="s">
        <v>187</v>
      </c>
      <c r="D1619" s="24" t="n">
        <v>33</v>
      </c>
    </row>
    <row r="1620" customFormat="false" ht="15" hidden="false" customHeight="false" outlineLevel="0" collapsed="false">
      <c r="A1620" s="22" t="n">
        <v>59</v>
      </c>
      <c r="B1620" s="23" t="n">
        <v>45880</v>
      </c>
      <c r="C1620" s="22" t="s">
        <v>187</v>
      </c>
      <c r="D1620" s="24" t="n">
        <v>33</v>
      </c>
    </row>
    <row r="1621" customFormat="false" ht="15" hidden="false" customHeight="false" outlineLevel="0" collapsed="false">
      <c r="A1621" s="22" t="n">
        <v>60</v>
      </c>
      <c r="B1621" s="23" t="n">
        <v>45887</v>
      </c>
      <c r="C1621" s="22" t="s">
        <v>187</v>
      </c>
      <c r="D1621" s="24" t="n">
        <v>32</v>
      </c>
    </row>
    <row r="1622" customFormat="false" ht="15" hidden="false" customHeight="false" outlineLevel="0" collapsed="false">
      <c r="A1622" s="22" t="n">
        <v>61</v>
      </c>
      <c r="B1622" s="23" t="n">
        <v>45894</v>
      </c>
      <c r="C1622" s="22" t="s">
        <v>187</v>
      </c>
      <c r="D1622" s="24" t="n">
        <v>39</v>
      </c>
    </row>
    <row r="1623" customFormat="false" ht="15" hidden="false" customHeight="false" outlineLevel="0" collapsed="false">
      <c r="A1623" s="22" t="n">
        <v>62</v>
      </c>
      <c r="B1623" s="23" t="n">
        <v>45901</v>
      </c>
      <c r="C1623" s="22" t="s">
        <v>187</v>
      </c>
      <c r="D1623" s="24" t="n">
        <v>35</v>
      </c>
    </row>
    <row r="1624" customFormat="false" ht="15" hidden="false" customHeight="false" outlineLevel="0" collapsed="false">
      <c r="A1624" s="22" t="n">
        <v>63</v>
      </c>
      <c r="B1624" s="23" t="n">
        <v>45908</v>
      </c>
      <c r="C1624" s="22" t="s">
        <v>187</v>
      </c>
      <c r="D1624" s="24" t="n">
        <v>39</v>
      </c>
    </row>
    <row r="1625" customFormat="false" ht="15" hidden="false" customHeight="false" outlineLevel="0" collapsed="false">
      <c r="A1625" s="22" t="n">
        <v>64</v>
      </c>
      <c r="B1625" s="23" t="n">
        <v>45915</v>
      </c>
      <c r="C1625" s="22" t="s">
        <v>187</v>
      </c>
      <c r="D1625" s="24" t="n">
        <v>34</v>
      </c>
    </row>
    <row r="1626" customFormat="false" ht="15" hidden="false" customHeight="false" outlineLevel="0" collapsed="false">
      <c r="A1626" s="22" t="n">
        <v>65</v>
      </c>
      <c r="B1626" s="23" t="n">
        <v>45922</v>
      </c>
      <c r="C1626" s="22" t="s">
        <v>187</v>
      </c>
      <c r="D1626" s="24" t="n">
        <v>35</v>
      </c>
    </row>
    <row r="1627" customFormat="false" ht="15" hidden="false" customHeight="false" outlineLevel="0" collapsed="false">
      <c r="A1627" s="22" t="n">
        <v>66</v>
      </c>
      <c r="B1627" s="23" t="n">
        <v>45929</v>
      </c>
      <c r="C1627" s="22" t="s">
        <v>187</v>
      </c>
      <c r="D1627" s="24" t="n">
        <v>34</v>
      </c>
    </row>
    <row r="1628" customFormat="false" ht="15" hidden="false" customHeight="false" outlineLevel="0" collapsed="false">
      <c r="A1628" s="22" t="n">
        <v>67</v>
      </c>
      <c r="B1628" s="23" t="n">
        <v>45936</v>
      </c>
      <c r="C1628" s="22" t="s">
        <v>187</v>
      </c>
      <c r="D1628" s="24" t="n">
        <v>37</v>
      </c>
    </row>
    <row r="1629" customFormat="false" ht="15" hidden="false" customHeight="false" outlineLevel="0" collapsed="false">
      <c r="A1629" s="22" t="n">
        <v>68</v>
      </c>
      <c r="B1629" s="23" t="n">
        <v>45943</v>
      </c>
      <c r="C1629" s="22" t="s">
        <v>187</v>
      </c>
      <c r="D1629" s="24" t="n">
        <v>38</v>
      </c>
    </row>
    <row r="1630" customFormat="false" ht="15" hidden="false" customHeight="false" outlineLevel="0" collapsed="false">
      <c r="A1630" s="22" t="n">
        <v>69</v>
      </c>
      <c r="B1630" s="23" t="n">
        <v>45950</v>
      </c>
      <c r="C1630" s="22" t="s">
        <v>187</v>
      </c>
      <c r="D1630" s="24" t="n">
        <v>36</v>
      </c>
    </row>
    <row r="1631" customFormat="false" ht="15" hidden="false" customHeight="false" outlineLevel="0" collapsed="false">
      <c r="A1631" s="22" t="n">
        <v>70</v>
      </c>
      <c r="B1631" s="23" t="n">
        <v>45957</v>
      </c>
      <c r="C1631" s="22" t="s">
        <v>187</v>
      </c>
      <c r="D1631" s="24" t="n">
        <v>33</v>
      </c>
    </row>
    <row r="1632" customFormat="false" ht="15" hidden="false" customHeight="false" outlineLevel="0" collapsed="false">
      <c r="A1632" s="22" t="n">
        <v>71</v>
      </c>
      <c r="B1632" s="23" t="n">
        <v>45964</v>
      </c>
      <c r="C1632" s="22" t="s">
        <v>187</v>
      </c>
      <c r="D1632" s="24" t="n">
        <v>32</v>
      </c>
    </row>
    <row r="1633" customFormat="false" ht="15" hidden="false" customHeight="false" outlineLevel="0" collapsed="false">
      <c r="A1633" s="22" t="n">
        <v>72</v>
      </c>
      <c r="B1633" s="23" t="n">
        <v>45971</v>
      </c>
      <c r="C1633" s="22" t="s">
        <v>187</v>
      </c>
      <c r="D1633" s="24" t="n">
        <v>41</v>
      </c>
    </row>
    <row r="1634" customFormat="false" ht="15" hidden="false" customHeight="false" outlineLevel="0" collapsed="false">
      <c r="A1634" s="22" t="n">
        <v>73</v>
      </c>
      <c r="B1634" s="23" t="n">
        <v>45978</v>
      </c>
      <c r="C1634" s="22" t="s">
        <v>187</v>
      </c>
      <c r="D1634" s="24" t="n">
        <v>34</v>
      </c>
    </row>
    <row r="1635" customFormat="false" ht="15" hidden="false" customHeight="false" outlineLevel="0" collapsed="false">
      <c r="A1635" s="22" t="n">
        <v>74</v>
      </c>
      <c r="B1635" s="23" t="n">
        <v>45985</v>
      </c>
      <c r="C1635" s="22" t="s">
        <v>187</v>
      </c>
      <c r="D1635" s="24" t="n">
        <v>34</v>
      </c>
    </row>
    <row r="1636" customFormat="false" ht="15" hidden="false" customHeight="false" outlineLevel="0" collapsed="false">
      <c r="A1636" s="22" t="n">
        <v>75</v>
      </c>
      <c r="B1636" s="23" t="n">
        <v>45992</v>
      </c>
      <c r="C1636" s="22" t="s">
        <v>187</v>
      </c>
      <c r="D1636" s="24" t="n">
        <v>40</v>
      </c>
    </row>
    <row r="1637" customFormat="false" ht="15" hidden="false" customHeight="false" outlineLevel="0" collapsed="false">
      <c r="A1637" s="22" t="n">
        <v>76</v>
      </c>
      <c r="B1637" s="23" t="n">
        <v>45999</v>
      </c>
      <c r="C1637" s="22" t="s">
        <v>187</v>
      </c>
      <c r="D1637" s="24" t="n">
        <v>39</v>
      </c>
    </row>
    <row r="1638" customFormat="false" ht="15" hidden="false" customHeight="false" outlineLevel="0" collapsed="false">
      <c r="A1638" s="22" t="n">
        <v>77</v>
      </c>
      <c r="B1638" s="23" t="n">
        <v>46006</v>
      </c>
      <c r="C1638" s="22" t="s">
        <v>187</v>
      </c>
      <c r="D1638" s="24" t="n">
        <v>37</v>
      </c>
    </row>
    <row r="1639" customFormat="false" ht="15" hidden="false" customHeight="false" outlineLevel="0" collapsed="false">
      <c r="A1639" s="22" t="n">
        <v>78</v>
      </c>
      <c r="B1639" s="23" t="n">
        <v>46013</v>
      </c>
      <c r="C1639" s="22" t="s">
        <v>187</v>
      </c>
      <c r="D1639" s="24" t="n">
        <v>34</v>
      </c>
    </row>
    <row r="1640" customFormat="false" ht="15" hidden="false" customHeight="false" outlineLevel="0" collapsed="false">
      <c r="A1640" s="22" t="n">
        <v>79</v>
      </c>
      <c r="B1640" s="23" t="n">
        <v>46020</v>
      </c>
      <c r="C1640" s="22" t="s">
        <v>187</v>
      </c>
      <c r="D1640" s="24" t="n">
        <v>44</v>
      </c>
    </row>
    <row r="1641" customFormat="false" ht="15" hidden="false" customHeight="false" outlineLevel="0" collapsed="false">
      <c r="A1641" s="22" t="n">
        <v>80</v>
      </c>
      <c r="B1641" s="23" t="n">
        <v>46027</v>
      </c>
      <c r="C1641" s="22" t="s">
        <v>187</v>
      </c>
      <c r="D1641" s="24" t="n">
        <v>36</v>
      </c>
    </row>
    <row r="1642" customFormat="false" ht="15" hidden="false" customHeight="false" outlineLevel="0" collapsed="false">
      <c r="A1642" s="22" t="n">
        <v>81</v>
      </c>
      <c r="B1642" s="23" t="n">
        <v>46034</v>
      </c>
      <c r="C1642" s="22" t="s">
        <v>187</v>
      </c>
      <c r="D1642" s="24" t="n">
        <v>37</v>
      </c>
    </row>
    <row r="1643" customFormat="false" ht="15" hidden="false" customHeight="false" outlineLevel="0" collapsed="false">
      <c r="A1643" s="22" t="n">
        <v>82</v>
      </c>
      <c r="B1643" s="23" t="n">
        <v>46041</v>
      </c>
      <c r="C1643" s="22" t="s">
        <v>187</v>
      </c>
      <c r="D1643" s="24" t="n">
        <v>34</v>
      </c>
    </row>
    <row r="1644" customFormat="false" ht="15" hidden="false" customHeight="false" outlineLevel="0" collapsed="false">
      <c r="A1644" s="22" t="n">
        <v>83</v>
      </c>
      <c r="B1644" s="23" t="n">
        <v>46048</v>
      </c>
      <c r="C1644" s="22" t="s">
        <v>187</v>
      </c>
      <c r="D1644" s="24" t="n">
        <v>30</v>
      </c>
    </row>
    <row r="1645" customFormat="false" ht="15" hidden="false" customHeight="false" outlineLevel="0" collapsed="false">
      <c r="A1645" s="22" t="n">
        <v>84</v>
      </c>
      <c r="B1645" s="23" t="n">
        <v>46055</v>
      </c>
      <c r="C1645" s="22" t="s">
        <v>187</v>
      </c>
      <c r="D1645" s="24" t="n">
        <v>30</v>
      </c>
    </row>
    <row r="1646" customFormat="false" ht="15" hidden="false" customHeight="false" outlineLevel="0" collapsed="false">
      <c r="A1646" s="22" t="n">
        <v>85</v>
      </c>
      <c r="B1646" s="23" t="n">
        <v>46062</v>
      </c>
      <c r="C1646" s="22" t="s">
        <v>187</v>
      </c>
      <c r="D1646" s="24" t="n">
        <v>36</v>
      </c>
    </row>
    <row r="1647" customFormat="false" ht="15" hidden="false" customHeight="false" outlineLevel="0" collapsed="false">
      <c r="A1647" s="22" t="n">
        <v>86</v>
      </c>
      <c r="B1647" s="23" t="n">
        <v>46069</v>
      </c>
      <c r="C1647" s="22" t="s">
        <v>187</v>
      </c>
      <c r="D1647" s="24" t="n">
        <v>36</v>
      </c>
    </row>
    <row r="1648" customFormat="false" ht="15" hidden="false" customHeight="false" outlineLevel="0" collapsed="false">
      <c r="A1648" s="22" t="n">
        <v>87</v>
      </c>
      <c r="B1648" s="23" t="n">
        <v>46076</v>
      </c>
      <c r="C1648" s="22" t="s">
        <v>187</v>
      </c>
      <c r="D1648" s="24" t="n">
        <v>34</v>
      </c>
    </row>
    <row r="1649" customFormat="false" ht="15" hidden="false" customHeight="false" outlineLevel="0" collapsed="false">
      <c r="A1649" s="22" t="n">
        <v>88</v>
      </c>
      <c r="B1649" s="23" t="n">
        <v>46083</v>
      </c>
      <c r="C1649" s="22" t="s">
        <v>187</v>
      </c>
      <c r="D1649" s="24" t="n">
        <v>31</v>
      </c>
    </row>
    <row r="1650" customFormat="false" ht="15" hidden="false" customHeight="false" outlineLevel="0" collapsed="false">
      <c r="A1650" s="22" t="n">
        <v>89</v>
      </c>
      <c r="B1650" s="23" t="n">
        <v>46090</v>
      </c>
      <c r="C1650" s="22" t="s">
        <v>187</v>
      </c>
      <c r="D1650" s="24" t="n">
        <v>30</v>
      </c>
    </row>
    <row r="1651" customFormat="false" ht="15" hidden="false" customHeight="false" outlineLevel="0" collapsed="false">
      <c r="A1651" s="22" t="n">
        <v>90</v>
      </c>
      <c r="B1651" s="23" t="n">
        <v>46097</v>
      </c>
      <c r="C1651" s="22" t="s">
        <v>187</v>
      </c>
      <c r="D1651" s="24" t="n">
        <v>34</v>
      </c>
    </row>
    <row r="1652" customFormat="false" ht="15" hidden="false" customHeight="false" outlineLevel="0" collapsed="false">
      <c r="A1652" s="22" t="n">
        <v>91</v>
      </c>
      <c r="B1652" s="23" t="n">
        <v>46104</v>
      </c>
      <c r="C1652" s="22" t="s">
        <v>187</v>
      </c>
      <c r="D1652" s="24" t="n">
        <v>30</v>
      </c>
    </row>
    <row r="1653" customFormat="false" ht="15" hidden="false" customHeight="false" outlineLevel="0" collapsed="false">
      <c r="A1653" s="22" t="n">
        <v>92</v>
      </c>
      <c r="B1653" s="23" t="n">
        <v>46111</v>
      </c>
      <c r="C1653" s="22" t="s">
        <v>187</v>
      </c>
      <c r="D1653" s="24" t="n">
        <v>38</v>
      </c>
    </row>
    <row r="1654" customFormat="false" ht="15" hidden="false" customHeight="false" outlineLevel="0" collapsed="false">
      <c r="A1654" s="22" t="n">
        <v>93</v>
      </c>
      <c r="B1654" s="23" t="n">
        <v>46118</v>
      </c>
      <c r="C1654" s="22" t="s">
        <v>187</v>
      </c>
      <c r="D1654" s="24" t="n">
        <v>39</v>
      </c>
    </row>
    <row r="1655" customFormat="false" ht="15" hidden="false" customHeight="false" outlineLevel="0" collapsed="false">
      <c r="A1655" s="22" t="n">
        <v>94</v>
      </c>
      <c r="B1655" s="23" t="n">
        <v>46125</v>
      </c>
      <c r="C1655" s="22" t="s">
        <v>187</v>
      </c>
      <c r="D1655" s="24" t="n">
        <v>45</v>
      </c>
    </row>
    <row r="1656" customFormat="false" ht="15" hidden="false" customHeight="false" outlineLevel="0" collapsed="false">
      <c r="A1656" s="22" t="n">
        <v>95</v>
      </c>
      <c r="B1656" s="23" t="n">
        <v>46132</v>
      </c>
      <c r="C1656" s="22" t="s">
        <v>187</v>
      </c>
      <c r="D1656" s="24" t="n">
        <v>38</v>
      </c>
    </row>
    <row r="1657" customFormat="false" ht="15" hidden="false" customHeight="false" outlineLevel="0" collapsed="false">
      <c r="A1657" s="22" t="n">
        <v>96</v>
      </c>
      <c r="B1657" s="23" t="n">
        <v>46139</v>
      </c>
      <c r="C1657" s="22" t="s">
        <v>187</v>
      </c>
      <c r="D1657" s="24" t="n">
        <v>33</v>
      </c>
    </row>
    <row r="1658" customFormat="false" ht="15" hidden="false" customHeight="false" outlineLevel="0" collapsed="false">
      <c r="A1658" s="22" t="n">
        <v>97</v>
      </c>
      <c r="B1658" s="23" t="n">
        <v>46146</v>
      </c>
      <c r="C1658" s="22" t="s">
        <v>187</v>
      </c>
      <c r="D1658" s="24" t="n">
        <v>32</v>
      </c>
    </row>
    <row r="1659" customFormat="false" ht="15" hidden="false" customHeight="false" outlineLevel="0" collapsed="false">
      <c r="A1659" s="22" t="n">
        <v>98</v>
      </c>
      <c r="B1659" s="23" t="n">
        <v>46153</v>
      </c>
      <c r="C1659" s="22" t="s">
        <v>187</v>
      </c>
      <c r="D1659" s="24" t="n">
        <v>22</v>
      </c>
    </row>
    <row r="1660" customFormat="false" ht="15" hidden="false" customHeight="false" outlineLevel="0" collapsed="false">
      <c r="A1660" s="22" t="n">
        <v>99</v>
      </c>
      <c r="B1660" s="23" t="n">
        <v>46160</v>
      </c>
      <c r="C1660" s="22" t="s">
        <v>187</v>
      </c>
      <c r="D1660" s="24" t="n">
        <v>33</v>
      </c>
    </row>
    <row r="1661" customFormat="false" ht="15" hidden="false" customHeight="false" outlineLevel="0" collapsed="false">
      <c r="A1661" s="22" t="n">
        <v>100</v>
      </c>
      <c r="B1661" s="23" t="n">
        <v>46167</v>
      </c>
      <c r="C1661" s="22" t="s">
        <v>187</v>
      </c>
      <c r="D1661" s="24" t="n">
        <v>34</v>
      </c>
    </row>
    <row r="1662" customFormat="false" ht="15" hidden="false" customHeight="false" outlineLevel="0" collapsed="false">
      <c r="A1662" s="22" t="n">
        <v>101</v>
      </c>
      <c r="B1662" s="23" t="n">
        <v>46174</v>
      </c>
      <c r="C1662" s="22" t="s">
        <v>187</v>
      </c>
      <c r="D1662" s="24" t="n">
        <v>39</v>
      </c>
    </row>
    <row r="1663" customFormat="false" ht="15" hidden="false" customHeight="false" outlineLevel="0" collapsed="false">
      <c r="A1663" s="22" t="n">
        <v>102</v>
      </c>
      <c r="B1663" s="23" t="n">
        <v>46181</v>
      </c>
      <c r="C1663" s="22" t="s">
        <v>187</v>
      </c>
      <c r="D1663" s="24" t="n">
        <v>37</v>
      </c>
    </row>
    <row r="1664" customFormat="false" ht="15" hidden="false" customHeight="false" outlineLevel="0" collapsed="false">
      <c r="A1664" s="22" t="n">
        <v>103</v>
      </c>
      <c r="B1664" s="23" t="n">
        <v>46188</v>
      </c>
      <c r="C1664" s="22" t="s">
        <v>187</v>
      </c>
      <c r="D1664" s="24" t="n">
        <v>37</v>
      </c>
    </row>
    <row r="1665" customFormat="false" ht="15" hidden="false" customHeight="false" outlineLevel="0" collapsed="false">
      <c r="A1665" s="22" t="n">
        <v>104</v>
      </c>
      <c r="B1665" s="23" t="n">
        <v>46195</v>
      </c>
      <c r="C1665" s="22" t="s">
        <v>187</v>
      </c>
      <c r="D1665" s="24" t="n">
        <v>36</v>
      </c>
    </row>
    <row r="1666" customFormat="false" ht="15" hidden="false" customHeight="false" outlineLevel="0" collapsed="false">
      <c r="A1666" s="22" t="n">
        <v>1</v>
      </c>
      <c r="B1666" s="23" t="n">
        <v>45474</v>
      </c>
      <c r="C1666" s="22" t="s">
        <v>189</v>
      </c>
      <c r="D1666" s="24" t="n">
        <v>32</v>
      </c>
    </row>
    <row r="1667" customFormat="false" ht="15" hidden="false" customHeight="false" outlineLevel="0" collapsed="false">
      <c r="A1667" s="22" t="n">
        <v>2</v>
      </c>
      <c r="B1667" s="23" t="n">
        <v>45481</v>
      </c>
      <c r="C1667" s="22" t="s">
        <v>189</v>
      </c>
      <c r="D1667" s="24" t="n">
        <v>36</v>
      </c>
    </row>
    <row r="1668" customFormat="false" ht="15" hidden="false" customHeight="false" outlineLevel="0" collapsed="false">
      <c r="A1668" s="22" t="n">
        <v>3</v>
      </c>
      <c r="B1668" s="23" t="n">
        <v>45488</v>
      </c>
      <c r="C1668" s="22" t="s">
        <v>189</v>
      </c>
      <c r="D1668" s="24" t="n">
        <v>25</v>
      </c>
    </row>
    <row r="1669" customFormat="false" ht="15" hidden="false" customHeight="false" outlineLevel="0" collapsed="false">
      <c r="A1669" s="22" t="n">
        <v>4</v>
      </c>
      <c r="B1669" s="23" t="n">
        <v>45495</v>
      </c>
      <c r="C1669" s="22" t="s">
        <v>189</v>
      </c>
      <c r="D1669" s="24" t="n">
        <v>28</v>
      </c>
    </row>
    <row r="1670" customFormat="false" ht="15" hidden="false" customHeight="false" outlineLevel="0" collapsed="false">
      <c r="A1670" s="22" t="n">
        <v>5</v>
      </c>
      <c r="B1670" s="23" t="n">
        <v>45502</v>
      </c>
      <c r="C1670" s="22" t="s">
        <v>189</v>
      </c>
      <c r="D1670" s="24" t="n">
        <v>25</v>
      </c>
    </row>
    <row r="1671" customFormat="false" ht="15" hidden="false" customHeight="false" outlineLevel="0" collapsed="false">
      <c r="A1671" s="22" t="n">
        <v>6</v>
      </c>
      <c r="B1671" s="23" t="n">
        <v>45509</v>
      </c>
      <c r="C1671" s="22" t="s">
        <v>189</v>
      </c>
      <c r="D1671" s="24" t="n">
        <v>38</v>
      </c>
    </row>
    <row r="1672" customFormat="false" ht="15" hidden="false" customHeight="false" outlineLevel="0" collapsed="false">
      <c r="A1672" s="22" t="n">
        <v>7</v>
      </c>
      <c r="B1672" s="23" t="n">
        <v>45516</v>
      </c>
      <c r="C1672" s="22" t="s">
        <v>189</v>
      </c>
      <c r="D1672" s="24" t="n">
        <v>37</v>
      </c>
    </row>
    <row r="1673" customFormat="false" ht="15" hidden="false" customHeight="false" outlineLevel="0" collapsed="false">
      <c r="A1673" s="22" t="n">
        <v>8</v>
      </c>
      <c r="B1673" s="23" t="n">
        <v>45523</v>
      </c>
      <c r="C1673" s="22" t="s">
        <v>189</v>
      </c>
      <c r="D1673" s="24" t="n">
        <v>35</v>
      </c>
    </row>
    <row r="1674" customFormat="false" ht="15" hidden="false" customHeight="false" outlineLevel="0" collapsed="false">
      <c r="A1674" s="22" t="n">
        <v>9</v>
      </c>
      <c r="B1674" s="23" t="n">
        <v>45530</v>
      </c>
      <c r="C1674" s="22" t="s">
        <v>189</v>
      </c>
      <c r="D1674" s="24" t="n">
        <v>27</v>
      </c>
    </row>
    <row r="1675" customFormat="false" ht="15" hidden="false" customHeight="false" outlineLevel="0" collapsed="false">
      <c r="A1675" s="22" t="n">
        <v>10</v>
      </c>
      <c r="B1675" s="23" t="n">
        <v>45537</v>
      </c>
      <c r="C1675" s="22" t="s">
        <v>189</v>
      </c>
      <c r="D1675" s="24" t="n">
        <v>33</v>
      </c>
    </row>
    <row r="1676" customFormat="false" ht="15" hidden="false" customHeight="false" outlineLevel="0" collapsed="false">
      <c r="A1676" s="22" t="n">
        <v>11</v>
      </c>
      <c r="B1676" s="23" t="n">
        <v>45544</v>
      </c>
      <c r="C1676" s="22" t="s">
        <v>189</v>
      </c>
      <c r="D1676" s="24" t="n">
        <v>31</v>
      </c>
    </row>
    <row r="1677" customFormat="false" ht="15" hidden="false" customHeight="false" outlineLevel="0" collapsed="false">
      <c r="A1677" s="22" t="n">
        <v>12</v>
      </c>
      <c r="B1677" s="23" t="n">
        <v>45551</v>
      </c>
      <c r="C1677" s="22" t="s">
        <v>189</v>
      </c>
      <c r="D1677" s="24" t="n">
        <v>33</v>
      </c>
    </row>
    <row r="1678" customFormat="false" ht="15" hidden="false" customHeight="false" outlineLevel="0" collapsed="false">
      <c r="A1678" s="22" t="n">
        <v>13</v>
      </c>
      <c r="B1678" s="23" t="n">
        <v>45558</v>
      </c>
      <c r="C1678" s="22" t="s">
        <v>189</v>
      </c>
      <c r="D1678" s="24" t="n">
        <v>32</v>
      </c>
    </row>
    <row r="1679" customFormat="false" ht="15" hidden="false" customHeight="false" outlineLevel="0" collapsed="false">
      <c r="A1679" s="22" t="n">
        <v>14</v>
      </c>
      <c r="B1679" s="23" t="n">
        <v>45565</v>
      </c>
      <c r="C1679" s="22" t="s">
        <v>189</v>
      </c>
      <c r="D1679" s="24" t="n">
        <v>36</v>
      </c>
    </row>
    <row r="1680" customFormat="false" ht="15" hidden="false" customHeight="false" outlineLevel="0" collapsed="false">
      <c r="A1680" s="22" t="n">
        <v>15</v>
      </c>
      <c r="B1680" s="23" t="n">
        <v>45572</v>
      </c>
      <c r="C1680" s="22" t="s">
        <v>189</v>
      </c>
      <c r="D1680" s="24" t="n">
        <v>32</v>
      </c>
    </row>
    <row r="1681" customFormat="false" ht="15" hidden="false" customHeight="false" outlineLevel="0" collapsed="false">
      <c r="A1681" s="22" t="n">
        <v>16</v>
      </c>
      <c r="B1681" s="23" t="n">
        <v>45579</v>
      </c>
      <c r="C1681" s="22" t="s">
        <v>189</v>
      </c>
      <c r="D1681" s="24" t="n">
        <v>38</v>
      </c>
    </row>
    <row r="1682" customFormat="false" ht="15" hidden="false" customHeight="false" outlineLevel="0" collapsed="false">
      <c r="A1682" s="22" t="n">
        <v>17</v>
      </c>
      <c r="B1682" s="23" t="n">
        <v>45586</v>
      </c>
      <c r="C1682" s="22" t="s">
        <v>189</v>
      </c>
      <c r="D1682" s="24" t="n">
        <v>36</v>
      </c>
    </row>
    <row r="1683" customFormat="false" ht="15" hidden="false" customHeight="false" outlineLevel="0" collapsed="false">
      <c r="A1683" s="22" t="n">
        <v>18</v>
      </c>
      <c r="B1683" s="23" t="n">
        <v>45593</v>
      </c>
      <c r="C1683" s="22" t="s">
        <v>189</v>
      </c>
      <c r="D1683" s="24" t="n">
        <v>33</v>
      </c>
    </row>
    <row r="1684" customFormat="false" ht="15" hidden="false" customHeight="false" outlineLevel="0" collapsed="false">
      <c r="A1684" s="22" t="n">
        <v>19</v>
      </c>
      <c r="B1684" s="23" t="n">
        <v>45600</v>
      </c>
      <c r="C1684" s="22" t="s">
        <v>189</v>
      </c>
      <c r="D1684" s="24" t="n">
        <v>35</v>
      </c>
    </row>
    <row r="1685" customFormat="false" ht="15" hidden="false" customHeight="false" outlineLevel="0" collapsed="false">
      <c r="A1685" s="22" t="n">
        <v>20</v>
      </c>
      <c r="B1685" s="23" t="n">
        <v>45607</v>
      </c>
      <c r="C1685" s="22" t="s">
        <v>189</v>
      </c>
      <c r="D1685" s="24" t="n">
        <v>33</v>
      </c>
    </row>
    <row r="1686" customFormat="false" ht="15" hidden="false" customHeight="false" outlineLevel="0" collapsed="false">
      <c r="A1686" s="22" t="n">
        <v>21</v>
      </c>
      <c r="B1686" s="23" t="n">
        <v>45614</v>
      </c>
      <c r="C1686" s="22" t="s">
        <v>189</v>
      </c>
      <c r="D1686" s="24" t="n">
        <v>40</v>
      </c>
    </row>
    <row r="1687" customFormat="false" ht="15" hidden="false" customHeight="false" outlineLevel="0" collapsed="false">
      <c r="A1687" s="22" t="n">
        <v>22</v>
      </c>
      <c r="B1687" s="23" t="n">
        <v>45621</v>
      </c>
      <c r="C1687" s="22" t="s">
        <v>189</v>
      </c>
      <c r="D1687" s="24" t="n">
        <v>35</v>
      </c>
    </row>
    <row r="1688" customFormat="false" ht="15" hidden="false" customHeight="false" outlineLevel="0" collapsed="false">
      <c r="A1688" s="22" t="n">
        <v>23</v>
      </c>
      <c r="B1688" s="23" t="n">
        <v>45628</v>
      </c>
      <c r="C1688" s="22" t="s">
        <v>189</v>
      </c>
      <c r="D1688" s="24" t="n">
        <v>38</v>
      </c>
    </row>
    <row r="1689" customFormat="false" ht="15" hidden="false" customHeight="false" outlineLevel="0" collapsed="false">
      <c r="A1689" s="22" t="n">
        <v>24</v>
      </c>
      <c r="B1689" s="23" t="n">
        <v>45635</v>
      </c>
      <c r="C1689" s="22" t="s">
        <v>189</v>
      </c>
      <c r="D1689" s="24" t="n">
        <v>35</v>
      </c>
    </row>
    <row r="1690" customFormat="false" ht="15" hidden="false" customHeight="false" outlineLevel="0" collapsed="false">
      <c r="A1690" s="22" t="n">
        <v>25</v>
      </c>
      <c r="B1690" s="23" t="n">
        <v>45642</v>
      </c>
      <c r="C1690" s="22" t="s">
        <v>189</v>
      </c>
      <c r="D1690" s="24" t="n">
        <v>29</v>
      </c>
    </row>
    <row r="1691" customFormat="false" ht="15" hidden="false" customHeight="false" outlineLevel="0" collapsed="false">
      <c r="A1691" s="22" t="n">
        <v>26</v>
      </c>
      <c r="B1691" s="23" t="n">
        <v>45649</v>
      </c>
      <c r="C1691" s="22" t="s">
        <v>189</v>
      </c>
      <c r="D1691" s="24" t="n">
        <v>42</v>
      </c>
    </row>
    <row r="1692" customFormat="false" ht="15" hidden="false" customHeight="false" outlineLevel="0" collapsed="false">
      <c r="A1692" s="22" t="n">
        <v>27</v>
      </c>
      <c r="B1692" s="23" t="n">
        <v>45656</v>
      </c>
      <c r="C1692" s="22" t="s">
        <v>189</v>
      </c>
      <c r="D1692" s="24" t="n">
        <v>32</v>
      </c>
    </row>
    <row r="1693" customFormat="false" ht="15" hidden="false" customHeight="false" outlineLevel="0" collapsed="false">
      <c r="A1693" s="22" t="n">
        <v>28</v>
      </c>
      <c r="B1693" s="23" t="n">
        <v>45663</v>
      </c>
      <c r="C1693" s="22" t="s">
        <v>189</v>
      </c>
      <c r="D1693" s="24" t="n">
        <v>42</v>
      </c>
    </row>
    <row r="1694" customFormat="false" ht="15" hidden="false" customHeight="false" outlineLevel="0" collapsed="false">
      <c r="A1694" s="22" t="n">
        <v>29</v>
      </c>
      <c r="B1694" s="23" t="n">
        <v>45670</v>
      </c>
      <c r="C1694" s="22" t="s">
        <v>189</v>
      </c>
      <c r="D1694" s="24" t="n">
        <v>41</v>
      </c>
    </row>
    <row r="1695" customFormat="false" ht="15" hidden="false" customHeight="false" outlineLevel="0" collapsed="false">
      <c r="A1695" s="22" t="n">
        <v>30</v>
      </c>
      <c r="B1695" s="23" t="n">
        <v>45677</v>
      </c>
      <c r="C1695" s="22" t="s">
        <v>189</v>
      </c>
      <c r="D1695" s="24" t="n">
        <v>30</v>
      </c>
    </row>
    <row r="1696" customFormat="false" ht="15" hidden="false" customHeight="false" outlineLevel="0" collapsed="false">
      <c r="A1696" s="22" t="n">
        <v>31</v>
      </c>
      <c r="B1696" s="23" t="n">
        <v>45684</v>
      </c>
      <c r="C1696" s="22" t="s">
        <v>189</v>
      </c>
      <c r="D1696" s="24" t="n">
        <v>34</v>
      </c>
    </row>
    <row r="1697" customFormat="false" ht="15" hidden="false" customHeight="false" outlineLevel="0" collapsed="false">
      <c r="A1697" s="22" t="n">
        <v>32</v>
      </c>
      <c r="B1697" s="23" t="n">
        <v>45691</v>
      </c>
      <c r="C1697" s="22" t="s">
        <v>189</v>
      </c>
      <c r="D1697" s="24" t="n">
        <v>37</v>
      </c>
    </row>
    <row r="1698" customFormat="false" ht="15" hidden="false" customHeight="false" outlineLevel="0" collapsed="false">
      <c r="A1698" s="22" t="n">
        <v>33</v>
      </c>
      <c r="B1698" s="23" t="n">
        <v>45698</v>
      </c>
      <c r="C1698" s="22" t="s">
        <v>189</v>
      </c>
      <c r="D1698" s="24" t="n">
        <v>35</v>
      </c>
    </row>
    <row r="1699" customFormat="false" ht="15" hidden="false" customHeight="false" outlineLevel="0" collapsed="false">
      <c r="A1699" s="22" t="n">
        <v>34</v>
      </c>
      <c r="B1699" s="23" t="n">
        <v>45705</v>
      </c>
      <c r="C1699" s="22" t="s">
        <v>189</v>
      </c>
      <c r="D1699" s="24" t="n">
        <v>33</v>
      </c>
    </row>
    <row r="1700" customFormat="false" ht="15" hidden="false" customHeight="false" outlineLevel="0" collapsed="false">
      <c r="A1700" s="22" t="n">
        <v>35</v>
      </c>
      <c r="B1700" s="23" t="n">
        <v>45712</v>
      </c>
      <c r="C1700" s="22" t="s">
        <v>189</v>
      </c>
      <c r="D1700" s="24" t="n">
        <v>45</v>
      </c>
    </row>
    <row r="1701" customFormat="false" ht="15" hidden="false" customHeight="false" outlineLevel="0" collapsed="false">
      <c r="A1701" s="22" t="n">
        <v>36</v>
      </c>
      <c r="B1701" s="23" t="n">
        <v>45719</v>
      </c>
      <c r="C1701" s="22" t="s">
        <v>189</v>
      </c>
      <c r="D1701" s="24" t="n">
        <v>39</v>
      </c>
    </row>
    <row r="1702" customFormat="false" ht="15" hidden="false" customHeight="false" outlineLevel="0" collapsed="false">
      <c r="A1702" s="22" t="n">
        <v>37</v>
      </c>
      <c r="B1702" s="23" t="n">
        <v>45726</v>
      </c>
      <c r="C1702" s="22" t="s">
        <v>189</v>
      </c>
      <c r="D1702" s="24" t="n">
        <v>43</v>
      </c>
    </row>
    <row r="1703" customFormat="false" ht="15" hidden="false" customHeight="false" outlineLevel="0" collapsed="false">
      <c r="A1703" s="22" t="n">
        <v>38</v>
      </c>
      <c r="B1703" s="23" t="n">
        <v>45733</v>
      </c>
      <c r="C1703" s="22" t="s">
        <v>189</v>
      </c>
      <c r="D1703" s="24" t="n">
        <v>39</v>
      </c>
    </row>
    <row r="1704" customFormat="false" ht="15" hidden="false" customHeight="false" outlineLevel="0" collapsed="false">
      <c r="A1704" s="22" t="n">
        <v>39</v>
      </c>
      <c r="B1704" s="23" t="n">
        <v>45740</v>
      </c>
      <c r="C1704" s="22" t="s">
        <v>189</v>
      </c>
      <c r="D1704" s="24" t="n">
        <v>43</v>
      </c>
    </row>
    <row r="1705" customFormat="false" ht="15" hidden="false" customHeight="false" outlineLevel="0" collapsed="false">
      <c r="A1705" s="22" t="n">
        <v>40</v>
      </c>
      <c r="B1705" s="23" t="n">
        <v>45747</v>
      </c>
      <c r="C1705" s="22" t="s">
        <v>189</v>
      </c>
      <c r="D1705" s="24" t="n">
        <v>38</v>
      </c>
    </row>
    <row r="1706" customFormat="false" ht="15" hidden="false" customHeight="false" outlineLevel="0" collapsed="false">
      <c r="A1706" s="22" t="n">
        <v>41</v>
      </c>
      <c r="B1706" s="23" t="n">
        <v>45754</v>
      </c>
      <c r="C1706" s="22" t="s">
        <v>189</v>
      </c>
      <c r="D1706" s="24" t="n">
        <v>42</v>
      </c>
    </row>
    <row r="1707" customFormat="false" ht="15" hidden="false" customHeight="false" outlineLevel="0" collapsed="false">
      <c r="A1707" s="22" t="n">
        <v>42</v>
      </c>
      <c r="B1707" s="23" t="n">
        <v>45761</v>
      </c>
      <c r="C1707" s="22" t="s">
        <v>189</v>
      </c>
      <c r="D1707" s="24" t="n">
        <v>46</v>
      </c>
    </row>
    <row r="1708" customFormat="false" ht="15" hidden="false" customHeight="false" outlineLevel="0" collapsed="false">
      <c r="A1708" s="22" t="n">
        <v>43</v>
      </c>
      <c r="B1708" s="23" t="n">
        <v>45768</v>
      </c>
      <c r="C1708" s="22" t="s">
        <v>189</v>
      </c>
      <c r="D1708" s="24" t="n">
        <v>43</v>
      </c>
    </row>
    <row r="1709" customFormat="false" ht="15" hidden="false" customHeight="false" outlineLevel="0" collapsed="false">
      <c r="A1709" s="22" t="n">
        <v>44</v>
      </c>
      <c r="B1709" s="23" t="n">
        <v>45775</v>
      </c>
      <c r="C1709" s="22" t="s">
        <v>189</v>
      </c>
      <c r="D1709" s="24" t="n">
        <v>41</v>
      </c>
    </row>
    <row r="1710" customFormat="false" ht="15" hidden="false" customHeight="false" outlineLevel="0" collapsed="false">
      <c r="A1710" s="22" t="n">
        <v>45</v>
      </c>
      <c r="B1710" s="23" t="n">
        <v>45782</v>
      </c>
      <c r="C1710" s="22" t="s">
        <v>189</v>
      </c>
      <c r="D1710" s="24" t="n">
        <v>37</v>
      </c>
    </row>
    <row r="1711" customFormat="false" ht="15" hidden="false" customHeight="false" outlineLevel="0" collapsed="false">
      <c r="A1711" s="22" t="n">
        <v>46</v>
      </c>
      <c r="B1711" s="23" t="n">
        <v>45789</v>
      </c>
      <c r="C1711" s="22" t="s">
        <v>189</v>
      </c>
      <c r="D1711" s="24" t="n">
        <v>45</v>
      </c>
    </row>
    <row r="1712" customFormat="false" ht="15" hidden="false" customHeight="false" outlineLevel="0" collapsed="false">
      <c r="A1712" s="22" t="n">
        <v>47</v>
      </c>
      <c r="B1712" s="23" t="n">
        <v>45796</v>
      </c>
      <c r="C1712" s="22" t="s">
        <v>189</v>
      </c>
      <c r="D1712" s="24" t="n">
        <v>46</v>
      </c>
    </row>
    <row r="1713" customFormat="false" ht="15" hidden="false" customHeight="false" outlineLevel="0" collapsed="false">
      <c r="A1713" s="22" t="n">
        <v>48</v>
      </c>
      <c r="B1713" s="23" t="n">
        <v>45803</v>
      </c>
      <c r="C1713" s="22" t="s">
        <v>189</v>
      </c>
      <c r="D1713" s="24" t="n">
        <v>43</v>
      </c>
    </row>
    <row r="1714" customFormat="false" ht="15" hidden="false" customHeight="false" outlineLevel="0" collapsed="false">
      <c r="A1714" s="22" t="n">
        <v>49</v>
      </c>
      <c r="B1714" s="23" t="n">
        <v>45810</v>
      </c>
      <c r="C1714" s="22" t="s">
        <v>189</v>
      </c>
      <c r="D1714" s="24" t="n">
        <v>40</v>
      </c>
    </row>
    <row r="1715" customFormat="false" ht="15" hidden="false" customHeight="false" outlineLevel="0" collapsed="false">
      <c r="A1715" s="22" t="n">
        <v>50</v>
      </c>
      <c r="B1715" s="23" t="n">
        <v>45817</v>
      </c>
      <c r="C1715" s="22" t="s">
        <v>189</v>
      </c>
      <c r="D1715" s="24" t="n">
        <v>49</v>
      </c>
    </row>
    <row r="1716" customFormat="false" ht="15" hidden="false" customHeight="false" outlineLevel="0" collapsed="false">
      <c r="A1716" s="22" t="n">
        <v>51</v>
      </c>
      <c r="B1716" s="23" t="n">
        <v>45824</v>
      </c>
      <c r="C1716" s="22" t="s">
        <v>189</v>
      </c>
      <c r="D1716" s="24" t="n">
        <v>61</v>
      </c>
    </row>
    <row r="1717" customFormat="false" ht="15" hidden="false" customHeight="false" outlineLevel="0" collapsed="false">
      <c r="A1717" s="22" t="n">
        <v>52</v>
      </c>
      <c r="B1717" s="23" t="n">
        <v>45831</v>
      </c>
      <c r="C1717" s="22" t="s">
        <v>189</v>
      </c>
      <c r="D1717" s="24" t="n">
        <v>44</v>
      </c>
    </row>
    <row r="1718" customFormat="false" ht="15" hidden="false" customHeight="false" outlineLevel="0" collapsed="false">
      <c r="A1718" s="22" t="n">
        <v>53</v>
      </c>
      <c r="B1718" s="23" t="n">
        <v>45838</v>
      </c>
      <c r="C1718" s="22" t="s">
        <v>189</v>
      </c>
      <c r="D1718" s="24" t="n">
        <v>48</v>
      </c>
    </row>
    <row r="1719" customFormat="false" ht="15" hidden="false" customHeight="false" outlineLevel="0" collapsed="false">
      <c r="A1719" s="22" t="n">
        <v>54</v>
      </c>
      <c r="B1719" s="23" t="n">
        <v>45845</v>
      </c>
      <c r="C1719" s="22" t="s">
        <v>189</v>
      </c>
      <c r="D1719" s="24" t="n">
        <v>49</v>
      </c>
    </row>
    <row r="1720" customFormat="false" ht="15" hidden="false" customHeight="false" outlineLevel="0" collapsed="false">
      <c r="A1720" s="22" t="n">
        <v>55</v>
      </c>
      <c r="B1720" s="23" t="n">
        <v>45852</v>
      </c>
      <c r="C1720" s="22" t="s">
        <v>189</v>
      </c>
      <c r="D1720" s="24" t="n">
        <v>30</v>
      </c>
    </row>
    <row r="1721" customFormat="false" ht="15" hidden="false" customHeight="false" outlineLevel="0" collapsed="false">
      <c r="A1721" s="22" t="n">
        <v>56</v>
      </c>
      <c r="B1721" s="23" t="n">
        <v>45859</v>
      </c>
      <c r="C1721" s="22" t="s">
        <v>189</v>
      </c>
      <c r="D1721" s="24" t="n">
        <v>48</v>
      </c>
    </row>
    <row r="1722" customFormat="false" ht="15" hidden="false" customHeight="false" outlineLevel="0" collapsed="false">
      <c r="A1722" s="22" t="n">
        <v>57</v>
      </c>
      <c r="B1722" s="23" t="n">
        <v>45866</v>
      </c>
      <c r="C1722" s="22" t="s">
        <v>189</v>
      </c>
      <c r="D1722" s="24" t="n">
        <v>43</v>
      </c>
    </row>
    <row r="1723" customFormat="false" ht="15" hidden="false" customHeight="false" outlineLevel="0" collapsed="false">
      <c r="A1723" s="22" t="n">
        <v>58</v>
      </c>
      <c r="B1723" s="23" t="n">
        <v>45873</v>
      </c>
      <c r="C1723" s="22" t="s">
        <v>189</v>
      </c>
      <c r="D1723" s="24" t="n">
        <v>57</v>
      </c>
    </row>
    <row r="1724" customFormat="false" ht="15" hidden="false" customHeight="false" outlineLevel="0" collapsed="false">
      <c r="A1724" s="22" t="n">
        <v>59</v>
      </c>
      <c r="B1724" s="23" t="n">
        <v>45880</v>
      </c>
      <c r="C1724" s="22" t="s">
        <v>189</v>
      </c>
      <c r="D1724" s="24" t="n">
        <v>47</v>
      </c>
    </row>
    <row r="1725" customFormat="false" ht="15" hidden="false" customHeight="false" outlineLevel="0" collapsed="false">
      <c r="A1725" s="22" t="n">
        <v>60</v>
      </c>
      <c r="B1725" s="23" t="n">
        <v>45887</v>
      </c>
      <c r="C1725" s="22" t="s">
        <v>189</v>
      </c>
      <c r="D1725" s="24" t="n">
        <v>43</v>
      </c>
    </row>
    <row r="1726" customFormat="false" ht="15" hidden="false" customHeight="false" outlineLevel="0" collapsed="false">
      <c r="A1726" s="22" t="n">
        <v>61</v>
      </c>
      <c r="B1726" s="23" t="n">
        <v>45894</v>
      </c>
      <c r="C1726" s="22" t="s">
        <v>189</v>
      </c>
      <c r="D1726" s="24" t="n">
        <v>47</v>
      </c>
    </row>
    <row r="1727" customFormat="false" ht="15" hidden="false" customHeight="false" outlineLevel="0" collapsed="false">
      <c r="A1727" s="22" t="n">
        <v>62</v>
      </c>
      <c r="B1727" s="23" t="n">
        <v>45901</v>
      </c>
      <c r="C1727" s="22" t="s">
        <v>189</v>
      </c>
      <c r="D1727" s="24" t="n">
        <v>50</v>
      </c>
    </row>
    <row r="1728" customFormat="false" ht="15" hidden="false" customHeight="false" outlineLevel="0" collapsed="false">
      <c r="A1728" s="22" t="n">
        <v>63</v>
      </c>
      <c r="B1728" s="23" t="n">
        <v>45908</v>
      </c>
      <c r="C1728" s="22" t="s">
        <v>189</v>
      </c>
      <c r="D1728" s="24" t="n">
        <v>46</v>
      </c>
    </row>
    <row r="1729" customFormat="false" ht="15" hidden="false" customHeight="false" outlineLevel="0" collapsed="false">
      <c r="A1729" s="22" t="n">
        <v>64</v>
      </c>
      <c r="B1729" s="23" t="n">
        <v>45915</v>
      </c>
      <c r="C1729" s="22" t="s">
        <v>189</v>
      </c>
      <c r="D1729" s="24" t="n">
        <v>50</v>
      </c>
    </row>
    <row r="1730" customFormat="false" ht="15" hidden="false" customHeight="false" outlineLevel="0" collapsed="false">
      <c r="A1730" s="22" t="n">
        <v>65</v>
      </c>
      <c r="B1730" s="23" t="n">
        <v>45922</v>
      </c>
      <c r="C1730" s="22" t="s">
        <v>189</v>
      </c>
      <c r="D1730" s="24" t="n">
        <v>41</v>
      </c>
    </row>
    <row r="1731" customFormat="false" ht="15" hidden="false" customHeight="false" outlineLevel="0" collapsed="false">
      <c r="A1731" s="22" t="n">
        <v>66</v>
      </c>
      <c r="B1731" s="23" t="n">
        <v>45929</v>
      </c>
      <c r="C1731" s="22" t="s">
        <v>189</v>
      </c>
      <c r="D1731" s="24" t="n">
        <v>49</v>
      </c>
    </row>
    <row r="1732" customFormat="false" ht="15" hidden="false" customHeight="false" outlineLevel="0" collapsed="false">
      <c r="A1732" s="22" t="n">
        <v>67</v>
      </c>
      <c r="B1732" s="23" t="n">
        <v>45936</v>
      </c>
      <c r="C1732" s="22" t="s">
        <v>189</v>
      </c>
      <c r="D1732" s="24" t="n">
        <v>56</v>
      </c>
    </row>
    <row r="1733" customFormat="false" ht="15" hidden="false" customHeight="false" outlineLevel="0" collapsed="false">
      <c r="A1733" s="22" t="n">
        <v>68</v>
      </c>
      <c r="B1733" s="23" t="n">
        <v>45943</v>
      </c>
      <c r="C1733" s="22" t="s">
        <v>189</v>
      </c>
      <c r="D1733" s="24" t="n">
        <v>65</v>
      </c>
    </row>
    <row r="1734" customFormat="false" ht="15" hidden="false" customHeight="false" outlineLevel="0" collapsed="false">
      <c r="A1734" s="22" t="n">
        <v>69</v>
      </c>
      <c r="B1734" s="23" t="n">
        <v>45950</v>
      </c>
      <c r="C1734" s="22" t="s">
        <v>189</v>
      </c>
      <c r="D1734" s="24" t="n">
        <v>57</v>
      </c>
    </row>
    <row r="1735" customFormat="false" ht="15" hidden="false" customHeight="false" outlineLevel="0" collapsed="false">
      <c r="A1735" s="22" t="n">
        <v>70</v>
      </c>
      <c r="B1735" s="23" t="n">
        <v>45957</v>
      </c>
      <c r="C1735" s="22" t="s">
        <v>189</v>
      </c>
      <c r="D1735" s="24" t="n">
        <v>54</v>
      </c>
    </row>
    <row r="1736" customFormat="false" ht="15" hidden="false" customHeight="false" outlineLevel="0" collapsed="false">
      <c r="A1736" s="22" t="n">
        <v>71</v>
      </c>
      <c r="B1736" s="23" t="n">
        <v>45964</v>
      </c>
      <c r="C1736" s="22" t="s">
        <v>189</v>
      </c>
      <c r="D1736" s="24" t="n">
        <v>61</v>
      </c>
    </row>
    <row r="1737" customFormat="false" ht="15" hidden="false" customHeight="false" outlineLevel="0" collapsed="false">
      <c r="A1737" s="22" t="n">
        <v>72</v>
      </c>
      <c r="B1737" s="23" t="n">
        <v>45971</v>
      </c>
      <c r="C1737" s="22" t="s">
        <v>189</v>
      </c>
      <c r="D1737" s="24" t="n">
        <v>60</v>
      </c>
    </row>
    <row r="1738" customFormat="false" ht="15" hidden="false" customHeight="false" outlineLevel="0" collapsed="false">
      <c r="A1738" s="22" t="n">
        <v>73</v>
      </c>
      <c r="B1738" s="23" t="n">
        <v>45978</v>
      </c>
      <c r="C1738" s="22" t="s">
        <v>189</v>
      </c>
      <c r="D1738" s="24" t="n">
        <v>65</v>
      </c>
    </row>
    <row r="1739" customFormat="false" ht="15" hidden="false" customHeight="false" outlineLevel="0" collapsed="false">
      <c r="A1739" s="22" t="n">
        <v>74</v>
      </c>
      <c r="B1739" s="23" t="n">
        <v>45985</v>
      </c>
      <c r="C1739" s="22" t="s">
        <v>189</v>
      </c>
      <c r="D1739" s="24" t="n">
        <v>61</v>
      </c>
    </row>
    <row r="1740" customFormat="false" ht="15" hidden="false" customHeight="false" outlineLevel="0" collapsed="false">
      <c r="A1740" s="22" t="n">
        <v>75</v>
      </c>
      <c r="B1740" s="23" t="n">
        <v>45992</v>
      </c>
      <c r="C1740" s="22" t="s">
        <v>189</v>
      </c>
      <c r="D1740" s="24" t="n">
        <v>53</v>
      </c>
    </row>
    <row r="1741" customFormat="false" ht="15" hidden="false" customHeight="false" outlineLevel="0" collapsed="false">
      <c r="A1741" s="22" t="n">
        <v>76</v>
      </c>
      <c r="B1741" s="23" t="n">
        <v>45999</v>
      </c>
      <c r="C1741" s="22" t="s">
        <v>189</v>
      </c>
      <c r="D1741" s="24" t="n">
        <v>56</v>
      </c>
    </row>
    <row r="1742" customFormat="false" ht="15" hidden="false" customHeight="false" outlineLevel="0" collapsed="false">
      <c r="A1742" s="22" t="n">
        <v>77</v>
      </c>
      <c r="B1742" s="23" t="n">
        <v>46006</v>
      </c>
      <c r="C1742" s="22" t="s">
        <v>189</v>
      </c>
      <c r="D1742" s="24" t="n">
        <v>56</v>
      </c>
    </row>
    <row r="1743" customFormat="false" ht="15" hidden="false" customHeight="false" outlineLevel="0" collapsed="false">
      <c r="A1743" s="22" t="n">
        <v>78</v>
      </c>
      <c r="B1743" s="23" t="n">
        <v>46013</v>
      </c>
      <c r="C1743" s="22" t="s">
        <v>189</v>
      </c>
      <c r="D1743" s="24" t="n">
        <v>57</v>
      </c>
    </row>
    <row r="1744" customFormat="false" ht="15" hidden="false" customHeight="false" outlineLevel="0" collapsed="false">
      <c r="A1744" s="22" t="n">
        <v>79</v>
      </c>
      <c r="B1744" s="23" t="n">
        <v>46020</v>
      </c>
      <c r="C1744" s="22" t="s">
        <v>189</v>
      </c>
      <c r="D1744" s="24" t="n">
        <v>56</v>
      </c>
    </row>
    <row r="1745" customFormat="false" ht="15" hidden="false" customHeight="false" outlineLevel="0" collapsed="false">
      <c r="A1745" s="22" t="n">
        <v>80</v>
      </c>
      <c r="B1745" s="23" t="n">
        <v>46027</v>
      </c>
      <c r="C1745" s="22" t="s">
        <v>189</v>
      </c>
      <c r="D1745" s="24" t="n">
        <v>49</v>
      </c>
    </row>
    <row r="1746" customFormat="false" ht="15" hidden="false" customHeight="false" outlineLevel="0" collapsed="false">
      <c r="A1746" s="22" t="n">
        <v>81</v>
      </c>
      <c r="B1746" s="23" t="n">
        <v>46034</v>
      </c>
      <c r="C1746" s="22" t="s">
        <v>189</v>
      </c>
      <c r="D1746" s="24" t="n">
        <v>39</v>
      </c>
    </row>
    <row r="1747" customFormat="false" ht="15" hidden="false" customHeight="false" outlineLevel="0" collapsed="false">
      <c r="A1747" s="22" t="n">
        <v>82</v>
      </c>
      <c r="B1747" s="23" t="n">
        <v>46041</v>
      </c>
      <c r="C1747" s="22" t="s">
        <v>189</v>
      </c>
      <c r="D1747" s="24" t="n">
        <v>51</v>
      </c>
    </row>
    <row r="1748" customFormat="false" ht="15" hidden="false" customHeight="false" outlineLevel="0" collapsed="false">
      <c r="A1748" s="22" t="n">
        <v>83</v>
      </c>
      <c r="B1748" s="23" t="n">
        <v>46048</v>
      </c>
      <c r="C1748" s="22" t="s">
        <v>189</v>
      </c>
      <c r="D1748" s="24" t="n">
        <v>40</v>
      </c>
    </row>
    <row r="1749" customFormat="false" ht="15" hidden="false" customHeight="false" outlineLevel="0" collapsed="false">
      <c r="A1749" s="22" t="n">
        <v>84</v>
      </c>
      <c r="B1749" s="23" t="n">
        <v>46055</v>
      </c>
      <c r="C1749" s="22" t="s">
        <v>189</v>
      </c>
      <c r="D1749" s="24" t="n">
        <v>57</v>
      </c>
    </row>
    <row r="1750" customFormat="false" ht="15" hidden="false" customHeight="false" outlineLevel="0" collapsed="false">
      <c r="A1750" s="22" t="n">
        <v>85</v>
      </c>
      <c r="B1750" s="23" t="n">
        <v>46062</v>
      </c>
      <c r="C1750" s="22" t="s">
        <v>189</v>
      </c>
      <c r="D1750" s="24" t="n">
        <v>57</v>
      </c>
    </row>
    <row r="1751" customFormat="false" ht="15" hidden="false" customHeight="false" outlineLevel="0" collapsed="false">
      <c r="A1751" s="22" t="n">
        <v>86</v>
      </c>
      <c r="B1751" s="23" t="n">
        <v>46069</v>
      </c>
      <c r="C1751" s="22" t="s">
        <v>189</v>
      </c>
      <c r="D1751" s="24" t="n">
        <v>44</v>
      </c>
    </row>
    <row r="1752" customFormat="false" ht="15" hidden="false" customHeight="false" outlineLevel="0" collapsed="false">
      <c r="A1752" s="22" t="n">
        <v>87</v>
      </c>
      <c r="B1752" s="23" t="n">
        <v>46076</v>
      </c>
      <c r="C1752" s="22" t="s">
        <v>189</v>
      </c>
      <c r="D1752" s="24" t="n">
        <v>63</v>
      </c>
    </row>
    <row r="1753" customFormat="false" ht="15" hidden="false" customHeight="false" outlineLevel="0" collapsed="false">
      <c r="A1753" s="22" t="n">
        <v>88</v>
      </c>
      <c r="B1753" s="23" t="n">
        <v>46083</v>
      </c>
      <c r="C1753" s="22" t="s">
        <v>189</v>
      </c>
      <c r="D1753" s="24" t="n">
        <v>65</v>
      </c>
    </row>
    <row r="1754" customFormat="false" ht="15" hidden="false" customHeight="false" outlineLevel="0" collapsed="false">
      <c r="A1754" s="22" t="n">
        <v>89</v>
      </c>
      <c r="B1754" s="23" t="n">
        <v>46090</v>
      </c>
      <c r="C1754" s="22" t="s">
        <v>189</v>
      </c>
      <c r="D1754" s="24" t="n">
        <v>59</v>
      </c>
    </row>
    <row r="1755" customFormat="false" ht="15" hidden="false" customHeight="false" outlineLevel="0" collapsed="false">
      <c r="A1755" s="22" t="n">
        <v>90</v>
      </c>
      <c r="B1755" s="23" t="n">
        <v>46097</v>
      </c>
      <c r="C1755" s="22" t="s">
        <v>189</v>
      </c>
      <c r="D1755" s="24" t="n">
        <v>72</v>
      </c>
    </row>
    <row r="1756" customFormat="false" ht="15" hidden="false" customHeight="false" outlineLevel="0" collapsed="false">
      <c r="A1756" s="22" t="n">
        <v>91</v>
      </c>
      <c r="B1756" s="23" t="n">
        <v>46104</v>
      </c>
      <c r="C1756" s="22" t="s">
        <v>189</v>
      </c>
      <c r="D1756" s="24" t="n">
        <v>74</v>
      </c>
    </row>
    <row r="1757" customFormat="false" ht="15" hidden="false" customHeight="false" outlineLevel="0" collapsed="false">
      <c r="A1757" s="22" t="n">
        <v>92</v>
      </c>
      <c r="B1757" s="23" t="n">
        <v>46111</v>
      </c>
      <c r="C1757" s="22" t="s">
        <v>189</v>
      </c>
      <c r="D1757" s="24" t="n">
        <v>49</v>
      </c>
    </row>
    <row r="1758" customFormat="false" ht="15" hidden="false" customHeight="false" outlineLevel="0" collapsed="false">
      <c r="A1758" s="22" t="n">
        <v>93</v>
      </c>
      <c r="B1758" s="23" t="n">
        <v>46118</v>
      </c>
      <c r="C1758" s="22" t="s">
        <v>189</v>
      </c>
      <c r="D1758" s="24" t="n">
        <v>68</v>
      </c>
    </row>
    <row r="1759" customFormat="false" ht="15" hidden="false" customHeight="false" outlineLevel="0" collapsed="false">
      <c r="A1759" s="22" t="n">
        <v>94</v>
      </c>
      <c r="B1759" s="23" t="n">
        <v>46125</v>
      </c>
      <c r="C1759" s="22" t="s">
        <v>189</v>
      </c>
      <c r="D1759" s="24" t="n">
        <v>63</v>
      </c>
    </row>
    <row r="1760" customFormat="false" ht="15" hidden="false" customHeight="false" outlineLevel="0" collapsed="false">
      <c r="A1760" s="22" t="n">
        <v>95</v>
      </c>
      <c r="B1760" s="23" t="n">
        <v>46132</v>
      </c>
      <c r="C1760" s="22" t="s">
        <v>189</v>
      </c>
      <c r="D1760" s="24" t="n">
        <v>64</v>
      </c>
    </row>
    <row r="1761" customFormat="false" ht="15" hidden="false" customHeight="false" outlineLevel="0" collapsed="false">
      <c r="A1761" s="22" t="n">
        <v>96</v>
      </c>
      <c r="B1761" s="23" t="n">
        <v>46139</v>
      </c>
      <c r="C1761" s="22" t="s">
        <v>189</v>
      </c>
      <c r="D1761" s="24" t="n">
        <v>68</v>
      </c>
    </row>
    <row r="1762" customFormat="false" ht="15" hidden="false" customHeight="false" outlineLevel="0" collapsed="false">
      <c r="A1762" s="22" t="n">
        <v>97</v>
      </c>
      <c r="B1762" s="23" t="n">
        <v>46146</v>
      </c>
      <c r="C1762" s="22" t="s">
        <v>189</v>
      </c>
      <c r="D1762" s="24" t="n">
        <v>55</v>
      </c>
    </row>
    <row r="1763" customFormat="false" ht="15" hidden="false" customHeight="false" outlineLevel="0" collapsed="false">
      <c r="A1763" s="22" t="n">
        <v>98</v>
      </c>
      <c r="B1763" s="23" t="n">
        <v>46153</v>
      </c>
      <c r="C1763" s="22" t="s">
        <v>189</v>
      </c>
      <c r="D1763" s="24" t="n">
        <v>56</v>
      </c>
    </row>
    <row r="1764" customFormat="false" ht="15" hidden="false" customHeight="false" outlineLevel="0" collapsed="false">
      <c r="A1764" s="22" t="n">
        <v>99</v>
      </c>
      <c r="B1764" s="23" t="n">
        <v>46160</v>
      </c>
      <c r="C1764" s="22" t="s">
        <v>189</v>
      </c>
      <c r="D1764" s="24" t="n">
        <v>54</v>
      </c>
    </row>
    <row r="1765" customFormat="false" ht="15" hidden="false" customHeight="false" outlineLevel="0" collapsed="false">
      <c r="A1765" s="22" t="n">
        <v>100</v>
      </c>
      <c r="B1765" s="23" t="n">
        <v>46167</v>
      </c>
      <c r="C1765" s="22" t="s">
        <v>189</v>
      </c>
      <c r="D1765" s="24" t="n">
        <v>55</v>
      </c>
    </row>
    <row r="1766" customFormat="false" ht="15" hidden="false" customHeight="false" outlineLevel="0" collapsed="false">
      <c r="A1766" s="22" t="n">
        <v>101</v>
      </c>
      <c r="B1766" s="23" t="n">
        <v>46174</v>
      </c>
      <c r="C1766" s="22" t="s">
        <v>189</v>
      </c>
      <c r="D1766" s="24" t="n">
        <v>61</v>
      </c>
    </row>
    <row r="1767" customFormat="false" ht="15" hidden="false" customHeight="false" outlineLevel="0" collapsed="false">
      <c r="A1767" s="22" t="n">
        <v>102</v>
      </c>
      <c r="B1767" s="23" t="n">
        <v>46181</v>
      </c>
      <c r="C1767" s="22" t="s">
        <v>189</v>
      </c>
      <c r="D1767" s="24" t="n">
        <v>50</v>
      </c>
    </row>
    <row r="1768" customFormat="false" ht="15" hidden="false" customHeight="false" outlineLevel="0" collapsed="false">
      <c r="A1768" s="22" t="n">
        <v>103</v>
      </c>
      <c r="B1768" s="23" t="n">
        <v>46188</v>
      </c>
      <c r="C1768" s="22" t="s">
        <v>189</v>
      </c>
      <c r="D1768" s="24" t="n">
        <v>53</v>
      </c>
    </row>
    <row r="1769" customFormat="false" ht="15" hidden="false" customHeight="false" outlineLevel="0" collapsed="false">
      <c r="A1769" s="22" t="n">
        <v>104</v>
      </c>
      <c r="B1769" s="23" t="n">
        <v>46195</v>
      </c>
      <c r="C1769" s="22" t="s">
        <v>189</v>
      </c>
      <c r="D1769" s="24" t="n">
        <v>68</v>
      </c>
    </row>
    <row r="1770" customFormat="false" ht="15" hidden="false" customHeight="false" outlineLevel="0" collapsed="false">
      <c r="A1770" s="22" t="n">
        <v>1</v>
      </c>
      <c r="B1770" s="23" t="n">
        <v>45474</v>
      </c>
      <c r="C1770" s="22" t="s">
        <v>191</v>
      </c>
      <c r="D1770" s="24" t="n">
        <v>4</v>
      </c>
    </row>
    <row r="1771" customFormat="false" ht="15" hidden="false" customHeight="false" outlineLevel="0" collapsed="false">
      <c r="A1771" s="22" t="n">
        <v>2</v>
      </c>
      <c r="B1771" s="23" t="n">
        <v>45481</v>
      </c>
      <c r="C1771" s="22" t="s">
        <v>191</v>
      </c>
      <c r="D1771" s="24" t="n">
        <v>10</v>
      </c>
    </row>
    <row r="1772" customFormat="false" ht="15" hidden="false" customHeight="false" outlineLevel="0" collapsed="false">
      <c r="A1772" s="22" t="n">
        <v>3</v>
      </c>
      <c r="B1772" s="23" t="n">
        <v>45488</v>
      </c>
      <c r="C1772" s="22" t="s">
        <v>191</v>
      </c>
      <c r="D1772" s="24" t="n">
        <v>4</v>
      </c>
    </row>
    <row r="1773" customFormat="false" ht="15" hidden="false" customHeight="false" outlineLevel="0" collapsed="false">
      <c r="A1773" s="22" t="n">
        <v>4</v>
      </c>
      <c r="B1773" s="23" t="n">
        <v>45495</v>
      </c>
      <c r="C1773" s="22" t="s">
        <v>191</v>
      </c>
      <c r="D1773" s="24" t="n">
        <v>4</v>
      </c>
    </row>
    <row r="1774" customFormat="false" ht="15" hidden="false" customHeight="false" outlineLevel="0" collapsed="false">
      <c r="A1774" s="22" t="n">
        <v>5</v>
      </c>
      <c r="B1774" s="23" t="n">
        <v>45502</v>
      </c>
      <c r="C1774" s="22" t="s">
        <v>191</v>
      </c>
      <c r="D1774" s="24" t="n">
        <v>10</v>
      </c>
    </row>
    <row r="1775" customFormat="false" ht="15" hidden="false" customHeight="false" outlineLevel="0" collapsed="false">
      <c r="A1775" s="22" t="n">
        <v>6</v>
      </c>
      <c r="B1775" s="23" t="n">
        <v>45509</v>
      </c>
      <c r="C1775" s="22" t="s">
        <v>191</v>
      </c>
      <c r="D1775" s="24" t="n">
        <v>6</v>
      </c>
    </row>
    <row r="1776" customFormat="false" ht="15" hidden="false" customHeight="false" outlineLevel="0" collapsed="false">
      <c r="A1776" s="22" t="n">
        <v>7</v>
      </c>
      <c r="B1776" s="23" t="n">
        <v>45516</v>
      </c>
      <c r="C1776" s="22" t="s">
        <v>191</v>
      </c>
      <c r="D1776" s="24" t="n">
        <v>8</v>
      </c>
    </row>
    <row r="1777" customFormat="false" ht="15" hidden="false" customHeight="false" outlineLevel="0" collapsed="false">
      <c r="A1777" s="22" t="n">
        <v>8</v>
      </c>
      <c r="B1777" s="23" t="n">
        <v>45523</v>
      </c>
      <c r="C1777" s="22" t="s">
        <v>191</v>
      </c>
      <c r="D1777" s="24" t="n">
        <v>11</v>
      </c>
    </row>
    <row r="1778" customFormat="false" ht="15" hidden="false" customHeight="false" outlineLevel="0" collapsed="false">
      <c r="A1778" s="22" t="n">
        <v>9</v>
      </c>
      <c r="B1778" s="23" t="n">
        <v>45530</v>
      </c>
      <c r="C1778" s="22" t="s">
        <v>191</v>
      </c>
      <c r="D1778" s="24" t="n">
        <v>6</v>
      </c>
    </row>
    <row r="1779" customFormat="false" ht="15" hidden="false" customHeight="false" outlineLevel="0" collapsed="false">
      <c r="A1779" s="22" t="n">
        <v>10</v>
      </c>
      <c r="B1779" s="23" t="n">
        <v>45537</v>
      </c>
      <c r="C1779" s="22" t="s">
        <v>191</v>
      </c>
      <c r="D1779" s="24" t="n">
        <v>3</v>
      </c>
    </row>
    <row r="1780" customFormat="false" ht="15" hidden="false" customHeight="false" outlineLevel="0" collapsed="false">
      <c r="A1780" s="22" t="n">
        <v>11</v>
      </c>
      <c r="B1780" s="23" t="n">
        <v>45544</v>
      </c>
      <c r="C1780" s="22" t="s">
        <v>191</v>
      </c>
      <c r="D1780" s="24" t="n">
        <v>8</v>
      </c>
    </row>
    <row r="1781" customFormat="false" ht="15" hidden="false" customHeight="false" outlineLevel="0" collapsed="false">
      <c r="A1781" s="22" t="n">
        <v>12</v>
      </c>
      <c r="B1781" s="23" t="n">
        <v>45551</v>
      </c>
      <c r="C1781" s="22" t="s">
        <v>191</v>
      </c>
      <c r="D1781" s="24" t="n">
        <v>5</v>
      </c>
    </row>
    <row r="1782" customFormat="false" ht="15" hidden="false" customHeight="false" outlineLevel="0" collapsed="false">
      <c r="A1782" s="22" t="n">
        <v>13</v>
      </c>
      <c r="B1782" s="23" t="n">
        <v>45558</v>
      </c>
      <c r="C1782" s="22" t="s">
        <v>191</v>
      </c>
      <c r="D1782" s="24" t="n">
        <v>8</v>
      </c>
    </row>
    <row r="1783" customFormat="false" ht="15" hidden="false" customHeight="false" outlineLevel="0" collapsed="false">
      <c r="A1783" s="22" t="n">
        <v>14</v>
      </c>
      <c r="B1783" s="23" t="n">
        <v>45565</v>
      </c>
      <c r="C1783" s="22" t="s">
        <v>191</v>
      </c>
      <c r="D1783" s="24" t="n">
        <v>4</v>
      </c>
    </row>
    <row r="1784" customFormat="false" ht="15" hidden="false" customHeight="false" outlineLevel="0" collapsed="false">
      <c r="A1784" s="22" t="n">
        <v>15</v>
      </c>
      <c r="B1784" s="23" t="n">
        <v>45572</v>
      </c>
      <c r="C1784" s="22" t="s">
        <v>191</v>
      </c>
      <c r="D1784" s="24" t="n">
        <v>6</v>
      </c>
    </row>
    <row r="1785" customFormat="false" ht="15" hidden="false" customHeight="false" outlineLevel="0" collapsed="false">
      <c r="A1785" s="22" t="n">
        <v>16</v>
      </c>
      <c r="B1785" s="23" t="n">
        <v>45579</v>
      </c>
      <c r="C1785" s="22" t="s">
        <v>191</v>
      </c>
      <c r="D1785" s="24" t="n">
        <v>6</v>
      </c>
    </row>
    <row r="1786" customFormat="false" ht="15" hidden="false" customHeight="false" outlineLevel="0" collapsed="false">
      <c r="A1786" s="22" t="n">
        <v>17</v>
      </c>
      <c r="B1786" s="23" t="n">
        <v>45586</v>
      </c>
      <c r="C1786" s="22" t="s">
        <v>191</v>
      </c>
      <c r="D1786" s="24" t="n">
        <v>6</v>
      </c>
    </row>
    <row r="1787" customFormat="false" ht="15" hidden="false" customHeight="false" outlineLevel="0" collapsed="false">
      <c r="A1787" s="22" t="n">
        <v>18</v>
      </c>
      <c r="B1787" s="23" t="n">
        <v>45593</v>
      </c>
      <c r="C1787" s="22" t="s">
        <v>191</v>
      </c>
      <c r="D1787" s="24" t="n">
        <v>4</v>
      </c>
    </row>
    <row r="1788" customFormat="false" ht="15" hidden="false" customHeight="false" outlineLevel="0" collapsed="false">
      <c r="A1788" s="22" t="n">
        <v>19</v>
      </c>
      <c r="B1788" s="23" t="n">
        <v>45600</v>
      </c>
      <c r="C1788" s="22" t="s">
        <v>191</v>
      </c>
      <c r="D1788" s="24" t="n">
        <v>6</v>
      </c>
    </row>
    <row r="1789" customFormat="false" ht="15" hidden="false" customHeight="false" outlineLevel="0" collapsed="false">
      <c r="A1789" s="22" t="n">
        <v>20</v>
      </c>
      <c r="B1789" s="23" t="n">
        <v>45607</v>
      </c>
      <c r="C1789" s="22" t="s">
        <v>191</v>
      </c>
      <c r="D1789" s="24" t="n">
        <v>3</v>
      </c>
    </row>
    <row r="1790" customFormat="false" ht="15" hidden="false" customHeight="false" outlineLevel="0" collapsed="false">
      <c r="A1790" s="22" t="n">
        <v>21</v>
      </c>
      <c r="B1790" s="23" t="n">
        <v>45614</v>
      </c>
      <c r="C1790" s="22" t="s">
        <v>191</v>
      </c>
      <c r="D1790" s="24" t="n">
        <v>6</v>
      </c>
    </row>
    <row r="1791" customFormat="false" ht="15" hidden="false" customHeight="false" outlineLevel="0" collapsed="false">
      <c r="A1791" s="22" t="n">
        <v>22</v>
      </c>
      <c r="B1791" s="23" t="n">
        <v>45621</v>
      </c>
      <c r="C1791" s="22" t="s">
        <v>191</v>
      </c>
      <c r="D1791" s="24" t="n">
        <v>7</v>
      </c>
    </row>
    <row r="1792" customFormat="false" ht="15" hidden="false" customHeight="false" outlineLevel="0" collapsed="false">
      <c r="A1792" s="22" t="n">
        <v>23</v>
      </c>
      <c r="B1792" s="23" t="n">
        <v>45628</v>
      </c>
      <c r="C1792" s="22" t="s">
        <v>191</v>
      </c>
      <c r="D1792" s="24" t="n">
        <v>9</v>
      </c>
    </row>
    <row r="1793" customFormat="false" ht="15" hidden="false" customHeight="false" outlineLevel="0" collapsed="false">
      <c r="A1793" s="22" t="n">
        <v>24</v>
      </c>
      <c r="B1793" s="23" t="n">
        <v>45635</v>
      </c>
      <c r="C1793" s="22" t="s">
        <v>191</v>
      </c>
      <c r="D1793" s="24" t="n">
        <v>3</v>
      </c>
    </row>
    <row r="1794" customFormat="false" ht="15" hidden="false" customHeight="false" outlineLevel="0" collapsed="false">
      <c r="A1794" s="22" t="n">
        <v>25</v>
      </c>
      <c r="B1794" s="23" t="n">
        <v>45642</v>
      </c>
      <c r="C1794" s="22" t="s">
        <v>191</v>
      </c>
      <c r="D1794" s="24" t="n">
        <v>5</v>
      </c>
    </row>
    <row r="1795" customFormat="false" ht="15" hidden="false" customHeight="false" outlineLevel="0" collapsed="false">
      <c r="A1795" s="22" t="n">
        <v>26</v>
      </c>
      <c r="B1795" s="23" t="n">
        <v>45649</v>
      </c>
      <c r="C1795" s="22" t="s">
        <v>191</v>
      </c>
      <c r="D1795" s="24" t="n">
        <v>7</v>
      </c>
    </row>
    <row r="1796" customFormat="false" ht="15" hidden="false" customHeight="false" outlineLevel="0" collapsed="false">
      <c r="A1796" s="22" t="n">
        <v>27</v>
      </c>
      <c r="B1796" s="23" t="n">
        <v>45656</v>
      </c>
      <c r="C1796" s="22" t="s">
        <v>191</v>
      </c>
      <c r="D1796" s="24" t="n">
        <v>8</v>
      </c>
    </row>
    <row r="1797" customFormat="false" ht="15" hidden="false" customHeight="false" outlineLevel="0" collapsed="false">
      <c r="A1797" s="22" t="n">
        <v>28</v>
      </c>
      <c r="B1797" s="23" t="n">
        <v>45663</v>
      </c>
      <c r="C1797" s="22" t="s">
        <v>191</v>
      </c>
      <c r="D1797" s="24" t="n">
        <v>10</v>
      </c>
    </row>
    <row r="1798" customFormat="false" ht="15" hidden="false" customHeight="false" outlineLevel="0" collapsed="false">
      <c r="A1798" s="22" t="n">
        <v>29</v>
      </c>
      <c r="B1798" s="23" t="n">
        <v>45670</v>
      </c>
      <c r="C1798" s="22" t="s">
        <v>191</v>
      </c>
      <c r="D1798" s="24" t="n">
        <v>8</v>
      </c>
    </row>
    <row r="1799" customFormat="false" ht="15" hidden="false" customHeight="false" outlineLevel="0" collapsed="false">
      <c r="A1799" s="22" t="n">
        <v>30</v>
      </c>
      <c r="B1799" s="23" t="n">
        <v>45677</v>
      </c>
      <c r="C1799" s="22" t="s">
        <v>191</v>
      </c>
      <c r="D1799" s="24" t="n">
        <v>6</v>
      </c>
    </row>
    <row r="1800" customFormat="false" ht="15" hidden="false" customHeight="false" outlineLevel="0" collapsed="false">
      <c r="A1800" s="22" t="n">
        <v>31</v>
      </c>
      <c r="B1800" s="23" t="n">
        <v>45684</v>
      </c>
      <c r="C1800" s="22" t="s">
        <v>191</v>
      </c>
      <c r="D1800" s="24" t="n">
        <v>4</v>
      </c>
    </row>
    <row r="1801" customFormat="false" ht="15" hidden="false" customHeight="false" outlineLevel="0" collapsed="false">
      <c r="A1801" s="22" t="n">
        <v>32</v>
      </c>
      <c r="B1801" s="23" t="n">
        <v>45691</v>
      </c>
      <c r="C1801" s="22" t="s">
        <v>191</v>
      </c>
      <c r="D1801" s="24" t="n">
        <v>5</v>
      </c>
    </row>
    <row r="1802" customFormat="false" ht="15" hidden="false" customHeight="false" outlineLevel="0" collapsed="false">
      <c r="A1802" s="22" t="n">
        <v>33</v>
      </c>
      <c r="B1802" s="23" t="n">
        <v>45698</v>
      </c>
      <c r="C1802" s="22" t="s">
        <v>191</v>
      </c>
      <c r="D1802" s="24" t="n">
        <v>4</v>
      </c>
    </row>
    <row r="1803" customFormat="false" ht="15" hidden="false" customHeight="false" outlineLevel="0" collapsed="false">
      <c r="A1803" s="22" t="n">
        <v>34</v>
      </c>
      <c r="B1803" s="23" t="n">
        <v>45705</v>
      </c>
      <c r="C1803" s="22" t="s">
        <v>191</v>
      </c>
      <c r="D1803" s="24" t="n">
        <v>7</v>
      </c>
    </row>
    <row r="1804" customFormat="false" ht="15" hidden="false" customHeight="false" outlineLevel="0" collapsed="false">
      <c r="A1804" s="22" t="n">
        <v>35</v>
      </c>
      <c r="B1804" s="23" t="n">
        <v>45712</v>
      </c>
      <c r="C1804" s="22" t="s">
        <v>191</v>
      </c>
      <c r="D1804" s="24" t="n">
        <v>8</v>
      </c>
    </row>
    <row r="1805" customFormat="false" ht="15" hidden="false" customHeight="false" outlineLevel="0" collapsed="false">
      <c r="A1805" s="22" t="n">
        <v>36</v>
      </c>
      <c r="B1805" s="23" t="n">
        <v>45719</v>
      </c>
      <c r="C1805" s="22" t="s">
        <v>191</v>
      </c>
      <c r="D1805" s="24" t="n">
        <v>8</v>
      </c>
    </row>
    <row r="1806" customFormat="false" ht="15" hidden="false" customHeight="false" outlineLevel="0" collapsed="false">
      <c r="A1806" s="22" t="n">
        <v>37</v>
      </c>
      <c r="B1806" s="23" t="n">
        <v>45726</v>
      </c>
      <c r="C1806" s="22" t="s">
        <v>191</v>
      </c>
      <c r="D1806" s="24" t="n">
        <v>3</v>
      </c>
    </row>
    <row r="1807" customFormat="false" ht="15" hidden="false" customHeight="false" outlineLevel="0" collapsed="false">
      <c r="A1807" s="22" t="n">
        <v>38</v>
      </c>
      <c r="B1807" s="23" t="n">
        <v>45733</v>
      </c>
      <c r="C1807" s="22" t="s">
        <v>191</v>
      </c>
      <c r="D1807" s="24" t="n">
        <v>4</v>
      </c>
    </row>
    <row r="1808" customFormat="false" ht="15" hidden="false" customHeight="false" outlineLevel="0" collapsed="false">
      <c r="A1808" s="22" t="n">
        <v>39</v>
      </c>
      <c r="B1808" s="23" t="n">
        <v>45740</v>
      </c>
      <c r="C1808" s="22" t="s">
        <v>191</v>
      </c>
      <c r="D1808" s="24" t="n">
        <v>7</v>
      </c>
    </row>
    <row r="1809" customFormat="false" ht="15" hidden="false" customHeight="false" outlineLevel="0" collapsed="false">
      <c r="A1809" s="22" t="n">
        <v>40</v>
      </c>
      <c r="B1809" s="23" t="n">
        <v>45747</v>
      </c>
      <c r="C1809" s="22" t="s">
        <v>191</v>
      </c>
      <c r="D1809" s="24" t="n">
        <v>5</v>
      </c>
    </row>
    <row r="1810" customFormat="false" ht="15" hidden="false" customHeight="false" outlineLevel="0" collapsed="false">
      <c r="A1810" s="22" t="n">
        <v>41</v>
      </c>
      <c r="B1810" s="23" t="n">
        <v>45754</v>
      </c>
      <c r="C1810" s="22" t="s">
        <v>191</v>
      </c>
      <c r="D1810" s="24" t="n">
        <v>4</v>
      </c>
    </row>
    <row r="1811" customFormat="false" ht="15" hidden="false" customHeight="false" outlineLevel="0" collapsed="false">
      <c r="A1811" s="22" t="n">
        <v>42</v>
      </c>
      <c r="B1811" s="23" t="n">
        <v>45761</v>
      </c>
      <c r="C1811" s="22" t="s">
        <v>191</v>
      </c>
      <c r="D1811" s="24" t="n">
        <v>11</v>
      </c>
    </row>
    <row r="1812" customFormat="false" ht="15" hidden="false" customHeight="false" outlineLevel="0" collapsed="false">
      <c r="A1812" s="22" t="n">
        <v>43</v>
      </c>
      <c r="B1812" s="23" t="n">
        <v>45768</v>
      </c>
      <c r="C1812" s="22" t="s">
        <v>191</v>
      </c>
      <c r="D1812" s="24" t="n">
        <v>4</v>
      </c>
    </row>
    <row r="1813" customFormat="false" ht="15" hidden="false" customHeight="false" outlineLevel="0" collapsed="false">
      <c r="A1813" s="22" t="n">
        <v>44</v>
      </c>
      <c r="B1813" s="23" t="n">
        <v>45775</v>
      </c>
      <c r="C1813" s="22" t="s">
        <v>191</v>
      </c>
      <c r="D1813" s="24" t="n">
        <v>7</v>
      </c>
    </row>
    <row r="1814" customFormat="false" ht="15" hidden="false" customHeight="false" outlineLevel="0" collapsed="false">
      <c r="A1814" s="22" t="n">
        <v>45</v>
      </c>
      <c r="B1814" s="23" t="n">
        <v>45782</v>
      </c>
      <c r="C1814" s="22" t="s">
        <v>191</v>
      </c>
      <c r="D1814" s="24" t="n">
        <v>12</v>
      </c>
    </row>
    <row r="1815" customFormat="false" ht="15" hidden="false" customHeight="false" outlineLevel="0" collapsed="false">
      <c r="A1815" s="22" t="n">
        <v>46</v>
      </c>
      <c r="B1815" s="23" t="n">
        <v>45789</v>
      </c>
      <c r="C1815" s="22" t="s">
        <v>191</v>
      </c>
      <c r="D1815" s="24" t="n">
        <v>3</v>
      </c>
    </row>
    <row r="1816" customFormat="false" ht="15" hidden="false" customHeight="false" outlineLevel="0" collapsed="false">
      <c r="A1816" s="22" t="n">
        <v>47</v>
      </c>
      <c r="B1816" s="23" t="n">
        <v>45796</v>
      </c>
      <c r="C1816" s="22" t="s">
        <v>191</v>
      </c>
      <c r="D1816" s="24" t="n">
        <v>4</v>
      </c>
    </row>
    <row r="1817" customFormat="false" ht="15" hidden="false" customHeight="false" outlineLevel="0" collapsed="false">
      <c r="A1817" s="22" t="n">
        <v>48</v>
      </c>
      <c r="B1817" s="23" t="n">
        <v>45803</v>
      </c>
      <c r="C1817" s="22" t="s">
        <v>191</v>
      </c>
      <c r="D1817" s="24" t="n">
        <v>5</v>
      </c>
    </row>
    <row r="1818" customFormat="false" ht="15" hidden="false" customHeight="false" outlineLevel="0" collapsed="false">
      <c r="A1818" s="22" t="n">
        <v>49</v>
      </c>
      <c r="B1818" s="23" t="n">
        <v>45810</v>
      </c>
      <c r="C1818" s="22" t="s">
        <v>191</v>
      </c>
      <c r="D1818" s="24" t="n">
        <v>6</v>
      </c>
    </row>
    <row r="1819" customFormat="false" ht="15" hidden="false" customHeight="false" outlineLevel="0" collapsed="false">
      <c r="A1819" s="22" t="n">
        <v>50</v>
      </c>
      <c r="B1819" s="23" t="n">
        <v>45817</v>
      </c>
      <c r="C1819" s="22" t="s">
        <v>191</v>
      </c>
      <c r="D1819" s="24" t="n">
        <v>3</v>
      </c>
    </row>
    <row r="1820" customFormat="false" ht="15" hidden="false" customHeight="false" outlineLevel="0" collapsed="false">
      <c r="A1820" s="22" t="n">
        <v>51</v>
      </c>
      <c r="B1820" s="23" t="n">
        <v>45824</v>
      </c>
      <c r="C1820" s="22" t="s">
        <v>191</v>
      </c>
      <c r="D1820" s="24" t="n">
        <v>4</v>
      </c>
    </row>
    <row r="1821" customFormat="false" ht="15" hidden="false" customHeight="false" outlineLevel="0" collapsed="false">
      <c r="A1821" s="22" t="n">
        <v>52</v>
      </c>
      <c r="B1821" s="23" t="n">
        <v>45831</v>
      </c>
      <c r="C1821" s="22" t="s">
        <v>191</v>
      </c>
      <c r="D1821" s="24" t="n">
        <v>6</v>
      </c>
    </row>
    <row r="1822" customFormat="false" ht="15" hidden="false" customHeight="false" outlineLevel="0" collapsed="false">
      <c r="A1822" s="22" t="n">
        <v>53</v>
      </c>
      <c r="B1822" s="23" t="n">
        <v>45838</v>
      </c>
      <c r="C1822" s="22" t="s">
        <v>191</v>
      </c>
      <c r="D1822" s="24" t="n">
        <v>7</v>
      </c>
    </row>
    <row r="1823" customFormat="false" ht="15" hidden="false" customHeight="false" outlineLevel="0" collapsed="false">
      <c r="A1823" s="22" t="n">
        <v>54</v>
      </c>
      <c r="B1823" s="23" t="n">
        <v>45845</v>
      </c>
      <c r="C1823" s="22" t="s">
        <v>191</v>
      </c>
      <c r="D1823" s="24" t="n">
        <v>7</v>
      </c>
    </row>
    <row r="1824" customFormat="false" ht="15" hidden="false" customHeight="false" outlineLevel="0" collapsed="false">
      <c r="A1824" s="22" t="n">
        <v>55</v>
      </c>
      <c r="B1824" s="23" t="n">
        <v>45852</v>
      </c>
      <c r="C1824" s="22" t="s">
        <v>191</v>
      </c>
      <c r="D1824" s="24" t="n">
        <v>7</v>
      </c>
    </row>
    <row r="1825" customFormat="false" ht="15" hidden="false" customHeight="false" outlineLevel="0" collapsed="false">
      <c r="A1825" s="22" t="n">
        <v>56</v>
      </c>
      <c r="B1825" s="23" t="n">
        <v>45859</v>
      </c>
      <c r="C1825" s="22" t="s">
        <v>191</v>
      </c>
      <c r="D1825" s="24" t="n">
        <v>7</v>
      </c>
    </row>
    <row r="1826" customFormat="false" ht="15" hidden="false" customHeight="false" outlineLevel="0" collapsed="false">
      <c r="A1826" s="22" t="n">
        <v>57</v>
      </c>
      <c r="B1826" s="23" t="n">
        <v>45866</v>
      </c>
      <c r="C1826" s="22" t="s">
        <v>191</v>
      </c>
      <c r="D1826" s="24" t="n">
        <v>7</v>
      </c>
    </row>
    <row r="1827" customFormat="false" ht="15" hidden="false" customHeight="false" outlineLevel="0" collapsed="false">
      <c r="A1827" s="22" t="n">
        <v>58</v>
      </c>
      <c r="B1827" s="23" t="n">
        <v>45873</v>
      </c>
      <c r="C1827" s="22" t="s">
        <v>191</v>
      </c>
      <c r="D1827" s="24" t="n">
        <v>5</v>
      </c>
    </row>
    <row r="1828" customFormat="false" ht="15" hidden="false" customHeight="false" outlineLevel="0" collapsed="false">
      <c r="A1828" s="22" t="n">
        <v>59</v>
      </c>
      <c r="B1828" s="23" t="n">
        <v>45880</v>
      </c>
      <c r="C1828" s="22" t="s">
        <v>191</v>
      </c>
      <c r="D1828" s="24" t="n">
        <v>5</v>
      </c>
    </row>
    <row r="1829" customFormat="false" ht="15" hidden="false" customHeight="false" outlineLevel="0" collapsed="false">
      <c r="A1829" s="22" t="n">
        <v>60</v>
      </c>
      <c r="B1829" s="23" t="n">
        <v>45887</v>
      </c>
      <c r="C1829" s="22" t="s">
        <v>191</v>
      </c>
      <c r="D1829" s="24" t="n">
        <v>2</v>
      </c>
    </row>
    <row r="1830" customFormat="false" ht="15" hidden="false" customHeight="false" outlineLevel="0" collapsed="false">
      <c r="A1830" s="22" t="n">
        <v>61</v>
      </c>
      <c r="B1830" s="23" t="n">
        <v>45894</v>
      </c>
      <c r="C1830" s="22" t="s">
        <v>191</v>
      </c>
      <c r="D1830" s="24" t="n">
        <v>5</v>
      </c>
    </row>
    <row r="1831" customFormat="false" ht="15" hidden="false" customHeight="false" outlineLevel="0" collapsed="false">
      <c r="A1831" s="22" t="n">
        <v>62</v>
      </c>
      <c r="B1831" s="23" t="n">
        <v>45901</v>
      </c>
      <c r="C1831" s="22" t="s">
        <v>191</v>
      </c>
      <c r="D1831" s="24" t="n">
        <v>8</v>
      </c>
    </row>
    <row r="1832" customFormat="false" ht="15" hidden="false" customHeight="false" outlineLevel="0" collapsed="false">
      <c r="A1832" s="22" t="n">
        <v>63</v>
      </c>
      <c r="B1832" s="23" t="n">
        <v>45908</v>
      </c>
      <c r="C1832" s="22" t="s">
        <v>191</v>
      </c>
      <c r="D1832" s="24" t="n">
        <v>6</v>
      </c>
    </row>
    <row r="1833" customFormat="false" ht="15" hidden="false" customHeight="false" outlineLevel="0" collapsed="false">
      <c r="A1833" s="22" t="n">
        <v>64</v>
      </c>
      <c r="B1833" s="23" t="n">
        <v>45915</v>
      </c>
      <c r="C1833" s="22" t="s">
        <v>191</v>
      </c>
      <c r="D1833" s="24" t="n">
        <v>4</v>
      </c>
    </row>
    <row r="1834" customFormat="false" ht="15" hidden="false" customHeight="false" outlineLevel="0" collapsed="false">
      <c r="A1834" s="22" t="n">
        <v>65</v>
      </c>
      <c r="B1834" s="23" t="n">
        <v>45922</v>
      </c>
      <c r="C1834" s="22" t="s">
        <v>191</v>
      </c>
      <c r="D1834" s="24" t="n">
        <v>4</v>
      </c>
    </row>
    <row r="1835" customFormat="false" ht="15" hidden="false" customHeight="false" outlineLevel="0" collapsed="false">
      <c r="A1835" s="22" t="n">
        <v>66</v>
      </c>
      <c r="B1835" s="23" t="n">
        <v>45929</v>
      </c>
      <c r="C1835" s="22" t="s">
        <v>191</v>
      </c>
      <c r="D1835" s="24" t="n">
        <v>6</v>
      </c>
    </row>
    <row r="1836" customFormat="false" ht="15" hidden="false" customHeight="false" outlineLevel="0" collapsed="false">
      <c r="A1836" s="22" t="n">
        <v>67</v>
      </c>
      <c r="B1836" s="23" t="n">
        <v>45936</v>
      </c>
      <c r="C1836" s="22" t="s">
        <v>191</v>
      </c>
      <c r="D1836" s="24" t="n">
        <v>4</v>
      </c>
    </row>
    <row r="1837" customFormat="false" ht="15" hidden="false" customHeight="false" outlineLevel="0" collapsed="false">
      <c r="A1837" s="22" t="n">
        <v>68</v>
      </c>
      <c r="B1837" s="23" t="n">
        <v>45943</v>
      </c>
      <c r="C1837" s="22" t="s">
        <v>191</v>
      </c>
      <c r="D1837" s="24" t="n">
        <v>5</v>
      </c>
    </row>
    <row r="1838" customFormat="false" ht="15" hidden="false" customHeight="false" outlineLevel="0" collapsed="false">
      <c r="A1838" s="22" t="n">
        <v>69</v>
      </c>
      <c r="B1838" s="23" t="n">
        <v>45950</v>
      </c>
      <c r="C1838" s="22" t="s">
        <v>191</v>
      </c>
      <c r="D1838" s="24" t="n">
        <v>11</v>
      </c>
    </row>
    <row r="1839" customFormat="false" ht="15" hidden="false" customHeight="false" outlineLevel="0" collapsed="false">
      <c r="A1839" s="22" t="n">
        <v>70</v>
      </c>
      <c r="B1839" s="23" t="n">
        <v>45957</v>
      </c>
      <c r="C1839" s="22" t="s">
        <v>191</v>
      </c>
      <c r="D1839" s="24" t="n">
        <v>6</v>
      </c>
    </row>
    <row r="1840" customFormat="false" ht="15" hidden="false" customHeight="false" outlineLevel="0" collapsed="false">
      <c r="A1840" s="22" t="n">
        <v>71</v>
      </c>
      <c r="B1840" s="23" t="n">
        <v>45964</v>
      </c>
      <c r="C1840" s="22" t="s">
        <v>191</v>
      </c>
      <c r="D1840" s="24" t="n">
        <v>8</v>
      </c>
    </row>
    <row r="1841" customFormat="false" ht="15" hidden="false" customHeight="false" outlineLevel="0" collapsed="false">
      <c r="A1841" s="22" t="n">
        <v>72</v>
      </c>
      <c r="B1841" s="23" t="n">
        <v>45971</v>
      </c>
      <c r="C1841" s="22" t="s">
        <v>191</v>
      </c>
      <c r="D1841" s="24" t="n">
        <v>8</v>
      </c>
    </row>
    <row r="1842" customFormat="false" ht="15" hidden="false" customHeight="false" outlineLevel="0" collapsed="false">
      <c r="A1842" s="22" t="n">
        <v>73</v>
      </c>
      <c r="B1842" s="23" t="n">
        <v>45978</v>
      </c>
      <c r="C1842" s="22" t="s">
        <v>191</v>
      </c>
      <c r="D1842" s="24" t="n">
        <v>4</v>
      </c>
    </row>
    <row r="1843" customFormat="false" ht="15" hidden="false" customHeight="false" outlineLevel="0" collapsed="false">
      <c r="A1843" s="22" t="n">
        <v>74</v>
      </c>
      <c r="B1843" s="23" t="n">
        <v>45985</v>
      </c>
      <c r="C1843" s="22" t="s">
        <v>191</v>
      </c>
      <c r="D1843" s="24" t="n">
        <v>7</v>
      </c>
    </row>
    <row r="1844" customFormat="false" ht="15" hidden="false" customHeight="false" outlineLevel="0" collapsed="false">
      <c r="A1844" s="22" t="n">
        <v>75</v>
      </c>
      <c r="B1844" s="23" t="n">
        <v>45992</v>
      </c>
      <c r="C1844" s="22" t="s">
        <v>191</v>
      </c>
      <c r="D1844" s="24" t="n">
        <v>9</v>
      </c>
    </row>
    <row r="1845" customFormat="false" ht="15" hidden="false" customHeight="false" outlineLevel="0" collapsed="false">
      <c r="A1845" s="22" t="n">
        <v>76</v>
      </c>
      <c r="B1845" s="23" t="n">
        <v>45999</v>
      </c>
      <c r="C1845" s="22" t="s">
        <v>191</v>
      </c>
      <c r="D1845" s="24" t="n">
        <v>7</v>
      </c>
    </row>
    <row r="1846" customFormat="false" ht="15" hidden="false" customHeight="false" outlineLevel="0" collapsed="false">
      <c r="A1846" s="22" t="n">
        <v>77</v>
      </c>
      <c r="B1846" s="23" t="n">
        <v>46006</v>
      </c>
      <c r="C1846" s="22" t="s">
        <v>191</v>
      </c>
      <c r="D1846" s="24" t="n">
        <v>6</v>
      </c>
    </row>
    <row r="1847" customFormat="false" ht="15" hidden="false" customHeight="false" outlineLevel="0" collapsed="false">
      <c r="A1847" s="22" t="n">
        <v>78</v>
      </c>
      <c r="B1847" s="23" t="n">
        <v>46013</v>
      </c>
      <c r="C1847" s="22" t="s">
        <v>191</v>
      </c>
      <c r="D1847" s="24" t="n">
        <v>6</v>
      </c>
    </row>
    <row r="1848" customFormat="false" ht="15" hidden="false" customHeight="false" outlineLevel="0" collapsed="false">
      <c r="A1848" s="22" t="n">
        <v>79</v>
      </c>
      <c r="B1848" s="23" t="n">
        <v>46020</v>
      </c>
      <c r="C1848" s="22" t="s">
        <v>191</v>
      </c>
      <c r="D1848" s="24" t="n">
        <v>8</v>
      </c>
    </row>
    <row r="1849" customFormat="false" ht="15" hidden="false" customHeight="false" outlineLevel="0" collapsed="false">
      <c r="A1849" s="22" t="n">
        <v>80</v>
      </c>
      <c r="B1849" s="23" t="n">
        <v>46027</v>
      </c>
      <c r="C1849" s="22" t="s">
        <v>191</v>
      </c>
      <c r="D1849" s="24" t="n">
        <v>9</v>
      </c>
    </row>
    <row r="1850" customFormat="false" ht="15" hidden="false" customHeight="false" outlineLevel="0" collapsed="false">
      <c r="A1850" s="22" t="n">
        <v>81</v>
      </c>
      <c r="B1850" s="23" t="n">
        <v>46034</v>
      </c>
      <c r="C1850" s="22" t="s">
        <v>191</v>
      </c>
      <c r="D1850" s="24" t="n">
        <v>3</v>
      </c>
    </row>
    <row r="1851" customFormat="false" ht="15" hidden="false" customHeight="false" outlineLevel="0" collapsed="false">
      <c r="A1851" s="22" t="n">
        <v>82</v>
      </c>
      <c r="B1851" s="23" t="n">
        <v>46041</v>
      </c>
      <c r="C1851" s="22" t="s">
        <v>191</v>
      </c>
      <c r="D1851" s="24" t="n">
        <v>3</v>
      </c>
    </row>
    <row r="1852" customFormat="false" ht="15" hidden="false" customHeight="false" outlineLevel="0" collapsed="false">
      <c r="A1852" s="22" t="n">
        <v>83</v>
      </c>
      <c r="B1852" s="23" t="n">
        <v>46048</v>
      </c>
      <c r="C1852" s="22" t="s">
        <v>191</v>
      </c>
      <c r="D1852" s="24" t="n">
        <v>7</v>
      </c>
    </row>
    <row r="1853" customFormat="false" ht="15" hidden="false" customHeight="false" outlineLevel="0" collapsed="false">
      <c r="A1853" s="22" t="n">
        <v>84</v>
      </c>
      <c r="B1853" s="23" t="n">
        <v>46055</v>
      </c>
      <c r="C1853" s="22" t="s">
        <v>191</v>
      </c>
      <c r="D1853" s="24" t="n">
        <v>5</v>
      </c>
    </row>
    <row r="1854" customFormat="false" ht="15" hidden="false" customHeight="false" outlineLevel="0" collapsed="false">
      <c r="A1854" s="22" t="n">
        <v>85</v>
      </c>
      <c r="B1854" s="23" t="n">
        <v>46062</v>
      </c>
      <c r="C1854" s="22" t="s">
        <v>191</v>
      </c>
      <c r="D1854" s="24" t="n">
        <v>5</v>
      </c>
    </row>
    <row r="1855" customFormat="false" ht="15" hidden="false" customHeight="false" outlineLevel="0" collapsed="false">
      <c r="A1855" s="22" t="n">
        <v>86</v>
      </c>
      <c r="B1855" s="23" t="n">
        <v>46069</v>
      </c>
      <c r="C1855" s="22" t="s">
        <v>191</v>
      </c>
      <c r="D1855" s="24" t="n">
        <v>7</v>
      </c>
    </row>
    <row r="1856" customFormat="false" ht="15" hidden="false" customHeight="false" outlineLevel="0" collapsed="false">
      <c r="A1856" s="22" t="n">
        <v>87</v>
      </c>
      <c r="B1856" s="23" t="n">
        <v>46076</v>
      </c>
      <c r="C1856" s="22" t="s">
        <v>191</v>
      </c>
      <c r="D1856" s="24" t="n">
        <v>4</v>
      </c>
    </row>
    <row r="1857" customFormat="false" ht="15" hidden="false" customHeight="false" outlineLevel="0" collapsed="false">
      <c r="A1857" s="22" t="n">
        <v>88</v>
      </c>
      <c r="B1857" s="23" t="n">
        <v>46083</v>
      </c>
      <c r="C1857" s="22" t="s">
        <v>191</v>
      </c>
      <c r="D1857" s="24" t="n">
        <v>2</v>
      </c>
    </row>
    <row r="1858" customFormat="false" ht="15" hidden="false" customHeight="false" outlineLevel="0" collapsed="false">
      <c r="A1858" s="22" t="n">
        <v>89</v>
      </c>
      <c r="B1858" s="23" t="n">
        <v>46090</v>
      </c>
      <c r="C1858" s="22" t="s">
        <v>191</v>
      </c>
      <c r="D1858" s="24" t="n">
        <v>3</v>
      </c>
    </row>
    <row r="1859" customFormat="false" ht="15" hidden="false" customHeight="false" outlineLevel="0" collapsed="false">
      <c r="A1859" s="22" t="n">
        <v>90</v>
      </c>
      <c r="B1859" s="23" t="n">
        <v>46097</v>
      </c>
      <c r="C1859" s="22" t="s">
        <v>191</v>
      </c>
      <c r="D1859" s="24" t="n">
        <v>8</v>
      </c>
    </row>
    <row r="1860" customFormat="false" ht="15" hidden="false" customHeight="false" outlineLevel="0" collapsed="false">
      <c r="A1860" s="22" t="n">
        <v>91</v>
      </c>
      <c r="B1860" s="23" t="n">
        <v>46104</v>
      </c>
      <c r="C1860" s="22" t="s">
        <v>191</v>
      </c>
      <c r="D1860" s="24" t="n">
        <v>7</v>
      </c>
    </row>
    <row r="1861" customFormat="false" ht="15" hidden="false" customHeight="false" outlineLevel="0" collapsed="false">
      <c r="A1861" s="22" t="n">
        <v>92</v>
      </c>
      <c r="B1861" s="23" t="n">
        <v>46111</v>
      </c>
      <c r="C1861" s="22" t="s">
        <v>191</v>
      </c>
      <c r="D1861" s="24" t="n">
        <v>9</v>
      </c>
    </row>
    <row r="1862" customFormat="false" ht="15" hidden="false" customHeight="false" outlineLevel="0" collapsed="false">
      <c r="A1862" s="22" t="n">
        <v>93</v>
      </c>
      <c r="B1862" s="23" t="n">
        <v>46118</v>
      </c>
      <c r="C1862" s="22" t="s">
        <v>191</v>
      </c>
      <c r="D1862" s="24" t="n">
        <v>5</v>
      </c>
    </row>
    <row r="1863" customFormat="false" ht="15" hidden="false" customHeight="false" outlineLevel="0" collapsed="false">
      <c r="A1863" s="22" t="n">
        <v>94</v>
      </c>
      <c r="B1863" s="23" t="n">
        <v>46125</v>
      </c>
      <c r="C1863" s="22" t="s">
        <v>191</v>
      </c>
      <c r="D1863" s="24" t="n">
        <v>4</v>
      </c>
    </row>
    <row r="1864" customFormat="false" ht="15" hidden="false" customHeight="false" outlineLevel="0" collapsed="false">
      <c r="A1864" s="22" t="n">
        <v>95</v>
      </c>
      <c r="B1864" s="23" t="n">
        <v>46132</v>
      </c>
      <c r="C1864" s="22" t="s">
        <v>191</v>
      </c>
      <c r="D1864" s="24" t="n">
        <v>3</v>
      </c>
    </row>
    <row r="1865" customFormat="false" ht="15" hidden="false" customHeight="false" outlineLevel="0" collapsed="false">
      <c r="A1865" s="22" t="n">
        <v>96</v>
      </c>
      <c r="B1865" s="23" t="n">
        <v>46139</v>
      </c>
      <c r="C1865" s="22" t="s">
        <v>191</v>
      </c>
      <c r="D1865" s="24" t="n">
        <v>8</v>
      </c>
    </row>
    <row r="1866" customFormat="false" ht="15" hidden="false" customHeight="false" outlineLevel="0" collapsed="false">
      <c r="A1866" s="22" t="n">
        <v>97</v>
      </c>
      <c r="B1866" s="23" t="n">
        <v>46146</v>
      </c>
      <c r="C1866" s="22" t="s">
        <v>191</v>
      </c>
      <c r="D1866" s="24" t="n">
        <v>8</v>
      </c>
    </row>
    <row r="1867" customFormat="false" ht="15" hidden="false" customHeight="false" outlineLevel="0" collapsed="false">
      <c r="A1867" s="22" t="n">
        <v>98</v>
      </c>
      <c r="B1867" s="23" t="n">
        <v>46153</v>
      </c>
      <c r="C1867" s="22" t="s">
        <v>191</v>
      </c>
      <c r="D1867" s="24" t="n">
        <v>10</v>
      </c>
    </row>
    <row r="1868" customFormat="false" ht="15" hidden="false" customHeight="false" outlineLevel="0" collapsed="false">
      <c r="A1868" s="22" t="n">
        <v>99</v>
      </c>
      <c r="B1868" s="23" t="n">
        <v>46160</v>
      </c>
      <c r="C1868" s="22" t="s">
        <v>191</v>
      </c>
      <c r="D1868" s="24" t="n">
        <v>6</v>
      </c>
    </row>
    <row r="1869" customFormat="false" ht="15" hidden="false" customHeight="false" outlineLevel="0" collapsed="false">
      <c r="A1869" s="22" t="n">
        <v>100</v>
      </c>
      <c r="B1869" s="23" t="n">
        <v>46167</v>
      </c>
      <c r="C1869" s="22" t="s">
        <v>191</v>
      </c>
      <c r="D1869" s="24" t="n">
        <v>7</v>
      </c>
    </row>
    <row r="1870" customFormat="false" ht="15" hidden="false" customHeight="false" outlineLevel="0" collapsed="false">
      <c r="A1870" s="22" t="n">
        <v>101</v>
      </c>
      <c r="B1870" s="23" t="n">
        <v>46174</v>
      </c>
      <c r="C1870" s="22" t="s">
        <v>191</v>
      </c>
      <c r="D1870" s="24" t="n">
        <v>3</v>
      </c>
    </row>
    <row r="1871" customFormat="false" ht="15" hidden="false" customHeight="false" outlineLevel="0" collapsed="false">
      <c r="A1871" s="22" t="n">
        <v>102</v>
      </c>
      <c r="B1871" s="23" t="n">
        <v>46181</v>
      </c>
      <c r="C1871" s="22" t="s">
        <v>191</v>
      </c>
      <c r="D1871" s="24" t="n">
        <v>7</v>
      </c>
    </row>
    <row r="1872" customFormat="false" ht="15" hidden="false" customHeight="false" outlineLevel="0" collapsed="false">
      <c r="A1872" s="22" t="n">
        <v>103</v>
      </c>
      <c r="B1872" s="23" t="n">
        <v>46188</v>
      </c>
      <c r="C1872" s="22" t="s">
        <v>191</v>
      </c>
      <c r="D1872" s="24" t="n">
        <v>6</v>
      </c>
    </row>
    <row r="1873" customFormat="false" ht="15" hidden="false" customHeight="false" outlineLevel="0" collapsed="false">
      <c r="A1873" s="22" t="n">
        <v>104</v>
      </c>
      <c r="B1873" s="23" t="n">
        <v>46195</v>
      </c>
      <c r="C1873" s="22" t="s">
        <v>191</v>
      </c>
      <c r="D1873" s="24" t="n">
        <v>5</v>
      </c>
    </row>
    <row r="1874" customFormat="false" ht="15" hidden="false" customHeight="false" outlineLevel="0" collapsed="false">
      <c r="A1874" s="22" t="n">
        <v>1</v>
      </c>
      <c r="B1874" s="23" t="n">
        <v>45474</v>
      </c>
      <c r="C1874" s="22" t="s">
        <v>193</v>
      </c>
      <c r="D1874" s="24" t="n">
        <v>37</v>
      </c>
    </row>
    <row r="1875" customFormat="false" ht="15" hidden="false" customHeight="false" outlineLevel="0" collapsed="false">
      <c r="A1875" s="22" t="n">
        <v>2</v>
      </c>
      <c r="B1875" s="23" t="n">
        <v>45481</v>
      </c>
      <c r="C1875" s="22" t="s">
        <v>193</v>
      </c>
      <c r="D1875" s="24" t="n">
        <v>40</v>
      </c>
    </row>
    <row r="1876" customFormat="false" ht="15" hidden="false" customHeight="false" outlineLevel="0" collapsed="false">
      <c r="A1876" s="22" t="n">
        <v>3</v>
      </c>
      <c r="B1876" s="23" t="n">
        <v>45488</v>
      </c>
      <c r="C1876" s="22" t="s">
        <v>193</v>
      </c>
      <c r="D1876" s="24" t="n">
        <v>23</v>
      </c>
    </row>
    <row r="1877" customFormat="false" ht="15" hidden="false" customHeight="false" outlineLevel="0" collapsed="false">
      <c r="A1877" s="22" t="n">
        <v>4</v>
      </c>
      <c r="B1877" s="23" t="n">
        <v>45495</v>
      </c>
      <c r="C1877" s="22" t="s">
        <v>193</v>
      </c>
      <c r="D1877" s="24" t="n">
        <v>35</v>
      </c>
    </row>
    <row r="1878" customFormat="false" ht="15" hidden="false" customHeight="false" outlineLevel="0" collapsed="false">
      <c r="A1878" s="22" t="n">
        <v>5</v>
      </c>
      <c r="B1878" s="23" t="n">
        <v>45502</v>
      </c>
      <c r="C1878" s="22" t="s">
        <v>193</v>
      </c>
      <c r="D1878" s="24" t="n">
        <v>57</v>
      </c>
    </row>
    <row r="1879" customFormat="false" ht="15" hidden="false" customHeight="false" outlineLevel="0" collapsed="false">
      <c r="A1879" s="22" t="n">
        <v>6</v>
      </c>
      <c r="B1879" s="23" t="n">
        <v>45509</v>
      </c>
      <c r="C1879" s="22" t="s">
        <v>193</v>
      </c>
      <c r="D1879" s="24" t="n">
        <v>29</v>
      </c>
    </row>
    <row r="1880" customFormat="false" ht="15" hidden="false" customHeight="false" outlineLevel="0" collapsed="false">
      <c r="A1880" s="22" t="n">
        <v>7</v>
      </c>
      <c r="B1880" s="23" t="n">
        <v>45516</v>
      </c>
      <c r="C1880" s="22" t="s">
        <v>193</v>
      </c>
      <c r="D1880" s="24" t="n">
        <v>27</v>
      </c>
    </row>
    <row r="1881" customFormat="false" ht="15" hidden="false" customHeight="false" outlineLevel="0" collapsed="false">
      <c r="A1881" s="22" t="n">
        <v>8</v>
      </c>
      <c r="B1881" s="23" t="n">
        <v>45523</v>
      </c>
      <c r="C1881" s="22" t="s">
        <v>193</v>
      </c>
      <c r="D1881" s="24" t="n">
        <v>23</v>
      </c>
    </row>
    <row r="1882" customFormat="false" ht="15" hidden="false" customHeight="false" outlineLevel="0" collapsed="false">
      <c r="A1882" s="22" t="n">
        <v>9</v>
      </c>
      <c r="B1882" s="23" t="n">
        <v>45530</v>
      </c>
      <c r="C1882" s="22" t="s">
        <v>193</v>
      </c>
      <c r="D1882" s="24" t="n">
        <v>15</v>
      </c>
    </row>
    <row r="1883" customFormat="false" ht="15" hidden="false" customHeight="false" outlineLevel="0" collapsed="false">
      <c r="A1883" s="22" t="n">
        <v>10</v>
      </c>
      <c r="B1883" s="23" t="n">
        <v>45537</v>
      </c>
      <c r="C1883" s="22" t="s">
        <v>193</v>
      </c>
      <c r="D1883" s="24" t="n">
        <v>42</v>
      </c>
    </row>
    <row r="1884" customFormat="false" ht="15" hidden="false" customHeight="false" outlineLevel="0" collapsed="false">
      <c r="A1884" s="22" t="n">
        <v>11</v>
      </c>
      <c r="B1884" s="23" t="n">
        <v>45544</v>
      </c>
      <c r="C1884" s="22" t="s">
        <v>193</v>
      </c>
      <c r="D1884" s="24" t="n">
        <v>31</v>
      </c>
    </row>
    <row r="1885" customFormat="false" ht="15" hidden="false" customHeight="false" outlineLevel="0" collapsed="false">
      <c r="A1885" s="22" t="n">
        <v>12</v>
      </c>
      <c r="B1885" s="23" t="n">
        <v>45551</v>
      </c>
      <c r="C1885" s="22" t="s">
        <v>193</v>
      </c>
      <c r="D1885" s="24" t="n">
        <v>33</v>
      </c>
    </row>
    <row r="1886" customFormat="false" ht="15" hidden="false" customHeight="false" outlineLevel="0" collapsed="false">
      <c r="A1886" s="22" t="n">
        <v>13</v>
      </c>
      <c r="B1886" s="23" t="n">
        <v>45558</v>
      </c>
      <c r="C1886" s="22" t="s">
        <v>193</v>
      </c>
      <c r="D1886" s="24" t="n">
        <v>49</v>
      </c>
    </row>
    <row r="1887" customFormat="false" ht="15" hidden="false" customHeight="false" outlineLevel="0" collapsed="false">
      <c r="A1887" s="22" t="n">
        <v>14</v>
      </c>
      <c r="B1887" s="23" t="n">
        <v>45565</v>
      </c>
      <c r="C1887" s="22" t="s">
        <v>193</v>
      </c>
      <c r="D1887" s="24" t="n">
        <v>56</v>
      </c>
    </row>
    <row r="1888" customFormat="false" ht="15" hidden="false" customHeight="false" outlineLevel="0" collapsed="false">
      <c r="A1888" s="22" t="n">
        <v>15</v>
      </c>
      <c r="B1888" s="23" t="n">
        <v>45572</v>
      </c>
      <c r="C1888" s="22" t="s">
        <v>193</v>
      </c>
      <c r="D1888" s="24" t="n">
        <v>21</v>
      </c>
    </row>
    <row r="1889" customFormat="false" ht="15" hidden="false" customHeight="false" outlineLevel="0" collapsed="false">
      <c r="A1889" s="22" t="n">
        <v>16</v>
      </c>
      <c r="B1889" s="23" t="n">
        <v>45579</v>
      </c>
      <c r="C1889" s="22" t="s">
        <v>193</v>
      </c>
      <c r="D1889" s="24" t="n">
        <v>41</v>
      </c>
    </row>
    <row r="1890" customFormat="false" ht="15" hidden="false" customHeight="false" outlineLevel="0" collapsed="false">
      <c r="A1890" s="22" t="n">
        <v>17</v>
      </c>
      <c r="B1890" s="23" t="n">
        <v>45586</v>
      </c>
      <c r="C1890" s="22" t="s">
        <v>193</v>
      </c>
      <c r="D1890" s="24" t="n">
        <v>36</v>
      </c>
    </row>
    <row r="1891" customFormat="false" ht="15" hidden="false" customHeight="false" outlineLevel="0" collapsed="false">
      <c r="A1891" s="22" t="n">
        <v>18</v>
      </c>
      <c r="B1891" s="23" t="n">
        <v>45593</v>
      </c>
      <c r="C1891" s="22" t="s">
        <v>193</v>
      </c>
      <c r="D1891" s="24" t="n">
        <v>34</v>
      </c>
    </row>
    <row r="1892" customFormat="false" ht="15" hidden="false" customHeight="false" outlineLevel="0" collapsed="false">
      <c r="A1892" s="22" t="n">
        <v>19</v>
      </c>
      <c r="B1892" s="23" t="n">
        <v>45600</v>
      </c>
      <c r="C1892" s="22" t="s">
        <v>193</v>
      </c>
      <c r="D1892" s="24" t="n">
        <v>35</v>
      </c>
    </row>
    <row r="1893" customFormat="false" ht="15" hidden="false" customHeight="false" outlineLevel="0" collapsed="false">
      <c r="A1893" s="22" t="n">
        <v>20</v>
      </c>
      <c r="B1893" s="23" t="n">
        <v>45607</v>
      </c>
      <c r="C1893" s="22" t="s">
        <v>193</v>
      </c>
      <c r="D1893" s="24" t="n">
        <v>30</v>
      </c>
    </row>
    <row r="1894" customFormat="false" ht="15" hidden="false" customHeight="false" outlineLevel="0" collapsed="false">
      <c r="A1894" s="22" t="n">
        <v>21</v>
      </c>
      <c r="B1894" s="23" t="n">
        <v>45614</v>
      </c>
      <c r="C1894" s="22" t="s">
        <v>193</v>
      </c>
      <c r="D1894" s="24" t="n">
        <v>46</v>
      </c>
    </row>
    <row r="1895" customFormat="false" ht="15" hidden="false" customHeight="false" outlineLevel="0" collapsed="false">
      <c r="A1895" s="22" t="n">
        <v>22</v>
      </c>
      <c r="B1895" s="23" t="n">
        <v>45621</v>
      </c>
      <c r="C1895" s="22" t="s">
        <v>193</v>
      </c>
      <c r="D1895" s="24" t="n">
        <v>36</v>
      </c>
    </row>
    <row r="1896" customFormat="false" ht="15" hidden="false" customHeight="false" outlineLevel="0" collapsed="false">
      <c r="A1896" s="22" t="n">
        <v>23</v>
      </c>
      <c r="B1896" s="23" t="n">
        <v>45628</v>
      </c>
      <c r="C1896" s="22" t="s">
        <v>193</v>
      </c>
      <c r="D1896" s="24" t="n">
        <v>34</v>
      </c>
    </row>
    <row r="1897" customFormat="false" ht="15" hidden="false" customHeight="false" outlineLevel="0" collapsed="false">
      <c r="A1897" s="22" t="n">
        <v>24</v>
      </c>
      <c r="B1897" s="23" t="n">
        <v>45635</v>
      </c>
      <c r="C1897" s="22" t="s">
        <v>193</v>
      </c>
      <c r="D1897" s="24" t="n">
        <v>43</v>
      </c>
    </row>
    <row r="1898" customFormat="false" ht="15" hidden="false" customHeight="false" outlineLevel="0" collapsed="false">
      <c r="A1898" s="22" t="n">
        <v>25</v>
      </c>
      <c r="B1898" s="23" t="n">
        <v>45642</v>
      </c>
      <c r="C1898" s="22" t="s">
        <v>193</v>
      </c>
      <c r="D1898" s="24" t="n">
        <v>39</v>
      </c>
    </row>
    <row r="1899" customFormat="false" ht="15" hidden="false" customHeight="false" outlineLevel="0" collapsed="false">
      <c r="A1899" s="22" t="n">
        <v>26</v>
      </c>
      <c r="B1899" s="23" t="n">
        <v>45649</v>
      </c>
      <c r="C1899" s="22" t="s">
        <v>193</v>
      </c>
      <c r="D1899" s="24" t="n">
        <v>35</v>
      </c>
    </row>
    <row r="1900" customFormat="false" ht="15" hidden="false" customHeight="false" outlineLevel="0" collapsed="false">
      <c r="A1900" s="22" t="n">
        <v>27</v>
      </c>
      <c r="B1900" s="23" t="n">
        <v>45656</v>
      </c>
      <c r="C1900" s="22" t="s">
        <v>193</v>
      </c>
      <c r="D1900" s="24" t="n">
        <v>33</v>
      </c>
    </row>
    <row r="1901" customFormat="false" ht="15" hidden="false" customHeight="false" outlineLevel="0" collapsed="false">
      <c r="A1901" s="22" t="n">
        <v>28</v>
      </c>
      <c r="B1901" s="23" t="n">
        <v>45663</v>
      </c>
      <c r="C1901" s="22" t="s">
        <v>193</v>
      </c>
      <c r="D1901" s="24" t="n">
        <v>48</v>
      </c>
    </row>
    <row r="1902" customFormat="false" ht="15" hidden="false" customHeight="false" outlineLevel="0" collapsed="false">
      <c r="A1902" s="22" t="n">
        <v>29</v>
      </c>
      <c r="B1902" s="23" t="n">
        <v>45670</v>
      </c>
      <c r="C1902" s="22" t="s">
        <v>193</v>
      </c>
      <c r="D1902" s="24" t="n">
        <v>35</v>
      </c>
    </row>
    <row r="1903" customFormat="false" ht="15" hidden="false" customHeight="false" outlineLevel="0" collapsed="false">
      <c r="A1903" s="22" t="n">
        <v>30</v>
      </c>
      <c r="B1903" s="23" t="n">
        <v>45677</v>
      </c>
      <c r="C1903" s="22" t="s">
        <v>193</v>
      </c>
      <c r="D1903" s="24" t="n">
        <v>29</v>
      </c>
    </row>
    <row r="1904" customFormat="false" ht="15" hidden="false" customHeight="false" outlineLevel="0" collapsed="false">
      <c r="A1904" s="22" t="n">
        <v>31</v>
      </c>
      <c r="B1904" s="23" t="n">
        <v>45684</v>
      </c>
      <c r="C1904" s="22" t="s">
        <v>193</v>
      </c>
      <c r="D1904" s="24" t="n">
        <v>21</v>
      </c>
    </row>
    <row r="1905" customFormat="false" ht="15" hidden="false" customHeight="false" outlineLevel="0" collapsed="false">
      <c r="A1905" s="22" t="n">
        <v>32</v>
      </c>
      <c r="B1905" s="23" t="n">
        <v>45691</v>
      </c>
      <c r="C1905" s="22" t="s">
        <v>193</v>
      </c>
      <c r="D1905" s="24" t="n">
        <v>26</v>
      </c>
    </row>
    <row r="1906" customFormat="false" ht="15" hidden="false" customHeight="false" outlineLevel="0" collapsed="false">
      <c r="A1906" s="22" t="n">
        <v>33</v>
      </c>
      <c r="B1906" s="23" t="n">
        <v>45698</v>
      </c>
      <c r="C1906" s="22" t="s">
        <v>193</v>
      </c>
      <c r="D1906" s="24" t="n">
        <v>19</v>
      </c>
    </row>
    <row r="1907" customFormat="false" ht="15" hidden="false" customHeight="false" outlineLevel="0" collapsed="false">
      <c r="A1907" s="22" t="n">
        <v>34</v>
      </c>
      <c r="B1907" s="23" t="n">
        <v>45705</v>
      </c>
      <c r="C1907" s="22" t="s">
        <v>193</v>
      </c>
      <c r="D1907" s="24" t="n">
        <v>31</v>
      </c>
    </row>
    <row r="1908" customFormat="false" ht="15" hidden="false" customHeight="false" outlineLevel="0" collapsed="false">
      <c r="A1908" s="22" t="n">
        <v>35</v>
      </c>
      <c r="B1908" s="23" t="n">
        <v>45712</v>
      </c>
      <c r="C1908" s="22" t="s">
        <v>193</v>
      </c>
      <c r="D1908" s="24" t="n">
        <v>33</v>
      </c>
    </row>
    <row r="1909" customFormat="false" ht="15" hidden="false" customHeight="false" outlineLevel="0" collapsed="false">
      <c r="A1909" s="22" t="n">
        <v>36</v>
      </c>
      <c r="B1909" s="23" t="n">
        <v>45719</v>
      </c>
      <c r="C1909" s="22" t="s">
        <v>193</v>
      </c>
      <c r="D1909" s="24" t="n">
        <v>9</v>
      </c>
    </row>
    <row r="1910" customFormat="false" ht="15" hidden="false" customHeight="false" outlineLevel="0" collapsed="false">
      <c r="A1910" s="22" t="n">
        <v>37</v>
      </c>
      <c r="B1910" s="23" t="n">
        <v>45726</v>
      </c>
      <c r="C1910" s="22" t="s">
        <v>193</v>
      </c>
      <c r="D1910" s="24" t="n">
        <v>30</v>
      </c>
    </row>
    <row r="1911" customFormat="false" ht="15" hidden="false" customHeight="false" outlineLevel="0" collapsed="false">
      <c r="A1911" s="22" t="n">
        <v>38</v>
      </c>
      <c r="B1911" s="23" t="n">
        <v>45733</v>
      </c>
      <c r="C1911" s="22" t="s">
        <v>193</v>
      </c>
      <c r="D1911" s="24" t="n">
        <v>37</v>
      </c>
    </row>
    <row r="1912" customFormat="false" ht="15" hidden="false" customHeight="false" outlineLevel="0" collapsed="false">
      <c r="A1912" s="22" t="n">
        <v>39</v>
      </c>
      <c r="B1912" s="23" t="n">
        <v>45740</v>
      </c>
      <c r="C1912" s="22" t="s">
        <v>193</v>
      </c>
      <c r="D1912" s="24" t="n">
        <v>32</v>
      </c>
    </row>
    <row r="1913" customFormat="false" ht="15" hidden="false" customHeight="false" outlineLevel="0" collapsed="false">
      <c r="A1913" s="22" t="n">
        <v>40</v>
      </c>
      <c r="B1913" s="23" t="n">
        <v>45747</v>
      </c>
      <c r="C1913" s="22" t="s">
        <v>193</v>
      </c>
      <c r="D1913" s="24" t="n">
        <v>20</v>
      </c>
    </row>
    <row r="1914" customFormat="false" ht="15" hidden="false" customHeight="false" outlineLevel="0" collapsed="false">
      <c r="A1914" s="22" t="n">
        <v>41</v>
      </c>
      <c r="B1914" s="23" t="n">
        <v>45754</v>
      </c>
      <c r="C1914" s="22" t="s">
        <v>193</v>
      </c>
      <c r="D1914" s="24" t="n">
        <v>43</v>
      </c>
    </row>
    <row r="1915" customFormat="false" ht="15" hidden="false" customHeight="false" outlineLevel="0" collapsed="false">
      <c r="A1915" s="22" t="n">
        <v>42</v>
      </c>
      <c r="B1915" s="23" t="n">
        <v>45761</v>
      </c>
      <c r="C1915" s="22" t="s">
        <v>193</v>
      </c>
      <c r="D1915" s="24" t="n">
        <v>23</v>
      </c>
    </row>
    <row r="1916" customFormat="false" ht="15" hidden="false" customHeight="false" outlineLevel="0" collapsed="false">
      <c r="A1916" s="22" t="n">
        <v>43</v>
      </c>
      <c r="B1916" s="23" t="n">
        <v>45768</v>
      </c>
      <c r="C1916" s="22" t="s">
        <v>193</v>
      </c>
      <c r="D1916" s="24" t="n">
        <v>17</v>
      </c>
    </row>
    <row r="1917" customFormat="false" ht="15" hidden="false" customHeight="false" outlineLevel="0" collapsed="false">
      <c r="A1917" s="22" t="n">
        <v>44</v>
      </c>
      <c r="B1917" s="23" t="n">
        <v>45775</v>
      </c>
      <c r="C1917" s="22" t="s">
        <v>193</v>
      </c>
      <c r="D1917" s="24" t="n">
        <v>19</v>
      </c>
    </row>
    <row r="1918" customFormat="false" ht="15" hidden="false" customHeight="false" outlineLevel="0" collapsed="false">
      <c r="A1918" s="22" t="n">
        <v>45</v>
      </c>
      <c r="B1918" s="23" t="n">
        <v>45782</v>
      </c>
      <c r="C1918" s="22" t="s">
        <v>193</v>
      </c>
      <c r="D1918" s="24" t="n">
        <v>30</v>
      </c>
    </row>
    <row r="1919" customFormat="false" ht="15" hidden="false" customHeight="false" outlineLevel="0" collapsed="false">
      <c r="A1919" s="22" t="n">
        <v>46</v>
      </c>
      <c r="B1919" s="23" t="n">
        <v>45789</v>
      </c>
      <c r="C1919" s="22" t="s">
        <v>193</v>
      </c>
      <c r="D1919" s="24" t="n">
        <v>40</v>
      </c>
    </row>
    <row r="1920" customFormat="false" ht="15" hidden="false" customHeight="false" outlineLevel="0" collapsed="false">
      <c r="A1920" s="22" t="n">
        <v>47</v>
      </c>
      <c r="B1920" s="23" t="n">
        <v>45796</v>
      </c>
      <c r="C1920" s="22" t="s">
        <v>193</v>
      </c>
      <c r="D1920" s="24" t="n">
        <v>42</v>
      </c>
    </row>
    <row r="1921" customFormat="false" ht="15" hidden="false" customHeight="false" outlineLevel="0" collapsed="false">
      <c r="A1921" s="22" t="n">
        <v>48</v>
      </c>
      <c r="B1921" s="23" t="n">
        <v>45803</v>
      </c>
      <c r="C1921" s="22" t="s">
        <v>193</v>
      </c>
      <c r="D1921" s="24" t="n">
        <v>32</v>
      </c>
    </row>
    <row r="1922" customFormat="false" ht="15" hidden="false" customHeight="false" outlineLevel="0" collapsed="false">
      <c r="A1922" s="22" t="n">
        <v>49</v>
      </c>
      <c r="B1922" s="23" t="n">
        <v>45810</v>
      </c>
      <c r="C1922" s="22" t="s">
        <v>193</v>
      </c>
      <c r="D1922" s="24" t="n">
        <v>18</v>
      </c>
    </row>
    <row r="1923" customFormat="false" ht="15" hidden="false" customHeight="false" outlineLevel="0" collapsed="false">
      <c r="A1923" s="22" t="n">
        <v>50</v>
      </c>
      <c r="B1923" s="23" t="n">
        <v>45817</v>
      </c>
      <c r="C1923" s="22" t="s">
        <v>193</v>
      </c>
      <c r="D1923" s="24" t="n">
        <v>23</v>
      </c>
    </row>
    <row r="1924" customFormat="false" ht="15" hidden="false" customHeight="false" outlineLevel="0" collapsed="false">
      <c r="A1924" s="22" t="n">
        <v>51</v>
      </c>
      <c r="B1924" s="23" t="n">
        <v>45824</v>
      </c>
      <c r="C1924" s="22" t="s">
        <v>193</v>
      </c>
      <c r="D1924" s="24" t="n">
        <v>21</v>
      </c>
    </row>
    <row r="1925" customFormat="false" ht="15" hidden="false" customHeight="false" outlineLevel="0" collapsed="false">
      <c r="A1925" s="22" t="n">
        <v>52</v>
      </c>
      <c r="B1925" s="23" t="n">
        <v>45831</v>
      </c>
      <c r="C1925" s="22" t="s">
        <v>193</v>
      </c>
      <c r="D1925" s="24" t="n">
        <v>28</v>
      </c>
    </row>
    <row r="1926" customFormat="false" ht="15" hidden="false" customHeight="false" outlineLevel="0" collapsed="false">
      <c r="A1926" s="22" t="n">
        <v>53</v>
      </c>
      <c r="B1926" s="23" t="n">
        <v>45838</v>
      </c>
      <c r="C1926" s="22" t="s">
        <v>193</v>
      </c>
      <c r="D1926" s="24" t="n">
        <v>12</v>
      </c>
    </row>
    <row r="1927" customFormat="false" ht="15" hidden="false" customHeight="false" outlineLevel="0" collapsed="false">
      <c r="A1927" s="22" t="n">
        <v>54</v>
      </c>
      <c r="B1927" s="23" t="n">
        <v>45845</v>
      </c>
      <c r="C1927" s="22" t="s">
        <v>193</v>
      </c>
      <c r="D1927" s="24" t="n">
        <v>31</v>
      </c>
    </row>
    <row r="1928" customFormat="false" ht="15" hidden="false" customHeight="false" outlineLevel="0" collapsed="false">
      <c r="A1928" s="22" t="n">
        <v>55</v>
      </c>
      <c r="B1928" s="23" t="n">
        <v>45852</v>
      </c>
      <c r="C1928" s="22" t="s">
        <v>193</v>
      </c>
      <c r="D1928" s="24" t="n">
        <v>37</v>
      </c>
    </row>
    <row r="1929" customFormat="false" ht="15" hidden="false" customHeight="false" outlineLevel="0" collapsed="false">
      <c r="A1929" s="22" t="n">
        <v>56</v>
      </c>
      <c r="B1929" s="23" t="n">
        <v>45859</v>
      </c>
      <c r="C1929" s="22" t="s">
        <v>193</v>
      </c>
      <c r="D1929" s="24" t="n">
        <v>28</v>
      </c>
    </row>
    <row r="1930" customFormat="false" ht="15" hidden="false" customHeight="false" outlineLevel="0" collapsed="false">
      <c r="A1930" s="22" t="n">
        <v>57</v>
      </c>
      <c r="B1930" s="23" t="n">
        <v>45866</v>
      </c>
      <c r="C1930" s="22" t="s">
        <v>193</v>
      </c>
      <c r="D1930" s="24" t="n">
        <v>35</v>
      </c>
    </row>
    <row r="1931" customFormat="false" ht="15" hidden="false" customHeight="false" outlineLevel="0" collapsed="false">
      <c r="A1931" s="22" t="n">
        <v>58</v>
      </c>
      <c r="B1931" s="23" t="n">
        <v>45873</v>
      </c>
      <c r="C1931" s="22" t="s">
        <v>193</v>
      </c>
      <c r="D1931" s="24" t="n">
        <v>20</v>
      </c>
    </row>
    <row r="1932" customFormat="false" ht="15" hidden="false" customHeight="false" outlineLevel="0" collapsed="false">
      <c r="A1932" s="22" t="n">
        <v>59</v>
      </c>
      <c r="B1932" s="23" t="n">
        <v>45880</v>
      </c>
      <c r="C1932" s="22" t="s">
        <v>193</v>
      </c>
      <c r="D1932" s="24" t="n">
        <v>15</v>
      </c>
    </row>
    <row r="1933" customFormat="false" ht="15" hidden="false" customHeight="false" outlineLevel="0" collapsed="false">
      <c r="A1933" s="22" t="n">
        <v>60</v>
      </c>
      <c r="B1933" s="23" t="n">
        <v>45887</v>
      </c>
      <c r="C1933" s="22" t="s">
        <v>193</v>
      </c>
      <c r="D1933" s="24" t="n">
        <v>23</v>
      </c>
    </row>
    <row r="1934" customFormat="false" ht="15" hidden="false" customHeight="false" outlineLevel="0" collapsed="false">
      <c r="A1934" s="22" t="n">
        <v>61</v>
      </c>
      <c r="B1934" s="23" t="n">
        <v>45894</v>
      </c>
      <c r="C1934" s="22" t="s">
        <v>193</v>
      </c>
      <c r="D1934" s="24" t="n">
        <v>42</v>
      </c>
    </row>
    <row r="1935" customFormat="false" ht="15" hidden="false" customHeight="false" outlineLevel="0" collapsed="false">
      <c r="A1935" s="22" t="n">
        <v>62</v>
      </c>
      <c r="B1935" s="23" t="n">
        <v>45901</v>
      </c>
      <c r="C1935" s="22" t="s">
        <v>193</v>
      </c>
      <c r="D1935" s="24" t="n">
        <v>41</v>
      </c>
    </row>
    <row r="1936" customFormat="false" ht="15" hidden="false" customHeight="false" outlineLevel="0" collapsed="false">
      <c r="A1936" s="22" t="n">
        <v>63</v>
      </c>
      <c r="B1936" s="23" t="n">
        <v>45908</v>
      </c>
      <c r="C1936" s="22" t="s">
        <v>193</v>
      </c>
      <c r="D1936" s="24" t="n">
        <v>25</v>
      </c>
    </row>
    <row r="1937" customFormat="false" ht="15" hidden="false" customHeight="false" outlineLevel="0" collapsed="false">
      <c r="A1937" s="22" t="n">
        <v>64</v>
      </c>
      <c r="B1937" s="23" t="n">
        <v>45915</v>
      </c>
      <c r="C1937" s="22" t="s">
        <v>193</v>
      </c>
      <c r="D1937" s="24" t="n">
        <v>42</v>
      </c>
    </row>
    <row r="1938" customFormat="false" ht="15" hidden="false" customHeight="false" outlineLevel="0" collapsed="false">
      <c r="A1938" s="22" t="n">
        <v>65</v>
      </c>
      <c r="B1938" s="23" t="n">
        <v>45922</v>
      </c>
      <c r="C1938" s="22" t="s">
        <v>193</v>
      </c>
      <c r="D1938" s="24" t="n">
        <v>27</v>
      </c>
    </row>
    <row r="1939" customFormat="false" ht="15" hidden="false" customHeight="false" outlineLevel="0" collapsed="false">
      <c r="A1939" s="22" t="n">
        <v>66</v>
      </c>
      <c r="B1939" s="23" t="n">
        <v>45929</v>
      </c>
      <c r="C1939" s="22" t="s">
        <v>193</v>
      </c>
      <c r="D1939" s="24" t="n">
        <v>46</v>
      </c>
    </row>
    <row r="1940" customFormat="false" ht="15" hidden="false" customHeight="false" outlineLevel="0" collapsed="false">
      <c r="A1940" s="22" t="n">
        <v>67</v>
      </c>
      <c r="B1940" s="23" t="n">
        <v>45936</v>
      </c>
      <c r="C1940" s="22" t="s">
        <v>193</v>
      </c>
      <c r="D1940" s="24" t="n">
        <v>35</v>
      </c>
    </row>
    <row r="1941" customFormat="false" ht="15" hidden="false" customHeight="false" outlineLevel="0" collapsed="false">
      <c r="A1941" s="22" t="n">
        <v>68</v>
      </c>
      <c r="B1941" s="23" t="n">
        <v>45943</v>
      </c>
      <c r="C1941" s="22" t="s">
        <v>193</v>
      </c>
      <c r="D1941" s="24" t="n">
        <v>25</v>
      </c>
    </row>
    <row r="1942" customFormat="false" ht="15" hidden="false" customHeight="false" outlineLevel="0" collapsed="false">
      <c r="A1942" s="22" t="n">
        <v>69</v>
      </c>
      <c r="B1942" s="23" t="n">
        <v>45950</v>
      </c>
      <c r="C1942" s="22" t="s">
        <v>193</v>
      </c>
      <c r="D1942" s="24" t="n">
        <v>38</v>
      </c>
    </row>
    <row r="1943" customFormat="false" ht="15" hidden="false" customHeight="false" outlineLevel="0" collapsed="false">
      <c r="A1943" s="22" t="n">
        <v>70</v>
      </c>
      <c r="B1943" s="23" t="n">
        <v>45957</v>
      </c>
      <c r="C1943" s="22" t="s">
        <v>193</v>
      </c>
      <c r="D1943" s="24" t="n">
        <v>22</v>
      </c>
    </row>
    <row r="1944" customFormat="false" ht="15" hidden="false" customHeight="false" outlineLevel="0" collapsed="false">
      <c r="A1944" s="22" t="n">
        <v>71</v>
      </c>
      <c r="B1944" s="23" t="n">
        <v>45964</v>
      </c>
      <c r="C1944" s="22" t="s">
        <v>193</v>
      </c>
      <c r="D1944" s="24" t="n">
        <v>20</v>
      </c>
    </row>
    <row r="1945" customFormat="false" ht="15" hidden="false" customHeight="false" outlineLevel="0" collapsed="false">
      <c r="A1945" s="22" t="n">
        <v>72</v>
      </c>
      <c r="B1945" s="23" t="n">
        <v>45971</v>
      </c>
      <c r="C1945" s="22" t="s">
        <v>193</v>
      </c>
      <c r="D1945" s="24" t="n">
        <v>15</v>
      </c>
    </row>
    <row r="1946" customFormat="false" ht="15" hidden="false" customHeight="false" outlineLevel="0" collapsed="false">
      <c r="A1946" s="22" t="n">
        <v>73</v>
      </c>
      <c r="B1946" s="23" t="n">
        <v>45978</v>
      </c>
      <c r="C1946" s="22" t="s">
        <v>193</v>
      </c>
      <c r="D1946" s="24" t="n">
        <v>33</v>
      </c>
    </row>
    <row r="1947" customFormat="false" ht="15" hidden="false" customHeight="false" outlineLevel="0" collapsed="false">
      <c r="A1947" s="22" t="n">
        <v>74</v>
      </c>
      <c r="B1947" s="23" t="n">
        <v>45985</v>
      </c>
      <c r="C1947" s="22" t="s">
        <v>193</v>
      </c>
      <c r="D1947" s="24" t="n">
        <v>29</v>
      </c>
    </row>
    <row r="1948" customFormat="false" ht="15" hidden="false" customHeight="false" outlineLevel="0" collapsed="false">
      <c r="A1948" s="22" t="n">
        <v>75</v>
      </c>
      <c r="B1948" s="23" t="n">
        <v>45992</v>
      </c>
      <c r="C1948" s="22" t="s">
        <v>193</v>
      </c>
      <c r="D1948" s="24" t="n">
        <v>29</v>
      </c>
    </row>
    <row r="1949" customFormat="false" ht="15" hidden="false" customHeight="false" outlineLevel="0" collapsed="false">
      <c r="A1949" s="22" t="n">
        <v>76</v>
      </c>
      <c r="B1949" s="23" t="n">
        <v>45999</v>
      </c>
      <c r="C1949" s="22" t="s">
        <v>193</v>
      </c>
      <c r="D1949" s="24" t="n">
        <v>26</v>
      </c>
    </row>
    <row r="1950" customFormat="false" ht="15" hidden="false" customHeight="false" outlineLevel="0" collapsed="false">
      <c r="A1950" s="22" t="n">
        <v>77</v>
      </c>
      <c r="B1950" s="23" t="n">
        <v>46006</v>
      </c>
      <c r="C1950" s="22" t="s">
        <v>193</v>
      </c>
      <c r="D1950" s="24" t="n">
        <v>45</v>
      </c>
    </row>
    <row r="1951" customFormat="false" ht="15" hidden="false" customHeight="false" outlineLevel="0" collapsed="false">
      <c r="A1951" s="22" t="n">
        <v>78</v>
      </c>
      <c r="B1951" s="23" t="n">
        <v>46013</v>
      </c>
      <c r="C1951" s="22" t="s">
        <v>193</v>
      </c>
      <c r="D1951" s="24" t="n">
        <v>26</v>
      </c>
    </row>
    <row r="1952" customFormat="false" ht="15" hidden="false" customHeight="false" outlineLevel="0" collapsed="false">
      <c r="A1952" s="22" t="n">
        <v>79</v>
      </c>
      <c r="B1952" s="23" t="n">
        <v>46020</v>
      </c>
      <c r="C1952" s="22" t="s">
        <v>193</v>
      </c>
      <c r="D1952" s="24" t="n">
        <v>23</v>
      </c>
    </row>
    <row r="1953" customFormat="false" ht="15" hidden="false" customHeight="false" outlineLevel="0" collapsed="false">
      <c r="A1953" s="22" t="n">
        <v>80</v>
      </c>
      <c r="B1953" s="23" t="n">
        <v>46027</v>
      </c>
      <c r="C1953" s="22" t="s">
        <v>193</v>
      </c>
      <c r="D1953" s="24" t="n">
        <v>43</v>
      </c>
    </row>
    <row r="1954" customFormat="false" ht="15" hidden="false" customHeight="false" outlineLevel="0" collapsed="false">
      <c r="A1954" s="22" t="n">
        <v>81</v>
      </c>
      <c r="B1954" s="23" t="n">
        <v>46034</v>
      </c>
      <c r="C1954" s="22" t="s">
        <v>193</v>
      </c>
      <c r="D1954" s="24" t="n">
        <v>45</v>
      </c>
    </row>
    <row r="1955" customFormat="false" ht="15" hidden="false" customHeight="false" outlineLevel="0" collapsed="false">
      <c r="A1955" s="22" t="n">
        <v>82</v>
      </c>
      <c r="B1955" s="23" t="n">
        <v>46041</v>
      </c>
      <c r="C1955" s="22" t="s">
        <v>193</v>
      </c>
      <c r="D1955" s="24" t="n">
        <v>33</v>
      </c>
    </row>
    <row r="1956" customFormat="false" ht="15" hidden="false" customHeight="false" outlineLevel="0" collapsed="false">
      <c r="A1956" s="22" t="n">
        <v>83</v>
      </c>
      <c r="B1956" s="23" t="n">
        <v>46048</v>
      </c>
      <c r="C1956" s="22" t="s">
        <v>193</v>
      </c>
      <c r="D1956" s="24" t="n">
        <v>12</v>
      </c>
    </row>
    <row r="1957" customFormat="false" ht="15" hidden="false" customHeight="false" outlineLevel="0" collapsed="false">
      <c r="A1957" s="22" t="n">
        <v>84</v>
      </c>
      <c r="B1957" s="23" t="n">
        <v>46055</v>
      </c>
      <c r="C1957" s="22" t="s">
        <v>193</v>
      </c>
      <c r="D1957" s="24" t="n">
        <v>24</v>
      </c>
    </row>
    <row r="1958" customFormat="false" ht="15" hidden="false" customHeight="false" outlineLevel="0" collapsed="false">
      <c r="A1958" s="22" t="n">
        <v>85</v>
      </c>
      <c r="B1958" s="23" t="n">
        <v>46062</v>
      </c>
      <c r="C1958" s="22" t="s">
        <v>193</v>
      </c>
      <c r="D1958" s="24" t="n">
        <v>36</v>
      </c>
    </row>
    <row r="1959" customFormat="false" ht="15" hidden="false" customHeight="false" outlineLevel="0" collapsed="false">
      <c r="A1959" s="22" t="n">
        <v>86</v>
      </c>
      <c r="B1959" s="23" t="n">
        <v>46069</v>
      </c>
      <c r="C1959" s="22" t="s">
        <v>193</v>
      </c>
      <c r="D1959" s="24" t="n">
        <v>30</v>
      </c>
    </row>
    <row r="1960" customFormat="false" ht="15" hidden="false" customHeight="false" outlineLevel="0" collapsed="false">
      <c r="A1960" s="22" t="n">
        <v>87</v>
      </c>
      <c r="B1960" s="23" t="n">
        <v>46076</v>
      </c>
      <c r="C1960" s="22" t="s">
        <v>193</v>
      </c>
      <c r="D1960" s="24" t="n">
        <v>46</v>
      </c>
    </row>
    <row r="1961" customFormat="false" ht="15" hidden="false" customHeight="false" outlineLevel="0" collapsed="false">
      <c r="A1961" s="22" t="n">
        <v>88</v>
      </c>
      <c r="B1961" s="23" t="n">
        <v>46083</v>
      </c>
      <c r="C1961" s="22" t="s">
        <v>193</v>
      </c>
      <c r="D1961" s="24" t="n">
        <v>16</v>
      </c>
    </row>
    <row r="1962" customFormat="false" ht="15" hidden="false" customHeight="false" outlineLevel="0" collapsed="false">
      <c r="A1962" s="22" t="n">
        <v>89</v>
      </c>
      <c r="B1962" s="23" t="n">
        <v>46090</v>
      </c>
      <c r="C1962" s="22" t="s">
        <v>193</v>
      </c>
      <c r="D1962" s="24" t="n">
        <v>37</v>
      </c>
    </row>
    <row r="1963" customFormat="false" ht="15" hidden="false" customHeight="false" outlineLevel="0" collapsed="false">
      <c r="A1963" s="22" t="n">
        <v>90</v>
      </c>
      <c r="B1963" s="23" t="n">
        <v>46097</v>
      </c>
      <c r="C1963" s="22" t="s">
        <v>193</v>
      </c>
      <c r="D1963" s="24" t="n">
        <v>24</v>
      </c>
    </row>
    <row r="1964" customFormat="false" ht="15" hidden="false" customHeight="false" outlineLevel="0" collapsed="false">
      <c r="A1964" s="22" t="n">
        <v>91</v>
      </c>
      <c r="B1964" s="23" t="n">
        <v>46104</v>
      </c>
      <c r="C1964" s="22" t="s">
        <v>193</v>
      </c>
      <c r="D1964" s="24" t="n">
        <v>44</v>
      </c>
    </row>
    <row r="1965" customFormat="false" ht="15" hidden="false" customHeight="false" outlineLevel="0" collapsed="false">
      <c r="A1965" s="22" t="n">
        <v>92</v>
      </c>
      <c r="B1965" s="23" t="n">
        <v>46111</v>
      </c>
      <c r="C1965" s="22" t="s">
        <v>193</v>
      </c>
      <c r="D1965" s="24" t="n">
        <v>29</v>
      </c>
    </row>
    <row r="1966" customFormat="false" ht="15" hidden="false" customHeight="false" outlineLevel="0" collapsed="false">
      <c r="A1966" s="22" t="n">
        <v>93</v>
      </c>
      <c r="B1966" s="23" t="n">
        <v>46118</v>
      </c>
      <c r="C1966" s="22" t="s">
        <v>193</v>
      </c>
      <c r="D1966" s="24" t="n">
        <v>41</v>
      </c>
    </row>
    <row r="1967" customFormat="false" ht="15" hidden="false" customHeight="false" outlineLevel="0" collapsed="false">
      <c r="A1967" s="22" t="n">
        <v>94</v>
      </c>
      <c r="B1967" s="23" t="n">
        <v>46125</v>
      </c>
      <c r="C1967" s="22" t="s">
        <v>193</v>
      </c>
      <c r="D1967" s="24" t="n">
        <v>23</v>
      </c>
    </row>
    <row r="1968" customFormat="false" ht="15" hidden="false" customHeight="false" outlineLevel="0" collapsed="false">
      <c r="A1968" s="22" t="n">
        <v>95</v>
      </c>
      <c r="B1968" s="23" t="n">
        <v>46132</v>
      </c>
      <c r="C1968" s="22" t="s">
        <v>193</v>
      </c>
      <c r="D1968" s="24" t="n">
        <v>15</v>
      </c>
    </row>
    <row r="1969" customFormat="false" ht="15" hidden="false" customHeight="false" outlineLevel="0" collapsed="false">
      <c r="A1969" s="22" t="n">
        <v>96</v>
      </c>
      <c r="B1969" s="23" t="n">
        <v>46139</v>
      </c>
      <c r="C1969" s="22" t="s">
        <v>193</v>
      </c>
      <c r="D1969" s="24" t="n">
        <v>19</v>
      </c>
    </row>
    <row r="1970" customFormat="false" ht="15" hidden="false" customHeight="false" outlineLevel="0" collapsed="false">
      <c r="A1970" s="22" t="n">
        <v>97</v>
      </c>
      <c r="B1970" s="23" t="n">
        <v>46146</v>
      </c>
      <c r="C1970" s="22" t="s">
        <v>193</v>
      </c>
      <c r="D1970" s="24" t="n">
        <v>24</v>
      </c>
    </row>
    <row r="1971" customFormat="false" ht="15" hidden="false" customHeight="false" outlineLevel="0" collapsed="false">
      <c r="A1971" s="22" t="n">
        <v>98</v>
      </c>
      <c r="B1971" s="23" t="n">
        <v>46153</v>
      </c>
      <c r="C1971" s="22" t="s">
        <v>193</v>
      </c>
      <c r="D1971" s="24" t="n">
        <v>19</v>
      </c>
    </row>
    <row r="1972" customFormat="false" ht="15" hidden="false" customHeight="false" outlineLevel="0" collapsed="false">
      <c r="A1972" s="22" t="n">
        <v>99</v>
      </c>
      <c r="B1972" s="23" t="n">
        <v>46160</v>
      </c>
      <c r="C1972" s="22" t="s">
        <v>193</v>
      </c>
      <c r="D1972" s="24" t="n">
        <v>42</v>
      </c>
    </row>
    <row r="1973" customFormat="false" ht="15" hidden="false" customHeight="false" outlineLevel="0" collapsed="false">
      <c r="A1973" s="22" t="n">
        <v>100</v>
      </c>
      <c r="B1973" s="23" t="n">
        <v>46167</v>
      </c>
      <c r="C1973" s="22" t="s">
        <v>193</v>
      </c>
      <c r="D1973" s="24" t="n">
        <v>44</v>
      </c>
    </row>
    <row r="1974" customFormat="false" ht="15" hidden="false" customHeight="false" outlineLevel="0" collapsed="false">
      <c r="A1974" s="22" t="n">
        <v>101</v>
      </c>
      <c r="B1974" s="23" t="n">
        <v>46174</v>
      </c>
      <c r="C1974" s="22" t="s">
        <v>193</v>
      </c>
      <c r="D1974" s="24" t="n">
        <v>33</v>
      </c>
    </row>
    <row r="1975" customFormat="false" ht="15" hidden="false" customHeight="false" outlineLevel="0" collapsed="false">
      <c r="A1975" s="22" t="n">
        <v>102</v>
      </c>
      <c r="B1975" s="23" t="n">
        <v>46181</v>
      </c>
      <c r="C1975" s="22" t="s">
        <v>193</v>
      </c>
      <c r="D1975" s="24" t="n">
        <v>19</v>
      </c>
    </row>
    <row r="1976" customFormat="false" ht="15" hidden="false" customHeight="false" outlineLevel="0" collapsed="false">
      <c r="A1976" s="22" t="n">
        <v>103</v>
      </c>
      <c r="B1976" s="23" t="n">
        <v>46188</v>
      </c>
      <c r="C1976" s="22" t="s">
        <v>193</v>
      </c>
      <c r="D1976" s="24" t="n">
        <v>29</v>
      </c>
    </row>
    <row r="1977" customFormat="false" ht="15" hidden="false" customHeight="false" outlineLevel="0" collapsed="false">
      <c r="A1977" s="22" t="n">
        <v>104</v>
      </c>
      <c r="B1977" s="23" t="n">
        <v>46195</v>
      </c>
      <c r="C1977" s="22" t="s">
        <v>193</v>
      </c>
      <c r="D1977" s="24" t="n">
        <v>23</v>
      </c>
    </row>
    <row r="1978" customFormat="false" ht="15" hidden="false" customHeight="false" outlineLevel="0" collapsed="false">
      <c r="A1978" s="22" t="n">
        <v>1</v>
      </c>
      <c r="B1978" s="23" t="n">
        <v>45474</v>
      </c>
      <c r="C1978" s="22" t="s">
        <v>195</v>
      </c>
      <c r="D1978" s="24" t="n">
        <v>47</v>
      </c>
    </row>
    <row r="1979" customFormat="false" ht="15" hidden="false" customHeight="false" outlineLevel="0" collapsed="false">
      <c r="A1979" s="22" t="n">
        <v>2</v>
      </c>
      <c r="B1979" s="23" t="n">
        <v>45481</v>
      </c>
      <c r="C1979" s="22" t="s">
        <v>195</v>
      </c>
      <c r="D1979" s="24" t="n">
        <v>41</v>
      </c>
    </row>
    <row r="1980" customFormat="false" ht="15" hidden="false" customHeight="false" outlineLevel="0" collapsed="false">
      <c r="A1980" s="22" t="n">
        <v>3</v>
      </c>
      <c r="B1980" s="23" t="n">
        <v>45488</v>
      </c>
      <c r="C1980" s="22" t="s">
        <v>195</v>
      </c>
      <c r="D1980" s="24" t="n">
        <v>43</v>
      </c>
    </row>
    <row r="1981" customFormat="false" ht="15" hidden="false" customHeight="false" outlineLevel="0" collapsed="false">
      <c r="A1981" s="22" t="n">
        <v>4</v>
      </c>
      <c r="B1981" s="23" t="n">
        <v>45495</v>
      </c>
      <c r="C1981" s="22" t="s">
        <v>195</v>
      </c>
      <c r="D1981" s="24" t="n">
        <v>38</v>
      </c>
    </row>
    <row r="1982" customFormat="false" ht="15" hidden="false" customHeight="false" outlineLevel="0" collapsed="false">
      <c r="A1982" s="22" t="n">
        <v>5</v>
      </c>
      <c r="B1982" s="23" t="n">
        <v>45502</v>
      </c>
      <c r="C1982" s="22" t="s">
        <v>195</v>
      </c>
      <c r="D1982" s="24" t="n">
        <v>29</v>
      </c>
    </row>
    <row r="1983" customFormat="false" ht="15" hidden="false" customHeight="false" outlineLevel="0" collapsed="false">
      <c r="A1983" s="22" t="n">
        <v>6</v>
      </c>
      <c r="B1983" s="23" t="n">
        <v>45509</v>
      </c>
      <c r="C1983" s="22" t="s">
        <v>195</v>
      </c>
      <c r="D1983" s="24" t="n">
        <v>37</v>
      </c>
    </row>
    <row r="1984" customFormat="false" ht="15" hidden="false" customHeight="false" outlineLevel="0" collapsed="false">
      <c r="A1984" s="22" t="n">
        <v>7</v>
      </c>
      <c r="B1984" s="23" t="n">
        <v>45516</v>
      </c>
      <c r="C1984" s="22" t="s">
        <v>195</v>
      </c>
      <c r="D1984" s="24" t="n">
        <v>35</v>
      </c>
    </row>
    <row r="1985" customFormat="false" ht="15" hidden="false" customHeight="false" outlineLevel="0" collapsed="false">
      <c r="A1985" s="22" t="n">
        <v>8</v>
      </c>
      <c r="B1985" s="23" t="n">
        <v>45523</v>
      </c>
      <c r="C1985" s="22" t="s">
        <v>195</v>
      </c>
      <c r="D1985" s="24" t="n">
        <v>44</v>
      </c>
    </row>
    <row r="1986" customFormat="false" ht="15" hidden="false" customHeight="false" outlineLevel="0" collapsed="false">
      <c r="A1986" s="22" t="n">
        <v>9</v>
      </c>
      <c r="B1986" s="23" t="n">
        <v>45530</v>
      </c>
      <c r="C1986" s="22" t="s">
        <v>195</v>
      </c>
      <c r="D1986" s="24" t="n">
        <v>43</v>
      </c>
    </row>
    <row r="1987" customFormat="false" ht="15" hidden="false" customHeight="false" outlineLevel="0" collapsed="false">
      <c r="A1987" s="22" t="n">
        <v>10</v>
      </c>
      <c r="B1987" s="23" t="n">
        <v>45537</v>
      </c>
      <c r="C1987" s="22" t="s">
        <v>195</v>
      </c>
      <c r="D1987" s="24" t="n">
        <v>38</v>
      </c>
    </row>
    <row r="1988" customFormat="false" ht="15" hidden="false" customHeight="false" outlineLevel="0" collapsed="false">
      <c r="A1988" s="22" t="n">
        <v>11</v>
      </c>
      <c r="B1988" s="23" t="n">
        <v>45544</v>
      </c>
      <c r="C1988" s="22" t="s">
        <v>195</v>
      </c>
      <c r="D1988" s="24" t="n">
        <v>41</v>
      </c>
    </row>
    <row r="1989" customFormat="false" ht="15" hidden="false" customHeight="false" outlineLevel="0" collapsed="false">
      <c r="A1989" s="22" t="n">
        <v>12</v>
      </c>
      <c r="B1989" s="23" t="n">
        <v>45551</v>
      </c>
      <c r="C1989" s="22" t="s">
        <v>195</v>
      </c>
      <c r="D1989" s="24" t="n">
        <v>53</v>
      </c>
    </row>
    <row r="1990" customFormat="false" ht="15" hidden="false" customHeight="false" outlineLevel="0" collapsed="false">
      <c r="A1990" s="22" t="n">
        <v>13</v>
      </c>
      <c r="B1990" s="23" t="n">
        <v>45558</v>
      </c>
      <c r="C1990" s="22" t="s">
        <v>195</v>
      </c>
      <c r="D1990" s="24" t="n">
        <v>38</v>
      </c>
    </row>
    <row r="1991" customFormat="false" ht="15" hidden="false" customHeight="false" outlineLevel="0" collapsed="false">
      <c r="A1991" s="22" t="n">
        <v>14</v>
      </c>
      <c r="B1991" s="23" t="n">
        <v>45565</v>
      </c>
      <c r="C1991" s="22" t="s">
        <v>195</v>
      </c>
      <c r="D1991" s="24" t="n">
        <v>39</v>
      </c>
    </row>
    <row r="1992" customFormat="false" ht="15" hidden="false" customHeight="false" outlineLevel="0" collapsed="false">
      <c r="A1992" s="22" t="n">
        <v>15</v>
      </c>
      <c r="B1992" s="23" t="n">
        <v>45572</v>
      </c>
      <c r="C1992" s="22" t="s">
        <v>195</v>
      </c>
      <c r="D1992" s="24" t="n">
        <v>44</v>
      </c>
    </row>
    <row r="1993" customFormat="false" ht="15" hidden="false" customHeight="false" outlineLevel="0" collapsed="false">
      <c r="A1993" s="22" t="n">
        <v>16</v>
      </c>
      <c r="B1993" s="23" t="n">
        <v>45579</v>
      </c>
      <c r="C1993" s="22" t="s">
        <v>195</v>
      </c>
      <c r="D1993" s="24" t="n">
        <v>41</v>
      </c>
    </row>
    <row r="1994" customFormat="false" ht="15" hidden="false" customHeight="false" outlineLevel="0" collapsed="false">
      <c r="A1994" s="22" t="n">
        <v>17</v>
      </c>
      <c r="B1994" s="23" t="n">
        <v>45586</v>
      </c>
      <c r="C1994" s="22" t="s">
        <v>195</v>
      </c>
      <c r="D1994" s="24" t="n">
        <v>43</v>
      </c>
    </row>
    <row r="1995" customFormat="false" ht="15" hidden="false" customHeight="false" outlineLevel="0" collapsed="false">
      <c r="A1995" s="22" t="n">
        <v>18</v>
      </c>
      <c r="B1995" s="23" t="n">
        <v>45593</v>
      </c>
      <c r="C1995" s="22" t="s">
        <v>195</v>
      </c>
      <c r="D1995" s="24" t="n">
        <v>50</v>
      </c>
    </row>
    <row r="1996" customFormat="false" ht="15" hidden="false" customHeight="false" outlineLevel="0" collapsed="false">
      <c r="A1996" s="22" t="n">
        <v>19</v>
      </c>
      <c r="B1996" s="23" t="n">
        <v>45600</v>
      </c>
      <c r="C1996" s="22" t="s">
        <v>195</v>
      </c>
      <c r="D1996" s="24" t="n">
        <v>58</v>
      </c>
    </row>
    <row r="1997" customFormat="false" ht="15" hidden="false" customHeight="false" outlineLevel="0" collapsed="false">
      <c r="A1997" s="22" t="n">
        <v>20</v>
      </c>
      <c r="B1997" s="23" t="n">
        <v>45607</v>
      </c>
      <c r="C1997" s="22" t="s">
        <v>195</v>
      </c>
      <c r="D1997" s="24" t="n">
        <v>36</v>
      </c>
    </row>
    <row r="1998" customFormat="false" ht="15" hidden="false" customHeight="false" outlineLevel="0" collapsed="false">
      <c r="A1998" s="22" t="n">
        <v>21</v>
      </c>
      <c r="B1998" s="23" t="n">
        <v>45614</v>
      </c>
      <c r="C1998" s="22" t="s">
        <v>195</v>
      </c>
      <c r="D1998" s="24" t="n">
        <v>48</v>
      </c>
    </row>
    <row r="1999" customFormat="false" ht="15" hidden="false" customHeight="false" outlineLevel="0" collapsed="false">
      <c r="A1999" s="22" t="n">
        <v>22</v>
      </c>
      <c r="B1999" s="23" t="n">
        <v>45621</v>
      </c>
      <c r="C1999" s="22" t="s">
        <v>195</v>
      </c>
      <c r="D1999" s="24" t="n">
        <v>48</v>
      </c>
    </row>
    <row r="2000" customFormat="false" ht="15" hidden="false" customHeight="false" outlineLevel="0" collapsed="false">
      <c r="A2000" s="22" t="n">
        <v>23</v>
      </c>
      <c r="B2000" s="23" t="n">
        <v>45628</v>
      </c>
      <c r="C2000" s="22" t="s">
        <v>195</v>
      </c>
      <c r="D2000" s="24" t="n">
        <v>48</v>
      </c>
    </row>
    <row r="2001" customFormat="false" ht="15" hidden="false" customHeight="false" outlineLevel="0" collapsed="false">
      <c r="A2001" s="22" t="n">
        <v>24</v>
      </c>
      <c r="B2001" s="23" t="n">
        <v>45635</v>
      </c>
      <c r="C2001" s="22" t="s">
        <v>195</v>
      </c>
      <c r="D2001" s="24" t="n">
        <v>48</v>
      </c>
    </row>
    <row r="2002" customFormat="false" ht="15" hidden="false" customHeight="false" outlineLevel="0" collapsed="false">
      <c r="A2002" s="22" t="n">
        <v>25</v>
      </c>
      <c r="B2002" s="23" t="n">
        <v>45642</v>
      </c>
      <c r="C2002" s="22" t="s">
        <v>195</v>
      </c>
      <c r="D2002" s="24" t="n">
        <v>47</v>
      </c>
    </row>
    <row r="2003" customFormat="false" ht="15" hidden="false" customHeight="false" outlineLevel="0" collapsed="false">
      <c r="A2003" s="22" t="n">
        <v>26</v>
      </c>
      <c r="B2003" s="23" t="n">
        <v>45649</v>
      </c>
      <c r="C2003" s="22" t="s">
        <v>195</v>
      </c>
      <c r="D2003" s="24" t="n">
        <v>57</v>
      </c>
    </row>
    <row r="2004" customFormat="false" ht="15" hidden="false" customHeight="false" outlineLevel="0" collapsed="false">
      <c r="A2004" s="22" t="n">
        <v>27</v>
      </c>
      <c r="B2004" s="23" t="n">
        <v>45656</v>
      </c>
      <c r="C2004" s="22" t="s">
        <v>195</v>
      </c>
      <c r="D2004" s="24" t="n">
        <v>47</v>
      </c>
    </row>
    <row r="2005" customFormat="false" ht="15" hidden="false" customHeight="false" outlineLevel="0" collapsed="false">
      <c r="A2005" s="22" t="n">
        <v>28</v>
      </c>
      <c r="B2005" s="23" t="n">
        <v>45663</v>
      </c>
      <c r="C2005" s="22" t="s">
        <v>195</v>
      </c>
      <c r="D2005" s="24" t="n">
        <v>50</v>
      </c>
    </row>
    <row r="2006" customFormat="false" ht="15" hidden="false" customHeight="false" outlineLevel="0" collapsed="false">
      <c r="A2006" s="22" t="n">
        <v>29</v>
      </c>
      <c r="B2006" s="23" t="n">
        <v>45670</v>
      </c>
      <c r="C2006" s="22" t="s">
        <v>195</v>
      </c>
      <c r="D2006" s="24" t="n">
        <v>51</v>
      </c>
    </row>
    <row r="2007" customFormat="false" ht="15" hidden="false" customHeight="false" outlineLevel="0" collapsed="false">
      <c r="A2007" s="22" t="n">
        <v>30</v>
      </c>
      <c r="B2007" s="23" t="n">
        <v>45677</v>
      </c>
      <c r="C2007" s="22" t="s">
        <v>195</v>
      </c>
      <c r="D2007" s="24" t="n">
        <v>52</v>
      </c>
    </row>
    <row r="2008" customFormat="false" ht="15" hidden="false" customHeight="false" outlineLevel="0" collapsed="false">
      <c r="A2008" s="22" t="n">
        <v>31</v>
      </c>
      <c r="B2008" s="23" t="n">
        <v>45684</v>
      </c>
      <c r="C2008" s="22" t="s">
        <v>195</v>
      </c>
      <c r="D2008" s="24" t="n">
        <v>51</v>
      </c>
    </row>
    <row r="2009" customFormat="false" ht="15" hidden="false" customHeight="false" outlineLevel="0" collapsed="false">
      <c r="A2009" s="22" t="n">
        <v>32</v>
      </c>
      <c r="B2009" s="23" t="n">
        <v>45691</v>
      </c>
      <c r="C2009" s="22" t="s">
        <v>195</v>
      </c>
      <c r="D2009" s="24" t="n">
        <v>60</v>
      </c>
    </row>
    <row r="2010" customFormat="false" ht="15" hidden="false" customHeight="false" outlineLevel="0" collapsed="false">
      <c r="A2010" s="22" t="n">
        <v>33</v>
      </c>
      <c r="B2010" s="23" t="n">
        <v>45698</v>
      </c>
      <c r="C2010" s="22" t="s">
        <v>195</v>
      </c>
      <c r="D2010" s="24" t="n">
        <v>53</v>
      </c>
    </row>
    <row r="2011" customFormat="false" ht="15" hidden="false" customHeight="false" outlineLevel="0" collapsed="false">
      <c r="A2011" s="22" t="n">
        <v>34</v>
      </c>
      <c r="B2011" s="23" t="n">
        <v>45705</v>
      </c>
      <c r="C2011" s="22" t="s">
        <v>195</v>
      </c>
      <c r="D2011" s="24" t="n">
        <v>55</v>
      </c>
    </row>
    <row r="2012" customFormat="false" ht="15" hidden="false" customHeight="false" outlineLevel="0" collapsed="false">
      <c r="A2012" s="22" t="n">
        <v>35</v>
      </c>
      <c r="B2012" s="23" t="n">
        <v>45712</v>
      </c>
      <c r="C2012" s="22" t="s">
        <v>195</v>
      </c>
      <c r="D2012" s="24" t="n">
        <v>53</v>
      </c>
    </row>
    <row r="2013" customFormat="false" ht="15" hidden="false" customHeight="false" outlineLevel="0" collapsed="false">
      <c r="A2013" s="22" t="n">
        <v>36</v>
      </c>
      <c r="B2013" s="23" t="n">
        <v>45719</v>
      </c>
      <c r="C2013" s="22" t="s">
        <v>195</v>
      </c>
      <c r="D2013" s="24" t="n">
        <v>47</v>
      </c>
    </row>
    <row r="2014" customFormat="false" ht="15" hidden="false" customHeight="false" outlineLevel="0" collapsed="false">
      <c r="A2014" s="22" t="n">
        <v>37</v>
      </c>
      <c r="B2014" s="23" t="n">
        <v>45726</v>
      </c>
      <c r="C2014" s="22" t="s">
        <v>195</v>
      </c>
      <c r="D2014" s="24" t="n">
        <v>48</v>
      </c>
    </row>
    <row r="2015" customFormat="false" ht="15" hidden="false" customHeight="false" outlineLevel="0" collapsed="false">
      <c r="A2015" s="22" t="n">
        <v>38</v>
      </c>
      <c r="B2015" s="23" t="n">
        <v>45733</v>
      </c>
      <c r="C2015" s="22" t="s">
        <v>195</v>
      </c>
      <c r="D2015" s="24" t="n">
        <v>47</v>
      </c>
    </row>
    <row r="2016" customFormat="false" ht="15" hidden="false" customHeight="false" outlineLevel="0" collapsed="false">
      <c r="A2016" s="22" t="n">
        <v>39</v>
      </c>
      <c r="B2016" s="23" t="n">
        <v>45740</v>
      </c>
      <c r="C2016" s="22" t="s">
        <v>195</v>
      </c>
      <c r="D2016" s="24" t="n">
        <v>57</v>
      </c>
    </row>
    <row r="2017" customFormat="false" ht="15" hidden="false" customHeight="false" outlineLevel="0" collapsed="false">
      <c r="A2017" s="22" t="n">
        <v>40</v>
      </c>
      <c r="B2017" s="23" t="n">
        <v>45747</v>
      </c>
      <c r="C2017" s="22" t="s">
        <v>195</v>
      </c>
      <c r="D2017" s="24" t="n">
        <v>50</v>
      </c>
    </row>
    <row r="2018" customFormat="false" ht="15" hidden="false" customHeight="false" outlineLevel="0" collapsed="false">
      <c r="A2018" s="22" t="n">
        <v>41</v>
      </c>
      <c r="B2018" s="23" t="n">
        <v>45754</v>
      </c>
      <c r="C2018" s="22" t="s">
        <v>195</v>
      </c>
      <c r="D2018" s="24" t="n">
        <v>48</v>
      </c>
    </row>
    <row r="2019" customFormat="false" ht="15" hidden="false" customHeight="false" outlineLevel="0" collapsed="false">
      <c r="A2019" s="22" t="n">
        <v>42</v>
      </c>
      <c r="B2019" s="23" t="n">
        <v>45761</v>
      </c>
      <c r="C2019" s="22" t="s">
        <v>195</v>
      </c>
      <c r="D2019" s="24" t="n">
        <v>59</v>
      </c>
    </row>
    <row r="2020" customFormat="false" ht="15" hidden="false" customHeight="false" outlineLevel="0" collapsed="false">
      <c r="A2020" s="22" t="n">
        <v>43</v>
      </c>
      <c r="B2020" s="23" t="n">
        <v>45768</v>
      </c>
      <c r="C2020" s="22" t="s">
        <v>195</v>
      </c>
      <c r="D2020" s="24" t="n">
        <v>62</v>
      </c>
    </row>
    <row r="2021" customFormat="false" ht="15" hidden="false" customHeight="false" outlineLevel="0" collapsed="false">
      <c r="A2021" s="22" t="n">
        <v>44</v>
      </c>
      <c r="B2021" s="23" t="n">
        <v>45775</v>
      </c>
      <c r="C2021" s="22" t="s">
        <v>195</v>
      </c>
      <c r="D2021" s="24" t="n">
        <v>44</v>
      </c>
    </row>
    <row r="2022" customFormat="false" ht="15" hidden="false" customHeight="false" outlineLevel="0" collapsed="false">
      <c r="A2022" s="22" t="n">
        <v>45</v>
      </c>
      <c r="B2022" s="23" t="n">
        <v>45782</v>
      </c>
      <c r="C2022" s="22" t="s">
        <v>195</v>
      </c>
      <c r="D2022" s="24" t="n">
        <v>72</v>
      </c>
    </row>
    <row r="2023" customFormat="false" ht="15" hidden="false" customHeight="false" outlineLevel="0" collapsed="false">
      <c r="A2023" s="22" t="n">
        <v>46</v>
      </c>
      <c r="B2023" s="23" t="n">
        <v>45789</v>
      </c>
      <c r="C2023" s="22" t="s">
        <v>195</v>
      </c>
      <c r="D2023" s="24" t="n">
        <v>59</v>
      </c>
    </row>
    <row r="2024" customFormat="false" ht="15" hidden="false" customHeight="false" outlineLevel="0" collapsed="false">
      <c r="A2024" s="22" t="n">
        <v>47</v>
      </c>
      <c r="B2024" s="23" t="n">
        <v>45796</v>
      </c>
      <c r="C2024" s="22" t="s">
        <v>195</v>
      </c>
      <c r="D2024" s="24" t="n">
        <v>58</v>
      </c>
    </row>
    <row r="2025" customFormat="false" ht="15" hidden="false" customHeight="false" outlineLevel="0" collapsed="false">
      <c r="A2025" s="22" t="n">
        <v>48</v>
      </c>
      <c r="B2025" s="23" t="n">
        <v>45803</v>
      </c>
      <c r="C2025" s="22" t="s">
        <v>195</v>
      </c>
      <c r="D2025" s="24" t="n">
        <v>68</v>
      </c>
    </row>
    <row r="2026" customFormat="false" ht="15" hidden="false" customHeight="false" outlineLevel="0" collapsed="false">
      <c r="A2026" s="22" t="n">
        <v>49</v>
      </c>
      <c r="B2026" s="23" t="n">
        <v>45810</v>
      </c>
      <c r="C2026" s="22" t="s">
        <v>195</v>
      </c>
      <c r="D2026" s="24" t="n">
        <v>61</v>
      </c>
    </row>
    <row r="2027" customFormat="false" ht="15" hidden="false" customHeight="false" outlineLevel="0" collapsed="false">
      <c r="A2027" s="22" t="n">
        <v>50</v>
      </c>
      <c r="B2027" s="23" t="n">
        <v>45817</v>
      </c>
      <c r="C2027" s="22" t="s">
        <v>195</v>
      </c>
      <c r="D2027" s="24" t="n">
        <v>55</v>
      </c>
    </row>
    <row r="2028" customFormat="false" ht="15" hidden="false" customHeight="false" outlineLevel="0" collapsed="false">
      <c r="A2028" s="22" t="n">
        <v>51</v>
      </c>
      <c r="B2028" s="23" t="n">
        <v>45824</v>
      </c>
      <c r="C2028" s="22" t="s">
        <v>195</v>
      </c>
      <c r="D2028" s="24" t="n">
        <v>80</v>
      </c>
    </row>
    <row r="2029" customFormat="false" ht="15" hidden="false" customHeight="false" outlineLevel="0" collapsed="false">
      <c r="A2029" s="22" t="n">
        <v>52</v>
      </c>
      <c r="B2029" s="23" t="n">
        <v>45831</v>
      </c>
      <c r="C2029" s="22" t="s">
        <v>195</v>
      </c>
      <c r="D2029" s="24" t="n">
        <v>52</v>
      </c>
    </row>
    <row r="2030" customFormat="false" ht="15" hidden="false" customHeight="false" outlineLevel="0" collapsed="false">
      <c r="A2030" s="22" t="n">
        <v>53</v>
      </c>
      <c r="B2030" s="23" t="n">
        <v>45838</v>
      </c>
      <c r="C2030" s="22" t="s">
        <v>195</v>
      </c>
      <c r="D2030" s="24" t="n">
        <v>61</v>
      </c>
    </row>
    <row r="2031" customFormat="false" ht="15" hidden="false" customHeight="false" outlineLevel="0" collapsed="false">
      <c r="A2031" s="22" t="n">
        <v>54</v>
      </c>
      <c r="B2031" s="23" t="n">
        <v>45845</v>
      </c>
      <c r="C2031" s="22" t="s">
        <v>195</v>
      </c>
      <c r="D2031" s="24" t="n">
        <v>70</v>
      </c>
    </row>
    <row r="2032" customFormat="false" ht="15" hidden="false" customHeight="false" outlineLevel="0" collapsed="false">
      <c r="A2032" s="22" t="n">
        <v>55</v>
      </c>
      <c r="B2032" s="23" t="n">
        <v>45852</v>
      </c>
      <c r="C2032" s="22" t="s">
        <v>195</v>
      </c>
      <c r="D2032" s="24" t="n">
        <v>53</v>
      </c>
    </row>
    <row r="2033" customFormat="false" ht="15" hidden="false" customHeight="false" outlineLevel="0" collapsed="false">
      <c r="A2033" s="22" t="n">
        <v>56</v>
      </c>
      <c r="B2033" s="23" t="n">
        <v>45859</v>
      </c>
      <c r="C2033" s="22" t="s">
        <v>195</v>
      </c>
      <c r="D2033" s="24" t="n">
        <v>62</v>
      </c>
    </row>
    <row r="2034" customFormat="false" ht="15" hidden="false" customHeight="false" outlineLevel="0" collapsed="false">
      <c r="A2034" s="22" t="n">
        <v>57</v>
      </c>
      <c r="B2034" s="23" t="n">
        <v>45866</v>
      </c>
      <c r="C2034" s="22" t="s">
        <v>195</v>
      </c>
      <c r="D2034" s="24" t="n">
        <v>67</v>
      </c>
    </row>
    <row r="2035" customFormat="false" ht="15" hidden="false" customHeight="false" outlineLevel="0" collapsed="false">
      <c r="A2035" s="22" t="n">
        <v>58</v>
      </c>
      <c r="B2035" s="23" t="n">
        <v>45873</v>
      </c>
      <c r="C2035" s="22" t="s">
        <v>195</v>
      </c>
      <c r="D2035" s="24" t="n">
        <v>85</v>
      </c>
    </row>
    <row r="2036" customFormat="false" ht="15" hidden="false" customHeight="false" outlineLevel="0" collapsed="false">
      <c r="A2036" s="22" t="n">
        <v>59</v>
      </c>
      <c r="B2036" s="23" t="n">
        <v>45880</v>
      </c>
      <c r="C2036" s="22" t="s">
        <v>195</v>
      </c>
      <c r="D2036" s="24" t="n">
        <v>56</v>
      </c>
    </row>
    <row r="2037" customFormat="false" ht="15" hidden="false" customHeight="false" outlineLevel="0" collapsed="false">
      <c r="A2037" s="22" t="n">
        <v>60</v>
      </c>
      <c r="B2037" s="23" t="n">
        <v>45887</v>
      </c>
      <c r="C2037" s="22" t="s">
        <v>195</v>
      </c>
      <c r="D2037" s="24" t="n">
        <v>64</v>
      </c>
    </row>
    <row r="2038" customFormat="false" ht="15" hidden="false" customHeight="false" outlineLevel="0" collapsed="false">
      <c r="A2038" s="22" t="n">
        <v>61</v>
      </c>
      <c r="B2038" s="23" t="n">
        <v>45894</v>
      </c>
      <c r="C2038" s="22" t="s">
        <v>195</v>
      </c>
      <c r="D2038" s="24" t="n">
        <v>71</v>
      </c>
    </row>
    <row r="2039" customFormat="false" ht="15" hidden="false" customHeight="false" outlineLevel="0" collapsed="false">
      <c r="A2039" s="22" t="n">
        <v>62</v>
      </c>
      <c r="B2039" s="23" t="n">
        <v>45901</v>
      </c>
      <c r="C2039" s="22" t="s">
        <v>195</v>
      </c>
      <c r="D2039" s="24" t="n">
        <v>66</v>
      </c>
    </row>
    <row r="2040" customFormat="false" ht="15" hidden="false" customHeight="false" outlineLevel="0" collapsed="false">
      <c r="A2040" s="22" t="n">
        <v>63</v>
      </c>
      <c r="B2040" s="23" t="n">
        <v>45908</v>
      </c>
      <c r="C2040" s="22" t="s">
        <v>195</v>
      </c>
      <c r="D2040" s="24" t="n">
        <v>55</v>
      </c>
    </row>
    <row r="2041" customFormat="false" ht="15" hidden="false" customHeight="false" outlineLevel="0" collapsed="false">
      <c r="A2041" s="22" t="n">
        <v>64</v>
      </c>
      <c r="B2041" s="23" t="n">
        <v>45915</v>
      </c>
      <c r="C2041" s="22" t="s">
        <v>195</v>
      </c>
      <c r="D2041" s="24" t="n">
        <v>70</v>
      </c>
    </row>
    <row r="2042" customFormat="false" ht="15" hidden="false" customHeight="false" outlineLevel="0" collapsed="false">
      <c r="A2042" s="22" t="n">
        <v>65</v>
      </c>
      <c r="B2042" s="23" t="n">
        <v>45922</v>
      </c>
      <c r="C2042" s="22" t="s">
        <v>195</v>
      </c>
      <c r="D2042" s="24" t="n">
        <v>68</v>
      </c>
    </row>
    <row r="2043" customFormat="false" ht="15" hidden="false" customHeight="false" outlineLevel="0" collapsed="false">
      <c r="A2043" s="22" t="n">
        <v>66</v>
      </c>
      <c r="B2043" s="23" t="n">
        <v>45929</v>
      </c>
      <c r="C2043" s="22" t="s">
        <v>195</v>
      </c>
      <c r="D2043" s="24" t="n">
        <v>72</v>
      </c>
    </row>
    <row r="2044" customFormat="false" ht="15" hidden="false" customHeight="false" outlineLevel="0" collapsed="false">
      <c r="A2044" s="22" t="n">
        <v>67</v>
      </c>
      <c r="B2044" s="23" t="n">
        <v>45936</v>
      </c>
      <c r="C2044" s="22" t="s">
        <v>195</v>
      </c>
      <c r="D2044" s="24" t="n">
        <v>79</v>
      </c>
    </row>
    <row r="2045" customFormat="false" ht="15" hidden="false" customHeight="false" outlineLevel="0" collapsed="false">
      <c r="A2045" s="22" t="n">
        <v>68</v>
      </c>
      <c r="B2045" s="23" t="n">
        <v>45943</v>
      </c>
      <c r="C2045" s="22" t="s">
        <v>195</v>
      </c>
      <c r="D2045" s="24" t="n">
        <v>78</v>
      </c>
    </row>
    <row r="2046" customFormat="false" ht="15" hidden="false" customHeight="false" outlineLevel="0" collapsed="false">
      <c r="A2046" s="22" t="n">
        <v>69</v>
      </c>
      <c r="B2046" s="23" t="n">
        <v>45950</v>
      </c>
      <c r="C2046" s="22" t="s">
        <v>195</v>
      </c>
      <c r="D2046" s="24" t="n">
        <v>73</v>
      </c>
    </row>
    <row r="2047" customFormat="false" ht="15" hidden="false" customHeight="false" outlineLevel="0" collapsed="false">
      <c r="A2047" s="22" t="n">
        <v>70</v>
      </c>
      <c r="B2047" s="23" t="n">
        <v>45957</v>
      </c>
      <c r="C2047" s="22" t="s">
        <v>195</v>
      </c>
      <c r="D2047" s="24" t="n">
        <v>72</v>
      </c>
    </row>
    <row r="2048" customFormat="false" ht="15" hidden="false" customHeight="false" outlineLevel="0" collapsed="false">
      <c r="A2048" s="22" t="n">
        <v>71</v>
      </c>
      <c r="B2048" s="23" t="n">
        <v>45964</v>
      </c>
      <c r="C2048" s="22" t="s">
        <v>195</v>
      </c>
      <c r="D2048" s="24" t="n">
        <v>59</v>
      </c>
    </row>
    <row r="2049" customFormat="false" ht="15" hidden="false" customHeight="false" outlineLevel="0" collapsed="false">
      <c r="A2049" s="22" t="n">
        <v>72</v>
      </c>
      <c r="B2049" s="23" t="n">
        <v>45971</v>
      </c>
      <c r="C2049" s="22" t="s">
        <v>195</v>
      </c>
      <c r="D2049" s="24" t="n">
        <v>69</v>
      </c>
    </row>
    <row r="2050" customFormat="false" ht="15" hidden="false" customHeight="false" outlineLevel="0" collapsed="false">
      <c r="A2050" s="22" t="n">
        <v>73</v>
      </c>
      <c r="B2050" s="23" t="n">
        <v>45978</v>
      </c>
      <c r="C2050" s="22" t="s">
        <v>195</v>
      </c>
      <c r="D2050" s="24" t="n">
        <v>73</v>
      </c>
    </row>
    <row r="2051" customFormat="false" ht="15" hidden="false" customHeight="false" outlineLevel="0" collapsed="false">
      <c r="A2051" s="22" t="n">
        <v>74</v>
      </c>
      <c r="B2051" s="23" t="n">
        <v>45985</v>
      </c>
      <c r="C2051" s="22" t="s">
        <v>195</v>
      </c>
      <c r="D2051" s="24" t="n">
        <v>67</v>
      </c>
    </row>
    <row r="2052" customFormat="false" ht="15" hidden="false" customHeight="false" outlineLevel="0" collapsed="false">
      <c r="A2052" s="22" t="n">
        <v>75</v>
      </c>
      <c r="B2052" s="23" t="n">
        <v>45992</v>
      </c>
      <c r="C2052" s="22" t="s">
        <v>195</v>
      </c>
      <c r="D2052" s="24" t="n">
        <v>72</v>
      </c>
    </row>
    <row r="2053" customFormat="false" ht="15" hidden="false" customHeight="false" outlineLevel="0" collapsed="false">
      <c r="A2053" s="22" t="n">
        <v>76</v>
      </c>
      <c r="B2053" s="23" t="n">
        <v>45999</v>
      </c>
      <c r="C2053" s="22" t="s">
        <v>195</v>
      </c>
      <c r="D2053" s="24" t="n">
        <v>63</v>
      </c>
    </row>
    <row r="2054" customFormat="false" ht="15" hidden="false" customHeight="false" outlineLevel="0" collapsed="false">
      <c r="A2054" s="22" t="n">
        <v>77</v>
      </c>
      <c r="B2054" s="23" t="n">
        <v>46006</v>
      </c>
      <c r="C2054" s="22" t="s">
        <v>195</v>
      </c>
      <c r="D2054" s="24" t="n">
        <v>88</v>
      </c>
    </row>
    <row r="2055" customFormat="false" ht="15" hidden="false" customHeight="false" outlineLevel="0" collapsed="false">
      <c r="A2055" s="22" t="n">
        <v>78</v>
      </c>
      <c r="B2055" s="23" t="n">
        <v>46013</v>
      </c>
      <c r="C2055" s="22" t="s">
        <v>195</v>
      </c>
      <c r="D2055" s="24" t="n">
        <v>95</v>
      </c>
    </row>
    <row r="2056" customFormat="false" ht="15" hidden="false" customHeight="false" outlineLevel="0" collapsed="false">
      <c r="A2056" s="22" t="n">
        <v>79</v>
      </c>
      <c r="B2056" s="23" t="n">
        <v>46020</v>
      </c>
      <c r="C2056" s="22" t="s">
        <v>195</v>
      </c>
      <c r="D2056" s="24" t="n">
        <v>69</v>
      </c>
    </row>
    <row r="2057" customFormat="false" ht="15" hidden="false" customHeight="false" outlineLevel="0" collapsed="false">
      <c r="A2057" s="22" t="n">
        <v>80</v>
      </c>
      <c r="B2057" s="23" t="n">
        <v>46027</v>
      </c>
      <c r="C2057" s="22" t="s">
        <v>195</v>
      </c>
      <c r="D2057" s="24" t="n">
        <v>78</v>
      </c>
    </row>
    <row r="2058" customFormat="false" ht="15" hidden="false" customHeight="false" outlineLevel="0" collapsed="false">
      <c r="A2058" s="22" t="n">
        <v>81</v>
      </c>
      <c r="B2058" s="23" t="n">
        <v>46034</v>
      </c>
      <c r="C2058" s="22" t="s">
        <v>195</v>
      </c>
      <c r="D2058" s="24" t="n">
        <v>72</v>
      </c>
    </row>
    <row r="2059" customFormat="false" ht="15" hidden="false" customHeight="false" outlineLevel="0" collapsed="false">
      <c r="A2059" s="22" t="n">
        <v>82</v>
      </c>
      <c r="B2059" s="23" t="n">
        <v>46041</v>
      </c>
      <c r="C2059" s="22" t="s">
        <v>195</v>
      </c>
      <c r="D2059" s="24" t="n">
        <v>88</v>
      </c>
    </row>
    <row r="2060" customFormat="false" ht="15" hidden="false" customHeight="false" outlineLevel="0" collapsed="false">
      <c r="A2060" s="22" t="n">
        <v>83</v>
      </c>
      <c r="B2060" s="23" t="n">
        <v>46048</v>
      </c>
      <c r="C2060" s="22" t="s">
        <v>195</v>
      </c>
      <c r="D2060" s="24" t="n">
        <v>79</v>
      </c>
    </row>
    <row r="2061" customFormat="false" ht="15" hidden="false" customHeight="false" outlineLevel="0" collapsed="false">
      <c r="A2061" s="22" t="n">
        <v>84</v>
      </c>
      <c r="B2061" s="23" t="n">
        <v>46055</v>
      </c>
      <c r="C2061" s="22" t="s">
        <v>195</v>
      </c>
      <c r="D2061" s="24" t="n">
        <v>76</v>
      </c>
    </row>
    <row r="2062" customFormat="false" ht="15" hidden="false" customHeight="false" outlineLevel="0" collapsed="false">
      <c r="A2062" s="22" t="n">
        <v>85</v>
      </c>
      <c r="B2062" s="23" t="n">
        <v>46062</v>
      </c>
      <c r="C2062" s="22" t="s">
        <v>195</v>
      </c>
      <c r="D2062" s="24" t="n">
        <v>73</v>
      </c>
    </row>
    <row r="2063" customFormat="false" ht="15" hidden="false" customHeight="false" outlineLevel="0" collapsed="false">
      <c r="A2063" s="22" t="n">
        <v>86</v>
      </c>
      <c r="B2063" s="23" t="n">
        <v>46069</v>
      </c>
      <c r="C2063" s="22" t="s">
        <v>195</v>
      </c>
      <c r="D2063" s="24" t="n">
        <v>77</v>
      </c>
    </row>
    <row r="2064" customFormat="false" ht="15" hidden="false" customHeight="false" outlineLevel="0" collapsed="false">
      <c r="A2064" s="22" t="n">
        <v>87</v>
      </c>
      <c r="B2064" s="23" t="n">
        <v>46076</v>
      </c>
      <c r="C2064" s="22" t="s">
        <v>195</v>
      </c>
      <c r="D2064" s="24" t="n">
        <v>66</v>
      </c>
    </row>
    <row r="2065" customFormat="false" ht="15" hidden="false" customHeight="false" outlineLevel="0" collapsed="false">
      <c r="A2065" s="22" t="n">
        <v>88</v>
      </c>
      <c r="B2065" s="23" t="n">
        <v>46083</v>
      </c>
      <c r="C2065" s="22" t="s">
        <v>195</v>
      </c>
      <c r="D2065" s="24" t="n">
        <v>84</v>
      </c>
    </row>
    <row r="2066" customFormat="false" ht="15" hidden="false" customHeight="false" outlineLevel="0" collapsed="false">
      <c r="A2066" s="22" t="n">
        <v>89</v>
      </c>
      <c r="B2066" s="23" t="n">
        <v>46090</v>
      </c>
      <c r="C2066" s="22" t="s">
        <v>195</v>
      </c>
      <c r="D2066" s="24" t="n">
        <v>70</v>
      </c>
    </row>
    <row r="2067" customFormat="false" ht="15" hidden="false" customHeight="false" outlineLevel="0" collapsed="false">
      <c r="A2067" s="22" t="n">
        <v>90</v>
      </c>
      <c r="B2067" s="23" t="n">
        <v>46097</v>
      </c>
      <c r="C2067" s="22" t="s">
        <v>195</v>
      </c>
      <c r="D2067" s="24" t="n">
        <v>84</v>
      </c>
    </row>
    <row r="2068" customFormat="false" ht="15" hidden="false" customHeight="false" outlineLevel="0" collapsed="false">
      <c r="A2068" s="22" t="n">
        <v>91</v>
      </c>
      <c r="B2068" s="23" t="n">
        <v>46104</v>
      </c>
      <c r="C2068" s="22" t="s">
        <v>195</v>
      </c>
      <c r="D2068" s="24" t="n">
        <v>80</v>
      </c>
    </row>
    <row r="2069" customFormat="false" ht="15" hidden="false" customHeight="false" outlineLevel="0" collapsed="false">
      <c r="A2069" s="22" t="n">
        <v>92</v>
      </c>
      <c r="B2069" s="23" t="n">
        <v>46111</v>
      </c>
      <c r="C2069" s="22" t="s">
        <v>195</v>
      </c>
      <c r="D2069" s="24" t="n">
        <v>91</v>
      </c>
    </row>
    <row r="2070" customFormat="false" ht="15" hidden="false" customHeight="false" outlineLevel="0" collapsed="false">
      <c r="A2070" s="22" t="n">
        <v>93</v>
      </c>
      <c r="B2070" s="23" t="n">
        <v>46118</v>
      </c>
      <c r="C2070" s="22" t="s">
        <v>195</v>
      </c>
      <c r="D2070" s="24" t="n">
        <v>79</v>
      </c>
    </row>
    <row r="2071" customFormat="false" ht="15" hidden="false" customHeight="false" outlineLevel="0" collapsed="false">
      <c r="A2071" s="22" t="n">
        <v>94</v>
      </c>
      <c r="B2071" s="23" t="n">
        <v>46125</v>
      </c>
      <c r="C2071" s="22" t="s">
        <v>195</v>
      </c>
      <c r="D2071" s="24" t="n">
        <v>91</v>
      </c>
    </row>
    <row r="2072" customFormat="false" ht="15" hidden="false" customHeight="false" outlineLevel="0" collapsed="false">
      <c r="A2072" s="22" t="n">
        <v>95</v>
      </c>
      <c r="B2072" s="23" t="n">
        <v>46132</v>
      </c>
      <c r="C2072" s="22" t="s">
        <v>195</v>
      </c>
      <c r="D2072" s="24" t="n">
        <v>70</v>
      </c>
    </row>
    <row r="2073" customFormat="false" ht="15" hidden="false" customHeight="false" outlineLevel="0" collapsed="false">
      <c r="A2073" s="22" t="n">
        <v>96</v>
      </c>
      <c r="B2073" s="23" t="n">
        <v>46139</v>
      </c>
      <c r="C2073" s="22" t="s">
        <v>195</v>
      </c>
      <c r="D2073" s="24" t="n">
        <v>87</v>
      </c>
    </row>
    <row r="2074" customFormat="false" ht="15" hidden="false" customHeight="false" outlineLevel="0" collapsed="false">
      <c r="A2074" s="22" t="n">
        <v>97</v>
      </c>
      <c r="B2074" s="23" t="n">
        <v>46146</v>
      </c>
      <c r="C2074" s="22" t="s">
        <v>195</v>
      </c>
      <c r="D2074" s="24" t="n">
        <v>78</v>
      </c>
    </row>
    <row r="2075" customFormat="false" ht="15" hidden="false" customHeight="false" outlineLevel="0" collapsed="false">
      <c r="A2075" s="22" t="n">
        <v>98</v>
      </c>
      <c r="B2075" s="23" t="n">
        <v>46153</v>
      </c>
      <c r="C2075" s="22" t="s">
        <v>195</v>
      </c>
      <c r="D2075" s="24" t="n">
        <v>84</v>
      </c>
    </row>
    <row r="2076" customFormat="false" ht="15" hidden="false" customHeight="false" outlineLevel="0" collapsed="false">
      <c r="A2076" s="22" t="n">
        <v>99</v>
      </c>
      <c r="B2076" s="23" t="n">
        <v>46160</v>
      </c>
      <c r="C2076" s="22" t="s">
        <v>195</v>
      </c>
      <c r="D2076" s="24" t="n">
        <v>83</v>
      </c>
    </row>
    <row r="2077" customFormat="false" ht="15" hidden="false" customHeight="false" outlineLevel="0" collapsed="false">
      <c r="A2077" s="22" t="n">
        <v>100</v>
      </c>
      <c r="B2077" s="23" t="n">
        <v>46167</v>
      </c>
      <c r="C2077" s="22" t="s">
        <v>195</v>
      </c>
      <c r="D2077" s="24" t="n">
        <v>93</v>
      </c>
    </row>
    <row r="2078" customFormat="false" ht="15" hidden="false" customHeight="false" outlineLevel="0" collapsed="false">
      <c r="A2078" s="22" t="n">
        <v>101</v>
      </c>
      <c r="B2078" s="23" t="n">
        <v>46174</v>
      </c>
      <c r="C2078" s="22" t="s">
        <v>195</v>
      </c>
      <c r="D2078" s="24" t="n">
        <v>59</v>
      </c>
    </row>
    <row r="2079" customFormat="false" ht="15" hidden="false" customHeight="false" outlineLevel="0" collapsed="false">
      <c r="A2079" s="22" t="n">
        <v>102</v>
      </c>
      <c r="B2079" s="23" t="n">
        <v>46181</v>
      </c>
      <c r="C2079" s="22" t="s">
        <v>195</v>
      </c>
      <c r="D2079" s="24" t="n">
        <v>87</v>
      </c>
    </row>
    <row r="2080" customFormat="false" ht="15" hidden="false" customHeight="false" outlineLevel="0" collapsed="false">
      <c r="A2080" s="22" t="n">
        <v>103</v>
      </c>
      <c r="B2080" s="23" t="n">
        <v>46188</v>
      </c>
      <c r="C2080" s="22" t="s">
        <v>195</v>
      </c>
      <c r="D2080" s="24" t="n">
        <v>66</v>
      </c>
    </row>
    <row r="2081" customFormat="false" ht="15" hidden="false" customHeight="false" outlineLevel="0" collapsed="false">
      <c r="A2081" s="22" t="n">
        <v>104</v>
      </c>
      <c r="B2081" s="23" t="n">
        <v>46195</v>
      </c>
      <c r="C2081" s="22" t="s">
        <v>195</v>
      </c>
      <c r="D2081" s="24" t="n">
        <v>98</v>
      </c>
    </row>
    <row r="2082" customFormat="false" ht="15" hidden="false" customHeight="false" outlineLevel="0" collapsed="false">
      <c r="A2082" s="22" t="n">
        <v>1</v>
      </c>
      <c r="B2082" s="23" t="n">
        <v>45474</v>
      </c>
      <c r="C2082" s="22" t="s">
        <v>197</v>
      </c>
      <c r="D2082" s="24" t="n">
        <v>34</v>
      </c>
    </row>
    <row r="2083" customFormat="false" ht="15" hidden="false" customHeight="false" outlineLevel="0" collapsed="false">
      <c r="A2083" s="22" t="n">
        <v>2</v>
      </c>
      <c r="B2083" s="23" t="n">
        <v>45481</v>
      </c>
      <c r="C2083" s="22" t="s">
        <v>197</v>
      </c>
      <c r="D2083" s="24" t="n">
        <v>31</v>
      </c>
    </row>
    <row r="2084" customFormat="false" ht="15" hidden="false" customHeight="false" outlineLevel="0" collapsed="false">
      <c r="A2084" s="22" t="n">
        <v>3</v>
      </c>
      <c r="B2084" s="23" t="n">
        <v>45488</v>
      </c>
      <c r="C2084" s="22" t="s">
        <v>197</v>
      </c>
      <c r="D2084" s="24" t="n">
        <v>49</v>
      </c>
    </row>
    <row r="2085" customFormat="false" ht="15" hidden="false" customHeight="false" outlineLevel="0" collapsed="false">
      <c r="A2085" s="22" t="n">
        <v>4</v>
      </c>
      <c r="B2085" s="23" t="n">
        <v>45495</v>
      </c>
      <c r="C2085" s="22" t="s">
        <v>197</v>
      </c>
      <c r="D2085" s="24" t="n">
        <v>33</v>
      </c>
    </row>
    <row r="2086" customFormat="false" ht="15" hidden="false" customHeight="false" outlineLevel="0" collapsed="false">
      <c r="A2086" s="22" t="n">
        <v>5</v>
      </c>
      <c r="B2086" s="23" t="n">
        <v>45502</v>
      </c>
      <c r="C2086" s="22" t="s">
        <v>197</v>
      </c>
      <c r="D2086" s="24" t="n">
        <v>41</v>
      </c>
    </row>
    <row r="2087" customFormat="false" ht="15" hidden="false" customHeight="false" outlineLevel="0" collapsed="false">
      <c r="A2087" s="22" t="n">
        <v>6</v>
      </c>
      <c r="B2087" s="23" t="n">
        <v>45509</v>
      </c>
      <c r="C2087" s="22" t="s">
        <v>197</v>
      </c>
      <c r="D2087" s="24" t="n">
        <v>37</v>
      </c>
    </row>
    <row r="2088" customFormat="false" ht="15" hidden="false" customHeight="false" outlineLevel="0" collapsed="false">
      <c r="A2088" s="22" t="n">
        <v>7</v>
      </c>
      <c r="B2088" s="23" t="n">
        <v>45516</v>
      </c>
      <c r="C2088" s="22" t="s">
        <v>197</v>
      </c>
      <c r="D2088" s="24" t="n">
        <v>30</v>
      </c>
    </row>
    <row r="2089" customFormat="false" ht="15" hidden="false" customHeight="false" outlineLevel="0" collapsed="false">
      <c r="A2089" s="22" t="n">
        <v>8</v>
      </c>
      <c r="B2089" s="23" t="n">
        <v>45523</v>
      </c>
      <c r="C2089" s="22" t="s">
        <v>197</v>
      </c>
      <c r="D2089" s="24" t="n">
        <v>38</v>
      </c>
    </row>
    <row r="2090" customFormat="false" ht="15" hidden="false" customHeight="false" outlineLevel="0" collapsed="false">
      <c r="A2090" s="22" t="n">
        <v>9</v>
      </c>
      <c r="B2090" s="23" t="n">
        <v>45530</v>
      </c>
      <c r="C2090" s="22" t="s">
        <v>197</v>
      </c>
      <c r="D2090" s="24" t="n">
        <v>44</v>
      </c>
    </row>
    <row r="2091" customFormat="false" ht="15" hidden="false" customHeight="false" outlineLevel="0" collapsed="false">
      <c r="A2091" s="22" t="n">
        <v>10</v>
      </c>
      <c r="B2091" s="23" t="n">
        <v>45537</v>
      </c>
      <c r="C2091" s="22" t="s">
        <v>197</v>
      </c>
      <c r="D2091" s="24" t="n">
        <v>39</v>
      </c>
    </row>
    <row r="2092" customFormat="false" ht="15" hidden="false" customHeight="false" outlineLevel="0" collapsed="false">
      <c r="A2092" s="22" t="n">
        <v>11</v>
      </c>
      <c r="B2092" s="23" t="n">
        <v>45544</v>
      </c>
      <c r="C2092" s="22" t="s">
        <v>197</v>
      </c>
      <c r="D2092" s="24" t="n">
        <v>45</v>
      </c>
    </row>
    <row r="2093" customFormat="false" ht="15" hidden="false" customHeight="false" outlineLevel="0" collapsed="false">
      <c r="A2093" s="22" t="n">
        <v>12</v>
      </c>
      <c r="B2093" s="23" t="n">
        <v>45551</v>
      </c>
      <c r="C2093" s="22" t="s">
        <v>197</v>
      </c>
      <c r="D2093" s="24" t="n">
        <v>38</v>
      </c>
    </row>
    <row r="2094" customFormat="false" ht="15" hidden="false" customHeight="false" outlineLevel="0" collapsed="false">
      <c r="A2094" s="22" t="n">
        <v>13</v>
      </c>
      <c r="B2094" s="23" t="n">
        <v>45558</v>
      </c>
      <c r="C2094" s="22" t="s">
        <v>197</v>
      </c>
      <c r="D2094" s="24" t="n">
        <v>40</v>
      </c>
    </row>
    <row r="2095" customFormat="false" ht="15" hidden="false" customHeight="false" outlineLevel="0" collapsed="false">
      <c r="A2095" s="22" t="n">
        <v>14</v>
      </c>
      <c r="B2095" s="23" t="n">
        <v>45565</v>
      </c>
      <c r="C2095" s="22" t="s">
        <v>197</v>
      </c>
      <c r="D2095" s="24" t="n">
        <v>38</v>
      </c>
    </row>
    <row r="2096" customFormat="false" ht="15" hidden="false" customHeight="false" outlineLevel="0" collapsed="false">
      <c r="A2096" s="22" t="n">
        <v>15</v>
      </c>
      <c r="B2096" s="23" t="n">
        <v>45572</v>
      </c>
      <c r="C2096" s="22" t="s">
        <v>197</v>
      </c>
      <c r="D2096" s="24" t="n">
        <v>42</v>
      </c>
    </row>
    <row r="2097" customFormat="false" ht="15" hidden="false" customHeight="false" outlineLevel="0" collapsed="false">
      <c r="A2097" s="22" t="n">
        <v>16</v>
      </c>
      <c r="B2097" s="23" t="n">
        <v>45579</v>
      </c>
      <c r="C2097" s="22" t="s">
        <v>197</v>
      </c>
      <c r="D2097" s="24" t="n">
        <v>51</v>
      </c>
    </row>
    <row r="2098" customFormat="false" ht="15" hidden="false" customHeight="false" outlineLevel="0" collapsed="false">
      <c r="A2098" s="22" t="n">
        <v>17</v>
      </c>
      <c r="B2098" s="23" t="n">
        <v>45586</v>
      </c>
      <c r="C2098" s="22" t="s">
        <v>197</v>
      </c>
      <c r="D2098" s="24" t="n">
        <v>42</v>
      </c>
    </row>
    <row r="2099" customFormat="false" ht="15" hidden="false" customHeight="false" outlineLevel="0" collapsed="false">
      <c r="A2099" s="22" t="n">
        <v>18</v>
      </c>
      <c r="B2099" s="23" t="n">
        <v>45593</v>
      </c>
      <c r="C2099" s="22" t="s">
        <v>197</v>
      </c>
      <c r="D2099" s="24" t="n">
        <v>41</v>
      </c>
    </row>
    <row r="2100" customFormat="false" ht="15" hidden="false" customHeight="false" outlineLevel="0" collapsed="false">
      <c r="A2100" s="22" t="n">
        <v>19</v>
      </c>
      <c r="B2100" s="23" t="n">
        <v>45600</v>
      </c>
      <c r="C2100" s="22" t="s">
        <v>197</v>
      </c>
      <c r="D2100" s="24" t="n">
        <v>36</v>
      </c>
    </row>
    <row r="2101" customFormat="false" ht="15" hidden="false" customHeight="false" outlineLevel="0" collapsed="false">
      <c r="A2101" s="22" t="n">
        <v>20</v>
      </c>
      <c r="B2101" s="23" t="n">
        <v>45607</v>
      </c>
      <c r="C2101" s="22" t="s">
        <v>197</v>
      </c>
      <c r="D2101" s="24" t="n">
        <v>36</v>
      </c>
    </row>
    <row r="2102" customFormat="false" ht="15" hidden="false" customHeight="false" outlineLevel="0" collapsed="false">
      <c r="A2102" s="22" t="n">
        <v>21</v>
      </c>
      <c r="B2102" s="23" t="n">
        <v>45614</v>
      </c>
      <c r="C2102" s="22" t="s">
        <v>197</v>
      </c>
      <c r="D2102" s="24" t="n">
        <v>48</v>
      </c>
    </row>
    <row r="2103" customFormat="false" ht="15" hidden="false" customHeight="false" outlineLevel="0" collapsed="false">
      <c r="A2103" s="22" t="n">
        <v>22</v>
      </c>
      <c r="B2103" s="23" t="n">
        <v>45621</v>
      </c>
      <c r="C2103" s="22" t="s">
        <v>197</v>
      </c>
      <c r="D2103" s="24" t="n">
        <v>34</v>
      </c>
    </row>
    <row r="2104" customFormat="false" ht="15" hidden="false" customHeight="false" outlineLevel="0" collapsed="false">
      <c r="A2104" s="22" t="n">
        <v>23</v>
      </c>
      <c r="B2104" s="23" t="n">
        <v>45628</v>
      </c>
      <c r="C2104" s="22" t="s">
        <v>197</v>
      </c>
      <c r="D2104" s="24" t="n">
        <v>35</v>
      </c>
    </row>
    <row r="2105" customFormat="false" ht="15" hidden="false" customHeight="false" outlineLevel="0" collapsed="false">
      <c r="A2105" s="22" t="n">
        <v>24</v>
      </c>
      <c r="B2105" s="23" t="n">
        <v>45635</v>
      </c>
      <c r="C2105" s="22" t="s">
        <v>197</v>
      </c>
      <c r="D2105" s="24" t="n">
        <v>39</v>
      </c>
    </row>
    <row r="2106" customFormat="false" ht="15" hidden="false" customHeight="false" outlineLevel="0" collapsed="false">
      <c r="A2106" s="22" t="n">
        <v>25</v>
      </c>
      <c r="B2106" s="23" t="n">
        <v>45642</v>
      </c>
      <c r="C2106" s="22" t="s">
        <v>197</v>
      </c>
      <c r="D2106" s="24" t="n">
        <v>38</v>
      </c>
    </row>
    <row r="2107" customFormat="false" ht="15" hidden="false" customHeight="false" outlineLevel="0" collapsed="false">
      <c r="A2107" s="22" t="n">
        <v>26</v>
      </c>
      <c r="B2107" s="23" t="n">
        <v>45649</v>
      </c>
      <c r="C2107" s="22" t="s">
        <v>197</v>
      </c>
      <c r="D2107" s="24" t="n">
        <v>51</v>
      </c>
    </row>
    <row r="2108" customFormat="false" ht="15" hidden="false" customHeight="false" outlineLevel="0" collapsed="false">
      <c r="A2108" s="22" t="n">
        <v>27</v>
      </c>
      <c r="B2108" s="23" t="n">
        <v>45656</v>
      </c>
      <c r="C2108" s="22" t="s">
        <v>197</v>
      </c>
      <c r="D2108" s="24" t="n">
        <v>27</v>
      </c>
    </row>
    <row r="2109" customFormat="false" ht="15" hidden="false" customHeight="false" outlineLevel="0" collapsed="false">
      <c r="A2109" s="22" t="n">
        <v>28</v>
      </c>
      <c r="B2109" s="23" t="n">
        <v>45663</v>
      </c>
      <c r="C2109" s="22" t="s">
        <v>197</v>
      </c>
      <c r="D2109" s="24" t="n">
        <v>42</v>
      </c>
    </row>
    <row r="2110" customFormat="false" ht="15" hidden="false" customHeight="false" outlineLevel="0" collapsed="false">
      <c r="A2110" s="22" t="n">
        <v>29</v>
      </c>
      <c r="B2110" s="23" t="n">
        <v>45670</v>
      </c>
      <c r="C2110" s="22" t="s">
        <v>197</v>
      </c>
      <c r="D2110" s="24" t="n">
        <v>44</v>
      </c>
    </row>
    <row r="2111" customFormat="false" ht="15" hidden="false" customHeight="false" outlineLevel="0" collapsed="false">
      <c r="A2111" s="22" t="n">
        <v>30</v>
      </c>
      <c r="B2111" s="23" t="n">
        <v>45677</v>
      </c>
      <c r="C2111" s="22" t="s">
        <v>197</v>
      </c>
      <c r="D2111" s="24" t="n">
        <v>34</v>
      </c>
    </row>
    <row r="2112" customFormat="false" ht="15" hidden="false" customHeight="false" outlineLevel="0" collapsed="false">
      <c r="A2112" s="22" t="n">
        <v>31</v>
      </c>
      <c r="B2112" s="23" t="n">
        <v>45684</v>
      </c>
      <c r="C2112" s="22" t="s">
        <v>197</v>
      </c>
      <c r="D2112" s="24" t="n">
        <v>36</v>
      </c>
    </row>
    <row r="2113" customFormat="false" ht="15" hidden="false" customHeight="false" outlineLevel="0" collapsed="false">
      <c r="A2113" s="22" t="n">
        <v>32</v>
      </c>
      <c r="B2113" s="23" t="n">
        <v>45691</v>
      </c>
      <c r="C2113" s="22" t="s">
        <v>197</v>
      </c>
      <c r="D2113" s="24" t="n">
        <v>42</v>
      </c>
    </row>
    <row r="2114" customFormat="false" ht="15" hidden="false" customHeight="false" outlineLevel="0" collapsed="false">
      <c r="A2114" s="22" t="n">
        <v>33</v>
      </c>
      <c r="B2114" s="23" t="n">
        <v>45698</v>
      </c>
      <c r="C2114" s="22" t="s">
        <v>197</v>
      </c>
      <c r="D2114" s="24" t="n">
        <v>49</v>
      </c>
    </row>
    <row r="2115" customFormat="false" ht="15" hidden="false" customHeight="false" outlineLevel="0" collapsed="false">
      <c r="A2115" s="22" t="n">
        <v>34</v>
      </c>
      <c r="B2115" s="23" t="n">
        <v>45705</v>
      </c>
      <c r="C2115" s="22" t="s">
        <v>197</v>
      </c>
      <c r="D2115" s="24" t="n">
        <v>35</v>
      </c>
    </row>
    <row r="2116" customFormat="false" ht="15" hidden="false" customHeight="false" outlineLevel="0" collapsed="false">
      <c r="A2116" s="22" t="n">
        <v>35</v>
      </c>
      <c r="B2116" s="23" t="n">
        <v>45712</v>
      </c>
      <c r="C2116" s="22" t="s">
        <v>197</v>
      </c>
      <c r="D2116" s="24" t="n">
        <v>31</v>
      </c>
    </row>
    <row r="2117" customFormat="false" ht="15" hidden="false" customHeight="false" outlineLevel="0" collapsed="false">
      <c r="A2117" s="22" t="n">
        <v>36</v>
      </c>
      <c r="B2117" s="23" t="n">
        <v>45719</v>
      </c>
      <c r="C2117" s="22" t="s">
        <v>197</v>
      </c>
      <c r="D2117" s="24" t="n">
        <v>46</v>
      </c>
    </row>
    <row r="2118" customFormat="false" ht="15" hidden="false" customHeight="false" outlineLevel="0" collapsed="false">
      <c r="A2118" s="22" t="n">
        <v>37</v>
      </c>
      <c r="B2118" s="23" t="n">
        <v>45726</v>
      </c>
      <c r="C2118" s="22" t="s">
        <v>197</v>
      </c>
      <c r="D2118" s="24" t="n">
        <v>49</v>
      </c>
    </row>
    <row r="2119" customFormat="false" ht="15" hidden="false" customHeight="false" outlineLevel="0" collapsed="false">
      <c r="A2119" s="22" t="n">
        <v>38</v>
      </c>
      <c r="B2119" s="23" t="n">
        <v>45733</v>
      </c>
      <c r="C2119" s="22" t="s">
        <v>197</v>
      </c>
      <c r="D2119" s="24" t="n">
        <v>38</v>
      </c>
    </row>
    <row r="2120" customFormat="false" ht="15" hidden="false" customHeight="false" outlineLevel="0" collapsed="false">
      <c r="A2120" s="22" t="n">
        <v>39</v>
      </c>
      <c r="B2120" s="23" t="n">
        <v>45740</v>
      </c>
      <c r="C2120" s="22" t="s">
        <v>197</v>
      </c>
      <c r="D2120" s="24" t="n">
        <v>27</v>
      </c>
    </row>
    <row r="2121" customFormat="false" ht="15" hidden="false" customHeight="false" outlineLevel="0" collapsed="false">
      <c r="A2121" s="22" t="n">
        <v>40</v>
      </c>
      <c r="B2121" s="23" t="n">
        <v>45747</v>
      </c>
      <c r="C2121" s="22" t="s">
        <v>197</v>
      </c>
      <c r="D2121" s="24" t="n">
        <v>48</v>
      </c>
    </row>
    <row r="2122" customFormat="false" ht="15" hidden="false" customHeight="false" outlineLevel="0" collapsed="false">
      <c r="A2122" s="22" t="n">
        <v>41</v>
      </c>
      <c r="B2122" s="23" t="n">
        <v>45754</v>
      </c>
      <c r="C2122" s="22" t="s">
        <v>197</v>
      </c>
      <c r="D2122" s="24" t="n">
        <v>39</v>
      </c>
    </row>
    <row r="2123" customFormat="false" ht="15" hidden="false" customHeight="false" outlineLevel="0" collapsed="false">
      <c r="A2123" s="22" t="n">
        <v>42</v>
      </c>
      <c r="B2123" s="23" t="n">
        <v>45761</v>
      </c>
      <c r="C2123" s="22" t="s">
        <v>197</v>
      </c>
      <c r="D2123" s="24" t="n">
        <v>46</v>
      </c>
    </row>
    <row r="2124" customFormat="false" ht="15" hidden="false" customHeight="false" outlineLevel="0" collapsed="false">
      <c r="A2124" s="22" t="n">
        <v>43</v>
      </c>
      <c r="B2124" s="23" t="n">
        <v>45768</v>
      </c>
      <c r="C2124" s="22" t="s">
        <v>197</v>
      </c>
      <c r="D2124" s="24" t="n">
        <v>40</v>
      </c>
    </row>
    <row r="2125" customFormat="false" ht="15" hidden="false" customHeight="false" outlineLevel="0" collapsed="false">
      <c r="A2125" s="22" t="n">
        <v>44</v>
      </c>
      <c r="B2125" s="23" t="n">
        <v>45775</v>
      </c>
      <c r="C2125" s="22" t="s">
        <v>197</v>
      </c>
      <c r="D2125" s="24" t="n">
        <v>38</v>
      </c>
    </row>
    <row r="2126" customFormat="false" ht="15" hidden="false" customHeight="false" outlineLevel="0" collapsed="false">
      <c r="A2126" s="22" t="n">
        <v>45</v>
      </c>
      <c r="B2126" s="23" t="n">
        <v>45782</v>
      </c>
      <c r="C2126" s="22" t="s">
        <v>197</v>
      </c>
      <c r="D2126" s="24" t="n">
        <v>37</v>
      </c>
    </row>
    <row r="2127" customFormat="false" ht="15" hidden="false" customHeight="false" outlineLevel="0" collapsed="false">
      <c r="A2127" s="22" t="n">
        <v>46</v>
      </c>
      <c r="B2127" s="23" t="n">
        <v>45789</v>
      </c>
      <c r="C2127" s="22" t="s">
        <v>197</v>
      </c>
      <c r="D2127" s="24" t="n">
        <v>48</v>
      </c>
    </row>
    <row r="2128" customFormat="false" ht="15" hidden="false" customHeight="false" outlineLevel="0" collapsed="false">
      <c r="A2128" s="22" t="n">
        <v>47</v>
      </c>
      <c r="B2128" s="23" t="n">
        <v>45796</v>
      </c>
      <c r="C2128" s="22" t="s">
        <v>197</v>
      </c>
      <c r="D2128" s="24" t="n">
        <v>48</v>
      </c>
    </row>
    <row r="2129" customFormat="false" ht="15" hidden="false" customHeight="false" outlineLevel="0" collapsed="false">
      <c r="A2129" s="22" t="n">
        <v>48</v>
      </c>
      <c r="B2129" s="23" t="n">
        <v>45803</v>
      </c>
      <c r="C2129" s="22" t="s">
        <v>197</v>
      </c>
      <c r="D2129" s="24" t="n">
        <v>28</v>
      </c>
    </row>
    <row r="2130" customFormat="false" ht="15" hidden="false" customHeight="false" outlineLevel="0" collapsed="false">
      <c r="A2130" s="22" t="n">
        <v>49</v>
      </c>
      <c r="B2130" s="23" t="n">
        <v>45810</v>
      </c>
      <c r="C2130" s="22" t="s">
        <v>197</v>
      </c>
      <c r="D2130" s="24" t="n">
        <v>35</v>
      </c>
    </row>
    <row r="2131" customFormat="false" ht="15" hidden="false" customHeight="false" outlineLevel="0" collapsed="false">
      <c r="A2131" s="22" t="n">
        <v>50</v>
      </c>
      <c r="B2131" s="23" t="n">
        <v>45817</v>
      </c>
      <c r="C2131" s="22" t="s">
        <v>197</v>
      </c>
      <c r="D2131" s="24" t="n">
        <v>50</v>
      </c>
    </row>
    <row r="2132" customFormat="false" ht="15" hidden="false" customHeight="false" outlineLevel="0" collapsed="false">
      <c r="A2132" s="22" t="n">
        <v>51</v>
      </c>
      <c r="B2132" s="23" t="n">
        <v>45824</v>
      </c>
      <c r="C2132" s="22" t="s">
        <v>197</v>
      </c>
      <c r="D2132" s="24" t="n">
        <v>38</v>
      </c>
    </row>
    <row r="2133" customFormat="false" ht="15" hidden="false" customHeight="false" outlineLevel="0" collapsed="false">
      <c r="A2133" s="22" t="n">
        <v>52</v>
      </c>
      <c r="B2133" s="23" t="n">
        <v>45831</v>
      </c>
      <c r="C2133" s="22" t="s">
        <v>197</v>
      </c>
      <c r="D2133" s="24" t="n">
        <v>32</v>
      </c>
    </row>
    <row r="2134" customFormat="false" ht="15" hidden="false" customHeight="false" outlineLevel="0" collapsed="false">
      <c r="A2134" s="22" t="n">
        <v>53</v>
      </c>
      <c r="B2134" s="23" t="n">
        <v>45838</v>
      </c>
      <c r="C2134" s="22" t="s">
        <v>197</v>
      </c>
      <c r="D2134" s="24" t="n">
        <v>40</v>
      </c>
    </row>
    <row r="2135" customFormat="false" ht="15" hidden="false" customHeight="false" outlineLevel="0" collapsed="false">
      <c r="A2135" s="22" t="n">
        <v>54</v>
      </c>
      <c r="B2135" s="23" t="n">
        <v>45845</v>
      </c>
      <c r="C2135" s="22" t="s">
        <v>197</v>
      </c>
      <c r="D2135" s="24" t="n">
        <v>39</v>
      </c>
    </row>
    <row r="2136" customFormat="false" ht="15" hidden="false" customHeight="false" outlineLevel="0" collapsed="false">
      <c r="A2136" s="22" t="n">
        <v>55</v>
      </c>
      <c r="B2136" s="23" t="n">
        <v>45852</v>
      </c>
      <c r="C2136" s="22" t="s">
        <v>197</v>
      </c>
      <c r="D2136" s="24" t="n">
        <v>39</v>
      </c>
    </row>
    <row r="2137" customFormat="false" ht="15" hidden="false" customHeight="false" outlineLevel="0" collapsed="false">
      <c r="A2137" s="22" t="n">
        <v>56</v>
      </c>
      <c r="B2137" s="23" t="n">
        <v>45859</v>
      </c>
      <c r="C2137" s="22" t="s">
        <v>197</v>
      </c>
      <c r="D2137" s="24" t="n">
        <v>37</v>
      </c>
    </row>
    <row r="2138" customFormat="false" ht="15" hidden="false" customHeight="false" outlineLevel="0" collapsed="false">
      <c r="A2138" s="22" t="n">
        <v>57</v>
      </c>
      <c r="B2138" s="23" t="n">
        <v>45866</v>
      </c>
      <c r="C2138" s="22" t="s">
        <v>197</v>
      </c>
      <c r="D2138" s="24" t="n">
        <v>38</v>
      </c>
    </row>
    <row r="2139" customFormat="false" ht="15" hidden="false" customHeight="false" outlineLevel="0" collapsed="false">
      <c r="A2139" s="22" t="n">
        <v>58</v>
      </c>
      <c r="B2139" s="23" t="n">
        <v>45873</v>
      </c>
      <c r="C2139" s="22" t="s">
        <v>197</v>
      </c>
      <c r="D2139" s="24" t="n">
        <v>37</v>
      </c>
    </row>
    <row r="2140" customFormat="false" ht="15" hidden="false" customHeight="false" outlineLevel="0" collapsed="false">
      <c r="A2140" s="22" t="n">
        <v>59</v>
      </c>
      <c r="B2140" s="23" t="n">
        <v>45880</v>
      </c>
      <c r="C2140" s="22" t="s">
        <v>197</v>
      </c>
      <c r="D2140" s="24" t="n">
        <v>42</v>
      </c>
    </row>
    <row r="2141" customFormat="false" ht="15" hidden="false" customHeight="false" outlineLevel="0" collapsed="false">
      <c r="A2141" s="22" t="n">
        <v>60</v>
      </c>
      <c r="B2141" s="23" t="n">
        <v>45887</v>
      </c>
      <c r="C2141" s="22" t="s">
        <v>197</v>
      </c>
      <c r="D2141" s="24" t="n">
        <v>35</v>
      </c>
    </row>
    <row r="2142" customFormat="false" ht="15" hidden="false" customHeight="false" outlineLevel="0" collapsed="false">
      <c r="A2142" s="22" t="n">
        <v>61</v>
      </c>
      <c r="B2142" s="23" t="n">
        <v>45894</v>
      </c>
      <c r="C2142" s="22" t="s">
        <v>197</v>
      </c>
      <c r="D2142" s="24" t="n">
        <v>38</v>
      </c>
    </row>
    <row r="2143" customFormat="false" ht="15" hidden="false" customHeight="false" outlineLevel="0" collapsed="false">
      <c r="A2143" s="22" t="n">
        <v>62</v>
      </c>
      <c r="B2143" s="23" t="n">
        <v>45901</v>
      </c>
      <c r="C2143" s="22" t="s">
        <v>197</v>
      </c>
      <c r="D2143" s="24" t="n">
        <v>39</v>
      </c>
    </row>
    <row r="2144" customFormat="false" ht="15" hidden="false" customHeight="false" outlineLevel="0" collapsed="false">
      <c r="A2144" s="22" t="n">
        <v>63</v>
      </c>
      <c r="B2144" s="23" t="n">
        <v>45908</v>
      </c>
      <c r="C2144" s="22" t="s">
        <v>197</v>
      </c>
      <c r="D2144" s="24" t="n">
        <v>47</v>
      </c>
    </row>
    <row r="2145" customFormat="false" ht="15" hidden="false" customHeight="false" outlineLevel="0" collapsed="false">
      <c r="A2145" s="22" t="n">
        <v>64</v>
      </c>
      <c r="B2145" s="23" t="n">
        <v>45915</v>
      </c>
      <c r="C2145" s="22" t="s">
        <v>197</v>
      </c>
      <c r="D2145" s="24" t="n">
        <v>42</v>
      </c>
    </row>
    <row r="2146" customFormat="false" ht="15" hidden="false" customHeight="false" outlineLevel="0" collapsed="false">
      <c r="A2146" s="22" t="n">
        <v>65</v>
      </c>
      <c r="B2146" s="23" t="n">
        <v>45922</v>
      </c>
      <c r="C2146" s="22" t="s">
        <v>197</v>
      </c>
      <c r="D2146" s="24" t="n">
        <v>39</v>
      </c>
    </row>
    <row r="2147" customFormat="false" ht="15" hidden="false" customHeight="false" outlineLevel="0" collapsed="false">
      <c r="A2147" s="22" t="n">
        <v>66</v>
      </c>
      <c r="B2147" s="23" t="n">
        <v>45929</v>
      </c>
      <c r="C2147" s="22" t="s">
        <v>197</v>
      </c>
      <c r="D2147" s="24" t="n">
        <v>43</v>
      </c>
    </row>
    <row r="2148" customFormat="false" ht="15" hidden="false" customHeight="false" outlineLevel="0" collapsed="false">
      <c r="A2148" s="22" t="n">
        <v>67</v>
      </c>
      <c r="B2148" s="23" t="n">
        <v>45936</v>
      </c>
      <c r="C2148" s="22" t="s">
        <v>197</v>
      </c>
      <c r="D2148" s="24" t="n">
        <v>42</v>
      </c>
    </row>
    <row r="2149" customFormat="false" ht="15" hidden="false" customHeight="false" outlineLevel="0" collapsed="false">
      <c r="A2149" s="22" t="n">
        <v>68</v>
      </c>
      <c r="B2149" s="23" t="n">
        <v>45943</v>
      </c>
      <c r="C2149" s="22" t="s">
        <v>197</v>
      </c>
      <c r="D2149" s="24" t="n">
        <v>46</v>
      </c>
    </row>
    <row r="2150" customFormat="false" ht="15" hidden="false" customHeight="false" outlineLevel="0" collapsed="false">
      <c r="A2150" s="22" t="n">
        <v>69</v>
      </c>
      <c r="B2150" s="23" t="n">
        <v>45950</v>
      </c>
      <c r="C2150" s="22" t="s">
        <v>197</v>
      </c>
      <c r="D2150" s="24" t="n">
        <v>43</v>
      </c>
    </row>
    <row r="2151" customFormat="false" ht="15" hidden="false" customHeight="false" outlineLevel="0" collapsed="false">
      <c r="A2151" s="22" t="n">
        <v>70</v>
      </c>
      <c r="B2151" s="23" t="n">
        <v>45957</v>
      </c>
      <c r="C2151" s="22" t="s">
        <v>197</v>
      </c>
      <c r="D2151" s="24" t="n">
        <v>50</v>
      </c>
    </row>
    <row r="2152" customFormat="false" ht="15" hidden="false" customHeight="false" outlineLevel="0" collapsed="false">
      <c r="A2152" s="22" t="n">
        <v>71</v>
      </c>
      <c r="B2152" s="23" t="n">
        <v>45964</v>
      </c>
      <c r="C2152" s="22" t="s">
        <v>197</v>
      </c>
      <c r="D2152" s="24" t="n">
        <v>48</v>
      </c>
    </row>
    <row r="2153" customFormat="false" ht="15" hidden="false" customHeight="false" outlineLevel="0" collapsed="false">
      <c r="A2153" s="22" t="n">
        <v>72</v>
      </c>
      <c r="B2153" s="23" t="n">
        <v>45971</v>
      </c>
      <c r="C2153" s="22" t="s">
        <v>197</v>
      </c>
      <c r="D2153" s="24" t="n">
        <v>40</v>
      </c>
    </row>
    <row r="2154" customFormat="false" ht="15" hidden="false" customHeight="false" outlineLevel="0" collapsed="false">
      <c r="A2154" s="22" t="n">
        <v>73</v>
      </c>
      <c r="B2154" s="23" t="n">
        <v>45978</v>
      </c>
      <c r="C2154" s="22" t="s">
        <v>197</v>
      </c>
      <c r="D2154" s="24" t="n">
        <v>38</v>
      </c>
    </row>
    <row r="2155" customFormat="false" ht="15" hidden="false" customHeight="false" outlineLevel="0" collapsed="false">
      <c r="A2155" s="22" t="n">
        <v>74</v>
      </c>
      <c r="B2155" s="23" t="n">
        <v>45985</v>
      </c>
      <c r="C2155" s="22" t="s">
        <v>197</v>
      </c>
      <c r="D2155" s="24" t="n">
        <v>45</v>
      </c>
    </row>
    <row r="2156" customFormat="false" ht="15" hidden="false" customHeight="false" outlineLevel="0" collapsed="false">
      <c r="A2156" s="22" t="n">
        <v>75</v>
      </c>
      <c r="B2156" s="23" t="n">
        <v>45992</v>
      </c>
      <c r="C2156" s="22" t="s">
        <v>197</v>
      </c>
      <c r="D2156" s="24" t="n">
        <v>43</v>
      </c>
    </row>
    <row r="2157" customFormat="false" ht="15" hidden="false" customHeight="false" outlineLevel="0" collapsed="false">
      <c r="A2157" s="22" t="n">
        <v>76</v>
      </c>
      <c r="B2157" s="23" t="n">
        <v>45999</v>
      </c>
      <c r="C2157" s="22" t="s">
        <v>197</v>
      </c>
      <c r="D2157" s="24" t="n">
        <v>39</v>
      </c>
    </row>
    <row r="2158" customFormat="false" ht="15" hidden="false" customHeight="false" outlineLevel="0" collapsed="false">
      <c r="A2158" s="22" t="n">
        <v>77</v>
      </c>
      <c r="B2158" s="23" t="n">
        <v>46006</v>
      </c>
      <c r="C2158" s="22" t="s">
        <v>197</v>
      </c>
      <c r="D2158" s="24" t="n">
        <v>32</v>
      </c>
    </row>
    <row r="2159" customFormat="false" ht="15" hidden="false" customHeight="false" outlineLevel="0" collapsed="false">
      <c r="A2159" s="22" t="n">
        <v>78</v>
      </c>
      <c r="B2159" s="23" t="n">
        <v>46013</v>
      </c>
      <c r="C2159" s="22" t="s">
        <v>197</v>
      </c>
      <c r="D2159" s="24" t="n">
        <v>30</v>
      </c>
    </row>
    <row r="2160" customFormat="false" ht="15" hidden="false" customHeight="false" outlineLevel="0" collapsed="false">
      <c r="A2160" s="22" t="n">
        <v>79</v>
      </c>
      <c r="B2160" s="23" t="n">
        <v>46020</v>
      </c>
      <c r="C2160" s="22" t="s">
        <v>197</v>
      </c>
      <c r="D2160" s="24" t="n">
        <v>42</v>
      </c>
    </row>
    <row r="2161" customFormat="false" ht="15" hidden="false" customHeight="false" outlineLevel="0" collapsed="false">
      <c r="A2161" s="22" t="n">
        <v>80</v>
      </c>
      <c r="B2161" s="23" t="n">
        <v>46027</v>
      </c>
      <c r="C2161" s="22" t="s">
        <v>197</v>
      </c>
      <c r="D2161" s="24" t="n">
        <v>44</v>
      </c>
    </row>
    <row r="2162" customFormat="false" ht="15" hidden="false" customHeight="false" outlineLevel="0" collapsed="false">
      <c r="A2162" s="22" t="n">
        <v>81</v>
      </c>
      <c r="B2162" s="23" t="n">
        <v>46034</v>
      </c>
      <c r="C2162" s="22" t="s">
        <v>197</v>
      </c>
      <c r="D2162" s="24" t="n">
        <v>45</v>
      </c>
    </row>
    <row r="2163" customFormat="false" ht="15" hidden="false" customHeight="false" outlineLevel="0" collapsed="false">
      <c r="A2163" s="22" t="n">
        <v>82</v>
      </c>
      <c r="B2163" s="23" t="n">
        <v>46041</v>
      </c>
      <c r="C2163" s="22" t="s">
        <v>197</v>
      </c>
      <c r="D2163" s="24" t="n">
        <v>33</v>
      </c>
    </row>
    <row r="2164" customFormat="false" ht="15" hidden="false" customHeight="false" outlineLevel="0" collapsed="false">
      <c r="A2164" s="22" t="n">
        <v>83</v>
      </c>
      <c r="B2164" s="23" t="n">
        <v>46048</v>
      </c>
      <c r="C2164" s="22" t="s">
        <v>197</v>
      </c>
      <c r="D2164" s="24" t="n">
        <v>46</v>
      </c>
    </row>
    <row r="2165" customFormat="false" ht="15" hidden="false" customHeight="false" outlineLevel="0" collapsed="false">
      <c r="A2165" s="22" t="n">
        <v>84</v>
      </c>
      <c r="B2165" s="23" t="n">
        <v>46055</v>
      </c>
      <c r="C2165" s="22" t="s">
        <v>197</v>
      </c>
      <c r="D2165" s="24" t="n">
        <v>37</v>
      </c>
    </row>
    <row r="2166" customFormat="false" ht="15" hidden="false" customHeight="false" outlineLevel="0" collapsed="false">
      <c r="A2166" s="22" t="n">
        <v>85</v>
      </c>
      <c r="B2166" s="23" t="n">
        <v>46062</v>
      </c>
      <c r="C2166" s="22" t="s">
        <v>197</v>
      </c>
      <c r="D2166" s="24" t="n">
        <v>42</v>
      </c>
    </row>
    <row r="2167" customFormat="false" ht="15" hidden="false" customHeight="false" outlineLevel="0" collapsed="false">
      <c r="A2167" s="22" t="n">
        <v>86</v>
      </c>
      <c r="B2167" s="23" t="n">
        <v>46069</v>
      </c>
      <c r="C2167" s="22" t="s">
        <v>197</v>
      </c>
      <c r="D2167" s="24" t="n">
        <v>42</v>
      </c>
    </row>
    <row r="2168" customFormat="false" ht="15" hidden="false" customHeight="false" outlineLevel="0" collapsed="false">
      <c r="A2168" s="22" t="n">
        <v>87</v>
      </c>
      <c r="B2168" s="23" t="n">
        <v>46076</v>
      </c>
      <c r="C2168" s="22" t="s">
        <v>197</v>
      </c>
      <c r="D2168" s="24" t="n">
        <v>35</v>
      </c>
    </row>
    <row r="2169" customFormat="false" ht="15" hidden="false" customHeight="false" outlineLevel="0" collapsed="false">
      <c r="A2169" s="22" t="n">
        <v>88</v>
      </c>
      <c r="B2169" s="23" t="n">
        <v>46083</v>
      </c>
      <c r="C2169" s="22" t="s">
        <v>197</v>
      </c>
      <c r="D2169" s="24" t="n">
        <v>37</v>
      </c>
    </row>
    <row r="2170" customFormat="false" ht="15" hidden="false" customHeight="false" outlineLevel="0" collapsed="false">
      <c r="A2170" s="22" t="n">
        <v>89</v>
      </c>
      <c r="B2170" s="23" t="n">
        <v>46090</v>
      </c>
      <c r="C2170" s="22" t="s">
        <v>197</v>
      </c>
      <c r="D2170" s="24" t="n">
        <v>28</v>
      </c>
    </row>
    <row r="2171" customFormat="false" ht="15" hidden="false" customHeight="false" outlineLevel="0" collapsed="false">
      <c r="A2171" s="22" t="n">
        <v>90</v>
      </c>
      <c r="B2171" s="23" t="n">
        <v>46097</v>
      </c>
      <c r="C2171" s="22" t="s">
        <v>197</v>
      </c>
      <c r="D2171" s="24" t="n">
        <v>35</v>
      </c>
    </row>
    <row r="2172" customFormat="false" ht="15" hidden="false" customHeight="false" outlineLevel="0" collapsed="false">
      <c r="A2172" s="22" t="n">
        <v>91</v>
      </c>
      <c r="B2172" s="23" t="n">
        <v>46104</v>
      </c>
      <c r="C2172" s="22" t="s">
        <v>197</v>
      </c>
      <c r="D2172" s="24" t="n">
        <v>30</v>
      </c>
    </row>
    <row r="2173" customFormat="false" ht="15" hidden="false" customHeight="false" outlineLevel="0" collapsed="false">
      <c r="A2173" s="22" t="n">
        <v>92</v>
      </c>
      <c r="B2173" s="23" t="n">
        <v>46111</v>
      </c>
      <c r="C2173" s="22" t="s">
        <v>197</v>
      </c>
      <c r="D2173" s="24" t="n">
        <v>42</v>
      </c>
    </row>
    <row r="2174" customFormat="false" ht="15" hidden="false" customHeight="false" outlineLevel="0" collapsed="false">
      <c r="A2174" s="22" t="n">
        <v>93</v>
      </c>
      <c r="B2174" s="23" t="n">
        <v>46118</v>
      </c>
      <c r="C2174" s="22" t="s">
        <v>197</v>
      </c>
      <c r="D2174" s="24" t="n">
        <v>40</v>
      </c>
    </row>
    <row r="2175" customFormat="false" ht="15" hidden="false" customHeight="false" outlineLevel="0" collapsed="false">
      <c r="A2175" s="22" t="n">
        <v>94</v>
      </c>
      <c r="B2175" s="23" t="n">
        <v>46125</v>
      </c>
      <c r="C2175" s="22" t="s">
        <v>197</v>
      </c>
      <c r="D2175" s="24" t="n">
        <v>45</v>
      </c>
    </row>
    <row r="2176" customFormat="false" ht="15" hidden="false" customHeight="false" outlineLevel="0" collapsed="false">
      <c r="A2176" s="22" t="n">
        <v>95</v>
      </c>
      <c r="B2176" s="23" t="n">
        <v>46132</v>
      </c>
      <c r="C2176" s="22" t="s">
        <v>197</v>
      </c>
      <c r="D2176" s="24" t="n">
        <v>42</v>
      </c>
    </row>
    <row r="2177" customFormat="false" ht="15" hidden="false" customHeight="false" outlineLevel="0" collapsed="false">
      <c r="A2177" s="22" t="n">
        <v>96</v>
      </c>
      <c r="B2177" s="23" t="n">
        <v>46139</v>
      </c>
      <c r="C2177" s="22" t="s">
        <v>197</v>
      </c>
      <c r="D2177" s="24" t="n">
        <v>36</v>
      </c>
    </row>
    <row r="2178" customFormat="false" ht="15" hidden="false" customHeight="false" outlineLevel="0" collapsed="false">
      <c r="A2178" s="22" t="n">
        <v>97</v>
      </c>
      <c r="B2178" s="23" t="n">
        <v>46146</v>
      </c>
      <c r="C2178" s="22" t="s">
        <v>197</v>
      </c>
      <c r="D2178" s="24" t="n">
        <v>42</v>
      </c>
    </row>
    <row r="2179" customFormat="false" ht="15" hidden="false" customHeight="false" outlineLevel="0" collapsed="false">
      <c r="A2179" s="22" t="n">
        <v>98</v>
      </c>
      <c r="B2179" s="23" t="n">
        <v>46153</v>
      </c>
      <c r="C2179" s="22" t="s">
        <v>197</v>
      </c>
      <c r="D2179" s="24" t="n">
        <v>38</v>
      </c>
    </row>
    <row r="2180" customFormat="false" ht="15" hidden="false" customHeight="false" outlineLevel="0" collapsed="false">
      <c r="A2180" s="22" t="n">
        <v>99</v>
      </c>
      <c r="B2180" s="23" t="n">
        <v>46160</v>
      </c>
      <c r="C2180" s="22" t="s">
        <v>197</v>
      </c>
      <c r="D2180" s="24" t="n">
        <v>43</v>
      </c>
    </row>
    <row r="2181" customFormat="false" ht="15" hidden="false" customHeight="false" outlineLevel="0" collapsed="false">
      <c r="A2181" s="22" t="n">
        <v>100</v>
      </c>
      <c r="B2181" s="23" t="n">
        <v>46167</v>
      </c>
      <c r="C2181" s="22" t="s">
        <v>197</v>
      </c>
      <c r="D2181" s="24" t="n">
        <v>42</v>
      </c>
    </row>
    <row r="2182" customFormat="false" ht="15" hidden="false" customHeight="false" outlineLevel="0" collapsed="false">
      <c r="A2182" s="22" t="n">
        <v>101</v>
      </c>
      <c r="B2182" s="23" t="n">
        <v>46174</v>
      </c>
      <c r="C2182" s="22" t="s">
        <v>197</v>
      </c>
      <c r="D2182" s="24" t="n">
        <v>34</v>
      </c>
    </row>
    <row r="2183" customFormat="false" ht="15" hidden="false" customHeight="false" outlineLevel="0" collapsed="false">
      <c r="A2183" s="22" t="n">
        <v>102</v>
      </c>
      <c r="B2183" s="23" t="n">
        <v>46181</v>
      </c>
      <c r="C2183" s="22" t="s">
        <v>197</v>
      </c>
      <c r="D2183" s="24" t="n">
        <v>40</v>
      </c>
    </row>
    <row r="2184" customFormat="false" ht="15" hidden="false" customHeight="false" outlineLevel="0" collapsed="false">
      <c r="A2184" s="22" t="n">
        <v>103</v>
      </c>
      <c r="B2184" s="23" t="n">
        <v>46188</v>
      </c>
      <c r="C2184" s="22" t="s">
        <v>197</v>
      </c>
      <c r="D2184" s="24" t="n">
        <v>40</v>
      </c>
    </row>
    <row r="2185" customFormat="false" ht="15" hidden="false" customHeight="false" outlineLevel="0" collapsed="false">
      <c r="A2185" s="22" t="n">
        <v>104</v>
      </c>
      <c r="B2185" s="23" t="n">
        <v>46195</v>
      </c>
      <c r="C2185" s="22" t="s">
        <v>197</v>
      </c>
      <c r="D2185" s="24" t="n">
        <v>38</v>
      </c>
    </row>
    <row r="2186" customFormat="false" ht="15" hidden="false" customHeight="false" outlineLevel="0" collapsed="false">
      <c r="A2186" s="22" t="n">
        <v>1</v>
      </c>
      <c r="B2186" s="23" t="n">
        <v>45474</v>
      </c>
      <c r="C2186" s="22" t="s">
        <v>200</v>
      </c>
      <c r="D2186" s="24" t="n">
        <v>106</v>
      </c>
    </row>
    <row r="2187" customFormat="false" ht="15" hidden="false" customHeight="false" outlineLevel="0" collapsed="false">
      <c r="A2187" s="22" t="n">
        <v>2</v>
      </c>
      <c r="B2187" s="23" t="n">
        <v>45481</v>
      </c>
      <c r="C2187" s="22" t="s">
        <v>200</v>
      </c>
      <c r="D2187" s="24" t="n">
        <v>80</v>
      </c>
    </row>
    <row r="2188" customFormat="false" ht="15" hidden="false" customHeight="false" outlineLevel="0" collapsed="false">
      <c r="A2188" s="22" t="n">
        <v>3</v>
      </c>
      <c r="B2188" s="23" t="n">
        <v>45488</v>
      </c>
      <c r="C2188" s="22" t="s">
        <v>200</v>
      </c>
      <c r="D2188" s="24" t="n">
        <v>81</v>
      </c>
    </row>
    <row r="2189" customFormat="false" ht="15" hidden="false" customHeight="false" outlineLevel="0" collapsed="false">
      <c r="A2189" s="22" t="n">
        <v>4</v>
      </c>
      <c r="B2189" s="23" t="n">
        <v>45495</v>
      </c>
      <c r="C2189" s="22" t="s">
        <v>200</v>
      </c>
      <c r="D2189" s="24" t="n">
        <v>57</v>
      </c>
    </row>
    <row r="2190" customFormat="false" ht="15" hidden="false" customHeight="false" outlineLevel="0" collapsed="false">
      <c r="A2190" s="22" t="n">
        <v>5</v>
      </c>
      <c r="B2190" s="23" t="n">
        <v>45502</v>
      </c>
      <c r="C2190" s="22" t="s">
        <v>200</v>
      </c>
      <c r="D2190" s="24" t="n">
        <v>83</v>
      </c>
    </row>
    <row r="2191" customFormat="false" ht="15" hidden="false" customHeight="false" outlineLevel="0" collapsed="false">
      <c r="A2191" s="22" t="n">
        <v>6</v>
      </c>
      <c r="B2191" s="23" t="n">
        <v>45509</v>
      </c>
      <c r="C2191" s="22" t="s">
        <v>200</v>
      </c>
      <c r="D2191" s="24" t="n">
        <v>80</v>
      </c>
    </row>
    <row r="2192" customFormat="false" ht="15" hidden="false" customHeight="false" outlineLevel="0" collapsed="false">
      <c r="A2192" s="22" t="n">
        <v>7</v>
      </c>
      <c r="B2192" s="23" t="n">
        <v>45516</v>
      </c>
      <c r="C2192" s="22" t="s">
        <v>200</v>
      </c>
      <c r="D2192" s="24" t="n">
        <v>58</v>
      </c>
    </row>
    <row r="2193" customFormat="false" ht="15" hidden="false" customHeight="false" outlineLevel="0" collapsed="false">
      <c r="A2193" s="22" t="n">
        <v>8</v>
      </c>
      <c r="B2193" s="23" t="n">
        <v>45523</v>
      </c>
      <c r="C2193" s="22" t="s">
        <v>200</v>
      </c>
      <c r="D2193" s="24" t="n">
        <v>89</v>
      </c>
    </row>
    <row r="2194" customFormat="false" ht="15" hidden="false" customHeight="false" outlineLevel="0" collapsed="false">
      <c r="A2194" s="22" t="n">
        <v>9</v>
      </c>
      <c r="B2194" s="23" t="n">
        <v>45530</v>
      </c>
      <c r="C2194" s="22" t="s">
        <v>200</v>
      </c>
      <c r="D2194" s="24" t="n">
        <v>92</v>
      </c>
    </row>
    <row r="2195" customFormat="false" ht="15" hidden="false" customHeight="false" outlineLevel="0" collapsed="false">
      <c r="A2195" s="22" t="n">
        <v>10</v>
      </c>
      <c r="B2195" s="23" t="n">
        <v>45537</v>
      </c>
      <c r="C2195" s="22" t="s">
        <v>200</v>
      </c>
      <c r="D2195" s="24" t="n">
        <v>76</v>
      </c>
    </row>
    <row r="2196" customFormat="false" ht="15" hidden="false" customHeight="false" outlineLevel="0" collapsed="false">
      <c r="A2196" s="22" t="n">
        <v>11</v>
      </c>
      <c r="B2196" s="23" t="n">
        <v>45544</v>
      </c>
      <c r="C2196" s="22" t="s">
        <v>200</v>
      </c>
      <c r="D2196" s="24" t="n">
        <v>80</v>
      </c>
    </row>
    <row r="2197" customFormat="false" ht="15" hidden="false" customHeight="false" outlineLevel="0" collapsed="false">
      <c r="A2197" s="22" t="n">
        <v>12</v>
      </c>
      <c r="B2197" s="23" t="n">
        <v>45551</v>
      </c>
      <c r="C2197" s="22" t="s">
        <v>200</v>
      </c>
      <c r="D2197" s="24" t="n">
        <v>73</v>
      </c>
    </row>
    <row r="2198" customFormat="false" ht="15" hidden="false" customHeight="false" outlineLevel="0" collapsed="false">
      <c r="A2198" s="22" t="n">
        <v>13</v>
      </c>
      <c r="B2198" s="23" t="n">
        <v>45558</v>
      </c>
      <c r="C2198" s="22" t="s">
        <v>200</v>
      </c>
      <c r="D2198" s="24" t="n">
        <v>95</v>
      </c>
    </row>
    <row r="2199" customFormat="false" ht="15" hidden="false" customHeight="false" outlineLevel="0" collapsed="false">
      <c r="A2199" s="22" t="n">
        <v>14</v>
      </c>
      <c r="B2199" s="23" t="n">
        <v>45565</v>
      </c>
      <c r="C2199" s="22" t="s">
        <v>200</v>
      </c>
      <c r="D2199" s="24" t="n">
        <v>66</v>
      </c>
    </row>
    <row r="2200" customFormat="false" ht="15" hidden="false" customHeight="false" outlineLevel="0" collapsed="false">
      <c r="A2200" s="22" t="n">
        <v>15</v>
      </c>
      <c r="B2200" s="23" t="n">
        <v>45572</v>
      </c>
      <c r="C2200" s="22" t="s">
        <v>200</v>
      </c>
      <c r="D2200" s="24" t="n">
        <v>81</v>
      </c>
    </row>
    <row r="2201" customFormat="false" ht="15" hidden="false" customHeight="false" outlineLevel="0" collapsed="false">
      <c r="A2201" s="22" t="n">
        <v>16</v>
      </c>
      <c r="B2201" s="23" t="n">
        <v>45579</v>
      </c>
      <c r="C2201" s="22" t="s">
        <v>200</v>
      </c>
      <c r="D2201" s="24" t="n">
        <v>109</v>
      </c>
    </row>
    <row r="2202" customFormat="false" ht="15" hidden="false" customHeight="false" outlineLevel="0" collapsed="false">
      <c r="A2202" s="22" t="n">
        <v>17</v>
      </c>
      <c r="B2202" s="23" t="n">
        <v>45586</v>
      </c>
      <c r="C2202" s="22" t="s">
        <v>200</v>
      </c>
      <c r="D2202" s="24" t="n">
        <v>86</v>
      </c>
    </row>
    <row r="2203" customFormat="false" ht="15" hidden="false" customHeight="false" outlineLevel="0" collapsed="false">
      <c r="A2203" s="22" t="n">
        <v>18</v>
      </c>
      <c r="B2203" s="23" t="n">
        <v>45593</v>
      </c>
      <c r="C2203" s="22" t="s">
        <v>200</v>
      </c>
      <c r="D2203" s="24" t="n">
        <v>91</v>
      </c>
    </row>
    <row r="2204" customFormat="false" ht="15" hidden="false" customHeight="false" outlineLevel="0" collapsed="false">
      <c r="A2204" s="22" t="n">
        <v>19</v>
      </c>
      <c r="B2204" s="23" t="n">
        <v>45600</v>
      </c>
      <c r="C2204" s="22" t="s">
        <v>200</v>
      </c>
      <c r="D2204" s="24" t="n">
        <v>83</v>
      </c>
    </row>
    <row r="2205" customFormat="false" ht="15" hidden="false" customHeight="false" outlineLevel="0" collapsed="false">
      <c r="A2205" s="22" t="n">
        <v>20</v>
      </c>
      <c r="B2205" s="23" t="n">
        <v>45607</v>
      </c>
      <c r="C2205" s="22" t="s">
        <v>200</v>
      </c>
      <c r="D2205" s="24" t="n">
        <v>70</v>
      </c>
    </row>
    <row r="2206" customFormat="false" ht="15" hidden="false" customHeight="false" outlineLevel="0" collapsed="false">
      <c r="A2206" s="22" t="n">
        <v>21</v>
      </c>
      <c r="B2206" s="23" t="n">
        <v>45614</v>
      </c>
      <c r="C2206" s="22" t="s">
        <v>200</v>
      </c>
      <c r="D2206" s="24" t="n">
        <v>85</v>
      </c>
    </row>
    <row r="2207" customFormat="false" ht="15" hidden="false" customHeight="false" outlineLevel="0" collapsed="false">
      <c r="A2207" s="22" t="n">
        <v>22</v>
      </c>
      <c r="B2207" s="23" t="n">
        <v>45621</v>
      </c>
      <c r="C2207" s="22" t="s">
        <v>200</v>
      </c>
      <c r="D2207" s="24" t="n">
        <v>90</v>
      </c>
    </row>
    <row r="2208" customFormat="false" ht="15" hidden="false" customHeight="false" outlineLevel="0" collapsed="false">
      <c r="A2208" s="22" t="n">
        <v>23</v>
      </c>
      <c r="B2208" s="23" t="n">
        <v>45628</v>
      </c>
      <c r="C2208" s="22" t="s">
        <v>200</v>
      </c>
      <c r="D2208" s="24" t="n">
        <v>72</v>
      </c>
    </row>
    <row r="2209" customFormat="false" ht="15" hidden="false" customHeight="false" outlineLevel="0" collapsed="false">
      <c r="A2209" s="22" t="n">
        <v>24</v>
      </c>
      <c r="B2209" s="23" t="n">
        <v>45635</v>
      </c>
      <c r="C2209" s="22" t="s">
        <v>200</v>
      </c>
      <c r="D2209" s="24" t="n">
        <v>89</v>
      </c>
    </row>
    <row r="2210" customFormat="false" ht="15" hidden="false" customHeight="false" outlineLevel="0" collapsed="false">
      <c r="A2210" s="22" t="n">
        <v>25</v>
      </c>
      <c r="B2210" s="23" t="n">
        <v>45642</v>
      </c>
      <c r="C2210" s="22" t="s">
        <v>200</v>
      </c>
      <c r="D2210" s="24" t="n">
        <v>101</v>
      </c>
    </row>
    <row r="2211" customFormat="false" ht="15" hidden="false" customHeight="false" outlineLevel="0" collapsed="false">
      <c r="A2211" s="22" t="n">
        <v>26</v>
      </c>
      <c r="B2211" s="23" t="n">
        <v>45649</v>
      </c>
      <c r="C2211" s="22" t="s">
        <v>200</v>
      </c>
      <c r="D2211" s="24" t="n">
        <v>98</v>
      </c>
    </row>
    <row r="2212" customFormat="false" ht="15" hidden="false" customHeight="false" outlineLevel="0" collapsed="false">
      <c r="A2212" s="22" t="n">
        <v>27</v>
      </c>
      <c r="B2212" s="23" t="n">
        <v>45656</v>
      </c>
      <c r="C2212" s="22" t="s">
        <v>200</v>
      </c>
      <c r="D2212" s="24" t="n">
        <v>65</v>
      </c>
    </row>
    <row r="2213" customFormat="false" ht="15" hidden="false" customHeight="false" outlineLevel="0" collapsed="false">
      <c r="A2213" s="22" t="n">
        <v>28</v>
      </c>
      <c r="B2213" s="23" t="n">
        <v>45663</v>
      </c>
      <c r="C2213" s="22" t="s">
        <v>200</v>
      </c>
      <c r="D2213" s="24" t="n">
        <v>73</v>
      </c>
    </row>
    <row r="2214" customFormat="false" ht="15" hidden="false" customHeight="false" outlineLevel="0" collapsed="false">
      <c r="A2214" s="22" t="n">
        <v>29</v>
      </c>
      <c r="B2214" s="23" t="n">
        <v>45670</v>
      </c>
      <c r="C2214" s="22" t="s">
        <v>200</v>
      </c>
      <c r="D2214" s="24" t="n">
        <v>65</v>
      </c>
    </row>
    <row r="2215" customFormat="false" ht="15" hidden="false" customHeight="false" outlineLevel="0" collapsed="false">
      <c r="A2215" s="22" t="n">
        <v>30</v>
      </c>
      <c r="B2215" s="23" t="n">
        <v>45677</v>
      </c>
      <c r="C2215" s="22" t="s">
        <v>200</v>
      </c>
      <c r="D2215" s="24" t="n">
        <v>98</v>
      </c>
    </row>
    <row r="2216" customFormat="false" ht="15" hidden="false" customHeight="false" outlineLevel="0" collapsed="false">
      <c r="A2216" s="22" t="n">
        <v>31</v>
      </c>
      <c r="B2216" s="23" t="n">
        <v>45684</v>
      </c>
      <c r="C2216" s="22" t="s">
        <v>200</v>
      </c>
      <c r="D2216" s="24" t="n">
        <v>93</v>
      </c>
    </row>
    <row r="2217" customFormat="false" ht="15" hidden="false" customHeight="false" outlineLevel="0" collapsed="false">
      <c r="A2217" s="22" t="n">
        <v>32</v>
      </c>
      <c r="B2217" s="23" t="n">
        <v>45691</v>
      </c>
      <c r="C2217" s="22" t="s">
        <v>200</v>
      </c>
      <c r="D2217" s="24" t="n">
        <v>94</v>
      </c>
    </row>
    <row r="2218" customFormat="false" ht="15" hidden="false" customHeight="false" outlineLevel="0" collapsed="false">
      <c r="A2218" s="22" t="n">
        <v>33</v>
      </c>
      <c r="B2218" s="23" t="n">
        <v>45698</v>
      </c>
      <c r="C2218" s="22" t="s">
        <v>200</v>
      </c>
      <c r="D2218" s="24" t="n">
        <v>74</v>
      </c>
    </row>
    <row r="2219" customFormat="false" ht="15" hidden="false" customHeight="false" outlineLevel="0" collapsed="false">
      <c r="A2219" s="22" t="n">
        <v>34</v>
      </c>
      <c r="B2219" s="23" t="n">
        <v>45705</v>
      </c>
      <c r="C2219" s="22" t="s">
        <v>200</v>
      </c>
      <c r="D2219" s="24" t="n">
        <v>70</v>
      </c>
    </row>
    <row r="2220" customFormat="false" ht="15" hidden="false" customHeight="false" outlineLevel="0" collapsed="false">
      <c r="A2220" s="22" t="n">
        <v>35</v>
      </c>
      <c r="B2220" s="23" t="n">
        <v>45712</v>
      </c>
      <c r="C2220" s="22" t="s">
        <v>200</v>
      </c>
      <c r="D2220" s="24" t="n">
        <v>86</v>
      </c>
    </row>
    <row r="2221" customFormat="false" ht="15" hidden="false" customHeight="false" outlineLevel="0" collapsed="false">
      <c r="A2221" s="22" t="n">
        <v>36</v>
      </c>
      <c r="B2221" s="23" t="n">
        <v>45719</v>
      </c>
      <c r="C2221" s="22" t="s">
        <v>200</v>
      </c>
      <c r="D2221" s="24" t="n">
        <v>86</v>
      </c>
    </row>
    <row r="2222" customFormat="false" ht="15" hidden="false" customHeight="false" outlineLevel="0" collapsed="false">
      <c r="A2222" s="22" t="n">
        <v>37</v>
      </c>
      <c r="B2222" s="23" t="n">
        <v>45726</v>
      </c>
      <c r="C2222" s="22" t="s">
        <v>200</v>
      </c>
      <c r="D2222" s="24" t="n">
        <v>74</v>
      </c>
    </row>
    <row r="2223" customFormat="false" ht="15" hidden="false" customHeight="false" outlineLevel="0" collapsed="false">
      <c r="A2223" s="22" t="n">
        <v>38</v>
      </c>
      <c r="B2223" s="23" t="n">
        <v>45733</v>
      </c>
      <c r="C2223" s="22" t="s">
        <v>200</v>
      </c>
      <c r="D2223" s="24" t="n">
        <v>87</v>
      </c>
    </row>
    <row r="2224" customFormat="false" ht="15" hidden="false" customHeight="false" outlineLevel="0" collapsed="false">
      <c r="A2224" s="22" t="n">
        <v>39</v>
      </c>
      <c r="B2224" s="23" t="n">
        <v>45740</v>
      </c>
      <c r="C2224" s="22" t="s">
        <v>200</v>
      </c>
      <c r="D2224" s="24" t="n">
        <v>93</v>
      </c>
    </row>
    <row r="2225" customFormat="false" ht="15" hidden="false" customHeight="false" outlineLevel="0" collapsed="false">
      <c r="A2225" s="22" t="n">
        <v>40</v>
      </c>
      <c r="B2225" s="23" t="n">
        <v>45747</v>
      </c>
      <c r="C2225" s="22" t="s">
        <v>200</v>
      </c>
      <c r="D2225" s="24" t="n">
        <v>88</v>
      </c>
    </row>
    <row r="2226" customFormat="false" ht="15" hidden="false" customHeight="false" outlineLevel="0" collapsed="false">
      <c r="A2226" s="22" t="n">
        <v>41</v>
      </c>
      <c r="B2226" s="23" t="n">
        <v>45754</v>
      </c>
      <c r="C2226" s="22" t="s">
        <v>200</v>
      </c>
      <c r="D2226" s="24" t="n">
        <v>72</v>
      </c>
    </row>
    <row r="2227" customFormat="false" ht="15" hidden="false" customHeight="false" outlineLevel="0" collapsed="false">
      <c r="A2227" s="22" t="n">
        <v>42</v>
      </c>
      <c r="B2227" s="23" t="n">
        <v>45761</v>
      </c>
      <c r="C2227" s="22" t="s">
        <v>200</v>
      </c>
      <c r="D2227" s="24" t="n">
        <v>59</v>
      </c>
    </row>
    <row r="2228" customFormat="false" ht="15" hidden="false" customHeight="false" outlineLevel="0" collapsed="false">
      <c r="A2228" s="22" t="n">
        <v>43</v>
      </c>
      <c r="B2228" s="23" t="n">
        <v>45768</v>
      </c>
      <c r="C2228" s="22" t="s">
        <v>200</v>
      </c>
      <c r="D2228" s="24" t="n">
        <v>82</v>
      </c>
    </row>
    <row r="2229" customFormat="false" ht="15" hidden="false" customHeight="false" outlineLevel="0" collapsed="false">
      <c r="A2229" s="22" t="n">
        <v>44</v>
      </c>
      <c r="B2229" s="23" t="n">
        <v>45775</v>
      </c>
      <c r="C2229" s="22" t="s">
        <v>200</v>
      </c>
      <c r="D2229" s="24" t="n">
        <v>87</v>
      </c>
    </row>
    <row r="2230" customFormat="false" ht="15" hidden="false" customHeight="false" outlineLevel="0" collapsed="false">
      <c r="A2230" s="22" t="n">
        <v>45</v>
      </c>
      <c r="B2230" s="23" t="n">
        <v>45782</v>
      </c>
      <c r="C2230" s="22" t="s">
        <v>200</v>
      </c>
      <c r="D2230" s="24" t="n">
        <v>82</v>
      </c>
    </row>
    <row r="2231" customFormat="false" ht="15" hidden="false" customHeight="false" outlineLevel="0" collapsed="false">
      <c r="A2231" s="22" t="n">
        <v>46</v>
      </c>
      <c r="B2231" s="23" t="n">
        <v>45789</v>
      </c>
      <c r="C2231" s="22" t="s">
        <v>200</v>
      </c>
      <c r="D2231" s="24" t="n">
        <v>80</v>
      </c>
    </row>
    <row r="2232" customFormat="false" ht="15" hidden="false" customHeight="false" outlineLevel="0" collapsed="false">
      <c r="A2232" s="22" t="n">
        <v>47</v>
      </c>
      <c r="B2232" s="23" t="n">
        <v>45796</v>
      </c>
      <c r="C2232" s="22" t="s">
        <v>200</v>
      </c>
      <c r="D2232" s="24" t="n">
        <v>76</v>
      </c>
    </row>
    <row r="2233" customFormat="false" ht="15" hidden="false" customHeight="false" outlineLevel="0" collapsed="false">
      <c r="A2233" s="22" t="n">
        <v>48</v>
      </c>
      <c r="B2233" s="23" t="n">
        <v>45803</v>
      </c>
      <c r="C2233" s="22" t="s">
        <v>200</v>
      </c>
      <c r="D2233" s="24" t="n">
        <v>94</v>
      </c>
    </row>
    <row r="2234" customFormat="false" ht="15" hidden="false" customHeight="false" outlineLevel="0" collapsed="false">
      <c r="A2234" s="22" t="n">
        <v>49</v>
      </c>
      <c r="B2234" s="23" t="n">
        <v>45810</v>
      </c>
      <c r="C2234" s="22" t="s">
        <v>200</v>
      </c>
      <c r="D2234" s="24" t="n">
        <v>84</v>
      </c>
    </row>
    <row r="2235" customFormat="false" ht="15" hidden="false" customHeight="false" outlineLevel="0" collapsed="false">
      <c r="A2235" s="22" t="n">
        <v>50</v>
      </c>
      <c r="B2235" s="23" t="n">
        <v>45817</v>
      </c>
      <c r="C2235" s="22" t="s">
        <v>200</v>
      </c>
      <c r="D2235" s="24" t="n">
        <v>87</v>
      </c>
    </row>
    <row r="2236" customFormat="false" ht="15" hidden="false" customHeight="false" outlineLevel="0" collapsed="false">
      <c r="A2236" s="22" t="n">
        <v>51</v>
      </c>
      <c r="B2236" s="23" t="n">
        <v>45824</v>
      </c>
      <c r="C2236" s="22" t="s">
        <v>200</v>
      </c>
      <c r="D2236" s="24" t="n">
        <v>73</v>
      </c>
    </row>
    <row r="2237" customFormat="false" ht="15" hidden="false" customHeight="false" outlineLevel="0" collapsed="false">
      <c r="A2237" s="22" t="n">
        <v>52</v>
      </c>
      <c r="B2237" s="23" t="n">
        <v>45831</v>
      </c>
      <c r="C2237" s="22" t="s">
        <v>200</v>
      </c>
      <c r="D2237" s="24" t="n">
        <v>77</v>
      </c>
    </row>
    <row r="2238" customFormat="false" ht="15" hidden="false" customHeight="false" outlineLevel="0" collapsed="false">
      <c r="A2238" s="22" t="n">
        <v>53</v>
      </c>
      <c r="B2238" s="23" t="n">
        <v>45838</v>
      </c>
      <c r="C2238" s="22" t="s">
        <v>200</v>
      </c>
      <c r="D2238" s="24" t="n">
        <v>87</v>
      </c>
    </row>
    <row r="2239" customFormat="false" ht="15" hidden="false" customHeight="false" outlineLevel="0" collapsed="false">
      <c r="A2239" s="22" t="n">
        <v>54</v>
      </c>
      <c r="B2239" s="23" t="n">
        <v>45845</v>
      </c>
      <c r="C2239" s="22" t="s">
        <v>200</v>
      </c>
      <c r="D2239" s="24" t="n">
        <v>72</v>
      </c>
    </row>
    <row r="2240" customFormat="false" ht="15" hidden="false" customHeight="false" outlineLevel="0" collapsed="false">
      <c r="A2240" s="22" t="n">
        <v>55</v>
      </c>
      <c r="B2240" s="23" t="n">
        <v>45852</v>
      </c>
      <c r="C2240" s="22" t="s">
        <v>200</v>
      </c>
      <c r="D2240" s="24" t="n">
        <v>69</v>
      </c>
    </row>
    <row r="2241" customFormat="false" ht="15" hidden="false" customHeight="false" outlineLevel="0" collapsed="false">
      <c r="A2241" s="22" t="n">
        <v>56</v>
      </c>
      <c r="B2241" s="23" t="n">
        <v>45859</v>
      </c>
      <c r="C2241" s="22" t="s">
        <v>200</v>
      </c>
      <c r="D2241" s="24" t="n">
        <v>81</v>
      </c>
    </row>
    <row r="2242" customFormat="false" ht="15" hidden="false" customHeight="false" outlineLevel="0" collapsed="false">
      <c r="A2242" s="22" t="n">
        <v>57</v>
      </c>
      <c r="B2242" s="23" t="n">
        <v>45866</v>
      </c>
      <c r="C2242" s="22" t="s">
        <v>200</v>
      </c>
      <c r="D2242" s="24" t="n">
        <v>100</v>
      </c>
    </row>
    <row r="2243" customFormat="false" ht="15" hidden="false" customHeight="false" outlineLevel="0" collapsed="false">
      <c r="A2243" s="22" t="n">
        <v>58</v>
      </c>
      <c r="B2243" s="23" t="n">
        <v>45873</v>
      </c>
      <c r="C2243" s="22" t="s">
        <v>200</v>
      </c>
      <c r="D2243" s="24" t="n">
        <v>87</v>
      </c>
    </row>
    <row r="2244" customFormat="false" ht="15" hidden="false" customHeight="false" outlineLevel="0" collapsed="false">
      <c r="A2244" s="22" t="n">
        <v>59</v>
      </c>
      <c r="B2244" s="23" t="n">
        <v>45880</v>
      </c>
      <c r="C2244" s="22" t="s">
        <v>200</v>
      </c>
      <c r="D2244" s="24" t="n">
        <v>103</v>
      </c>
    </row>
    <row r="2245" customFormat="false" ht="15" hidden="false" customHeight="false" outlineLevel="0" collapsed="false">
      <c r="A2245" s="22" t="n">
        <v>60</v>
      </c>
      <c r="B2245" s="23" t="n">
        <v>45887</v>
      </c>
      <c r="C2245" s="22" t="s">
        <v>200</v>
      </c>
      <c r="D2245" s="24" t="n">
        <v>83</v>
      </c>
    </row>
    <row r="2246" customFormat="false" ht="15" hidden="false" customHeight="false" outlineLevel="0" collapsed="false">
      <c r="A2246" s="22" t="n">
        <v>61</v>
      </c>
      <c r="B2246" s="23" t="n">
        <v>45894</v>
      </c>
      <c r="C2246" s="22" t="s">
        <v>200</v>
      </c>
      <c r="D2246" s="24" t="n">
        <v>81</v>
      </c>
    </row>
    <row r="2247" customFormat="false" ht="15" hidden="false" customHeight="false" outlineLevel="0" collapsed="false">
      <c r="A2247" s="22" t="n">
        <v>62</v>
      </c>
      <c r="B2247" s="23" t="n">
        <v>45901</v>
      </c>
      <c r="C2247" s="22" t="s">
        <v>200</v>
      </c>
      <c r="D2247" s="24" t="n">
        <v>68</v>
      </c>
    </row>
    <row r="2248" customFormat="false" ht="15" hidden="false" customHeight="false" outlineLevel="0" collapsed="false">
      <c r="A2248" s="22" t="n">
        <v>63</v>
      </c>
      <c r="B2248" s="23" t="n">
        <v>45908</v>
      </c>
      <c r="C2248" s="22" t="s">
        <v>200</v>
      </c>
      <c r="D2248" s="24" t="n">
        <v>78</v>
      </c>
    </row>
    <row r="2249" customFormat="false" ht="15" hidden="false" customHeight="false" outlineLevel="0" collapsed="false">
      <c r="A2249" s="22" t="n">
        <v>64</v>
      </c>
      <c r="B2249" s="23" t="n">
        <v>45915</v>
      </c>
      <c r="C2249" s="22" t="s">
        <v>200</v>
      </c>
      <c r="D2249" s="24" t="n">
        <v>103</v>
      </c>
    </row>
    <row r="2250" customFormat="false" ht="15" hidden="false" customHeight="false" outlineLevel="0" collapsed="false">
      <c r="A2250" s="22" t="n">
        <v>65</v>
      </c>
      <c r="B2250" s="23" t="n">
        <v>45922</v>
      </c>
      <c r="C2250" s="22" t="s">
        <v>200</v>
      </c>
      <c r="D2250" s="24" t="n">
        <v>89</v>
      </c>
    </row>
    <row r="2251" customFormat="false" ht="15" hidden="false" customHeight="false" outlineLevel="0" collapsed="false">
      <c r="A2251" s="22" t="n">
        <v>66</v>
      </c>
      <c r="B2251" s="23" t="n">
        <v>45929</v>
      </c>
      <c r="C2251" s="22" t="s">
        <v>200</v>
      </c>
      <c r="D2251" s="24" t="n">
        <v>94</v>
      </c>
    </row>
    <row r="2252" customFormat="false" ht="15" hidden="false" customHeight="false" outlineLevel="0" collapsed="false">
      <c r="A2252" s="22" t="n">
        <v>67</v>
      </c>
      <c r="B2252" s="23" t="n">
        <v>45936</v>
      </c>
      <c r="C2252" s="22" t="s">
        <v>200</v>
      </c>
      <c r="D2252" s="24" t="n">
        <v>94</v>
      </c>
    </row>
    <row r="2253" customFormat="false" ht="15" hidden="false" customHeight="false" outlineLevel="0" collapsed="false">
      <c r="A2253" s="22" t="n">
        <v>68</v>
      </c>
      <c r="B2253" s="23" t="n">
        <v>45943</v>
      </c>
      <c r="C2253" s="22" t="s">
        <v>200</v>
      </c>
      <c r="D2253" s="24" t="n">
        <v>85</v>
      </c>
    </row>
    <row r="2254" customFormat="false" ht="15" hidden="false" customHeight="false" outlineLevel="0" collapsed="false">
      <c r="A2254" s="22" t="n">
        <v>69</v>
      </c>
      <c r="B2254" s="23" t="n">
        <v>45950</v>
      </c>
      <c r="C2254" s="22" t="s">
        <v>200</v>
      </c>
      <c r="D2254" s="24" t="n">
        <v>82</v>
      </c>
    </row>
    <row r="2255" customFormat="false" ht="15" hidden="false" customHeight="false" outlineLevel="0" collapsed="false">
      <c r="A2255" s="22" t="n">
        <v>70</v>
      </c>
      <c r="B2255" s="23" t="n">
        <v>45957</v>
      </c>
      <c r="C2255" s="22" t="s">
        <v>200</v>
      </c>
      <c r="D2255" s="24" t="n">
        <v>86</v>
      </c>
    </row>
    <row r="2256" customFormat="false" ht="15" hidden="false" customHeight="false" outlineLevel="0" collapsed="false">
      <c r="A2256" s="22" t="n">
        <v>71</v>
      </c>
      <c r="B2256" s="23" t="n">
        <v>45964</v>
      </c>
      <c r="C2256" s="22" t="s">
        <v>200</v>
      </c>
      <c r="D2256" s="24" t="n">
        <v>93</v>
      </c>
    </row>
    <row r="2257" customFormat="false" ht="15" hidden="false" customHeight="false" outlineLevel="0" collapsed="false">
      <c r="A2257" s="22" t="n">
        <v>72</v>
      </c>
      <c r="B2257" s="23" t="n">
        <v>45971</v>
      </c>
      <c r="C2257" s="22" t="s">
        <v>200</v>
      </c>
      <c r="D2257" s="24" t="n">
        <v>91</v>
      </c>
    </row>
    <row r="2258" customFormat="false" ht="15" hidden="false" customHeight="false" outlineLevel="0" collapsed="false">
      <c r="A2258" s="22" t="n">
        <v>73</v>
      </c>
      <c r="B2258" s="23" t="n">
        <v>45978</v>
      </c>
      <c r="C2258" s="22" t="s">
        <v>200</v>
      </c>
      <c r="D2258" s="24" t="n">
        <v>91</v>
      </c>
    </row>
    <row r="2259" customFormat="false" ht="15" hidden="false" customHeight="false" outlineLevel="0" collapsed="false">
      <c r="A2259" s="22" t="n">
        <v>74</v>
      </c>
      <c r="B2259" s="23" t="n">
        <v>45985</v>
      </c>
      <c r="C2259" s="22" t="s">
        <v>200</v>
      </c>
      <c r="D2259" s="24" t="n">
        <v>87</v>
      </c>
    </row>
    <row r="2260" customFormat="false" ht="15" hidden="false" customHeight="false" outlineLevel="0" collapsed="false">
      <c r="A2260" s="22" t="n">
        <v>75</v>
      </c>
      <c r="B2260" s="23" t="n">
        <v>45992</v>
      </c>
      <c r="C2260" s="22" t="s">
        <v>200</v>
      </c>
      <c r="D2260" s="24" t="n">
        <v>75</v>
      </c>
    </row>
    <row r="2261" customFormat="false" ht="15" hidden="false" customHeight="false" outlineLevel="0" collapsed="false">
      <c r="A2261" s="22" t="n">
        <v>76</v>
      </c>
      <c r="B2261" s="23" t="n">
        <v>45999</v>
      </c>
      <c r="C2261" s="22" t="s">
        <v>200</v>
      </c>
      <c r="D2261" s="24" t="n">
        <v>82</v>
      </c>
    </row>
    <row r="2262" customFormat="false" ht="15" hidden="false" customHeight="false" outlineLevel="0" collapsed="false">
      <c r="A2262" s="22" t="n">
        <v>77</v>
      </c>
      <c r="B2262" s="23" t="n">
        <v>46006</v>
      </c>
      <c r="C2262" s="22" t="s">
        <v>200</v>
      </c>
      <c r="D2262" s="24" t="n">
        <v>73</v>
      </c>
    </row>
    <row r="2263" customFormat="false" ht="15" hidden="false" customHeight="false" outlineLevel="0" collapsed="false">
      <c r="A2263" s="22" t="n">
        <v>78</v>
      </c>
      <c r="B2263" s="23" t="n">
        <v>46013</v>
      </c>
      <c r="C2263" s="22" t="s">
        <v>200</v>
      </c>
      <c r="D2263" s="24" t="n">
        <v>98</v>
      </c>
    </row>
    <row r="2264" customFormat="false" ht="15" hidden="false" customHeight="false" outlineLevel="0" collapsed="false">
      <c r="A2264" s="22" t="n">
        <v>79</v>
      </c>
      <c r="B2264" s="23" t="n">
        <v>46020</v>
      </c>
      <c r="C2264" s="22" t="s">
        <v>200</v>
      </c>
      <c r="D2264" s="24" t="n">
        <v>59</v>
      </c>
    </row>
    <row r="2265" customFormat="false" ht="15" hidden="false" customHeight="false" outlineLevel="0" collapsed="false">
      <c r="A2265" s="22" t="n">
        <v>80</v>
      </c>
      <c r="B2265" s="23" t="n">
        <v>46027</v>
      </c>
      <c r="C2265" s="22" t="s">
        <v>200</v>
      </c>
      <c r="D2265" s="24" t="n">
        <v>82</v>
      </c>
    </row>
    <row r="2266" customFormat="false" ht="15" hidden="false" customHeight="false" outlineLevel="0" collapsed="false">
      <c r="A2266" s="22" t="n">
        <v>81</v>
      </c>
      <c r="B2266" s="23" t="n">
        <v>46034</v>
      </c>
      <c r="C2266" s="22" t="s">
        <v>200</v>
      </c>
      <c r="D2266" s="24" t="n">
        <v>115</v>
      </c>
    </row>
    <row r="2267" customFormat="false" ht="15" hidden="false" customHeight="false" outlineLevel="0" collapsed="false">
      <c r="A2267" s="22" t="n">
        <v>82</v>
      </c>
      <c r="B2267" s="23" t="n">
        <v>46041</v>
      </c>
      <c r="C2267" s="22" t="s">
        <v>200</v>
      </c>
      <c r="D2267" s="24" t="n">
        <v>81</v>
      </c>
    </row>
    <row r="2268" customFormat="false" ht="15" hidden="false" customHeight="false" outlineLevel="0" collapsed="false">
      <c r="A2268" s="22" t="n">
        <v>83</v>
      </c>
      <c r="B2268" s="23" t="n">
        <v>46048</v>
      </c>
      <c r="C2268" s="22" t="s">
        <v>200</v>
      </c>
      <c r="D2268" s="24" t="n">
        <v>71</v>
      </c>
    </row>
    <row r="2269" customFormat="false" ht="15" hidden="false" customHeight="false" outlineLevel="0" collapsed="false">
      <c r="A2269" s="22" t="n">
        <v>84</v>
      </c>
      <c r="B2269" s="23" t="n">
        <v>46055</v>
      </c>
      <c r="C2269" s="22" t="s">
        <v>200</v>
      </c>
      <c r="D2269" s="24" t="n">
        <v>85</v>
      </c>
    </row>
    <row r="2270" customFormat="false" ht="15" hidden="false" customHeight="false" outlineLevel="0" collapsed="false">
      <c r="A2270" s="22" t="n">
        <v>85</v>
      </c>
      <c r="B2270" s="23" t="n">
        <v>46062</v>
      </c>
      <c r="C2270" s="22" t="s">
        <v>200</v>
      </c>
      <c r="D2270" s="24" t="n">
        <v>101</v>
      </c>
    </row>
    <row r="2271" customFormat="false" ht="15" hidden="false" customHeight="false" outlineLevel="0" collapsed="false">
      <c r="A2271" s="22" t="n">
        <v>86</v>
      </c>
      <c r="B2271" s="23" t="n">
        <v>46069</v>
      </c>
      <c r="C2271" s="22" t="s">
        <v>200</v>
      </c>
      <c r="D2271" s="24" t="n">
        <v>83</v>
      </c>
    </row>
    <row r="2272" customFormat="false" ht="15" hidden="false" customHeight="false" outlineLevel="0" collapsed="false">
      <c r="A2272" s="22" t="n">
        <v>87</v>
      </c>
      <c r="B2272" s="23" t="n">
        <v>46076</v>
      </c>
      <c r="C2272" s="22" t="s">
        <v>200</v>
      </c>
      <c r="D2272" s="24" t="n">
        <v>93</v>
      </c>
    </row>
    <row r="2273" customFormat="false" ht="15" hidden="false" customHeight="false" outlineLevel="0" collapsed="false">
      <c r="A2273" s="22" t="n">
        <v>88</v>
      </c>
      <c r="B2273" s="23" t="n">
        <v>46083</v>
      </c>
      <c r="C2273" s="22" t="s">
        <v>200</v>
      </c>
      <c r="D2273" s="24" t="n">
        <v>86</v>
      </c>
    </row>
    <row r="2274" customFormat="false" ht="15" hidden="false" customHeight="false" outlineLevel="0" collapsed="false">
      <c r="A2274" s="22" t="n">
        <v>89</v>
      </c>
      <c r="B2274" s="23" t="n">
        <v>46090</v>
      </c>
      <c r="C2274" s="22" t="s">
        <v>200</v>
      </c>
      <c r="D2274" s="24" t="n">
        <v>80</v>
      </c>
    </row>
    <row r="2275" customFormat="false" ht="15" hidden="false" customHeight="false" outlineLevel="0" collapsed="false">
      <c r="A2275" s="22" t="n">
        <v>90</v>
      </c>
      <c r="B2275" s="23" t="n">
        <v>46097</v>
      </c>
      <c r="C2275" s="22" t="s">
        <v>200</v>
      </c>
      <c r="D2275" s="24" t="n">
        <v>124</v>
      </c>
    </row>
    <row r="2276" customFormat="false" ht="15" hidden="false" customHeight="false" outlineLevel="0" collapsed="false">
      <c r="A2276" s="22" t="n">
        <v>91</v>
      </c>
      <c r="B2276" s="23" t="n">
        <v>46104</v>
      </c>
      <c r="C2276" s="22" t="s">
        <v>200</v>
      </c>
      <c r="D2276" s="24" t="n">
        <v>86</v>
      </c>
    </row>
    <row r="2277" customFormat="false" ht="15" hidden="false" customHeight="false" outlineLevel="0" collapsed="false">
      <c r="A2277" s="22" t="n">
        <v>92</v>
      </c>
      <c r="B2277" s="23" t="n">
        <v>46111</v>
      </c>
      <c r="C2277" s="22" t="s">
        <v>200</v>
      </c>
      <c r="D2277" s="24" t="n">
        <v>78</v>
      </c>
    </row>
    <row r="2278" customFormat="false" ht="15" hidden="false" customHeight="false" outlineLevel="0" collapsed="false">
      <c r="A2278" s="22" t="n">
        <v>93</v>
      </c>
      <c r="B2278" s="23" t="n">
        <v>46118</v>
      </c>
      <c r="C2278" s="22" t="s">
        <v>200</v>
      </c>
      <c r="D2278" s="24" t="n">
        <v>79</v>
      </c>
    </row>
    <row r="2279" customFormat="false" ht="15" hidden="false" customHeight="false" outlineLevel="0" collapsed="false">
      <c r="A2279" s="22" t="n">
        <v>94</v>
      </c>
      <c r="B2279" s="23" t="n">
        <v>46125</v>
      </c>
      <c r="C2279" s="22" t="s">
        <v>200</v>
      </c>
      <c r="D2279" s="24" t="n">
        <v>90</v>
      </c>
    </row>
    <row r="2280" customFormat="false" ht="15" hidden="false" customHeight="false" outlineLevel="0" collapsed="false">
      <c r="A2280" s="22" t="n">
        <v>95</v>
      </c>
      <c r="B2280" s="23" t="n">
        <v>46132</v>
      </c>
      <c r="C2280" s="22" t="s">
        <v>200</v>
      </c>
      <c r="D2280" s="24" t="n">
        <v>90</v>
      </c>
    </row>
    <row r="2281" customFormat="false" ht="15" hidden="false" customHeight="false" outlineLevel="0" collapsed="false">
      <c r="A2281" s="22" t="n">
        <v>96</v>
      </c>
      <c r="B2281" s="23" t="n">
        <v>46139</v>
      </c>
      <c r="C2281" s="22" t="s">
        <v>200</v>
      </c>
      <c r="D2281" s="24" t="n">
        <v>95</v>
      </c>
    </row>
    <row r="2282" customFormat="false" ht="15" hidden="false" customHeight="false" outlineLevel="0" collapsed="false">
      <c r="A2282" s="22" t="n">
        <v>97</v>
      </c>
      <c r="B2282" s="23" t="n">
        <v>46146</v>
      </c>
      <c r="C2282" s="22" t="s">
        <v>200</v>
      </c>
      <c r="D2282" s="24" t="n">
        <v>87</v>
      </c>
    </row>
    <row r="2283" customFormat="false" ht="15" hidden="false" customHeight="false" outlineLevel="0" collapsed="false">
      <c r="A2283" s="22" t="n">
        <v>98</v>
      </c>
      <c r="B2283" s="23" t="n">
        <v>46153</v>
      </c>
      <c r="C2283" s="22" t="s">
        <v>200</v>
      </c>
      <c r="D2283" s="24" t="n">
        <v>67</v>
      </c>
    </row>
    <row r="2284" customFormat="false" ht="15" hidden="false" customHeight="false" outlineLevel="0" collapsed="false">
      <c r="A2284" s="22" t="n">
        <v>99</v>
      </c>
      <c r="B2284" s="23" t="n">
        <v>46160</v>
      </c>
      <c r="C2284" s="22" t="s">
        <v>200</v>
      </c>
      <c r="D2284" s="24" t="n">
        <v>92</v>
      </c>
    </row>
    <row r="2285" customFormat="false" ht="15" hidden="false" customHeight="false" outlineLevel="0" collapsed="false">
      <c r="A2285" s="22" t="n">
        <v>100</v>
      </c>
      <c r="B2285" s="23" t="n">
        <v>46167</v>
      </c>
      <c r="C2285" s="22" t="s">
        <v>200</v>
      </c>
      <c r="D2285" s="24" t="n">
        <v>81</v>
      </c>
    </row>
    <row r="2286" customFormat="false" ht="15" hidden="false" customHeight="false" outlineLevel="0" collapsed="false">
      <c r="A2286" s="22" t="n">
        <v>101</v>
      </c>
      <c r="B2286" s="23" t="n">
        <v>46174</v>
      </c>
      <c r="C2286" s="22" t="s">
        <v>200</v>
      </c>
      <c r="D2286" s="24" t="n">
        <v>81</v>
      </c>
    </row>
    <row r="2287" customFormat="false" ht="15" hidden="false" customHeight="false" outlineLevel="0" collapsed="false">
      <c r="A2287" s="22" t="n">
        <v>102</v>
      </c>
      <c r="B2287" s="23" t="n">
        <v>46181</v>
      </c>
      <c r="C2287" s="22" t="s">
        <v>200</v>
      </c>
      <c r="D2287" s="24" t="n">
        <v>67</v>
      </c>
    </row>
    <row r="2288" customFormat="false" ht="15" hidden="false" customHeight="false" outlineLevel="0" collapsed="false">
      <c r="A2288" s="22" t="n">
        <v>103</v>
      </c>
      <c r="B2288" s="23" t="n">
        <v>46188</v>
      </c>
      <c r="C2288" s="22" t="s">
        <v>200</v>
      </c>
      <c r="D2288" s="24" t="n">
        <v>78</v>
      </c>
    </row>
    <row r="2289" customFormat="false" ht="15" hidden="false" customHeight="false" outlineLevel="0" collapsed="false">
      <c r="A2289" s="22" t="n">
        <v>104</v>
      </c>
      <c r="B2289" s="23" t="n">
        <v>46195</v>
      </c>
      <c r="C2289" s="22" t="s">
        <v>200</v>
      </c>
      <c r="D2289" s="24" t="n">
        <v>76</v>
      </c>
    </row>
    <row r="2290" customFormat="false" ht="15" hidden="false" customHeight="false" outlineLevel="0" collapsed="false">
      <c r="A2290" s="22" t="n">
        <v>1</v>
      </c>
      <c r="B2290" s="23" t="n">
        <v>45474</v>
      </c>
      <c r="C2290" s="22" t="s">
        <v>202</v>
      </c>
      <c r="D2290" s="24" t="n">
        <v>23</v>
      </c>
    </row>
    <row r="2291" customFormat="false" ht="15" hidden="false" customHeight="false" outlineLevel="0" collapsed="false">
      <c r="A2291" s="22" t="n">
        <v>2</v>
      </c>
      <c r="B2291" s="23" t="n">
        <v>45481</v>
      </c>
      <c r="C2291" s="22" t="s">
        <v>202</v>
      </c>
      <c r="D2291" s="24" t="n">
        <v>51</v>
      </c>
    </row>
    <row r="2292" customFormat="false" ht="15" hidden="false" customHeight="false" outlineLevel="0" collapsed="false">
      <c r="A2292" s="22" t="n">
        <v>3</v>
      </c>
      <c r="B2292" s="23" t="n">
        <v>45488</v>
      </c>
      <c r="C2292" s="22" t="s">
        <v>202</v>
      </c>
      <c r="D2292" s="24" t="n">
        <v>52</v>
      </c>
    </row>
    <row r="2293" customFormat="false" ht="15" hidden="false" customHeight="false" outlineLevel="0" collapsed="false">
      <c r="A2293" s="22" t="n">
        <v>4</v>
      </c>
      <c r="B2293" s="23" t="n">
        <v>45495</v>
      </c>
      <c r="C2293" s="22" t="s">
        <v>202</v>
      </c>
      <c r="D2293" s="24" t="n">
        <v>29</v>
      </c>
    </row>
    <row r="2294" customFormat="false" ht="15" hidden="false" customHeight="false" outlineLevel="0" collapsed="false">
      <c r="A2294" s="22" t="n">
        <v>5</v>
      </c>
      <c r="B2294" s="23" t="n">
        <v>45502</v>
      </c>
      <c r="C2294" s="22" t="s">
        <v>202</v>
      </c>
      <c r="D2294" s="24" t="n">
        <v>39</v>
      </c>
    </row>
    <row r="2295" customFormat="false" ht="15" hidden="false" customHeight="false" outlineLevel="0" collapsed="false">
      <c r="A2295" s="22" t="n">
        <v>6</v>
      </c>
      <c r="B2295" s="23" t="n">
        <v>45509</v>
      </c>
      <c r="C2295" s="22" t="s">
        <v>202</v>
      </c>
      <c r="D2295" s="24" t="n">
        <v>34</v>
      </c>
    </row>
    <row r="2296" customFormat="false" ht="15" hidden="false" customHeight="false" outlineLevel="0" collapsed="false">
      <c r="A2296" s="22" t="n">
        <v>7</v>
      </c>
      <c r="B2296" s="23" t="n">
        <v>45516</v>
      </c>
      <c r="C2296" s="22" t="s">
        <v>202</v>
      </c>
      <c r="D2296" s="24" t="n">
        <v>67</v>
      </c>
    </row>
    <row r="2297" customFormat="false" ht="15" hidden="false" customHeight="false" outlineLevel="0" collapsed="false">
      <c r="A2297" s="22" t="n">
        <v>8</v>
      </c>
      <c r="B2297" s="23" t="n">
        <v>45523</v>
      </c>
      <c r="C2297" s="22" t="s">
        <v>202</v>
      </c>
      <c r="D2297" s="24" t="n">
        <v>4</v>
      </c>
    </row>
    <row r="2298" customFormat="false" ht="15" hidden="false" customHeight="false" outlineLevel="0" collapsed="false">
      <c r="A2298" s="22" t="n">
        <v>9</v>
      </c>
      <c r="B2298" s="23" t="n">
        <v>45530</v>
      </c>
      <c r="C2298" s="22" t="s">
        <v>202</v>
      </c>
      <c r="D2298" s="24" t="n">
        <v>44</v>
      </c>
    </row>
    <row r="2299" customFormat="false" ht="15" hidden="false" customHeight="false" outlineLevel="0" collapsed="false">
      <c r="A2299" s="22" t="n">
        <v>10</v>
      </c>
      <c r="B2299" s="23" t="n">
        <v>45537</v>
      </c>
      <c r="C2299" s="22" t="s">
        <v>202</v>
      </c>
      <c r="D2299" s="24" t="n">
        <v>19</v>
      </c>
    </row>
    <row r="2300" customFormat="false" ht="15" hidden="false" customHeight="false" outlineLevel="0" collapsed="false">
      <c r="A2300" s="22" t="n">
        <v>11</v>
      </c>
      <c r="B2300" s="23" t="n">
        <v>45544</v>
      </c>
      <c r="C2300" s="22" t="s">
        <v>202</v>
      </c>
      <c r="D2300" s="24" t="n">
        <v>42</v>
      </c>
    </row>
    <row r="2301" customFormat="false" ht="15" hidden="false" customHeight="false" outlineLevel="0" collapsed="false">
      <c r="A2301" s="22" t="n">
        <v>12</v>
      </c>
      <c r="B2301" s="23" t="n">
        <v>45551</v>
      </c>
      <c r="C2301" s="22" t="s">
        <v>202</v>
      </c>
      <c r="D2301" s="24" t="n">
        <v>66</v>
      </c>
    </row>
    <row r="2302" customFormat="false" ht="15" hidden="false" customHeight="false" outlineLevel="0" collapsed="false">
      <c r="A2302" s="22" t="n">
        <v>13</v>
      </c>
      <c r="B2302" s="23" t="n">
        <v>45558</v>
      </c>
      <c r="C2302" s="22" t="s">
        <v>202</v>
      </c>
      <c r="D2302" s="24" t="n">
        <v>38</v>
      </c>
    </row>
    <row r="2303" customFormat="false" ht="15" hidden="false" customHeight="false" outlineLevel="0" collapsed="false">
      <c r="A2303" s="22" t="n">
        <v>14</v>
      </c>
      <c r="B2303" s="23" t="n">
        <v>45565</v>
      </c>
      <c r="C2303" s="22" t="s">
        <v>202</v>
      </c>
      <c r="D2303" s="24" t="n">
        <v>53</v>
      </c>
    </row>
    <row r="2304" customFormat="false" ht="15" hidden="false" customHeight="false" outlineLevel="0" collapsed="false">
      <c r="A2304" s="22" t="n">
        <v>15</v>
      </c>
      <c r="B2304" s="23" t="n">
        <v>45572</v>
      </c>
      <c r="C2304" s="22" t="s">
        <v>202</v>
      </c>
      <c r="D2304" s="24" t="n">
        <v>34</v>
      </c>
    </row>
    <row r="2305" customFormat="false" ht="15" hidden="false" customHeight="false" outlineLevel="0" collapsed="false">
      <c r="A2305" s="22" t="n">
        <v>16</v>
      </c>
      <c r="B2305" s="23" t="n">
        <v>45579</v>
      </c>
      <c r="C2305" s="22" t="s">
        <v>202</v>
      </c>
      <c r="D2305" s="24" t="n">
        <v>86</v>
      </c>
    </row>
    <row r="2306" customFormat="false" ht="15" hidden="false" customHeight="false" outlineLevel="0" collapsed="false">
      <c r="A2306" s="22" t="n">
        <v>17</v>
      </c>
      <c r="B2306" s="23" t="n">
        <v>45586</v>
      </c>
      <c r="C2306" s="22" t="s">
        <v>202</v>
      </c>
      <c r="D2306" s="24" t="n">
        <v>67</v>
      </c>
    </row>
    <row r="2307" customFormat="false" ht="15" hidden="false" customHeight="false" outlineLevel="0" collapsed="false">
      <c r="A2307" s="22" t="n">
        <v>18</v>
      </c>
      <c r="B2307" s="23" t="n">
        <v>45593</v>
      </c>
      <c r="C2307" s="22" t="s">
        <v>202</v>
      </c>
      <c r="D2307" s="24" t="n">
        <v>71</v>
      </c>
    </row>
    <row r="2308" customFormat="false" ht="15" hidden="false" customHeight="false" outlineLevel="0" collapsed="false">
      <c r="A2308" s="22" t="n">
        <v>19</v>
      </c>
      <c r="B2308" s="23" t="n">
        <v>45600</v>
      </c>
      <c r="C2308" s="22" t="s">
        <v>202</v>
      </c>
      <c r="D2308" s="24" t="n">
        <v>26</v>
      </c>
    </row>
    <row r="2309" customFormat="false" ht="15" hidden="false" customHeight="false" outlineLevel="0" collapsed="false">
      <c r="A2309" s="22" t="n">
        <v>20</v>
      </c>
      <c r="B2309" s="23" t="n">
        <v>45607</v>
      </c>
      <c r="C2309" s="22" t="s">
        <v>202</v>
      </c>
      <c r="D2309" s="24" t="n">
        <v>30</v>
      </c>
    </row>
    <row r="2310" customFormat="false" ht="15" hidden="false" customHeight="false" outlineLevel="0" collapsed="false">
      <c r="A2310" s="22" t="n">
        <v>21</v>
      </c>
      <c r="B2310" s="23" t="n">
        <v>45614</v>
      </c>
      <c r="C2310" s="22" t="s">
        <v>202</v>
      </c>
      <c r="D2310" s="24" t="n">
        <v>70</v>
      </c>
    </row>
    <row r="2311" customFormat="false" ht="15" hidden="false" customHeight="false" outlineLevel="0" collapsed="false">
      <c r="A2311" s="22" t="n">
        <v>22</v>
      </c>
      <c r="B2311" s="23" t="n">
        <v>45621</v>
      </c>
      <c r="C2311" s="22" t="s">
        <v>202</v>
      </c>
      <c r="D2311" s="24" t="n">
        <v>46</v>
      </c>
    </row>
    <row r="2312" customFormat="false" ht="15" hidden="false" customHeight="false" outlineLevel="0" collapsed="false">
      <c r="A2312" s="22" t="n">
        <v>23</v>
      </c>
      <c r="B2312" s="23" t="n">
        <v>45628</v>
      </c>
      <c r="C2312" s="22" t="s">
        <v>202</v>
      </c>
      <c r="D2312" s="24" t="n">
        <v>45</v>
      </c>
    </row>
    <row r="2313" customFormat="false" ht="15" hidden="false" customHeight="false" outlineLevel="0" collapsed="false">
      <c r="A2313" s="22" t="n">
        <v>24</v>
      </c>
      <c r="B2313" s="23" t="n">
        <v>45635</v>
      </c>
      <c r="C2313" s="22" t="s">
        <v>202</v>
      </c>
      <c r="D2313" s="24" t="n">
        <v>56</v>
      </c>
    </row>
    <row r="2314" customFormat="false" ht="15" hidden="false" customHeight="false" outlineLevel="0" collapsed="false">
      <c r="A2314" s="22" t="n">
        <v>25</v>
      </c>
      <c r="B2314" s="23" t="n">
        <v>45642</v>
      </c>
      <c r="C2314" s="22" t="s">
        <v>202</v>
      </c>
      <c r="D2314" s="24" t="n">
        <v>27</v>
      </c>
    </row>
    <row r="2315" customFormat="false" ht="15" hidden="false" customHeight="false" outlineLevel="0" collapsed="false">
      <c r="A2315" s="22" t="n">
        <v>26</v>
      </c>
      <c r="B2315" s="23" t="n">
        <v>45649</v>
      </c>
      <c r="C2315" s="22" t="s">
        <v>202</v>
      </c>
      <c r="D2315" s="24" t="n">
        <v>64</v>
      </c>
    </row>
    <row r="2316" customFormat="false" ht="15" hidden="false" customHeight="false" outlineLevel="0" collapsed="false">
      <c r="A2316" s="22" t="n">
        <v>27</v>
      </c>
      <c r="B2316" s="23" t="n">
        <v>45656</v>
      </c>
      <c r="C2316" s="22" t="s">
        <v>202</v>
      </c>
      <c r="D2316" s="24" t="n">
        <v>50</v>
      </c>
    </row>
    <row r="2317" customFormat="false" ht="15" hidden="false" customHeight="false" outlineLevel="0" collapsed="false">
      <c r="A2317" s="22" t="n">
        <v>28</v>
      </c>
      <c r="B2317" s="23" t="n">
        <v>45663</v>
      </c>
      <c r="C2317" s="22" t="s">
        <v>202</v>
      </c>
      <c r="D2317" s="24" t="n">
        <v>59</v>
      </c>
    </row>
    <row r="2318" customFormat="false" ht="15" hidden="false" customHeight="false" outlineLevel="0" collapsed="false">
      <c r="A2318" s="22" t="n">
        <v>29</v>
      </c>
      <c r="B2318" s="23" t="n">
        <v>45670</v>
      </c>
      <c r="C2318" s="22" t="s">
        <v>202</v>
      </c>
      <c r="D2318" s="24" t="n">
        <v>38</v>
      </c>
    </row>
    <row r="2319" customFormat="false" ht="15" hidden="false" customHeight="false" outlineLevel="0" collapsed="false">
      <c r="A2319" s="22" t="n">
        <v>30</v>
      </c>
      <c r="B2319" s="23" t="n">
        <v>45677</v>
      </c>
      <c r="C2319" s="22" t="s">
        <v>202</v>
      </c>
      <c r="D2319" s="24" t="n">
        <v>59</v>
      </c>
    </row>
    <row r="2320" customFormat="false" ht="15" hidden="false" customHeight="false" outlineLevel="0" collapsed="false">
      <c r="A2320" s="22" t="n">
        <v>31</v>
      </c>
      <c r="B2320" s="23" t="n">
        <v>45684</v>
      </c>
      <c r="C2320" s="22" t="s">
        <v>202</v>
      </c>
      <c r="D2320" s="24" t="n">
        <v>37</v>
      </c>
    </row>
    <row r="2321" customFormat="false" ht="15" hidden="false" customHeight="false" outlineLevel="0" collapsed="false">
      <c r="A2321" s="22" t="n">
        <v>32</v>
      </c>
      <c r="B2321" s="23" t="n">
        <v>45691</v>
      </c>
      <c r="C2321" s="22" t="s">
        <v>202</v>
      </c>
      <c r="D2321" s="24" t="n">
        <v>68</v>
      </c>
    </row>
    <row r="2322" customFormat="false" ht="15" hidden="false" customHeight="false" outlineLevel="0" collapsed="false">
      <c r="A2322" s="22" t="n">
        <v>33</v>
      </c>
      <c r="B2322" s="23" t="n">
        <v>45698</v>
      </c>
      <c r="C2322" s="22" t="s">
        <v>202</v>
      </c>
      <c r="D2322" s="24" t="n">
        <v>71</v>
      </c>
    </row>
    <row r="2323" customFormat="false" ht="15" hidden="false" customHeight="false" outlineLevel="0" collapsed="false">
      <c r="A2323" s="22" t="n">
        <v>34</v>
      </c>
      <c r="B2323" s="23" t="n">
        <v>45705</v>
      </c>
      <c r="C2323" s="22" t="s">
        <v>202</v>
      </c>
      <c r="D2323" s="24" t="n">
        <v>67</v>
      </c>
    </row>
    <row r="2324" customFormat="false" ht="15" hidden="false" customHeight="false" outlineLevel="0" collapsed="false">
      <c r="A2324" s="22" t="n">
        <v>35</v>
      </c>
      <c r="B2324" s="23" t="n">
        <v>45712</v>
      </c>
      <c r="C2324" s="22" t="s">
        <v>202</v>
      </c>
      <c r="D2324" s="24" t="n">
        <v>59</v>
      </c>
    </row>
    <row r="2325" customFormat="false" ht="15" hidden="false" customHeight="false" outlineLevel="0" collapsed="false">
      <c r="A2325" s="22" t="n">
        <v>36</v>
      </c>
      <c r="B2325" s="23" t="n">
        <v>45719</v>
      </c>
      <c r="C2325" s="22" t="s">
        <v>202</v>
      </c>
      <c r="D2325" s="24" t="n">
        <v>62</v>
      </c>
    </row>
    <row r="2326" customFormat="false" ht="15" hidden="false" customHeight="false" outlineLevel="0" collapsed="false">
      <c r="A2326" s="22" t="n">
        <v>37</v>
      </c>
      <c r="B2326" s="23" t="n">
        <v>45726</v>
      </c>
      <c r="C2326" s="22" t="s">
        <v>202</v>
      </c>
      <c r="D2326" s="24" t="n">
        <v>0</v>
      </c>
    </row>
    <row r="2327" customFormat="false" ht="15" hidden="false" customHeight="false" outlineLevel="0" collapsed="false">
      <c r="A2327" s="22" t="n">
        <v>38</v>
      </c>
      <c r="B2327" s="23" t="n">
        <v>45733</v>
      </c>
      <c r="C2327" s="22" t="s">
        <v>202</v>
      </c>
      <c r="D2327" s="24" t="n">
        <v>65</v>
      </c>
    </row>
    <row r="2328" customFormat="false" ht="15" hidden="false" customHeight="false" outlineLevel="0" collapsed="false">
      <c r="A2328" s="22" t="n">
        <v>39</v>
      </c>
      <c r="B2328" s="23" t="n">
        <v>45740</v>
      </c>
      <c r="C2328" s="22" t="s">
        <v>202</v>
      </c>
      <c r="D2328" s="24" t="n">
        <v>45</v>
      </c>
    </row>
    <row r="2329" customFormat="false" ht="15" hidden="false" customHeight="false" outlineLevel="0" collapsed="false">
      <c r="A2329" s="22" t="n">
        <v>40</v>
      </c>
      <c r="B2329" s="23" t="n">
        <v>45747</v>
      </c>
      <c r="C2329" s="22" t="s">
        <v>202</v>
      </c>
      <c r="D2329" s="24" t="n">
        <v>52</v>
      </c>
    </row>
    <row r="2330" customFormat="false" ht="15" hidden="false" customHeight="false" outlineLevel="0" collapsed="false">
      <c r="A2330" s="22" t="n">
        <v>41</v>
      </c>
      <c r="B2330" s="23" t="n">
        <v>45754</v>
      </c>
      <c r="C2330" s="22" t="s">
        <v>202</v>
      </c>
      <c r="D2330" s="24" t="n">
        <v>45</v>
      </c>
    </row>
    <row r="2331" customFormat="false" ht="15" hidden="false" customHeight="false" outlineLevel="0" collapsed="false">
      <c r="A2331" s="22" t="n">
        <v>42</v>
      </c>
      <c r="B2331" s="23" t="n">
        <v>45761</v>
      </c>
      <c r="C2331" s="22" t="s">
        <v>202</v>
      </c>
      <c r="D2331" s="24" t="n">
        <v>24</v>
      </c>
    </row>
    <row r="2332" customFormat="false" ht="15" hidden="false" customHeight="false" outlineLevel="0" collapsed="false">
      <c r="A2332" s="22" t="n">
        <v>43</v>
      </c>
      <c r="B2332" s="23" t="n">
        <v>45768</v>
      </c>
      <c r="C2332" s="22" t="s">
        <v>202</v>
      </c>
      <c r="D2332" s="24" t="n">
        <v>40</v>
      </c>
    </row>
    <row r="2333" customFormat="false" ht="15" hidden="false" customHeight="false" outlineLevel="0" collapsed="false">
      <c r="A2333" s="22" t="n">
        <v>44</v>
      </c>
      <c r="B2333" s="23" t="n">
        <v>45775</v>
      </c>
      <c r="C2333" s="22" t="s">
        <v>202</v>
      </c>
      <c r="D2333" s="24" t="n">
        <v>62</v>
      </c>
    </row>
    <row r="2334" customFormat="false" ht="15" hidden="false" customHeight="false" outlineLevel="0" collapsed="false">
      <c r="A2334" s="22" t="n">
        <v>45</v>
      </c>
      <c r="B2334" s="23" t="n">
        <v>45782</v>
      </c>
      <c r="C2334" s="22" t="s">
        <v>202</v>
      </c>
      <c r="D2334" s="24" t="n">
        <v>76</v>
      </c>
    </row>
    <row r="2335" customFormat="false" ht="15" hidden="false" customHeight="false" outlineLevel="0" collapsed="false">
      <c r="A2335" s="22" t="n">
        <v>46</v>
      </c>
      <c r="B2335" s="23" t="n">
        <v>45789</v>
      </c>
      <c r="C2335" s="22" t="s">
        <v>202</v>
      </c>
      <c r="D2335" s="24" t="n">
        <v>39</v>
      </c>
    </row>
    <row r="2336" customFormat="false" ht="15" hidden="false" customHeight="false" outlineLevel="0" collapsed="false">
      <c r="A2336" s="22" t="n">
        <v>47</v>
      </c>
      <c r="B2336" s="23" t="n">
        <v>45796</v>
      </c>
      <c r="C2336" s="22" t="s">
        <v>202</v>
      </c>
      <c r="D2336" s="24" t="n">
        <v>33</v>
      </c>
    </row>
    <row r="2337" customFormat="false" ht="15" hidden="false" customHeight="false" outlineLevel="0" collapsed="false">
      <c r="A2337" s="22" t="n">
        <v>48</v>
      </c>
      <c r="B2337" s="23" t="n">
        <v>45803</v>
      </c>
      <c r="C2337" s="22" t="s">
        <v>202</v>
      </c>
      <c r="D2337" s="24" t="n">
        <v>77</v>
      </c>
    </row>
    <row r="2338" customFormat="false" ht="15" hidden="false" customHeight="false" outlineLevel="0" collapsed="false">
      <c r="A2338" s="22" t="n">
        <v>49</v>
      </c>
      <c r="B2338" s="23" t="n">
        <v>45810</v>
      </c>
      <c r="C2338" s="22" t="s">
        <v>202</v>
      </c>
      <c r="D2338" s="24" t="n">
        <v>34</v>
      </c>
    </row>
    <row r="2339" customFormat="false" ht="15" hidden="false" customHeight="false" outlineLevel="0" collapsed="false">
      <c r="A2339" s="22" t="n">
        <v>50</v>
      </c>
      <c r="B2339" s="23" t="n">
        <v>45817</v>
      </c>
      <c r="C2339" s="22" t="s">
        <v>202</v>
      </c>
      <c r="D2339" s="24" t="n">
        <v>88</v>
      </c>
    </row>
    <row r="2340" customFormat="false" ht="15" hidden="false" customHeight="false" outlineLevel="0" collapsed="false">
      <c r="A2340" s="22" t="n">
        <v>51</v>
      </c>
      <c r="B2340" s="23" t="n">
        <v>45824</v>
      </c>
      <c r="C2340" s="22" t="s">
        <v>202</v>
      </c>
      <c r="D2340" s="24" t="n">
        <v>51</v>
      </c>
    </row>
    <row r="2341" customFormat="false" ht="15" hidden="false" customHeight="false" outlineLevel="0" collapsed="false">
      <c r="A2341" s="22" t="n">
        <v>52</v>
      </c>
      <c r="B2341" s="23" t="n">
        <v>45831</v>
      </c>
      <c r="C2341" s="22" t="s">
        <v>202</v>
      </c>
      <c r="D2341" s="24" t="n">
        <v>34</v>
      </c>
    </row>
    <row r="2342" customFormat="false" ht="15" hidden="false" customHeight="false" outlineLevel="0" collapsed="false">
      <c r="A2342" s="22" t="n">
        <v>53</v>
      </c>
      <c r="B2342" s="23" t="n">
        <v>45838</v>
      </c>
      <c r="C2342" s="22" t="s">
        <v>202</v>
      </c>
      <c r="D2342" s="24" t="n">
        <v>68</v>
      </c>
    </row>
    <row r="2343" customFormat="false" ht="15" hidden="false" customHeight="false" outlineLevel="0" collapsed="false">
      <c r="A2343" s="22" t="n">
        <v>54</v>
      </c>
      <c r="B2343" s="23" t="n">
        <v>45845</v>
      </c>
      <c r="C2343" s="22" t="s">
        <v>202</v>
      </c>
      <c r="D2343" s="24" t="n">
        <v>81</v>
      </c>
    </row>
    <row r="2344" customFormat="false" ht="15" hidden="false" customHeight="false" outlineLevel="0" collapsed="false">
      <c r="A2344" s="22" t="n">
        <v>55</v>
      </c>
      <c r="B2344" s="23" t="n">
        <v>45852</v>
      </c>
      <c r="C2344" s="22" t="s">
        <v>202</v>
      </c>
      <c r="D2344" s="24" t="n">
        <v>24</v>
      </c>
    </row>
    <row r="2345" customFormat="false" ht="15" hidden="false" customHeight="false" outlineLevel="0" collapsed="false">
      <c r="A2345" s="22" t="n">
        <v>56</v>
      </c>
      <c r="B2345" s="23" t="n">
        <v>45859</v>
      </c>
      <c r="C2345" s="22" t="s">
        <v>202</v>
      </c>
      <c r="D2345" s="24" t="n">
        <v>79</v>
      </c>
    </row>
    <row r="2346" customFormat="false" ht="15" hidden="false" customHeight="false" outlineLevel="0" collapsed="false">
      <c r="A2346" s="22" t="n">
        <v>57</v>
      </c>
      <c r="B2346" s="23" t="n">
        <v>45866</v>
      </c>
      <c r="C2346" s="22" t="s">
        <v>202</v>
      </c>
      <c r="D2346" s="24" t="n">
        <v>45</v>
      </c>
    </row>
    <row r="2347" customFormat="false" ht="15" hidden="false" customHeight="false" outlineLevel="0" collapsed="false">
      <c r="A2347" s="22" t="n">
        <v>58</v>
      </c>
      <c r="B2347" s="23" t="n">
        <v>45873</v>
      </c>
      <c r="C2347" s="22" t="s">
        <v>202</v>
      </c>
      <c r="D2347" s="24" t="n">
        <v>77</v>
      </c>
    </row>
    <row r="2348" customFormat="false" ht="15" hidden="false" customHeight="false" outlineLevel="0" collapsed="false">
      <c r="A2348" s="22" t="n">
        <v>59</v>
      </c>
      <c r="B2348" s="23" t="n">
        <v>45880</v>
      </c>
      <c r="C2348" s="22" t="s">
        <v>202</v>
      </c>
      <c r="D2348" s="24" t="n">
        <v>43</v>
      </c>
    </row>
    <row r="2349" customFormat="false" ht="15" hidden="false" customHeight="false" outlineLevel="0" collapsed="false">
      <c r="A2349" s="22" t="n">
        <v>60</v>
      </c>
      <c r="B2349" s="23" t="n">
        <v>45887</v>
      </c>
      <c r="C2349" s="22" t="s">
        <v>202</v>
      </c>
      <c r="D2349" s="24" t="n">
        <v>21</v>
      </c>
    </row>
    <row r="2350" customFormat="false" ht="15" hidden="false" customHeight="false" outlineLevel="0" collapsed="false">
      <c r="A2350" s="22" t="n">
        <v>61</v>
      </c>
      <c r="B2350" s="23" t="n">
        <v>45894</v>
      </c>
      <c r="C2350" s="22" t="s">
        <v>202</v>
      </c>
      <c r="D2350" s="24" t="n">
        <v>59</v>
      </c>
    </row>
    <row r="2351" customFormat="false" ht="15" hidden="false" customHeight="false" outlineLevel="0" collapsed="false">
      <c r="A2351" s="22" t="n">
        <v>62</v>
      </c>
      <c r="B2351" s="23" t="n">
        <v>45901</v>
      </c>
      <c r="C2351" s="22" t="s">
        <v>202</v>
      </c>
      <c r="D2351" s="24" t="n">
        <v>67</v>
      </c>
    </row>
    <row r="2352" customFormat="false" ht="15" hidden="false" customHeight="false" outlineLevel="0" collapsed="false">
      <c r="A2352" s="22" t="n">
        <v>63</v>
      </c>
      <c r="B2352" s="23" t="n">
        <v>45908</v>
      </c>
      <c r="C2352" s="22" t="s">
        <v>202</v>
      </c>
      <c r="D2352" s="24" t="n">
        <v>89</v>
      </c>
    </row>
    <row r="2353" customFormat="false" ht="15" hidden="false" customHeight="false" outlineLevel="0" collapsed="false">
      <c r="A2353" s="22" t="n">
        <v>64</v>
      </c>
      <c r="B2353" s="23" t="n">
        <v>45915</v>
      </c>
      <c r="C2353" s="22" t="s">
        <v>202</v>
      </c>
      <c r="D2353" s="24" t="n">
        <v>82</v>
      </c>
    </row>
    <row r="2354" customFormat="false" ht="15" hidden="false" customHeight="false" outlineLevel="0" collapsed="false">
      <c r="A2354" s="22" t="n">
        <v>65</v>
      </c>
      <c r="B2354" s="23" t="n">
        <v>45922</v>
      </c>
      <c r="C2354" s="22" t="s">
        <v>202</v>
      </c>
      <c r="D2354" s="24" t="n">
        <v>63</v>
      </c>
    </row>
    <row r="2355" customFormat="false" ht="15" hidden="false" customHeight="false" outlineLevel="0" collapsed="false">
      <c r="A2355" s="22" t="n">
        <v>66</v>
      </c>
      <c r="B2355" s="23" t="n">
        <v>45929</v>
      </c>
      <c r="C2355" s="22" t="s">
        <v>202</v>
      </c>
      <c r="D2355" s="24" t="n">
        <v>46</v>
      </c>
    </row>
    <row r="2356" customFormat="false" ht="15" hidden="false" customHeight="false" outlineLevel="0" collapsed="false">
      <c r="A2356" s="22" t="n">
        <v>67</v>
      </c>
      <c r="B2356" s="23" t="n">
        <v>45936</v>
      </c>
      <c r="C2356" s="22" t="s">
        <v>202</v>
      </c>
      <c r="D2356" s="24" t="n">
        <v>40</v>
      </c>
    </row>
    <row r="2357" customFormat="false" ht="15" hidden="false" customHeight="false" outlineLevel="0" collapsed="false">
      <c r="A2357" s="22" t="n">
        <v>68</v>
      </c>
      <c r="B2357" s="23" t="n">
        <v>45943</v>
      </c>
      <c r="C2357" s="22" t="s">
        <v>202</v>
      </c>
      <c r="D2357" s="24" t="n">
        <v>45</v>
      </c>
    </row>
    <row r="2358" customFormat="false" ht="15" hidden="false" customHeight="false" outlineLevel="0" collapsed="false">
      <c r="A2358" s="22" t="n">
        <v>69</v>
      </c>
      <c r="B2358" s="23" t="n">
        <v>45950</v>
      </c>
      <c r="C2358" s="22" t="s">
        <v>202</v>
      </c>
      <c r="D2358" s="24" t="n">
        <v>35</v>
      </c>
    </row>
    <row r="2359" customFormat="false" ht="15" hidden="false" customHeight="false" outlineLevel="0" collapsed="false">
      <c r="A2359" s="22" t="n">
        <v>70</v>
      </c>
      <c r="B2359" s="23" t="n">
        <v>45957</v>
      </c>
      <c r="C2359" s="22" t="s">
        <v>202</v>
      </c>
      <c r="D2359" s="24" t="n">
        <v>45</v>
      </c>
    </row>
    <row r="2360" customFormat="false" ht="15" hidden="false" customHeight="false" outlineLevel="0" collapsed="false">
      <c r="A2360" s="22" t="n">
        <v>71</v>
      </c>
      <c r="B2360" s="23" t="n">
        <v>45964</v>
      </c>
      <c r="C2360" s="22" t="s">
        <v>202</v>
      </c>
      <c r="D2360" s="24" t="n">
        <v>3</v>
      </c>
    </row>
    <row r="2361" customFormat="false" ht="15" hidden="false" customHeight="false" outlineLevel="0" collapsed="false">
      <c r="A2361" s="22" t="n">
        <v>72</v>
      </c>
      <c r="B2361" s="23" t="n">
        <v>45971</v>
      </c>
      <c r="C2361" s="22" t="s">
        <v>202</v>
      </c>
      <c r="D2361" s="24" t="n">
        <v>53</v>
      </c>
    </row>
    <row r="2362" customFormat="false" ht="15" hidden="false" customHeight="false" outlineLevel="0" collapsed="false">
      <c r="A2362" s="22" t="n">
        <v>73</v>
      </c>
      <c r="B2362" s="23" t="n">
        <v>45978</v>
      </c>
      <c r="C2362" s="22" t="s">
        <v>202</v>
      </c>
      <c r="D2362" s="24" t="n">
        <v>49</v>
      </c>
    </row>
    <row r="2363" customFormat="false" ht="15" hidden="false" customHeight="false" outlineLevel="0" collapsed="false">
      <c r="A2363" s="22" t="n">
        <v>74</v>
      </c>
      <c r="B2363" s="23" t="n">
        <v>45985</v>
      </c>
      <c r="C2363" s="22" t="s">
        <v>202</v>
      </c>
      <c r="D2363" s="24" t="n">
        <v>97</v>
      </c>
    </row>
    <row r="2364" customFormat="false" ht="15" hidden="false" customHeight="false" outlineLevel="0" collapsed="false">
      <c r="A2364" s="22" t="n">
        <v>75</v>
      </c>
      <c r="B2364" s="23" t="n">
        <v>45992</v>
      </c>
      <c r="C2364" s="22" t="s">
        <v>202</v>
      </c>
      <c r="D2364" s="24" t="n">
        <v>64</v>
      </c>
    </row>
    <row r="2365" customFormat="false" ht="15" hidden="false" customHeight="false" outlineLevel="0" collapsed="false">
      <c r="A2365" s="22" t="n">
        <v>76</v>
      </c>
      <c r="B2365" s="23" t="n">
        <v>45999</v>
      </c>
      <c r="C2365" s="22" t="s">
        <v>202</v>
      </c>
      <c r="D2365" s="24" t="n">
        <v>41</v>
      </c>
    </row>
    <row r="2366" customFormat="false" ht="15" hidden="false" customHeight="false" outlineLevel="0" collapsed="false">
      <c r="A2366" s="22" t="n">
        <v>77</v>
      </c>
      <c r="B2366" s="23" t="n">
        <v>46006</v>
      </c>
      <c r="C2366" s="22" t="s">
        <v>202</v>
      </c>
      <c r="D2366" s="24" t="n">
        <v>60</v>
      </c>
    </row>
    <row r="2367" customFormat="false" ht="15" hidden="false" customHeight="false" outlineLevel="0" collapsed="false">
      <c r="A2367" s="22" t="n">
        <v>78</v>
      </c>
      <c r="B2367" s="23" t="n">
        <v>46013</v>
      </c>
      <c r="C2367" s="22" t="s">
        <v>202</v>
      </c>
      <c r="D2367" s="24" t="n">
        <v>27</v>
      </c>
    </row>
    <row r="2368" customFormat="false" ht="15" hidden="false" customHeight="false" outlineLevel="0" collapsed="false">
      <c r="A2368" s="22" t="n">
        <v>79</v>
      </c>
      <c r="B2368" s="23" t="n">
        <v>46020</v>
      </c>
      <c r="C2368" s="22" t="s">
        <v>202</v>
      </c>
      <c r="D2368" s="24" t="n">
        <v>39</v>
      </c>
    </row>
    <row r="2369" customFormat="false" ht="15" hidden="false" customHeight="false" outlineLevel="0" collapsed="false">
      <c r="A2369" s="22" t="n">
        <v>80</v>
      </c>
      <c r="B2369" s="23" t="n">
        <v>46027</v>
      </c>
      <c r="C2369" s="22" t="s">
        <v>202</v>
      </c>
      <c r="D2369" s="24" t="n">
        <v>16</v>
      </c>
    </row>
    <row r="2370" customFormat="false" ht="15" hidden="false" customHeight="false" outlineLevel="0" collapsed="false">
      <c r="A2370" s="22" t="n">
        <v>81</v>
      </c>
      <c r="B2370" s="23" t="n">
        <v>46034</v>
      </c>
      <c r="C2370" s="22" t="s">
        <v>202</v>
      </c>
      <c r="D2370" s="24" t="n">
        <v>76</v>
      </c>
    </row>
    <row r="2371" customFormat="false" ht="15" hidden="false" customHeight="false" outlineLevel="0" collapsed="false">
      <c r="A2371" s="22" t="n">
        <v>82</v>
      </c>
      <c r="B2371" s="23" t="n">
        <v>46041</v>
      </c>
      <c r="C2371" s="22" t="s">
        <v>202</v>
      </c>
      <c r="D2371" s="24" t="n">
        <v>61</v>
      </c>
    </row>
    <row r="2372" customFormat="false" ht="15" hidden="false" customHeight="false" outlineLevel="0" collapsed="false">
      <c r="A2372" s="22" t="n">
        <v>83</v>
      </c>
      <c r="B2372" s="23" t="n">
        <v>46048</v>
      </c>
      <c r="C2372" s="22" t="s">
        <v>202</v>
      </c>
      <c r="D2372" s="24" t="n">
        <v>28</v>
      </c>
    </row>
    <row r="2373" customFormat="false" ht="15" hidden="false" customHeight="false" outlineLevel="0" collapsed="false">
      <c r="A2373" s="22" t="n">
        <v>84</v>
      </c>
      <c r="B2373" s="23" t="n">
        <v>46055</v>
      </c>
      <c r="C2373" s="22" t="s">
        <v>202</v>
      </c>
      <c r="D2373" s="24" t="n">
        <v>49</v>
      </c>
    </row>
    <row r="2374" customFormat="false" ht="15" hidden="false" customHeight="false" outlineLevel="0" collapsed="false">
      <c r="A2374" s="22" t="n">
        <v>85</v>
      </c>
      <c r="B2374" s="23" t="n">
        <v>46062</v>
      </c>
      <c r="C2374" s="22" t="s">
        <v>202</v>
      </c>
      <c r="D2374" s="24" t="n">
        <v>67</v>
      </c>
    </row>
    <row r="2375" customFormat="false" ht="15" hidden="false" customHeight="false" outlineLevel="0" collapsed="false">
      <c r="A2375" s="22" t="n">
        <v>86</v>
      </c>
      <c r="B2375" s="23" t="n">
        <v>46069</v>
      </c>
      <c r="C2375" s="22" t="s">
        <v>202</v>
      </c>
      <c r="D2375" s="24" t="n">
        <v>59</v>
      </c>
    </row>
    <row r="2376" customFormat="false" ht="15" hidden="false" customHeight="false" outlineLevel="0" collapsed="false">
      <c r="A2376" s="22" t="n">
        <v>87</v>
      </c>
      <c r="B2376" s="23" t="n">
        <v>46076</v>
      </c>
      <c r="C2376" s="22" t="s">
        <v>202</v>
      </c>
      <c r="D2376" s="24" t="n">
        <v>57</v>
      </c>
    </row>
    <row r="2377" customFormat="false" ht="15" hidden="false" customHeight="false" outlineLevel="0" collapsed="false">
      <c r="A2377" s="22" t="n">
        <v>88</v>
      </c>
      <c r="B2377" s="23" t="n">
        <v>46083</v>
      </c>
      <c r="C2377" s="22" t="s">
        <v>202</v>
      </c>
      <c r="D2377" s="24" t="n">
        <v>34</v>
      </c>
    </row>
    <row r="2378" customFormat="false" ht="15" hidden="false" customHeight="false" outlineLevel="0" collapsed="false">
      <c r="A2378" s="22" t="n">
        <v>89</v>
      </c>
      <c r="B2378" s="23" t="n">
        <v>46090</v>
      </c>
      <c r="C2378" s="22" t="s">
        <v>202</v>
      </c>
      <c r="D2378" s="24" t="n">
        <v>38</v>
      </c>
    </row>
    <row r="2379" customFormat="false" ht="15" hidden="false" customHeight="false" outlineLevel="0" collapsed="false">
      <c r="A2379" s="22" t="n">
        <v>90</v>
      </c>
      <c r="B2379" s="23" t="n">
        <v>46097</v>
      </c>
      <c r="C2379" s="22" t="s">
        <v>202</v>
      </c>
      <c r="D2379" s="24" t="n">
        <v>52</v>
      </c>
    </row>
    <row r="2380" customFormat="false" ht="15" hidden="false" customHeight="false" outlineLevel="0" collapsed="false">
      <c r="A2380" s="22" t="n">
        <v>91</v>
      </c>
      <c r="B2380" s="23" t="n">
        <v>46104</v>
      </c>
      <c r="C2380" s="22" t="s">
        <v>202</v>
      </c>
      <c r="D2380" s="24" t="n">
        <v>67</v>
      </c>
    </row>
    <row r="2381" customFormat="false" ht="15" hidden="false" customHeight="false" outlineLevel="0" collapsed="false">
      <c r="A2381" s="22" t="n">
        <v>92</v>
      </c>
      <c r="B2381" s="23" t="n">
        <v>46111</v>
      </c>
      <c r="C2381" s="22" t="s">
        <v>202</v>
      </c>
      <c r="D2381" s="24" t="n">
        <v>35</v>
      </c>
    </row>
    <row r="2382" customFormat="false" ht="15" hidden="false" customHeight="false" outlineLevel="0" collapsed="false">
      <c r="A2382" s="22" t="n">
        <v>93</v>
      </c>
      <c r="B2382" s="23" t="n">
        <v>46118</v>
      </c>
      <c r="C2382" s="22" t="s">
        <v>202</v>
      </c>
      <c r="D2382" s="24" t="n">
        <v>29</v>
      </c>
    </row>
    <row r="2383" customFormat="false" ht="15" hidden="false" customHeight="false" outlineLevel="0" collapsed="false">
      <c r="A2383" s="22" t="n">
        <v>94</v>
      </c>
      <c r="B2383" s="23" t="n">
        <v>46125</v>
      </c>
      <c r="C2383" s="22" t="s">
        <v>202</v>
      </c>
      <c r="D2383" s="24" t="n">
        <v>71</v>
      </c>
    </row>
    <row r="2384" customFormat="false" ht="15" hidden="false" customHeight="false" outlineLevel="0" collapsed="false">
      <c r="A2384" s="22" t="n">
        <v>95</v>
      </c>
      <c r="B2384" s="23" t="n">
        <v>46132</v>
      </c>
      <c r="C2384" s="22" t="s">
        <v>202</v>
      </c>
      <c r="D2384" s="24" t="n">
        <v>33</v>
      </c>
    </row>
    <row r="2385" customFormat="false" ht="15" hidden="false" customHeight="false" outlineLevel="0" collapsed="false">
      <c r="A2385" s="22" t="n">
        <v>96</v>
      </c>
      <c r="B2385" s="23" t="n">
        <v>46139</v>
      </c>
      <c r="C2385" s="22" t="s">
        <v>202</v>
      </c>
      <c r="D2385" s="24" t="n">
        <v>70</v>
      </c>
    </row>
    <row r="2386" customFormat="false" ht="15" hidden="false" customHeight="false" outlineLevel="0" collapsed="false">
      <c r="A2386" s="22" t="n">
        <v>97</v>
      </c>
      <c r="B2386" s="23" t="n">
        <v>46146</v>
      </c>
      <c r="C2386" s="22" t="s">
        <v>202</v>
      </c>
      <c r="D2386" s="24" t="n">
        <v>54</v>
      </c>
    </row>
    <row r="2387" customFormat="false" ht="15" hidden="false" customHeight="false" outlineLevel="0" collapsed="false">
      <c r="A2387" s="22" t="n">
        <v>98</v>
      </c>
      <c r="B2387" s="23" t="n">
        <v>46153</v>
      </c>
      <c r="C2387" s="22" t="s">
        <v>202</v>
      </c>
      <c r="D2387" s="24" t="n">
        <v>66</v>
      </c>
    </row>
    <row r="2388" customFormat="false" ht="15" hidden="false" customHeight="false" outlineLevel="0" collapsed="false">
      <c r="A2388" s="22" t="n">
        <v>99</v>
      </c>
      <c r="B2388" s="23" t="n">
        <v>46160</v>
      </c>
      <c r="C2388" s="22" t="s">
        <v>202</v>
      </c>
      <c r="D2388" s="24" t="n">
        <v>82</v>
      </c>
    </row>
    <row r="2389" customFormat="false" ht="15" hidden="false" customHeight="false" outlineLevel="0" collapsed="false">
      <c r="A2389" s="22" t="n">
        <v>100</v>
      </c>
      <c r="B2389" s="23" t="n">
        <v>46167</v>
      </c>
      <c r="C2389" s="22" t="s">
        <v>202</v>
      </c>
      <c r="D2389" s="24" t="n">
        <v>63</v>
      </c>
    </row>
    <row r="2390" customFormat="false" ht="15" hidden="false" customHeight="false" outlineLevel="0" collapsed="false">
      <c r="A2390" s="22" t="n">
        <v>101</v>
      </c>
      <c r="B2390" s="23" t="n">
        <v>46174</v>
      </c>
      <c r="C2390" s="22" t="s">
        <v>202</v>
      </c>
      <c r="D2390" s="24" t="n">
        <v>64</v>
      </c>
    </row>
    <row r="2391" customFormat="false" ht="15" hidden="false" customHeight="false" outlineLevel="0" collapsed="false">
      <c r="A2391" s="22" t="n">
        <v>102</v>
      </c>
      <c r="B2391" s="23" t="n">
        <v>46181</v>
      </c>
      <c r="C2391" s="22" t="s">
        <v>202</v>
      </c>
      <c r="D2391" s="24" t="n">
        <v>33</v>
      </c>
    </row>
    <row r="2392" customFormat="false" ht="15" hidden="false" customHeight="false" outlineLevel="0" collapsed="false">
      <c r="A2392" s="22" t="n">
        <v>103</v>
      </c>
      <c r="B2392" s="23" t="n">
        <v>46188</v>
      </c>
      <c r="C2392" s="22" t="s">
        <v>202</v>
      </c>
      <c r="D2392" s="24" t="n">
        <v>37</v>
      </c>
    </row>
    <row r="2393" customFormat="false" ht="15" hidden="false" customHeight="false" outlineLevel="0" collapsed="false">
      <c r="A2393" s="22" t="n">
        <v>104</v>
      </c>
      <c r="B2393" s="23" t="n">
        <v>46195</v>
      </c>
      <c r="C2393" s="22" t="s">
        <v>202</v>
      </c>
      <c r="D2393" s="24" t="n">
        <v>62</v>
      </c>
    </row>
    <row r="2394" customFormat="false" ht="15" hidden="false" customHeight="false" outlineLevel="0" collapsed="false">
      <c r="A2394" s="22" t="n">
        <v>1</v>
      </c>
      <c r="B2394" s="23" t="n">
        <v>45474</v>
      </c>
      <c r="C2394" s="22" t="s">
        <v>204</v>
      </c>
      <c r="D2394" s="24" t="n">
        <v>43</v>
      </c>
    </row>
    <row r="2395" customFormat="false" ht="15" hidden="false" customHeight="false" outlineLevel="0" collapsed="false">
      <c r="A2395" s="22" t="n">
        <v>2</v>
      </c>
      <c r="B2395" s="23" t="n">
        <v>45481</v>
      </c>
      <c r="C2395" s="22" t="s">
        <v>204</v>
      </c>
      <c r="D2395" s="24" t="n">
        <v>43</v>
      </c>
    </row>
    <row r="2396" customFormat="false" ht="15" hidden="false" customHeight="false" outlineLevel="0" collapsed="false">
      <c r="A2396" s="22" t="n">
        <v>3</v>
      </c>
      <c r="B2396" s="23" t="n">
        <v>45488</v>
      </c>
      <c r="C2396" s="22" t="s">
        <v>204</v>
      </c>
      <c r="D2396" s="24" t="n">
        <v>48</v>
      </c>
    </row>
    <row r="2397" customFormat="false" ht="15" hidden="false" customHeight="false" outlineLevel="0" collapsed="false">
      <c r="A2397" s="22" t="n">
        <v>4</v>
      </c>
      <c r="B2397" s="23" t="n">
        <v>45495</v>
      </c>
      <c r="C2397" s="22" t="s">
        <v>204</v>
      </c>
      <c r="D2397" s="24" t="n">
        <v>39</v>
      </c>
    </row>
    <row r="2398" customFormat="false" ht="15" hidden="false" customHeight="false" outlineLevel="0" collapsed="false">
      <c r="A2398" s="22" t="n">
        <v>5</v>
      </c>
      <c r="B2398" s="23" t="n">
        <v>45502</v>
      </c>
      <c r="C2398" s="22" t="s">
        <v>204</v>
      </c>
      <c r="D2398" s="24" t="n">
        <v>38</v>
      </c>
    </row>
    <row r="2399" customFormat="false" ht="15" hidden="false" customHeight="false" outlineLevel="0" collapsed="false">
      <c r="A2399" s="22" t="n">
        <v>6</v>
      </c>
      <c r="B2399" s="23" t="n">
        <v>45509</v>
      </c>
      <c r="C2399" s="22" t="s">
        <v>204</v>
      </c>
      <c r="D2399" s="24" t="n">
        <v>43</v>
      </c>
    </row>
    <row r="2400" customFormat="false" ht="15" hidden="false" customHeight="false" outlineLevel="0" collapsed="false">
      <c r="A2400" s="22" t="n">
        <v>7</v>
      </c>
      <c r="B2400" s="23" t="n">
        <v>45516</v>
      </c>
      <c r="C2400" s="22" t="s">
        <v>204</v>
      </c>
      <c r="D2400" s="24" t="n">
        <v>38</v>
      </c>
    </row>
    <row r="2401" customFormat="false" ht="15" hidden="false" customHeight="false" outlineLevel="0" collapsed="false">
      <c r="A2401" s="22" t="n">
        <v>8</v>
      </c>
      <c r="B2401" s="23" t="n">
        <v>45523</v>
      </c>
      <c r="C2401" s="22" t="s">
        <v>204</v>
      </c>
      <c r="D2401" s="24" t="n">
        <v>38</v>
      </c>
    </row>
    <row r="2402" customFormat="false" ht="15" hidden="false" customHeight="false" outlineLevel="0" collapsed="false">
      <c r="A2402" s="22" t="n">
        <v>9</v>
      </c>
      <c r="B2402" s="23" t="n">
        <v>45530</v>
      </c>
      <c r="C2402" s="22" t="s">
        <v>204</v>
      </c>
      <c r="D2402" s="24" t="n">
        <v>33</v>
      </c>
    </row>
    <row r="2403" customFormat="false" ht="15" hidden="false" customHeight="false" outlineLevel="0" collapsed="false">
      <c r="A2403" s="22" t="n">
        <v>10</v>
      </c>
      <c r="B2403" s="23" t="n">
        <v>45537</v>
      </c>
      <c r="C2403" s="22" t="s">
        <v>204</v>
      </c>
      <c r="D2403" s="24" t="n">
        <v>45</v>
      </c>
    </row>
    <row r="2404" customFormat="false" ht="15" hidden="false" customHeight="false" outlineLevel="0" collapsed="false">
      <c r="A2404" s="22" t="n">
        <v>11</v>
      </c>
      <c r="B2404" s="23" t="n">
        <v>45544</v>
      </c>
      <c r="C2404" s="22" t="s">
        <v>204</v>
      </c>
      <c r="D2404" s="24" t="n">
        <v>34</v>
      </c>
    </row>
    <row r="2405" customFormat="false" ht="15" hidden="false" customHeight="false" outlineLevel="0" collapsed="false">
      <c r="A2405" s="22" t="n">
        <v>12</v>
      </c>
      <c r="B2405" s="23" t="n">
        <v>45551</v>
      </c>
      <c r="C2405" s="22" t="s">
        <v>204</v>
      </c>
      <c r="D2405" s="24" t="n">
        <v>43</v>
      </c>
    </row>
    <row r="2406" customFormat="false" ht="15" hidden="false" customHeight="false" outlineLevel="0" collapsed="false">
      <c r="A2406" s="22" t="n">
        <v>13</v>
      </c>
      <c r="B2406" s="23" t="n">
        <v>45558</v>
      </c>
      <c r="C2406" s="22" t="s">
        <v>204</v>
      </c>
      <c r="D2406" s="24" t="n">
        <v>32</v>
      </c>
    </row>
    <row r="2407" customFormat="false" ht="15" hidden="false" customHeight="false" outlineLevel="0" collapsed="false">
      <c r="A2407" s="22" t="n">
        <v>14</v>
      </c>
      <c r="B2407" s="23" t="n">
        <v>45565</v>
      </c>
      <c r="C2407" s="22" t="s">
        <v>204</v>
      </c>
      <c r="D2407" s="24" t="n">
        <v>47</v>
      </c>
    </row>
    <row r="2408" customFormat="false" ht="15" hidden="false" customHeight="false" outlineLevel="0" collapsed="false">
      <c r="A2408" s="22" t="n">
        <v>15</v>
      </c>
      <c r="B2408" s="23" t="n">
        <v>45572</v>
      </c>
      <c r="C2408" s="22" t="s">
        <v>204</v>
      </c>
      <c r="D2408" s="24" t="n">
        <v>35</v>
      </c>
    </row>
    <row r="2409" customFormat="false" ht="15" hidden="false" customHeight="false" outlineLevel="0" collapsed="false">
      <c r="A2409" s="22" t="n">
        <v>16</v>
      </c>
      <c r="B2409" s="23" t="n">
        <v>45579</v>
      </c>
      <c r="C2409" s="22" t="s">
        <v>204</v>
      </c>
      <c r="D2409" s="24" t="n">
        <v>47</v>
      </c>
    </row>
    <row r="2410" customFormat="false" ht="15" hidden="false" customHeight="false" outlineLevel="0" collapsed="false">
      <c r="A2410" s="22" t="n">
        <v>17</v>
      </c>
      <c r="B2410" s="23" t="n">
        <v>45586</v>
      </c>
      <c r="C2410" s="22" t="s">
        <v>204</v>
      </c>
      <c r="D2410" s="24" t="n">
        <v>33</v>
      </c>
    </row>
    <row r="2411" customFormat="false" ht="15" hidden="false" customHeight="false" outlineLevel="0" collapsed="false">
      <c r="A2411" s="22" t="n">
        <v>18</v>
      </c>
      <c r="B2411" s="23" t="n">
        <v>45593</v>
      </c>
      <c r="C2411" s="22" t="s">
        <v>204</v>
      </c>
      <c r="D2411" s="24" t="n">
        <v>40</v>
      </c>
    </row>
    <row r="2412" customFormat="false" ht="15" hidden="false" customHeight="false" outlineLevel="0" collapsed="false">
      <c r="A2412" s="22" t="n">
        <v>19</v>
      </c>
      <c r="B2412" s="23" t="n">
        <v>45600</v>
      </c>
      <c r="C2412" s="22" t="s">
        <v>204</v>
      </c>
      <c r="D2412" s="24" t="n">
        <v>50</v>
      </c>
    </row>
    <row r="2413" customFormat="false" ht="15" hidden="false" customHeight="false" outlineLevel="0" collapsed="false">
      <c r="A2413" s="22" t="n">
        <v>20</v>
      </c>
      <c r="B2413" s="23" t="n">
        <v>45607</v>
      </c>
      <c r="C2413" s="22" t="s">
        <v>204</v>
      </c>
      <c r="D2413" s="24" t="n">
        <v>38</v>
      </c>
    </row>
    <row r="2414" customFormat="false" ht="15" hidden="false" customHeight="false" outlineLevel="0" collapsed="false">
      <c r="A2414" s="22" t="n">
        <v>21</v>
      </c>
      <c r="B2414" s="23" t="n">
        <v>45614</v>
      </c>
      <c r="C2414" s="22" t="s">
        <v>204</v>
      </c>
      <c r="D2414" s="24" t="n">
        <v>44</v>
      </c>
    </row>
    <row r="2415" customFormat="false" ht="15" hidden="false" customHeight="false" outlineLevel="0" collapsed="false">
      <c r="A2415" s="22" t="n">
        <v>22</v>
      </c>
      <c r="B2415" s="23" t="n">
        <v>45621</v>
      </c>
      <c r="C2415" s="22" t="s">
        <v>204</v>
      </c>
      <c r="D2415" s="24" t="n">
        <v>41</v>
      </c>
    </row>
    <row r="2416" customFormat="false" ht="15" hidden="false" customHeight="false" outlineLevel="0" collapsed="false">
      <c r="A2416" s="22" t="n">
        <v>23</v>
      </c>
      <c r="B2416" s="23" t="n">
        <v>45628</v>
      </c>
      <c r="C2416" s="22" t="s">
        <v>204</v>
      </c>
      <c r="D2416" s="24" t="n">
        <v>30</v>
      </c>
    </row>
    <row r="2417" customFormat="false" ht="15" hidden="false" customHeight="false" outlineLevel="0" collapsed="false">
      <c r="A2417" s="22" t="n">
        <v>24</v>
      </c>
      <c r="B2417" s="23" t="n">
        <v>45635</v>
      </c>
      <c r="C2417" s="22" t="s">
        <v>204</v>
      </c>
      <c r="D2417" s="24" t="n">
        <v>47</v>
      </c>
    </row>
    <row r="2418" customFormat="false" ht="15" hidden="false" customHeight="false" outlineLevel="0" collapsed="false">
      <c r="A2418" s="22" t="n">
        <v>25</v>
      </c>
      <c r="B2418" s="23" t="n">
        <v>45642</v>
      </c>
      <c r="C2418" s="22" t="s">
        <v>204</v>
      </c>
      <c r="D2418" s="24" t="n">
        <v>48</v>
      </c>
    </row>
    <row r="2419" customFormat="false" ht="15" hidden="false" customHeight="false" outlineLevel="0" collapsed="false">
      <c r="A2419" s="22" t="n">
        <v>26</v>
      </c>
      <c r="B2419" s="23" t="n">
        <v>45649</v>
      </c>
      <c r="C2419" s="22" t="s">
        <v>204</v>
      </c>
      <c r="D2419" s="24" t="n">
        <v>39</v>
      </c>
    </row>
    <row r="2420" customFormat="false" ht="15" hidden="false" customHeight="false" outlineLevel="0" collapsed="false">
      <c r="A2420" s="22" t="n">
        <v>27</v>
      </c>
      <c r="B2420" s="23" t="n">
        <v>45656</v>
      </c>
      <c r="C2420" s="22" t="s">
        <v>204</v>
      </c>
      <c r="D2420" s="24" t="n">
        <v>50</v>
      </c>
    </row>
    <row r="2421" customFormat="false" ht="15" hidden="false" customHeight="false" outlineLevel="0" collapsed="false">
      <c r="A2421" s="22" t="n">
        <v>28</v>
      </c>
      <c r="B2421" s="23" t="n">
        <v>45663</v>
      </c>
      <c r="C2421" s="22" t="s">
        <v>204</v>
      </c>
      <c r="D2421" s="24" t="n">
        <v>41</v>
      </c>
    </row>
    <row r="2422" customFormat="false" ht="15" hidden="false" customHeight="false" outlineLevel="0" collapsed="false">
      <c r="A2422" s="22" t="n">
        <v>29</v>
      </c>
      <c r="B2422" s="23" t="n">
        <v>45670</v>
      </c>
      <c r="C2422" s="22" t="s">
        <v>204</v>
      </c>
      <c r="D2422" s="24" t="n">
        <v>40</v>
      </c>
    </row>
    <row r="2423" customFormat="false" ht="15" hidden="false" customHeight="false" outlineLevel="0" collapsed="false">
      <c r="A2423" s="22" t="n">
        <v>30</v>
      </c>
      <c r="B2423" s="23" t="n">
        <v>45677</v>
      </c>
      <c r="C2423" s="22" t="s">
        <v>204</v>
      </c>
      <c r="D2423" s="24" t="n">
        <v>47</v>
      </c>
    </row>
    <row r="2424" customFormat="false" ht="15" hidden="false" customHeight="false" outlineLevel="0" collapsed="false">
      <c r="A2424" s="22" t="n">
        <v>31</v>
      </c>
      <c r="B2424" s="23" t="n">
        <v>45684</v>
      </c>
      <c r="C2424" s="22" t="s">
        <v>204</v>
      </c>
      <c r="D2424" s="24" t="n">
        <v>43</v>
      </c>
    </row>
    <row r="2425" customFormat="false" ht="15" hidden="false" customHeight="false" outlineLevel="0" collapsed="false">
      <c r="A2425" s="22" t="n">
        <v>32</v>
      </c>
      <c r="B2425" s="23" t="n">
        <v>45691</v>
      </c>
      <c r="C2425" s="22" t="s">
        <v>204</v>
      </c>
      <c r="D2425" s="24" t="n">
        <v>64</v>
      </c>
    </row>
    <row r="2426" customFormat="false" ht="15" hidden="false" customHeight="false" outlineLevel="0" collapsed="false">
      <c r="A2426" s="22" t="n">
        <v>33</v>
      </c>
      <c r="B2426" s="23" t="n">
        <v>45698</v>
      </c>
      <c r="C2426" s="22" t="s">
        <v>204</v>
      </c>
      <c r="D2426" s="24" t="n">
        <v>38</v>
      </c>
    </row>
    <row r="2427" customFormat="false" ht="15" hidden="false" customHeight="false" outlineLevel="0" collapsed="false">
      <c r="A2427" s="22" t="n">
        <v>34</v>
      </c>
      <c r="B2427" s="23" t="n">
        <v>45705</v>
      </c>
      <c r="C2427" s="22" t="s">
        <v>204</v>
      </c>
      <c r="D2427" s="24" t="n">
        <v>54</v>
      </c>
    </row>
    <row r="2428" customFormat="false" ht="15" hidden="false" customHeight="false" outlineLevel="0" collapsed="false">
      <c r="A2428" s="22" t="n">
        <v>35</v>
      </c>
      <c r="B2428" s="23" t="n">
        <v>45712</v>
      </c>
      <c r="C2428" s="22" t="s">
        <v>204</v>
      </c>
      <c r="D2428" s="24" t="n">
        <v>56</v>
      </c>
    </row>
    <row r="2429" customFormat="false" ht="15" hidden="false" customHeight="false" outlineLevel="0" collapsed="false">
      <c r="A2429" s="22" t="n">
        <v>36</v>
      </c>
      <c r="B2429" s="23" t="n">
        <v>45719</v>
      </c>
      <c r="C2429" s="22" t="s">
        <v>204</v>
      </c>
      <c r="D2429" s="24" t="n">
        <v>36</v>
      </c>
    </row>
    <row r="2430" customFormat="false" ht="15" hidden="false" customHeight="false" outlineLevel="0" collapsed="false">
      <c r="A2430" s="22" t="n">
        <v>37</v>
      </c>
      <c r="B2430" s="23" t="n">
        <v>45726</v>
      </c>
      <c r="C2430" s="22" t="s">
        <v>204</v>
      </c>
      <c r="D2430" s="24" t="n">
        <v>38</v>
      </c>
    </row>
    <row r="2431" customFormat="false" ht="15" hidden="false" customHeight="false" outlineLevel="0" collapsed="false">
      <c r="A2431" s="22" t="n">
        <v>38</v>
      </c>
      <c r="B2431" s="23" t="n">
        <v>45733</v>
      </c>
      <c r="C2431" s="22" t="s">
        <v>204</v>
      </c>
      <c r="D2431" s="24" t="n">
        <v>55</v>
      </c>
    </row>
    <row r="2432" customFormat="false" ht="15" hidden="false" customHeight="false" outlineLevel="0" collapsed="false">
      <c r="A2432" s="22" t="n">
        <v>39</v>
      </c>
      <c r="B2432" s="23" t="n">
        <v>45740</v>
      </c>
      <c r="C2432" s="22" t="s">
        <v>204</v>
      </c>
      <c r="D2432" s="24" t="n">
        <v>48</v>
      </c>
    </row>
    <row r="2433" customFormat="false" ht="15" hidden="false" customHeight="false" outlineLevel="0" collapsed="false">
      <c r="A2433" s="22" t="n">
        <v>40</v>
      </c>
      <c r="B2433" s="23" t="n">
        <v>45747</v>
      </c>
      <c r="C2433" s="22" t="s">
        <v>204</v>
      </c>
      <c r="D2433" s="24" t="n">
        <v>54</v>
      </c>
    </row>
    <row r="2434" customFormat="false" ht="15" hidden="false" customHeight="false" outlineLevel="0" collapsed="false">
      <c r="A2434" s="22" t="n">
        <v>41</v>
      </c>
      <c r="B2434" s="23" t="n">
        <v>45754</v>
      </c>
      <c r="C2434" s="22" t="s">
        <v>204</v>
      </c>
      <c r="D2434" s="24" t="n">
        <v>60</v>
      </c>
    </row>
    <row r="2435" customFormat="false" ht="15" hidden="false" customHeight="false" outlineLevel="0" collapsed="false">
      <c r="A2435" s="22" t="n">
        <v>42</v>
      </c>
      <c r="B2435" s="23" t="n">
        <v>45761</v>
      </c>
      <c r="C2435" s="22" t="s">
        <v>204</v>
      </c>
      <c r="D2435" s="24" t="n">
        <v>49</v>
      </c>
    </row>
    <row r="2436" customFormat="false" ht="15" hidden="false" customHeight="false" outlineLevel="0" collapsed="false">
      <c r="A2436" s="22" t="n">
        <v>43</v>
      </c>
      <c r="B2436" s="23" t="n">
        <v>45768</v>
      </c>
      <c r="C2436" s="22" t="s">
        <v>204</v>
      </c>
      <c r="D2436" s="24" t="n">
        <v>45</v>
      </c>
    </row>
    <row r="2437" customFormat="false" ht="15" hidden="false" customHeight="false" outlineLevel="0" collapsed="false">
      <c r="A2437" s="22" t="n">
        <v>44</v>
      </c>
      <c r="B2437" s="23" t="n">
        <v>45775</v>
      </c>
      <c r="C2437" s="22" t="s">
        <v>204</v>
      </c>
      <c r="D2437" s="24" t="n">
        <v>33</v>
      </c>
    </row>
    <row r="2438" customFormat="false" ht="15" hidden="false" customHeight="false" outlineLevel="0" collapsed="false">
      <c r="A2438" s="22" t="n">
        <v>45</v>
      </c>
      <c r="B2438" s="23" t="n">
        <v>45782</v>
      </c>
      <c r="C2438" s="22" t="s">
        <v>204</v>
      </c>
      <c r="D2438" s="24" t="n">
        <v>55</v>
      </c>
    </row>
    <row r="2439" customFormat="false" ht="15" hidden="false" customHeight="false" outlineLevel="0" collapsed="false">
      <c r="A2439" s="22" t="n">
        <v>46</v>
      </c>
      <c r="B2439" s="23" t="n">
        <v>45789</v>
      </c>
      <c r="C2439" s="22" t="s">
        <v>204</v>
      </c>
      <c r="D2439" s="24" t="n">
        <v>47</v>
      </c>
    </row>
    <row r="2440" customFormat="false" ht="15" hidden="false" customHeight="false" outlineLevel="0" collapsed="false">
      <c r="A2440" s="22" t="n">
        <v>47</v>
      </c>
      <c r="B2440" s="23" t="n">
        <v>45796</v>
      </c>
      <c r="C2440" s="22" t="s">
        <v>204</v>
      </c>
      <c r="D2440" s="24" t="n">
        <v>57</v>
      </c>
    </row>
    <row r="2441" customFormat="false" ht="15" hidden="false" customHeight="false" outlineLevel="0" collapsed="false">
      <c r="A2441" s="22" t="n">
        <v>48</v>
      </c>
      <c r="B2441" s="23" t="n">
        <v>45803</v>
      </c>
      <c r="C2441" s="22" t="s">
        <v>204</v>
      </c>
      <c r="D2441" s="24" t="n">
        <v>56</v>
      </c>
    </row>
    <row r="2442" customFormat="false" ht="15" hidden="false" customHeight="false" outlineLevel="0" collapsed="false">
      <c r="A2442" s="22" t="n">
        <v>49</v>
      </c>
      <c r="B2442" s="23" t="n">
        <v>45810</v>
      </c>
      <c r="C2442" s="22" t="s">
        <v>204</v>
      </c>
      <c r="D2442" s="24" t="n">
        <v>44</v>
      </c>
    </row>
    <row r="2443" customFormat="false" ht="15" hidden="false" customHeight="false" outlineLevel="0" collapsed="false">
      <c r="A2443" s="22" t="n">
        <v>50</v>
      </c>
      <c r="B2443" s="23" t="n">
        <v>45817</v>
      </c>
      <c r="C2443" s="22" t="s">
        <v>204</v>
      </c>
      <c r="D2443" s="24" t="n">
        <v>69</v>
      </c>
    </row>
    <row r="2444" customFormat="false" ht="15" hidden="false" customHeight="false" outlineLevel="0" collapsed="false">
      <c r="A2444" s="22" t="n">
        <v>51</v>
      </c>
      <c r="B2444" s="23" t="n">
        <v>45824</v>
      </c>
      <c r="C2444" s="22" t="s">
        <v>204</v>
      </c>
      <c r="D2444" s="24" t="n">
        <v>64</v>
      </c>
    </row>
    <row r="2445" customFormat="false" ht="15" hidden="false" customHeight="false" outlineLevel="0" collapsed="false">
      <c r="A2445" s="22" t="n">
        <v>52</v>
      </c>
      <c r="B2445" s="23" t="n">
        <v>45831</v>
      </c>
      <c r="C2445" s="22" t="s">
        <v>204</v>
      </c>
      <c r="D2445" s="24" t="n">
        <v>63</v>
      </c>
    </row>
    <row r="2446" customFormat="false" ht="15" hidden="false" customHeight="false" outlineLevel="0" collapsed="false">
      <c r="A2446" s="22" t="n">
        <v>53</v>
      </c>
      <c r="B2446" s="23" t="n">
        <v>45838</v>
      </c>
      <c r="C2446" s="22" t="s">
        <v>204</v>
      </c>
      <c r="D2446" s="24" t="n">
        <v>47</v>
      </c>
    </row>
    <row r="2447" customFormat="false" ht="15" hidden="false" customHeight="false" outlineLevel="0" collapsed="false">
      <c r="A2447" s="22" t="n">
        <v>54</v>
      </c>
      <c r="B2447" s="23" t="n">
        <v>45845</v>
      </c>
      <c r="C2447" s="22" t="s">
        <v>204</v>
      </c>
      <c r="D2447" s="24" t="n">
        <v>54</v>
      </c>
    </row>
    <row r="2448" customFormat="false" ht="15" hidden="false" customHeight="false" outlineLevel="0" collapsed="false">
      <c r="A2448" s="22" t="n">
        <v>55</v>
      </c>
      <c r="B2448" s="23" t="n">
        <v>45852</v>
      </c>
      <c r="C2448" s="22" t="s">
        <v>204</v>
      </c>
      <c r="D2448" s="24" t="n">
        <v>53</v>
      </c>
    </row>
    <row r="2449" customFormat="false" ht="15" hidden="false" customHeight="false" outlineLevel="0" collapsed="false">
      <c r="A2449" s="22" t="n">
        <v>56</v>
      </c>
      <c r="B2449" s="23" t="n">
        <v>45859</v>
      </c>
      <c r="C2449" s="22" t="s">
        <v>204</v>
      </c>
      <c r="D2449" s="24" t="n">
        <v>54</v>
      </c>
    </row>
    <row r="2450" customFormat="false" ht="15" hidden="false" customHeight="false" outlineLevel="0" collapsed="false">
      <c r="A2450" s="22" t="n">
        <v>57</v>
      </c>
      <c r="B2450" s="23" t="n">
        <v>45866</v>
      </c>
      <c r="C2450" s="22" t="s">
        <v>204</v>
      </c>
      <c r="D2450" s="24" t="n">
        <v>49</v>
      </c>
    </row>
    <row r="2451" customFormat="false" ht="15" hidden="false" customHeight="false" outlineLevel="0" collapsed="false">
      <c r="A2451" s="22" t="n">
        <v>58</v>
      </c>
      <c r="B2451" s="23" t="n">
        <v>45873</v>
      </c>
      <c r="C2451" s="22" t="s">
        <v>204</v>
      </c>
      <c r="D2451" s="24" t="n">
        <v>62</v>
      </c>
    </row>
    <row r="2452" customFormat="false" ht="15" hidden="false" customHeight="false" outlineLevel="0" collapsed="false">
      <c r="A2452" s="22" t="n">
        <v>59</v>
      </c>
      <c r="B2452" s="23" t="n">
        <v>45880</v>
      </c>
      <c r="C2452" s="22" t="s">
        <v>204</v>
      </c>
      <c r="D2452" s="24" t="n">
        <v>61</v>
      </c>
    </row>
    <row r="2453" customFormat="false" ht="15" hidden="false" customHeight="false" outlineLevel="0" collapsed="false">
      <c r="A2453" s="22" t="n">
        <v>60</v>
      </c>
      <c r="B2453" s="23" t="n">
        <v>45887</v>
      </c>
      <c r="C2453" s="22" t="s">
        <v>204</v>
      </c>
      <c r="D2453" s="24" t="n">
        <v>62</v>
      </c>
    </row>
    <row r="2454" customFormat="false" ht="15" hidden="false" customHeight="false" outlineLevel="0" collapsed="false">
      <c r="A2454" s="22" t="n">
        <v>61</v>
      </c>
      <c r="B2454" s="23" t="n">
        <v>45894</v>
      </c>
      <c r="C2454" s="22" t="s">
        <v>204</v>
      </c>
      <c r="D2454" s="24" t="n">
        <v>56</v>
      </c>
    </row>
    <row r="2455" customFormat="false" ht="15" hidden="false" customHeight="false" outlineLevel="0" collapsed="false">
      <c r="A2455" s="22" t="n">
        <v>62</v>
      </c>
      <c r="B2455" s="23" t="n">
        <v>45901</v>
      </c>
      <c r="C2455" s="22" t="s">
        <v>204</v>
      </c>
      <c r="D2455" s="24" t="n">
        <v>71</v>
      </c>
    </row>
    <row r="2456" customFormat="false" ht="15" hidden="false" customHeight="false" outlineLevel="0" collapsed="false">
      <c r="A2456" s="22" t="n">
        <v>63</v>
      </c>
      <c r="B2456" s="23" t="n">
        <v>45908</v>
      </c>
      <c r="C2456" s="22" t="s">
        <v>204</v>
      </c>
      <c r="D2456" s="24" t="n">
        <v>62</v>
      </c>
    </row>
    <row r="2457" customFormat="false" ht="15" hidden="false" customHeight="false" outlineLevel="0" collapsed="false">
      <c r="A2457" s="22" t="n">
        <v>64</v>
      </c>
      <c r="B2457" s="23" t="n">
        <v>45915</v>
      </c>
      <c r="C2457" s="22" t="s">
        <v>204</v>
      </c>
      <c r="D2457" s="24" t="n">
        <v>38</v>
      </c>
    </row>
    <row r="2458" customFormat="false" ht="15" hidden="false" customHeight="false" outlineLevel="0" collapsed="false">
      <c r="A2458" s="22" t="n">
        <v>65</v>
      </c>
      <c r="B2458" s="23" t="n">
        <v>45922</v>
      </c>
      <c r="C2458" s="22" t="s">
        <v>204</v>
      </c>
      <c r="D2458" s="24" t="n">
        <v>56</v>
      </c>
    </row>
    <row r="2459" customFormat="false" ht="15" hidden="false" customHeight="false" outlineLevel="0" collapsed="false">
      <c r="A2459" s="22" t="n">
        <v>66</v>
      </c>
      <c r="B2459" s="23" t="n">
        <v>45929</v>
      </c>
      <c r="C2459" s="22" t="s">
        <v>204</v>
      </c>
      <c r="D2459" s="24" t="n">
        <v>61</v>
      </c>
    </row>
    <row r="2460" customFormat="false" ht="15" hidden="false" customHeight="false" outlineLevel="0" collapsed="false">
      <c r="A2460" s="22" t="n">
        <v>67</v>
      </c>
      <c r="B2460" s="23" t="n">
        <v>45936</v>
      </c>
      <c r="C2460" s="22" t="s">
        <v>204</v>
      </c>
      <c r="D2460" s="24" t="n">
        <v>71</v>
      </c>
    </row>
    <row r="2461" customFormat="false" ht="15" hidden="false" customHeight="false" outlineLevel="0" collapsed="false">
      <c r="A2461" s="22" t="n">
        <v>68</v>
      </c>
      <c r="B2461" s="23" t="n">
        <v>45943</v>
      </c>
      <c r="C2461" s="22" t="s">
        <v>204</v>
      </c>
      <c r="D2461" s="24" t="n">
        <v>60</v>
      </c>
    </row>
    <row r="2462" customFormat="false" ht="15" hidden="false" customHeight="false" outlineLevel="0" collapsed="false">
      <c r="A2462" s="22" t="n">
        <v>69</v>
      </c>
      <c r="B2462" s="23" t="n">
        <v>45950</v>
      </c>
      <c r="C2462" s="22" t="s">
        <v>204</v>
      </c>
      <c r="D2462" s="24" t="n">
        <v>61</v>
      </c>
    </row>
    <row r="2463" customFormat="false" ht="15" hidden="false" customHeight="false" outlineLevel="0" collapsed="false">
      <c r="A2463" s="22" t="n">
        <v>70</v>
      </c>
      <c r="B2463" s="23" t="n">
        <v>45957</v>
      </c>
      <c r="C2463" s="22" t="s">
        <v>204</v>
      </c>
      <c r="D2463" s="24" t="n">
        <v>58</v>
      </c>
    </row>
    <row r="2464" customFormat="false" ht="15" hidden="false" customHeight="false" outlineLevel="0" collapsed="false">
      <c r="A2464" s="22" t="n">
        <v>71</v>
      </c>
      <c r="B2464" s="23" t="n">
        <v>45964</v>
      </c>
      <c r="C2464" s="22" t="s">
        <v>204</v>
      </c>
      <c r="D2464" s="24" t="n">
        <v>70</v>
      </c>
    </row>
    <row r="2465" customFormat="false" ht="15" hidden="false" customHeight="false" outlineLevel="0" collapsed="false">
      <c r="A2465" s="22" t="n">
        <v>72</v>
      </c>
      <c r="B2465" s="23" t="n">
        <v>45971</v>
      </c>
      <c r="C2465" s="22" t="s">
        <v>204</v>
      </c>
      <c r="D2465" s="24" t="n">
        <v>60</v>
      </c>
    </row>
    <row r="2466" customFormat="false" ht="15" hidden="false" customHeight="false" outlineLevel="0" collapsed="false">
      <c r="A2466" s="22" t="n">
        <v>73</v>
      </c>
      <c r="B2466" s="23" t="n">
        <v>45978</v>
      </c>
      <c r="C2466" s="22" t="s">
        <v>204</v>
      </c>
      <c r="D2466" s="24" t="n">
        <v>59</v>
      </c>
    </row>
    <row r="2467" customFormat="false" ht="15" hidden="false" customHeight="false" outlineLevel="0" collapsed="false">
      <c r="A2467" s="22" t="n">
        <v>74</v>
      </c>
      <c r="B2467" s="23" t="n">
        <v>45985</v>
      </c>
      <c r="C2467" s="22" t="s">
        <v>204</v>
      </c>
      <c r="D2467" s="24" t="n">
        <v>58</v>
      </c>
    </row>
    <row r="2468" customFormat="false" ht="15" hidden="false" customHeight="false" outlineLevel="0" collapsed="false">
      <c r="A2468" s="22" t="n">
        <v>75</v>
      </c>
      <c r="B2468" s="23" t="n">
        <v>45992</v>
      </c>
      <c r="C2468" s="22" t="s">
        <v>204</v>
      </c>
      <c r="D2468" s="24" t="n">
        <v>70</v>
      </c>
    </row>
    <row r="2469" customFormat="false" ht="15" hidden="false" customHeight="false" outlineLevel="0" collapsed="false">
      <c r="A2469" s="22" t="n">
        <v>76</v>
      </c>
      <c r="B2469" s="23" t="n">
        <v>45999</v>
      </c>
      <c r="C2469" s="22" t="s">
        <v>204</v>
      </c>
      <c r="D2469" s="24" t="n">
        <v>61</v>
      </c>
    </row>
    <row r="2470" customFormat="false" ht="15" hidden="false" customHeight="false" outlineLevel="0" collapsed="false">
      <c r="A2470" s="22" t="n">
        <v>77</v>
      </c>
      <c r="B2470" s="23" t="n">
        <v>46006</v>
      </c>
      <c r="C2470" s="22" t="s">
        <v>204</v>
      </c>
      <c r="D2470" s="24" t="n">
        <v>51</v>
      </c>
    </row>
    <row r="2471" customFormat="false" ht="15" hidden="false" customHeight="false" outlineLevel="0" collapsed="false">
      <c r="A2471" s="22" t="n">
        <v>78</v>
      </c>
      <c r="B2471" s="23" t="n">
        <v>46013</v>
      </c>
      <c r="C2471" s="22" t="s">
        <v>204</v>
      </c>
      <c r="D2471" s="24" t="n">
        <v>72</v>
      </c>
    </row>
    <row r="2472" customFormat="false" ht="15" hidden="false" customHeight="false" outlineLevel="0" collapsed="false">
      <c r="A2472" s="22" t="n">
        <v>79</v>
      </c>
      <c r="B2472" s="23" t="n">
        <v>46020</v>
      </c>
      <c r="C2472" s="22" t="s">
        <v>204</v>
      </c>
      <c r="D2472" s="24" t="n">
        <v>60</v>
      </c>
    </row>
    <row r="2473" customFormat="false" ht="15" hidden="false" customHeight="false" outlineLevel="0" collapsed="false">
      <c r="A2473" s="22" t="n">
        <v>80</v>
      </c>
      <c r="B2473" s="23" t="n">
        <v>46027</v>
      </c>
      <c r="C2473" s="22" t="s">
        <v>204</v>
      </c>
      <c r="D2473" s="24" t="n">
        <v>71</v>
      </c>
    </row>
    <row r="2474" customFormat="false" ht="15" hidden="false" customHeight="false" outlineLevel="0" collapsed="false">
      <c r="A2474" s="22" t="n">
        <v>81</v>
      </c>
      <c r="B2474" s="23" t="n">
        <v>46034</v>
      </c>
      <c r="C2474" s="22" t="s">
        <v>204</v>
      </c>
      <c r="D2474" s="24" t="n">
        <v>71</v>
      </c>
    </row>
    <row r="2475" customFormat="false" ht="15" hidden="false" customHeight="false" outlineLevel="0" collapsed="false">
      <c r="A2475" s="22" t="n">
        <v>82</v>
      </c>
      <c r="B2475" s="23" t="n">
        <v>46041</v>
      </c>
      <c r="C2475" s="22" t="s">
        <v>204</v>
      </c>
      <c r="D2475" s="24" t="n">
        <v>80</v>
      </c>
    </row>
    <row r="2476" customFormat="false" ht="15" hidden="false" customHeight="false" outlineLevel="0" collapsed="false">
      <c r="A2476" s="22" t="n">
        <v>83</v>
      </c>
      <c r="B2476" s="23" t="n">
        <v>46048</v>
      </c>
      <c r="C2476" s="22" t="s">
        <v>204</v>
      </c>
      <c r="D2476" s="24" t="n">
        <v>79</v>
      </c>
    </row>
    <row r="2477" customFormat="false" ht="15" hidden="false" customHeight="false" outlineLevel="0" collapsed="false">
      <c r="A2477" s="22" t="n">
        <v>84</v>
      </c>
      <c r="B2477" s="23" t="n">
        <v>46055</v>
      </c>
      <c r="C2477" s="22" t="s">
        <v>204</v>
      </c>
      <c r="D2477" s="24" t="n">
        <v>63</v>
      </c>
    </row>
    <row r="2478" customFormat="false" ht="15" hidden="false" customHeight="false" outlineLevel="0" collapsed="false">
      <c r="A2478" s="22" t="n">
        <v>85</v>
      </c>
      <c r="B2478" s="23" t="n">
        <v>46062</v>
      </c>
      <c r="C2478" s="22" t="s">
        <v>204</v>
      </c>
      <c r="D2478" s="24" t="n">
        <v>68</v>
      </c>
    </row>
    <row r="2479" customFormat="false" ht="15" hidden="false" customHeight="false" outlineLevel="0" collapsed="false">
      <c r="A2479" s="22" t="n">
        <v>86</v>
      </c>
      <c r="B2479" s="23" t="n">
        <v>46069</v>
      </c>
      <c r="C2479" s="22" t="s">
        <v>204</v>
      </c>
      <c r="D2479" s="24" t="n">
        <v>57</v>
      </c>
    </row>
    <row r="2480" customFormat="false" ht="15" hidden="false" customHeight="false" outlineLevel="0" collapsed="false">
      <c r="A2480" s="22" t="n">
        <v>87</v>
      </c>
      <c r="B2480" s="23" t="n">
        <v>46076</v>
      </c>
      <c r="C2480" s="22" t="s">
        <v>204</v>
      </c>
      <c r="D2480" s="24" t="n">
        <v>87</v>
      </c>
    </row>
    <row r="2481" customFormat="false" ht="15" hidden="false" customHeight="false" outlineLevel="0" collapsed="false">
      <c r="A2481" s="22" t="n">
        <v>88</v>
      </c>
      <c r="B2481" s="23" t="n">
        <v>46083</v>
      </c>
      <c r="C2481" s="22" t="s">
        <v>204</v>
      </c>
      <c r="D2481" s="24" t="n">
        <v>75</v>
      </c>
    </row>
    <row r="2482" customFormat="false" ht="15" hidden="false" customHeight="false" outlineLevel="0" collapsed="false">
      <c r="A2482" s="22" t="n">
        <v>89</v>
      </c>
      <c r="B2482" s="23" t="n">
        <v>46090</v>
      </c>
      <c r="C2482" s="22" t="s">
        <v>204</v>
      </c>
      <c r="D2482" s="24" t="n">
        <v>85</v>
      </c>
    </row>
    <row r="2483" customFormat="false" ht="15" hidden="false" customHeight="false" outlineLevel="0" collapsed="false">
      <c r="A2483" s="22" t="n">
        <v>90</v>
      </c>
      <c r="B2483" s="23" t="n">
        <v>46097</v>
      </c>
      <c r="C2483" s="22" t="s">
        <v>204</v>
      </c>
      <c r="D2483" s="24" t="n">
        <v>68</v>
      </c>
    </row>
    <row r="2484" customFormat="false" ht="15" hidden="false" customHeight="false" outlineLevel="0" collapsed="false">
      <c r="A2484" s="22" t="n">
        <v>91</v>
      </c>
      <c r="B2484" s="23" t="n">
        <v>46104</v>
      </c>
      <c r="C2484" s="22" t="s">
        <v>204</v>
      </c>
      <c r="D2484" s="24" t="n">
        <v>51</v>
      </c>
    </row>
    <row r="2485" customFormat="false" ht="15" hidden="false" customHeight="false" outlineLevel="0" collapsed="false">
      <c r="A2485" s="22" t="n">
        <v>92</v>
      </c>
      <c r="B2485" s="23" t="n">
        <v>46111</v>
      </c>
      <c r="C2485" s="22" t="s">
        <v>204</v>
      </c>
      <c r="D2485" s="24" t="n">
        <v>88</v>
      </c>
    </row>
    <row r="2486" customFormat="false" ht="15" hidden="false" customHeight="false" outlineLevel="0" collapsed="false">
      <c r="A2486" s="22" t="n">
        <v>93</v>
      </c>
      <c r="B2486" s="23" t="n">
        <v>46118</v>
      </c>
      <c r="C2486" s="22" t="s">
        <v>204</v>
      </c>
      <c r="D2486" s="24" t="n">
        <v>74</v>
      </c>
    </row>
    <row r="2487" customFormat="false" ht="15" hidden="false" customHeight="false" outlineLevel="0" collapsed="false">
      <c r="A2487" s="22" t="n">
        <v>94</v>
      </c>
      <c r="B2487" s="23" t="n">
        <v>46125</v>
      </c>
      <c r="C2487" s="22" t="s">
        <v>204</v>
      </c>
      <c r="D2487" s="24" t="n">
        <v>74</v>
      </c>
    </row>
    <row r="2488" customFormat="false" ht="15" hidden="false" customHeight="false" outlineLevel="0" collapsed="false">
      <c r="A2488" s="22" t="n">
        <v>95</v>
      </c>
      <c r="B2488" s="23" t="n">
        <v>46132</v>
      </c>
      <c r="C2488" s="22" t="s">
        <v>204</v>
      </c>
      <c r="D2488" s="24" t="n">
        <v>74</v>
      </c>
    </row>
    <row r="2489" customFormat="false" ht="15" hidden="false" customHeight="false" outlineLevel="0" collapsed="false">
      <c r="A2489" s="22" t="n">
        <v>96</v>
      </c>
      <c r="B2489" s="23" t="n">
        <v>46139</v>
      </c>
      <c r="C2489" s="22" t="s">
        <v>204</v>
      </c>
      <c r="D2489" s="24" t="n">
        <v>80</v>
      </c>
    </row>
    <row r="2490" customFormat="false" ht="15" hidden="false" customHeight="false" outlineLevel="0" collapsed="false">
      <c r="A2490" s="22" t="n">
        <v>97</v>
      </c>
      <c r="B2490" s="23" t="n">
        <v>46146</v>
      </c>
      <c r="C2490" s="22" t="s">
        <v>204</v>
      </c>
      <c r="D2490" s="24" t="n">
        <v>80</v>
      </c>
    </row>
    <row r="2491" customFormat="false" ht="15" hidden="false" customHeight="false" outlineLevel="0" collapsed="false">
      <c r="A2491" s="22" t="n">
        <v>98</v>
      </c>
      <c r="B2491" s="23" t="n">
        <v>46153</v>
      </c>
      <c r="C2491" s="22" t="s">
        <v>204</v>
      </c>
      <c r="D2491" s="24" t="n">
        <v>58</v>
      </c>
    </row>
    <row r="2492" customFormat="false" ht="15" hidden="false" customHeight="false" outlineLevel="0" collapsed="false">
      <c r="A2492" s="22" t="n">
        <v>99</v>
      </c>
      <c r="B2492" s="23" t="n">
        <v>46160</v>
      </c>
      <c r="C2492" s="22" t="s">
        <v>204</v>
      </c>
      <c r="D2492" s="24" t="n">
        <v>86</v>
      </c>
    </row>
    <row r="2493" customFormat="false" ht="15" hidden="false" customHeight="false" outlineLevel="0" collapsed="false">
      <c r="A2493" s="22" t="n">
        <v>100</v>
      </c>
      <c r="B2493" s="23" t="n">
        <v>46167</v>
      </c>
      <c r="C2493" s="22" t="s">
        <v>204</v>
      </c>
      <c r="D2493" s="24" t="n">
        <v>70</v>
      </c>
    </row>
    <row r="2494" customFormat="false" ht="15" hidden="false" customHeight="false" outlineLevel="0" collapsed="false">
      <c r="A2494" s="22" t="n">
        <v>101</v>
      </c>
      <c r="B2494" s="23" t="n">
        <v>46174</v>
      </c>
      <c r="C2494" s="22" t="s">
        <v>204</v>
      </c>
      <c r="D2494" s="24" t="n">
        <v>71</v>
      </c>
    </row>
    <row r="2495" customFormat="false" ht="15" hidden="false" customHeight="false" outlineLevel="0" collapsed="false">
      <c r="A2495" s="22" t="n">
        <v>102</v>
      </c>
      <c r="B2495" s="23" t="n">
        <v>46181</v>
      </c>
      <c r="C2495" s="22" t="s">
        <v>204</v>
      </c>
      <c r="D2495" s="24" t="n">
        <v>95</v>
      </c>
    </row>
    <row r="2496" customFormat="false" ht="15" hidden="false" customHeight="false" outlineLevel="0" collapsed="false">
      <c r="A2496" s="22" t="n">
        <v>103</v>
      </c>
      <c r="B2496" s="23" t="n">
        <v>46188</v>
      </c>
      <c r="C2496" s="22" t="s">
        <v>204</v>
      </c>
      <c r="D2496" s="24" t="n">
        <v>86</v>
      </c>
    </row>
    <row r="2497" customFormat="false" ht="15" hidden="false" customHeight="false" outlineLevel="0" collapsed="false">
      <c r="A2497" s="22" t="n">
        <v>104</v>
      </c>
      <c r="B2497" s="23" t="n">
        <v>46195</v>
      </c>
      <c r="C2497" s="22" t="s">
        <v>204</v>
      </c>
      <c r="D2497" s="24" t="n">
        <v>73</v>
      </c>
    </row>
    <row r="2498" customFormat="false" ht="15" hidden="false" customHeight="false" outlineLevel="0" collapsed="false">
      <c r="A2498" s="22" t="n">
        <v>1</v>
      </c>
      <c r="B2498" s="23" t="n">
        <v>45474</v>
      </c>
      <c r="C2498" s="22" t="s">
        <v>206</v>
      </c>
      <c r="D2498" s="24" t="n">
        <v>18</v>
      </c>
    </row>
    <row r="2499" customFormat="false" ht="15" hidden="false" customHeight="false" outlineLevel="0" collapsed="false">
      <c r="A2499" s="22" t="n">
        <v>2</v>
      </c>
      <c r="B2499" s="23" t="n">
        <v>45481</v>
      </c>
      <c r="C2499" s="22" t="s">
        <v>206</v>
      </c>
      <c r="D2499" s="24" t="n">
        <v>25</v>
      </c>
    </row>
    <row r="2500" customFormat="false" ht="15" hidden="false" customHeight="false" outlineLevel="0" collapsed="false">
      <c r="A2500" s="22" t="n">
        <v>3</v>
      </c>
      <c r="B2500" s="23" t="n">
        <v>45488</v>
      </c>
      <c r="C2500" s="22" t="s">
        <v>206</v>
      </c>
      <c r="D2500" s="24" t="n">
        <v>26</v>
      </c>
    </row>
    <row r="2501" customFormat="false" ht="15" hidden="false" customHeight="false" outlineLevel="0" collapsed="false">
      <c r="A2501" s="22" t="n">
        <v>4</v>
      </c>
      <c r="B2501" s="23" t="n">
        <v>45495</v>
      </c>
      <c r="C2501" s="22" t="s">
        <v>206</v>
      </c>
      <c r="D2501" s="24" t="n">
        <v>24</v>
      </c>
    </row>
    <row r="2502" customFormat="false" ht="15" hidden="false" customHeight="false" outlineLevel="0" collapsed="false">
      <c r="A2502" s="22" t="n">
        <v>5</v>
      </c>
      <c r="B2502" s="23" t="n">
        <v>45502</v>
      </c>
      <c r="C2502" s="22" t="s">
        <v>206</v>
      </c>
      <c r="D2502" s="24" t="n">
        <v>20</v>
      </c>
    </row>
    <row r="2503" customFormat="false" ht="15" hidden="false" customHeight="false" outlineLevel="0" collapsed="false">
      <c r="A2503" s="22" t="n">
        <v>6</v>
      </c>
      <c r="B2503" s="23" t="n">
        <v>45509</v>
      </c>
      <c r="C2503" s="22" t="s">
        <v>206</v>
      </c>
      <c r="D2503" s="24" t="n">
        <v>21</v>
      </c>
    </row>
    <row r="2504" customFormat="false" ht="15" hidden="false" customHeight="false" outlineLevel="0" collapsed="false">
      <c r="A2504" s="22" t="n">
        <v>7</v>
      </c>
      <c r="B2504" s="23" t="n">
        <v>45516</v>
      </c>
      <c r="C2504" s="22" t="s">
        <v>206</v>
      </c>
      <c r="D2504" s="24" t="n">
        <v>19</v>
      </c>
    </row>
    <row r="2505" customFormat="false" ht="15" hidden="false" customHeight="false" outlineLevel="0" collapsed="false">
      <c r="A2505" s="22" t="n">
        <v>8</v>
      </c>
      <c r="B2505" s="23" t="n">
        <v>45523</v>
      </c>
      <c r="C2505" s="22" t="s">
        <v>206</v>
      </c>
      <c r="D2505" s="24" t="n">
        <v>24</v>
      </c>
    </row>
    <row r="2506" customFormat="false" ht="15" hidden="false" customHeight="false" outlineLevel="0" collapsed="false">
      <c r="A2506" s="22" t="n">
        <v>9</v>
      </c>
      <c r="B2506" s="23" t="n">
        <v>45530</v>
      </c>
      <c r="C2506" s="22" t="s">
        <v>206</v>
      </c>
      <c r="D2506" s="24" t="n">
        <v>26</v>
      </c>
    </row>
    <row r="2507" customFormat="false" ht="15" hidden="false" customHeight="false" outlineLevel="0" collapsed="false">
      <c r="A2507" s="22" t="n">
        <v>10</v>
      </c>
      <c r="B2507" s="23" t="n">
        <v>45537</v>
      </c>
      <c r="C2507" s="22" t="s">
        <v>206</v>
      </c>
      <c r="D2507" s="24" t="n">
        <v>27</v>
      </c>
    </row>
    <row r="2508" customFormat="false" ht="15" hidden="false" customHeight="false" outlineLevel="0" collapsed="false">
      <c r="A2508" s="22" t="n">
        <v>11</v>
      </c>
      <c r="B2508" s="23" t="n">
        <v>45544</v>
      </c>
      <c r="C2508" s="22" t="s">
        <v>206</v>
      </c>
      <c r="D2508" s="24" t="n">
        <v>21</v>
      </c>
    </row>
    <row r="2509" customFormat="false" ht="15" hidden="false" customHeight="false" outlineLevel="0" collapsed="false">
      <c r="A2509" s="22" t="n">
        <v>12</v>
      </c>
      <c r="B2509" s="23" t="n">
        <v>45551</v>
      </c>
      <c r="C2509" s="22" t="s">
        <v>206</v>
      </c>
      <c r="D2509" s="24" t="n">
        <v>24</v>
      </c>
    </row>
    <row r="2510" customFormat="false" ht="15" hidden="false" customHeight="false" outlineLevel="0" collapsed="false">
      <c r="A2510" s="22" t="n">
        <v>13</v>
      </c>
      <c r="B2510" s="23" t="n">
        <v>45558</v>
      </c>
      <c r="C2510" s="22" t="s">
        <v>206</v>
      </c>
      <c r="D2510" s="24" t="n">
        <v>25</v>
      </c>
    </row>
    <row r="2511" customFormat="false" ht="15" hidden="false" customHeight="false" outlineLevel="0" collapsed="false">
      <c r="A2511" s="22" t="n">
        <v>14</v>
      </c>
      <c r="B2511" s="23" t="n">
        <v>45565</v>
      </c>
      <c r="C2511" s="22" t="s">
        <v>206</v>
      </c>
      <c r="D2511" s="24" t="n">
        <v>21</v>
      </c>
    </row>
    <row r="2512" customFormat="false" ht="15" hidden="false" customHeight="false" outlineLevel="0" collapsed="false">
      <c r="A2512" s="22" t="n">
        <v>15</v>
      </c>
      <c r="B2512" s="23" t="n">
        <v>45572</v>
      </c>
      <c r="C2512" s="22" t="s">
        <v>206</v>
      </c>
      <c r="D2512" s="24" t="n">
        <v>22</v>
      </c>
    </row>
    <row r="2513" customFormat="false" ht="15" hidden="false" customHeight="false" outlineLevel="0" collapsed="false">
      <c r="A2513" s="22" t="n">
        <v>16</v>
      </c>
      <c r="B2513" s="23" t="n">
        <v>45579</v>
      </c>
      <c r="C2513" s="22" t="s">
        <v>206</v>
      </c>
      <c r="D2513" s="24" t="n">
        <v>29</v>
      </c>
    </row>
    <row r="2514" customFormat="false" ht="15" hidden="false" customHeight="false" outlineLevel="0" collapsed="false">
      <c r="A2514" s="22" t="n">
        <v>17</v>
      </c>
      <c r="B2514" s="23" t="n">
        <v>45586</v>
      </c>
      <c r="C2514" s="22" t="s">
        <v>206</v>
      </c>
      <c r="D2514" s="24" t="n">
        <v>23</v>
      </c>
    </row>
    <row r="2515" customFormat="false" ht="15" hidden="false" customHeight="false" outlineLevel="0" collapsed="false">
      <c r="A2515" s="22" t="n">
        <v>18</v>
      </c>
      <c r="B2515" s="23" t="n">
        <v>45593</v>
      </c>
      <c r="C2515" s="22" t="s">
        <v>206</v>
      </c>
      <c r="D2515" s="24" t="n">
        <v>25</v>
      </c>
    </row>
    <row r="2516" customFormat="false" ht="15" hidden="false" customHeight="false" outlineLevel="0" collapsed="false">
      <c r="A2516" s="22" t="n">
        <v>19</v>
      </c>
      <c r="B2516" s="23" t="n">
        <v>45600</v>
      </c>
      <c r="C2516" s="22" t="s">
        <v>206</v>
      </c>
      <c r="D2516" s="24" t="n">
        <v>21</v>
      </c>
    </row>
    <row r="2517" customFormat="false" ht="15" hidden="false" customHeight="false" outlineLevel="0" collapsed="false">
      <c r="A2517" s="22" t="n">
        <v>20</v>
      </c>
      <c r="B2517" s="23" t="n">
        <v>45607</v>
      </c>
      <c r="C2517" s="22" t="s">
        <v>206</v>
      </c>
      <c r="D2517" s="24" t="n">
        <v>22</v>
      </c>
    </row>
    <row r="2518" customFormat="false" ht="15" hidden="false" customHeight="false" outlineLevel="0" collapsed="false">
      <c r="A2518" s="22" t="n">
        <v>21</v>
      </c>
      <c r="B2518" s="23" t="n">
        <v>45614</v>
      </c>
      <c r="C2518" s="22" t="s">
        <v>206</v>
      </c>
      <c r="D2518" s="24" t="n">
        <v>17</v>
      </c>
    </row>
    <row r="2519" customFormat="false" ht="15" hidden="false" customHeight="false" outlineLevel="0" collapsed="false">
      <c r="A2519" s="22" t="n">
        <v>22</v>
      </c>
      <c r="B2519" s="23" t="n">
        <v>45621</v>
      </c>
      <c r="C2519" s="22" t="s">
        <v>206</v>
      </c>
      <c r="D2519" s="24" t="n">
        <v>22</v>
      </c>
    </row>
    <row r="2520" customFormat="false" ht="15" hidden="false" customHeight="false" outlineLevel="0" collapsed="false">
      <c r="A2520" s="22" t="n">
        <v>23</v>
      </c>
      <c r="B2520" s="23" t="n">
        <v>45628</v>
      </c>
      <c r="C2520" s="22" t="s">
        <v>206</v>
      </c>
      <c r="D2520" s="24" t="n">
        <v>25</v>
      </c>
    </row>
    <row r="2521" customFormat="false" ht="15" hidden="false" customHeight="false" outlineLevel="0" collapsed="false">
      <c r="A2521" s="22" t="n">
        <v>24</v>
      </c>
      <c r="B2521" s="23" t="n">
        <v>45635</v>
      </c>
      <c r="C2521" s="22" t="s">
        <v>206</v>
      </c>
      <c r="D2521" s="24" t="n">
        <v>28</v>
      </c>
    </row>
    <row r="2522" customFormat="false" ht="15" hidden="false" customHeight="false" outlineLevel="0" collapsed="false">
      <c r="A2522" s="22" t="n">
        <v>25</v>
      </c>
      <c r="B2522" s="23" t="n">
        <v>45642</v>
      </c>
      <c r="C2522" s="22" t="s">
        <v>206</v>
      </c>
      <c r="D2522" s="24" t="n">
        <v>25</v>
      </c>
    </row>
    <row r="2523" customFormat="false" ht="15" hidden="false" customHeight="false" outlineLevel="0" collapsed="false">
      <c r="A2523" s="22" t="n">
        <v>26</v>
      </c>
      <c r="B2523" s="23" t="n">
        <v>45649</v>
      </c>
      <c r="C2523" s="22" t="s">
        <v>206</v>
      </c>
      <c r="D2523" s="24" t="n">
        <v>23</v>
      </c>
    </row>
    <row r="2524" customFormat="false" ht="15" hidden="false" customHeight="false" outlineLevel="0" collapsed="false">
      <c r="A2524" s="22" t="n">
        <v>27</v>
      </c>
      <c r="B2524" s="23" t="n">
        <v>45656</v>
      </c>
      <c r="C2524" s="22" t="s">
        <v>206</v>
      </c>
      <c r="D2524" s="24" t="n">
        <v>21</v>
      </c>
    </row>
    <row r="2525" customFormat="false" ht="15" hidden="false" customHeight="false" outlineLevel="0" collapsed="false">
      <c r="A2525" s="22" t="n">
        <v>28</v>
      </c>
      <c r="B2525" s="23" t="n">
        <v>45663</v>
      </c>
      <c r="C2525" s="22" t="s">
        <v>206</v>
      </c>
      <c r="D2525" s="24" t="n">
        <v>19</v>
      </c>
    </row>
    <row r="2526" customFormat="false" ht="15" hidden="false" customHeight="false" outlineLevel="0" collapsed="false">
      <c r="A2526" s="22" t="n">
        <v>29</v>
      </c>
      <c r="B2526" s="23" t="n">
        <v>45670</v>
      </c>
      <c r="C2526" s="22" t="s">
        <v>206</v>
      </c>
      <c r="D2526" s="24" t="n">
        <v>20</v>
      </c>
    </row>
    <row r="2527" customFormat="false" ht="15" hidden="false" customHeight="false" outlineLevel="0" collapsed="false">
      <c r="A2527" s="22" t="n">
        <v>30</v>
      </c>
      <c r="B2527" s="23" t="n">
        <v>45677</v>
      </c>
      <c r="C2527" s="22" t="s">
        <v>206</v>
      </c>
      <c r="D2527" s="24" t="n">
        <v>23</v>
      </c>
    </row>
    <row r="2528" customFormat="false" ht="15" hidden="false" customHeight="false" outlineLevel="0" collapsed="false">
      <c r="A2528" s="22" t="n">
        <v>31</v>
      </c>
      <c r="B2528" s="23" t="n">
        <v>45684</v>
      </c>
      <c r="C2528" s="22" t="s">
        <v>206</v>
      </c>
      <c r="D2528" s="24" t="n">
        <v>18</v>
      </c>
    </row>
    <row r="2529" customFormat="false" ht="15" hidden="false" customHeight="false" outlineLevel="0" collapsed="false">
      <c r="A2529" s="22" t="n">
        <v>32</v>
      </c>
      <c r="B2529" s="23" t="n">
        <v>45691</v>
      </c>
      <c r="C2529" s="22" t="s">
        <v>206</v>
      </c>
      <c r="D2529" s="24" t="n">
        <v>23</v>
      </c>
    </row>
    <row r="2530" customFormat="false" ht="15" hidden="false" customHeight="false" outlineLevel="0" collapsed="false">
      <c r="A2530" s="22" t="n">
        <v>33</v>
      </c>
      <c r="B2530" s="23" t="n">
        <v>45698</v>
      </c>
      <c r="C2530" s="22" t="s">
        <v>206</v>
      </c>
      <c r="D2530" s="24" t="n">
        <v>18</v>
      </c>
    </row>
    <row r="2531" customFormat="false" ht="15" hidden="false" customHeight="false" outlineLevel="0" collapsed="false">
      <c r="A2531" s="22" t="n">
        <v>34</v>
      </c>
      <c r="B2531" s="23" t="n">
        <v>45705</v>
      </c>
      <c r="C2531" s="22" t="s">
        <v>206</v>
      </c>
      <c r="D2531" s="24" t="n">
        <v>15</v>
      </c>
    </row>
    <row r="2532" customFormat="false" ht="15" hidden="false" customHeight="false" outlineLevel="0" collapsed="false">
      <c r="A2532" s="22" t="n">
        <v>35</v>
      </c>
      <c r="B2532" s="23" t="n">
        <v>45712</v>
      </c>
      <c r="C2532" s="22" t="s">
        <v>206</v>
      </c>
      <c r="D2532" s="24" t="n">
        <v>17</v>
      </c>
    </row>
    <row r="2533" customFormat="false" ht="15" hidden="false" customHeight="false" outlineLevel="0" collapsed="false">
      <c r="A2533" s="22" t="n">
        <v>36</v>
      </c>
      <c r="B2533" s="23" t="n">
        <v>45719</v>
      </c>
      <c r="C2533" s="22" t="s">
        <v>206</v>
      </c>
      <c r="D2533" s="24" t="n">
        <v>15</v>
      </c>
    </row>
    <row r="2534" customFormat="false" ht="15" hidden="false" customHeight="false" outlineLevel="0" collapsed="false">
      <c r="A2534" s="22" t="n">
        <v>37</v>
      </c>
      <c r="B2534" s="23" t="n">
        <v>45726</v>
      </c>
      <c r="C2534" s="22" t="s">
        <v>206</v>
      </c>
      <c r="D2534" s="24" t="n">
        <v>16</v>
      </c>
    </row>
    <row r="2535" customFormat="false" ht="15" hidden="false" customHeight="false" outlineLevel="0" collapsed="false">
      <c r="A2535" s="22" t="n">
        <v>38</v>
      </c>
      <c r="B2535" s="23" t="n">
        <v>45733</v>
      </c>
      <c r="C2535" s="22" t="s">
        <v>206</v>
      </c>
      <c r="D2535" s="24" t="n">
        <v>23</v>
      </c>
    </row>
    <row r="2536" customFormat="false" ht="15" hidden="false" customHeight="false" outlineLevel="0" collapsed="false">
      <c r="A2536" s="22" t="n">
        <v>39</v>
      </c>
      <c r="B2536" s="23" t="n">
        <v>45740</v>
      </c>
      <c r="C2536" s="22" t="s">
        <v>206</v>
      </c>
      <c r="D2536" s="24" t="n">
        <v>19</v>
      </c>
    </row>
    <row r="2537" customFormat="false" ht="15" hidden="false" customHeight="false" outlineLevel="0" collapsed="false">
      <c r="A2537" s="22" t="n">
        <v>40</v>
      </c>
      <c r="B2537" s="23" t="n">
        <v>45747</v>
      </c>
      <c r="C2537" s="22" t="s">
        <v>206</v>
      </c>
      <c r="D2537" s="24" t="n">
        <v>20</v>
      </c>
    </row>
    <row r="2538" customFormat="false" ht="15" hidden="false" customHeight="false" outlineLevel="0" collapsed="false">
      <c r="A2538" s="22" t="n">
        <v>41</v>
      </c>
      <c r="B2538" s="23" t="n">
        <v>45754</v>
      </c>
      <c r="C2538" s="22" t="s">
        <v>206</v>
      </c>
      <c r="D2538" s="24" t="n">
        <v>23</v>
      </c>
    </row>
    <row r="2539" customFormat="false" ht="15" hidden="false" customHeight="false" outlineLevel="0" collapsed="false">
      <c r="A2539" s="22" t="n">
        <v>42</v>
      </c>
      <c r="B2539" s="23" t="n">
        <v>45761</v>
      </c>
      <c r="C2539" s="22" t="s">
        <v>206</v>
      </c>
      <c r="D2539" s="24" t="n">
        <v>23</v>
      </c>
    </row>
    <row r="2540" customFormat="false" ht="15" hidden="false" customHeight="false" outlineLevel="0" collapsed="false">
      <c r="A2540" s="22" t="n">
        <v>43</v>
      </c>
      <c r="B2540" s="23" t="n">
        <v>45768</v>
      </c>
      <c r="C2540" s="22" t="s">
        <v>206</v>
      </c>
      <c r="D2540" s="24" t="n">
        <v>18</v>
      </c>
    </row>
    <row r="2541" customFormat="false" ht="15" hidden="false" customHeight="false" outlineLevel="0" collapsed="false">
      <c r="A2541" s="22" t="n">
        <v>44</v>
      </c>
      <c r="B2541" s="23" t="n">
        <v>45775</v>
      </c>
      <c r="C2541" s="22" t="s">
        <v>206</v>
      </c>
      <c r="D2541" s="24" t="n">
        <v>23</v>
      </c>
    </row>
    <row r="2542" customFormat="false" ht="15" hidden="false" customHeight="false" outlineLevel="0" collapsed="false">
      <c r="A2542" s="22" t="n">
        <v>45</v>
      </c>
      <c r="B2542" s="23" t="n">
        <v>45782</v>
      </c>
      <c r="C2542" s="22" t="s">
        <v>206</v>
      </c>
      <c r="D2542" s="24" t="n">
        <v>20</v>
      </c>
    </row>
    <row r="2543" customFormat="false" ht="15" hidden="false" customHeight="false" outlineLevel="0" collapsed="false">
      <c r="A2543" s="22" t="n">
        <v>46</v>
      </c>
      <c r="B2543" s="23" t="n">
        <v>45789</v>
      </c>
      <c r="C2543" s="22" t="s">
        <v>206</v>
      </c>
      <c r="D2543" s="24" t="n">
        <v>19</v>
      </c>
    </row>
    <row r="2544" customFormat="false" ht="15" hidden="false" customHeight="false" outlineLevel="0" collapsed="false">
      <c r="A2544" s="22" t="n">
        <v>47</v>
      </c>
      <c r="B2544" s="23" t="n">
        <v>45796</v>
      </c>
      <c r="C2544" s="22" t="s">
        <v>206</v>
      </c>
      <c r="D2544" s="24" t="n">
        <v>20</v>
      </c>
    </row>
    <row r="2545" customFormat="false" ht="15" hidden="false" customHeight="false" outlineLevel="0" collapsed="false">
      <c r="A2545" s="22" t="n">
        <v>48</v>
      </c>
      <c r="B2545" s="23" t="n">
        <v>45803</v>
      </c>
      <c r="C2545" s="22" t="s">
        <v>206</v>
      </c>
      <c r="D2545" s="24" t="n">
        <v>15</v>
      </c>
    </row>
    <row r="2546" customFormat="false" ht="15" hidden="false" customHeight="false" outlineLevel="0" collapsed="false">
      <c r="A2546" s="22" t="n">
        <v>49</v>
      </c>
      <c r="B2546" s="23" t="n">
        <v>45810</v>
      </c>
      <c r="C2546" s="22" t="s">
        <v>206</v>
      </c>
      <c r="D2546" s="24" t="n">
        <v>16</v>
      </c>
    </row>
    <row r="2547" customFormat="false" ht="15" hidden="false" customHeight="false" outlineLevel="0" collapsed="false">
      <c r="A2547" s="22" t="n">
        <v>50</v>
      </c>
      <c r="B2547" s="23" t="n">
        <v>45817</v>
      </c>
      <c r="C2547" s="22" t="s">
        <v>206</v>
      </c>
      <c r="D2547" s="24" t="n">
        <v>18</v>
      </c>
    </row>
    <row r="2548" customFormat="false" ht="15" hidden="false" customHeight="false" outlineLevel="0" collapsed="false">
      <c r="A2548" s="22" t="n">
        <v>51</v>
      </c>
      <c r="B2548" s="23" t="n">
        <v>45824</v>
      </c>
      <c r="C2548" s="22" t="s">
        <v>206</v>
      </c>
      <c r="D2548" s="24" t="n">
        <v>20</v>
      </c>
    </row>
    <row r="2549" customFormat="false" ht="15" hidden="false" customHeight="false" outlineLevel="0" collapsed="false">
      <c r="A2549" s="22" t="n">
        <v>52</v>
      </c>
      <c r="B2549" s="23" t="n">
        <v>45831</v>
      </c>
      <c r="C2549" s="22" t="s">
        <v>206</v>
      </c>
      <c r="D2549" s="24" t="n">
        <v>17</v>
      </c>
    </row>
    <row r="2550" customFormat="false" ht="15" hidden="false" customHeight="false" outlineLevel="0" collapsed="false">
      <c r="A2550" s="22" t="n">
        <v>53</v>
      </c>
      <c r="B2550" s="23" t="n">
        <v>45838</v>
      </c>
      <c r="C2550" s="22" t="s">
        <v>206</v>
      </c>
      <c r="D2550" s="24" t="n">
        <v>18</v>
      </c>
    </row>
    <row r="2551" customFormat="false" ht="15" hidden="false" customHeight="false" outlineLevel="0" collapsed="false">
      <c r="A2551" s="22" t="n">
        <v>54</v>
      </c>
      <c r="B2551" s="23" t="n">
        <v>45845</v>
      </c>
      <c r="C2551" s="22" t="s">
        <v>206</v>
      </c>
      <c r="D2551" s="24" t="n">
        <v>20</v>
      </c>
    </row>
    <row r="2552" customFormat="false" ht="15" hidden="false" customHeight="false" outlineLevel="0" collapsed="false">
      <c r="A2552" s="22" t="n">
        <v>55</v>
      </c>
      <c r="B2552" s="23" t="n">
        <v>45852</v>
      </c>
      <c r="C2552" s="22" t="s">
        <v>206</v>
      </c>
      <c r="D2552" s="24" t="n">
        <v>21</v>
      </c>
    </row>
    <row r="2553" customFormat="false" ht="15" hidden="false" customHeight="false" outlineLevel="0" collapsed="false">
      <c r="A2553" s="22" t="n">
        <v>56</v>
      </c>
      <c r="B2553" s="23" t="n">
        <v>45859</v>
      </c>
      <c r="C2553" s="22" t="s">
        <v>206</v>
      </c>
      <c r="D2553" s="24" t="n">
        <v>19</v>
      </c>
    </row>
    <row r="2554" customFormat="false" ht="15" hidden="false" customHeight="false" outlineLevel="0" collapsed="false">
      <c r="A2554" s="22" t="n">
        <v>57</v>
      </c>
      <c r="B2554" s="23" t="n">
        <v>45866</v>
      </c>
      <c r="C2554" s="22" t="s">
        <v>206</v>
      </c>
      <c r="D2554" s="24" t="n">
        <v>21</v>
      </c>
    </row>
    <row r="2555" customFormat="false" ht="15" hidden="false" customHeight="false" outlineLevel="0" collapsed="false">
      <c r="A2555" s="22" t="n">
        <v>58</v>
      </c>
      <c r="B2555" s="23" t="n">
        <v>45873</v>
      </c>
      <c r="C2555" s="22" t="s">
        <v>206</v>
      </c>
      <c r="D2555" s="24" t="n">
        <v>16</v>
      </c>
    </row>
    <row r="2556" customFormat="false" ht="15" hidden="false" customHeight="false" outlineLevel="0" collapsed="false">
      <c r="A2556" s="22" t="n">
        <v>59</v>
      </c>
      <c r="B2556" s="23" t="n">
        <v>45880</v>
      </c>
      <c r="C2556" s="22" t="s">
        <v>206</v>
      </c>
      <c r="D2556" s="24" t="n">
        <v>16</v>
      </c>
    </row>
    <row r="2557" customFormat="false" ht="15" hidden="false" customHeight="false" outlineLevel="0" collapsed="false">
      <c r="A2557" s="22" t="n">
        <v>60</v>
      </c>
      <c r="B2557" s="23" t="n">
        <v>45887</v>
      </c>
      <c r="C2557" s="22" t="s">
        <v>206</v>
      </c>
      <c r="D2557" s="24" t="n">
        <v>18</v>
      </c>
    </row>
    <row r="2558" customFormat="false" ht="15" hidden="false" customHeight="false" outlineLevel="0" collapsed="false">
      <c r="A2558" s="22" t="n">
        <v>61</v>
      </c>
      <c r="B2558" s="23" t="n">
        <v>45894</v>
      </c>
      <c r="C2558" s="22" t="s">
        <v>206</v>
      </c>
      <c r="D2558" s="24" t="n">
        <v>16</v>
      </c>
    </row>
    <row r="2559" customFormat="false" ht="15" hidden="false" customHeight="false" outlineLevel="0" collapsed="false">
      <c r="A2559" s="22" t="n">
        <v>62</v>
      </c>
      <c r="B2559" s="23" t="n">
        <v>45901</v>
      </c>
      <c r="C2559" s="22" t="s">
        <v>206</v>
      </c>
      <c r="D2559" s="24" t="n">
        <v>16</v>
      </c>
    </row>
    <row r="2560" customFormat="false" ht="15" hidden="false" customHeight="false" outlineLevel="0" collapsed="false">
      <c r="A2560" s="22" t="n">
        <v>63</v>
      </c>
      <c r="B2560" s="23" t="n">
        <v>45908</v>
      </c>
      <c r="C2560" s="22" t="s">
        <v>206</v>
      </c>
      <c r="D2560" s="24" t="n">
        <v>21</v>
      </c>
    </row>
    <row r="2561" customFormat="false" ht="15" hidden="false" customHeight="false" outlineLevel="0" collapsed="false">
      <c r="A2561" s="22" t="n">
        <v>64</v>
      </c>
      <c r="B2561" s="23" t="n">
        <v>45915</v>
      </c>
      <c r="C2561" s="22" t="s">
        <v>206</v>
      </c>
      <c r="D2561" s="24" t="n">
        <v>16</v>
      </c>
    </row>
    <row r="2562" customFormat="false" ht="15" hidden="false" customHeight="false" outlineLevel="0" collapsed="false">
      <c r="A2562" s="22" t="n">
        <v>65</v>
      </c>
      <c r="B2562" s="23" t="n">
        <v>45922</v>
      </c>
      <c r="C2562" s="22" t="s">
        <v>206</v>
      </c>
      <c r="D2562" s="24" t="n">
        <v>14</v>
      </c>
    </row>
    <row r="2563" customFormat="false" ht="15" hidden="false" customHeight="false" outlineLevel="0" collapsed="false">
      <c r="A2563" s="22" t="n">
        <v>66</v>
      </c>
      <c r="B2563" s="23" t="n">
        <v>45929</v>
      </c>
      <c r="C2563" s="22" t="s">
        <v>206</v>
      </c>
      <c r="D2563" s="24" t="n">
        <v>17</v>
      </c>
    </row>
    <row r="2564" customFormat="false" ht="15" hidden="false" customHeight="false" outlineLevel="0" collapsed="false">
      <c r="A2564" s="22" t="n">
        <v>67</v>
      </c>
      <c r="B2564" s="23" t="n">
        <v>45936</v>
      </c>
      <c r="C2564" s="22" t="s">
        <v>206</v>
      </c>
      <c r="D2564" s="24" t="n">
        <v>20</v>
      </c>
    </row>
    <row r="2565" customFormat="false" ht="15" hidden="false" customHeight="false" outlineLevel="0" collapsed="false">
      <c r="A2565" s="22" t="n">
        <v>68</v>
      </c>
      <c r="B2565" s="23" t="n">
        <v>45943</v>
      </c>
      <c r="C2565" s="22" t="s">
        <v>206</v>
      </c>
      <c r="D2565" s="24" t="n">
        <v>16</v>
      </c>
    </row>
    <row r="2566" customFormat="false" ht="15" hidden="false" customHeight="false" outlineLevel="0" collapsed="false">
      <c r="A2566" s="22" t="n">
        <v>69</v>
      </c>
      <c r="B2566" s="23" t="n">
        <v>45950</v>
      </c>
      <c r="C2566" s="22" t="s">
        <v>206</v>
      </c>
      <c r="D2566" s="24" t="n">
        <v>19</v>
      </c>
    </row>
    <row r="2567" customFormat="false" ht="15" hidden="false" customHeight="false" outlineLevel="0" collapsed="false">
      <c r="A2567" s="22" t="n">
        <v>70</v>
      </c>
      <c r="B2567" s="23" t="n">
        <v>45957</v>
      </c>
      <c r="C2567" s="22" t="s">
        <v>206</v>
      </c>
      <c r="D2567" s="24" t="n">
        <v>15</v>
      </c>
    </row>
    <row r="2568" customFormat="false" ht="15" hidden="false" customHeight="false" outlineLevel="0" collapsed="false">
      <c r="A2568" s="22" t="n">
        <v>71</v>
      </c>
      <c r="B2568" s="23" t="n">
        <v>45964</v>
      </c>
      <c r="C2568" s="22" t="s">
        <v>206</v>
      </c>
      <c r="D2568" s="24" t="n">
        <v>15</v>
      </c>
    </row>
    <row r="2569" customFormat="false" ht="15" hidden="false" customHeight="false" outlineLevel="0" collapsed="false">
      <c r="A2569" s="22" t="n">
        <v>72</v>
      </c>
      <c r="B2569" s="23" t="n">
        <v>45971</v>
      </c>
      <c r="C2569" s="22" t="s">
        <v>206</v>
      </c>
      <c r="D2569" s="24" t="n">
        <v>14</v>
      </c>
    </row>
    <row r="2570" customFormat="false" ht="15" hidden="false" customHeight="false" outlineLevel="0" collapsed="false">
      <c r="A2570" s="22" t="n">
        <v>73</v>
      </c>
      <c r="B2570" s="23" t="n">
        <v>45978</v>
      </c>
      <c r="C2570" s="22" t="s">
        <v>206</v>
      </c>
      <c r="D2570" s="24" t="n">
        <v>15</v>
      </c>
    </row>
    <row r="2571" customFormat="false" ht="15" hidden="false" customHeight="false" outlineLevel="0" collapsed="false">
      <c r="A2571" s="22" t="n">
        <v>74</v>
      </c>
      <c r="B2571" s="23" t="n">
        <v>45985</v>
      </c>
      <c r="C2571" s="22" t="s">
        <v>206</v>
      </c>
      <c r="D2571" s="24" t="n">
        <v>19</v>
      </c>
    </row>
    <row r="2572" customFormat="false" ht="15" hidden="false" customHeight="false" outlineLevel="0" collapsed="false">
      <c r="A2572" s="22" t="n">
        <v>75</v>
      </c>
      <c r="B2572" s="23" t="n">
        <v>45992</v>
      </c>
      <c r="C2572" s="22" t="s">
        <v>206</v>
      </c>
      <c r="D2572" s="24" t="n">
        <v>13</v>
      </c>
    </row>
    <row r="2573" customFormat="false" ht="15" hidden="false" customHeight="false" outlineLevel="0" collapsed="false">
      <c r="A2573" s="22" t="n">
        <v>76</v>
      </c>
      <c r="B2573" s="23" t="n">
        <v>45999</v>
      </c>
      <c r="C2573" s="22" t="s">
        <v>206</v>
      </c>
      <c r="D2573" s="24" t="n">
        <v>19</v>
      </c>
    </row>
    <row r="2574" customFormat="false" ht="15" hidden="false" customHeight="false" outlineLevel="0" collapsed="false">
      <c r="A2574" s="22" t="n">
        <v>77</v>
      </c>
      <c r="B2574" s="23" t="n">
        <v>46006</v>
      </c>
      <c r="C2574" s="22" t="s">
        <v>206</v>
      </c>
      <c r="D2574" s="24" t="n">
        <v>13</v>
      </c>
    </row>
    <row r="2575" customFormat="false" ht="15" hidden="false" customHeight="false" outlineLevel="0" collapsed="false">
      <c r="A2575" s="22" t="n">
        <v>78</v>
      </c>
      <c r="B2575" s="23" t="n">
        <v>46013</v>
      </c>
      <c r="C2575" s="22" t="s">
        <v>206</v>
      </c>
      <c r="D2575" s="24" t="n">
        <v>14</v>
      </c>
    </row>
    <row r="2576" customFormat="false" ht="15" hidden="false" customHeight="false" outlineLevel="0" collapsed="false">
      <c r="A2576" s="22" t="n">
        <v>79</v>
      </c>
      <c r="B2576" s="23" t="n">
        <v>46020</v>
      </c>
      <c r="C2576" s="22" t="s">
        <v>206</v>
      </c>
      <c r="D2576" s="24" t="n">
        <v>16</v>
      </c>
    </row>
    <row r="2577" customFormat="false" ht="15" hidden="false" customHeight="false" outlineLevel="0" collapsed="false">
      <c r="A2577" s="22" t="n">
        <v>80</v>
      </c>
      <c r="B2577" s="23" t="n">
        <v>46027</v>
      </c>
      <c r="C2577" s="22" t="s">
        <v>206</v>
      </c>
      <c r="D2577" s="24" t="n">
        <v>16</v>
      </c>
    </row>
    <row r="2578" customFormat="false" ht="15" hidden="false" customHeight="false" outlineLevel="0" collapsed="false">
      <c r="A2578" s="22" t="n">
        <v>81</v>
      </c>
      <c r="B2578" s="23" t="n">
        <v>46034</v>
      </c>
      <c r="C2578" s="22" t="s">
        <v>206</v>
      </c>
      <c r="D2578" s="24" t="n">
        <v>15</v>
      </c>
    </row>
    <row r="2579" customFormat="false" ht="15" hidden="false" customHeight="false" outlineLevel="0" collapsed="false">
      <c r="A2579" s="22" t="n">
        <v>82</v>
      </c>
      <c r="B2579" s="23" t="n">
        <v>46041</v>
      </c>
      <c r="C2579" s="22" t="s">
        <v>206</v>
      </c>
      <c r="D2579" s="24" t="n">
        <v>11</v>
      </c>
    </row>
    <row r="2580" customFormat="false" ht="15" hidden="false" customHeight="false" outlineLevel="0" collapsed="false">
      <c r="A2580" s="22" t="n">
        <v>83</v>
      </c>
      <c r="B2580" s="23" t="n">
        <v>46048</v>
      </c>
      <c r="C2580" s="22" t="s">
        <v>206</v>
      </c>
      <c r="D2580" s="24" t="n">
        <v>15</v>
      </c>
    </row>
    <row r="2581" customFormat="false" ht="15" hidden="false" customHeight="false" outlineLevel="0" collapsed="false">
      <c r="A2581" s="22" t="n">
        <v>84</v>
      </c>
      <c r="B2581" s="23" t="n">
        <v>46055</v>
      </c>
      <c r="C2581" s="22" t="s">
        <v>206</v>
      </c>
      <c r="D2581" s="24" t="n">
        <v>12</v>
      </c>
    </row>
    <row r="2582" customFormat="false" ht="15" hidden="false" customHeight="false" outlineLevel="0" collapsed="false">
      <c r="A2582" s="22" t="n">
        <v>85</v>
      </c>
      <c r="B2582" s="23" t="n">
        <v>46062</v>
      </c>
      <c r="C2582" s="22" t="s">
        <v>206</v>
      </c>
      <c r="D2582" s="24" t="n">
        <v>19</v>
      </c>
    </row>
    <row r="2583" customFormat="false" ht="15" hidden="false" customHeight="false" outlineLevel="0" collapsed="false">
      <c r="A2583" s="22" t="n">
        <v>86</v>
      </c>
      <c r="B2583" s="23" t="n">
        <v>46069</v>
      </c>
      <c r="C2583" s="22" t="s">
        <v>206</v>
      </c>
      <c r="D2583" s="24" t="n">
        <v>13</v>
      </c>
    </row>
    <row r="2584" customFormat="false" ht="15" hidden="false" customHeight="false" outlineLevel="0" collapsed="false">
      <c r="A2584" s="22" t="n">
        <v>87</v>
      </c>
      <c r="B2584" s="23" t="n">
        <v>46076</v>
      </c>
      <c r="C2584" s="22" t="s">
        <v>206</v>
      </c>
      <c r="D2584" s="24" t="n">
        <v>14</v>
      </c>
    </row>
    <row r="2585" customFormat="false" ht="15" hidden="false" customHeight="false" outlineLevel="0" collapsed="false">
      <c r="A2585" s="22" t="n">
        <v>88</v>
      </c>
      <c r="B2585" s="23" t="n">
        <v>46083</v>
      </c>
      <c r="C2585" s="22" t="s">
        <v>206</v>
      </c>
      <c r="D2585" s="24" t="n">
        <v>11</v>
      </c>
    </row>
    <row r="2586" customFormat="false" ht="15" hidden="false" customHeight="false" outlineLevel="0" collapsed="false">
      <c r="A2586" s="22" t="n">
        <v>89</v>
      </c>
      <c r="B2586" s="23" t="n">
        <v>46090</v>
      </c>
      <c r="C2586" s="22" t="s">
        <v>206</v>
      </c>
      <c r="D2586" s="24" t="n">
        <v>13</v>
      </c>
    </row>
    <row r="2587" customFormat="false" ht="15" hidden="false" customHeight="false" outlineLevel="0" collapsed="false">
      <c r="A2587" s="22" t="n">
        <v>90</v>
      </c>
      <c r="B2587" s="23" t="n">
        <v>46097</v>
      </c>
      <c r="C2587" s="22" t="s">
        <v>206</v>
      </c>
      <c r="D2587" s="24" t="n">
        <v>11</v>
      </c>
    </row>
    <row r="2588" customFormat="false" ht="15" hidden="false" customHeight="false" outlineLevel="0" collapsed="false">
      <c r="A2588" s="22" t="n">
        <v>91</v>
      </c>
      <c r="B2588" s="23" t="n">
        <v>46104</v>
      </c>
      <c r="C2588" s="22" t="s">
        <v>206</v>
      </c>
      <c r="D2588" s="24" t="n">
        <v>15</v>
      </c>
    </row>
    <row r="2589" customFormat="false" ht="15" hidden="false" customHeight="false" outlineLevel="0" collapsed="false">
      <c r="A2589" s="22" t="n">
        <v>92</v>
      </c>
      <c r="B2589" s="23" t="n">
        <v>46111</v>
      </c>
      <c r="C2589" s="22" t="s">
        <v>206</v>
      </c>
      <c r="D2589" s="24" t="n">
        <v>13</v>
      </c>
    </row>
    <row r="2590" customFormat="false" ht="15" hidden="false" customHeight="false" outlineLevel="0" collapsed="false">
      <c r="A2590" s="22" t="n">
        <v>93</v>
      </c>
      <c r="B2590" s="23" t="n">
        <v>46118</v>
      </c>
      <c r="C2590" s="22" t="s">
        <v>206</v>
      </c>
      <c r="D2590" s="24" t="n">
        <v>14</v>
      </c>
    </row>
    <row r="2591" customFormat="false" ht="15" hidden="false" customHeight="false" outlineLevel="0" collapsed="false">
      <c r="A2591" s="22" t="n">
        <v>94</v>
      </c>
      <c r="B2591" s="23" t="n">
        <v>46125</v>
      </c>
      <c r="C2591" s="22" t="s">
        <v>206</v>
      </c>
      <c r="D2591" s="24" t="n">
        <v>12</v>
      </c>
    </row>
    <row r="2592" customFormat="false" ht="15" hidden="false" customHeight="false" outlineLevel="0" collapsed="false">
      <c r="A2592" s="22" t="n">
        <v>95</v>
      </c>
      <c r="B2592" s="23" t="n">
        <v>46132</v>
      </c>
      <c r="C2592" s="22" t="s">
        <v>206</v>
      </c>
      <c r="D2592" s="24" t="n">
        <v>12</v>
      </c>
    </row>
    <row r="2593" customFormat="false" ht="15" hidden="false" customHeight="false" outlineLevel="0" collapsed="false">
      <c r="A2593" s="22" t="n">
        <v>96</v>
      </c>
      <c r="B2593" s="23" t="n">
        <v>46139</v>
      </c>
      <c r="C2593" s="22" t="s">
        <v>206</v>
      </c>
      <c r="D2593" s="24" t="n">
        <v>15</v>
      </c>
    </row>
    <row r="2594" customFormat="false" ht="15" hidden="false" customHeight="false" outlineLevel="0" collapsed="false">
      <c r="A2594" s="22" t="n">
        <v>97</v>
      </c>
      <c r="B2594" s="23" t="n">
        <v>46146</v>
      </c>
      <c r="C2594" s="22" t="s">
        <v>206</v>
      </c>
      <c r="D2594" s="24" t="n">
        <v>11</v>
      </c>
    </row>
    <row r="2595" customFormat="false" ht="15" hidden="false" customHeight="false" outlineLevel="0" collapsed="false">
      <c r="A2595" s="22" t="n">
        <v>98</v>
      </c>
      <c r="B2595" s="23" t="n">
        <v>46153</v>
      </c>
      <c r="C2595" s="22" t="s">
        <v>206</v>
      </c>
      <c r="D2595" s="24" t="n">
        <v>9</v>
      </c>
    </row>
    <row r="2596" customFormat="false" ht="15" hidden="false" customHeight="false" outlineLevel="0" collapsed="false">
      <c r="A2596" s="22" t="n">
        <v>99</v>
      </c>
      <c r="B2596" s="23" t="n">
        <v>46160</v>
      </c>
      <c r="C2596" s="22" t="s">
        <v>206</v>
      </c>
      <c r="D2596" s="24" t="n">
        <v>13</v>
      </c>
    </row>
    <row r="2597" customFormat="false" ht="15" hidden="false" customHeight="false" outlineLevel="0" collapsed="false">
      <c r="A2597" s="22" t="n">
        <v>100</v>
      </c>
      <c r="B2597" s="23" t="n">
        <v>46167</v>
      </c>
      <c r="C2597" s="22" t="s">
        <v>206</v>
      </c>
      <c r="D2597" s="24" t="n">
        <v>10</v>
      </c>
    </row>
    <row r="2598" customFormat="false" ht="15" hidden="false" customHeight="false" outlineLevel="0" collapsed="false">
      <c r="A2598" s="22" t="n">
        <v>101</v>
      </c>
      <c r="B2598" s="23" t="n">
        <v>46174</v>
      </c>
      <c r="C2598" s="22" t="s">
        <v>206</v>
      </c>
      <c r="D2598" s="24" t="n">
        <v>11</v>
      </c>
    </row>
    <row r="2599" customFormat="false" ht="15" hidden="false" customHeight="false" outlineLevel="0" collapsed="false">
      <c r="A2599" s="22" t="n">
        <v>102</v>
      </c>
      <c r="B2599" s="23" t="n">
        <v>46181</v>
      </c>
      <c r="C2599" s="22" t="s">
        <v>206</v>
      </c>
      <c r="D2599" s="24" t="n">
        <v>13</v>
      </c>
    </row>
    <row r="2600" customFormat="false" ht="15" hidden="false" customHeight="false" outlineLevel="0" collapsed="false">
      <c r="A2600" s="22" t="n">
        <v>103</v>
      </c>
      <c r="B2600" s="23" t="n">
        <v>46188</v>
      </c>
      <c r="C2600" s="22" t="s">
        <v>206</v>
      </c>
      <c r="D2600" s="24" t="n">
        <v>10</v>
      </c>
    </row>
    <row r="2601" customFormat="false" ht="15" hidden="false" customHeight="false" outlineLevel="0" collapsed="false">
      <c r="A2601" s="22" t="n">
        <v>104</v>
      </c>
      <c r="B2601" s="23" t="n">
        <v>46195</v>
      </c>
      <c r="C2601" s="22" t="s">
        <v>206</v>
      </c>
      <c r="D2601" s="24" t="n">
        <v>13</v>
      </c>
    </row>
    <row r="2602" customFormat="false" ht="15" hidden="false" customHeight="false" outlineLevel="0" collapsed="false">
      <c r="A2602" s="22" t="n">
        <v>1</v>
      </c>
      <c r="B2602" s="23" t="n">
        <v>45474</v>
      </c>
      <c r="C2602" s="22" t="s">
        <v>208</v>
      </c>
      <c r="D2602" s="24" t="n">
        <v>36</v>
      </c>
    </row>
    <row r="2603" customFormat="false" ht="15" hidden="false" customHeight="false" outlineLevel="0" collapsed="false">
      <c r="A2603" s="22" t="n">
        <v>2</v>
      </c>
      <c r="B2603" s="23" t="n">
        <v>45481</v>
      </c>
      <c r="C2603" s="22" t="s">
        <v>208</v>
      </c>
      <c r="D2603" s="24" t="n">
        <v>35</v>
      </c>
    </row>
    <row r="2604" customFormat="false" ht="15" hidden="false" customHeight="false" outlineLevel="0" collapsed="false">
      <c r="A2604" s="22" t="n">
        <v>3</v>
      </c>
      <c r="B2604" s="23" t="n">
        <v>45488</v>
      </c>
      <c r="C2604" s="22" t="s">
        <v>208</v>
      </c>
      <c r="D2604" s="24" t="n">
        <v>28</v>
      </c>
    </row>
    <row r="2605" customFormat="false" ht="15" hidden="false" customHeight="false" outlineLevel="0" collapsed="false">
      <c r="A2605" s="22" t="n">
        <v>4</v>
      </c>
      <c r="B2605" s="23" t="n">
        <v>45495</v>
      </c>
      <c r="C2605" s="22" t="s">
        <v>208</v>
      </c>
      <c r="D2605" s="24" t="n">
        <v>29</v>
      </c>
    </row>
    <row r="2606" customFormat="false" ht="15" hidden="false" customHeight="false" outlineLevel="0" collapsed="false">
      <c r="A2606" s="22" t="n">
        <v>5</v>
      </c>
      <c r="B2606" s="23" t="n">
        <v>45502</v>
      </c>
      <c r="C2606" s="22" t="s">
        <v>208</v>
      </c>
      <c r="D2606" s="24" t="n">
        <v>27</v>
      </c>
    </row>
    <row r="2607" customFormat="false" ht="15" hidden="false" customHeight="false" outlineLevel="0" collapsed="false">
      <c r="A2607" s="22" t="n">
        <v>6</v>
      </c>
      <c r="B2607" s="23" t="n">
        <v>45509</v>
      </c>
      <c r="C2607" s="22" t="s">
        <v>208</v>
      </c>
      <c r="D2607" s="24" t="n">
        <v>31</v>
      </c>
    </row>
    <row r="2608" customFormat="false" ht="15" hidden="false" customHeight="false" outlineLevel="0" collapsed="false">
      <c r="A2608" s="22" t="n">
        <v>7</v>
      </c>
      <c r="B2608" s="23" t="n">
        <v>45516</v>
      </c>
      <c r="C2608" s="22" t="s">
        <v>208</v>
      </c>
      <c r="D2608" s="24" t="n">
        <v>35</v>
      </c>
    </row>
    <row r="2609" customFormat="false" ht="15" hidden="false" customHeight="false" outlineLevel="0" collapsed="false">
      <c r="A2609" s="22" t="n">
        <v>8</v>
      </c>
      <c r="B2609" s="23" t="n">
        <v>45523</v>
      </c>
      <c r="C2609" s="22" t="s">
        <v>208</v>
      </c>
      <c r="D2609" s="24" t="n">
        <v>24</v>
      </c>
    </row>
    <row r="2610" customFormat="false" ht="15" hidden="false" customHeight="false" outlineLevel="0" collapsed="false">
      <c r="A2610" s="22" t="n">
        <v>9</v>
      </c>
      <c r="B2610" s="23" t="n">
        <v>45530</v>
      </c>
      <c r="C2610" s="22" t="s">
        <v>208</v>
      </c>
      <c r="D2610" s="24" t="n">
        <v>34</v>
      </c>
    </row>
    <row r="2611" customFormat="false" ht="15" hidden="false" customHeight="false" outlineLevel="0" collapsed="false">
      <c r="A2611" s="22" t="n">
        <v>10</v>
      </c>
      <c r="B2611" s="23" t="n">
        <v>45537</v>
      </c>
      <c r="C2611" s="22" t="s">
        <v>208</v>
      </c>
      <c r="D2611" s="24" t="n">
        <v>25</v>
      </c>
    </row>
    <row r="2612" customFormat="false" ht="15" hidden="false" customHeight="false" outlineLevel="0" collapsed="false">
      <c r="A2612" s="22" t="n">
        <v>11</v>
      </c>
      <c r="B2612" s="23" t="n">
        <v>45544</v>
      </c>
      <c r="C2612" s="22" t="s">
        <v>208</v>
      </c>
      <c r="D2612" s="24" t="n">
        <v>27</v>
      </c>
    </row>
    <row r="2613" customFormat="false" ht="15" hidden="false" customHeight="false" outlineLevel="0" collapsed="false">
      <c r="A2613" s="22" t="n">
        <v>12</v>
      </c>
      <c r="B2613" s="23" t="n">
        <v>45551</v>
      </c>
      <c r="C2613" s="22" t="s">
        <v>208</v>
      </c>
      <c r="D2613" s="24" t="n">
        <v>23</v>
      </c>
    </row>
    <row r="2614" customFormat="false" ht="15" hidden="false" customHeight="false" outlineLevel="0" collapsed="false">
      <c r="A2614" s="22" t="n">
        <v>13</v>
      </c>
      <c r="B2614" s="23" t="n">
        <v>45558</v>
      </c>
      <c r="C2614" s="22" t="s">
        <v>208</v>
      </c>
      <c r="D2614" s="24" t="n">
        <v>39</v>
      </c>
    </row>
    <row r="2615" customFormat="false" ht="15" hidden="false" customHeight="false" outlineLevel="0" collapsed="false">
      <c r="A2615" s="22" t="n">
        <v>14</v>
      </c>
      <c r="B2615" s="23" t="n">
        <v>45565</v>
      </c>
      <c r="C2615" s="22" t="s">
        <v>208</v>
      </c>
      <c r="D2615" s="24" t="n">
        <v>30</v>
      </c>
    </row>
    <row r="2616" customFormat="false" ht="15" hidden="false" customHeight="false" outlineLevel="0" collapsed="false">
      <c r="A2616" s="22" t="n">
        <v>15</v>
      </c>
      <c r="B2616" s="23" t="n">
        <v>45572</v>
      </c>
      <c r="C2616" s="22" t="s">
        <v>208</v>
      </c>
      <c r="D2616" s="24" t="n">
        <v>31</v>
      </c>
    </row>
    <row r="2617" customFormat="false" ht="15" hidden="false" customHeight="false" outlineLevel="0" collapsed="false">
      <c r="A2617" s="22" t="n">
        <v>16</v>
      </c>
      <c r="B2617" s="23" t="n">
        <v>45579</v>
      </c>
      <c r="C2617" s="22" t="s">
        <v>208</v>
      </c>
      <c r="D2617" s="24" t="n">
        <v>27</v>
      </c>
    </row>
    <row r="2618" customFormat="false" ht="15" hidden="false" customHeight="false" outlineLevel="0" collapsed="false">
      <c r="A2618" s="22" t="n">
        <v>17</v>
      </c>
      <c r="B2618" s="23" t="n">
        <v>45586</v>
      </c>
      <c r="C2618" s="22" t="s">
        <v>208</v>
      </c>
      <c r="D2618" s="24" t="n">
        <v>34</v>
      </c>
    </row>
    <row r="2619" customFormat="false" ht="15" hidden="false" customHeight="false" outlineLevel="0" collapsed="false">
      <c r="A2619" s="22" t="n">
        <v>18</v>
      </c>
      <c r="B2619" s="23" t="n">
        <v>45593</v>
      </c>
      <c r="C2619" s="22" t="s">
        <v>208</v>
      </c>
      <c r="D2619" s="24" t="n">
        <v>22</v>
      </c>
    </row>
    <row r="2620" customFormat="false" ht="15" hidden="false" customHeight="false" outlineLevel="0" collapsed="false">
      <c r="A2620" s="22" t="n">
        <v>19</v>
      </c>
      <c r="B2620" s="23" t="n">
        <v>45600</v>
      </c>
      <c r="C2620" s="22" t="s">
        <v>208</v>
      </c>
      <c r="D2620" s="24" t="n">
        <v>30</v>
      </c>
    </row>
    <row r="2621" customFormat="false" ht="15" hidden="false" customHeight="false" outlineLevel="0" collapsed="false">
      <c r="A2621" s="22" t="n">
        <v>20</v>
      </c>
      <c r="B2621" s="23" t="n">
        <v>45607</v>
      </c>
      <c r="C2621" s="22" t="s">
        <v>208</v>
      </c>
      <c r="D2621" s="24" t="n">
        <v>39</v>
      </c>
    </row>
    <row r="2622" customFormat="false" ht="15" hidden="false" customHeight="false" outlineLevel="0" collapsed="false">
      <c r="A2622" s="22" t="n">
        <v>21</v>
      </c>
      <c r="B2622" s="23" t="n">
        <v>45614</v>
      </c>
      <c r="C2622" s="22" t="s">
        <v>208</v>
      </c>
      <c r="D2622" s="24" t="n">
        <v>28</v>
      </c>
    </row>
    <row r="2623" customFormat="false" ht="15" hidden="false" customHeight="false" outlineLevel="0" collapsed="false">
      <c r="A2623" s="22" t="n">
        <v>22</v>
      </c>
      <c r="B2623" s="23" t="n">
        <v>45621</v>
      </c>
      <c r="C2623" s="22" t="s">
        <v>208</v>
      </c>
      <c r="D2623" s="24" t="n">
        <v>30</v>
      </c>
    </row>
    <row r="2624" customFormat="false" ht="15" hidden="false" customHeight="false" outlineLevel="0" collapsed="false">
      <c r="A2624" s="22" t="n">
        <v>23</v>
      </c>
      <c r="B2624" s="23" t="n">
        <v>45628</v>
      </c>
      <c r="C2624" s="22" t="s">
        <v>208</v>
      </c>
      <c r="D2624" s="24" t="n">
        <v>33</v>
      </c>
    </row>
    <row r="2625" customFormat="false" ht="15" hidden="false" customHeight="false" outlineLevel="0" collapsed="false">
      <c r="A2625" s="22" t="n">
        <v>24</v>
      </c>
      <c r="B2625" s="23" t="n">
        <v>45635</v>
      </c>
      <c r="C2625" s="22" t="s">
        <v>208</v>
      </c>
      <c r="D2625" s="24" t="n">
        <v>27</v>
      </c>
    </row>
    <row r="2626" customFormat="false" ht="15" hidden="false" customHeight="false" outlineLevel="0" collapsed="false">
      <c r="A2626" s="22" t="n">
        <v>25</v>
      </c>
      <c r="B2626" s="23" t="n">
        <v>45642</v>
      </c>
      <c r="C2626" s="22" t="s">
        <v>208</v>
      </c>
      <c r="D2626" s="24" t="n">
        <v>30</v>
      </c>
    </row>
    <row r="2627" customFormat="false" ht="15" hidden="false" customHeight="false" outlineLevel="0" collapsed="false">
      <c r="A2627" s="22" t="n">
        <v>26</v>
      </c>
      <c r="B2627" s="23" t="n">
        <v>45649</v>
      </c>
      <c r="C2627" s="22" t="s">
        <v>208</v>
      </c>
      <c r="D2627" s="24" t="n">
        <v>34</v>
      </c>
    </row>
    <row r="2628" customFormat="false" ht="15" hidden="false" customHeight="false" outlineLevel="0" collapsed="false">
      <c r="A2628" s="22" t="n">
        <v>27</v>
      </c>
      <c r="B2628" s="23" t="n">
        <v>45656</v>
      </c>
      <c r="C2628" s="22" t="s">
        <v>208</v>
      </c>
      <c r="D2628" s="24" t="n">
        <v>31</v>
      </c>
    </row>
    <row r="2629" customFormat="false" ht="15" hidden="false" customHeight="false" outlineLevel="0" collapsed="false">
      <c r="A2629" s="22" t="n">
        <v>28</v>
      </c>
      <c r="B2629" s="23" t="n">
        <v>45663</v>
      </c>
      <c r="C2629" s="22" t="s">
        <v>208</v>
      </c>
      <c r="D2629" s="24" t="n">
        <v>31</v>
      </c>
    </row>
    <row r="2630" customFormat="false" ht="15" hidden="false" customHeight="false" outlineLevel="0" collapsed="false">
      <c r="A2630" s="22" t="n">
        <v>29</v>
      </c>
      <c r="B2630" s="23" t="n">
        <v>45670</v>
      </c>
      <c r="C2630" s="22" t="s">
        <v>208</v>
      </c>
      <c r="D2630" s="24" t="n">
        <v>29</v>
      </c>
    </row>
    <row r="2631" customFormat="false" ht="15" hidden="false" customHeight="false" outlineLevel="0" collapsed="false">
      <c r="A2631" s="22" t="n">
        <v>30</v>
      </c>
      <c r="B2631" s="23" t="n">
        <v>45677</v>
      </c>
      <c r="C2631" s="22" t="s">
        <v>208</v>
      </c>
      <c r="D2631" s="24" t="n">
        <v>31</v>
      </c>
    </row>
    <row r="2632" customFormat="false" ht="15" hidden="false" customHeight="false" outlineLevel="0" collapsed="false">
      <c r="A2632" s="22" t="n">
        <v>31</v>
      </c>
      <c r="B2632" s="23" t="n">
        <v>45684</v>
      </c>
      <c r="C2632" s="22" t="s">
        <v>208</v>
      </c>
      <c r="D2632" s="24" t="n">
        <v>30</v>
      </c>
    </row>
    <row r="2633" customFormat="false" ht="15" hidden="false" customHeight="false" outlineLevel="0" collapsed="false">
      <c r="A2633" s="22" t="n">
        <v>32</v>
      </c>
      <c r="B2633" s="23" t="n">
        <v>45691</v>
      </c>
      <c r="C2633" s="22" t="s">
        <v>208</v>
      </c>
      <c r="D2633" s="24" t="n">
        <v>36</v>
      </c>
    </row>
    <row r="2634" customFormat="false" ht="15" hidden="false" customHeight="false" outlineLevel="0" collapsed="false">
      <c r="A2634" s="22" t="n">
        <v>33</v>
      </c>
      <c r="B2634" s="23" t="n">
        <v>45698</v>
      </c>
      <c r="C2634" s="22" t="s">
        <v>208</v>
      </c>
      <c r="D2634" s="24" t="n">
        <v>33</v>
      </c>
    </row>
    <row r="2635" customFormat="false" ht="15" hidden="false" customHeight="false" outlineLevel="0" collapsed="false">
      <c r="A2635" s="22" t="n">
        <v>34</v>
      </c>
      <c r="B2635" s="23" t="n">
        <v>45705</v>
      </c>
      <c r="C2635" s="22" t="s">
        <v>208</v>
      </c>
      <c r="D2635" s="24" t="n">
        <v>29</v>
      </c>
    </row>
    <row r="2636" customFormat="false" ht="15" hidden="false" customHeight="false" outlineLevel="0" collapsed="false">
      <c r="A2636" s="22" t="n">
        <v>35</v>
      </c>
      <c r="B2636" s="23" t="n">
        <v>45712</v>
      </c>
      <c r="C2636" s="22" t="s">
        <v>208</v>
      </c>
      <c r="D2636" s="24" t="n">
        <v>20</v>
      </c>
    </row>
    <row r="2637" customFormat="false" ht="15" hidden="false" customHeight="false" outlineLevel="0" collapsed="false">
      <c r="A2637" s="22" t="n">
        <v>36</v>
      </c>
      <c r="B2637" s="23" t="n">
        <v>45719</v>
      </c>
      <c r="C2637" s="22" t="s">
        <v>208</v>
      </c>
      <c r="D2637" s="24" t="n">
        <v>33</v>
      </c>
    </row>
    <row r="2638" customFormat="false" ht="15" hidden="false" customHeight="false" outlineLevel="0" collapsed="false">
      <c r="A2638" s="22" t="n">
        <v>37</v>
      </c>
      <c r="B2638" s="23" t="n">
        <v>45726</v>
      </c>
      <c r="C2638" s="22" t="s">
        <v>208</v>
      </c>
      <c r="D2638" s="24" t="n">
        <v>33</v>
      </c>
    </row>
    <row r="2639" customFormat="false" ht="15" hidden="false" customHeight="false" outlineLevel="0" collapsed="false">
      <c r="A2639" s="22" t="n">
        <v>38</v>
      </c>
      <c r="B2639" s="23" t="n">
        <v>45733</v>
      </c>
      <c r="C2639" s="22" t="s">
        <v>208</v>
      </c>
      <c r="D2639" s="24" t="n">
        <v>26</v>
      </c>
    </row>
    <row r="2640" customFormat="false" ht="15" hidden="false" customHeight="false" outlineLevel="0" collapsed="false">
      <c r="A2640" s="22" t="n">
        <v>39</v>
      </c>
      <c r="B2640" s="23" t="n">
        <v>45740</v>
      </c>
      <c r="C2640" s="22" t="s">
        <v>208</v>
      </c>
      <c r="D2640" s="24" t="n">
        <v>22</v>
      </c>
    </row>
    <row r="2641" customFormat="false" ht="15" hidden="false" customHeight="false" outlineLevel="0" collapsed="false">
      <c r="A2641" s="22" t="n">
        <v>40</v>
      </c>
      <c r="B2641" s="23" t="n">
        <v>45747</v>
      </c>
      <c r="C2641" s="22" t="s">
        <v>208</v>
      </c>
      <c r="D2641" s="24" t="n">
        <v>25</v>
      </c>
    </row>
    <row r="2642" customFormat="false" ht="15" hidden="false" customHeight="false" outlineLevel="0" collapsed="false">
      <c r="A2642" s="22" t="n">
        <v>41</v>
      </c>
      <c r="B2642" s="23" t="n">
        <v>45754</v>
      </c>
      <c r="C2642" s="22" t="s">
        <v>208</v>
      </c>
      <c r="D2642" s="24" t="n">
        <v>34</v>
      </c>
    </row>
    <row r="2643" customFormat="false" ht="15" hidden="false" customHeight="false" outlineLevel="0" collapsed="false">
      <c r="A2643" s="22" t="n">
        <v>42</v>
      </c>
      <c r="B2643" s="23" t="n">
        <v>45761</v>
      </c>
      <c r="C2643" s="22" t="s">
        <v>208</v>
      </c>
      <c r="D2643" s="24" t="n">
        <v>26</v>
      </c>
    </row>
    <row r="2644" customFormat="false" ht="15" hidden="false" customHeight="false" outlineLevel="0" collapsed="false">
      <c r="A2644" s="22" t="n">
        <v>43</v>
      </c>
      <c r="B2644" s="23" t="n">
        <v>45768</v>
      </c>
      <c r="C2644" s="22" t="s">
        <v>208</v>
      </c>
      <c r="D2644" s="24" t="n">
        <v>28</v>
      </c>
    </row>
    <row r="2645" customFormat="false" ht="15" hidden="false" customHeight="false" outlineLevel="0" collapsed="false">
      <c r="A2645" s="22" t="n">
        <v>44</v>
      </c>
      <c r="B2645" s="23" t="n">
        <v>45775</v>
      </c>
      <c r="C2645" s="22" t="s">
        <v>208</v>
      </c>
      <c r="D2645" s="24" t="n">
        <v>31</v>
      </c>
    </row>
    <row r="2646" customFormat="false" ht="15" hidden="false" customHeight="false" outlineLevel="0" collapsed="false">
      <c r="A2646" s="22" t="n">
        <v>45</v>
      </c>
      <c r="B2646" s="23" t="n">
        <v>45782</v>
      </c>
      <c r="C2646" s="22" t="s">
        <v>208</v>
      </c>
      <c r="D2646" s="24" t="n">
        <v>35</v>
      </c>
    </row>
    <row r="2647" customFormat="false" ht="15" hidden="false" customHeight="false" outlineLevel="0" collapsed="false">
      <c r="A2647" s="22" t="n">
        <v>46</v>
      </c>
      <c r="B2647" s="23" t="n">
        <v>45789</v>
      </c>
      <c r="C2647" s="22" t="s">
        <v>208</v>
      </c>
      <c r="D2647" s="24" t="n">
        <v>30</v>
      </c>
    </row>
    <row r="2648" customFormat="false" ht="15" hidden="false" customHeight="false" outlineLevel="0" collapsed="false">
      <c r="A2648" s="22" t="n">
        <v>47</v>
      </c>
      <c r="B2648" s="23" t="n">
        <v>45796</v>
      </c>
      <c r="C2648" s="22" t="s">
        <v>208</v>
      </c>
      <c r="D2648" s="24" t="n">
        <v>30</v>
      </c>
    </row>
    <row r="2649" customFormat="false" ht="15" hidden="false" customHeight="false" outlineLevel="0" collapsed="false">
      <c r="A2649" s="22" t="n">
        <v>48</v>
      </c>
      <c r="B2649" s="23" t="n">
        <v>45803</v>
      </c>
      <c r="C2649" s="22" t="s">
        <v>208</v>
      </c>
      <c r="D2649" s="24" t="n">
        <v>28</v>
      </c>
    </row>
    <row r="2650" customFormat="false" ht="15" hidden="false" customHeight="false" outlineLevel="0" collapsed="false">
      <c r="A2650" s="22" t="n">
        <v>49</v>
      </c>
      <c r="B2650" s="23" t="n">
        <v>45810</v>
      </c>
      <c r="C2650" s="22" t="s">
        <v>208</v>
      </c>
      <c r="D2650" s="24" t="n">
        <v>37</v>
      </c>
    </row>
    <row r="2651" customFormat="false" ht="15" hidden="false" customHeight="false" outlineLevel="0" collapsed="false">
      <c r="A2651" s="22" t="n">
        <v>50</v>
      </c>
      <c r="B2651" s="23" t="n">
        <v>45817</v>
      </c>
      <c r="C2651" s="22" t="s">
        <v>208</v>
      </c>
      <c r="D2651" s="24" t="n">
        <v>34</v>
      </c>
    </row>
    <row r="2652" customFormat="false" ht="15" hidden="false" customHeight="false" outlineLevel="0" collapsed="false">
      <c r="A2652" s="22" t="n">
        <v>51</v>
      </c>
      <c r="B2652" s="23" t="n">
        <v>45824</v>
      </c>
      <c r="C2652" s="22" t="s">
        <v>208</v>
      </c>
      <c r="D2652" s="24" t="n">
        <v>30</v>
      </c>
    </row>
    <row r="2653" customFormat="false" ht="15" hidden="false" customHeight="false" outlineLevel="0" collapsed="false">
      <c r="A2653" s="22" t="n">
        <v>52</v>
      </c>
      <c r="B2653" s="23" t="n">
        <v>45831</v>
      </c>
      <c r="C2653" s="22" t="s">
        <v>208</v>
      </c>
      <c r="D2653" s="24" t="n">
        <v>24</v>
      </c>
    </row>
    <row r="2654" customFormat="false" ht="15" hidden="false" customHeight="false" outlineLevel="0" collapsed="false">
      <c r="A2654" s="22" t="n">
        <v>53</v>
      </c>
      <c r="B2654" s="23" t="n">
        <v>45838</v>
      </c>
      <c r="C2654" s="22" t="s">
        <v>208</v>
      </c>
      <c r="D2654" s="24" t="n">
        <v>27</v>
      </c>
    </row>
    <row r="2655" customFormat="false" ht="15" hidden="false" customHeight="false" outlineLevel="0" collapsed="false">
      <c r="A2655" s="22" t="n">
        <v>54</v>
      </c>
      <c r="B2655" s="23" t="n">
        <v>45845</v>
      </c>
      <c r="C2655" s="22" t="s">
        <v>208</v>
      </c>
      <c r="D2655" s="24" t="n">
        <v>32</v>
      </c>
    </row>
    <row r="2656" customFormat="false" ht="15" hidden="false" customHeight="false" outlineLevel="0" collapsed="false">
      <c r="A2656" s="22" t="n">
        <v>55</v>
      </c>
      <c r="B2656" s="23" t="n">
        <v>45852</v>
      </c>
      <c r="C2656" s="22" t="s">
        <v>208</v>
      </c>
      <c r="D2656" s="24" t="n">
        <v>27</v>
      </c>
    </row>
    <row r="2657" customFormat="false" ht="15" hidden="false" customHeight="false" outlineLevel="0" collapsed="false">
      <c r="A2657" s="22" t="n">
        <v>56</v>
      </c>
      <c r="B2657" s="23" t="n">
        <v>45859</v>
      </c>
      <c r="C2657" s="22" t="s">
        <v>208</v>
      </c>
      <c r="D2657" s="24" t="n">
        <v>34</v>
      </c>
    </row>
    <row r="2658" customFormat="false" ht="15" hidden="false" customHeight="false" outlineLevel="0" collapsed="false">
      <c r="A2658" s="22" t="n">
        <v>57</v>
      </c>
      <c r="B2658" s="23" t="n">
        <v>45866</v>
      </c>
      <c r="C2658" s="22" t="s">
        <v>208</v>
      </c>
      <c r="D2658" s="24" t="n">
        <v>31</v>
      </c>
    </row>
    <row r="2659" customFormat="false" ht="15" hidden="false" customHeight="false" outlineLevel="0" collapsed="false">
      <c r="A2659" s="22" t="n">
        <v>58</v>
      </c>
      <c r="B2659" s="23" t="n">
        <v>45873</v>
      </c>
      <c r="C2659" s="22" t="s">
        <v>208</v>
      </c>
      <c r="D2659" s="24" t="n">
        <v>31</v>
      </c>
    </row>
    <row r="2660" customFormat="false" ht="15" hidden="false" customHeight="false" outlineLevel="0" collapsed="false">
      <c r="A2660" s="22" t="n">
        <v>59</v>
      </c>
      <c r="B2660" s="23" t="n">
        <v>45880</v>
      </c>
      <c r="C2660" s="22" t="s">
        <v>208</v>
      </c>
      <c r="D2660" s="24" t="n">
        <v>33</v>
      </c>
    </row>
    <row r="2661" customFormat="false" ht="15" hidden="false" customHeight="false" outlineLevel="0" collapsed="false">
      <c r="A2661" s="22" t="n">
        <v>60</v>
      </c>
      <c r="B2661" s="23" t="n">
        <v>45887</v>
      </c>
      <c r="C2661" s="22" t="s">
        <v>208</v>
      </c>
      <c r="D2661" s="24" t="n">
        <v>32</v>
      </c>
    </row>
    <row r="2662" customFormat="false" ht="15" hidden="false" customHeight="false" outlineLevel="0" collapsed="false">
      <c r="A2662" s="22" t="n">
        <v>61</v>
      </c>
      <c r="B2662" s="23" t="n">
        <v>45894</v>
      </c>
      <c r="C2662" s="22" t="s">
        <v>208</v>
      </c>
      <c r="D2662" s="24" t="n">
        <v>27</v>
      </c>
    </row>
    <row r="2663" customFormat="false" ht="15" hidden="false" customHeight="false" outlineLevel="0" collapsed="false">
      <c r="A2663" s="22" t="n">
        <v>62</v>
      </c>
      <c r="B2663" s="23" t="n">
        <v>45901</v>
      </c>
      <c r="C2663" s="22" t="s">
        <v>208</v>
      </c>
      <c r="D2663" s="24" t="n">
        <v>29</v>
      </c>
    </row>
    <row r="2664" customFormat="false" ht="15" hidden="false" customHeight="false" outlineLevel="0" collapsed="false">
      <c r="A2664" s="22" t="n">
        <v>63</v>
      </c>
      <c r="B2664" s="23" t="n">
        <v>45908</v>
      </c>
      <c r="C2664" s="22" t="s">
        <v>208</v>
      </c>
      <c r="D2664" s="24" t="n">
        <v>39</v>
      </c>
    </row>
    <row r="2665" customFormat="false" ht="15" hidden="false" customHeight="false" outlineLevel="0" collapsed="false">
      <c r="A2665" s="22" t="n">
        <v>64</v>
      </c>
      <c r="B2665" s="23" t="n">
        <v>45915</v>
      </c>
      <c r="C2665" s="22" t="s">
        <v>208</v>
      </c>
      <c r="D2665" s="24" t="n">
        <v>25</v>
      </c>
    </row>
    <row r="2666" customFormat="false" ht="15" hidden="false" customHeight="false" outlineLevel="0" collapsed="false">
      <c r="A2666" s="22" t="n">
        <v>65</v>
      </c>
      <c r="B2666" s="23" t="n">
        <v>45922</v>
      </c>
      <c r="C2666" s="22" t="s">
        <v>208</v>
      </c>
      <c r="D2666" s="24" t="n">
        <v>28</v>
      </c>
    </row>
    <row r="2667" customFormat="false" ht="15" hidden="false" customHeight="false" outlineLevel="0" collapsed="false">
      <c r="A2667" s="22" t="n">
        <v>66</v>
      </c>
      <c r="B2667" s="23" t="n">
        <v>45929</v>
      </c>
      <c r="C2667" s="22" t="s">
        <v>208</v>
      </c>
      <c r="D2667" s="24" t="n">
        <v>34</v>
      </c>
    </row>
    <row r="2668" customFormat="false" ht="15" hidden="false" customHeight="false" outlineLevel="0" collapsed="false">
      <c r="A2668" s="22" t="n">
        <v>67</v>
      </c>
      <c r="B2668" s="23" t="n">
        <v>45936</v>
      </c>
      <c r="C2668" s="22" t="s">
        <v>208</v>
      </c>
      <c r="D2668" s="24" t="n">
        <v>29</v>
      </c>
    </row>
    <row r="2669" customFormat="false" ht="15" hidden="false" customHeight="false" outlineLevel="0" collapsed="false">
      <c r="A2669" s="22" t="n">
        <v>68</v>
      </c>
      <c r="B2669" s="23" t="n">
        <v>45943</v>
      </c>
      <c r="C2669" s="22" t="s">
        <v>208</v>
      </c>
      <c r="D2669" s="24" t="n">
        <v>27</v>
      </c>
    </row>
    <row r="2670" customFormat="false" ht="15" hidden="false" customHeight="false" outlineLevel="0" collapsed="false">
      <c r="A2670" s="22" t="n">
        <v>69</v>
      </c>
      <c r="B2670" s="23" t="n">
        <v>45950</v>
      </c>
      <c r="C2670" s="22" t="s">
        <v>208</v>
      </c>
      <c r="D2670" s="24" t="n">
        <v>25</v>
      </c>
    </row>
    <row r="2671" customFormat="false" ht="15" hidden="false" customHeight="false" outlineLevel="0" collapsed="false">
      <c r="A2671" s="22" t="n">
        <v>70</v>
      </c>
      <c r="B2671" s="23" t="n">
        <v>45957</v>
      </c>
      <c r="C2671" s="22" t="s">
        <v>208</v>
      </c>
      <c r="D2671" s="24" t="n">
        <v>32</v>
      </c>
    </row>
    <row r="2672" customFormat="false" ht="15" hidden="false" customHeight="false" outlineLevel="0" collapsed="false">
      <c r="A2672" s="22" t="n">
        <v>71</v>
      </c>
      <c r="B2672" s="23" t="n">
        <v>45964</v>
      </c>
      <c r="C2672" s="22" t="s">
        <v>208</v>
      </c>
      <c r="D2672" s="24" t="n">
        <v>34</v>
      </c>
    </row>
    <row r="2673" customFormat="false" ht="15" hidden="false" customHeight="false" outlineLevel="0" collapsed="false">
      <c r="A2673" s="22" t="n">
        <v>72</v>
      </c>
      <c r="B2673" s="23" t="n">
        <v>45971</v>
      </c>
      <c r="C2673" s="22" t="s">
        <v>208</v>
      </c>
      <c r="D2673" s="24" t="n">
        <v>36</v>
      </c>
    </row>
    <row r="2674" customFormat="false" ht="15" hidden="false" customHeight="false" outlineLevel="0" collapsed="false">
      <c r="A2674" s="22" t="n">
        <v>73</v>
      </c>
      <c r="B2674" s="23" t="n">
        <v>45978</v>
      </c>
      <c r="C2674" s="22" t="s">
        <v>208</v>
      </c>
      <c r="D2674" s="24" t="n">
        <v>30</v>
      </c>
    </row>
    <row r="2675" customFormat="false" ht="15" hidden="false" customHeight="false" outlineLevel="0" collapsed="false">
      <c r="A2675" s="22" t="n">
        <v>74</v>
      </c>
      <c r="B2675" s="23" t="n">
        <v>45985</v>
      </c>
      <c r="C2675" s="22" t="s">
        <v>208</v>
      </c>
      <c r="D2675" s="24" t="n">
        <v>34</v>
      </c>
    </row>
    <row r="2676" customFormat="false" ht="15" hidden="false" customHeight="false" outlineLevel="0" collapsed="false">
      <c r="A2676" s="22" t="n">
        <v>75</v>
      </c>
      <c r="B2676" s="23" t="n">
        <v>45992</v>
      </c>
      <c r="C2676" s="22" t="s">
        <v>208</v>
      </c>
      <c r="D2676" s="24" t="n">
        <v>26</v>
      </c>
    </row>
    <row r="2677" customFormat="false" ht="15" hidden="false" customHeight="false" outlineLevel="0" collapsed="false">
      <c r="A2677" s="22" t="n">
        <v>76</v>
      </c>
      <c r="B2677" s="23" t="n">
        <v>45999</v>
      </c>
      <c r="C2677" s="22" t="s">
        <v>208</v>
      </c>
      <c r="D2677" s="24" t="n">
        <v>31</v>
      </c>
    </row>
    <row r="2678" customFormat="false" ht="15" hidden="false" customHeight="false" outlineLevel="0" collapsed="false">
      <c r="A2678" s="22" t="n">
        <v>77</v>
      </c>
      <c r="B2678" s="23" t="n">
        <v>46006</v>
      </c>
      <c r="C2678" s="22" t="s">
        <v>208</v>
      </c>
      <c r="D2678" s="24" t="n">
        <v>27</v>
      </c>
    </row>
    <row r="2679" customFormat="false" ht="15" hidden="false" customHeight="false" outlineLevel="0" collapsed="false">
      <c r="A2679" s="22" t="n">
        <v>78</v>
      </c>
      <c r="B2679" s="23" t="n">
        <v>46013</v>
      </c>
      <c r="C2679" s="22" t="s">
        <v>208</v>
      </c>
      <c r="D2679" s="24" t="n">
        <v>31</v>
      </c>
    </row>
    <row r="2680" customFormat="false" ht="15" hidden="false" customHeight="false" outlineLevel="0" collapsed="false">
      <c r="A2680" s="22" t="n">
        <v>79</v>
      </c>
      <c r="B2680" s="23" t="n">
        <v>46020</v>
      </c>
      <c r="C2680" s="22" t="s">
        <v>208</v>
      </c>
      <c r="D2680" s="24" t="n">
        <v>33</v>
      </c>
    </row>
    <row r="2681" customFormat="false" ht="15" hidden="false" customHeight="false" outlineLevel="0" collapsed="false">
      <c r="A2681" s="22" t="n">
        <v>80</v>
      </c>
      <c r="B2681" s="23" t="n">
        <v>46027</v>
      </c>
      <c r="C2681" s="22" t="s">
        <v>208</v>
      </c>
      <c r="D2681" s="24" t="n">
        <v>34</v>
      </c>
    </row>
    <row r="2682" customFormat="false" ht="15" hidden="false" customHeight="false" outlineLevel="0" collapsed="false">
      <c r="A2682" s="22" t="n">
        <v>81</v>
      </c>
      <c r="B2682" s="23" t="n">
        <v>46034</v>
      </c>
      <c r="C2682" s="22" t="s">
        <v>208</v>
      </c>
      <c r="D2682" s="24" t="n">
        <v>26</v>
      </c>
    </row>
    <row r="2683" customFormat="false" ht="15" hidden="false" customHeight="false" outlineLevel="0" collapsed="false">
      <c r="A2683" s="22" t="n">
        <v>82</v>
      </c>
      <c r="B2683" s="23" t="n">
        <v>46041</v>
      </c>
      <c r="C2683" s="22" t="s">
        <v>208</v>
      </c>
      <c r="D2683" s="24" t="n">
        <v>35</v>
      </c>
    </row>
    <row r="2684" customFormat="false" ht="15" hidden="false" customHeight="false" outlineLevel="0" collapsed="false">
      <c r="A2684" s="22" t="n">
        <v>83</v>
      </c>
      <c r="B2684" s="23" t="n">
        <v>46048</v>
      </c>
      <c r="C2684" s="22" t="s">
        <v>208</v>
      </c>
      <c r="D2684" s="24" t="n">
        <v>28</v>
      </c>
    </row>
    <row r="2685" customFormat="false" ht="15" hidden="false" customHeight="false" outlineLevel="0" collapsed="false">
      <c r="A2685" s="22" t="n">
        <v>84</v>
      </c>
      <c r="B2685" s="23" t="n">
        <v>46055</v>
      </c>
      <c r="C2685" s="22" t="s">
        <v>208</v>
      </c>
      <c r="D2685" s="24" t="n">
        <v>26</v>
      </c>
    </row>
    <row r="2686" customFormat="false" ht="15" hidden="false" customHeight="false" outlineLevel="0" collapsed="false">
      <c r="A2686" s="22" t="n">
        <v>85</v>
      </c>
      <c r="B2686" s="23" t="n">
        <v>46062</v>
      </c>
      <c r="C2686" s="22" t="s">
        <v>208</v>
      </c>
      <c r="D2686" s="24" t="n">
        <v>29</v>
      </c>
    </row>
    <row r="2687" customFormat="false" ht="15" hidden="false" customHeight="false" outlineLevel="0" collapsed="false">
      <c r="A2687" s="22" t="n">
        <v>86</v>
      </c>
      <c r="B2687" s="23" t="n">
        <v>46069</v>
      </c>
      <c r="C2687" s="22" t="s">
        <v>208</v>
      </c>
      <c r="D2687" s="24" t="n">
        <v>24</v>
      </c>
    </row>
    <row r="2688" customFormat="false" ht="15" hidden="false" customHeight="false" outlineLevel="0" collapsed="false">
      <c r="A2688" s="22" t="n">
        <v>87</v>
      </c>
      <c r="B2688" s="23" t="n">
        <v>46076</v>
      </c>
      <c r="C2688" s="22" t="s">
        <v>208</v>
      </c>
      <c r="D2688" s="24" t="n">
        <v>30</v>
      </c>
    </row>
    <row r="2689" customFormat="false" ht="15" hidden="false" customHeight="false" outlineLevel="0" collapsed="false">
      <c r="A2689" s="22" t="n">
        <v>88</v>
      </c>
      <c r="B2689" s="23" t="n">
        <v>46083</v>
      </c>
      <c r="C2689" s="22" t="s">
        <v>208</v>
      </c>
      <c r="D2689" s="24" t="n">
        <v>31</v>
      </c>
    </row>
    <row r="2690" customFormat="false" ht="15" hidden="false" customHeight="false" outlineLevel="0" collapsed="false">
      <c r="A2690" s="22" t="n">
        <v>89</v>
      </c>
      <c r="B2690" s="23" t="n">
        <v>46090</v>
      </c>
      <c r="C2690" s="22" t="s">
        <v>208</v>
      </c>
      <c r="D2690" s="24" t="n">
        <v>29</v>
      </c>
    </row>
    <row r="2691" customFormat="false" ht="15" hidden="false" customHeight="false" outlineLevel="0" collapsed="false">
      <c r="A2691" s="22" t="n">
        <v>90</v>
      </c>
      <c r="B2691" s="23" t="n">
        <v>46097</v>
      </c>
      <c r="C2691" s="22" t="s">
        <v>208</v>
      </c>
      <c r="D2691" s="24" t="n">
        <v>32</v>
      </c>
    </row>
    <row r="2692" customFormat="false" ht="15" hidden="false" customHeight="false" outlineLevel="0" collapsed="false">
      <c r="A2692" s="22" t="n">
        <v>91</v>
      </c>
      <c r="B2692" s="23" t="n">
        <v>46104</v>
      </c>
      <c r="C2692" s="22" t="s">
        <v>208</v>
      </c>
      <c r="D2692" s="24" t="n">
        <v>29</v>
      </c>
    </row>
    <row r="2693" customFormat="false" ht="15" hidden="false" customHeight="false" outlineLevel="0" collapsed="false">
      <c r="A2693" s="22" t="n">
        <v>92</v>
      </c>
      <c r="B2693" s="23" t="n">
        <v>46111</v>
      </c>
      <c r="C2693" s="22" t="s">
        <v>208</v>
      </c>
      <c r="D2693" s="24" t="n">
        <v>30</v>
      </c>
    </row>
    <row r="2694" customFormat="false" ht="15" hidden="false" customHeight="false" outlineLevel="0" collapsed="false">
      <c r="A2694" s="22" t="n">
        <v>93</v>
      </c>
      <c r="B2694" s="23" t="n">
        <v>46118</v>
      </c>
      <c r="C2694" s="22" t="s">
        <v>208</v>
      </c>
      <c r="D2694" s="24" t="n">
        <v>24</v>
      </c>
    </row>
    <row r="2695" customFormat="false" ht="15" hidden="false" customHeight="false" outlineLevel="0" collapsed="false">
      <c r="A2695" s="22" t="n">
        <v>94</v>
      </c>
      <c r="B2695" s="23" t="n">
        <v>46125</v>
      </c>
      <c r="C2695" s="22" t="s">
        <v>208</v>
      </c>
      <c r="D2695" s="24" t="n">
        <v>30</v>
      </c>
    </row>
    <row r="2696" customFormat="false" ht="15" hidden="false" customHeight="false" outlineLevel="0" collapsed="false">
      <c r="A2696" s="22" t="n">
        <v>95</v>
      </c>
      <c r="B2696" s="23" t="n">
        <v>46132</v>
      </c>
      <c r="C2696" s="22" t="s">
        <v>208</v>
      </c>
      <c r="D2696" s="24" t="n">
        <v>27</v>
      </c>
    </row>
    <row r="2697" customFormat="false" ht="15" hidden="false" customHeight="false" outlineLevel="0" collapsed="false">
      <c r="A2697" s="22" t="n">
        <v>96</v>
      </c>
      <c r="B2697" s="23" t="n">
        <v>46139</v>
      </c>
      <c r="C2697" s="22" t="s">
        <v>208</v>
      </c>
      <c r="D2697" s="24" t="n">
        <v>28</v>
      </c>
    </row>
    <row r="2698" customFormat="false" ht="15" hidden="false" customHeight="false" outlineLevel="0" collapsed="false">
      <c r="A2698" s="22" t="n">
        <v>97</v>
      </c>
      <c r="B2698" s="23" t="n">
        <v>46146</v>
      </c>
      <c r="C2698" s="22" t="s">
        <v>208</v>
      </c>
      <c r="D2698" s="24" t="n">
        <v>30</v>
      </c>
    </row>
    <row r="2699" customFormat="false" ht="15" hidden="false" customHeight="false" outlineLevel="0" collapsed="false">
      <c r="A2699" s="22" t="n">
        <v>98</v>
      </c>
      <c r="B2699" s="23" t="n">
        <v>46153</v>
      </c>
      <c r="C2699" s="22" t="s">
        <v>208</v>
      </c>
      <c r="D2699" s="24" t="n">
        <v>31</v>
      </c>
    </row>
    <row r="2700" customFormat="false" ht="15" hidden="false" customHeight="false" outlineLevel="0" collapsed="false">
      <c r="A2700" s="22" t="n">
        <v>99</v>
      </c>
      <c r="B2700" s="23" t="n">
        <v>46160</v>
      </c>
      <c r="C2700" s="22" t="s">
        <v>208</v>
      </c>
      <c r="D2700" s="24" t="n">
        <v>23</v>
      </c>
    </row>
    <row r="2701" customFormat="false" ht="15" hidden="false" customHeight="false" outlineLevel="0" collapsed="false">
      <c r="A2701" s="22" t="n">
        <v>100</v>
      </c>
      <c r="B2701" s="23" t="n">
        <v>46167</v>
      </c>
      <c r="C2701" s="22" t="s">
        <v>208</v>
      </c>
      <c r="D2701" s="24" t="n">
        <v>24</v>
      </c>
    </row>
    <row r="2702" customFormat="false" ht="15" hidden="false" customHeight="false" outlineLevel="0" collapsed="false">
      <c r="A2702" s="22" t="n">
        <v>101</v>
      </c>
      <c r="B2702" s="23" t="n">
        <v>46174</v>
      </c>
      <c r="C2702" s="22" t="s">
        <v>208</v>
      </c>
      <c r="D2702" s="24" t="n">
        <v>29</v>
      </c>
    </row>
    <row r="2703" customFormat="false" ht="15" hidden="false" customHeight="false" outlineLevel="0" collapsed="false">
      <c r="A2703" s="22" t="n">
        <v>102</v>
      </c>
      <c r="B2703" s="23" t="n">
        <v>46181</v>
      </c>
      <c r="C2703" s="22" t="s">
        <v>208</v>
      </c>
      <c r="D2703" s="24" t="n">
        <v>32</v>
      </c>
    </row>
    <row r="2704" customFormat="false" ht="15" hidden="false" customHeight="false" outlineLevel="0" collapsed="false">
      <c r="A2704" s="22" t="n">
        <v>103</v>
      </c>
      <c r="B2704" s="23" t="n">
        <v>46188</v>
      </c>
      <c r="C2704" s="22" t="s">
        <v>208</v>
      </c>
      <c r="D2704" s="24" t="n">
        <v>31</v>
      </c>
    </row>
    <row r="2705" customFormat="false" ht="15" hidden="false" customHeight="false" outlineLevel="0" collapsed="false">
      <c r="A2705" s="22" t="n">
        <v>104</v>
      </c>
      <c r="B2705" s="23" t="n">
        <v>46195</v>
      </c>
      <c r="C2705" s="22" t="s">
        <v>208</v>
      </c>
      <c r="D2705" s="24" t="n">
        <v>34</v>
      </c>
    </row>
    <row r="2706" customFormat="false" ht="15" hidden="false" customHeight="false" outlineLevel="0" collapsed="false">
      <c r="A2706" s="22" t="n">
        <v>1</v>
      </c>
      <c r="B2706" s="23" t="n">
        <v>45474</v>
      </c>
      <c r="C2706" s="22" t="s">
        <v>210</v>
      </c>
      <c r="D2706" s="24" t="n">
        <v>29</v>
      </c>
    </row>
    <row r="2707" customFormat="false" ht="15" hidden="false" customHeight="false" outlineLevel="0" collapsed="false">
      <c r="A2707" s="22" t="n">
        <v>2</v>
      </c>
      <c r="B2707" s="23" t="n">
        <v>45481</v>
      </c>
      <c r="C2707" s="22" t="s">
        <v>210</v>
      </c>
      <c r="D2707" s="24" t="n">
        <v>25</v>
      </c>
    </row>
    <row r="2708" customFormat="false" ht="15" hidden="false" customHeight="false" outlineLevel="0" collapsed="false">
      <c r="A2708" s="22" t="n">
        <v>3</v>
      </c>
      <c r="B2708" s="23" t="n">
        <v>45488</v>
      </c>
      <c r="C2708" s="22" t="s">
        <v>210</v>
      </c>
      <c r="D2708" s="24" t="n">
        <v>17</v>
      </c>
    </row>
    <row r="2709" customFormat="false" ht="15" hidden="false" customHeight="false" outlineLevel="0" collapsed="false">
      <c r="A2709" s="22" t="n">
        <v>4</v>
      </c>
      <c r="B2709" s="23" t="n">
        <v>45495</v>
      </c>
      <c r="C2709" s="22" t="s">
        <v>210</v>
      </c>
      <c r="D2709" s="24" t="n">
        <v>18</v>
      </c>
    </row>
    <row r="2710" customFormat="false" ht="15" hidden="false" customHeight="false" outlineLevel="0" collapsed="false">
      <c r="A2710" s="22" t="n">
        <v>5</v>
      </c>
      <c r="B2710" s="23" t="n">
        <v>45502</v>
      </c>
      <c r="C2710" s="22" t="s">
        <v>210</v>
      </c>
      <c r="D2710" s="24" t="n">
        <v>22</v>
      </c>
    </row>
    <row r="2711" customFormat="false" ht="15" hidden="false" customHeight="false" outlineLevel="0" collapsed="false">
      <c r="A2711" s="22" t="n">
        <v>6</v>
      </c>
      <c r="B2711" s="23" t="n">
        <v>45509</v>
      </c>
      <c r="C2711" s="22" t="s">
        <v>210</v>
      </c>
      <c r="D2711" s="24" t="n">
        <v>27</v>
      </c>
    </row>
    <row r="2712" customFormat="false" ht="15" hidden="false" customHeight="false" outlineLevel="0" collapsed="false">
      <c r="A2712" s="22" t="n">
        <v>7</v>
      </c>
      <c r="B2712" s="23" t="n">
        <v>45516</v>
      </c>
      <c r="C2712" s="22" t="s">
        <v>210</v>
      </c>
      <c r="D2712" s="24" t="n">
        <v>27</v>
      </c>
    </row>
    <row r="2713" customFormat="false" ht="15" hidden="false" customHeight="false" outlineLevel="0" collapsed="false">
      <c r="A2713" s="22" t="n">
        <v>8</v>
      </c>
      <c r="B2713" s="23" t="n">
        <v>45523</v>
      </c>
      <c r="C2713" s="22" t="s">
        <v>210</v>
      </c>
      <c r="D2713" s="24" t="n">
        <v>25</v>
      </c>
    </row>
    <row r="2714" customFormat="false" ht="15" hidden="false" customHeight="false" outlineLevel="0" collapsed="false">
      <c r="A2714" s="22" t="n">
        <v>9</v>
      </c>
      <c r="B2714" s="23" t="n">
        <v>45530</v>
      </c>
      <c r="C2714" s="22" t="s">
        <v>210</v>
      </c>
      <c r="D2714" s="24" t="n">
        <v>24</v>
      </c>
    </row>
    <row r="2715" customFormat="false" ht="15" hidden="false" customHeight="false" outlineLevel="0" collapsed="false">
      <c r="A2715" s="22" t="n">
        <v>10</v>
      </c>
      <c r="B2715" s="23" t="n">
        <v>45537</v>
      </c>
      <c r="C2715" s="22" t="s">
        <v>210</v>
      </c>
      <c r="D2715" s="24" t="n">
        <v>30</v>
      </c>
    </row>
    <row r="2716" customFormat="false" ht="15" hidden="false" customHeight="false" outlineLevel="0" collapsed="false">
      <c r="A2716" s="22" t="n">
        <v>11</v>
      </c>
      <c r="B2716" s="23" t="n">
        <v>45544</v>
      </c>
      <c r="C2716" s="22" t="s">
        <v>210</v>
      </c>
      <c r="D2716" s="24" t="n">
        <v>27</v>
      </c>
    </row>
    <row r="2717" customFormat="false" ht="15" hidden="false" customHeight="false" outlineLevel="0" collapsed="false">
      <c r="A2717" s="22" t="n">
        <v>12</v>
      </c>
      <c r="B2717" s="23" t="n">
        <v>45551</v>
      </c>
      <c r="C2717" s="22" t="s">
        <v>210</v>
      </c>
      <c r="D2717" s="24" t="n">
        <v>27</v>
      </c>
    </row>
    <row r="2718" customFormat="false" ht="15" hidden="false" customHeight="false" outlineLevel="0" collapsed="false">
      <c r="A2718" s="22" t="n">
        <v>13</v>
      </c>
      <c r="B2718" s="23" t="n">
        <v>45558</v>
      </c>
      <c r="C2718" s="22" t="s">
        <v>210</v>
      </c>
      <c r="D2718" s="24" t="n">
        <v>27</v>
      </c>
    </row>
    <row r="2719" customFormat="false" ht="15" hidden="false" customHeight="false" outlineLevel="0" collapsed="false">
      <c r="A2719" s="22" t="n">
        <v>14</v>
      </c>
      <c r="B2719" s="23" t="n">
        <v>45565</v>
      </c>
      <c r="C2719" s="22" t="s">
        <v>210</v>
      </c>
      <c r="D2719" s="24" t="n">
        <v>21</v>
      </c>
    </row>
    <row r="2720" customFormat="false" ht="15" hidden="false" customHeight="false" outlineLevel="0" collapsed="false">
      <c r="A2720" s="22" t="n">
        <v>15</v>
      </c>
      <c r="B2720" s="23" t="n">
        <v>45572</v>
      </c>
      <c r="C2720" s="22" t="s">
        <v>210</v>
      </c>
      <c r="D2720" s="24" t="n">
        <v>17</v>
      </c>
    </row>
    <row r="2721" customFormat="false" ht="15" hidden="false" customHeight="false" outlineLevel="0" collapsed="false">
      <c r="A2721" s="22" t="n">
        <v>16</v>
      </c>
      <c r="B2721" s="23" t="n">
        <v>45579</v>
      </c>
      <c r="C2721" s="22" t="s">
        <v>210</v>
      </c>
      <c r="D2721" s="24" t="n">
        <v>29</v>
      </c>
    </row>
    <row r="2722" customFormat="false" ht="15" hidden="false" customHeight="false" outlineLevel="0" collapsed="false">
      <c r="A2722" s="22" t="n">
        <v>17</v>
      </c>
      <c r="B2722" s="23" t="n">
        <v>45586</v>
      </c>
      <c r="C2722" s="22" t="s">
        <v>210</v>
      </c>
      <c r="D2722" s="24" t="n">
        <v>28</v>
      </c>
    </row>
    <row r="2723" customFormat="false" ht="15" hidden="false" customHeight="false" outlineLevel="0" collapsed="false">
      <c r="A2723" s="22" t="n">
        <v>18</v>
      </c>
      <c r="B2723" s="23" t="n">
        <v>45593</v>
      </c>
      <c r="C2723" s="22" t="s">
        <v>210</v>
      </c>
      <c r="D2723" s="24" t="n">
        <v>23</v>
      </c>
    </row>
    <row r="2724" customFormat="false" ht="15" hidden="false" customHeight="false" outlineLevel="0" collapsed="false">
      <c r="A2724" s="22" t="n">
        <v>19</v>
      </c>
      <c r="B2724" s="23" t="n">
        <v>45600</v>
      </c>
      <c r="C2724" s="22" t="s">
        <v>210</v>
      </c>
      <c r="D2724" s="24" t="n">
        <v>22</v>
      </c>
    </row>
    <row r="2725" customFormat="false" ht="15" hidden="false" customHeight="false" outlineLevel="0" collapsed="false">
      <c r="A2725" s="22" t="n">
        <v>20</v>
      </c>
      <c r="B2725" s="23" t="n">
        <v>45607</v>
      </c>
      <c r="C2725" s="22" t="s">
        <v>210</v>
      </c>
      <c r="D2725" s="24" t="n">
        <v>42</v>
      </c>
    </row>
    <row r="2726" customFormat="false" ht="15" hidden="false" customHeight="false" outlineLevel="0" collapsed="false">
      <c r="A2726" s="22" t="n">
        <v>21</v>
      </c>
      <c r="B2726" s="23" t="n">
        <v>45614</v>
      </c>
      <c r="C2726" s="22" t="s">
        <v>210</v>
      </c>
      <c r="D2726" s="24" t="n">
        <v>19</v>
      </c>
    </row>
    <row r="2727" customFormat="false" ht="15" hidden="false" customHeight="false" outlineLevel="0" collapsed="false">
      <c r="A2727" s="22" t="n">
        <v>22</v>
      </c>
      <c r="B2727" s="23" t="n">
        <v>45621</v>
      </c>
      <c r="C2727" s="22" t="s">
        <v>210</v>
      </c>
      <c r="D2727" s="24" t="n">
        <v>23</v>
      </c>
    </row>
    <row r="2728" customFormat="false" ht="15" hidden="false" customHeight="false" outlineLevel="0" collapsed="false">
      <c r="A2728" s="22" t="n">
        <v>23</v>
      </c>
      <c r="B2728" s="23" t="n">
        <v>45628</v>
      </c>
      <c r="C2728" s="22" t="s">
        <v>210</v>
      </c>
      <c r="D2728" s="24" t="n">
        <v>27</v>
      </c>
    </row>
    <row r="2729" customFormat="false" ht="15" hidden="false" customHeight="false" outlineLevel="0" collapsed="false">
      <c r="A2729" s="22" t="n">
        <v>24</v>
      </c>
      <c r="B2729" s="23" t="n">
        <v>45635</v>
      </c>
      <c r="C2729" s="22" t="s">
        <v>210</v>
      </c>
      <c r="D2729" s="24" t="n">
        <v>17</v>
      </c>
    </row>
    <row r="2730" customFormat="false" ht="15" hidden="false" customHeight="false" outlineLevel="0" collapsed="false">
      <c r="A2730" s="22" t="n">
        <v>25</v>
      </c>
      <c r="B2730" s="23" t="n">
        <v>45642</v>
      </c>
      <c r="C2730" s="22" t="s">
        <v>210</v>
      </c>
      <c r="D2730" s="24" t="n">
        <v>26</v>
      </c>
    </row>
    <row r="2731" customFormat="false" ht="15" hidden="false" customHeight="false" outlineLevel="0" collapsed="false">
      <c r="A2731" s="22" t="n">
        <v>26</v>
      </c>
      <c r="B2731" s="23" t="n">
        <v>45649</v>
      </c>
      <c r="C2731" s="22" t="s">
        <v>210</v>
      </c>
      <c r="D2731" s="24" t="n">
        <v>38</v>
      </c>
    </row>
    <row r="2732" customFormat="false" ht="15" hidden="false" customHeight="false" outlineLevel="0" collapsed="false">
      <c r="A2732" s="22" t="n">
        <v>27</v>
      </c>
      <c r="B2732" s="23" t="n">
        <v>45656</v>
      </c>
      <c r="C2732" s="22" t="s">
        <v>210</v>
      </c>
      <c r="D2732" s="24" t="n">
        <v>32</v>
      </c>
    </row>
    <row r="2733" customFormat="false" ht="15" hidden="false" customHeight="false" outlineLevel="0" collapsed="false">
      <c r="A2733" s="22" t="n">
        <v>28</v>
      </c>
      <c r="B2733" s="23" t="n">
        <v>45663</v>
      </c>
      <c r="C2733" s="22" t="s">
        <v>210</v>
      </c>
      <c r="D2733" s="24" t="n">
        <v>30</v>
      </c>
    </row>
    <row r="2734" customFormat="false" ht="15" hidden="false" customHeight="false" outlineLevel="0" collapsed="false">
      <c r="A2734" s="22" t="n">
        <v>29</v>
      </c>
      <c r="B2734" s="23" t="n">
        <v>45670</v>
      </c>
      <c r="C2734" s="22" t="s">
        <v>210</v>
      </c>
      <c r="D2734" s="24" t="n">
        <v>29</v>
      </c>
    </row>
    <row r="2735" customFormat="false" ht="15" hidden="false" customHeight="false" outlineLevel="0" collapsed="false">
      <c r="A2735" s="22" t="n">
        <v>30</v>
      </c>
      <c r="B2735" s="23" t="n">
        <v>45677</v>
      </c>
      <c r="C2735" s="22" t="s">
        <v>210</v>
      </c>
      <c r="D2735" s="24" t="n">
        <v>26</v>
      </c>
    </row>
    <row r="2736" customFormat="false" ht="15" hidden="false" customHeight="false" outlineLevel="0" collapsed="false">
      <c r="A2736" s="22" t="n">
        <v>31</v>
      </c>
      <c r="B2736" s="23" t="n">
        <v>45684</v>
      </c>
      <c r="C2736" s="22" t="s">
        <v>210</v>
      </c>
      <c r="D2736" s="24" t="n">
        <v>32</v>
      </c>
    </row>
    <row r="2737" customFormat="false" ht="15" hidden="false" customHeight="false" outlineLevel="0" collapsed="false">
      <c r="A2737" s="22" t="n">
        <v>32</v>
      </c>
      <c r="B2737" s="23" t="n">
        <v>45691</v>
      </c>
      <c r="C2737" s="22" t="s">
        <v>210</v>
      </c>
      <c r="D2737" s="24" t="n">
        <v>24</v>
      </c>
    </row>
    <row r="2738" customFormat="false" ht="15" hidden="false" customHeight="false" outlineLevel="0" collapsed="false">
      <c r="A2738" s="22" t="n">
        <v>33</v>
      </c>
      <c r="B2738" s="23" t="n">
        <v>45698</v>
      </c>
      <c r="C2738" s="22" t="s">
        <v>210</v>
      </c>
      <c r="D2738" s="24" t="n">
        <v>22</v>
      </c>
    </row>
    <row r="2739" customFormat="false" ht="15" hidden="false" customHeight="false" outlineLevel="0" collapsed="false">
      <c r="A2739" s="22" t="n">
        <v>34</v>
      </c>
      <c r="B2739" s="23" t="n">
        <v>45705</v>
      </c>
      <c r="C2739" s="22" t="s">
        <v>210</v>
      </c>
      <c r="D2739" s="24" t="n">
        <v>26</v>
      </c>
    </row>
    <row r="2740" customFormat="false" ht="15" hidden="false" customHeight="false" outlineLevel="0" collapsed="false">
      <c r="A2740" s="22" t="n">
        <v>35</v>
      </c>
      <c r="B2740" s="23" t="n">
        <v>45712</v>
      </c>
      <c r="C2740" s="22" t="s">
        <v>210</v>
      </c>
      <c r="D2740" s="24" t="n">
        <v>32</v>
      </c>
    </row>
    <row r="2741" customFormat="false" ht="15" hidden="false" customHeight="false" outlineLevel="0" collapsed="false">
      <c r="A2741" s="22" t="n">
        <v>36</v>
      </c>
      <c r="B2741" s="23" t="n">
        <v>45719</v>
      </c>
      <c r="C2741" s="22" t="s">
        <v>210</v>
      </c>
      <c r="D2741" s="24" t="n">
        <v>27</v>
      </c>
    </row>
    <row r="2742" customFormat="false" ht="15" hidden="false" customHeight="false" outlineLevel="0" collapsed="false">
      <c r="A2742" s="22" t="n">
        <v>37</v>
      </c>
      <c r="B2742" s="23" t="n">
        <v>45726</v>
      </c>
      <c r="C2742" s="22" t="s">
        <v>210</v>
      </c>
      <c r="D2742" s="24" t="n">
        <v>30</v>
      </c>
    </row>
    <row r="2743" customFormat="false" ht="15" hidden="false" customHeight="false" outlineLevel="0" collapsed="false">
      <c r="A2743" s="22" t="n">
        <v>38</v>
      </c>
      <c r="B2743" s="23" t="n">
        <v>45733</v>
      </c>
      <c r="C2743" s="22" t="s">
        <v>210</v>
      </c>
      <c r="D2743" s="24" t="n">
        <v>10</v>
      </c>
    </row>
    <row r="2744" customFormat="false" ht="15" hidden="false" customHeight="false" outlineLevel="0" collapsed="false">
      <c r="A2744" s="22" t="n">
        <v>39</v>
      </c>
      <c r="B2744" s="23" t="n">
        <v>45740</v>
      </c>
      <c r="C2744" s="22" t="s">
        <v>210</v>
      </c>
      <c r="D2744" s="24" t="n">
        <v>34</v>
      </c>
    </row>
    <row r="2745" customFormat="false" ht="15" hidden="false" customHeight="false" outlineLevel="0" collapsed="false">
      <c r="A2745" s="22" t="n">
        <v>40</v>
      </c>
      <c r="B2745" s="23" t="n">
        <v>45747</v>
      </c>
      <c r="C2745" s="22" t="s">
        <v>210</v>
      </c>
      <c r="D2745" s="24" t="n">
        <v>42</v>
      </c>
    </row>
    <row r="2746" customFormat="false" ht="15" hidden="false" customHeight="false" outlineLevel="0" collapsed="false">
      <c r="A2746" s="22" t="n">
        <v>41</v>
      </c>
      <c r="B2746" s="23" t="n">
        <v>45754</v>
      </c>
      <c r="C2746" s="22" t="s">
        <v>210</v>
      </c>
      <c r="D2746" s="24" t="n">
        <v>35</v>
      </c>
    </row>
    <row r="2747" customFormat="false" ht="15" hidden="false" customHeight="false" outlineLevel="0" collapsed="false">
      <c r="A2747" s="22" t="n">
        <v>42</v>
      </c>
      <c r="B2747" s="23" t="n">
        <v>45761</v>
      </c>
      <c r="C2747" s="22" t="s">
        <v>210</v>
      </c>
      <c r="D2747" s="24" t="n">
        <v>23</v>
      </c>
    </row>
    <row r="2748" customFormat="false" ht="15" hidden="false" customHeight="false" outlineLevel="0" collapsed="false">
      <c r="A2748" s="22" t="n">
        <v>43</v>
      </c>
      <c r="B2748" s="23" t="n">
        <v>45768</v>
      </c>
      <c r="C2748" s="22" t="s">
        <v>210</v>
      </c>
      <c r="D2748" s="24" t="n">
        <v>19</v>
      </c>
    </row>
    <row r="2749" customFormat="false" ht="15" hidden="false" customHeight="false" outlineLevel="0" collapsed="false">
      <c r="A2749" s="22" t="n">
        <v>44</v>
      </c>
      <c r="B2749" s="23" t="n">
        <v>45775</v>
      </c>
      <c r="C2749" s="22" t="s">
        <v>210</v>
      </c>
      <c r="D2749" s="24" t="n">
        <v>27</v>
      </c>
    </row>
    <row r="2750" customFormat="false" ht="15" hidden="false" customHeight="false" outlineLevel="0" collapsed="false">
      <c r="A2750" s="22" t="n">
        <v>45</v>
      </c>
      <c r="B2750" s="23" t="n">
        <v>45782</v>
      </c>
      <c r="C2750" s="22" t="s">
        <v>210</v>
      </c>
      <c r="D2750" s="24" t="n">
        <v>18</v>
      </c>
    </row>
    <row r="2751" customFormat="false" ht="15" hidden="false" customHeight="false" outlineLevel="0" collapsed="false">
      <c r="A2751" s="22" t="n">
        <v>46</v>
      </c>
      <c r="B2751" s="23" t="n">
        <v>45789</v>
      </c>
      <c r="C2751" s="22" t="s">
        <v>210</v>
      </c>
      <c r="D2751" s="24" t="n">
        <v>30</v>
      </c>
    </row>
    <row r="2752" customFormat="false" ht="15" hidden="false" customHeight="false" outlineLevel="0" collapsed="false">
      <c r="A2752" s="22" t="n">
        <v>47</v>
      </c>
      <c r="B2752" s="23" t="n">
        <v>45796</v>
      </c>
      <c r="C2752" s="22" t="s">
        <v>210</v>
      </c>
      <c r="D2752" s="24" t="n">
        <v>21</v>
      </c>
    </row>
    <row r="2753" customFormat="false" ht="15" hidden="false" customHeight="false" outlineLevel="0" collapsed="false">
      <c r="A2753" s="22" t="n">
        <v>48</v>
      </c>
      <c r="B2753" s="23" t="n">
        <v>45803</v>
      </c>
      <c r="C2753" s="22" t="s">
        <v>210</v>
      </c>
      <c r="D2753" s="24" t="n">
        <v>32</v>
      </c>
    </row>
    <row r="2754" customFormat="false" ht="15" hidden="false" customHeight="false" outlineLevel="0" collapsed="false">
      <c r="A2754" s="22" t="n">
        <v>49</v>
      </c>
      <c r="B2754" s="23" t="n">
        <v>45810</v>
      </c>
      <c r="C2754" s="22" t="s">
        <v>210</v>
      </c>
      <c r="D2754" s="24" t="n">
        <v>35</v>
      </c>
    </row>
    <row r="2755" customFormat="false" ht="15" hidden="false" customHeight="false" outlineLevel="0" collapsed="false">
      <c r="A2755" s="22" t="n">
        <v>50</v>
      </c>
      <c r="B2755" s="23" t="n">
        <v>45817</v>
      </c>
      <c r="C2755" s="22" t="s">
        <v>210</v>
      </c>
      <c r="D2755" s="24" t="n">
        <v>10</v>
      </c>
    </row>
    <row r="2756" customFormat="false" ht="15" hidden="false" customHeight="false" outlineLevel="0" collapsed="false">
      <c r="A2756" s="22" t="n">
        <v>51</v>
      </c>
      <c r="B2756" s="23" t="n">
        <v>45824</v>
      </c>
      <c r="C2756" s="22" t="s">
        <v>210</v>
      </c>
      <c r="D2756" s="24" t="n">
        <v>27</v>
      </c>
    </row>
    <row r="2757" customFormat="false" ht="15" hidden="false" customHeight="false" outlineLevel="0" collapsed="false">
      <c r="A2757" s="22" t="n">
        <v>52</v>
      </c>
      <c r="B2757" s="23" t="n">
        <v>45831</v>
      </c>
      <c r="C2757" s="22" t="s">
        <v>210</v>
      </c>
      <c r="D2757" s="24" t="n">
        <v>20</v>
      </c>
    </row>
    <row r="2758" customFormat="false" ht="15" hidden="false" customHeight="false" outlineLevel="0" collapsed="false">
      <c r="A2758" s="22" t="n">
        <v>53</v>
      </c>
      <c r="B2758" s="23" t="n">
        <v>45838</v>
      </c>
      <c r="C2758" s="22" t="s">
        <v>210</v>
      </c>
      <c r="D2758" s="24" t="n">
        <v>15</v>
      </c>
    </row>
    <row r="2759" customFormat="false" ht="15" hidden="false" customHeight="false" outlineLevel="0" collapsed="false">
      <c r="A2759" s="22" t="n">
        <v>54</v>
      </c>
      <c r="B2759" s="23" t="n">
        <v>45845</v>
      </c>
      <c r="C2759" s="22" t="s">
        <v>210</v>
      </c>
      <c r="D2759" s="24" t="n">
        <v>20</v>
      </c>
    </row>
    <row r="2760" customFormat="false" ht="15" hidden="false" customHeight="false" outlineLevel="0" collapsed="false">
      <c r="A2760" s="22" t="n">
        <v>55</v>
      </c>
      <c r="B2760" s="23" t="n">
        <v>45852</v>
      </c>
      <c r="C2760" s="22" t="s">
        <v>210</v>
      </c>
      <c r="D2760" s="24" t="n">
        <v>23</v>
      </c>
    </row>
    <row r="2761" customFormat="false" ht="15" hidden="false" customHeight="false" outlineLevel="0" collapsed="false">
      <c r="A2761" s="22" t="n">
        <v>56</v>
      </c>
      <c r="B2761" s="23" t="n">
        <v>45859</v>
      </c>
      <c r="C2761" s="22" t="s">
        <v>210</v>
      </c>
      <c r="D2761" s="24" t="n">
        <v>33</v>
      </c>
    </row>
    <row r="2762" customFormat="false" ht="15" hidden="false" customHeight="false" outlineLevel="0" collapsed="false">
      <c r="A2762" s="22" t="n">
        <v>57</v>
      </c>
      <c r="B2762" s="23" t="n">
        <v>45866</v>
      </c>
      <c r="C2762" s="22" t="s">
        <v>210</v>
      </c>
      <c r="D2762" s="24" t="n">
        <v>14</v>
      </c>
    </row>
    <row r="2763" customFormat="false" ht="15" hidden="false" customHeight="false" outlineLevel="0" collapsed="false">
      <c r="A2763" s="22" t="n">
        <v>58</v>
      </c>
      <c r="B2763" s="23" t="n">
        <v>45873</v>
      </c>
      <c r="C2763" s="22" t="s">
        <v>210</v>
      </c>
      <c r="D2763" s="24" t="n">
        <v>33</v>
      </c>
    </row>
    <row r="2764" customFormat="false" ht="15" hidden="false" customHeight="false" outlineLevel="0" collapsed="false">
      <c r="A2764" s="22" t="n">
        <v>59</v>
      </c>
      <c r="B2764" s="23" t="n">
        <v>45880</v>
      </c>
      <c r="C2764" s="22" t="s">
        <v>210</v>
      </c>
      <c r="D2764" s="24" t="n">
        <v>40</v>
      </c>
    </row>
    <row r="2765" customFormat="false" ht="15" hidden="false" customHeight="false" outlineLevel="0" collapsed="false">
      <c r="A2765" s="22" t="n">
        <v>60</v>
      </c>
      <c r="B2765" s="23" t="n">
        <v>45887</v>
      </c>
      <c r="C2765" s="22" t="s">
        <v>210</v>
      </c>
      <c r="D2765" s="24" t="n">
        <v>29</v>
      </c>
    </row>
    <row r="2766" customFormat="false" ht="15" hidden="false" customHeight="false" outlineLevel="0" collapsed="false">
      <c r="A2766" s="22" t="n">
        <v>61</v>
      </c>
      <c r="B2766" s="23" t="n">
        <v>45894</v>
      </c>
      <c r="C2766" s="22" t="s">
        <v>210</v>
      </c>
      <c r="D2766" s="24" t="n">
        <v>29</v>
      </c>
    </row>
    <row r="2767" customFormat="false" ht="15" hidden="false" customHeight="false" outlineLevel="0" collapsed="false">
      <c r="A2767" s="22" t="n">
        <v>62</v>
      </c>
      <c r="B2767" s="23" t="n">
        <v>45901</v>
      </c>
      <c r="C2767" s="22" t="s">
        <v>210</v>
      </c>
      <c r="D2767" s="24" t="n">
        <v>25</v>
      </c>
    </row>
    <row r="2768" customFormat="false" ht="15" hidden="false" customHeight="false" outlineLevel="0" collapsed="false">
      <c r="A2768" s="22" t="n">
        <v>63</v>
      </c>
      <c r="B2768" s="23" t="n">
        <v>45908</v>
      </c>
      <c r="C2768" s="22" t="s">
        <v>210</v>
      </c>
      <c r="D2768" s="24" t="n">
        <v>16</v>
      </c>
    </row>
    <row r="2769" customFormat="false" ht="15" hidden="false" customHeight="false" outlineLevel="0" collapsed="false">
      <c r="A2769" s="22" t="n">
        <v>64</v>
      </c>
      <c r="B2769" s="23" t="n">
        <v>45915</v>
      </c>
      <c r="C2769" s="22" t="s">
        <v>210</v>
      </c>
      <c r="D2769" s="24" t="n">
        <v>29</v>
      </c>
    </row>
    <row r="2770" customFormat="false" ht="15" hidden="false" customHeight="false" outlineLevel="0" collapsed="false">
      <c r="A2770" s="22" t="n">
        <v>65</v>
      </c>
      <c r="B2770" s="23" t="n">
        <v>45922</v>
      </c>
      <c r="C2770" s="22" t="s">
        <v>210</v>
      </c>
      <c r="D2770" s="24" t="n">
        <v>28</v>
      </c>
    </row>
    <row r="2771" customFormat="false" ht="15" hidden="false" customHeight="false" outlineLevel="0" collapsed="false">
      <c r="A2771" s="22" t="n">
        <v>66</v>
      </c>
      <c r="B2771" s="23" t="n">
        <v>45929</v>
      </c>
      <c r="C2771" s="22" t="s">
        <v>210</v>
      </c>
      <c r="D2771" s="24" t="n">
        <v>30</v>
      </c>
    </row>
    <row r="2772" customFormat="false" ht="15" hidden="false" customHeight="false" outlineLevel="0" collapsed="false">
      <c r="A2772" s="22" t="n">
        <v>67</v>
      </c>
      <c r="B2772" s="23" t="n">
        <v>45936</v>
      </c>
      <c r="C2772" s="22" t="s">
        <v>210</v>
      </c>
      <c r="D2772" s="24" t="n">
        <v>44</v>
      </c>
    </row>
    <row r="2773" customFormat="false" ht="15" hidden="false" customHeight="false" outlineLevel="0" collapsed="false">
      <c r="A2773" s="22" t="n">
        <v>68</v>
      </c>
      <c r="B2773" s="23" t="n">
        <v>45943</v>
      </c>
      <c r="C2773" s="22" t="s">
        <v>210</v>
      </c>
      <c r="D2773" s="24" t="n">
        <v>30</v>
      </c>
    </row>
    <row r="2774" customFormat="false" ht="15" hidden="false" customHeight="false" outlineLevel="0" collapsed="false">
      <c r="A2774" s="22" t="n">
        <v>69</v>
      </c>
      <c r="B2774" s="23" t="n">
        <v>45950</v>
      </c>
      <c r="C2774" s="22" t="s">
        <v>210</v>
      </c>
      <c r="D2774" s="24" t="n">
        <v>28</v>
      </c>
    </row>
    <row r="2775" customFormat="false" ht="15" hidden="false" customHeight="false" outlineLevel="0" collapsed="false">
      <c r="A2775" s="22" t="n">
        <v>70</v>
      </c>
      <c r="B2775" s="23" t="n">
        <v>45957</v>
      </c>
      <c r="C2775" s="22" t="s">
        <v>210</v>
      </c>
      <c r="D2775" s="24" t="n">
        <v>36</v>
      </c>
    </row>
    <row r="2776" customFormat="false" ht="15" hidden="false" customHeight="false" outlineLevel="0" collapsed="false">
      <c r="A2776" s="22" t="n">
        <v>71</v>
      </c>
      <c r="B2776" s="23" t="n">
        <v>45964</v>
      </c>
      <c r="C2776" s="22" t="s">
        <v>210</v>
      </c>
      <c r="D2776" s="24" t="n">
        <v>15</v>
      </c>
    </row>
    <row r="2777" customFormat="false" ht="15" hidden="false" customHeight="false" outlineLevel="0" collapsed="false">
      <c r="A2777" s="22" t="n">
        <v>72</v>
      </c>
      <c r="B2777" s="23" t="n">
        <v>45971</v>
      </c>
      <c r="C2777" s="22" t="s">
        <v>210</v>
      </c>
      <c r="D2777" s="24" t="n">
        <v>17</v>
      </c>
    </row>
    <row r="2778" customFormat="false" ht="15" hidden="false" customHeight="false" outlineLevel="0" collapsed="false">
      <c r="A2778" s="22" t="n">
        <v>73</v>
      </c>
      <c r="B2778" s="23" t="n">
        <v>45978</v>
      </c>
      <c r="C2778" s="22" t="s">
        <v>210</v>
      </c>
      <c r="D2778" s="24" t="n">
        <v>22</v>
      </c>
    </row>
    <row r="2779" customFormat="false" ht="15" hidden="false" customHeight="false" outlineLevel="0" collapsed="false">
      <c r="A2779" s="22" t="n">
        <v>74</v>
      </c>
      <c r="B2779" s="23" t="n">
        <v>45985</v>
      </c>
      <c r="C2779" s="22" t="s">
        <v>210</v>
      </c>
      <c r="D2779" s="24" t="n">
        <v>20</v>
      </c>
    </row>
    <row r="2780" customFormat="false" ht="15" hidden="false" customHeight="false" outlineLevel="0" collapsed="false">
      <c r="A2780" s="22" t="n">
        <v>75</v>
      </c>
      <c r="B2780" s="23" t="n">
        <v>45992</v>
      </c>
      <c r="C2780" s="22" t="s">
        <v>210</v>
      </c>
      <c r="D2780" s="24" t="n">
        <v>30</v>
      </c>
    </row>
    <row r="2781" customFormat="false" ht="15" hidden="false" customHeight="false" outlineLevel="0" collapsed="false">
      <c r="A2781" s="22" t="n">
        <v>76</v>
      </c>
      <c r="B2781" s="23" t="n">
        <v>45999</v>
      </c>
      <c r="C2781" s="22" t="s">
        <v>210</v>
      </c>
      <c r="D2781" s="24" t="n">
        <v>23</v>
      </c>
    </row>
    <row r="2782" customFormat="false" ht="15" hidden="false" customHeight="false" outlineLevel="0" collapsed="false">
      <c r="A2782" s="22" t="n">
        <v>77</v>
      </c>
      <c r="B2782" s="23" t="n">
        <v>46006</v>
      </c>
      <c r="C2782" s="22" t="s">
        <v>210</v>
      </c>
      <c r="D2782" s="24" t="n">
        <v>38</v>
      </c>
    </row>
    <row r="2783" customFormat="false" ht="15" hidden="false" customHeight="false" outlineLevel="0" collapsed="false">
      <c r="A2783" s="22" t="n">
        <v>78</v>
      </c>
      <c r="B2783" s="23" t="n">
        <v>46013</v>
      </c>
      <c r="C2783" s="22" t="s">
        <v>210</v>
      </c>
      <c r="D2783" s="24" t="n">
        <v>36</v>
      </c>
    </row>
    <row r="2784" customFormat="false" ht="15" hidden="false" customHeight="false" outlineLevel="0" collapsed="false">
      <c r="A2784" s="22" t="n">
        <v>79</v>
      </c>
      <c r="B2784" s="23" t="n">
        <v>46020</v>
      </c>
      <c r="C2784" s="22" t="s">
        <v>210</v>
      </c>
      <c r="D2784" s="24" t="n">
        <v>31</v>
      </c>
    </row>
    <row r="2785" customFormat="false" ht="15" hidden="false" customHeight="false" outlineLevel="0" collapsed="false">
      <c r="A2785" s="22" t="n">
        <v>80</v>
      </c>
      <c r="B2785" s="23" t="n">
        <v>46027</v>
      </c>
      <c r="C2785" s="22" t="s">
        <v>210</v>
      </c>
      <c r="D2785" s="24" t="n">
        <v>22</v>
      </c>
    </row>
    <row r="2786" customFormat="false" ht="15" hidden="false" customHeight="false" outlineLevel="0" collapsed="false">
      <c r="A2786" s="22" t="n">
        <v>81</v>
      </c>
      <c r="B2786" s="23" t="n">
        <v>46034</v>
      </c>
      <c r="C2786" s="22" t="s">
        <v>210</v>
      </c>
      <c r="D2786" s="24" t="n">
        <v>30</v>
      </c>
    </row>
    <row r="2787" customFormat="false" ht="15" hidden="false" customHeight="false" outlineLevel="0" collapsed="false">
      <c r="A2787" s="22" t="n">
        <v>82</v>
      </c>
      <c r="B2787" s="23" t="n">
        <v>46041</v>
      </c>
      <c r="C2787" s="22" t="s">
        <v>210</v>
      </c>
      <c r="D2787" s="24" t="n">
        <v>31</v>
      </c>
    </row>
    <row r="2788" customFormat="false" ht="15" hidden="false" customHeight="false" outlineLevel="0" collapsed="false">
      <c r="A2788" s="22" t="n">
        <v>83</v>
      </c>
      <c r="B2788" s="23" t="n">
        <v>46048</v>
      </c>
      <c r="C2788" s="22" t="s">
        <v>210</v>
      </c>
      <c r="D2788" s="24" t="n">
        <v>17</v>
      </c>
    </row>
    <row r="2789" customFormat="false" ht="15" hidden="false" customHeight="false" outlineLevel="0" collapsed="false">
      <c r="A2789" s="22" t="n">
        <v>84</v>
      </c>
      <c r="B2789" s="23" t="n">
        <v>46055</v>
      </c>
      <c r="C2789" s="22" t="s">
        <v>210</v>
      </c>
      <c r="D2789" s="24" t="n">
        <v>28</v>
      </c>
    </row>
    <row r="2790" customFormat="false" ht="15" hidden="false" customHeight="false" outlineLevel="0" collapsed="false">
      <c r="A2790" s="22" t="n">
        <v>85</v>
      </c>
      <c r="B2790" s="23" t="n">
        <v>46062</v>
      </c>
      <c r="C2790" s="22" t="s">
        <v>210</v>
      </c>
      <c r="D2790" s="24" t="n">
        <v>30</v>
      </c>
    </row>
    <row r="2791" customFormat="false" ht="15" hidden="false" customHeight="false" outlineLevel="0" collapsed="false">
      <c r="A2791" s="22" t="n">
        <v>86</v>
      </c>
      <c r="B2791" s="23" t="n">
        <v>46069</v>
      </c>
      <c r="C2791" s="22" t="s">
        <v>210</v>
      </c>
      <c r="D2791" s="24" t="n">
        <v>27</v>
      </c>
    </row>
    <row r="2792" customFormat="false" ht="15" hidden="false" customHeight="false" outlineLevel="0" collapsed="false">
      <c r="A2792" s="22" t="n">
        <v>87</v>
      </c>
      <c r="B2792" s="23" t="n">
        <v>46076</v>
      </c>
      <c r="C2792" s="22" t="s">
        <v>210</v>
      </c>
      <c r="D2792" s="24" t="n">
        <v>36</v>
      </c>
    </row>
    <row r="2793" customFormat="false" ht="15" hidden="false" customHeight="false" outlineLevel="0" collapsed="false">
      <c r="A2793" s="22" t="n">
        <v>88</v>
      </c>
      <c r="B2793" s="23" t="n">
        <v>46083</v>
      </c>
      <c r="C2793" s="22" t="s">
        <v>210</v>
      </c>
      <c r="D2793" s="24" t="n">
        <v>34</v>
      </c>
    </row>
    <row r="2794" customFormat="false" ht="15" hidden="false" customHeight="false" outlineLevel="0" collapsed="false">
      <c r="A2794" s="22" t="n">
        <v>89</v>
      </c>
      <c r="B2794" s="23" t="n">
        <v>46090</v>
      </c>
      <c r="C2794" s="22" t="s">
        <v>210</v>
      </c>
      <c r="D2794" s="24" t="n">
        <v>19</v>
      </c>
    </row>
    <row r="2795" customFormat="false" ht="15" hidden="false" customHeight="false" outlineLevel="0" collapsed="false">
      <c r="A2795" s="22" t="n">
        <v>90</v>
      </c>
      <c r="B2795" s="23" t="n">
        <v>46097</v>
      </c>
      <c r="C2795" s="22" t="s">
        <v>210</v>
      </c>
      <c r="D2795" s="24" t="n">
        <v>26</v>
      </c>
    </row>
    <row r="2796" customFormat="false" ht="15" hidden="false" customHeight="false" outlineLevel="0" collapsed="false">
      <c r="A2796" s="22" t="n">
        <v>91</v>
      </c>
      <c r="B2796" s="23" t="n">
        <v>46104</v>
      </c>
      <c r="C2796" s="22" t="s">
        <v>210</v>
      </c>
      <c r="D2796" s="24" t="n">
        <v>19</v>
      </c>
    </row>
    <row r="2797" customFormat="false" ht="15" hidden="false" customHeight="false" outlineLevel="0" collapsed="false">
      <c r="A2797" s="22" t="n">
        <v>92</v>
      </c>
      <c r="B2797" s="23" t="n">
        <v>46111</v>
      </c>
      <c r="C2797" s="22" t="s">
        <v>210</v>
      </c>
      <c r="D2797" s="24" t="n">
        <v>29</v>
      </c>
    </row>
    <row r="2798" customFormat="false" ht="15" hidden="false" customHeight="false" outlineLevel="0" collapsed="false">
      <c r="A2798" s="22" t="n">
        <v>93</v>
      </c>
      <c r="B2798" s="23" t="n">
        <v>46118</v>
      </c>
      <c r="C2798" s="22" t="s">
        <v>210</v>
      </c>
      <c r="D2798" s="24" t="n">
        <v>19</v>
      </c>
    </row>
    <row r="2799" customFormat="false" ht="15" hidden="false" customHeight="false" outlineLevel="0" collapsed="false">
      <c r="A2799" s="22" t="n">
        <v>94</v>
      </c>
      <c r="B2799" s="23" t="n">
        <v>46125</v>
      </c>
      <c r="C2799" s="22" t="s">
        <v>210</v>
      </c>
      <c r="D2799" s="24" t="n">
        <v>32</v>
      </c>
    </row>
    <row r="2800" customFormat="false" ht="15" hidden="false" customHeight="false" outlineLevel="0" collapsed="false">
      <c r="A2800" s="22" t="n">
        <v>95</v>
      </c>
      <c r="B2800" s="23" t="n">
        <v>46132</v>
      </c>
      <c r="C2800" s="22" t="s">
        <v>210</v>
      </c>
      <c r="D2800" s="24" t="n">
        <v>28</v>
      </c>
    </row>
    <row r="2801" customFormat="false" ht="15" hidden="false" customHeight="false" outlineLevel="0" collapsed="false">
      <c r="A2801" s="22" t="n">
        <v>96</v>
      </c>
      <c r="B2801" s="23" t="n">
        <v>46139</v>
      </c>
      <c r="C2801" s="22" t="s">
        <v>210</v>
      </c>
      <c r="D2801" s="24" t="n">
        <v>32</v>
      </c>
    </row>
    <row r="2802" customFormat="false" ht="15" hidden="false" customHeight="false" outlineLevel="0" collapsed="false">
      <c r="A2802" s="22" t="n">
        <v>97</v>
      </c>
      <c r="B2802" s="23" t="n">
        <v>46146</v>
      </c>
      <c r="C2802" s="22" t="s">
        <v>210</v>
      </c>
      <c r="D2802" s="24" t="n">
        <v>24</v>
      </c>
    </row>
    <row r="2803" customFormat="false" ht="15" hidden="false" customHeight="false" outlineLevel="0" collapsed="false">
      <c r="A2803" s="22" t="n">
        <v>98</v>
      </c>
      <c r="B2803" s="23" t="n">
        <v>46153</v>
      </c>
      <c r="C2803" s="22" t="s">
        <v>210</v>
      </c>
      <c r="D2803" s="24" t="n">
        <v>14</v>
      </c>
    </row>
    <row r="2804" customFormat="false" ht="15" hidden="false" customHeight="false" outlineLevel="0" collapsed="false">
      <c r="A2804" s="22" t="n">
        <v>99</v>
      </c>
      <c r="B2804" s="23" t="n">
        <v>46160</v>
      </c>
      <c r="C2804" s="22" t="s">
        <v>210</v>
      </c>
      <c r="D2804" s="24" t="n">
        <v>38</v>
      </c>
    </row>
    <row r="2805" customFormat="false" ht="15" hidden="false" customHeight="false" outlineLevel="0" collapsed="false">
      <c r="A2805" s="22" t="n">
        <v>100</v>
      </c>
      <c r="B2805" s="23" t="n">
        <v>46167</v>
      </c>
      <c r="C2805" s="22" t="s">
        <v>210</v>
      </c>
      <c r="D2805" s="24" t="n">
        <v>24</v>
      </c>
    </row>
    <row r="2806" customFormat="false" ht="15" hidden="false" customHeight="false" outlineLevel="0" collapsed="false">
      <c r="A2806" s="22" t="n">
        <v>101</v>
      </c>
      <c r="B2806" s="23" t="n">
        <v>46174</v>
      </c>
      <c r="C2806" s="22" t="s">
        <v>210</v>
      </c>
      <c r="D2806" s="24" t="n">
        <v>35</v>
      </c>
    </row>
    <row r="2807" customFormat="false" ht="15" hidden="false" customHeight="false" outlineLevel="0" collapsed="false">
      <c r="A2807" s="22" t="n">
        <v>102</v>
      </c>
      <c r="B2807" s="23" t="n">
        <v>46181</v>
      </c>
      <c r="C2807" s="22" t="s">
        <v>210</v>
      </c>
      <c r="D2807" s="24" t="n">
        <v>28</v>
      </c>
    </row>
    <row r="2808" customFormat="false" ht="15" hidden="false" customHeight="false" outlineLevel="0" collapsed="false">
      <c r="A2808" s="22" t="n">
        <v>103</v>
      </c>
      <c r="B2808" s="23" t="n">
        <v>46188</v>
      </c>
      <c r="C2808" s="22" t="s">
        <v>210</v>
      </c>
      <c r="D2808" s="24" t="n">
        <v>30</v>
      </c>
    </row>
    <row r="2809" customFormat="false" ht="15" hidden="false" customHeight="false" outlineLevel="0" collapsed="false">
      <c r="A2809" s="22" t="n">
        <v>104</v>
      </c>
      <c r="B2809" s="23" t="n">
        <v>46195</v>
      </c>
      <c r="C2809" s="22" t="s">
        <v>210</v>
      </c>
      <c r="D2809" s="24" t="n">
        <v>38</v>
      </c>
    </row>
    <row r="2810" customFormat="false" ht="15" hidden="false" customHeight="false" outlineLevel="0" collapsed="false">
      <c r="A2810" s="22" t="n">
        <v>1</v>
      </c>
      <c r="B2810" s="23" t="n">
        <v>45474</v>
      </c>
      <c r="C2810" s="22" t="s">
        <v>212</v>
      </c>
      <c r="D2810" s="24" t="n">
        <v>8</v>
      </c>
    </row>
    <row r="2811" customFormat="false" ht="15" hidden="false" customHeight="false" outlineLevel="0" collapsed="false">
      <c r="A2811" s="22" t="n">
        <v>2</v>
      </c>
      <c r="B2811" s="23" t="n">
        <v>45481</v>
      </c>
      <c r="C2811" s="22" t="s">
        <v>212</v>
      </c>
      <c r="D2811" s="24" t="n">
        <v>6</v>
      </c>
    </row>
    <row r="2812" customFormat="false" ht="15" hidden="false" customHeight="false" outlineLevel="0" collapsed="false">
      <c r="A2812" s="22" t="n">
        <v>3</v>
      </c>
      <c r="B2812" s="23" t="n">
        <v>45488</v>
      </c>
      <c r="C2812" s="22" t="s">
        <v>212</v>
      </c>
      <c r="D2812" s="24" t="n">
        <v>6</v>
      </c>
    </row>
    <row r="2813" customFormat="false" ht="15" hidden="false" customHeight="false" outlineLevel="0" collapsed="false">
      <c r="A2813" s="22" t="n">
        <v>4</v>
      </c>
      <c r="B2813" s="23" t="n">
        <v>45495</v>
      </c>
      <c r="C2813" s="22" t="s">
        <v>212</v>
      </c>
      <c r="D2813" s="24" t="n">
        <v>9</v>
      </c>
    </row>
    <row r="2814" customFormat="false" ht="15" hidden="false" customHeight="false" outlineLevel="0" collapsed="false">
      <c r="A2814" s="22" t="n">
        <v>5</v>
      </c>
      <c r="B2814" s="23" t="n">
        <v>45502</v>
      </c>
      <c r="C2814" s="22" t="s">
        <v>212</v>
      </c>
      <c r="D2814" s="24" t="n">
        <v>6</v>
      </c>
    </row>
    <row r="2815" customFormat="false" ht="15" hidden="false" customHeight="false" outlineLevel="0" collapsed="false">
      <c r="A2815" s="22" t="n">
        <v>6</v>
      </c>
      <c r="B2815" s="23" t="n">
        <v>45509</v>
      </c>
      <c r="C2815" s="22" t="s">
        <v>212</v>
      </c>
      <c r="D2815" s="24" t="n">
        <v>10</v>
      </c>
    </row>
    <row r="2816" customFormat="false" ht="15" hidden="false" customHeight="false" outlineLevel="0" collapsed="false">
      <c r="A2816" s="22" t="n">
        <v>7</v>
      </c>
      <c r="B2816" s="23" t="n">
        <v>45516</v>
      </c>
      <c r="C2816" s="22" t="s">
        <v>212</v>
      </c>
      <c r="D2816" s="24" t="n">
        <v>8</v>
      </c>
    </row>
    <row r="2817" customFormat="false" ht="15" hidden="false" customHeight="false" outlineLevel="0" collapsed="false">
      <c r="A2817" s="22" t="n">
        <v>8</v>
      </c>
      <c r="B2817" s="23" t="n">
        <v>45523</v>
      </c>
      <c r="C2817" s="22" t="s">
        <v>212</v>
      </c>
      <c r="D2817" s="24" t="n">
        <v>7</v>
      </c>
    </row>
    <row r="2818" customFormat="false" ht="15" hidden="false" customHeight="false" outlineLevel="0" collapsed="false">
      <c r="A2818" s="22" t="n">
        <v>9</v>
      </c>
      <c r="B2818" s="23" t="n">
        <v>45530</v>
      </c>
      <c r="C2818" s="22" t="s">
        <v>212</v>
      </c>
      <c r="D2818" s="24" t="n">
        <v>8</v>
      </c>
    </row>
    <row r="2819" customFormat="false" ht="15" hidden="false" customHeight="false" outlineLevel="0" collapsed="false">
      <c r="A2819" s="22" t="n">
        <v>10</v>
      </c>
      <c r="B2819" s="23" t="n">
        <v>45537</v>
      </c>
      <c r="C2819" s="22" t="s">
        <v>212</v>
      </c>
      <c r="D2819" s="24" t="n">
        <v>9</v>
      </c>
    </row>
    <row r="2820" customFormat="false" ht="15" hidden="false" customHeight="false" outlineLevel="0" collapsed="false">
      <c r="A2820" s="22" t="n">
        <v>11</v>
      </c>
      <c r="B2820" s="23" t="n">
        <v>45544</v>
      </c>
      <c r="C2820" s="22" t="s">
        <v>212</v>
      </c>
      <c r="D2820" s="24" t="n">
        <v>10</v>
      </c>
    </row>
    <row r="2821" customFormat="false" ht="15" hidden="false" customHeight="false" outlineLevel="0" collapsed="false">
      <c r="A2821" s="22" t="n">
        <v>12</v>
      </c>
      <c r="B2821" s="23" t="n">
        <v>45551</v>
      </c>
      <c r="C2821" s="22" t="s">
        <v>212</v>
      </c>
      <c r="D2821" s="24" t="n">
        <v>8</v>
      </c>
    </row>
    <row r="2822" customFormat="false" ht="15" hidden="false" customHeight="false" outlineLevel="0" collapsed="false">
      <c r="A2822" s="22" t="n">
        <v>13</v>
      </c>
      <c r="B2822" s="23" t="n">
        <v>45558</v>
      </c>
      <c r="C2822" s="22" t="s">
        <v>212</v>
      </c>
      <c r="D2822" s="24" t="n">
        <v>8</v>
      </c>
    </row>
    <row r="2823" customFormat="false" ht="15" hidden="false" customHeight="false" outlineLevel="0" collapsed="false">
      <c r="A2823" s="22" t="n">
        <v>14</v>
      </c>
      <c r="B2823" s="23" t="n">
        <v>45565</v>
      </c>
      <c r="C2823" s="22" t="s">
        <v>212</v>
      </c>
      <c r="D2823" s="24" t="n">
        <v>9</v>
      </c>
    </row>
    <row r="2824" customFormat="false" ht="15" hidden="false" customHeight="false" outlineLevel="0" collapsed="false">
      <c r="A2824" s="22" t="n">
        <v>15</v>
      </c>
      <c r="B2824" s="23" t="n">
        <v>45572</v>
      </c>
      <c r="C2824" s="22" t="s">
        <v>212</v>
      </c>
      <c r="D2824" s="24" t="n">
        <v>4</v>
      </c>
    </row>
    <row r="2825" customFormat="false" ht="15" hidden="false" customHeight="false" outlineLevel="0" collapsed="false">
      <c r="A2825" s="22" t="n">
        <v>16</v>
      </c>
      <c r="B2825" s="23" t="n">
        <v>45579</v>
      </c>
      <c r="C2825" s="22" t="s">
        <v>212</v>
      </c>
      <c r="D2825" s="24" t="n">
        <v>5</v>
      </c>
    </row>
    <row r="2826" customFormat="false" ht="15" hidden="false" customHeight="false" outlineLevel="0" collapsed="false">
      <c r="A2826" s="22" t="n">
        <v>17</v>
      </c>
      <c r="B2826" s="23" t="n">
        <v>45586</v>
      </c>
      <c r="C2826" s="22" t="s">
        <v>212</v>
      </c>
      <c r="D2826" s="24" t="n">
        <v>9</v>
      </c>
    </row>
    <row r="2827" customFormat="false" ht="15" hidden="false" customHeight="false" outlineLevel="0" collapsed="false">
      <c r="A2827" s="22" t="n">
        <v>18</v>
      </c>
      <c r="B2827" s="23" t="n">
        <v>45593</v>
      </c>
      <c r="C2827" s="22" t="s">
        <v>212</v>
      </c>
      <c r="D2827" s="24" t="n">
        <v>5</v>
      </c>
    </row>
    <row r="2828" customFormat="false" ht="15" hidden="false" customHeight="false" outlineLevel="0" collapsed="false">
      <c r="A2828" s="22" t="n">
        <v>19</v>
      </c>
      <c r="B2828" s="23" t="n">
        <v>45600</v>
      </c>
      <c r="C2828" s="22" t="s">
        <v>212</v>
      </c>
      <c r="D2828" s="24" t="n">
        <v>10</v>
      </c>
    </row>
    <row r="2829" customFormat="false" ht="15" hidden="false" customHeight="false" outlineLevel="0" collapsed="false">
      <c r="A2829" s="22" t="n">
        <v>20</v>
      </c>
      <c r="B2829" s="23" t="n">
        <v>45607</v>
      </c>
      <c r="C2829" s="22" t="s">
        <v>212</v>
      </c>
      <c r="D2829" s="24" t="n">
        <v>4</v>
      </c>
    </row>
    <row r="2830" customFormat="false" ht="15" hidden="false" customHeight="false" outlineLevel="0" collapsed="false">
      <c r="A2830" s="22" t="n">
        <v>21</v>
      </c>
      <c r="B2830" s="23" t="n">
        <v>45614</v>
      </c>
      <c r="C2830" s="22" t="s">
        <v>212</v>
      </c>
      <c r="D2830" s="24" t="n">
        <v>9</v>
      </c>
    </row>
    <row r="2831" customFormat="false" ht="15" hidden="false" customHeight="false" outlineLevel="0" collapsed="false">
      <c r="A2831" s="22" t="n">
        <v>22</v>
      </c>
      <c r="B2831" s="23" t="n">
        <v>45621</v>
      </c>
      <c r="C2831" s="22" t="s">
        <v>212</v>
      </c>
      <c r="D2831" s="24" t="n">
        <v>6</v>
      </c>
    </row>
    <row r="2832" customFormat="false" ht="15" hidden="false" customHeight="false" outlineLevel="0" collapsed="false">
      <c r="A2832" s="22" t="n">
        <v>23</v>
      </c>
      <c r="B2832" s="23" t="n">
        <v>45628</v>
      </c>
      <c r="C2832" s="22" t="s">
        <v>212</v>
      </c>
      <c r="D2832" s="24" t="n">
        <v>5</v>
      </c>
    </row>
    <row r="2833" customFormat="false" ht="15" hidden="false" customHeight="false" outlineLevel="0" collapsed="false">
      <c r="A2833" s="22" t="n">
        <v>24</v>
      </c>
      <c r="B2833" s="23" t="n">
        <v>45635</v>
      </c>
      <c r="C2833" s="22" t="s">
        <v>212</v>
      </c>
      <c r="D2833" s="24" t="n">
        <v>7</v>
      </c>
    </row>
    <row r="2834" customFormat="false" ht="15" hidden="false" customHeight="false" outlineLevel="0" collapsed="false">
      <c r="A2834" s="22" t="n">
        <v>25</v>
      </c>
      <c r="B2834" s="23" t="n">
        <v>45642</v>
      </c>
      <c r="C2834" s="22" t="s">
        <v>212</v>
      </c>
      <c r="D2834" s="24" t="n">
        <v>2</v>
      </c>
    </row>
    <row r="2835" customFormat="false" ht="15" hidden="false" customHeight="false" outlineLevel="0" collapsed="false">
      <c r="A2835" s="22" t="n">
        <v>26</v>
      </c>
      <c r="B2835" s="23" t="n">
        <v>45649</v>
      </c>
      <c r="C2835" s="22" t="s">
        <v>212</v>
      </c>
      <c r="D2835" s="24" t="n">
        <v>8</v>
      </c>
    </row>
    <row r="2836" customFormat="false" ht="15" hidden="false" customHeight="false" outlineLevel="0" collapsed="false">
      <c r="A2836" s="22" t="n">
        <v>27</v>
      </c>
      <c r="B2836" s="23" t="n">
        <v>45656</v>
      </c>
      <c r="C2836" s="22" t="s">
        <v>212</v>
      </c>
      <c r="D2836" s="24" t="n">
        <v>6</v>
      </c>
    </row>
    <row r="2837" customFormat="false" ht="15" hidden="false" customHeight="false" outlineLevel="0" collapsed="false">
      <c r="A2837" s="22" t="n">
        <v>28</v>
      </c>
      <c r="B2837" s="23" t="n">
        <v>45663</v>
      </c>
      <c r="C2837" s="22" t="s">
        <v>212</v>
      </c>
      <c r="D2837" s="24" t="n">
        <v>11</v>
      </c>
    </row>
    <row r="2838" customFormat="false" ht="15" hidden="false" customHeight="false" outlineLevel="0" collapsed="false">
      <c r="A2838" s="22" t="n">
        <v>29</v>
      </c>
      <c r="B2838" s="23" t="n">
        <v>45670</v>
      </c>
      <c r="C2838" s="22" t="s">
        <v>212</v>
      </c>
      <c r="D2838" s="24" t="n">
        <v>7</v>
      </c>
    </row>
    <row r="2839" customFormat="false" ht="15" hidden="false" customHeight="false" outlineLevel="0" collapsed="false">
      <c r="A2839" s="22" t="n">
        <v>30</v>
      </c>
      <c r="B2839" s="23" t="n">
        <v>45677</v>
      </c>
      <c r="C2839" s="22" t="s">
        <v>212</v>
      </c>
      <c r="D2839" s="24" t="n">
        <v>7</v>
      </c>
    </row>
    <row r="2840" customFormat="false" ht="15" hidden="false" customHeight="false" outlineLevel="0" collapsed="false">
      <c r="A2840" s="22" t="n">
        <v>31</v>
      </c>
      <c r="B2840" s="23" t="n">
        <v>45684</v>
      </c>
      <c r="C2840" s="22" t="s">
        <v>212</v>
      </c>
      <c r="D2840" s="24" t="n">
        <v>4</v>
      </c>
    </row>
    <row r="2841" customFormat="false" ht="15" hidden="false" customHeight="false" outlineLevel="0" collapsed="false">
      <c r="A2841" s="22" t="n">
        <v>32</v>
      </c>
      <c r="B2841" s="23" t="n">
        <v>45691</v>
      </c>
      <c r="C2841" s="22" t="s">
        <v>212</v>
      </c>
      <c r="D2841" s="24" t="n">
        <v>8</v>
      </c>
    </row>
    <row r="2842" customFormat="false" ht="15" hidden="false" customHeight="false" outlineLevel="0" collapsed="false">
      <c r="A2842" s="22" t="n">
        <v>33</v>
      </c>
      <c r="B2842" s="23" t="n">
        <v>45698</v>
      </c>
      <c r="C2842" s="22" t="s">
        <v>212</v>
      </c>
      <c r="D2842" s="24" t="n">
        <v>7</v>
      </c>
    </row>
    <row r="2843" customFormat="false" ht="15" hidden="false" customHeight="false" outlineLevel="0" collapsed="false">
      <c r="A2843" s="22" t="n">
        <v>34</v>
      </c>
      <c r="B2843" s="23" t="n">
        <v>45705</v>
      </c>
      <c r="C2843" s="22" t="s">
        <v>212</v>
      </c>
      <c r="D2843" s="24" t="n">
        <v>3</v>
      </c>
    </row>
    <row r="2844" customFormat="false" ht="15" hidden="false" customHeight="false" outlineLevel="0" collapsed="false">
      <c r="A2844" s="22" t="n">
        <v>35</v>
      </c>
      <c r="B2844" s="23" t="n">
        <v>45712</v>
      </c>
      <c r="C2844" s="22" t="s">
        <v>212</v>
      </c>
      <c r="D2844" s="24" t="n">
        <v>10</v>
      </c>
    </row>
    <row r="2845" customFormat="false" ht="15" hidden="false" customHeight="false" outlineLevel="0" collapsed="false">
      <c r="A2845" s="22" t="n">
        <v>36</v>
      </c>
      <c r="B2845" s="23" t="n">
        <v>45719</v>
      </c>
      <c r="C2845" s="22" t="s">
        <v>212</v>
      </c>
      <c r="D2845" s="24" t="n">
        <v>5</v>
      </c>
    </row>
    <row r="2846" customFormat="false" ht="15" hidden="false" customHeight="false" outlineLevel="0" collapsed="false">
      <c r="A2846" s="22" t="n">
        <v>37</v>
      </c>
      <c r="B2846" s="23" t="n">
        <v>45726</v>
      </c>
      <c r="C2846" s="22" t="s">
        <v>212</v>
      </c>
      <c r="D2846" s="24" t="n">
        <v>6</v>
      </c>
    </row>
    <row r="2847" customFormat="false" ht="15" hidden="false" customHeight="false" outlineLevel="0" collapsed="false">
      <c r="A2847" s="22" t="n">
        <v>38</v>
      </c>
      <c r="B2847" s="23" t="n">
        <v>45733</v>
      </c>
      <c r="C2847" s="22" t="s">
        <v>212</v>
      </c>
      <c r="D2847" s="24" t="n">
        <v>11</v>
      </c>
    </row>
    <row r="2848" customFormat="false" ht="15" hidden="false" customHeight="false" outlineLevel="0" collapsed="false">
      <c r="A2848" s="22" t="n">
        <v>39</v>
      </c>
      <c r="B2848" s="23" t="n">
        <v>45740</v>
      </c>
      <c r="C2848" s="22" t="s">
        <v>212</v>
      </c>
      <c r="D2848" s="24" t="n">
        <v>11</v>
      </c>
    </row>
    <row r="2849" customFormat="false" ht="15" hidden="false" customHeight="false" outlineLevel="0" collapsed="false">
      <c r="A2849" s="22" t="n">
        <v>40</v>
      </c>
      <c r="B2849" s="23" t="n">
        <v>45747</v>
      </c>
      <c r="C2849" s="22" t="s">
        <v>212</v>
      </c>
      <c r="D2849" s="24" t="n">
        <v>4</v>
      </c>
    </row>
    <row r="2850" customFormat="false" ht="15" hidden="false" customHeight="false" outlineLevel="0" collapsed="false">
      <c r="A2850" s="22" t="n">
        <v>41</v>
      </c>
      <c r="B2850" s="23" t="n">
        <v>45754</v>
      </c>
      <c r="C2850" s="22" t="s">
        <v>212</v>
      </c>
      <c r="D2850" s="24" t="n">
        <v>12</v>
      </c>
    </row>
    <row r="2851" customFormat="false" ht="15" hidden="false" customHeight="false" outlineLevel="0" collapsed="false">
      <c r="A2851" s="22" t="n">
        <v>42</v>
      </c>
      <c r="B2851" s="23" t="n">
        <v>45761</v>
      </c>
      <c r="C2851" s="22" t="s">
        <v>212</v>
      </c>
      <c r="D2851" s="24" t="n">
        <v>16</v>
      </c>
    </row>
    <row r="2852" customFormat="false" ht="15" hidden="false" customHeight="false" outlineLevel="0" collapsed="false">
      <c r="A2852" s="22" t="n">
        <v>43</v>
      </c>
      <c r="B2852" s="23" t="n">
        <v>45768</v>
      </c>
      <c r="C2852" s="22" t="s">
        <v>212</v>
      </c>
      <c r="D2852" s="24" t="n">
        <v>7</v>
      </c>
    </row>
    <row r="2853" customFormat="false" ht="15" hidden="false" customHeight="false" outlineLevel="0" collapsed="false">
      <c r="A2853" s="22" t="n">
        <v>44</v>
      </c>
      <c r="B2853" s="23" t="n">
        <v>45775</v>
      </c>
      <c r="C2853" s="22" t="s">
        <v>212</v>
      </c>
      <c r="D2853" s="24" t="n">
        <v>12</v>
      </c>
    </row>
    <row r="2854" customFormat="false" ht="15" hidden="false" customHeight="false" outlineLevel="0" collapsed="false">
      <c r="A2854" s="22" t="n">
        <v>45</v>
      </c>
      <c r="B2854" s="23" t="n">
        <v>45782</v>
      </c>
      <c r="C2854" s="22" t="s">
        <v>212</v>
      </c>
      <c r="D2854" s="24" t="n">
        <v>14</v>
      </c>
    </row>
    <row r="2855" customFormat="false" ht="15" hidden="false" customHeight="false" outlineLevel="0" collapsed="false">
      <c r="A2855" s="22" t="n">
        <v>46</v>
      </c>
      <c r="B2855" s="23" t="n">
        <v>45789</v>
      </c>
      <c r="C2855" s="22" t="s">
        <v>212</v>
      </c>
      <c r="D2855" s="24" t="n">
        <v>8</v>
      </c>
    </row>
    <row r="2856" customFormat="false" ht="15" hidden="false" customHeight="false" outlineLevel="0" collapsed="false">
      <c r="A2856" s="22" t="n">
        <v>47</v>
      </c>
      <c r="B2856" s="23" t="n">
        <v>45796</v>
      </c>
      <c r="C2856" s="22" t="s">
        <v>212</v>
      </c>
      <c r="D2856" s="24" t="n">
        <v>12</v>
      </c>
    </row>
    <row r="2857" customFormat="false" ht="15" hidden="false" customHeight="false" outlineLevel="0" collapsed="false">
      <c r="A2857" s="22" t="n">
        <v>48</v>
      </c>
      <c r="B2857" s="23" t="n">
        <v>45803</v>
      </c>
      <c r="C2857" s="22" t="s">
        <v>212</v>
      </c>
      <c r="D2857" s="24" t="n">
        <v>7</v>
      </c>
    </row>
    <row r="2858" customFormat="false" ht="15" hidden="false" customHeight="false" outlineLevel="0" collapsed="false">
      <c r="A2858" s="22" t="n">
        <v>49</v>
      </c>
      <c r="B2858" s="23" t="n">
        <v>45810</v>
      </c>
      <c r="C2858" s="22" t="s">
        <v>212</v>
      </c>
      <c r="D2858" s="24" t="n">
        <v>3</v>
      </c>
    </row>
    <row r="2859" customFormat="false" ht="15" hidden="false" customHeight="false" outlineLevel="0" collapsed="false">
      <c r="A2859" s="22" t="n">
        <v>50</v>
      </c>
      <c r="B2859" s="23" t="n">
        <v>45817</v>
      </c>
      <c r="C2859" s="22" t="s">
        <v>212</v>
      </c>
      <c r="D2859" s="24" t="n">
        <v>3</v>
      </c>
    </row>
    <row r="2860" customFormat="false" ht="15" hidden="false" customHeight="false" outlineLevel="0" collapsed="false">
      <c r="A2860" s="22" t="n">
        <v>51</v>
      </c>
      <c r="B2860" s="23" t="n">
        <v>45824</v>
      </c>
      <c r="C2860" s="22" t="s">
        <v>212</v>
      </c>
      <c r="D2860" s="24" t="n">
        <v>8</v>
      </c>
    </row>
    <row r="2861" customFormat="false" ht="15" hidden="false" customHeight="false" outlineLevel="0" collapsed="false">
      <c r="A2861" s="22" t="n">
        <v>52</v>
      </c>
      <c r="B2861" s="23" t="n">
        <v>45831</v>
      </c>
      <c r="C2861" s="22" t="s">
        <v>212</v>
      </c>
      <c r="D2861" s="24" t="n">
        <v>6</v>
      </c>
    </row>
    <row r="2862" customFormat="false" ht="15" hidden="false" customHeight="false" outlineLevel="0" collapsed="false">
      <c r="A2862" s="22" t="n">
        <v>53</v>
      </c>
      <c r="B2862" s="23" t="n">
        <v>45838</v>
      </c>
      <c r="C2862" s="22" t="s">
        <v>212</v>
      </c>
      <c r="D2862" s="24" t="n">
        <v>6</v>
      </c>
    </row>
    <row r="2863" customFormat="false" ht="15" hidden="false" customHeight="false" outlineLevel="0" collapsed="false">
      <c r="A2863" s="22" t="n">
        <v>54</v>
      </c>
      <c r="B2863" s="23" t="n">
        <v>45845</v>
      </c>
      <c r="C2863" s="22" t="s">
        <v>212</v>
      </c>
      <c r="D2863" s="24" t="n">
        <v>8</v>
      </c>
    </row>
    <row r="2864" customFormat="false" ht="15" hidden="false" customHeight="false" outlineLevel="0" collapsed="false">
      <c r="A2864" s="22" t="n">
        <v>55</v>
      </c>
      <c r="B2864" s="23" t="n">
        <v>45852</v>
      </c>
      <c r="C2864" s="22" t="s">
        <v>212</v>
      </c>
      <c r="D2864" s="24" t="n">
        <v>9</v>
      </c>
    </row>
    <row r="2865" customFormat="false" ht="15" hidden="false" customHeight="false" outlineLevel="0" collapsed="false">
      <c r="A2865" s="22" t="n">
        <v>56</v>
      </c>
      <c r="B2865" s="23" t="n">
        <v>45859</v>
      </c>
      <c r="C2865" s="22" t="s">
        <v>212</v>
      </c>
      <c r="D2865" s="24" t="n">
        <v>8</v>
      </c>
    </row>
    <row r="2866" customFormat="false" ht="15" hidden="false" customHeight="false" outlineLevel="0" collapsed="false">
      <c r="A2866" s="22" t="n">
        <v>57</v>
      </c>
      <c r="B2866" s="23" t="n">
        <v>45866</v>
      </c>
      <c r="C2866" s="22" t="s">
        <v>212</v>
      </c>
      <c r="D2866" s="24" t="n">
        <v>10</v>
      </c>
    </row>
    <row r="2867" customFormat="false" ht="15" hidden="false" customHeight="false" outlineLevel="0" collapsed="false">
      <c r="A2867" s="22" t="n">
        <v>58</v>
      </c>
      <c r="B2867" s="23" t="n">
        <v>45873</v>
      </c>
      <c r="C2867" s="22" t="s">
        <v>212</v>
      </c>
      <c r="D2867" s="24" t="n">
        <v>5</v>
      </c>
    </row>
    <row r="2868" customFormat="false" ht="15" hidden="false" customHeight="false" outlineLevel="0" collapsed="false">
      <c r="A2868" s="22" t="n">
        <v>59</v>
      </c>
      <c r="B2868" s="23" t="n">
        <v>45880</v>
      </c>
      <c r="C2868" s="22" t="s">
        <v>212</v>
      </c>
      <c r="D2868" s="24" t="n">
        <v>7</v>
      </c>
    </row>
    <row r="2869" customFormat="false" ht="15" hidden="false" customHeight="false" outlineLevel="0" collapsed="false">
      <c r="A2869" s="22" t="n">
        <v>60</v>
      </c>
      <c r="B2869" s="23" t="n">
        <v>45887</v>
      </c>
      <c r="C2869" s="22" t="s">
        <v>212</v>
      </c>
      <c r="D2869" s="24" t="n">
        <v>4</v>
      </c>
    </row>
    <row r="2870" customFormat="false" ht="15" hidden="false" customHeight="false" outlineLevel="0" collapsed="false">
      <c r="A2870" s="22" t="n">
        <v>61</v>
      </c>
      <c r="B2870" s="23" t="n">
        <v>45894</v>
      </c>
      <c r="C2870" s="22" t="s">
        <v>212</v>
      </c>
      <c r="D2870" s="24" t="n">
        <v>5</v>
      </c>
    </row>
    <row r="2871" customFormat="false" ht="15" hidden="false" customHeight="false" outlineLevel="0" collapsed="false">
      <c r="A2871" s="22" t="n">
        <v>62</v>
      </c>
      <c r="B2871" s="23" t="n">
        <v>45901</v>
      </c>
      <c r="C2871" s="22" t="s">
        <v>212</v>
      </c>
      <c r="D2871" s="24" t="n">
        <v>8</v>
      </c>
    </row>
    <row r="2872" customFormat="false" ht="15" hidden="false" customHeight="false" outlineLevel="0" collapsed="false">
      <c r="A2872" s="22" t="n">
        <v>63</v>
      </c>
      <c r="B2872" s="23" t="n">
        <v>45908</v>
      </c>
      <c r="C2872" s="22" t="s">
        <v>212</v>
      </c>
      <c r="D2872" s="24" t="n">
        <v>7</v>
      </c>
    </row>
    <row r="2873" customFormat="false" ht="15" hidden="false" customHeight="false" outlineLevel="0" collapsed="false">
      <c r="A2873" s="22" t="n">
        <v>64</v>
      </c>
      <c r="B2873" s="23" t="n">
        <v>45915</v>
      </c>
      <c r="C2873" s="22" t="s">
        <v>212</v>
      </c>
      <c r="D2873" s="24" t="n">
        <v>6</v>
      </c>
    </row>
    <row r="2874" customFormat="false" ht="15" hidden="false" customHeight="false" outlineLevel="0" collapsed="false">
      <c r="A2874" s="22" t="n">
        <v>65</v>
      </c>
      <c r="B2874" s="23" t="n">
        <v>45922</v>
      </c>
      <c r="C2874" s="22" t="s">
        <v>212</v>
      </c>
      <c r="D2874" s="24" t="n">
        <v>14</v>
      </c>
    </row>
    <row r="2875" customFormat="false" ht="15" hidden="false" customHeight="false" outlineLevel="0" collapsed="false">
      <c r="A2875" s="22" t="n">
        <v>66</v>
      </c>
      <c r="B2875" s="23" t="n">
        <v>45929</v>
      </c>
      <c r="C2875" s="22" t="s">
        <v>212</v>
      </c>
      <c r="D2875" s="24" t="n">
        <v>9</v>
      </c>
    </row>
    <row r="2876" customFormat="false" ht="15" hidden="false" customHeight="false" outlineLevel="0" collapsed="false">
      <c r="A2876" s="22" t="n">
        <v>67</v>
      </c>
      <c r="B2876" s="23" t="n">
        <v>45936</v>
      </c>
      <c r="C2876" s="22" t="s">
        <v>212</v>
      </c>
      <c r="D2876" s="24" t="n">
        <v>11</v>
      </c>
    </row>
    <row r="2877" customFormat="false" ht="15" hidden="false" customHeight="false" outlineLevel="0" collapsed="false">
      <c r="A2877" s="22" t="n">
        <v>68</v>
      </c>
      <c r="B2877" s="23" t="n">
        <v>45943</v>
      </c>
      <c r="C2877" s="22" t="s">
        <v>212</v>
      </c>
      <c r="D2877" s="24" t="n">
        <v>13</v>
      </c>
    </row>
    <row r="2878" customFormat="false" ht="15" hidden="false" customHeight="false" outlineLevel="0" collapsed="false">
      <c r="A2878" s="22" t="n">
        <v>69</v>
      </c>
      <c r="B2878" s="23" t="n">
        <v>45950</v>
      </c>
      <c r="C2878" s="22" t="s">
        <v>212</v>
      </c>
      <c r="D2878" s="24" t="n">
        <v>13</v>
      </c>
    </row>
    <row r="2879" customFormat="false" ht="15" hidden="false" customHeight="false" outlineLevel="0" collapsed="false">
      <c r="A2879" s="22" t="n">
        <v>70</v>
      </c>
      <c r="B2879" s="23" t="n">
        <v>45957</v>
      </c>
      <c r="C2879" s="22" t="s">
        <v>212</v>
      </c>
      <c r="D2879" s="24" t="n">
        <v>6</v>
      </c>
    </row>
    <row r="2880" customFormat="false" ht="15" hidden="false" customHeight="false" outlineLevel="0" collapsed="false">
      <c r="A2880" s="22" t="n">
        <v>71</v>
      </c>
      <c r="B2880" s="23" t="n">
        <v>45964</v>
      </c>
      <c r="C2880" s="22" t="s">
        <v>212</v>
      </c>
      <c r="D2880" s="24" t="n">
        <v>11</v>
      </c>
    </row>
    <row r="2881" customFormat="false" ht="15" hidden="false" customHeight="false" outlineLevel="0" collapsed="false">
      <c r="A2881" s="22" t="n">
        <v>72</v>
      </c>
      <c r="B2881" s="23" t="n">
        <v>45971</v>
      </c>
      <c r="C2881" s="22" t="s">
        <v>212</v>
      </c>
      <c r="D2881" s="24" t="n">
        <v>6</v>
      </c>
    </row>
    <row r="2882" customFormat="false" ht="15" hidden="false" customHeight="false" outlineLevel="0" collapsed="false">
      <c r="A2882" s="22" t="n">
        <v>73</v>
      </c>
      <c r="B2882" s="23" t="n">
        <v>45978</v>
      </c>
      <c r="C2882" s="22" t="s">
        <v>212</v>
      </c>
      <c r="D2882" s="24" t="n">
        <v>12</v>
      </c>
    </row>
    <row r="2883" customFormat="false" ht="15" hidden="false" customHeight="false" outlineLevel="0" collapsed="false">
      <c r="A2883" s="22" t="n">
        <v>74</v>
      </c>
      <c r="B2883" s="23" t="n">
        <v>45985</v>
      </c>
      <c r="C2883" s="22" t="s">
        <v>212</v>
      </c>
      <c r="D2883" s="24" t="n">
        <v>5</v>
      </c>
    </row>
    <row r="2884" customFormat="false" ht="15" hidden="false" customHeight="false" outlineLevel="0" collapsed="false">
      <c r="A2884" s="22" t="n">
        <v>75</v>
      </c>
      <c r="B2884" s="23" t="n">
        <v>45992</v>
      </c>
      <c r="C2884" s="22" t="s">
        <v>212</v>
      </c>
      <c r="D2884" s="24" t="n">
        <v>4</v>
      </c>
    </row>
    <row r="2885" customFormat="false" ht="15" hidden="false" customHeight="false" outlineLevel="0" collapsed="false">
      <c r="A2885" s="22" t="n">
        <v>76</v>
      </c>
      <c r="B2885" s="23" t="n">
        <v>45999</v>
      </c>
      <c r="C2885" s="22" t="s">
        <v>212</v>
      </c>
      <c r="D2885" s="24" t="n">
        <v>7</v>
      </c>
    </row>
    <row r="2886" customFormat="false" ht="15" hidden="false" customHeight="false" outlineLevel="0" collapsed="false">
      <c r="A2886" s="22" t="n">
        <v>77</v>
      </c>
      <c r="B2886" s="23" t="n">
        <v>46006</v>
      </c>
      <c r="C2886" s="22" t="s">
        <v>212</v>
      </c>
      <c r="D2886" s="24" t="n">
        <v>11</v>
      </c>
    </row>
    <row r="2887" customFormat="false" ht="15" hidden="false" customHeight="false" outlineLevel="0" collapsed="false">
      <c r="A2887" s="22" t="n">
        <v>78</v>
      </c>
      <c r="B2887" s="23" t="n">
        <v>46013</v>
      </c>
      <c r="C2887" s="22" t="s">
        <v>212</v>
      </c>
      <c r="D2887" s="24" t="n">
        <v>9</v>
      </c>
    </row>
    <row r="2888" customFormat="false" ht="15" hidden="false" customHeight="false" outlineLevel="0" collapsed="false">
      <c r="A2888" s="22" t="n">
        <v>79</v>
      </c>
      <c r="B2888" s="23" t="n">
        <v>46020</v>
      </c>
      <c r="C2888" s="22" t="s">
        <v>212</v>
      </c>
      <c r="D2888" s="24" t="n">
        <v>6</v>
      </c>
    </row>
    <row r="2889" customFormat="false" ht="15" hidden="false" customHeight="false" outlineLevel="0" collapsed="false">
      <c r="A2889" s="22" t="n">
        <v>80</v>
      </c>
      <c r="B2889" s="23" t="n">
        <v>46027</v>
      </c>
      <c r="C2889" s="22" t="s">
        <v>212</v>
      </c>
      <c r="D2889" s="24" t="n">
        <v>9</v>
      </c>
    </row>
    <row r="2890" customFormat="false" ht="15" hidden="false" customHeight="false" outlineLevel="0" collapsed="false">
      <c r="A2890" s="22" t="n">
        <v>81</v>
      </c>
      <c r="B2890" s="23" t="n">
        <v>46034</v>
      </c>
      <c r="C2890" s="22" t="s">
        <v>212</v>
      </c>
      <c r="D2890" s="24" t="n">
        <v>11</v>
      </c>
    </row>
    <row r="2891" customFormat="false" ht="15" hidden="false" customHeight="false" outlineLevel="0" collapsed="false">
      <c r="A2891" s="22" t="n">
        <v>82</v>
      </c>
      <c r="B2891" s="23" t="n">
        <v>46041</v>
      </c>
      <c r="C2891" s="22" t="s">
        <v>212</v>
      </c>
      <c r="D2891" s="24" t="n">
        <v>10</v>
      </c>
    </row>
    <row r="2892" customFormat="false" ht="15" hidden="false" customHeight="false" outlineLevel="0" collapsed="false">
      <c r="A2892" s="22" t="n">
        <v>83</v>
      </c>
      <c r="B2892" s="23" t="n">
        <v>46048</v>
      </c>
      <c r="C2892" s="22" t="s">
        <v>212</v>
      </c>
      <c r="D2892" s="24" t="n">
        <v>9</v>
      </c>
    </row>
    <row r="2893" customFormat="false" ht="15" hidden="false" customHeight="false" outlineLevel="0" collapsed="false">
      <c r="A2893" s="22" t="n">
        <v>84</v>
      </c>
      <c r="B2893" s="23" t="n">
        <v>46055</v>
      </c>
      <c r="C2893" s="22" t="s">
        <v>212</v>
      </c>
      <c r="D2893" s="24" t="n">
        <v>4</v>
      </c>
    </row>
    <row r="2894" customFormat="false" ht="15" hidden="false" customHeight="false" outlineLevel="0" collapsed="false">
      <c r="A2894" s="22" t="n">
        <v>85</v>
      </c>
      <c r="B2894" s="23" t="n">
        <v>46062</v>
      </c>
      <c r="C2894" s="22" t="s">
        <v>212</v>
      </c>
      <c r="D2894" s="24" t="n">
        <v>7</v>
      </c>
    </row>
    <row r="2895" customFormat="false" ht="15" hidden="false" customHeight="false" outlineLevel="0" collapsed="false">
      <c r="A2895" s="22" t="n">
        <v>86</v>
      </c>
      <c r="B2895" s="23" t="n">
        <v>46069</v>
      </c>
      <c r="C2895" s="22" t="s">
        <v>212</v>
      </c>
      <c r="D2895" s="24" t="n">
        <v>11</v>
      </c>
    </row>
    <row r="2896" customFormat="false" ht="15" hidden="false" customHeight="false" outlineLevel="0" collapsed="false">
      <c r="A2896" s="22" t="n">
        <v>87</v>
      </c>
      <c r="B2896" s="23" t="n">
        <v>46076</v>
      </c>
      <c r="C2896" s="22" t="s">
        <v>212</v>
      </c>
      <c r="D2896" s="24" t="n">
        <v>7</v>
      </c>
    </row>
    <row r="2897" customFormat="false" ht="15" hidden="false" customHeight="false" outlineLevel="0" collapsed="false">
      <c r="A2897" s="22" t="n">
        <v>88</v>
      </c>
      <c r="B2897" s="23" t="n">
        <v>46083</v>
      </c>
      <c r="C2897" s="22" t="s">
        <v>212</v>
      </c>
      <c r="D2897" s="24" t="n">
        <v>11</v>
      </c>
    </row>
    <row r="2898" customFormat="false" ht="15" hidden="false" customHeight="false" outlineLevel="0" collapsed="false">
      <c r="A2898" s="22" t="n">
        <v>89</v>
      </c>
      <c r="B2898" s="23" t="n">
        <v>46090</v>
      </c>
      <c r="C2898" s="22" t="s">
        <v>212</v>
      </c>
      <c r="D2898" s="24" t="n">
        <v>9</v>
      </c>
    </row>
    <row r="2899" customFormat="false" ht="15" hidden="false" customHeight="false" outlineLevel="0" collapsed="false">
      <c r="A2899" s="22" t="n">
        <v>90</v>
      </c>
      <c r="B2899" s="23" t="n">
        <v>46097</v>
      </c>
      <c r="C2899" s="22" t="s">
        <v>212</v>
      </c>
      <c r="D2899" s="24" t="n">
        <v>14</v>
      </c>
    </row>
    <row r="2900" customFormat="false" ht="15" hidden="false" customHeight="false" outlineLevel="0" collapsed="false">
      <c r="A2900" s="22" t="n">
        <v>91</v>
      </c>
      <c r="B2900" s="23" t="n">
        <v>46104</v>
      </c>
      <c r="C2900" s="22" t="s">
        <v>212</v>
      </c>
      <c r="D2900" s="24" t="n">
        <v>8</v>
      </c>
    </row>
    <row r="2901" customFormat="false" ht="15" hidden="false" customHeight="false" outlineLevel="0" collapsed="false">
      <c r="A2901" s="22" t="n">
        <v>92</v>
      </c>
      <c r="B2901" s="23" t="n">
        <v>46111</v>
      </c>
      <c r="C2901" s="22" t="s">
        <v>212</v>
      </c>
      <c r="D2901" s="24" t="n">
        <v>7</v>
      </c>
    </row>
    <row r="2902" customFormat="false" ht="15" hidden="false" customHeight="false" outlineLevel="0" collapsed="false">
      <c r="A2902" s="22" t="n">
        <v>93</v>
      </c>
      <c r="B2902" s="23" t="n">
        <v>46118</v>
      </c>
      <c r="C2902" s="22" t="s">
        <v>212</v>
      </c>
      <c r="D2902" s="24" t="n">
        <v>10</v>
      </c>
    </row>
    <row r="2903" customFormat="false" ht="15" hidden="false" customHeight="false" outlineLevel="0" collapsed="false">
      <c r="A2903" s="22" t="n">
        <v>94</v>
      </c>
      <c r="B2903" s="23" t="n">
        <v>46125</v>
      </c>
      <c r="C2903" s="22" t="s">
        <v>212</v>
      </c>
      <c r="D2903" s="24" t="n">
        <v>10</v>
      </c>
    </row>
    <row r="2904" customFormat="false" ht="15" hidden="false" customHeight="false" outlineLevel="0" collapsed="false">
      <c r="A2904" s="22" t="n">
        <v>95</v>
      </c>
      <c r="B2904" s="23" t="n">
        <v>46132</v>
      </c>
      <c r="C2904" s="22" t="s">
        <v>212</v>
      </c>
      <c r="D2904" s="24" t="n">
        <v>8</v>
      </c>
    </row>
    <row r="2905" customFormat="false" ht="15" hidden="false" customHeight="false" outlineLevel="0" collapsed="false">
      <c r="A2905" s="22" t="n">
        <v>96</v>
      </c>
      <c r="B2905" s="23" t="n">
        <v>46139</v>
      </c>
      <c r="C2905" s="22" t="s">
        <v>212</v>
      </c>
      <c r="D2905" s="24" t="n">
        <v>10</v>
      </c>
    </row>
    <row r="2906" customFormat="false" ht="15" hidden="false" customHeight="false" outlineLevel="0" collapsed="false">
      <c r="A2906" s="22" t="n">
        <v>97</v>
      </c>
      <c r="B2906" s="23" t="n">
        <v>46146</v>
      </c>
      <c r="C2906" s="22" t="s">
        <v>212</v>
      </c>
      <c r="D2906" s="24" t="n">
        <v>3</v>
      </c>
    </row>
    <row r="2907" customFormat="false" ht="15" hidden="false" customHeight="false" outlineLevel="0" collapsed="false">
      <c r="A2907" s="22" t="n">
        <v>98</v>
      </c>
      <c r="B2907" s="23" t="n">
        <v>46153</v>
      </c>
      <c r="C2907" s="22" t="s">
        <v>212</v>
      </c>
      <c r="D2907" s="24" t="n">
        <v>12</v>
      </c>
    </row>
    <row r="2908" customFormat="false" ht="15" hidden="false" customHeight="false" outlineLevel="0" collapsed="false">
      <c r="A2908" s="22" t="n">
        <v>99</v>
      </c>
      <c r="B2908" s="23" t="n">
        <v>46160</v>
      </c>
      <c r="C2908" s="22" t="s">
        <v>212</v>
      </c>
      <c r="D2908" s="24" t="n">
        <v>7</v>
      </c>
    </row>
    <row r="2909" customFormat="false" ht="15" hidden="false" customHeight="false" outlineLevel="0" collapsed="false">
      <c r="A2909" s="22" t="n">
        <v>100</v>
      </c>
      <c r="B2909" s="23" t="n">
        <v>46167</v>
      </c>
      <c r="C2909" s="22" t="s">
        <v>212</v>
      </c>
      <c r="D2909" s="24" t="n">
        <v>6</v>
      </c>
    </row>
    <row r="2910" customFormat="false" ht="15" hidden="false" customHeight="false" outlineLevel="0" collapsed="false">
      <c r="A2910" s="22" t="n">
        <v>101</v>
      </c>
      <c r="B2910" s="23" t="n">
        <v>46174</v>
      </c>
      <c r="C2910" s="22" t="s">
        <v>212</v>
      </c>
      <c r="D2910" s="24" t="n">
        <v>4</v>
      </c>
    </row>
    <row r="2911" customFormat="false" ht="15" hidden="false" customHeight="false" outlineLevel="0" collapsed="false">
      <c r="A2911" s="22" t="n">
        <v>102</v>
      </c>
      <c r="B2911" s="23" t="n">
        <v>46181</v>
      </c>
      <c r="C2911" s="22" t="s">
        <v>212</v>
      </c>
      <c r="D2911" s="24" t="n">
        <v>5</v>
      </c>
    </row>
    <row r="2912" customFormat="false" ht="15" hidden="false" customHeight="false" outlineLevel="0" collapsed="false">
      <c r="A2912" s="22" t="n">
        <v>103</v>
      </c>
      <c r="B2912" s="23" t="n">
        <v>46188</v>
      </c>
      <c r="C2912" s="22" t="s">
        <v>212</v>
      </c>
      <c r="D2912" s="24" t="n">
        <v>11</v>
      </c>
    </row>
    <row r="2913" customFormat="false" ht="15" hidden="false" customHeight="false" outlineLevel="0" collapsed="false">
      <c r="A2913" s="22" t="n">
        <v>104</v>
      </c>
      <c r="B2913" s="23" t="n">
        <v>46195</v>
      </c>
      <c r="C2913" s="22" t="s">
        <v>212</v>
      </c>
      <c r="D2913" s="24" t="n">
        <v>7</v>
      </c>
    </row>
    <row r="2914" customFormat="false" ht="15" hidden="false" customHeight="false" outlineLevel="0" collapsed="false">
      <c r="A2914" s="22" t="n">
        <v>1</v>
      </c>
      <c r="B2914" s="23" t="n">
        <v>45474</v>
      </c>
      <c r="C2914" s="22" t="s">
        <v>214</v>
      </c>
      <c r="D2914" s="24" t="n">
        <v>26</v>
      </c>
    </row>
    <row r="2915" customFormat="false" ht="15" hidden="false" customHeight="false" outlineLevel="0" collapsed="false">
      <c r="A2915" s="22" t="n">
        <v>2</v>
      </c>
      <c r="B2915" s="23" t="n">
        <v>45481</v>
      </c>
      <c r="C2915" s="22" t="s">
        <v>214</v>
      </c>
      <c r="D2915" s="24" t="n">
        <v>33</v>
      </c>
    </row>
    <row r="2916" customFormat="false" ht="15" hidden="false" customHeight="false" outlineLevel="0" collapsed="false">
      <c r="A2916" s="22" t="n">
        <v>3</v>
      </c>
      <c r="B2916" s="23" t="n">
        <v>45488</v>
      </c>
      <c r="C2916" s="22" t="s">
        <v>214</v>
      </c>
      <c r="D2916" s="24" t="n">
        <v>31</v>
      </c>
    </row>
    <row r="2917" customFormat="false" ht="15" hidden="false" customHeight="false" outlineLevel="0" collapsed="false">
      <c r="A2917" s="22" t="n">
        <v>4</v>
      </c>
      <c r="B2917" s="23" t="n">
        <v>45495</v>
      </c>
      <c r="C2917" s="22" t="s">
        <v>214</v>
      </c>
      <c r="D2917" s="24" t="n">
        <v>27</v>
      </c>
    </row>
    <row r="2918" customFormat="false" ht="15" hidden="false" customHeight="false" outlineLevel="0" collapsed="false">
      <c r="A2918" s="22" t="n">
        <v>5</v>
      </c>
      <c r="B2918" s="23" t="n">
        <v>45502</v>
      </c>
      <c r="C2918" s="22" t="s">
        <v>214</v>
      </c>
      <c r="D2918" s="24" t="n">
        <v>38</v>
      </c>
    </row>
    <row r="2919" customFormat="false" ht="15" hidden="false" customHeight="false" outlineLevel="0" collapsed="false">
      <c r="A2919" s="22" t="n">
        <v>6</v>
      </c>
      <c r="B2919" s="23" t="n">
        <v>45509</v>
      </c>
      <c r="C2919" s="22" t="s">
        <v>214</v>
      </c>
      <c r="D2919" s="24" t="n">
        <v>31</v>
      </c>
    </row>
    <row r="2920" customFormat="false" ht="15" hidden="false" customHeight="false" outlineLevel="0" collapsed="false">
      <c r="A2920" s="22" t="n">
        <v>7</v>
      </c>
      <c r="B2920" s="23" t="n">
        <v>45516</v>
      </c>
      <c r="C2920" s="22" t="s">
        <v>214</v>
      </c>
      <c r="D2920" s="24" t="n">
        <v>28</v>
      </c>
    </row>
    <row r="2921" customFormat="false" ht="15" hidden="false" customHeight="false" outlineLevel="0" collapsed="false">
      <c r="A2921" s="22" t="n">
        <v>8</v>
      </c>
      <c r="B2921" s="23" t="n">
        <v>45523</v>
      </c>
      <c r="C2921" s="22" t="s">
        <v>214</v>
      </c>
      <c r="D2921" s="24" t="n">
        <v>30</v>
      </c>
    </row>
    <row r="2922" customFormat="false" ht="15" hidden="false" customHeight="false" outlineLevel="0" collapsed="false">
      <c r="A2922" s="22" t="n">
        <v>9</v>
      </c>
      <c r="B2922" s="23" t="n">
        <v>45530</v>
      </c>
      <c r="C2922" s="22" t="s">
        <v>214</v>
      </c>
      <c r="D2922" s="24" t="n">
        <v>32</v>
      </c>
    </row>
    <row r="2923" customFormat="false" ht="15" hidden="false" customHeight="false" outlineLevel="0" collapsed="false">
      <c r="A2923" s="22" t="n">
        <v>10</v>
      </c>
      <c r="B2923" s="23" t="n">
        <v>45537</v>
      </c>
      <c r="C2923" s="22" t="s">
        <v>214</v>
      </c>
      <c r="D2923" s="24" t="n">
        <v>33</v>
      </c>
    </row>
    <row r="2924" customFormat="false" ht="15" hidden="false" customHeight="false" outlineLevel="0" collapsed="false">
      <c r="A2924" s="22" t="n">
        <v>11</v>
      </c>
      <c r="B2924" s="23" t="n">
        <v>45544</v>
      </c>
      <c r="C2924" s="22" t="s">
        <v>214</v>
      </c>
      <c r="D2924" s="24" t="n">
        <v>31</v>
      </c>
    </row>
    <row r="2925" customFormat="false" ht="15" hidden="false" customHeight="false" outlineLevel="0" collapsed="false">
      <c r="A2925" s="22" t="n">
        <v>12</v>
      </c>
      <c r="B2925" s="23" t="n">
        <v>45551</v>
      </c>
      <c r="C2925" s="22" t="s">
        <v>214</v>
      </c>
      <c r="D2925" s="24" t="n">
        <v>33</v>
      </c>
    </row>
    <row r="2926" customFormat="false" ht="15" hidden="false" customHeight="false" outlineLevel="0" collapsed="false">
      <c r="A2926" s="22" t="n">
        <v>13</v>
      </c>
      <c r="B2926" s="23" t="n">
        <v>45558</v>
      </c>
      <c r="C2926" s="22" t="s">
        <v>214</v>
      </c>
      <c r="D2926" s="24" t="n">
        <v>34</v>
      </c>
    </row>
    <row r="2927" customFormat="false" ht="15" hidden="false" customHeight="false" outlineLevel="0" collapsed="false">
      <c r="A2927" s="22" t="n">
        <v>14</v>
      </c>
      <c r="B2927" s="23" t="n">
        <v>45565</v>
      </c>
      <c r="C2927" s="22" t="s">
        <v>214</v>
      </c>
      <c r="D2927" s="24" t="n">
        <v>23</v>
      </c>
    </row>
    <row r="2928" customFormat="false" ht="15" hidden="false" customHeight="false" outlineLevel="0" collapsed="false">
      <c r="A2928" s="22" t="n">
        <v>15</v>
      </c>
      <c r="B2928" s="23" t="n">
        <v>45572</v>
      </c>
      <c r="C2928" s="22" t="s">
        <v>214</v>
      </c>
      <c r="D2928" s="24" t="n">
        <v>26</v>
      </c>
    </row>
    <row r="2929" customFormat="false" ht="15" hidden="false" customHeight="false" outlineLevel="0" collapsed="false">
      <c r="A2929" s="22" t="n">
        <v>16</v>
      </c>
      <c r="B2929" s="23" t="n">
        <v>45579</v>
      </c>
      <c r="C2929" s="22" t="s">
        <v>214</v>
      </c>
      <c r="D2929" s="24" t="n">
        <v>24</v>
      </c>
    </row>
    <row r="2930" customFormat="false" ht="15" hidden="false" customHeight="false" outlineLevel="0" collapsed="false">
      <c r="A2930" s="22" t="n">
        <v>17</v>
      </c>
      <c r="B2930" s="23" t="n">
        <v>45586</v>
      </c>
      <c r="C2930" s="22" t="s">
        <v>214</v>
      </c>
      <c r="D2930" s="24" t="n">
        <v>28</v>
      </c>
    </row>
    <row r="2931" customFormat="false" ht="15" hidden="false" customHeight="false" outlineLevel="0" collapsed="false">
      <c r="A2931" s="22" t="n">
        <v>18</v>
      </c>
      <c r="B2931" s="23" t="n">
        <v>45593</v>
      </c>
      <c r="C2931" s="22" t="s">
        <v>214</v>
      </c>
      <c r="D2931" s="24" t="n">
        <v>33</v>
      </c>
    </row>
    <row r="2932" customFormat="false" ht="15" hidden="false" customHeight="false" outlineLevel="0" collapsed="false">
      <c r="A2932" s="22" t="n">
        <v>19</v>
      </c>
      <c r="B2932" s="23" t="n">
        <v>45600</v>
      </c>
      <c r="C2932" s="22" t="s">
        <v>214</v>
      </c>
      <c r="D2932" s="24" t="n">
        <v>30</v>
      </c>
    </row>
    <row r="2933" customFormat="false" ht="15" hidden="false" customHeight="false" outlineLevel="0" collapsed="false">
      <c r="A2933" s="22" t="n">
        <v>20</v>
      </c>
      <c r="B2933" s="23" t="n">
        <v>45607</v>
      </c>
      <c r="C2933" s="22" t="s">
        <v>214</v>
      </c>
      <c r="D2933" s="24" t="n">
        <v>23</v>
      </c>
    </row>
    <row r="2934" customFormat="false" ht="15" hidden="false" customHeight="false" outlineLevel="0" collapsed="false">
      <c r="A2934" s="22" t="n">
        <v>21</v>
      </c>
      <c r="B2934" s="23" t="n">
        <v>45614</v>
      </c>
      <c r="C2934" s="22" t="s">
        <v>214</v>
      </c>
      <c r="D2934" s="24" t="n">
        <v>26</v>
      </c>
    </row>
    <row r="2935" customFormat="false" ht="15" hidden="false" customHeight="false" outlineLevel="0" collapsed="false">
      <c r="A2935" s="22" t="n">
        <v>22</v>
      </c>
      <c r="B2935" s="23" t="n">
        <v>45621</v>
      </c>
      <c r="C2935" s="22" t="s">
        <v>214</v>
      </c>
      <c r="D2935" s="24" t="n">
        <v>30</v>
      </c>
    </row>
    <row r="2936" customFormat="false" ht="15" hidden="false" customHeight="false" outlineLevel="0" collapsed="false">
      <c r="A2936" s="22" t="n">
        <v>23</v>
      </c>
      <c r="B2936" s="23" t="n">
        <v>45628</v>
      </c>
      <c r="C2936" s="22" t="s">
        <v>214</v>
      </c>
      <c r="D2936" s="24" t="n">
        <v>25</v>
      </c>
    </row>
    <row r="2937" customFormat="false" ht="15" hidden="false" customHeight="false" outlineLevel="0" collapsed="false">
      <c r="A2937" s="22" t="n">
        <v>24</v>
      </c>
      <c r="B2937" s="23" t="n">
        <v>45635</v>
      </c>
      <c r="C2937" s="22" t="s">
        <v>214</v>
      </c>
      <c r="D2937" s="24" t="n">
        <v>26</v>
      </c>
    </row>
    <row r="2938" customFormat="false" ht="15" hidden="false" customHeight="false" outlineLevel="0" collapsed="false">
      <c r="A2938" s="22" t="n">
        <v>25</v>
      </c>
      <c r="B2938" s="23" t="n">
        <v>45642</v>
      </c>
      <c r="C2938" s="22" t="s">
        <v>214</v>
      </c>
      <c r="D2938" s="24" t="n">
        <v>27</v>
      </c>
    </row>
    <row r="2939" customFormat="false" ht="15" hidden="false" customHeight="false" outlineLevel="0" collapsed="false">
      <c r="A2939" s="22" t="n">
        <v>26</v>
      </c>
      <c r="B2939" s="23" t="n">
        <v>45649</v>
      </c>
      <c r="C2939" s="22" t="s">
        <v>214</v>
      </c>
      <c r="D2939" s="24" t="n">
        <v>19</v>
      </c>
    </row>
    <row r="2940" customFormat="false" ht="15" hidden="false" customHeight="false" outlineLevel="0" collapsed="false">
      <c r="A2940" s="22" t="n">
        <v>27</v>
      </c>
      <c r="B2940" s="23" t="n">
        <v>45656</v>
      </c>
      <c r="C2940" s="22" t="s">
        <v>214</v>
      </c>
      <c r="D2940" s="24" t="n">
        <v>29</v>
      </c>
    </row>
    <row r="2941" customFormat="false" ht="15" hidden="false" customHeight="false" outlineLevel="0" collapsed="false">
      <c r="A2941" s="22" t="n">
        <v>28</v>
      </c>
      <c r="B2941" s="23" t="n">
        <v>45663</v>
      </c>
      <c r="C2941" s="22" t="s">
        <v>214</v>
      </c>
      <c r="D2941" s="24" t="n">
        <v>27</v>
      </c>
    </row>
    <row r="2942" customFormat="false" ht="15" hidden="false" customHeight="false" outlineLevel="0" collapsed="false">
      <c r="A2942" s="22" t="n">
        <v>29</v>
      </c>
      <c r="B2942" s="23" t="n">
        <v>45670</v>
      </c>
      <c r="C2942" s="22" t="s">
        <v>214</v>
      </c>
      <c r="D2942" s="24" t="n">
        <v>28</v>
      </c>
    </row>
    <row r="2943" customFormat="false" ht="15" hidden="false" customHeight="false" outlineLevel="0" collapsed="false">
      <c r="A2943" s="22" t="n">
        <v>30</v>
      </c>
      <c r="B2943" s="23" t="n">
        <v>45677</v>
      </c>
      <c r="C2943" s="22" t="s">
        <v>214</v>
      </c>
      <c r="D2943" s="24" t="n">
        <v>22</v>
      </c>
    </row>
    <row r="2944" customFormat="false" ht="15" hidden="false" customHeight="false" outlineLevel="0" collapsed="false">
      <c r="A2944" s="22" t="n">
        <v>31</v>
      </c>
      <c r="B2944" s="23" t="n">
        <v>45684</v>
      </c>
      <c r="C2944" s="22" t="s">
        <v>214</v>
      </c>
      <c r="D2944" s="24" t="n">
        <v>23</v>
      </c>
    </row>
    <row r="2945" customFormat="false" ht="15" hidden="false" customHeight="false" outlineLevel="0" collapsed="false">
      <c r="A2945" s="22" t="n">
        <v>32</v>
      </c>
      <c r="B2945" s="23" t="n">
        <v>45691</v>
      </c>
      <c r="C2945" s="22" t="s">
        <v>214</v>
      </c>
      <c r="D2945" s="24" t="n">
        <v>23</v>
      </c>
    </row>
    <row r="2946" customFormat="false" ht="15" hidden="false" customHeight="false" outlineLevel="0" collapsed="false">
      <c r="A2946" s="22" t="n">
        <v>33</v>
      </c>
      <c r="B2946" s="23" t="n">
        <v>45698</v>
      </c>
      <c r="C2946" s="22" t="s">
        <v>214</v>
      </c>
      <c r="D2946" s="24" t="n">
        <v>26</v>
      </c>
    </row>
    <row r="2947" customFormat="false" ht="15" hidden="false" customHeight="false" outlineLevel="0" collapsed="false">
      <c r="A2947" s="22" t="n">
        <v>34</v>
      </c>
      <c r="B2947" s="23" t="n">
        <v>45705</v>
      </c>
      <c r="C2947" s="22" t="s">
        <v>214</v>
      </c>
      <c r="D2947" s="24" t="n">
        <v>25</v>
      </c>
    </row>
    <row r="2948" customFormat="false" ht="15" hidden="false" customHeight="false" outlineLevel="0" collapsed="false">
      <c r="A2948" s="22" t="n">
        <v>35</v>
      </c>
      <c r="B2948" s="23" t="n">
        <v>45712</v>
      </c>
      <c r="C2948" s="22" t="s">
        <v>214</v>
      </c>
      <c r="D2948" s="24" t="n">
        <v>25</v>
      </c>
    </row>
    <row r="2949" customFormat="false" ht="15" hidden="false" customHeight="false" outlineLevel="0" collapsed="false">
      <c r="A2949" s="22" t="n">
        <v>36</v>
      </c>
      <c r="B2949" s="23" t="n">
        <v>45719</v>
      </c>
      <c r="C2949" s="22" t="s">
        <v>214</v>
      </c>
      <c r="D2949" s="24" t="n">
        <v>31</v>
      </c>
    </row>
    <row r="2950" customFormat="false" ht="15" hidden="false" customHeight="false" outlineLevel="0" collapsed="false">
      <c r="A2950" s="22" t="n">
        <v>37</v>
      </c>
      <c r="B2950" s="23" t="n">
        <v>45726</v>
      </c>
      <c r="C2950" s="22" t="s">
        <v>214</v>
      </c>
      <c r="D2950" s="24" t="n">
        <v>29</v>
      </c>
    </row>
    <row r="2951" customFormat="false" ht="15" hidden="false" customHeight="false" outlineLevel="0" collapsed="false">
      <c r="A2951" s="22" t="n">
        <v>38</v>
      </c>
      <c r="B2951" s="23" t="n">
        <v>45733</v>
      </c>
      <c r="C2951" s="22" t="s">
        <v>214</v>
      </c>
      <c r="D2951" s="24" t="n">
        <v>22</v>
      </c>
    </row>
    <row r="2952" customFormat="false" ht="15" hidden="false" customHeight="false" outlineLevel="0" collapsed="false">
      <c r="A2952" s="22" t="n">
        <v>39</v>
      </c>
      <c r="B2952" s="23" t="n">
        <v>45740</v>
      </c>
      <c r="C2952" s="22" t="s">
        <v>214</v>
      </c>
      <c r="D2952" s="24" t="n">
        <v>22</v>
      </c>
    </row>
    <row r="2953" customFormat="false" ht="15" hidden="false" customHeight="false" outlineLevel="0" collapsed="false">
      <c r="A2953" s="22" t="n">
        <v>40</v>
      </c>
      <c r="B2953" s="23" t="n">
        <v>45747</v>
      </c>
      <c r="C2953" s="22" t="s">
        <v>214</v>
      </c>
      <c r="D2953" s="24" t="n">
        <v>30</v>
      </c>
    </row>
    <row r="2954" customFormat="false" ht="15" hidden="false" customHeight="false" outlineLevel="0" collapsed="false">
      <c r="A2954" s="22" t="n">
        <v>41</v>
      </c>
      <c r="B2954" s="23" t="n">
        <v>45754</v>
      </c>
      <c r="C2954" s="22" t="s">
        <v>214</v>
      </c>
      <c r="D2954" s="24" t="n">
        <v>23</v>
      </c>
    </row>
    <row r="2955" customFormat="false" ht="15" hidden="false" customHeight="false" outlineLevel="0" collapsed="false">
      <c r="A2955" s="22" t="n">
        <v>42</v>
      </c>
      <c r="B2955" s="23" t="n">
        <v>45761</v>
      </c>
      <c r="C2955" s="22" t="s">
        <v>214</v>
      </c>
      <c r="D2955" s="24" t="n">
        <v>28</v>
      </c>
    </row>
    <row r="2956" customFormat="false" ht="15" hidden="false" customHeight="false" outlineLevel="0" collapsed="false">
      <c r="A2956" s="22" t="n">
        <v>43</v>
      </c>
      <c r="B2956" s="23" t="n">
        <v>45768</v>
      </c>
      <c r="C2956" s="22" t="s">
        <v>214</v>
      </c>
      <c r="D2956" s="24" t="n">
        <v>29</v>
      </c>
    </row>
    <row r="2957" customFormat="false" ht="15" hidden="false" customHeight="false" outlineLevel="0" collapsed="false">
      <c r="A2957" s="22" t="n">
        <v>44</v>
      </c>
      <c r="B2957" s="23" t="n">
        <v>45775</v>
      </c>
      <c r="C2957" s="22" t="s">
        <v>214</v>
      </c>
      <c r="D2957" s="24" t="n">
        <v>22</v>
      </c>
    </row>
    <row r="2958" customFormat="false" ht="15" hidden="false" customHeight="false" outlineLevel="0" collapsed="false">
      <c r="A2958" s="22" t="n">
        <v>45</v>
      </c>
      <c r="B2958" s="23" t="n">
        <v>45782</v>
      </c>
      <c r="C2958" s="22" t="s">
        <v>214</v>
      </c>
      <c r="D2958" s="24" t="n">
        <v>22</v>
      </c>
    </row>
    <row r="2959" customFormat="false" ht="15" hidden="false" customHeight="false" outlineLevel="0" collapsed="false">
      <c r="A2959" s="22" t="n">
        <v>46</v>
      </c>
      <c r="B2959" s="23" t="n">
        <v>45789</v>
      </c>
      <c r="C2959" s="22" t="s">
        <v>214</v>
      </c>
      <c r="D2959" s="24" t="n">
        <v>23</v>
      </c>
    </row>
    <row r="2960" customFormat="false" ht="15" hidden="false" customHeight="false" outlineLevel="0" collapsed="false">
      <c r="A2960" s="22" t="n">
        <v>47</v>
      </c>
      <c r="B2960" s="23" t="n">
        <v>45796</v>
      </c>
      <c r="C2960" s="22" t="s">
        <v>214</v>
      </c>
      <c r="D2960" s="24" t="n">
        <v>20</v>
      </c>
    </row>
    <row r="2961" customFormat="false" ht="15" hidden="false" customHeight="false" outlineLevel="0" collapsed="false">
      <c r="A2961" s="22" t="n">
        <v>48</v>
      </c>
      <c r="B2961" s="23" t="n">
        <v>45803</v>
      </c>
      <c r="C2961" s="22" t="s">
        <v>214</v>
      </c>
      <c r="D2961" s="24" t="n">
        <v>20</v>
      </c>
    </row>
    <row r="2962" customFormat="false" ht="15" hidden="false" customHeight="false" outlineLevel="0" collapsed="false">
      <c r="A2962" s="22" t="n">
        <v>49</v>
      </c>
      <c r="B2962" s="23" t="n">
        <v>45810</v>
      </c>
      <c r="C2962" s="22" t="s">
        <v>214</v>
      </c>
      <c r="D2962" s="24" t="n">
        <v>21</v>
      </c>
    </row>
    <row r="2963" customFormat="false" ht="15" hidden="false" customHeight="false" outlineLevel="0" collapsed="false">
      <c r="A2963" s="22" t="n">
        <v>50</v>
      </c>
      <c r="B2963" s="23" t="n">
        <v>45817</v>
      </c>
      <c r="C2963" s="22" t="s">
        <v>214</v>
      </c>
      <c r="D2963" s="24" t="n">
        <v>25</v>
      </c>
    </row>
    <row r="2964" customFormat="false" ht="15" hidden="false" customHeight="false" outlineLevel="0" collapsed="false">
      <c r="A2964" s="22" t="n">
        <v>51</v>
      </c>
      <c r="B2964" s="23" t="n">
        <v>45824</v>
      </c>
      <c r="C2964" s="22" t="s">
        <v>214</v>
      </c>
      <c r="D2964" s="24" t="n">
        <v>21</v>
      </c>
    </row>
    <row r="2965" customFormat="false" ht="15" hidden="false" customHeight="false" outlineLevel="0" collapsed="false">
      <c r="A2965" s="22" t="n">
        <v>52</v>
      </c>
      <c r="B2965" s="23" t="n">
        <v>45831</v>
      </c>
      <c r="C2965" s="22" t="s">
        <v>214</v>
      </c>
      <c r="D2965" s="24" t="n">
        <v>21</v>
      </c>
    </row>
    <row r="2966" customFormat="false" ht="15" hidden="false" customHeight="false" outlineLevel="0" collapsed="false">
      <c r="A2966" s="22" t="n">
        <v>53</v>
      </c>
      <c r="B2966" s="23" t="n">
        <v>45838</v>
      </c>
      <c r="C2966" s="22" t="s">
        <v>214</v>
      </c>
      <c r="D2966" s="24" t="n">
        <v>21</v>
      </c>
    </row>
    <row r="2967" customFormat="false" ht="15" hidden="false" customHeight="false" outlineLevel="0" collapsed="false">
      <c r="A2967" s="22" t="n">
        <v>54</v>
      </c>
      <c r="B2967" s="23" t="n">
        <v>45845</v>
      </c>
      <c r="C2967" s="22" t="s">
        <v>214</v>
      </c>
      <c r="D2967" s="24" t="n">
        <v>18</v>
      </c>
    </row>
    <row r="2968" customFormat="false" ht="15" hidden="false" customHeight="false" outlineLevel="0" collapsed="false">
      <c r="A2968" s="22" t="n">
        <v>55</v>
      </c>
      <c r="B2968" s="23" t="n">
        <v>45852</v>
      </c>
      <c r="C2968" s="22" t="s">
        <v>214</v>
      </c>
      <c r="D2968" s="24" t="n">
        <v>26</v>
      </c>
    </row>
    <row r="2969" customFormat="false" ht="15" hidden="false" customHeight="false" outlineLevel="0" collapsed="false">
      <c r="A2969" s="22" t="n">
        <v>56</v>
      </c>
      <c r="B2969" s="23" t="n">
        <v>45859</v>
      </c>
      <c r="C2969" s="22" t="s">
        <v>214</v>
      </c>
      <c r="D2969" s="24" t="n">
        <v>14</v>
      </c>
    </row>
    <row r="2970" customFormat="false" ht="15" hidden="false" customHeight="false" outlineLevel="0" collapsed="false">
      <c r="A2970" s="22" t="n">
        <v>57</v>
      </c>
      <c r="B2970" s="23" t="n">
        <v>45866</v>
      </c>
      <c r="C2970" s="22" t="s">
        <v>214</v>
      </c>
      <c r="D2970" s="24" t="n">
        <v>19</v>
      </c>
    </row>
    <row r="2971" customFormat="false" ht="15" hidden="false" customHeight="false" outlineLevel="0" collapsed="false">
      <c r="A2971" s="22" t="n">
        <v>58</v>
      </c>
      <c r="B2971" s="23" t="n">
        <v>45873</v>
      </c>
      <c r="C2971" s="22" t="s">
        <v>214</v>
      </c>
      <c r="D2971" s="24" t="n">
        <v>23</v>
      </c>
    </row>
    <row r="2972" customFormat="false" ht="15" hidden="false" customHeight="false" outlineLevel="0" collapsed="false">
      <c r="A2972" s="22" t="n">
        <v>59</v>
      </c>
      <c r="B2972" s="23" t="n">
        <v>45880</v>
      </c>
      <c r="C2972" s="22" t="s">
        <v>214</v>
      </c>
      <c r="D2972" s="24" t="n">
        <v>17</v>
      </c>
    </row>
    <row r="2973" customFormat="false" ht="15" hidden="false" customHeight="false" outlineLevel="0" collapsed="false">
      <c r="A2973" s="22" t="n">
        <v>60</v>
      </c>
      <c r="B2973" s="23" t="n">
        <v>45887</v>
      </c>
      <c r="C2973" s="22" t="s">
        <v>214</v>
      </c>
      <c r="D2973" s="24" t="n">
        <v>23</v>
      </c>
    </row>
    <row r="2974" customFormat="false" ht="15" hidden="false" customHeight="false" outlineLevel="0" collapsed="false">
      <c r="A2974" s="22" t="n">
        <v>61</v>
      </c>
      <c r="B2974" s="23" t="n">
        <v>45894</v>
      </c>
      <c r="C2974" s="22" t="s">
        <v>214</v>
      </c>
      <c r="D2974" s="24" t="n">
        <v>24</v>
      </c>
    </row>
    <row r="2975" customFormat="false" ht="15" hidden="false" customHeight="false" outlineLevel="0" collapsed="false">
      <c r="A2975" s="22" t="n">
        <v>62</v>
      </c>
      <c r="B2975" s="23" t="n">
        <v>45901</v>
      </c>
      <c r="C2975" s="22" t="s">
        <v>214</v>
      </c>
      <c r="D2975" s="24" t="n">
        <v>18</v>
      </c>
    </row>
    <row r="2976" customFormat="false" ht="15" hidden="false" customHeight="false" outlineLevel="0" collapsed="false">
      <c r="A2976" s="22" t="n">
        <v>63</v>
      </c>
      <c r="B2976" s="23" t="n">
        <v>45908</v>
      </c>
      <c r="C2976" s="22" t="s">
        <v>214</v>
      </c>
      <c r="D2976" s="24" t="n">
        <v>21</v>
      </c>
    </row>
    <row r="2977" customFormat="false" ht="15" hidden="false" customHeight="false" outlineLevel="0" collapsed="false">
      <c r="A2977" s="22" t="n">
        <v>64</v>
      </c>
      <c r="B2977" s="23" t="n">
        <v>45915</v>
      </c>
      <c r="C2977" s="22" t="s">
        <v>214</v>
      </c>
      <c r="D2977" s="24" t="n">
        <v>17</v>
      </c>
    </row>
    <row r="2978" customFormat="false" ht="15" hidden="false" customHeight="false" outlineLevel="0" collapsed="false">
      <c r="A2978" s="22" t="n">
        <v>65</v>
      </c>
      <c r="B2978" s="23" t="n">
        <v>45922</v>
      </c>
      <c r="C2978" s="22" t="s">
        <v>214</v>
      </c>
      <c r="D2978" s="24" t="n">
        <v>22</v>
      </c>
    </row>
    <row r="2979" customFormat="false" ht="15" hidden="false" customHeight="false" outlineLevel="0" collapsed="false">
      <c r="A2979" s="22" t="n">
        <v>66</v>
      </c>
      <c r="B2979" s="23" t="n">
        <v>45929</v>
      </c>
      <c r="C2979" s="22" t="s">
        <v>214</v>
      </c>
      <c r="D2979" s="24" t="n">
        <v>20</v>
      </c>
    </row>
    <row r="2980" customFormat="false" ht="15" hidden="false" customHeight="false" outlineLevel="0" collapsed="false">
      <c r="A2980" s="22" t="n">
        <v>67</v>
      </c>
      <c r="B2980" s="23" t="n">
        <v>45936</v>
      </c>
      <c r="C2980" s="22" t="s">
        <v>214</v>
      </c>
      <c r="D2980" s="24" t="n">
        <v>20</v>
      </c>
    </row>
    <row r="2981" customFormat="false" ht="15" hidden="false" customHeight="false" outlineLevel="0" collapsed="false">
      <c r="A2981" s="22" t="n">
        <v>68</v>
      </c>
      <c r="B2981" s="23" t="n">
        <v>45943</v>
      </c>
      <c r="C2981" s="22" t="s">
        <v>214</v>
      </c>
      <c r="D2981" s="24" t="n">
        <v>24</v>
      </c>
    </row>
    <row r="2982" customFormat="false" ht="15" hidden="false" customHeight="false" outlineLevel="0" collapsed="false">
      <c r="A2982" s="22" t="n">
        <v>69</v>
      </c>
      <c r="B2982" s="23" t="n">
        <v>45950</v>
      </c>
      <c r="C2982" s="22" t="s">
        <v>214</v>
      </c>
      <c r="D2982" s="24" t="n">
        <v>21</v>
      </c>
    </row>
    <row r="2983" customFormat="false" ht="15" hidden="false" customHeight="false" outlineLevel="0" collapsed="false">
      <c r="A2983" s="22" t="n">
        <v>70</v>
      </c>
      <c r="B2983" s="23" t="n">
        <v>45957</v>
      </c>
      <c r="C2983" s="22" t="s">
        <v>214</v>
      </c>
      <c r="D2983" s="24" t="n">
        <v>23</v>
      </c>
    </row>
    <row r="2984" customFormat="false" ht="15" hidden="false" customHeight="false" outlineLevel="0" collapsed="false">
      <c r="A2984" s="22" t="n">
        <v>71</v>
      </c>
      <c r="B2984" s="23" t="n">
        <v>45964</v>
      </c>
      <c r="C2984" s="22" t="s">
        <v>214</v>
      </c>
      <c r="D2984" s="24" t="n">
        <v>21</v>
      </c>
    </row>
    <row r="2985" customFormat="false" ht="15" hidden="false" customHeight="false" outlineLevel="0" collapsed="false">
      <c r="A2985" s="22" t="n">
        <v>72</v>
      </c>
      <c r="B2985" s="23" t="n">
        <v>45971</v>
      </c>
      <c r="C2985" s="22" t="s">
        <v>214</v>
      </c>
      <c r="D2985" s="24" t="n">
        <v>16</v>
      </c>
    </row>
    <row r="2986" customFormat="false" ht="15" hidden="false" customHeight="false" outlineLevel="0" collapsed="false">
      <c r="A2986" s="22" t="n">
        <v>73</v>
      </c>
      <c r="B2986" s="23" t="n">
        <v>45978</v>
      </c>
      <c r="C2986" s="22" t="s">
        <v>214</v>
      </c>
      <c r="D2986" s="24" t="n">
        <v>20</v>
      </c>
    </row>
    <row r="2987" customFormat="false" ht="15" hidden="false" customHeight="false" outlineLevel="0" collapsed="false">
      <c r="A2987" s="22" t="n">
        <v>74</v>
      </c>
      <c r="B2987" s="23" t="n">
        <v>45985</v>
      </c>
      <c r="C2987" s="22" t="s">
        <v>214</v>
      </c>
      <c r="D2987" s="24" t="n">
        <v>20</v>
      </c>
    </row>
    <row r="2988" customFormat="false" ht="15" hidden="false" customHeight="false" outlineLevel="0" collapsed="false">
      <c r="A2988" s="22" t="n">
        <v>75</v>
      </c>
      <c r="B2988" s="23" t="n">
        <v>45992</v>
      </c>
      <c r="C2988" s="22" t="s">
        <v>214</v>
      </c>
      <c r="D2988" s="24" t="n">
        <v>15</v>
      </c>
    </row>
    <row r="2989" customFormat="false" ht="15" hidden="false" customHeight="false" outlineLevel="0" collapsed="false">
      <c r="A2989" s="22" t="n">
        <v>76</v>
      </c>
      <c r="B2989" s="23" t="n">
        <v>45999</v>
      </c>
      <c r="C2989" s="22" t="s">
        <v>214</v>
      </c>
      <c r="D2989" s="24" t="n">
        <v>22</v>
      </c>
    </row>
    <row r="2990" customFormat="false" ht="15" hidden="false" customHeight="false" outlineLevel="0" collapsed="false">
      <c r="A2990" s="22" t="n">
        <v>77</v>
      </c>
      <c r="B2990" s="23" t="n">
        <v>46006</v>
      </c>
      <c r="C2990" s="22" t="s">
        <v>214</v>
      </c>
      <c r="D2990" s="24" t="n">
        <v>19</v>
      </c>
    </row>
    <row r="2991" customFormat="false" ht="15" hidden="false" customHeight="false" outlineLevel="0" collapsed="false">
      <c r="A2991" s="22" t="n">
        <v>78</v>
      </c>
      <c r="B2991" s="23" t="n">
        <v>46013</v>
      </c>
      <c r="C2991" s="22" t="s">
        <v>214</v>
      </c>
      <c r="D2991" s="24" t="n">
        <v>19</v>
      </c>
    </row>
    <row r="2992" customFormat="false" ht="15" hidden="false" customHeight="false" outlineLevel="0" collapsed="false">
      <c r="A2992" s="22" t="n">
        <v>79</v>
      </c>
      <c r="B2992" s="23" t="n">
        <v>46020</v>
      </c>
      <c r="C2992" s="22" t="s">
        <v>214</v>
      </c>
      <c r="D2992" s="24" t="n">
        <v>16</v>
      </c>
    </row>
    <row r="2993" customFormat="false" ht="15" hidden="false" customHeight="false" outlineLevel="0" collapsed="false">
      <c r="A2993" s="22" t="n">
        <v>80</v>
      </c>
      <c r="B2993" s="23" t="n">
        <v>46027</v>
      </c>
      <c r="C2993" s="22" t="s">
        <v>214</v>
      </c>
      <c r="D2993" s="24" t="n">
        <v>18</v>
      </c>
    </row>
    <row r="2994" customFormat="false" ht="15" hidden="false" customHeight="false" outlineLevel="0" collapsed="false">
      <c r="A2994" s="22" t="n">
        <v>81</v>
      </c>
      <c r="B2994" s="23" t="n">
        <v>46034</v>
      </c>
      <c r="C2994" s="22" t="s">
        <v>214</v>
      </c>
      <c r="D2994" s="24" t="n">
        <v>19</v>
      </c>
    </row>
    <row r="2995" customFormat="false" ht="15" hidden="false" customHeight="false" outlineLevel="0" collapsed="false">
      <c r="A2995" s="22" t="n">
        <v>82</v>
      </c>
      <c r="B2995" s="23" t="n">
        <v>46041</v>
      </c>
      <c r="C2995" s="22" t="s">
        <v>214</v>
      </c>
      <c r="D2995" s="24" t="n">
        <v>17</v>
      </c>
    </row>
    <row r="2996" customFormat="false" ht="15" hidden="false" customHeight="false" outlineLevel="0" collapsed="false">
      <c r="A2996" s="22" t="n">
        <v>83</v>
      </c>
      <c r="B2996" s="23" t="n">
        <v>46048</v>
      </c>
      <c r="C2996" s="22" t="s">
        <v>214</v>
      </c>
      <c r="D2996" s="24" t="n">
        <v>18</v>
      </c>
    </row>
    <row r="2997" customFormat="false" ht="15" hidden="false" customHeight="false" outlineLevel="0" collapsed="false">
      <c r="A2997" s="22" t="n">
        <v>84</v>
      </c>
      <c r="B2997" s="23" t="n">
        <v>46055</v>
      </c>
      <c r="C2997" s="22" t="s">
        <v>214</v>
      </c>
      <c r="D2997" s="24" t="n">
        <v>12</v>
      </c>
    </row>
    <row r="2998" customFormat="false" ht="15" hidden="false" customHeight="false" outlineLevel="0" collapsed="false">
      <c r="A2998" s="22" t="n">
        <v>85</v>
      </c>
      <c r="B2998" s="23" t="n">
        <v>46062</v>
      </c>
      <c r="C2998" s="22" t="s">
        <v>214</v>
      </c>
      <c r="D2998" s="24" t="n">
        <v>20</v>
      </c>
    </row>
    <row r="2999" customFormat="false" ht="15" hidden="false" customHeight="false" outlineLevel="0" collapsed="false">
      <c r="A2999" s="22" t="n">
        <v>86</v>
      </c>
      <c r="B2999" s="23" t="n">
        <v>46069</v>
      </c>
      <c r="C2999" s="22" t="s">
        <v>214</v>
      </c>
      <c r="D2999" s="24" t="n">
        <v>14</v>
      </c>
    </row>
    <row r="3000" customFormat="false" ht="15" hidden="false" customHeight="false" outlineLevel="0" collapsed="false">
      <c r="A3000" s="22" t="n">
        <v>87</v>
      </c>
      <c r="B3000" s="23" t="n">
        <v>46076</v>
      </c>
      <c r="C3000" s="22" t="s">
        <v>214</v>
      </c>
      <c r="D3000" s="24" t="n">
        <v>12</v>
      </c>
    </row>
    <row r="3001" customFormat="false" ht="15" hidden="false" customHeight="false" outlineLevel="0" collapsed="false">
      <c r="A3001" s="22" t="n">
        <v>88</v>
      </c>
      <c r="B3001" s="23" t="n">
        <v>46083</v>
      </c>
      <c r="C3001" s="22" t="s">
        <v>214</v>
      </c>
      <c r="D3001" s="24" t="n">
        <v>14</v>
      </c>
    </row>
    <row r="3002" customFormat="false" ht="15" hidden="false" customHeight="false" outlineLevel="0" collapsed="false">
      <c r="A3002" s="22" t="n">
        <v>89</v>
      </c>
      <c r="B3002" s="23" t="n">
        <v>46090</v>
      </c>
      <c r="C3002" s="22" t="s">
        <v>214</v>
      </c>
      <c r="D3002" s="24" t="n">
        <v>15</v>
      </c>
    </row>
    <row r="3003" customFormat="false" ht="15" hidden="false" customHeight="false" outlineLevel="0" collapsed="false">
      <c r="A3003" s="22" t="n">
        <v>90</v>
      </c>
      <c r="B3003" s="23" t="n">
        <v>46097</v>
      </c>
      <c r="C3003" s="22" t="s">
        <v>214</v>
      </c>
      <c r="D3003" s="24" t="n">
        <v>18</v>
      </c>
    </row>
    <row r="3004" customFormat="false" ht="15" hidden="false" customHeight="false" outlineLevel="0" collapsed="false">
      <c r="A3004" s="22" t="n">
        <v>91</v>
      </c>
      <c r="B3004" s="23" t="n">
        <v>46104</v>
      </c>
      <c r="C3004" s="22" t="s">
        <v>214</v>
      </c>
      <c r="D3004" s="24" t="n">
        <v>14</v>
      </c>
    </row>
    <row r="3005" customFormat="false" ht="15" hidden="false" customHeight="false" outlineLevel="0" collapsed="false">
      <c r="A3005" s="22" t="n">
        <v>92</v>
      </c>
      <c r="B3005" s="23" t="n">
        <v>46111</v>
      </c>
      <c r="C3005" s="22" t="s">
        <v>214</v>
      </c>
      <c r="D3005" s="24" t="n">
        <v>17</v>
      </c>
    </row>
    <row r="3006" customFormat="false" ht="15" hidden="false" customHeight="false" outlineLevel="0" collapsed="false">
      <c r="A3006" s="22" t="n">
        <v>93</v>
      </c>
      <c r="B3006" s="23" t="n">
        <v>46118</v>
      </c>
      <c r="C3006" s="22" t="s">
        <v>214</v>
      </c>
      <c r="D3006" s="24" t="n">
        <v>14</v>
      </c>
    </row>
    <row r="3007" customFormat="false" ht="15" hidden="false" customHeight="false" outlineLevel="0" collapsed="false">
      <c r="A3007" s="22" t="n">
        <v>94</v>
      </c>
      <c r="B3007" s="23" t="n">
        <v>46125</v>
      </c>
      <c r="C3007" s="22" t="s">
        <v>214</v>
      </c>
      <c r="D3007" s="24" t="n">
        <v>21</v>
      </c>
    </row>
    <row r="3008" customFormat="false" ht="15" hidden="false" customHeight="false" outlineLevel="0" collapsed="false">
      <c r="A3008" s="22" t="n">
        <v>95</v>
      </c>
      <c r="B3008" s="23" t="n">
        <v>46132</v>
      </c>
      <c r="C3008" s="22" t="s">
        <v>214</v>
      </c>
      <c r="D3008" s="24" t="n">
        <v>17</v>
      </c>
    </row>
    <row r="3009" customFormat="false" ht="15" hidden="false" customHeight="false" outlineLevel="0" collapsed="false">
      <c r="A3009" s="22" t="n">
        <v>96</v>
      </c>
      <c r="B3009" s="23" t="n">
        <v>46139</v>
      </c>
      <c r="C3009" s="22" t="s">
        <v>214</v>
      </c>
      <c r="D3009" s="24" t="n">
        <v>20</v>
      </c>
    </row>
    <row r="3010" customFormat="false" ht="15" hidden="false" customHeight="false" outlineLevel="0" collapsed="false">
      <c r="A3010" s="22" t="n">
        <v>97</v>
      </c>
      <c r="B3010" s="23" t="n">
        <v>46146</v>
      </c>
      <c r="C3010" s="22" t="s">
        <v>214</v>
      </c>
      <c r="D3010" s="24" t="n">
        <v>13</v>
      </c>
    </row>
    <row r="3011" customFormat="false" ht="15" hidden="false" customHeight="false" outlineLevel="0" collapsed="false">
      <c r="A3011" s="22" t="n">
        <v>98</v>
      </c>
      <c r="B3011" s="23" t="n">
        <v>46153</v>
      </c>
      <c r="C3011" s="22" t="s">
        <v>214</v>
      </c>
      <c r="D3011" s="24" t="n">
        <v>17</v>
      </c>
    </row>
    <row r="3012" customFormat="false" ht="15" hidden="false" customHeight="false" outlineLevel="0" collapsed="false">
      <c r="A3012" s="22" t="n">
        <v>99</v>
      </c>
      <c r="B3012" s="23" t="n">
        <v>46160</v>
      </c>
      <c r="C3012" s="22" t="s">
        <v>214</v>
      </c>
      <c r="D3012" s="24" t="n">
        <v>13</v>
      </c>
    </row>
    <row r="3013" customFormat="false" ht="15" hidden="false" customHeight="false" outlineLevel="0" collapsed="false">
      <c r="A3013" s="22" t="n">
        <v>100</v>
      </c>
      <c r="B3013" s="23" t="n">
        <v>46167</v>
      </c>
      <c r="C3013" s="22" t="s">
        <v>214</v>
      </c>
      <c r="D3013" s="24" t="n">
        <v>16</v>
      </c>
    </row>
    <row r="3014" customFormat="false" ht="15" hidden="false" customHeight="false" outlineLevel="0" collapsed="false">
      <c r="A3014" s="22" t="n">
        <v>101</v>
      </c>
      <c r="B3014" s="23" t="n">
        <v>46174</v>
      </c>
      <c r="C3014" s="22" t="s">
        <v>214</v>
      </c>
      <c r="D3014" s="24" t="n">
        <v>16</v>
      </c>
    </row>
    <row r="3015" customFormat="false" ht="15" hidden="false" customHeight="false" outlineLevel="0" collapsed="false">
      <c r="A3015" s="22" t="n">
        <v>102</v>
      </c>
      <c r="B3015" s="23" t="n">
        <v>46181</v>
      </c>
      <c r="C3015" s="22" t="s">
        <v>214</v>
      </c>
      <c r="D3015" s="24" t="n">
        <v>11</v>
      </c>
    </row>
    <row r="3016" customFormat="false" ht="15" hidden="false" customHeight="false" outlineLevel="0" collapsed="false">
      <c r="A3016" s="22" t="n">
        <v>103</v>
      </c>
      <c r="B3016" s="23" t="n">
        <v>46188</v>
      </c>
      <c r="C3016" s="22" t="s">
        <v>214</v>
      </c>
      <c r="D3016" s="24" t="n">
        <v>12</v>
      </c>
    </row>
    <row r="3017" customFormat="false" ht="15" hidden="false" customHeight="false" outlineLevel="0" collapsed="false">
      <c r="A3017" s="22" t="n">
        <v>104</v>
      </c>
      <c r="B3017" s="23" t="n">
        <v>46195</v>
      </c>
      <c r="C3017" s="22" t="s">
        <v>214</v>
      </c>
      <c r="D3017" s="24" t="n">
        <v>12</v>
      </c>
    </row>
    <row r="3018" customFormat="false" ht="15" hidden="false" customHeight="false" outlineLevel="0" collapsed="false">
      <c r="A3018" s="22" t="n">
        <v>1</v>
      </c>
      <c r="B3018" s="23" t="n">
        <v>45474</v>
      </c>
      <c r="C3018" s="22" t="s">
        <v>216</v>
      </c>
      <c r="D3018" s="24" t="n">
        <v>31</v>
      </c>
    </row>
    <row r="3019" customFormat="false" ht="15" hidden="false" customHeight="false" outlineLevel="0" collapsed="false">
      <c r="A3019" s="22" t="n">
        <v>2</v>
      </c>
      <c r="B3019" s="23" t="n">
        <v>45481</v>
      </c>
      <c r="C3019" s="22" t="s">
        <v>216</v>
      </c>
      <c r="D3019" s="24" t="n">
        <v>30</v>
      </c>
    </row>
    <row r="3020" customFormat="false" ht="15" hidden="false" customHeight="false" outlineLevel="0" collapsed="false">
      <c r="A3020" s="22" t="n">
        <v>3</v>
      </c>
      <c r="B3020" s="23" t="n">
        <v>45488</v>
      </c>
      <c r="C3020" s="22" t="s">
        <v>216</v>
      </c>
      <c r="D3020" s="24" t="n">
        <v>28</v>
      </c>
    </row>
    <row r="3021" customFormat="false" ht="15" hidden="false" customHeight="false" outlineLevel="0" collapsed="false">
      <c r="A3021" s="22" t="n">
        <v>4</v>
      </c>
      <c r="B3021" s="23" t="n">
        <v>45495</v>
      </c>
      <c r="C3021" s="22" t="s">
        <v>216</v>
      </c>
      <c r="D3021" s="24" t="n">
        <v>36</v>
      </c>
    </row>
    <row r="3022" customFormat="false" ht="15" hidden="false" customHeight="false" outlineLevel="0" collapsed="false">
      <c r="A3022" s="22" t="n">
        <v>5</v>
      </c>
      <c r="B3022" s="23" t="n">
        <v>45502</v>
      </c>
      <c r="C3022" s="22" t="s">
        <v>216</v>
      </c>
      <c r="D3022" s="24" t="n">
        <v>38</v>
      </c>
    </row>
    <row r="3023" customFormat="false" ht="15" hidden="false" customHeight="false" outlineLevel="0" collapsed="false">
      <c r="A3023" s="22" t="n">
        <v>6</v>
      </c>
      <c r="B3023" s="23" t="n">
        <v>45509</v>
      </c>
      <c r="C3023" s="22" t="s">
        <v>216</v>
      </c>
      <c r="D3023" s="24" t="n">
        <v>28</v>
      </c>
    </row>
    <row r="3024" customFormat="false" ht="15" hidden="false" customHeight="false" outlineLevel="0" collapsed="false">
      <c r="A3024" s="22" t="n">
        <v>7</v>
      </c>
      <c r="B3024" s="23" t="n">
        <v>45516</v>
      </c>
      <c r="C3024" s="22" t="s">
        <v>216</v>
      </c>
      <c r="D3024" s="24" t="n">
        <v>32</v>
      </c>
    </row>
    <row r="3025" customFormat="false" ht="15" hidden="false" customHeight="false" outlineLevel="0" collapsed="false">
      <c r="A3025" s="22" t="n">
        <v>8</v>
      </c>
      <c r="B3025" s="23" t="n">
        <v>45523</v>
      </c>
      <c r="C3025" s="22" t="s">
        <v>216</v>
      </c>
      <c r="D3025" s="24" t="n">
        <v>35</v>
      </c>
    </row>
    <row r="3026" customFormat="false" ht="15" hidden="false" customHeight="false" outlineLevel="0" collapsed="false">
      <c r="A3026" s="22" t="n">
        <v>9</v>
      </c>
      <c r="B3026" s="23" t="n">
        <v>45530</v>
      </c>
      <c r="C3026" s="22" t="s">
        <v>216</v>
      </c>
      <c r="D3026" s="24" t="n">
        <v>34</v>
      </c>
    </row>
    <row r="3027" customFormat="false" ht="15" hidden="false" customHeight="false" outlineLevel="0" collapsed="false">
      <c r="A3027" s="22" t="n">
        <v>10</v>
      </c>
      <c r="B3027" s="23" t="n">
        <v>45537</v>
      </c>
      <c r="C3027" s="22" t="s">
        <v>216</v>
      </c>
      <c r="D3027" s="24" t="n">
        <v>31</v>
      </c>
    </row>
    <row r="3028" customFormat="false" ht="15" hidden="false" customHeight="false" outlineLevel="0" collapsed="false">
      <c r="A3028" s="22" t="n">
        <v>11</v>
      </c>
      <c r="B3028" s="23" t="n">
        <v>45544</v>
      </c>
      <c r="C3028" s="22" t="s">
        <v>216</v>
      </c>
      <c r="D3028" s="24" t="n">
        <v>39</v>
      </c>
    </row>
    <row r="3029" customFormat="false" ht="15" hidden="false" customHeight="false" outlineLevel="0" collapsed="false">
      <c r="A3029" s="22" t="n">
        <v>12</v>
      </c>
      <c r="B3029" s="23" t="n">
        <v>45551</v>
      </c>
      <c r="C3029" s="22" t="s">
        <v>216</v>
      </c>
      <c r="D3029" s="24" t="n">
        <v>39</v>
      </c>
    </row>
    <row r="3030" customFormat="false" ht="15" hidden="false" customHeight="false" outlineLevel="0" collapsed="false">
      <c r="A3030" s="22" t="n">
        <v>13</v>
      </c>
      <c r="B3030" s="23" t="n">
        <v>45558</v>
      </c>
      <c r="C3030" s="22" t="s">
        <v>216</v>
      </c>
      <c r="D3030" s="24" t="n">
        <v>39</v>
      </c>
    </row>
    <row r="3031" customFormat="false" ht="15" hidden="false" customHeight="false" outlineLevel="0" collapsed="false">
      <c r="A3031" s="22" t="n">
        <v>14</v>
      </c>
      <c r="B3031" s="23" t="n">
        <v>45565</v>
      </c>
      <c r="C3031" s="22" t="s">
        <v>216</v>
      </c>
      <c r="D3031" s="24" t="n">
        <v>34</v>
      </c>
    </row>
    <row r="3032" customFormat="false" ht="15" hidden="false" customHeight="false" outlineLevel="0" collapsed="false">
      <c r="A3032" s="22" t="n">
        <v>15</v>
      </c>
      <c r="B3032" s="23" t="n">
        <v>45572</v>
      </c>
      <c r="C3032" s="22" t="s">
        <v>216</v>
      </c>
      <c r="D3032" s="24" t="n">
        <v>45</v>
      </c>
    </row>
    <row r="3033" customFormat="false" ht="15" hidden="false" customHeight="false" outlineLevel="0" collapsed="false">
      <c r="A3033" s="22" t="n">
        <v>16</v>
      </c>
      <c r="B3033" s="23" t="n">
        <v>45579</v>
      </c>
      <c r="C3033" s="22" t="s">
        <v>216</v>
      </c>
      <c r="D3033" s="24" t="n">
        <v>44</v>
      </c>
    </row>
    <row r="3034" customFormat="false" ht="15" hidden="false" customHeight="false" outlineLevel="0" collapsed="false">
      <c r="A3034" s="22" t="n">
        <v>17</v>
      </c>
      <c r="B3034" s="23" t="n">
        <v>45586</v>
      </c>
      <c r="C3034" s="22" t="s">
        <v>216</v>
      </c>
      <c r="D3034" s="24" t="n">
        <v>33</v>
      </c>
    </row>
    <row r="3035" customFormat="false" ht="15" hidden="false" customHeight="false" outlineLevel="0" collapsed="false">
      <c r="A3035" s="22" t="n">
        <v>18</v>
      </c>
      <c r="B3035" s="23" t="n">
        <v>45593</v>
      </c>
      <c r="C3035" s="22" t="s">
        <v>216</v>
      </c>
      <c r="D3035" s="24" t="n">
        <v>34</v>
      </c>
    </row>
    <row r="3036" customFormat="false" ht="15" hidden="false" customHeight="false" outlineLevel="0" collapsed="false">
      <c r="A3036" s="22" t="n">
        <v>19</v>
      </c>
      <c r="B3036" s="23" t="n">
        <v>45600</v>
      </c>
      <c r="C3036" s="22" t="s">
        <v>216</v>
      </c>
      <c r="D3036" s="24" t="n">
        <v>41</v>
      </c>
    </row>
    <row r="3037" customFormat="false" ht="15" hidden="false" customHeight="false" outlineLevel="0" collapsed="false">
      <c r="A3037" s="22" t="n">
        <v>20</v>
      </c>
      <c r="B3037" s="23" t="n">
        <v>45607</v>
      </c>
      <c r="C3037" s="22" t="s">
        <v>216</v>
      </c>
      <c r="D3037" s="24" t="n">
        <v>31</v>
      </c>
    </row>
    <row r="3038" customFormat="false" ht="15" hidden="false" customHeight="false" outlineLevel="0" collapsed="false">
      <c r="A3038" s="22" t="n">
        <v>21</v>
      </c>
      <c r="B3038" s="23" t="n">
        <v>45614</v>
      </c>
      <c r="C3038" s="22" t="s">
        <v>216</v>
      </c>
      <c r="D3038" s="24" t="n">
        <v>37</v>
      </c>
    </row>
    <row r="3039" customFormat="false" ht="15" hidden="false" customHeight="false" outlineLevel="0" collapsed="false">
      <c r="A3039" s="22" t="n">
        <v>22</v>
      </c>
      <c r="B3039" s="23" t="n">
        <v>45621</v>
      </c>
      <c r="C3039" s="22" t="s">
        <v>216</v>
      </c>
      <c r="D3039" s="24" t="n">
        <v>35</v>
      </c>
    </row>
    <row r="3040" customFormat="false" ht="15" hidden="false" customHeight="false" outlineLevel="0" collapsed="false">
      <c r="A3040" s="22" t="n">
        <v>23</v>
      </c>
      <c r="B3040" s="23" t="n">
        <v>45628</v>
      </c>
      <c r="C3040" s="22" t="s">
        <v>216</v>
      </c>
      <c r="D3040" s="24" t="n">
        <v>31</v>
      </c>
    </row>
    <row r="3041" customFormat="false" ht="15" hidden="false" customHeight="false" outlineLevel="0" collapsed="false">
      <c r="A3041" s="22" t="n">
        <v>24</v>
      </c>
      <c r="B3041" s="23" t="n">
        <v>45635</v>
      </c>
      <c r="C3041" s="22" t="s">
        <v>216</v>
      </c>
      <c r="D3041" s="24" t="n">
        <v>34</v>
      </c>
    </row>
    <row r="3042" customFormat="false" ht="15" hidden="false" customHeight="false" outlineLevel="0" collapsed="false">
      <c r="A3042" s="22" t="n">
        <v>25</v>
      </c>
      <c r="B3042" s="23" t="n">
        <v>45642</v>
      </c>
      <c r="C3042" s="22" t="s">
        <v>216</v>
      </c>
      <c r="D3042" s="24" t="n">
        <v>27</v>
      </c>
    </row>
    <row r="3043" customFormat="false" ht="15" hidden="false" customHeight="false" outlineLevel="0" collapsed="false">
      <c r="A3043" s="22" t="n">
        <v>26</v>
      </c>
      <c r="B3043" s="23" t="n">
        <v>45649</v>
      </c>
      <c r="C3043" s="22" t="s">
        <v>216</v>
      </c>
      <c r="D3043" s="24" t="n">
        <v>32</v>
      </c>
    </row>
    <row r="3044" customFormat="false" ht="15" hidden="false" customHeight="false" outlineLevel="0" collapsed="false">
      <c r="A3044" s="22" t="n">
        <v>27</v>
      </c>
      <c r="B3044" s="23" t="n">
        <v>45656</v>
      </c>
      <c r="C3044" s="22" t="s">
        <v>216</v>
      </c>
      <c r="D3044" s="24" t="n">
        <v>25</v>
      </c>
    </row>
    <row r="3045" customFormat="false" ht="15" hidden="false" customHeight="false" outlineLevel="0" collapsed="false">
      <c r="A3045" s="22" t="n">
        <v>28</v>
      </c>
      <c r="B3045" s="23" t="n">
        <v>45663</v>
      </c>
      <c r="C3045" s="22" t="s">
        <v>216</v>
      </c>
      <c r="D3045" s="24" t="n">
        <v>47</v>
      </c>
    </row>
    <row r="3046" customFormat="false" ht="15" hidden="false" customHeight="false" outlineLevel="0" collapsed="false">
      <c r="A3046" s="22" t="n">
        <v>29</v>
      </c>
      <c r="B3046" s="23" t="n">
        <v>45670</v>
      </c>
      <c r="C3046" s="22" t="s">
        <v>216</v>
      </c>
      <c r="D3046" s="24" t="n">
        <v>43</v>
      </c>
    </row>
    <row r="3047" customFormat="false" ht="15" hidden="false" customHeight="false" outlineLevel="0" collapsed="false">
      <c r="A3047" s="22" t="n">
        <v>30</v>
      </c>
      <c r="B3047" s="23" t="n">
        <v>45677</v>
      </c>
      <c r="C3047" s="22" t="s">
        <v>216</v>
      </c>
      <c r="D3047" s="24" t="n">
        <v>41</v>
      </c>
    </row>
    <row r="3048" customFormat="false" ht="15" hidden="false" customHeight="false" outlineLevel="0" collapsed="false">
      <c r="A3048" s="22" t="n">
        <v>31</v>
      </c>
      <c r="B3048" s="23" t="n">
        <v>45684</v>
      </c>
      <c r="C3048" s="22" t="s">
        <v>216</v>
      </c>
      <c r="D3048" s="24" t="n">
        <v>37</v>
      </c>
    </row>
    <row r="3049" customFormat="false" ht="15" hidden="false" customHeight="false" outlineLevel="0" collapsed="false">
      <c r="A3049" s="22" t="n">
        <v>32</v>
      </c>
      <c r="B3049" s="23" t="n">
        <v>45691</v>
      </c>
      <c r="C3049" s="22" t="s">
        <v>216</v>
      </c>
      <c r="D3049" s="24" t="n">
        <v>40</v>
      </c>
    </row>
    <row r="3050" customFormat="false" ht="15" hidden="false" customHeight="false" outlineLevel="0" collapsed="false">
      <c r="A3050" s="22" t="n">
        <v>33</v>
      </c>
      <c r="B3050" s="23" t="n">
        <v>45698</v>
      </c>
      <c r="C3050" s="22" t="s">
        <v>216</v>
      </c>
      <c r="D3050" s="24" t="n">
        <v>42</v>
      </c>
    </row>
    <row r="3051" customFormat="false" ht="15" hidden="false" customHeight="false" outlineLevel="0" collapsed="false">
      <c r="A3051" s="22" t="n">
        <v>34</v>
      </c>
      <c r="B3051" s="23" t="n">
        <v>45705</v>
      </c>
      <c r="C3051" s="22" t="s">
        <v>216</v>
      </c>
      <c r="D3051" s="24" t="n">
        <v>40</v>
      </c>
    </row>
    <row r="3052" customFormat="false" ht="15" hidden="false" customHeight="false" outlineLevel="0" collapsed="false">
      <c r="A3052" s="22" t="n">
        <v>35</v>
      </c>
      <c r="B3052" s="23" t="n">
        <v>45712</v>
      </c>
      <c r="C3052" s="22" t="s">
        <v>216</v>
      </c>
      <c r="D3052" s="24" t="n">
        <v>40</v>
      </c>
    </row>
    <row r="3053" customFormat="false" ht="15" hidden="false" customHeight="false" outlineLevel="0" collapsed="false">
      <c r="A3053" s="22" t="n">
        <v>36</v>
      </c>
      <c r="B3053" s="23" t="n">
        <v>45719</v>
      </c>
      <c r="C3053" s="22" t="s">
        <v>216</v>
      </c>
      <c r="D3053" s="24" t="n">
        <v>30</v>
      </c>
    </row>
    <row r="3054" customFormat="false" ht="15" hidden="false" customHeight="false" outlineLevel="0" collapsed="false">
      <c r="A3054" s="22" t="n">
        <v>37</v>
      </c>
      <c r="B3054" s="23" t="n">
        <v>45726</v>
      </c>
      <c r="C3054" s="22" t="s">
        <v>216</v>
      </c>
      <c r="D3054" s="24" t="n">
        <v>37</v>
      </c>
    </row>
    <row r="3055" customFormat="false" ht="15" hidden="false" customHeight="false" outlineLevel="0" collapsed="false">
      <c r="A3055" s="22" t="n">
        <v>38</v>
      </c>
      <c r="B3055" s="23" t="n">
        <v>45733</v>
      </c>
      <c r="C3055" s="22" t="s">
        <v>216</v>
      </c>
      <c r="D3055" s="24" t="n">
        <v>32</v>
      </c>
    </row>
    <row r="3056" customFormat="false" ht="15" hidden="false" customHeight="false" outlineLevel="0" collapsed="false">
      <c r="A3056" s="22" t="n">
        <v>39</v>
      </c>
      <c r="B3056" s="23" t="n">
        <v>45740</v>
      </c>
      <c r="C3056" s="22" t="s">
        <v>216</v>
      </c>
      <c r="D3056" s="24" t="n">
        <v>29</v>
      </c>
    </row>
    <row r="3057" customFormat="false" ht="15" hidden="false" customHeight="false" outlineLevel="0" collapsed="false">
      <c r="A3057" s="22" t="n">
        <v>40</v>
      </c>
      <c r="B3057" s="23" t="n">
        <v>45747</v>
      </c>
      <c r="C3057" s="22" t="s">
        <v>216</v>
      </c>
      <c r="D3057" s="24" t="n">
        <v>29</v>
      </c>
    </row>
    <row r="3058" customFormat="false" ht="15" hidden="false" customHeight="false" outlineLevel="0" collapsed="false">
      <c r="A3058" s="22" t="n">
        <v>41</v>
      </c>
      <c r="B3058" s="23" t="n">
        <v>45754</v>
      </c>
      <c r="C3058" s="22" t="s">
        <v>216</v>
      </c>
      <c r="D3058" s="24" t="n">
        <v>37</v>
      </c>
    </row>
    <row r="3059" customFormat="false" ht="15" hidden="false" customHeight="false" outlineLevel="0" collapsed="false">
      <c r="A3059" s="22" t="n">
        <v>42</v>
      </c>
      <c r="B3059" s="23" t="n">
        <v>45761</v>
      </c>
      <c r="C3059" s="22" t="s">
        <v>216</v>
      </c>
      <c r="D3059" s="24" t="n">
        <v>40</v>
      </c>
    </row>
    <row r="3060" customFormat="false" ht="15" hidden="false" customHeight="false" outlineLevel="0" collapsed="false">
      <c r="A3060" s="22" t="n">
        <v>43</v>
      </c>
      <c r="B3060" s="23" t="n">
        <v>45768</v>
      </c>
      <c r="C3060" s="22" t="s">
        <v>216</v>
      </c>
      <c r="D3060" s="24" t="n">
        <v>28</v>
      </c>
    </row>
    <row r="3061" customFormat="false" ht="15" hidden="false" customHeight="false" outlineLevel="0" collapsed="false">
      <c r="A3061" s="22" t="n">
        <v>44</v>
      </c>
      <c r="B3061" s="23" t="n">
        <v>45775</v>
      </c>
      <c r="C3061" s="22" t="s">
        <v>216</v>
      </c>
      <c r="D3061" s="24" t="n">
        <v>44</v>
      </c>
    </row>
    <row r="3062" customFormat="false" ht="15" hidden="false" customHeight="false" outlineLevel="0" collapsed="false">
      <c r="A3062" s="22" t="n">
        <v>45</v>
      </c>
      <c r="B3062" s="23" t="n">
        <v>45782</v>
      </c>
      <c r="C3062" s="22" t="s">
        <v>216</v>
      </c>
      <c r="D3062" s="24" t="n">
        <v>43</v>
      </c>
    </row>
    <row r="3063" customFormat="false" ht="15" hidden="false" customHeight="false" outlineLevel="0" collapsed="false">
      <c r="A3063" s="22" t="n">
        <v>46</v>
      </c>
      <c r="B3063" s="23" t="n">
        <v>45789</v>
      </c>
      <c r="C3063" s="22" t="s">
        <v>216</v>
      </c>
      <c r="D3063" s="24" t="n">
        <v>33</v>
      </c>
    </row>
    <row r="3064" customFormat="false" ht="15" hidden="false" customHeight="false" outlineLevel="0" collapsed="false">
      <c r="A3064" s="22" t="n">
        <v>47</v>
      </c>
      <c r="B3064" s="23" t="n">
        <v>45796</v>
      </c>
      <c r="C3064" s="22" t="s">
        <v>216</v>
      </c>
      <c r="D3064" s="24" t="n">
        <v>33</v>
      </c>
    </row>
    <row r="3065" customFormat="false" ht="15" hidden="false" customHeight="false" outlineLevel="0" collapsed="false">
      <c r="A3065" s="22" t="n">
        <v>48</v>
      </c>
      <c r="B3065" s="23" t="n">
        <v>45803</v>
      </c>
      <c r="C3065" s="22" t="s">
        <v>216</v>
      </c>
      <c r="D3065" s="24" t="n">
        <v>35</v>
      </c>
    </row>
    <row r="3066" customFormat="false" ht="15" hidden="false" customHeight="false" outlineLevel="0" collapsed="false">
      <c r="A3066" s="22" t="n">
        <v>49</v>
      </c>
      <c r="B3066" s="23" t="n">
        <v>45810</v>
      </c>
      <c r="C3066" s="22" t="s">
        <v>216</v>
      </c>
      <c r="D3066" s="24" t="n">
        <v>40</v>
      </c>
    </row>
    <row r="3067" customFormat="false" ht="15" hidden="false" customHeight="false" outlineLevel="0" collapsed="false">
      <c r="A3067" s="22" t="n">
        <v>50</v>
      </c>
      <c r="B3067" s="23" t="n">
        <v>45817</v>
      </c>
      <c r="C3067" s="22" t="s">
        <v>216</v>
      </c>
      <c r="D3067" s="24" t="n">
        <v>33</v>
      </c>
    </row>
    <row r="3068" customFormat="false" ht="15" hidden="false" customHeight="false" outlineLevel="0" collapsed="false">
      <c r="A3068" s="22" t="n">
        <v>51</v>
      </c>
      <c r="B3068" s="23" t="n">
        <v>45824</v>
      </c>
      <c r="C3068" s="22" t="s">
        <v>216</v>
      </c>
      <c r="D3068" s="24" t="n">
        <v>29</v>
      </c>
    </row>
    <row r="3069" customFormat="false" ht="15" hidden="false" customHeight="false" outlineLevel="0" collapsed="false">
      <c r="A3069" s="22" t="n">
        <v>52</v>
      </c>
      <c r="B3069" s="23" t="n">
        <v>45831</v>
      </c>
      <c r="C3069" s="22" t="s">
        <v>216</v>
      </c>
      <c r="D3069" s="24" t="n">
        <v>37</v>
      </c>
    </row>
    <row r="3070" customFormat="false" ht="15" hidden="false" customHeight="false" outlineLevel="0" collapsed="false">
      <c r="A3070" s="22" t="n">
        <v>53</v>
      </c>
      <c r="B3070" s="23" t="n">
        <v>45838</v>
      </c>
      <c r="C3070" s="22" t="s">
        <v>216</v>
      </c>
      <c r="D3070" s="24" t="n">
        <v>24</v>
      </c>
    </row>
    <row r="3071" customFormat="false" ht="15" hidden="false" customHeight="false" outlineLevel="0" collapsed="false">
      <c r="A3071" s="22" t="n">
        <v>54</v>
      </c>
      <c r="B3071" s="23" t="n">
        <v>45845</v>
      </c>
      <c r="C3071" s="22" t="s">
        <v>216</v>
      </c>
      <c r="D3071" s="24" t="n">
        <v>36</v>
      </c>
    </row>
    <row r="3072" customFormat="false" ht="15" hidden="false" customHeight="false" outlineLevel="0" collapsed="false">
      <c r="A3072" s="22" t="n">
        <v>55</v>
      </c>
      <c r="B3072" s="23" t="n">
        <v>45852</v>
      </c>
      <c r="C3072" s="22" t="s">
        <v>216</v>
      </c>
      <c r="D3072" s="24" t="n">
        <v>41</v>
      </c>
    </row>
    <row r="3073" customFormat="false" ht="15" hidden="false" customHeight="false" outlineLevel="0" collapsed="false">
      <c r="A3073" s="22" t="n">
        <v>56</v>
      </c>
      <c r="B3073" s="23" t="n">
        <v>45859</v>
      </c>
      <c r="C3073" s="22" t="s">
        <v>216</v>
      </c>
      <c r="D3073" s="24" t="n">
        <v>37</v>
      </c>
    </row>
    <row r="3074" customFormat="false" ht="15" hidden="false" customHeight="false" outlineLevel="0" collapsed="false">
      <c r="A3074" s="22" t="n">
        <v>57</v>
      </c>
      <c r="B3074" s="23" t="n">
        <v>45866</v>
      </c>
      <c r="C3074" s="22" t="s">
        <v>216</v>
      </c>
      <c r="D3074" s="24" t="n">
        <v>39</v>
      </c>
    </row>
    <row r="3075" customFormat="false" ht="15" hidden="false" customHeight="false" outlineLevel="0" collapsed="false">
      <c r="A3075" s="22" t="n">
        <v>58</v>
      </c>
      <c r="B3075" s="23" t="n">
        <v>45873</v>
      </c>
      <c r="C3075" s="22" t="s">
        <v>216</v>
      </c>
      <c r="D3075" s="24" t="n">
        <v>38</v>
      </c>
    </row>
    <row r="3076" customFormat="false" ht="15" hidden="false" customHeight="false" outlineLevel="0" collapsed="false">
      <c r="A3076" s="22" t="n">
        <v>59</v>
      </c>
      <c r="B3076" s="23" t="n">
        <v>45880</v>
      </c>
      <c r="C3076" s="22" t="s">
        <v>216</v>
      </c>
      <c r="D3076" s="24" t="n">
        <v>39</v>
      </c>
    </row>
    <row r="3077" customFormat="false" ht="15" hidden="false" customHeight="false" outlineLevel="0" collapsed="false">
      <c r="A3077" s="22" t="n">
        <v>60</v>
      </c>
      <c r="B3077" s="23" t="n">
        <v>45887</v>
      </c>
      <c r="C3077" s="22" t="s">
        <v>216</v>
      </c>
      <c r="D3077" s="24" t="n">
        <v>36</v>
      </c>
    </row>
    <row r="3078" customFormat="false" ht="15" hidden="false" customHeight="false" outlineLevel="0" collapsed="false">
      <c r="A3078" s="22" t="n">
        <v>61</v>
      </c>
      <c r="B3078" s="23" t="n">
        <v>45894</v>
      </c>
      <c r="C3078" s="22" t="s">
        <v>216</v>
      </c>
      <c r="D3078" s="24" t="n">
        <v>31</v>
      </c>
    </row>
    <row r="3079" customFormat="false" ht="15" hidden="false" customHeight="false" outlineLevel="0" collapsed="false">
      <c r="A3079" s="22" t="n">
        <v>62</v>
      </c>
      <c r="B3079" s="23" t="n">
        <v>45901</v>
      </c>
      <c r="C3079" s="22" t="s">
        <v>216</v>
      </c>
      <c r="D3079" s="24" t="n">
        <v>34</v>
      </c>
    </row>
    <row r="3080" customFormat="false" ht="15" hidden="false" customHeight="false" outlineLevel="0" collapsed="false">
      <c r="A3080" s="22" t="n">
        <v>63</v>
      </c>
      <c r="B3080" s="23" t="n">
        <v>45908</v>
      </c>
      <c r="C3080" s="22" t="s">
        <v>216</v>
      </c>
      <c r="D3080" s="24" t="n">
        <v>35</v>
      </c>
    </row>
    <row r="3081" customFormat="false" ht="15" hidden="false" customHeight="false" outlineLevel="0" collapsed="false">
      <c r="A3081" s="22" t="n">
        <v>64</v>
      </c>
      <c r="B3081" s="23" t="n">
        <v>45915</v>
      </c>
      <c r="C3081" s="22" t="s">
        <v>216</v>
      </c>
      <c r="D3081" s="24" t="n">
        <v>42</v>
      </c>
    </row>
    <row r="3082" customFormat="false" ht="15" hidden="false" customHeight="false" outlineLevel="0" collapsed="false">
      <c r="A3082" s="22" t="n">
        <v>65</v>
      </c>
      <c r="B3082" s="23" t="n">
        <v>45922</v>
      </c>
      <c r="C3082" s="22" t="s">
        <v>216</v>
      </c>
      <c r="D3082" s="24" t="n">
        <v>43</v>
      </c>
    </row>
    <row r="3083" customFormat="false" ht="15" hidden="false" customHeight="false" outlineLevel="0" collapsed="false">
      <c r="A3083" s="22" t="n">
        <v>66</v>
      </c>
      <c r="B3083" s="23" t="n">
        <v>45929</v>
      </c>
      <c r="C3083" s="22" t="s">
        <v>216</v>
      </c>
      <c r="D3083" s="24" t="n">
        <v>37</v>
      </c>
    </row>
    <row r="3084" customFormat="false" ht="15" hidden="false" customHeight="false" outlineLevel="0" collapsed="false">
      <c r="A3084" s="22" t="n">
        <v>67</v>
      </c>
      <c r="B3084" s="23" t="n">
        <v>45936</v>
      </c>
      <c r="C3084" s="22" t="s">
        <v>216</v>
      </c>
      <c r="D3084" s="24" t="n">
        <v>31</v>
      </c>
    </row>
    <row r="3085" customFormat="false" ht="15" hidden="false" customHeight="false" outlineLevel="0" collapsed="false">
      <c r="A3085" s="22" t="n">
        <v>68</v>
      </c>
      <c r="B3085" s="23" t="n">
        <v>45943</v>
      </c>
      <c r="C3085" s="22" t="s">
        <v>216</v>
      </c>
      <c r="D3085" s="24" t="n">
        <v>31</v>
      </c>
    </row>
    <row r="3086" customFormat="false" ht="15" hidden="false" customHeight="false" outlineLevel="0" collapsed="false">
      <c r="A3086" s="22" t="n">
        <v>69</v>
      </c>
      <c r="B3086" s="23" t="n">
        <v>45950</v>
      </c>
      <c r="C3086" s="22" t="s">
        <v>216</v>
      </c>
      <c r="D3086" s="24" t="n">
        <v>34</v>
      </c>
    </row>
    <row r="3087" customFormat="false" ht="15" hidden="false" customHeight="false" outlineLevel="0" collapsed="false">
      <c r="A3087" s="22" t="n">
        <v>70</v>
      </c>
      <c r="B3087" s="23" t="n">
        <v>45957</v>
      </c>
      <c r="C3087" s="22" t="s">
        <v>216</v>
      </c>
      <c r="D3087" s="24" t="n">
        <v>42</v>
      </c>
    </row>
    <row r="3088" customFormat="false" ht="15" hidden="false" customHeight="false" outlineLevel="0" collapsed="false">
      <c r="A3088" s="22" t="n">
        <v>71</v>
      </c>
      <c r="B3088" s="23" t="n">
        <v>45964</v>
      </c>
      <c r="C3088" s="22" t="s">
        <v>216</v>
      </c>
      <c r="D3088" s="24" t="n">
        <v>37</v>
      </c>
    </row>
    <row r="3089" customFormat="false" ht="15" hidden="false" customHeight="false" outlineLevel="0" collapsed="false">
      <c r="A3089" s="22" t="n">
        <v>72</v>
      </c>
      <c r="B3089" s="23" t="n">
        <v>45971</v>
      </c>
      <c r="C3089" s="22" t="s">
        <v>216</v>
      </c>
      <c r="D3089" s="24" t="n">
        <v>35</v>
      </c>
    </row>
    <row r="3090" customFormat="false" ht="15" hidden="false" customHeight="false" outlineLevel="0" collapsed="false">
      <c r="A3090" s="22" t="n">
        <v>73</v>
      </c>
      <c r="B3090" s="23" t="n">
        <v>45978</v>
      </c>
      <c r="C3090" s="22" t="s">
        <v>216</v>
      </c>
      <c r="D3090" s="24" t="n">
        <v>31</v>
      </c>
    </row>
    <row r="3091" customFormat="false" ht="15" hidden="false" customHeight="false" outlineLevel="0" collapsed="false">
      <c r="A3091" s="22" t="n">
        <v>74</v>
      </c>
      <c r="B3091" s="23" t="n">
        <v>45985</v>
      </c>
      <c r="C3091" s="22" t="s">
        <v>216</v>
      </c>
      <c r="D3091" s="24" t="n">
        <v>40</v>
      </c>
    </row>
    <row r="3092" customFormat="false" ht="15" hidden="false" customHeight="false" outlineLevel="0" collapsed="false">
      <c r="A3092" s="22" t="n">
        <v>75</v>
      </c>
      <c r="B3092" s="23" t="n">
        <v>45992</v>
      </c>
      <c r="C3092" s="22" t="s">
        <v>216</v>
      </c>
      <c r="D3092" s="24" t="n">
        <v>36</v>
      </c>
    </row>
    <row r="3093" customFormat="false" ht="15" hidden="false" customHeight="false" outlineLevel="0" collapsed="false">
      <c r="A3093" s="22" t="n">
        <v>76</v>
      </c>
      <c r="B3093" s="23" t="n">
        <v>45999</v>
      </c>
      <c r="C3093" s="22" t="s">
        <v>216</v>
      </c>
      <c r="D3093" s="24" t="n">
        <v>35</v>
      </c>
    </row>
    <row r="3094" customFormat="false" ht="15" hidden="false" customHeight="false" outlineLevel="0" collapsed="false">
      <c r="A3094" s="22" t="n">
        <v>77</v>
      </c>
      <c r="B3094" s="23" t="n">
        <v>46006</v>
      </c>
      <c r="C3094" s="22" t="s">
        <v>216</v>
      </c>
      <c r="D3094" s="24" t="n">
        <v>36</v>
      </c>
    </row>
    <row r="3095" customFormat="false" ht="15" hidden="false" customHeight="false" outlineLevel="0" collapsed="false">
      <c r="A3095" s="22" t="n">
        <v>78</v>
      </c>
      <c r="B3095" s="23" t="n">
        <v>46013</v>
      </c>
      <c r="C3095" s="22" t="s">
        <v>216</v>
      </c>
      <c r="D3095" s="24" t="n">
        <v>44</v>
      </c>
    </row>
    <row r="3096" customFormat="false" ht="15" hidden="false" customHeight="false" outlineLevel="0" collapsed="false">
      <c r="A3096" s="22" t="n">
        <v>79</v>
      </c>
      <c r="B3096" s="23" t="n">
        <v>46020</v>
      </c>
      <c r="C3096" s="22" t="s">
        <v>216</v>
      </c>
      <c r="D3096" s="24" t="n">
        <v>34</v>
      </c>
    </row>
    <row r="3097" customFormat="false" ht="15" hidden="false" customHeight="false" outlineLevel="0" collapsed="false">
      <c r="A3097" s="22" t="n">
        <v>80</v>
      </c>
      <c r="B3097" s="23" t="n">
        <v>46027</v>
      </c>
      <c r="C3097" s="22" t="s">
        <v>216</v>
      </c>
      <c r="D3097" s="24" t="n">
        <v>44</v>
      </c>
    </row>
    <row r="3098" customFormat="false" ht="15" hidden="false" customHeight="false" outlineLevel="0" collapsed="false">
      <c r="A3098" s="22" t="n">
        <v>81</v>
      </c>
      <c r="B3098" s="23" t="n">
        <v>46034</v>
      </c>
      <c r="C3098" s="22" t="s">
        <v>216</v>
      </c>
      <c r="D3098" s="24" t="n">
        <v>41</v>
      </c>
    </row>
    <row r="3099" customFormat="false" ht="15" hidden="false" customHeight="false" outlineLevel="0" collapsed="false">
      <c r="A3099" s="22" t="n">
        <v>82</v>
      </c>
      <c r="B3099" s="23" t="n">
        <v>46041</v>
      </c>
      <c r="C3099" s="22" t="s">
        <v>216</v>
      </c>
      <c r="D3099" s="24" t="n">
        <v>35</v>
      </c>
    </row>
    <row r="3100" customFormat="false" ht="15" hidden="false" customHeight="false" outlineLevel="0" collapsed="false">
      <c r="A3100" s="22" t="n">
        <v>83</v>
      </c>
      <c r="B3100" s="23" t="n">
        <v>46048</v>
      </c>
      <c r="C3100" s="22" t="s">
        <v>216</v>
      </c>
      <c r="D3100" s="24" t="n">
        <v>40</v>
      </c>
    </row>
    <row r="3101" customFormat="false" ht="15" hidden="false" customHeight="false" outlineLevel="0" collapsed="false">
      <c r="A3101" s="22" t="n">
        <v>84</v>
      </c>
      <c r="B3101" s="23" t="n">
        <v>46055</v>
      </c>
      <c r="C3101" s="22" t="s">
        <v>216</v>
      </c>
      <c r="D3101" s="24" t="n">
        <v>34</v>
      </c>
    </row>
    <row r="3102" customFormat="false" ht="15" hidden="false" customHeight="false" outlineLevel="0" collapsed="false">
      <c r="A3102" s="22" t="n">
        <v>85</v>
      </c>
      <c r="B3102" s="23" t="n">
        <v>46062</v>
      </c>
      <c r="C3102" s="22" t="s">
        <v>216</v>
      </c>
      <c r="D3102" s="24" t="n">
        <v>31</v>
      </c>
    </row>
    <row r="3103" customFormat="false" ht="15" hidden="false" customHeight="false" outlineLevel="0" collapsed="false">
      <c r="A3103" s="22" t="n">
        <v>86</v>
      </c>
      <c r="B3103" s="23" t="n">
        <v>46069</v>
      </c>
      <c r="C3103" s="22" t="s">
        <v>216</v>
      </c>
      <c r="D3103" s="24" t="n">
        <v>34</v>
      </c>
    </row>
    <row r="3104" customFormat="false" ht="15" hidden="false" customHeight="false" outlineLevel="0" collapsed="false">
      <c r="A3104" s="22" t="n">
        <v>87</v>
      </c>
      <c r="B3104" s="23" t="n">
        <v>46076</v>
      </c>
      <c r="C3104" s="22" t="s">
        <v>216</v>
      </c>
      <c r="D3104" s="24" t="n">
        <v>30</v>
      </c>
    </row>
    <row r="3105" customFormat="false" ht="15" hidden="false" customHeight="false" outlineLevel="0" collapsed="false">
      <c r="A3105" s="22" t="n">
        <v>88</v>
      </c>
      <c r="B3105" s="23" t="n">
        <v>46083</v>
      </c>
      <c r="C3105" s="22" t="s">
        <v>216</v>
      </c>
      <c r="D3105" s="24" t="n">
        <v>38</v>
      </c>
    </row>
    <row r="3106" customFormat="false" ht="15" hidden="false" customHeight="false" outlineLevel="0" collapsed="false">
      <c r="A3106" s="22" t="n">
        <v>89</v>
      </c>
      <c r="B3106" s="23" t="n">
        <v>46090</v>
      </c>
      <c r="C3106" s="22" t="s">
        <v>216</v>
      </c>
      <c r="D3106" s="24" t="n">
        <v>35</v>
      </c>
    </row>
    <row r="3107" customFormat="false" ht="15" hidden="false" customHeight="false" outlineLevel="0" collapsed="false">
      <c r="A3107" s="22" t="n">
        <v>90</v>
      </c>
      <c r="B3107" s="23" t="n">
        <v>46097</v>
      </c>
      <c r="C3107" s="22" t="s">
        <v>216</v>
      </c>
      <c r="D3107" s="24" t="n">
        <v>38</v>
      </c>
    </row>
    <row r="3108" customFormat="false" ht="15" hidden="false" customHeight="false" outlineLevel="0" collapsed="false">
      <c r="A3108" s="22" t="n">
        <v>91</v>
      </c>
      <c r="B3108" s="23" t="n">
        <v>46104</v>
      </c>
      <c r="C3108" s="22" t="s">
        <v>216</v>
      </c>
      <c r="D3108" s="24" t="n">
        <v>39</v>
      </c>
    </row>
    <row r="3109" customFormat="false" ht="15" hidden="false" customHeight="false" outlineLevel="0" collapsed="false">
      <c r="A3109" s="22" t="n">
        <v>92</v>
      </c>
      <c r="B3109" s="23" t="n">
        <v>46111</v>
      </c>
      <c r="C3109" s="22" t="s">
        <v>216</v>
      </c>
      <c r="D3109" s="24" t="n">
        <v>19</v>
      </c>
    </row>
    <row r="3110" customFormat="false" ht="15" hidden="false" customHeight="false" outlineLevel="0" collapsed="false">
      <c r="A3110" s="22" t="n">
        <v>93</v>
      </c>
      <c r="B3110" s="23" t="n">
        <v>46118</v>
      </c>
      <c r="C3110" s="22" t="s">
        <v>216</v>
      </c>
      <c r="D3110" s="24" t="n">
        <v>37</v>
      </c>
    </row>
    <row r="3111" customFormat="false" ht="15" hidden="false" customHeight="false" outlineLevel="0" collapsed="false">
      <c r="A3111" s="22" t="n">
        <v>94</v>
      </c>
      <c r="B3111" s="23" t="n">
        <v>46125</v>
      </c>
      <c r="C3111" s="22" t="s">
        <v>216</v>
      </c>
      <c r="D3111" s="24" t="n">
        <v>26</v>
      </c>
    </row>
    <row r="3112" customFormat="false" ht="15" hidden="false" customHeight="false" outlineLevel="0" collapsed="false">
      <c r="A3112" s="22" t="n">
        <v>95</v>
      </c>
      <c r="B3112" s="23" t="n">
        <v>46132</v>
      </c>
      <c r="C3112" s="22" t="s">
        <v>216</v>
      </c>
      <c r="D3112" s="24" t="n">
        <v>36</v>
      </c>
    </row>
    <row r="3113" customFormat="false" ht="15" hidden="false" customHeight="false" outlineLevel="0" collapsed="false">
      <c r="A3113" s="22" t="n">
        <v>96</v>
      </c>
      <c r="B3113" s="23" t="n">
        <v>46139</v>
      </c>
      <c r="C3113" s="22" t="s">
        <v>216</v>
      </c>
      <c r="D3113" s="24" t="n">
        <v>30</v>
      </c>
    </row>
    <row r="3114" customFormat="false" ht="15" hidden="false" customHeight="false" outlineLevel="0" collapsed="false">
      <c r="A3114" s="22" t="n">
        <v>97</v>
      </c>
      <c r="B3114" s="23" t="n">
        <v>46146</v>
      </c>
      <c r="C3114" s="22" t="s">
        <v>216</v>
      </c>
      <c r="D3114" s="24" t="n">
        <v>36</v>
      </c>
    </row>
    <row r="3115" customFormat="false" ht="15" hidden="false" customHeight="false" outlineLevel="0" collapsed="false">
      <c r="A3115" s="22" t="n">
        <v>98</v>
      </c>
      <c r="B3115" s="23" t="n">
        <v>46153</v>
      </c>
      <c r="C3115" s="22" t="s">
        <v>216</v>
      </c>
      <c r="D3115" s="24" t="n">
        <v>42</v>
      </c>
    </row>
    <row r="3116" customFormat="false" ht="15" hidden="false" customHeight="false" outlineLevel="0" collapsed="false">
      <c r="A3116" s="22" t="n">
        <v>99</v>
      </c>
      <c r="B3116" s="23" t="n">
        <v>46160</v>
      </c>
      <c r="C3116" s="22" t="s">
        <v>216</v>
      </c>
      <c r="D3116" s="24" t="n">
        <v>26</v>
      </c>
    </row>
    <row r="3117" customFormat="false" ht="15" hidden="false" customHeight="false" outlineLevel="0" collapsed="false">
      <c r="A3117" s="22" t="n">
        <v>100</v>
      </c>
      <c r="B3117" s="23" t="n">
        <v>46167</v>
      </c>
      <c r="C3117" s="22" t="s">
        <v>216</v>
      </c>
      <c r="D3117" s="24" t="n">
        <v>36</v>
      </c>
    </row>
    <row r="3118" customFormat="false" ht="15" hidden="false" customHeight="false" outlineLevel="0" collapsed="false">
      <c r="A3118" s="22" t="n">
        <v>101</v>
      </c>
      <c r="B3118" s="23" t="n">
        <v>46174</v>
      </c>
      <c r="C3118" s="22" t="s">
        <v>216</v>
      </c>
      <c r="D3118" s="24" t="n">
        <v>35</v>
      </c>
    </row>
    <row r="3119" customFormat="false" ht="15" hidden="false" customHeight="false" outlineLevel="0" collapsed="false">
      <c r="A3119" s="22" t="n">
        <v>102</v>
      </c>
      <c r="B3119" s="23" t="n">
        <v>46181</v>
      </c>
      <c r="C3119" s="22" t="s">
        <v>216</v>
      </c>
      <c r="D3119" s="24" t="n">
        <v>25</v>
      </c>
    </row>
    <row r="3120" customFormat="false" ht="15" hidden="false" customHeight="false" outlineLevel="0" collapsed="false">
      <c r="A3120" s="22" t="n">
        <v>103</v>
      </c>
      <c r="B3120" s="23" t="n">
        <v>46188</v>
      </c>
      <c r="C3120" s="22" t="s">
        <v>216</v>
      </c>
      <c r="D3120" s="24" t="n">
        <v>38</v>
      </c>
    </row>
    <row r="3121" customFormat="false" ht="15" hidden="false" customHeight="false" outlineLevel="0" collapsed="false">
      <c r="A3121" s="22" t="n">
        <v>104</v>
      </c>
      <c r="B3121" s="23" t="n">
        <v>46195</v>
      </c>
      <c r="C3121" s="22" t="s">
        <v>216</v>
      </c>
      <c r="D3121" s="24" t="n">
        <v>35</v>
      </c>
    </row>
    <row r="3122" customFormat="false" ht="15" hidden="false" customHeight="false" outlineLevel="0" collapsed="false">
      <c r="A3122" s="22" t="n">
        <v>1</v>
      </c>
      <c r="B3122" s="23" t="n">
        <v>45474</v>
      </c>
      <c r="C3122" s="22" t="s">
        <v>219</v>
      </c>
      <c r="D3122" s="24" t="n">
        <v>31</v>
      </c>
    </row>
    <row r="3123" customFormat="false" ht="15" hidden="false" customHeight="false" outlineLevel="0" collapsed="false">
      <c r="A3123" s="22" t="n">
        <v>2</v>
      </c>
      <c r="B3123" s="23" t="n">
        <v>45481</v>
      </c>
      <c r="C3123" s="22" t="s">
        <v>219</v>
      </c>
      <c r="D3123" s="24" t="n">
        <v>80</v>
      </c>
    </row>
    <row r="3124" customFormat="false" ht="15" hidden="false" customHeight="false" outlineLevel="0" collapsed="false">
      <c r="A3124" s="22" t="n">
        <v>3</v>
      </c>
      <c r="B3124" s="23" t="n">
        <v>45488</v>
      </c>
      <c r="C3124" s="22" t="s">
        <v>219</v>
      </c>
      <c r="D3124" s="24" t="n">
        <v>35</v>
      </c>
    </row>
    <row r="3125" customFormat="false" ht="15" hidden="false" customHeight="false" outlineLevel="0" collapsed="false">
      <c r="A3125" s="22" t="n">
        <v>4</v>
      </c>
      <c r="B3125" s="23" t="n">
        <v>45495</v>
      </c>
      <c r="C3125" s="22" t="s">
        <v>219</v>
      </c>
      <c r="D3125" s="24" t="n">
        <v>18</v>
      </c>
    </row>
    <row r="3126" customFormat="false" ht="15" hidden="false" customHeight="false" outlineLevel="0" collapsed="false">
      <c r="A3126" s="22" t="n">
        <v>5</v>
      </c>
      <c r="B3126" s="23" t="n">
        <v>45502</v>
      </c>
      <c r="C3126" s="22" t="s">
        <v>219</v>
      </c>
      <c r="D3126" s="24" t="n">
        <v>28</v>
      </c>
    </row>
    <row r="3127" customFormat="false" ht="15" hidden="false" customHeight="false" outlineLevel="0" collapsed="false">
      <c r="A3127" s="22" t="n">
        <v>6</v>
      </c>
      <c r="B3127" s="23" t="n">
        <v>45509</v>
      </c>
      <c r="C3127" s="22" t="s">
        <v>219</v>
      </c>
      <c r="D3127" s="24" t="n">
        <v>35</v>
      </c>
    </row>
    <row r="3128" customFormat="false" ht="15" hidden="false" customHeight="false" outlineLevel="0" collapsed="false">
      <c r="A3128" s="22" t="n">
        <v>7</v>
      </c>
      <c r="B3128" s="23" t="n">
        <v>45516</v>
      </c>
      <c r="C3128" s="22" t="s">
        <v>219</v>
      </c>
      <c r="D3128" s="24" t="n">
        <v>35</v>
      </c>
    </row>
    <row r="3129" customFormat="false" ht="15" hidden="false" customHeight="false" outlineLevel="0" collapsed="false">
      <c r="A3129" s="22" t="n">
        <v>8</v>
      </c>
      <c r="B3129" s="23" t="n">
        <v>45523</v>
      </c>
      <c r="C3129" s="22" t="s">
        <v>219</v>
      </c>
      <c r="D3129" s="24" t="n">
        <v>39</v>
      </c>
    </row>
    <row r="3130" customFormat="false" ht="15" hidden="false" customHeight="false" outlineLevel="0" collapsed="false">
      <c r="A3130" s="22" t="n">
        <v>9</v>
      </c>
      <c r="B3130" s="23" t="n">
        <v>45530</v>
      </c>
      <c r="C3130" s="22" t="s">
        <v>219</v>
      </c>
      <c r="D3130" s="24" t="n">
        <v>27</v>
      </c>
    </row>
    <row r="3131" customFormat="false" ht="15" hidden="false" customHeight="false" outlineLevel="0" collapsed="false">
      <c r="A3131" s="22" t="n">
        <v>10</v>
      </c>
      <c r="B3131" s="23" t="n">
        <v>45537</v>
      </c>
      <c r="C3131" s="22" t="s">
        <v>219</v>
      </c>
      <c r="D3131" s="24" t="n">
        <v>47</v>
      </c>
    </row>
    <row r="3132" customFormat="false" ht="15" hidden="false" customHeight="false" outlineLevel="0" collapsed="false">
      <c r="A3132" s="22" t="n">
        <v>11</v>
      </c>
      <c r="B3132" s="23" t="n">
        <v>45544</v>
      </c>
      <c r="C3132" s="22" t="s">
        <v>219</v>
      </c>
      <c r="D3132" s="24" t="n">
        <v>34</v>
      </c>
    </row>
    <row r="3133" customFormat="false" ht="15" hidden="false" customHeight="false" outlineLevel="0" collapsed="false">
      <c r="A3133" s="22" t="n">
        <v>12</v>
      </c>
      <c r="B3133" s="23" t="n">
        <v>45551</v>
      </c>
      <c r="C3133" s="22" t="s">
        <v>219</v>
      </c>
      <c r="D3133" s="24" t="n">
        <v>23</v>
      </c>
    </row>
    <row r="3134" customFormat="false" ht="15" hidden="false" customHeight="false" outlineLevel="0" collapsed="false">
      <c r="A3134" s="22" t="n">
        <v>13</v>
      </c>
      <c r="B3134" s="23" t="n">
        <v>45558</v>
      </c>
      <c r="C3134" s="22" t="s">
        <v>219</v>
      </c>
      <c r="D3134" s="24" t="n">
        <v>30</v>
      </c>
    </row>
    <row r="3135" customFormat="false" ht="15" hidden="false" customHeight="false" outlineLevel="0" collapsed="false">
      <c r="A3135" s="22" t="n">
        <v>14</v>
      </c>
      <c r="B3135" s="23" t="n">
        <v>45565</v>
      </c>
      <c r="C3135" s="22" t="s">
        <v>219</v>
      </c>
      <c r="D3135" s="24" t="n">
        <v>35</v>
      </c>
    </row>
    <row r="3136" customFormat="false" ht="15" hidden="false" customHeight="false" outlineLevel="0" collapsed="false">
      <c r="A3136" s="22" t="n">
        <v>15</v>
      </c>
      <c r="B3136" s="23" t="n">
        <v>45572</v>
      </c>
      <c r="C3136" s="22" t="s">
        <v>219</v>
      </c>
      <c r="D3136" s="24" t="n">
        <v>51</v>
      </c>
    </row>
    <row r="3137" customFormat="false" ht="15" hidden="false" customHeight="false" outlineLevel="0" collapsed="false">
      <c r="A3137" s="22" t="n">
        <v>16</v>
      </c>
      <c r="B3137" s="23" t="n">
        <v>45579</v>
      </c>
      <c r="C3137" s="22" t="s">
        <v>219</v>
      </c>
      <c r="D3137" s="24" t="n">
        <v>46</v>
      </c>
    </row>
    <row r="3138" customFormat="false" ht="15" hidden="false" customHeight="false" outlineLevel="0" collapsed="false">
      <c r="A3138" s="22" t="n">
        <v>17</v>
      </c>
      <c r="B3138" s="23" t="n">
        <v>45586</v>
      </c>
      <c r="C3138" s="22" t="s">
        <v>219</v>
      </c>
      <c r="D3138" s="24" t="n">
        <v>36</v>
      </c>
    </row>
    <row r="3139" customFormat="false" ht="15" hidden="false" customHeight="false" outlineLevel="0" collapsed="false">
      <c r="A3139" s="22" t="n">
        <v>18</v>
      </c>
      <c r="B3139" s="23" t="n">
        <v>45593</v>
      </c>
      <c r="C3139" s="22" t="s">
        <v>219</v>
      </c>
      <c r="D3139" s="24" t="n">
        <v>40</v>
      </c>
    </row>
    <row r="3140" customFormat="false" ht="15" hidden="false" customHeight="false" outlineLevel="0" collapsed="false">
      <c r="A3140" s="22" t="n">
        <v>19</v>
      </c>
      <c r="B3140" s="23" t="n">
        <v>45600</v>
      </c>
      <c r="C3140" s="22" t="s">
        <v>219</v>
      </c>
      <c r="D3140" s="24" t="n">
        <v>43</v>
      </c>
    </row>
    <row r="3141" customFormat="false" ht="15" hidden="false" customHeight="false" outlineLevel="0" collapsed="false">
      <c r="A3141" s="22" t="n">
        <v>20</v>
      </c>
      <c r="B3141" s="23" t="n">
        <v>45607</v>
      </c>
      <c r="C3141" s="22" t="s">
        <v>219</v>
      </c>
      <c r="D3141" s="24" t="n">
        <v>65</v>
      </c>
    </row>
    <row r="3142" customFormat="false" ht="15" hidden="false" customHeight="false" outlineLevel="0" collapsed="false">
      <c r="A3142" s="22" t="n">
        <v>21</v>
      </c>
      <c r="B3142" s="23" t="n">
        <v>45614</v>
      </c>
      <c r="C3142" s="22" t="s">
        <v>219</v>
      </c>
      <c r="D3142" s="24" t="n">
        <v>32</v>
      </c>
    </row>
    <row r="3143" customFormat="false" ht="15" hidden="false" customHeight="false" outlineLevel="0" collapsed="false">
      <c r="A3143" s="22" t="n">
        <v>22</v>
      </c>
      <c r="B3143" s="23" t="n">
        <v>45621</v>
      </c>
      <c r="C3143" s="22" t="s">
        <v>219</v>
      </c>
      <c r="D3143" s="24" t="n">
        <v>46</v>
      </c>
    </row>
    <row r="3144" customFormat="false" ht="15" hidden="false" customHeight="false" outlineLevel="0" collapsed="false">
      <c r="A3144" s="22" t="n">
        <v>23</v>
      </c>
      <c r="B3144" s="23" t="n">
        <v>45628</v>
      </c>
      <c r="C3144" s="22" t="s">
        <v>219</v>
      </c>
      <c r="D3144" s="24" t="n">
        <v>49</v>
      </c>
    </row>
    <row r="3145" customFormat="false" ht="15" hidden="false" customHeight="false" outlineLevel="0" collapsed="false">
      <c r="A3145" s="22" t="n">
        <v>24</v>
      </c>
      <c r="B3145" s="23" t="n">
        <v>45635</v>
      </c>
      <c r="C3145" s="22" t="s">
        <v>219</v>
      </c>
      <c r="D3145" s="24" t="n">
        <v>28</v>
      </c>
    </row>
    <row r="3146" customFormat="false" ht="15" hidden="false" customHeight="false" outlineLevel="0" collapsed="false">
      <c r="A3146" s="22" t="n">
        <v>25</v>
      </c>
      <c r="B3146" s="23" t="n">
        <v>45642</v>
      </c>
      <c r="C3146" s="22" t="s">
        <v>219</v>
      </c>
      <c r="D3146" s="24" t="n">
        <v>42</v>
      </c>
    </row>
    <row r="3147" customFormat="false" ht="15" hidden="false" customHeight="false" outlineLevel="0" collapsed="false">
      <c r="A3147" s="22" t="n">
        <v>26</v>
      </c>
      <c r="B3147" s="23" t="n">
        <v>45649</v>
      </c>
      <c r="C3147" s="22" t="s">
        <v>219</v>
      </c>
      <c r="D3147" s="24" t="n">
        <v>42</v>
      </c>
    </row>
    <row r="3148" customFormat="false" ht="15" hidden="false" customHeight="false" outlineLevel="0" collapsed="false">
      <c r="A3148" s="22" t="n">
        <v>27</v>
      </c>
      <c r="B3148" s="23" t="n">
        <v>45656</v>
      </c>
      <c r="C3148" s="22" t="s">
        <v>219</v>
      </c>
      <c r="D3148" s="24" t="n">
        <v>34</v>
      </c>
    </row>
    <row r="3149" customFormat="false" ht="15" hidden="false" customHeight="false" outlineLevel="0" collapsed="false">
      <c r="A3149" s="22" t="n">
        <v>28</v>
      </c>
      <c r="B3149" s="23" t="n">
        <v>45663</v>
      </c>
      <c r="C3149" s="22" t="s">
        <v>219</v>
      </c>
      <c r="D3149" s="24" t="n">
        <v>47</v>
      </c>
    </row>
    <row r="3150" customFormat="false" ht="15" hidden="false" customHeight="false" outlineLevel="0" collapsed="false">
      <c r="A3150" s="22" t="n">
        <v>29</v>
      </c>
      <c r="B3150" s="23" t="n">
        <v>45670</v>
      </c>
      <c r="C3150" s="22" t="s">
        <v>219</v>
      </c>
      <c r="D3150" s="24" t="n">
        <v>53</v>
      </c>
    </row>
    <row r="3151" customFormat="false" ht="15" hidden="false" customHeight="false" outlineLevel="0" collapsed="false">
      <c r="A3151" s="22" t="n">
        <v>30</v>
      </c>
      <c r="B3151" s="23" t="n">
        <v>45677</v>
      </c>
      <c r="C3151" s="22" t="s">
        <v>219</v>
      </c>
      <c r="D3151" s="24" t="n">
        <v>54</v>
      </c>
    </row>
    <row r="3152" customFormat="false" ht="15" hidden="false" customHeight="false" outlineLevel="0" collapsed="false">
      <c r="A3152" s="22" t="n">
        <v>31</v>
      </c>
      <c r="B3152" s="23" t="n">
        <v>45684</v>
      </c>
      <c r="C3152" s="22" t="s">
        <v>219</v>
      </c>
      <c r="D3152" s="24" t="n">
        <v>38</v>
      </c>
    </row>
    <row r="3153" customFormat="false" ht="15" hidden="false" customHeight="false" outlineLevel="0" collapsed="false">
      <c r="A3153" s="22" t="n">
        <v>32</v>
      </c>
      <c r="B3153" s="23" t="n">
        <v>45691</v>
      </c>
      <c r="C3153" s="22" t="s">
        <v>219</v>
      </c>
      <c r="D3153" s="24" t="n">
        <v>42</v>
      </c>
    </row>
    <row r="3154" customFormat="false" ht="15" hidden="false" customHeight="false" outlineLevel="0" collapsed="false">
      <c r="A3154" s="22" t="n">
        <v>33</v>
      </c>
      <c r="B3154" s="23" t="n">
        <v>45698</v>
      </c>
      <c r="C3154" s="22" t="s">
        <v>219</v>
      </c>
      <c r="D3154" s="24" t="n">
        <v>69</v>
      </c>
    </row>
    <row r="3155" customFormat="false" ht="15" hidden="false" customHeight="false" outlineLevel="0" collapsed="false">
      <c r="A3155" s="22" t="n">
        <v>34</v>
      </c>
      <c r="B3155" s="23" t="n">
        <v>45705</v>
      </c>
      <c r="C3155" s="22" t="s">
        <v>219</v>
      </c>
      <c r="D3155" s="24" t="n">
        <v>26</v>
      </c>
    </row>
    <row r="3156" customFormat="false" ht="15" hidden="false" customHeight="false" outlineLevel="0" collapsed="false">
      <c r="A3156" s="22" t="n">
        <v>35</v>
      </c>
      <c r="B3156" s="23" t="n">
        <v>45712</v>
      </c>
      <c r="C3156" s="22" t="s">
        <v>219</v>
      </c>
      <c r="D3156" s="24" t="n">
        <v>43</v>
      </c>
    </row>
    <row r="3157" customFormat="false" ht="15" hidden="false" customHeight="false" outlineLevel="0" collapsed="false">
      <c r="A3157" s="22" t="n">
        <v>36</v>
      </c>
      <c r="B3157" s="23" t="n">
        <v>45719</v>
      </c>
      <c r="C3157" s="22" t="s">
        <v>219</v>
      </c>
      <c r="D3157" s="24" t="n">
        <v>51</v>
      </c>
    </row>
    <row r="3158" customFormat="false" ht="15" hidden="false" customHeight="false" outlineLevel="0" collapsed="false">
      <c r="A3158" s="22" t="n">
        <v>37</v>
      </c>
      <c r="B3158" s="23" t="n">
        <v>45726</v>
      </c>
      <c r="C3158" s="22" t="s">
        <v>219</v>
      </c>
      <c r="D3158" s="24" t="n">
        <v>42</v>
      </c>
    </row>
    <row r="3159" customFormat="false" ht="15" hidden="false" customHeight="false" outlineLevel="0" collapsed="false">
      <c r="A3159" s="22" t="n">
        <v>38</v>
      </c>
      <c r="B3159" s="23" t="n">
        <v>45733</v>
      </c>
      <c r="C3159" s="22" t="s">
        <v>219</v>
      </c>
      <c r="D3159" s="24" t="n">
        <v>48</v>
      </c>
    </row>
    <row r="3160" customFormat="false" ht="15" hidden="false" customHeight="false" outlineLevel="0" collapsed="false">
      <c r="A3160" s="22" t="n">
        <v>39</v>
      </c>
      <c r="B3160" s="23" t="n">
        <v>45740</v>
      </c>
      <c r="C3160" s="22" t="s">
        <v>219</v>
      </c>
      <c r="D3160" s="24" t="n">
        <v>42</v>
      </c>
    </row>
    <row r="3161" customFormat="false" ht="15" hidden="false" customHeight="false" outlineLevel="0" collapsed="false">
      <c r="A3161" s="22" t="n">
        <v>40</v>
      </c>
      <c r="B3161" s="23" t="n">
        <v>45747</v>
      </c>
      <c r="C3161" s="22" t="s">
        <v>219</v>
      </c>
      <c r="D3161" s="24" t="n">
        <v>49</v>
      </c>
    </row>
    <row r="3162" customFormat="false" ht="15" hidden="false" customHeight="false" outlineLevel="0" collapsed="false">
      <c r="A3162" s="22" t="n">
        <v>41</v>
      </c>
      <c r="B3162" s="23" t="n">
        <v>45754</v>
      </c>
      <c r="C3162" s="22" t="s">
        <v>219</v>
      </c>
      <c r="D3162" s="24" t="n">
        <v>56</v>
      </c>
    </row>
    <row r="3163" customFormat="false" ht="15" hidden="false" customHeight="false" outlineLevel="0" collapsed="false">
      <c r="A3163" s="22" t="n">
        <v>42</v>
      </c>
      <c r="B3163" s="23" t="n">
        <v>45761</v>
      </c>
      <c r="C3163" s="22" t="s">
        <v>219</v>
      </c>
      <c r="D3163" s="24" t="n">
        <v>37</v>
      </c>
    </row>
    <row r="3164" customFormat="false" ht="15" hidden="false" customHeight="false" outlineLevel="0" collapsed="false">
      <c r="A3164" s="22" t="n">
        <v>43</v>
      </c>
      <c r="B3164" s="23" t="n">
        <v>45768</v>
      </c>
      <c r="C3164" s="22" t="s">
        <v>219</v>
      </c>
      <c r="D3164" s="24" t="n">
        <v>42</v>
      </c>
    </row>
    <row r="3165" customFormat="false" ht="15" hidden="false" customHeight="false" outlineLevel="0" collapsed="false">
      <c r="A3165" s="22" t="n">
        <v>44</v>
      </c>
      <c r="B3165" s="23" t="n">
        <v>45775</v>
      </c>
      <c r="C3165" s="22" t="s">
        <v>219</v>
      </c>
      <c r="D3165" s="24" t="n">
        <v>39</v>
      </c>
    </row>
    <row r="3166" customFormat="false" ht="15" hidden="false" customHeight="false" outlineLevel="0" collapsed="false">
      <c r="A3166" s="22" t="n">
        <v>45</v>
      </c>
      <c r="B3166" s="23" t="n">
        <v>45782</v>
      </c>
      <c r="C3166" s="22" t="s">
        <v>219</v>
      </c>
      <c r="D3166" s="24" t="n">
        <v>35</v>
      </c>
    </row>
    <row r="3167" customFormat="false" ht="15" hidden="false" customHeight="false" outlineLevel="0" collapsed="false">
      <c r="A3167" s="22" t="n">
        <v>46</v>
      </c>
      <c r="B3167" s="23" t="n">
        <v>45789</v>
      </c>
      <c r="C3167" s="22" t="s">
        <v>219</v>
      </c>
      <c r="D3167" s="24" t="n">
        <v>40</v>
      </c>
    </row>
    <row r="3168" customFormat="false" ht="15" hidden="false" customHeight="false" outlineLevel="0" collapsed="false">
      <c r="A3168" s="22" t="n">
        <v>47</v>
      </c>
      <c r="B3168" s="23" t="n">
        <v>45796</v>
      </c>
      <c r="C3168" s="22" t="s">
        <v>219</v>
      </c>
      <c r="D3168" s="24" t="n">
        <v>26</v>
      </c>
    </row>
    <row r="3169" customFormat="false" ht="15" hidden="false" customHeight="false" outlineLevel="0" collapsed="false">
      <c r="A3169" s="22" t="n">
        <v>48</v>
      </c>
      <c r="B3169" s="23" t="n">
        <v>45803</v>
      </c>
      <c r="C3169" s="22" t="s">
        <v>219</v>
      </c>
      <c r="D3169" s="24" t="n">
        <v>49</v>
      </c>
    </row>
    <row r="3170" customFormat="false" ht="15" hidden="false" customHeight="false" outlineLevel="0" collapsed="false">
      <c r="A3170" s="22" t="n">
        <v>49</v>
      </c>
      <c r="B3170" s="23" t="n">
        <v>45810</v>
      </c>
      <c r="C3170" s="22" t="s">
        <v>219</v>
      </c>
      <c r="D3170" s="24" t="n">
        <v>61</v>
      </c>
    </row>
    <row r="3171" customFormat="false" ht="15" hidden="false" customHeight="false" outlineLevel="0" collapsed="false">
      <c r="A3171" s="22" t="n">
        <v>50</v>
      </c>
      <c r="B3171" s="23" t="n">
        <v>45817</v>
      </c>
      <c r="C3171" s="22" t="s">
        <v>219</v>
      </c>
      <c r="D3171" s="24" t="n">
        <v>61</v>
      </c>
    </row>
    <row r="3172" customFormat="false" ht="15" hidden="false" customHeight="false" outlineLevel="0" collapsed="false">
      <c r="A3172" s="22" t="n">
        <v>51</v>
      </c>
      <c r="B3172" s="23" t="n">
        <v>45824</v>
      </c>
      <c r="C3172" s="22" t="s">
        <v>219</v>
      </c>
      <c r="D3172" s="24" t="n">
        <v>56</v>
      </c>
    </row>
    <row r="3173" customFormat="false" ht="15" hidden="false" customHeight="false" outlineLevel="0" collapsed="false">
      <c r="A3173" s="22" t="n">
        <v>52</v>
      </c>
      <c r="B3173" s="23" t="n">
        <v>45831</v>
      </c>
      <c r="C3173" s="22" t="s">
        <v>219</v>
      </c>
      <c r="D3173" s="24" t="n">
        <v>28</v>
      </c>
    </row>
    <row r="3174" customFormat="false" ht="15" hidden="false" customHeight="false" outlineLevel="0" collapsed="false">
      <c r="A3174" s="22" t="n">
        <v>53</v>
      </c>
      <c r="B3174" s="23" t="n">
        <v>45838</v>
      </c>
      <c r="C3174" s="22" t="s">
        <v>219</v>
      </c>
      <c r="D3174" s="24" t="n">
        <v>59</v>
      </c>
    </row>
    <row r="3175" customFormat="false" ht="15" hidden="false" customHeight="false" outlineLevel="0" collapsed="false">
      <c r="A3175" s="22" t="n">
        <v>54</v>
      </c>
      <c r="B3175" s="23" t="n">
        <v>45845</v>
      </c>
      <c r="C3175" s="22" t="s">
        <v>219</v>
      </c>
      <c r="D3175" s="24" t="n">
        <v>31</v>
      </c>
    </row>
    <row r="3176" customFormat="false" ht="15" hidden="false" customHeight="false" outlineLevel="0" collapsed="false">
      <c r="A3176" s="22" t="n">
        <v>55</v>
      </c>
      <c r="B3176" s="23" t="n">
        <v>45852</v>
      </c>
      <c r="C3176" s="22" t="s">
        <v>219</v>
      </c>
      <c r="D3176" s="24" t="n">
        <v>39</v>
      </c>
    </row>
    <row r="3177" customFormat="false" ht="15" hidden="false" customHeight="false" outlineLevel="0" collapsed="false">
      <c r="A3177" s="22" t="n">
        <v>56</v>
      </c>
      <c r="B3177" s="23" t="n">
        <v>45859</v>
      </c>
      <c r="C3177" s="22" t="s">
        <v>219</v>
      </c>
      <c r="D3177" s="24" t="n">
        <v>63</v>
      </c>
    </row>
    <row r="3178" customFormat="false" ht="15" hidden="false" customHeight="false" outlineLevel="0" collapsed="false">
      <c r="A3178" s="22" t="n">
        <v>57</v>
      </c>
      <c r="B3178" s="23" t="n">
        <v>45866</v>
      </c>
      <c r="C3178" s="22" t="s">
        <v>219</v>
      </c>
      <c r="D3178" s="24" t="n">
        <v>27</v>
      </c>
    </row>
    <row r="3179" customFormat="false" ht="15" hidden="false" customHeight="false" outlineLevel="0" collapsed="false">
      <c r="A3179" s="22" t="n">
        <v>58</v>
      </c>
      <c r="B3179" s="23" t="n">
        <v>45873</v>
      </c>
      <c r="C3179" s="22" t="s">
        <v>219</v>
      </c>
      <c r="D3179" s="24" t="n">
        <v>50</v>
      </c>
    </row>
    <row r="3180" customFormat="false" ht="15" hidden="false" customHeight="false" outlineLevel="0" collapsed="false">
      <c r="A3180" s="22" t="n">
        <v>59</v>
      </c>
      <c r="B3180" s="23" t="n">
        <v>45880</v>
      </c>
      <c r="C3180" s="22" t="s">
        <v>219</v>
      </c>
      <c r="D3180" s="24" t="n">
        <v>43</v>
      </c>
    </row>
    <row r="3181" customFormat="false" ht="15" hidden="false" customHeight="false" outlineLevel="0" collapsed="false">
      <c r="A3181" s="22" t="n">
        <v>60</v>
      </c>
      <c r="B3181" s="23" t="n">
        <v>45887</v>
      </c>
      <c r="C3181" s="22" t="s">
        <v>219</v>
      </c>
      <c r="D3181" s="24" t="n">
        <v>38</v>
      </c>
    </row>
    <row r="3182" customFormat="false" ht="15" hidden="false" customHeight="false" outlineLevel="0" collapsed="false">
      <c r="A3182" s="22" t="n">
        <v>61</v>
      </c>
      <c r="B3182" s="23" t="n">
        <v>45894</v>
      </c>
      <c r="C3182" s="22" t="s">
        <v>219</v>
      </c>
      <c r="D3182" s="24" t="n">
        <v>29</v>
      </c>
    </row>
    <row r="3183" customFormat="false" ht="15" hidden="false" customHeight="false" outlineLevel="0" collapsed="false">
      <c r="A3183" s="22" t="n">
        <v>62</v>
      </c>
      <c r="B3183" s="23" t="n">
        <v>45901</v>
      </c>
      <c r="C3183" s="22" t="s">
        <v>219</v>
      </c>
      <c r="D3183" s="24" t="n">
        <v>45</v>
      </c>
    </row>
    <row r="3184" customFormat="false" ht="15" hidden="false" customHeight="false" outlineLevel="0" collapsed="false">
      <c r="A3184" s="22" t="n">
        <v>63</v>
      </c>
      <c r="B3184" s="23" t="n">
        <v>45908</v>
      </c>
      <c r="C3184" s="22" t="s">
        <v>219</v>
      </c>
      <c r="D3184" s="24" t="n">
        <v>34</v>
      </c>
    </row>
    <row r="3185" customFormat="false" ht="15" hidden="false" customHeight="false" outlineLevel="0" collapsed="false">
      <c r="A3185" s="22" t="n">
        <v>64</v>
      </c>
      <c r="B3185" s="23" t="n">
        <v>45915</v>
      </c>
      <c r="C3185" s="22" t="s">
        <v>219</v>
      </c>
      <c r="D3185" s="24" t="n">
        <v>53</v>
      </c>
    </row>
    <row r="3186" customFormat="false" ht="15" hidden="false" customHeight="false" outlineLevel="0" collapsed="false">
      <c r="A3186" s="22" t="n">
        <v>65</v>
      </c>
      <c r="B3186" s="23" t="n">
        <v>45922</v>
      </c>
      <c r="C3186" s="22" t="s">
        <v>219</v>
      </c>
      <c r="D3186" s="24" t="n">
        <v>55</v>
      </c>
    </row>
    <row r="3187" customFormat="false" ht="15" hidden="false" customHeight="false" outlineLevel="0" collapsed="false">
      <c r="A3187" s="22" t="n">
        <v>66</v>
      </c>
      <c r="B3187" s="23" t="n">
        <v>45929</v>
      </c>
      <c r="C3187" s="22" t="s">
        <v>219</v>
      </c>
      <c r="D3187" s="24" t="n">
        <v>23</v>
      </c>
    </row>
    <row r="3188" customFormat="false" ht="15" hidden="false" customHeight="false" outlineLevel="0" collapsed="false">
      <c r="A3188" s="22" t="n">
        <v>67</v>
      </c>
      <c r="B3188" s="23" t="n">
        <v>45936</v>
      </c>
      <c r="C3188" s="22" t="s">
        <v>219</v>
      </c>
      <c r="D3188" s="24" t="n">
        <v>34</v>
      </c>
    </row>
    <row r="3189" customFormat="false" ht="15" hidden="false" customHeight="false" outlineLevel="0" collapsed="false">
      <c r="A3189" s="22" t="n">
        <v>68</v>
      </c>
      <c r="B3189" s="23" t="n">
        <v>45943</v>
      </c>
      <c r="C3189" s="22" t="s">
        <v>219</v>
      </c>
      <c r="D3189" s="24" t="n">
        <v>36</v>
      </c>
    </row>
    <row r="3190" customFormat="false" ht="15" hidden="false" customHeight="false" outlineLevel="0" collapsed="false">
      <c r="A3190" s="22" t="n">
        <v>69</v>
      </c>
      <c r="B3190" s="23" t="n">
        <v>45950</v>
      </c>
      <c r="C3190" s="22" t="s">
        <v>219</v>
      </c>
      <c r="D3190" s="24" t="n">
        <v>25</v>
      </c>
    </row>
    <row r="3191" customFormat="false" ht="15" hidden="false" customHeight="false" outlineLevel="0" collapsed="false">
      <c r="A3191" s="22" t="n">
        <v>70</v>
      </c>
      <c r="B3191" s="23" t="n">
        <v>45957</v>
      </c>
      <c r="C3191" s="22" t="s">
        <v>219</v>
      </c>
      <c r="D3191" s="24" t="n">
        <v>26</v>
      </c>
    </row>
    <row r="3192" customFormat="false" ht="15" hidden="false" customHeight="false" outlineLevel="0" collapsed="false">
      <c r="A3192" s="22" t="n">
        <v>71</v>
      </c>
      <c r="B3192" s="23" t="n">
        <v>45964</v>
      </c>
      <c r="C3192" s="22" t="s">
        <v>219</v>
      </c>
      <c r="D3192" s="24" t="n">
        <v>41</v>
      </c>
    </row>
    <row r="3193" customFormat="false" ht="15" hidden="false" customHeight="false" outlineLevel="0" collapsed="false">
      <c r="A3193" s="22" t="n">
        <v>72</v>
      </c>
      <c r="B3193" s="23" t="n">
        <v>45971</v>
      </c>
      <c r="C3193" s="22" t="s">
        <v>219</v>
      </c>
      <c r="D3193" s="24" t="n">
        <v>37</v>
      </c>
    </row>
    <row r="3194" customFormat="false" ht="15" hidden="false" customHeight="false" outlineLevel="0" collapsed="false">
      <c r="A3194" s="22" t="n">
        <v>73</v>
      </c>
      <c r="B3194" s="23" t="n">
        <v>45978</v>
      </c>
      <c r="C3194" s="22" t="s">
        <v>219</v>
      </c>
      <c r="D3194" s="24" t="n">
        <v>20</v>
      </c>
    </row>
    <row r="3195" customFormat="false" ht="15" hidden="false" customHeight="false" outlineLevel="0" collapsed="false">
      <c r="A3195" s="22" t="n">
        <v>74</v>
      </c>
      <c r="B3195" s="23" t="n">
        <v>45985</v>
      </c>
      <c r="C3195" s="22" t="s">
        <v>219</v>
      </c>
      <c r="D3195" s="24" t="n">
        <v>33</v>
      </c>
    </row>
    <row r="3196" customFormat="false" ht="15" hidden="false" customHeight="false" outlineLevel="0" collapsed="false">
      <c r="A3196" s="22" t="n">
        <v>75</v>
      </c>
      <c r="B3196" s="23" t="n">
        <v>45992</v>
      </c>
      <c r="C3196" s="22" t="s">
        <v>219</v>
      </c>
      <c r="D3196" s="24" t="n">
        <v>46</v>
      </c>
    </row>
    <row r="3197" customFormat="false" ht="15" hidden="false" customHeight="false" outlineLevel="0" collapsed="false">
      <c r="A3197" s="22" t="n">
        <v>76</v>
      </c>
      <c r="B3197" s="23" t="n">
        <v>45999</v>
      </c>
      <c r="C3197" s="22" t="s">
        <v>219</v>
      </c>
      <c r="D3197" s="24" t="n">
        <v>25</v>
      </c>
    </row>
    <row r="3198" customFormat="false" ht="15" hidden="false" customHeight="false" outlineLevel="0" collapsed="false">
      <c r="A3198" s="22" t="n">
        <v>77</v>
      </c>
      <c r="B3198" s="23" t="n">
        <v>46006</v>
      </c>
      <c r="C3198" s="22" t="s">
        <v>219</v>
      </c>
      <c r="D3198" s="24" t="n">
        <v>29</v>
      </c>
    </row>
    <row r="3199" customFormat="false" ht="15" hidden="false" customHeight="false" outlineLevel="0" collapsed="false">
      <c r="A3199" s="22" t="n">
        <v>78</v>
      </c>
      <c r="B3199" s="23" t="n">
        <v>46013</v>
      </c>
      <c r="C3199" s="22" t="s">
        <v>219</v>
      </c>
      <c r="D3199" s="24" t="n">
        <v>60</v>
      </c>
    </row>
    <row r="3200" customFormat="false" ht="15" hidden="false" customHeight="false" outlineLevel="0" collapsed="false">
      <c r="A3200" s="22" t="n">
        <v>79</v>
      </c>
      <c r="B3200" s="23" t="n">
        <v>46020</v>
      </c>
      <c r="C3200" s="22" t="s">
        <v>219</v>
      </c>
      <c r="D3200" s="24" t="n">
        <v>56</v>
      </c>
    </row>
    <row r="3201" customFormat="false" ht="15" hidden="false" customHeight="false" outlineLevel="0" collapsed="false">
      <c r="A3201" s="22" t="n">
        <v>80</v>
      </c>
      <c r="B3201" s="23" t="n">
        <v>46027</v>
      </c>
      <c r="C3201" s="22" t="s">
        <v>219</v>
      </c>
      <c r="D3201" s="24" t="n">
        <v>20</v>
      </c>
    </row>
    <row r="3202" customFormat="false" ht="15" hidden="false" customHeight="false" outlineLevel="0" collapsed="false">
      <c r="A3202" s="22" t="n">
        <v>81</v>
      </c>
      <c r="B3202" s="23" t="n">
        <v>46034</v>
      </c>
      <c r="C3202" s="22" t="s">
        <v>219</v>
      </c>
      <c r="D3202" s="24" t="n">
        <v>23</v>
      </c>
    </row>
    <row r="3203" customFormat="false" ht="15" hidden="false" customHeight="false" outlineLevel="0" collapsed="false">
      <c r="A3203" s="22" t="n">
        <v>82</v>
      </c>
      <c r="B3203" s="23" t="n">
        <v>46041</v>
      </c>
      <c r="C3203" s="22" t="s">
        <v>219</v>
      </c>
      <c r="D3203" s="24" t="n">
        <v>45</v>
      </c>
    </row>
    <row r="3204" customFormat="false" ht="15" hidden="false" customHeight="false" outlineLevel="0" collapsed="false">
      <c r="A3204" s="22" t="n">
        <v>83</v>
      </c>
      <c r="B3204" s="23" t="n">
        <v>46048</v>
      </c>
      <c r="C3204" s="22" t="s">
        <v>219</v>
      </c>
      <c r="D3204" s="24" t="n">
        <v>25</v>
      </c>
    </row>
    <row r="3205" customFormat="false" ht="15" hidden="false" customHeight="false" outlineLevel="0" collapsed="false">
      <c r="A3205" s="22" t="n">
        <v>84</v>
      </c>
      <c r="B3205" s="23" t="n">
        <v>46055</v>
      </c>
      <c r="C3205" s="22" t="s">
        <v>219</v>
      </c>
      <c r="D3205" s="24" t="n">
        <v>37</v>
      </c>
    </row>
    <row r="3206" customFormat="false" ht="15" hidden="false" customHeight="false" outlineLevel="0" collapsed="false">
      <c r="A3206" s="22" t="n">
        <v>85</v>
      </c>
      <c r="B3206" s="23" t="n">
        <v>46062</v>
      </c>
      <c r="C3206" s="22" t="s">
        <v>219</v>
      </c>
      <c r="D3206" s="24" t="n">
        <v>34</v>
      </c>
    </row>
    <row r="3207" customFormat="false" ht="15" hidden="false" customHeight="false" outlineLevel="0" collapsed="false">
      <c r="A3207" s="22" t="n">
        <v>86</v>
      </c>
      <c r="B3207" s="23" t="n">
        <v>46069</v>
      </c>
      <c r="C3207" s="22" t="s">
        <v>219</v>
      </c>
      <c r="D3207" s="24" t="n">
        <v>47</v>
      </c>
    </row>
    <row r="3208" customFormat="false" ht="15" hidden="false" customHeight="false" outlineLevel="0" collapsed="false">
      <c r="A3208" s="22" t="n">
        <v>87</v>
      </c>
      <c r="B3208" s="23" t="n">
        <v>46076</v>
      </c>
      <c r="C3208" s="22" t="s">
        <v>219</v>
      </c>
      <c r="D3208" s="24" t="n">
        <v>9</v>
      </c>
    </row>
    <row r="3209" customFormat="false" ht="15" hidden="false" customHeight="false" outlineLevel="0" collapsed="false">
      <c r="A3209" s="22" t="n">
        <v>88</v>
      </c>
      <c r="B3209" s="23" t="n">
        <v>46083</v>
      </c>
      <c r="C3209" s="22" t="s">
        <v>219</v>
      </c>
      <c r="D3209" s="24" t="n">
        <v>13</v>
      </c>
    </row>
    <row r="3210" customFormat="false" ht="15" hidden="false" customHeight="false" outlineLevel="0" collapsed="false">
      <c r="A3210" s="22" t="n">
        <v>89</v>
      </c>
      <c r="B3210" s="23" t="n">
        <v>46090</v>
      </c>
      <c r="C3210" s="22" t="s">
        <v>219</v>
      </c>
      <c r="D3210" s="24" t="n">
        <v>25</v>
      </c>
    </row>
    <row r="3211" customFormat="false" ht="15" hidden="false" customHeight="false" outlineLevel="0" collapsed="false">
      <c r="A3211" s="22" t="n">
        <v>90</v>
      </c>
      <c r="B3211" s="23" t="n">
        <v>46097</v>
      </c>
      <c r="C3211" s="22" t="s">
        <v>219</v>
      </c>
      <c r="D3211" s="24" t="n">
        <v>53</v>
      </c>
    </row>
    <row r="3212" customFormat="false" ht="15" hidden="false" customHeight="false" outlineLevel="0" collapsed="false">
      <c r="A3212" s="22" t="n">
        <v>91</v>
      </c>
      <c r="B3212" s="23" t="n">
        <v>46104</v>
      </c>
      <c r="C3212" s="22" t="s">
        <v>219</v>
      </c>
      <c r="D3212" s="24" t="n">
        <v>38</v>
      </c>
    </row>
    <row r="3213" customFormat="false" ht="15" hidden="false" customHeight="false" outlineLevel="0" collapsed="false">
      <c r="A3213" s="22" t="n">
        <v>92</v>
      </c>
      <c r="B3213" s="23" t="n">
        <v>46111</v>
      </c>
      <c r="C3213" s="22" t="s">
        <v>219</v>
      </c>
      <c r="D3213" s="24" t="n">
        <v>19</v>
      </c>
    </row>
    <row r="3214" customFormat="false" ht="15" hidden="false" customHeight="false" outlineLevel="0" collapsed="false">
      <c r="A3214" s="22" t="n">
        <v>93</v>
      </c>
      <c r="B3214" s="23" t="n">
        <v>46118</v>
      </c>
      <c r="C3214" s="22" t="s">
        <v>219</v>
      </c>
      <c r="D3214" s="24" t="n">
        <v>46</v>
      </c>
    </row>
    <row r="3215" customFormat="false" ht="15" hidden="false" customHeight="false" outlineLevel="0" collapsed="false">
      <c r="A3215" s="22" t="n">
        <v>94</v>
      </c>
      <c r="B3215" s="23" t="n">
        <v>46125</v>
      </c>
      <c r="C3215" s="22" t="s">
        <v>219</v>
      </c>
      <c r="D3215" s="24" t="n">
        <v>49</v>
      </c>
    </row>
    <row r="3216" customFormat="false" ht="15" hidden="false" customHeight="false" outlineLevel="0" collapsed="false">
      <c r="A3216" s="22" t="n">
        <v>95</v>
      </c>
      <c r="B3216" s="23" t="n">
        <v>46132</v>
      </c>
      <c r="C3216" s="22" t="s">
        <v>219</v>
      </c>
      <c r="D3216" s="24" t="n">
        <v>37</v>
      </c>
    </row>
    <row r="3217" customFormat="false" ht="15" hidden="false" customHeight="false" outlineLevel="0" collapsed="false">
      <c r="A3217" s="22" t="n">
        <v>96</v>
      </c>
      <c r="B3217" s="23" t="n">
        <v>46139</v>
      </c>
      <c r="C3217" s="22" t="s">
        <v>219</v>
      </c>
      <c r="D3217" s="24" t="n">
        <v>36</v>
      </c>
    </row>
    <row r="3218" customFormat="false" ht="15" hidden="false" customHeight="false" outlineLevel="0" collapsed="false">
      <c r="A3218" s="22" t="n">
        <v>97</v>
      </c>
      <c r="B3218" s="23" t="n">
        <v>46146</v>
      </c>
      <c r="C3218" s="22" t="s">
        <v>219</v>
      </c>
      <c r="D3218" s="24" t="n">
        <v>45</v>
      </c>
    </row>
    <row r="3219" customFormat="false" ht="15" hidden="false" customHeight="false" outlineLevel="0" collapsed="false">
      <c r="A3219" s="22" t="n">
        <v>98</v>
      </c>
      <c r="B3219" s="23" t="n">
        <v>46153</v>
      </c>
      <c r="C3219" s="22" t="s">
        <v>219</v>
      </c>
      <c r="D3219" s="24" t="n">
        <v>55</v>
      </c>
    </row>
    <row r="3220" customFormat="false" ht="15" hidden="false" customHeight="false" outlineLevel="0" collapsed="false">
      <c r="A3220" s="22" t="n">
        <v>99</v>
      </c>
      <c r="B3220" s="23" t="n">
        <v>46160</v>
      </c>
      <c r="C3220" s="22" t="s">
        <v>219</v>
      </c>
      <c r="D3220" s="24" t="n">
        <v>42</v>
      </c>
    </row>
    <row r="3221" customFormat="false" ht="15" hidden="false" customHeight="false" outlineLevel="0" collapsed="false">
      <c r="A3221" s="22" t="n">
        <v>100</v>
      </c>
      <c r="B3221" s="23" t="n">
        <v>46167</v>
      </c>
      <c r="C3221" s="22" t="s">
        <v>219</v>
      </c>
      <c r="D3221" s="24" t="n">
        <v>47</v>
      </c>
    </row>
    <row r="3222" customFormat="false" ht="15" hidden="false" customHeight="false" outlineLevel="0" collapsed="false">
      <c r="A3222" s="22" t="n">
        <v>101</v>
      </c>
      <c r="B3222" s="23" t="n">
        <v>46174</v>
      </c>
      <c r="C3222" s="22" t="s">
        <v>219</v>
      </c>
      <c r="D3222" s="24" t="n">
        <v>39</v>
      </c>
    </row>
    <row r="3223" customFormat="false" ht="15" hidden="false" customHeight="false" outlineLevel="0" collapsed="false">
      <c r="A3223" s="22" t="n">
        <v>102</v>
      </c>
      <c r="B3223" s="23" t="n">
        <v>46181</v>
      </c>
      <c r="C3223" s="22" t="s">
        <v>219</v>
      </c>
      <c r="D3223" s="24" t="n">
        <v>35</v>
      </c>
    </row>
    <row r="3224" customFormat="false" ht="15" hidden="false" customHeight="false" outlineLevel="0" collapsed="false">
      <c r="A3224" s="22" t="n">
        <v>103</v>
      </c>
      <c r="B3224" s="23" t="n">
        <v>46188</v>
      </c>
      <c r="C3224" s="22" t="s">
        <v>219</v>
      </c>
      <c r="D3224" s="24" t="n">
        <v>29</v>
      </c>
    </row>
    <row r="3225" customFormat="false" ht="15" hidden="false" customHeight="false" outlineLevel="0" collapsed="false">
      <c r="A3225" s="22" t="n">
        <v>104</v>
      </c>
      <c r="B3225" s="23" t="n">
        <v>46195</v>
      </c>
      <c r="C3225" s="22" t="s">
        <v>219</v>
      </c>
      <c r="D3225" s="24" t="n">
        <v>43</v>
      </c>
    </row>
    <row r="3226" customFormat="false" ht="15" hidden="false" customHeight="false" outlineLevel="0" collapsed="false">
      <c r="A3226" s="22" t="n">
        <v>1</v>
      </c>
      <c r="B3226" s="23" t="n">
        <v>45474</v>
      </c>
      <c r="C3226" s="22" t="s">
        <v>221</v>
      </c>
      <c r="D3226" s="24" t="n">
        <v>17</v>
      </c>
    </row>
    <row r="3227" customFormat="false" ht="15" hidden="false" customHeight="false" outlineLevel="0" collapsed="false">
      <c r="A3227" s="22" t="n">
        <v>2</v>
      </c>
      <c r="B3227" s="23" t="n">
        <v>45481</v>
      </c>
      <c r="C3227" s="22" t="s">
        <v>221</v>
      </c>
      <c r="D3227" s="24" t="n">
        <v>18</v>
      </c>
    </row>
    <row r="3228" customFormat="false" ht="15" hidden="false" customHeight="false" outlineLevel="0" collapsed="false">
      <c r="A3228" s="22" t="n">
        <v>3</v>
      </c>
      <c r="B3228" s="23" t="n">
        <v>45488</v>
      </c>
      <c r="C3228" s="22" t="s">
        <v>221</v>
      </c>
      <c r="D3228" s="24" t="n">
        <v>21</v>
      </c>
    </row>
    <row r="3229" customFormat="false" ht="15" hidden="false" customHeight="false" outlineLevel="0" collapsed="false">
      <c r="A3229" s="22" t="n">
        <v>4</v>
      </c>
      <c r="B3229" s="23" t="n">
        <v>45495</v>
      </c>
      <c r="C3229" s="22" t="s">
        <v>221</v>
      </c>
      <c r="D3229" s="24" t="n">
        <v>20</v>
      </c>
    </row>
    <row r="3230" customFormat="false" ht="15" hidden="false" customHeight="false" outlineLevel="0" collapsed="false">
      <c r="A3230" s="22" t="n">
        <v>5</v>
      </c>
      <c r="B3230" s="23" t="n">
        <v>45502</v>
      </c>
      <c r="C3230" s="22" t="s">
        <v>221</v>
      </c>
      <c r="D3230" s="24" t="n">
        <v>21</v>
      </c>
    </row>
    <row r="3231" customFormat="false" ht="15" hidden="false" customHeight="false" outlineLevel="0" collapsed="false">
      <c r="A3231" s="22" t="n">
        <v>6</v>
      </c>
      <c r="B3231" s="23" t="n">
        <v>45509</v>
      </c>
      <c r="C3231" s="22" t="s">
        <v>221</v>
      </c>
      <c r="D3231" s="24" t="n">
        <v>15</v>
      </c>
    </row>
    <row r="3232" customFormat="false" ht="15" hidden="false" customHeight="false" outlineLevel="0" collapsed="false">
      <c r="A3232" s="22" t="n">
        <v>7</v>
      </c>
      <c r="B3232" s="23" t="n">
        <v>45516</v>
      </c>
      <c r="C3232" s="22" t="s">
        <v>221</v>
      </c>
      <c r="D3232" s="24" t="n">
        <v>21</v>
      </c>
    </row>
    <row r="3233" customFormat="false" ht="15" hidden="false" customHeight="false" outlineLevel="0" collapsed="false">
      <c r="A3233" s="22" t="n">
        <v>8</v>
      </c>
      <c r="B3233" s="23" t="n">
        <v>45523</v>
      </c>
      <c r="C3233" s="22" t="s">
        <v>221</v>
      </c>
      <c r="D3233" s="24" t="n">
        <v>18</v>
      </c>
    </row>
    <row r="3234" customFormat="false" ht="15" hidden="false" customHeight="false" outlineLevel="0" collapsed="false">
      <c r="A3234" s="22" t="n">
        <v>9</v>
      </c>
      <c r="B3234" s="23" t="n">
        <v>45530</v>
      </c>
      <c r="C3234" s="22" t="s">
        <v>221</v>
      </c>
      <c r="D3234" s="24" t="n">
        <v>18</v>
      </c>
    </row>
    <row r="3235" customFormat="false" ht="15" hidden="false" customHeight="false" outlineLevel="0" collapsed="false">
      <c r="A3235" s="22" t="n">
        <v>10</v>
      </c>
      <c r="B3235" s="23" t="n">
        <v>45537</v>
      </c>
      <c r="C3235" s="22" t="s">
        <v>221</v>
      </c>
      <c r="D3235" s="24" t="n">
        <v>18</v>
      </c>
    </row>
    <row r="3236" customFormat="false" ht="15" hidden="false" customHeight="false" outlineLevel="0" collapsed="false">
      <c r="A3236" s="22" t="n">
        <v>11</v>
      </c>
      <c r="B3236" s="23" t="n">
        <v>45544</v>
      </c>
      <c r="C3236" s="22" t="s">
        <v>221</v>
      </c>
      <c r="D3236" s="24" t="n">
        <v>24</v>
      </c>
    </row>
    <row r="3237" customFormat="false" ht="15" hidden="false" customHeight="false" outlineLevel="0" collapsed="false">
      <c r="A3237" s="22" t="n">
        <v>12</v>
      </c>
      <c r="B3237" s="23" t="n">
        <v>45551</v>
      </c>
      <c r="C3237" s="22" t="s">
        <v>221</v>
      </c>
      <c r="D3237" s="24" t="n">
        <v>23</v>
      </c>
    </row>
    <row r="3238" customFormat="false" ht="15" hidden="false" customHeight="false" outlineLevel="0" collapsed="false">
      <c r="A3238" s="22" t="n">
        <v>13</v>
      </c>
      <c r="B3238" s="23" t="n">
        <v>45558</v>
      </c>
      <c r="C3238" s="22" t="s">
        <v>221</v>
      </c>
      <c r="D3238" s="24" t="n">
        <v>19</v>
      </c>
    </row>
    <row r="3239" customFormat="false" ht="15" hidden="false" customHeight="false" outlineLevel="0" collapsed="false">
      <c r="A3239" s="22" t="n">
        <v>14</v>
      </c>
      <c r="B3239" s="23" t="n">
        <v>45565</v>
      </c>
      <c r="C3239" s="22" t="s">
        <v>221</v>
      </c>
      <c r="D3239" s="24" t="n">
        <v>18</v>
      </c>
    </row>
    <row r="3240" customFormat="false" ht="15" hidden="false" customHeight="false" outlineLevel="0" collapsed="false">
      <c r="A3240" s="22" t="n">
        <v>15</v>
      </c>
      <c r="B3240" s="23" t="n">
        <v>45572</v>
      </c>
      <c r="C3240" s="22" t="s">
        <v>221</v>
      </c>
      <c r="D3240" s="24" t="n">
        <v>21</v>
      </c>
    </row>
    <row r="3241" customFormat="false" ht="15" hidden="false" customHeight="false" outlineLevel="0" collapsed="false">
      <c r="A3241" s="22" t="n">
        <v>16</v>
      </c>
      <c r="B3241" s="23" t="n">
        <v>45579</v>
      </c>
      <c r="C3241" s="22" t="s">
        <v>221</v>
      </c>
      <c r="D3241" s="24" t="n">
        <v>20</v>
      </c>
    </row>
    <row r="3242" customFormat="false" ht="15" hidden="false" customHeight="false" outlineLevel="0" collapsed="false">
      <c r="A3242" s="22" t="n">
        <v>17</v>
      </c>
      <c r="B3242" s="23" t="n">
        <v>45586</v>
      </c>
      <c r="C3242" s="22" t="s">
        <v>221</v>
      </c>
      <c r="D3242" s="24" t="n">
        <v>26</v>
      </c>
    </row>
    <row r="3243" customFormat="false" ht="15" hidden="false" customHeight="false" outlineLevel="0" collapsed="false">
      <c r="A3243" s="22" t="n">
        <v>18</v>
      </c>
      <c r="B3243" s="23" t="n">
        <v>45593</v>
      </c>
      <c r="C3243" s="22" t="s">
        <v>221</v>
      </c>
      <c r="D3243" s="24" t="n">
        <v>17</v>
      </c>
    </row>
    <row r="3244" customFormat="false" ht="15" hidden="false" customHeight="false" outlineLevel="0" collapsed="false">
      <c r="A3244" s="22" t="n">
        <v>19</v>
      </c>
      <c r="B3244" s="23" t="n">
        <v>45600</v>
      </c>
      <c r="C3244" s="22" t="s">
        <v>221</v>
      </c>
      <c r="D3244" s="24" t="n">
        <v>16</v>
      </c>
    </row>
    <row r="3245" customFormat="false" ht="15" hidden="false" customHeight="false" outlineLevel="0" collapsed="false">
      <c r="A3245" s="22" t="n">
        <v>20</v>
      </c>
      <c r="B3245" s="23" t="n">
        <v>45607</v>
      </c>
      <c r="C3245" s="22" t="s">
        <v>221</v>
      </c>
      <c r="D3245" s="24" t="n">
        <v>21</v>
      </c>
    </row>
    <row r="3246" customFormat="false" ht="15" hidden="false" customHeight="false" outlineLevel="0" collapsed="false">
      <c r="A3246" s="22" t="n">
        <v>21</v>
      </c>
      <c r="B3246" s="23" t="n">
        <v>45614</v>
      </c>
      <c r="C3246" s="22" t="s">
        <v>221</v>
      </c>
      <c r="D3246" s="24" t="n">
        <v>22</v>
      </c>
    </row>
    <row r="3247" customFormat="false" ht="15" hidden="false" customHeight="false" outlineLevel="0" collapsed="false">
      <c r="A3247" s="22" t="n">
        <v>22</v>
      </c>
      <c r="B3247" s="23" t="n">
        <v>45621</v>
      </c>
      <c r="C3247" s="22" t="s">
        <v>221</v>
      </c>
      <c r="D3247" s="24" t="n">
        <v>23</v>
      </c>
    </row>
    <row r="3248" customFormat="false" ht="15" hidden="false" customHeight="false" outlineLevel="0" collapsed="false">
      <c r="A3248" s="22" t="n">
        <v>23</v>
      </c>
      <c r="B3248" s="23" t="n">
        <v>45628</v>
      </c>
      <c r="C3248" s="22" t="s">
        <v>221</v>
      </c>
      <c r="D3248" s="24" t="n">
        <v>25</v>
      </c>
    </row>
    <row r="3249" customFormat="false" ht="15" hidden="false" customHeight="false" outlineLevel="0" collapsed="false">
      <c r="A3249" s="22" t="n">
        <v>24</v>
      </c>
      <c r="B3249" s="23" t="n">
        <v>45635</v>
      </c>
      <c r="C3249" s="22" t="s">
        <v>221</v>
      </c>
      <c r="D3249" s="24" t="n">
        <v>30</v>
      </c>
    </row>
    <row r="3250" customFormat="false" ht="15" hidden="false" customHeight="false" outlineLevel="0" collapsed="false">
      <c r="A3250" s="22" t="n">
        <v>25</v>
      </c>
      <c r="B3250" s="23" t="n">
        <v>45642</v>
      </c>
      <c r="C3250" s="22" t="s">
        <v>221</v>
      </c>
      <c r="D3250" s="24" t="n">
        <v>22</v>
      </c>
    </row>
    <row r="3251" customFormat="false" ht="15" hidden="false" customHeight="false" outlineLevel="0" collapsed="false">
      <c r="A3251" s="22" t="n">
        <v>26</v>
      </c>
      <c r="B3251" s="23" t="n">
        <v>45649</v>
      </c>
      <c r="C3251" s="22" t="s">
        <v>221</v>
      </c>
      <c r="D3251" s="24" t="n">
        <v>22</v>
      </c>
    </row>
    <row r="3252" customFormat="false" ht="15" hidden="false" customHeight="false" outlineLevel="0" collapsed="false">
      <c r="A3252" s="22" t="n">
        <v>27</v>
      </c>
      <c r="B3252" s="23" t="n">
        <v>45656</v>
      </c>
      <c r="C3252" s="22" t="s">
        <v>221</v>
      </c>
      <c r="D3252" s="24" t="n">
        <v>18</v>
      </c>
    </row>
    <row r="3253" customFormat="false" ht="15" hidden="false" customHeight="false" outlineLevel="0" collapsed="false">
      <c r="A3253" s="22" t="n">
        <v>28</v>
      </c>
      <c r="B3253" s="23" t="n">
        <v>45663</v>
      </c>
      <c r="C3253" s="22" t="s">
        <v>221</v>
      </c>
      <c r="D3253" s="24" t="n">
        <v>25</v>
      </c>
    </row>
    <row r="3254" customFormat="false" ht="15" hidden="false" customHeight="false" outlineLevel="0" collapsed="false">
      <c r="A3254" s="22" t="n">
        <v>29</v>
      </c>
      <c r="B3254" s="23" t="n">
        <v>45670</v>
      </c>
      <c r="C3254" s="22" t="s">
        <v>221</v>
      </c>
      <c r="D3254" s="24" t="n">
        <v>27</v>
      </c>
    </row>
    <row r="3255" customFormat="false" ht="15" hidden="false" customHeight="false" outlineLevel="0" collapsed="false">
      <c r="A3255" s="22" t="n">
        <v>30</v>
      </c>
      <c r="B3255" s="23" t="n">
        <v>45677</v>
      </c>
      <c r="C3255" s="22" t="s">
        <v>221</v>
      </c>
      <c r="D3255" s="24" t="n">
        <v>23</v>
      </c>
    </row>
    <row r="3256" customFormat="false" ht="15" hidden="false" customHeight="false" outlineLevel="0" collapsed="false">
      <c r="A3256" s="22" t="n">
        <v>31</v>
      </c>
      <c r="B3256" s="23" t="n">
        <v>45684</v>
      </c>
      <c r="C3256" s="22" t="s">
        <v>221</v>
      </c>
      <c r="D3256" s="24" t="n">
        <v>28</v>
      </c>
    </row>
    <row r="3257" customFormat="false" ht="15" hidden="false" customHeight="false" outlineLevel="0" collapsed="false">
      <c r="A3257" s="22" t="n">
        <v>32</v>
      </c>
      <c r="B3257" s="23" t="n">
        <v>45691</v>
      </c>
      <c r="C3257" s="22" t="s">
        <v>221</v>
      </c>
      <c r="D3257" s="24" t="n">
        <v>25</v>
      </c>
    </row>
    <row r="3258" customFormat="false" ht="15" hidden="false" customHeight="false" outlineLevel="0" collapsed="false">
      <c r="A3258" s="22" t="n">
        <v>33</v>
      </c>
      <c r="B3258" s="23" t="n">
        <v>45698</v>
      </c>
      <c r="C3258" s="22" t="s">
        <v>221</v>
      </c>
      <c r="D3258" s="24" t="n">
        <v>30</v>
      </c>
    </row>
    <row r="3259" customFormat="false" ht="15" hidden="false" customHeight="false" outlineLevel="0" collapsed="false">
      <c r="A3259" s="22" t="n">
        <v>34</v>
      </c>
      <c r="B3259" s="23" t="n">
        <v>45705</v>
      </c>
      <c r="C3259" s="22" t="s">
        <v>221</v>
      </c>
      <c r="D3259" s="24" t="n">
        <v>26</v>
      </c>
    </row>
    <row r="3260" customFormat="false" ht="15" hidden="false" customHeight="false" outlineLevel="0" collapsed="false">
      <c r="A3260" s="22" t="n">
        <v>35</v>
      </c>
      <c r="B3260" s="23" t="n">
        <v>45712</v>
      </c>
      <c r="C3260" s="22" t="s">
        <v>221</v>
      </c>
      <c r="D3260" s="24" t="n">
        <v>21</v>
      </c>
    </row>
    <row r="3261" customFormat="false" ht="15" hidden="false" customHeight="false" outlineLevel="0" collapsed="false">
      <c r="A3261" s="22" t="n">
        <v>36</v>
      </c>
      <c r="B3261" s="23" t="n">
        <v>45719</v>
      </c>
      <c r="C3261" s="22" t="s">
        <v>221</v>
      </c>
      <c r="D3261" s="24" t="n">
        <v>23</v>
      </c>
    </row>
    <row r="3262" customFormat="false" ht="15" hidden="false" customHeight="false" outlineLevel="0" collapsed="false">
      <c r="A3262" s="22" t="n">
        <v>37</v>
      </c>
      <c r="B3262" s="23" t="n">
        <v>45726</v>
      </c>
      <c r="C3262" s="22" t="s">
        <v>221</v>
      </c>
      <c r="D3262" s="24" t="n">
        <v>20</v>
      </c>
    </row>
    <row r="3263" customFormat="false" ht="15" hidden="false" customHeight="false" outlineLevel="0" collapsed="false">
      <c r="A3263" s="22" t="n">
        <v>38</v>
      </c>
      <c r="B3263" s="23" t="n">
        <v>45733</v>
      </c>
      <c r="C3263" s="22" t="s">
        <v>221</v>
      </c>
      <c r="D3263" s="24" t="n">
        <v>19</v>
      </c>
    </row>
    <row r="3264" customFormat="false" ht="15" hidden="false" customHeight="false" outlineLevel="0" collapsed="false">
      <c r="A3264" s="22" t="n">
        <v>39</v>
      </c>
      <c r="B3264" s="23" t="n">
        <v>45740</v>
      </c>
      <c r="C3264" s="22" t="s">
        <v>221</v>
      </c>
      <c r="D3264" s="24" t="n">
        <v>27</v>
      </c>
    </row>
    <row r="3265" customFormat="false" ht="15" hidden="false" customHeight="false" outlineLevel="0" collapsed="false">
      <c r="A3265" s="22" t="n">
        <v>40</v>
      </c>
      <c r="B3265" s="23" t="n">
        <v>45747</v>
      </c>
      <c r="C3265" s="22" t="s">
        <v>221</v>
      </c>
      <c r="D3265" s="24" t="n">
        <v>29</v>
      </c>
    </row>
    <row r="3266" customFormat="false" ht="15" hidden="false" customHeight="false" outlineLevel="0" collapsed="false">
      <c r="A3266" s="22" t="n">
        <v>41</v>
      </c>
      <c r="B3266" s="23" t="n">
        <v>45754</v>
      </c>
      <c r="C3266" s="22" t="s">
        <v>221</v>
      </c>
      <c r="D3266" s="24" t="n">
        <v>34</v>
      </c>
    </row>
    <row r="3267" customFormat="false" ht="15" hidden="false" customHeight="false" outlineLevel="0" collapsed="false">
      <c r="A3267" s="22" t="n">
        <v>42</v>
      </c>
      <c r="B3267" s="23" t="n">
        <v>45761</v>
      </c>
      <c r="C3267" s="22" t="s">
        <v>221</v>
      </c>
      <c r="D3267" s="24" t="n">
        <v>26</v>
      </c>
    </row>
    <row r="3268" customFormat="false" ht="15" hidden="false" customHeight="false" outlineLevel="0" collapsed="false">
      <c r="A3268" s="22" t="n">
        <v>43</v>
      </c>
      <c r="B3268" s="23" t="n">
        <v>45768</v>
      </c>
      <c r="C3268" s="22" t="s">
        <v>221</v>
      </c>
      <c r="D3268" s="24" t="n">
        <v>26</v>
      </c>
    </row>
    <row r="3269" customFormat="false" ht="15" hidden="false" customHeight="false" outlineLevel="0" collapsed="false">
      <c r="A3269" s="22" t="n">
        <v>44</v>
      </c>
      <c r="B3269" s="23" t="n">
        <v>45775</v>
      </c>
      <c r="C3269" s="22" t="s">
        <v>221</v>
      </c>
      <c r="D3269" s="24" t="n">
        <v>23</v>
      </c>
    </row>
    <row r="3270" customFormat="false" ht="15" hidden="false" customHeight="false" outlineLevel="0" collapsed="false">
      <c r="A3270" s="22" t="n">
        <v>45</v>
      </c>
      <c r="B3270" s="23" t="n">
        <v>45782</v>
      </c>
      <c r="C3270" s="22" t="s">
        <v>221</v>
      </c>
      <c r="D3270" s="24" t="n">
        <v>31</v>
      </c>
    </row>
    <row r="3271" customFormat="false" ht="15" hidden="false" customHeight="false" outlineLevel="0" collapsed="false">
      <c r="A3271" s="22" t="n">
        <v>46</v>
      </c>
      <c r="B3271" s="23" t="n">
        <v>45789</v>
      </c>
      <c r="C3271" s="22" t="s">
        <v>221</v>
      </c>
      <c r="D3271" s="24" t="n">
        <v>29</v>
      </c>
    </row>
    <row r="3272" customFormat="false" ht="15" hidden="false" customHeight="false" outlineLevel="0" collapsed="false">
      <c r="A3272" s="22" t="n">
        <v>47</v>
      </c>
      <c r="B3272" s="23" t="n">
        <v>45796</v>
      </c>
      <c r="C3272" s="22" t="s">
        <v>221</v>
      </c>
      <c r="D3272" s="24" t="n">
        <v>25</v>
      </c>
    </row>
    <row r="3273" customFormat="false" ht="15" hidden="false" customHeight="false" outlineLevel="0" collapsed="false">
      <c r="A3273" s="22" t="n">
        <v>48</v>
      </c>
      <c r="B3273" s="23" t="n">
        <v>45803</v>
      </c>
      <c r="C3273" s="22" t="s">
        <v>221</v>
      </c>
      <c r="D3273" s="24" t="n">
        <v>30</v>
      </c>
    </row>
    <row r="3274" customFormat="false" ht="15" hidden="false" customHeight="false" outlineLevel="0" collapsed="false">
      <c r="A3274" s="22" t="n">
        <v>49</v>
      </c>
      <c r="B3274" s="23" t="n">
        <v>45810</v>
      </c>
      <c r="C3274" s="22" t="s">
        <v>221</v>
      </c>
      <c r="D3274" s="24" t="n">
        <v>30</v>
      </c>
    </row>
    <row r="3275" customFormat="false" ht="15" hidden="false" customHeight="false" outlineLevel="0" collapsed="false">
      <c r="A3275" s="22" t="n">
        <v>50</v>
      </c>
      <c r="B3275" s="23" t="n">
        <v>45817</v>
      </c>
      <c r="C3275" s="22" t="s">
        <v>221</v>
      </c>
      <c r="D3275" s="24" t="n">
        <v>21</v>
      </c>
    </row>
    <row r="3276" customFormat="false" ht="15" hidden="false" customHeight="false" outlineLevel="0" collapsed="false">
      <c r="A3276" s="22" t="n">
        <v>51</v>
      </c>
      <c r="B3276" s="23" t="n">
        <v>45824</v>
      </c>
      <c r="C3276" s="22" t="s">
        <v>221</v>
      </c>
      <c r="D3276" s="24" t="n">
        <v>31</v>
      </c>
    </row>
    <row r="3277" customFormat="false" ht="15" hidden="false" customHeight="false" outlineLevel="0" collapsed="false">
      <c r="A3277" s="22" t="n">
        <v>52</v>
      </c>
      <c r="B3277" s="23" t="n">
        <v>45831</v>
      </c>
      <c r="C3277" s="22" t="s">
        <v>221</v>
      </c>
      <c r="D3277" s="24" t="n">
        <v>29</v>
      </c>
    </row>
    <row r="3278" customFormat="false" ht="15" hidden="false" customHeight="false" outlineLevel="0" collapsed="false">
      <c r="A3278" s="22" t="n">
        <v>53</v>
      </c>
      <c r="B3278" s="23" t="n">
        <v>45838</v>
      </c>
      <c r="C3278" s="22" t="s">
        <v>221</v>
      </c>
      <c r="D3278" s="24" t="n">
        <v>27</v>
      </c>
    </row>
    <row r="3279" customFormat="false" ht="15" hidden="false" customHeight="false" outlineLevel="0" collapsed="false">
      <c r="A3279" s="22" t="n">
        <v>54</v>
      </c>
      <c r="B3279" s="23" t="n">
        <v>45845</v>
      </c>
      <c r="C3279" s="22" t="s">
        <v>221</v>
      </c>
      <c r="D3279" s="24" t="n">
        <v>27</v>
      </c>
    </row>
    <row r="3280" customFormat="false" ht="15" hidden="false" customHeight="false" outlineLevel="0" collapsed="false">
      <c r="A3280" s="22" t="n">
        <v>55</v>
      </c>
      <c r="B3280" s="23" t="n">
        <v>45852</v>
      </c>
      <c r="C3280" s="22" t="s">
        <v>221</v>
      </c>
      <c r="D3280" s="24" t="n">
        <v>36</v>
      </c>
    </row>
    <row r="3281" customFormat="false" ht="15" hidden="false" customHeight="false" outlineLevel="0" collapsed="false">
      <c r="A3281" s="22" t="n">
        <v>56</v>
      </c>
      <c r="B3281" s="23" t="n">
        <v>45859</v>
      </c>
      <c r="C3281" s="22" t="s">
        <v>221</v>
      </c>
      <c r="D3281" s="24" t="n">
        <v>36</v>
      </c>
    </row>
    <row r="3282" customFormat="false" ht="15" hidden="false" customHeight="false" outlineLevel="0" collapsed="false">
      <c r="A3282" s="22" t="n">
        <v>57</v>
      </c>
      <c r="B3282" s="23" t="n">
        <v>45866</v>
      </c>
      <c r="C3282" s="22" t="s">
        <v>221</v>
      </c>
      <c r="D3282" s="24" t="n">
        <v>37</v>
      </c>
    </row>
    <row r="3283" customFormat="false" ht="15" hidden="false" customHeight="false" outlineLevel="0" collapsed="false">
      <c r="A3283" s="22" t="n">
        <v>58</v>
      </c>
      <c r="B3283" s="23" t="n">
        <v>45873</v>
      </c>
      <c r="C3283" s="22" t="s">
        <v>221</v>
      </c>
      <c r="D3283" s="24" t="n">
        <v>25</v>
      </c>
    </row>
    <row r="3284" customFormat="false" ht="15" hidden="false" customHeight="false" outlineLevel="0" collapsed="false">
      <c r="A3284" s="22" t="n">
        <v>59</v>
      </c>
      <c r="B3284" s="23" t="n">
        <v>45880</v>
      </c>
      <c r="C3284" s="22" t="s">
        <v>221</v>
      </c>
      <c r="D3284" s="24" t="n">
        <v>27</v>
      </c>
    </row>
    <row r="3285" customFormat="false" ht="15" hidden="false" customHeight="false" outlineLevel="0" collapsed="false">
      <c r="A3285" s="22" t="n">
        <v>60</v>
      </c>
      <c r="B3285" s="23" t="n">
        <v>45887</v>
      </c>
      <c r="C3285" s="22" t="s">
        <v>221</v>
      </c>
      <c r="D3285" s="24" t="n">
        <v>34</v>
      </c>
    </row>
    <row r="3286" customFormat="false" ht="15" hidden="false" customHeight="false" outlineLevel="0" collapsed="false">
      <c r="A3286" s="22" t="n">
        <v>61</v>
      </c>
      <c r="B3286" s="23" t="n">
        <v>45894</v>
      </c>
      <c r="C3286" s="22" t="s">
        <v>221</v>
      </c>
      <c r="D3286" s="24" t="n">
        <v>25</v>
      </c>
    </row>
    <row r="3287" customFormat="false" ht="15" hidden="false" customHeight="false" outlineLevel="0" collapsed="false">
      <c r="A3287" s="22" t="n">
        <v>62</v>
      </c>
      <c r="B3287" s="23" t="n">
        <v>45901</v>
      </c>
      <c r="C3287" s="22" t="s">
        <v>221</v>
      </c>
      <c r="D3287" s="24" t="n">
        <v>28</v>
      </c>
    </row>
    <row r="3288" customFormat="false" ht="15" hidden="false" customHeight="false" outlineLevel="0" collapsed="false">
      <c r="A3288" s="22" t="n">
        <v>63</v>
      </c>
      <c r="B3288" s="23" t="n">
        <v>45908</v>
      </c>
      <c r="C3288" s="22" t="s">
        <v>221</v>
      </c>
      <c r="D3288" s="24" t="n">
        <v>23</v>
      </c>
    </row>
    <row r="3289" customFormat="false" ht="15" hidden="false" customHeight="false" outlineLevel="0" collapsed="false">
      <c r="A3289" s="22" t="n">
        <v>64</v>
      </c>
      <c r="B3289" s="23" t="n">
        <v>45915</v>
      </c>
      <c r="C3289" s="22" t="s">
        <v>221</v>
      </c>
      <c r="D3289" s="24" t="n">
        <v>39</v>
      </c>
    </row>
    <row r="3290" customFormat="false" ht="15" hidden="false" customHeight="false" outlineLevel="0" collapsed="false">
      <c r="A3290" s="22" t="n">
        <v>65</v>
      </c>
      <c r="B3290" s="23" t="n">
        <v>45922</v>
      </c>
      <c r="C3290" s="22" t="s">
        <v>221</v>
      </c>
      <c r="D3290" s="24" t="n">
        <v>36</v>
      </c>
    </row>
    <row r="3291" customFormat="false" ht="15" hidden="false" customHeight="false" outlineLevel="0" collapsed="false">
      <c r="A3291" s="22" t="n">
        <v>66</v>
      </c>
      <c r="B3291" s="23" t="n">
        <v>45929</v>
      </c>
      <c r="C3291" s="22" t="s">
        <v>221</v>
      </c>
      <c r="D3291" s="24" t="n">
        <v>33</v>
      </c>
    </row>
    <row r="3292" customFormat="false" ht="15" hidden="false" customHeight="false" outlineLevel="0" collapsed="false">
      <c r="A3292" s="22" t="n">
        <v>67</v>
      </c>
      <c r="B3292" s="23" t="n">
        <v>45936</v>
      </c>
      <c r="C3292" s="22" t="s">
        <v>221</v>
      </c>
      <c r="D3292" s="24" t="n">
        <v>33</v>
      </c>
    </row>
    <row r="3293" customFormat="false" ht="15" hidden="false" customHeight="false" outlineLevel="0" collapsed="false">
      <c r="A3293" s="22" t="n">
        <v>68</v>
      </c>
      <c r="B3293" s="23" t="n">
        <v>45943</v>
      </c>
      <c r="C3293" s="22" t="s">
        <v>221</v>
      </c>
      <c r="D3293" s="24" t="n">
        <v>30</v>
      </c>
    </row>
    <row r="3294" customFormat="false" ht="15" hidden="false" customHeight="false" outlineLevel="0" collapsed="false">
      <c r="A3294" s="22" t="n">
        <v>69</v>
      </c>
      <c r="B3294" s="23" t="n">
        <v>45950</v>
      </c>
      <c r="C3294" s="22" t="s">
        <v>221</v>
      </c>
      <c r="D3294" s="24" t="n">
        <v>30</v>
      </c>
    </row>
    <row r="3295" customFormat="false" ht="15" hidden="false" customHeight="false" outlineLevel="0" collapsed="false">
      <c r="A3295" s="22" t="n">
        <v>70</v>
      </c>
      <c r="B3295" s="23" t="n">
        <v>45957</v>
      </c>
      <c r="C3295" s="22" t="s">
        <v>221</v>
      </c>
      <c r="D3295" s="24" t="n">
        <v>35</v>
      </c>
    </row>
    <row r="3296" customFormat="false" ht="15" hidden="false" customHeight="false" outlineLevel="0" collapsed="false">
      <c r="A3296" s="22" t="n">
        <v>71</v>
      </c>
      <c r="B3296" s="23" t="n">
        <v>45964</v>
      </c>
      <c r="C3296" s="22" t="s">
        <v>221</v>
      </c>
      <c r="D3296" s="24" t="n">
        <v>29</v>
      </c>
    </row>
    <row r="3297" customFormat="false" ht="15" hidden="false" customHeight="false" outlineLevel="0" collapsed="false">
      <c r="A3297" s="22" t="n">
        <v>72</v>
      </c>
      <c r="B3297" s="23" t="n">
        <v>45971</v>
      </c>
      <c r="C3297" s="22" t="s">
        <v>221</v>
      </c>
      <c r="D3297" s="24" t="n">
        <v>38</v>
      </c>
    </row>
    <row r="3298" customFormat="false" ht="15" hidden="false" customHeight="false" outlineLevel="0" collapsed="false">
      <c r="A3298" s="22" t="n">
        <v>73</v>
      </c>
      <c r="B3298" s="23" t="n">
        <v>45978</v>
      </c>
      <c r="C3298" s="22" t="s">
        <v>221</v>
      </c>
      <c r="D3298" s="24" t="n">
        <v>31</v>
      </c>
    </row>
    <row r="3299" customFormat="false" ht="15" hidden="false" customHeight="false" outlineLevel="0" collapsed="false">
      <c r="A3299" s="22" t="n">
        <v>74</v>
      </c>
      <c r="B3299" s="23" t="n">
        <v>45985</v>
      </c>
      <c r="C3299" s="22" t="s">
        <v>221</v>
      </c>
      <c r="D3299" s="24" t="n">
        <v>29</v>
      </c>
    </row>
    <row r="3300" customFormat="false" ht="15" hidden="false" customHeight="false" outlineLevel="0" collapsed="false">
      <c r="A3300" s="22" t="n">
        <v>75</v>
      </c>
      <c r="B3300" s="23" t="n">
        <v>45992</v>
      </c>
      <c r="C3300" s="22" t="s">
        <v>221</v>
      </c>
      <c r="D3300" s="24" t="n">
        <v>39</v>
      </c>
    </row>
    <row r="3301" customFormat="false" ht="15" hidden="false" customHeight="false" outlineLevel="0" collapsed="false">
      <c r="A3301" s="22" t="n">
        <v>76</v>
      </c>
      <c r="B3301" s="23" t="n">
        <v>45999</v>
      </c>
      <c r="C3301" s="22" t="s">
        <v>221</v>
      </c>
      <c r="D3301" s="24" t="n">
        <v>33</v>
      </c>
    </row>
    <row r="3302" customFormat="false" ht="15" hidden="false" customHeight="false" outlineLevel="0" collapsed="false">
      <c r="A3302" s="22" t="n">
        <v>77</v>
      </c>
      <c r="B3302" s="23" t="n">
        <v>46006</v>
      </c>
      <c r="C3302" s="22" t="s">
        <v>221</v>
      </c>
      <c r="D3302" s="24" t="n">
        <v>36</v>
      </c>
    </row>
    <row r="3303" customFormat="false" ht="15" hidden="false" customHeight="false" outlineLevel="0" collapsed="false">
      <c r="A3303" s="22" t="n">
        <v>78</v>
      </c>
      <c r="B3303" s="23" t="n">
        <v>46013</v>
      </c>
      <c r="C3303" s="22" t="s">
        <v>221</v>
      </c>
      <c r="D3303" s="24" t="n">
        <v>32</v>
      </c>
    </row>
    <row r="3304" customFormat="false" ht="15" hidden="false" customHeight="false" outlineLevel="0" collapsed="false">
      <c r="A3304" s="22" t="n">
        <v>79</v>
      </c>
      <c r="B3304" s="23" t="n">
        <v>46020</v>
      </c>
      <c r="C3304" s="22" t="s">
        <v>221</v>
      </c>
      <c r="D3304" s="24" t="n">
        <v>23</v>
      </c>
    </row>
    <row r="3305" customFormat="false" ht="15" hidden="false" customHeight="false" outlineLevel="0" collapsed="false">
      <c r="A3305" s="22" t="n">
        <v>80</v>
      </c>
      <c r="B3305" s="23" t="n">
        <v>46027</v>
      </c>
      <c r="C3305" s="22" t="s">
        <v>221</v>
      </c>
      <c r="D3305" s="24" t="n">
        <v>37</v>
      </c>
    </row>
    <row r="3306" customFormat="false" ht="15" hidden="false" customHeight="false" outlineLevel="0" collapsed="false">
      <c r="A3306" s="22" t="n">
        <v>81</v>
      </c>
      <c r="B3306" s="23" t="n">
        <v>46034</v>
      </c>
      <c r="C3306" s="22" t="s">
        <v>221</v>
      </c>
      <c r="D3306" s="24" t="n">
        <v>28</v>
      </c>
    </row>
    <row r="3307" customFormat="false" ht="15" hidden="false" customHeight="false" outlineLevel="0" collapsed="false">
      <c r="A3307" s="22" t="n">
        <v>82</v>
      </c>
      <c r="B3307" s="23" t="n">
        <v>46041</v>
      </c>
      <c r="C3307" s="22" t="s">
        <v>221</v>
      </c>
      <c r="D3307" s="24" t="n">
        <v>40</v>
      </c>
    </row>
    <row r="3308" customFormat="false" ht="15" hidden="false" customHeight="false" outlineLevel="0" collapsed="false">
      <c r="A3308" s="22" t="n">
        <v>83</v>
      </c>
      <c r="B3308" s="23" t="n">
        <v>46048</v>
      </c>
      <c r="C3308" s="22" t="s">
        <v>221</v>
      </c>
      <c r="D3308" s="24" t="n">
        <v>27</v>
      </c>
    </row>
    <row r="3309" customFormat="false" ht="15" hidden="false" customHeight="false" outlineLevel="0" collapsed="false">
      <c r="A3309" s="22" t="n">
        <v>84</v>
      </c>
      <c r="B3309" s="23" t="n">
        <v>46055</v>
      </c>
      <c r="C3309" s="22" t="s">
        <v>221</v>
      </c>
      <c r="D3309" s="24" t="n">
        <v>26</v>
      </c>
    </row>
    <row r="3310" customFormat="false" ht="15" hidden="false" customHeight="false" outlineLevel="0" collapsed="false">
      <c r="A3310" s="22" t="n">
        <v>85</v>
      </c>
      <c r="B3310" s="23" t="n">
        <v>46062</v>
      </c>
      <c r="C3310" s="22" t="s">
        <v>221</v>
      </c>
      <c r="D3310" s="24" t="n">
        <v>37</v>
      </c>
    </row>
    <row r="3311" customFormat="false" ht="15" hidden="false" customHeight="false" outlineLevel="0" collapsed="false">
      <c r="A3311" s="22" t="n">
        <v>86</v>
      </c>
      <c r="B3311" s="23" t="n">
        <v>46069</v>
      </c>
      <c r="C3311" s="22" t="s">
        <v>221</v>
      </c>
      <c r="D3311" s="24" t="n">
        <v>38</v>
      </c>
    </row>
    <row r="3312" customFormat="false" ht="15" hidden="false" customHeight="false" outlineLevel="0" collapsed="false">
      <c r="A3312" s="22" t="n">
        <v>87</v>
      </c>
      <c r="B3312" s="23" t="n">
        <v>46076</v>
      </c>
      <c r="C3312" s="22" t="s">
        <v>221</v>
      </c>
      <c r="D3312" s="24" t="n">
        <v>36</v>
      </c>
    </row>
    <row r="3313" customFormat="false" ht="15" hidden="false" customHeight="false" outlineLevel="0" collapsed="false">
      <c r="A3313" s="22" t="n">
        <v>88</v>
      </c>
      <c r="B3313" s="23" t="n">
        <v>46083</v>
      </c>
      <c r="C3313" s="22" t="s">
        <v>221</v>
      </c>
      <c r="D3313" s="24" t="n">
        <v>30</v>
      </c>
    </row>
    <row r="3314" customFormat="false" ht="15" hidden="false" customHeight="false" outlineLevel="0" collapsed="false">
      <c r="A3314" s="22" t="n">
        <v>89</v>
      </c>
      <c r="B3314" s="23" t="n">
        <v>46090</v>
      </c>
      <c r="C3314" s="22" t="s">
        <v>221</v>
      </c>
      <c r="D3314" s="24" t="n">
        <v>41</v>
      </c>
    </row>
    <row r="3315" customFormat="false" ht="15" hidden="false" customHeight="false" outlineLevel="0" collapsed="false">
      <c r="A3315" s="22" t="n">
        <v>90</v>
      </c>
      <c r="B3315" s="23" t="n">
        <v>46097</v>
      </c>
      <c r="C3315" s="22" t="s">
        <v>221</v>
      </c>
      <c r="D3315" s="24" t="n">
        <v>29</v>
      </c>
    </row>
    <row r="3316" customFormat="false" ht="15" hidden="false" customHeight="false" outlineLevel="0" collapsed="false">
      <c r="A3316" s="22" t="n">
        <v>91</v>
      </c>
      <c r="B3316" s="23" t="n">
        <v>46104</v>
      </c>
      <c r="C3316" s="22" t="s">
        <v>221</v>
      </c>
      <c r="D3316" s="24" t="n">
        <v>34</v>
      </c>
    </row>
    <row r="3317" customFormat="false" ht="15" hidden="false" customHeight="false" outlineLevel="0" collapsed="false">
      <c r="A3317" s="22" t="n">
        <v>92</v>
      </c>
      <c r="B3317" s="23" t="n">
        <v>46111</v>
      </c>
      <c r="C3317" s="22" t="s">
        <v>221</v>
      </c>
      <c r="D3317" s="24" t="n">
        <v>33</v>
      </c>
    </row>
    <row r="3318" customFormat="false" ht="15" hidden="false" customHeight="false" outlineLevel="0" collapsed="false">
      <c r="A3318" s="22" t="n">
        <v>93</v>
      </c>
      <c r="B3318" s="23" t="n">
        <v>46118</v>
      </c>
      <c r="C3318" s="22" t="s">
        <v>221</v>
      </c>
      <c r="D3318" s="24" t="n">
        <v>35</v>
      </c>
    </row>
    <row r="3319" customFormat="false" ht="15" hidden="false" customHeight="false" outlineLevel="0" collapsed="false">
      <c r="A3319" s="22" t="n">
        <v>94</v>
      </c>
      <c r="B3319" s="23" t="n">
        <v>46125</v>
      </c>
      <c r="C3319" s="22" t="s">
        <v>221</v>
      </c>
      <c r="D3319" s="24" t="n">
        <v>42</v>
      </c>
    </row>
    <row r="3320" customFormat="false" ht="15" hidden="false" customHeight="false" outlineLevel="0" collapsed="false">
      <c r="A3320" s="22" t="n">
        <v>95</v>
      </c>
      <c r="B3320" s="23" t="n">
        <v>46132</v>
      </c>
      <c r="C3320" s="22" t="s">
        <v>221</v>
      </c>
      <c r="D3320" s="24" t="n">
        <v>34</v>
      </c>
    </row>
    <row r="3321" customFormat="false" ht="15" hidden="false" customHeight="false" outlineLevel="0" collapsed="false">
      <c r="A3321" s="22" t="n">
        <v>96</v>
      </c>
      <c r="B3321" s="23" t="n">
        <v>46139</v>
      </c>
      <c r="C3321" s="22" t="s">
        <v>221</v>
      </c>
      <c r="D3321" s="24" t="n">
        <v>41</v>
      </c>
    </row>
    <row r="3322" customFormat="false" ht="15" hidden="false" customHeight="false" outlineLevel="0" collapsed="false">
      <c r="A3322" s="22" t="n">
        <v>97</v>
      </c>
      <c r="B3322" s="23" t="n">
        <v>46146</v>
      </c>
      <c r="C3322" s="22" t="s">
        <v>221</v>
      </c>
      <c r="D3322" s="24" t="n">
        <v>41</v>
      </c>
    </row>
    <row r="3323" customFormat="false" ht="15" hidden="false" customHeight="false" outlineLevel="0" collapsed="false">
      <c r="A3323" s="22" t="n">
        <v>98</v>
      </c>
      <c r="B3323" s="23" t="n">
        <v>46153</v>
      </c>
      <c r="C3323" s="22" t="s">
        <v>221</v>
      </c>
      <c r="D3323" s="24" t="n">
        <v>29</v>
      </c>
    </row>
    <row r="3324" customFormat="false" ht="15" hidden="false" customHeight="false" outlineLevel="0" collapsed="false">
      <c r="A3324" s="22" t="n">
        <v>99</v>
      </c>
      <c r="B3324" s="23" t="n">
        <v>46160</v>
      </c>
      <c r="C3324" s="22" t="s">
        <v>221</v>
      </c>
      <c r="D3324" s="24" t="n">
        <v>32</v>
      </c>
    </row>
    <row r="3325" customFormat="false" ht="15" hidden="false" customHeight="false" outlineLevel="0" collapsed="false">
      <c r="A3325" s="22" t="n">
        <v>100</v>
      </c>
      <c r="B3325" s="23" t="n">
        <v>46167</v>
      </c>
      <c r="C3325" s="22" t="s">
        <v>221</v>
      </c>
      <c r="D3325" s="24" t="n">
        <v>36</v>
      </c>
    </row>
    <row r="3326" customFormat="false" ht="15" hidden="false" customHeight="false" outlineLevel="0" collapsed="false">
      <c r="A3326" s="22" t="n">
        <v>101</v>
      </c>
      <c r="B3326" s="23" t="n">
        <v>46174</v>
      </c>
      <c r="C3326" s="22" t="s">
        <v>221</v>
      </c>
      <c r="D3326" s="24" t="n">
        <v>35</v>
      </c>
    </row>
    <row r="3327" customFormat="false" ht="15" hidden="false" customHeight="false" outlineLevel="0" collapsed="false">
      <c r="A3327" s="22" t="n">
        <v>102</v>
      </c>
      <c r="B3327" s="23" t="n">
        <v>46181</v>
      </c>
      <c r="C3327" s="22" t="s">
        <v>221</v>
      </c>
      <c r="D3327" s="24" t="n">
        <v>40</v>
      </c>
    </row>
    <row r="3328" customFormat="false" ht="15" hidden="false" customHeight="false" outlineLevel="0" collapsed="false">
      <c r="A3328" s="22" t="n">
        <v>103</v>
      </c>
      <c r="B3328" s="23" t="n">
        <v>46188</v>
      </c>
      <c r="C3328" s="22" t="s">
        <v>221</v>
      </c>
      <c r="D3328" s="24" t="n">
        <v>28</v>
      </c>
    </row>
    <row r="3329" customFormat="false" ht="15" hidden="false" customHeight="false" outlineLevel="0" collapsed="false">
      <c r="A3329" s="22" t="n">
        <v>104</v>
      </c>
      <c r="B3329" s="23" t="n">
        <v>46195</v>
      </c>
      <c r="C3329" s="22" t="s">
        <v>221</v>
      </c>
      <c r="D3329" s="24" t="n">
        <v>43</v>
      </c>
    </row>
    <row r="3330" customFormat="false" ht="15" hidden="false" customHeight="false" outlineLevel="0" collapsed="false">
      <c r="A3330" s="22" t="n">
        <v>1</v>
      </c>
      <c r="B3330" s="23" t="n">
        <v>45474</v>
      </c>
      <c r="C3330" s="22" t="s">
        <v>223</v>
      </c>
      <c r="D3330" s="24" t="n">
        <v>65</v>
      </c>
    </row>
    <row r="3331" customFormat="false" ht="15" hidden="false" customHeight="false" outlineLevel="0" collapsed="false">
      <c r="A3331" s="22" t="n">
        <v>2</v>
      </c>
      <c r="B3331" s="23" t="n">
        <v>45481</v>
      </c>
      <c r="C3331" s="22" t="s">
        <v>223</v>
      </c>
      <c r="D3331" s="24" t="n">
        <v>58</v>
      </c>
    </row>
    <row r="3332" customFormat="false" ht="15" hidden="false" customHeight="false" outlineLevel="0" collapsed="false">
      <c r="A3332" s="22" t="n">
        <v>3</v>
      </c>
      <c r="B3332" s="23" t="n">
        <v>45488</v>
      </c>
      <c r="C3332" s="22" t="s">
        <v>223</v>
      </c>
      <c r="D3332" s="24" t="n">
        <v>48</v>
      </c>
    </row>
    <row r="3333" customFormat="false" ht="15" hidden="false" customHeight="false" outlineLevel="0" collapsed="false">
      <c r="A3333" s="22" t="n">
        <v>4</v>
      </c>
      <c r="B3333" s="23" t="n">
        <v>45495</v>
      </c>
      <c r="C3333" s="22" t="s">
        <v>223</v>
      </c>
      <c r="D3333" s="24" t="n">
        <v>61</v>
      </c>
    </row>
    <row r="3334" customFormat="false" ht="15" hidden="false" customHeight="false" outlineLevel="0" collapsed="false">
      <c r="A3334" s="22" t="n">
        <v>5</v>
      </c>
      <c r="B3334" s="23" t="n">
        <v>45502</v>
      </c>
      <c r="C3334" s="22" t="s">
        <v>223</v>
      </c>
      <c r="D3334" s="24" t="n">
        <v>57</v>
      </c>
    </row>
    <row r="3335" customFormat="false" ht="15" hidden="false" customHeight="false" outlineLevel="0" collapsed="false">
      <c r="A3335" s="22" t="n">
        <v>6</v>
      </c>
      <c r="B3335" s="23" t="n">
        <v>45509</v>
      </c>
      <c r="C3335" s="22" t="s">
        <v>223</v>
      </c>
      <c r="D3335" s="24" t="n">
        <v>67</v>
      </c>
    </row>
    <row r="3336" customFormat="false" ht="15" hidden="false" customHeight="false" outlineLevel="0" collapsed="false">
      <c r="A3336" s="22" t="n">
        <v>7</v>
      </c>
      <c r="B3336" s="23" t="n">
        <v>45516</v>
      </c>
      <c r="C3336" s="22" t="s">
        <v>223</v>
      </c>
      <c r="D3336" s="24" t="n">
        <v>62</v>
      </c>
    </row>
    <row r="3337" customFormat="false" ht="15" hidden="false" customHeight="false" outlineLevel="0" collapsed="false">
      <c r="A3337" s="22" t="n">
        <v>8</v>
      </c>
      <c r="B3337" s="23" t="n">
        <v>45523</v>
      </c>
      <c r="C3337" s="22" t="s">
        <v>223</v>
      </c>
      <c r="D3337" s="24" t="n">
        <v>70</v>
      </c>
    </row>
    <row r="3338" customFormat="false" ht="15" hidden="false" customHeight="false" outlineLevel="0" collapsed="false">
      <c r="A3338" s="22" t="n">
        <v>9</v>
      </c>
      <c r="B3338" s="23" t="n">
        <v>45530</v>
      </c>
      <c r="C3338" s="22" t="s">
        <v>223</v>
      </c>
      <c r="D3338" s="24" t="n">
        <v>60</v>
      </c>
    </row>
    <row r="3339" customFormat="false" ht="15" hidden="false" customHeight="false" outlineLevel="0" collapsed="false">
      <c r="A3339" s="22" t="n">
        <v>10</v>
      </c>
      <c r="B3339" s="23" t="n">
        <v>45537</v>
      </c>
      <c r="C3339" s="22" t="s">
        <v>223</v>
      </c>
      <c r="D3339" s="24" t="n">
        <v>77</v>
      </c>
    </row>
    <row r="3340" customFormat="false" ht="15" hidden="false" customHeight="false" outlineLevel="0" collapsed="false">
      <c r="A3340" s="22" t="n">
        <v>11</v>
      </c>
      <c r="B3340" s="23" t="n">
        <v>45544</v>
      </c>
      <c r="C3340" s="22" t="s">
        <v>223</v>
      </c>
      <c r="D3340" s="24" t="n">
        <v>44</v>
      </c>
    </row>
    <row r="3341" customFormat="false" ht="15" hidden="false" customHeight="false" outlineLevel="0" collapsed="false">
      <c r="A3341" s="22" t="n">
        <v>12</v>
      </c>
      <c r="B3341" s="23" t="n">
        <v>45551</v>
      </c>
      <c r="C3341" s="22" t="s">
        <v>223</v>
      </c>
      <c r="D3341" s="24" t="n">
        <v>56</v>
      </c>
    </row>
    <row r="3342" customFormat="false" ht="15" hidden="false" customHeight="false" outlineLevel="0" collapsed="false">
      <c r="A3342" s="22" t="n">
        <v>13</v>
      </c>
      <c r="B3342" s="23" t="n">
        <v>45558</v>
      </c>
      <c r="C3342" s="22" t="s">
        <v>223</v>
      </c>
      <c r="D3342" s="24" t="n">
        <v>71</v>
      </c>
    </row>
    <row r="3343" customFormat="false" ht="15" hidden="false" customHeight="false" outlineLevel="0" collapsed="false">
      <c r="A3343" s="22" t="n">
        <v>14</v>
      </c>
      <c r="B3343" s="23" t="n">
        <v>45565</v>
      </c>
      <c r="C3343" s="22" t="s">
        <v>223</v>
      </c>
      <c r="D3343" s="24" t="n">
        <v>53</v>
      </c>
    </row>
    <row r="3344" customFormat="false" ht="15" hidden="false" customHeight="false" outlineLevel="0" collapsed="false">
      <c r="A3344" s="22" t="n">
        <v>15</v>
      </c>
      <c r="B3344" s="23" t="n">
        <v>45572</v>
      </c>
      <c r="C3344" s="22" t="s">
        <v>223</v>
      </c>
      <c r="D3344" s="24" t="n">
        <v>75</v>
      </c>
    </row>
    <row r="3345" customFormat="false" ht="15" hidden="false" customHeight="false" outlineLevel="0" collapsed="false">
      <c r="A3345" s="22" t="n">
        <v>16</v>
      </c>
      <c r="B3345" s="23" t="n">
        <v>45579</v>
      </c>
      <c r="C3345" s="22" t="s">
        <v>223</v>
      </c>
      <c r="D3345" s="24" t="n">
        <v>57</v>
      </c>
    </row>
    <row r="3346" customFormat="false" ht="15" hidden="false" customHeight="false" outlineLevel="0" collapsed="false">
      <c r="A3346" s="22" t="n">
        <v>17</v>
      </c>
      <c r="B3346" s="23" t="n">
        <v>45586</v>
      </c>
      <c r="C3346" s="22" t="s">
        <v>223</v>
      </c>
      <c r="D3346" s="24" t="n">
        <v>70</v>
      </c>
    </row>
    <row r="3347" customFormat="false" ht="15" hidden="false" customHeight="false" outlineLevel="0" collapsed="false">
      <c r="A3347" s="22" t="n">
        <v>18</v>
      </c>
      <c r="B3347" s="23" t="n">
        <v>45593</v>
      </c>
      <c r="C3347" s="22" t="s">
        <v>223</v>
      </c>
      <c r="D3347" s="24" t="n">
        <v>61</v>
      </c>
    </row>
    <row r="3348" customFormat="false" ht="15" hidden="false" customHeight="false" outlineLevel="0" collapsed="false">
      <c r="A3348" s="22" t="n">
        <v>19</v>
      </c>
      <c r="B3348" s="23" t="n">
        <v>45600</v>
      </c>
      <c r="C3348" s="22" t="s">
        <v>223</v>
      </c>
      <c r="D3348" s="24" t="n">
        <v>66</v>
      </c>
    </row>
    <row r="3349" customFormat="false" ht="15" hidden="false" customHeight="false" outlineLevel="0" collapsed="false">
      <c r="A3349" s="22" t="n">
        <v>20</v>
      </c>
      <c r="B3349" s="23" t="n">
        <v>45607</v>
      </c>
      <c r="C3349" s="22" t="s">
        <v>223</v>
      </c>
      <c r="D3349" s="24" t="n">
        <v>73</v>
      </c>
    </row>
    <row r="3350" customFormat="false" ht="15" hidden="false" customHeight="false" outlineLevel="0" collapsed="false">
      <c r="A3350" s="22" t="n">
        <v>21</v>
      </c>
      <c r="B3350" s="23" t="n">
        <v>45614</v>
      </c>
      <c r="C3350" s="22" t="s">
        <v>223</v>
      </c>
      <c r="D3350" s="24" t="n">
        <v>71</v>
      </c>
    </row>
    <row r="3351" customFormat="false" ht="15" hidden="false" customHeight="false" outlineLevel="0" collapsed="false">
      <c r="A3351" s="22" t="n">
        <v>22</v>
      </c>
      <c r="B3351" s="23" t="n">
        <v>45621</v>
      </c>
      <c r="C3351" s="22" t="s">
        <v>223</v>
      </c>
      <c r="D3351" s="24" t="n">
        <v>68</v>
      </c>
    </row>
    <row r="3352" customFormat="false" ht="15" hidden="false" customHeight="false" outlineLevel="0" collapsed="false">
      <c r="A3352" s="22" t="n">
        <v>23</v>
      </c>
      <c r="B3352" s="23" t="n">
        <v>45628</v>
      </c>
      <c r="C3352" s="22" t="s">
        <v>223</v>
      </c>
      <c r="D3352" s="24" t="n">
        <v>95</v>
      </c>
    </row>
    <row r="3353" customFormat="false" ht="15" hidden="false" customHeight="false" outlineLevel="0" collapsed="false">
      <c r="A3353" s="22" t="n">
        <v>24</v>
      </c>
      <c r="B3353" s="23" t="n">
        <v>45635</v>
      </c>
      <c r="C3353" s="22" t="s">
        <v>223</v>
      </c>
      <c r="D3353" s="24" t="n">
        <v>74</v>
      </c>
    </row>
    <row r="3354" customFormat="false" ht="15" hidden="false" customHeight="false" outlineLevel="0" collapsed="false">
      <c r="A3354" s="22" t="n">
        <v>25</v>
      </c>
      <c r="B3354" s="23" t="n">
        <v>45642</v>
      </c>
      <c r="C3354" s="22" t="s">
        <v>223</v>
      </c>
      <c r="D3354" s="24" t="n">
        <v>64</v>
      </c>
    </row>
    <row r="3355" customFormat="false" ht="15" hidden="false" customHeight="false" outlineLevel="0" collapsed="false">
      <c r="A3355" s="22" t="n">
        <v>26</v>
      </c>
      <c r="B3355" s="23" t="n">
        <v>45649</v>
      </c>
      <c r="C3355" s="22" t="s">
        <v>223</v>
      </c>
      <c r="D3355" s="24" t="n">
        <v>85</v>
      </c>
    </row>
    <row r="3356" customFormat="false" ht="15" hidden="false" customHeight="false" outlineLevel="0" collapsed="false">
      <c r="A3356" s="22" t="n">
        <v>27</v>
      </c>
      <c r="B3356" s="23" t="n">
        <v>45656</v>
      </c>
      <c r="C3356" s="22" t="s">
        <v>223</v>
      </c>
      <c r="D3356" s="24" t="n">
        <v>84</v>
      </c>
    </row>
    <row r="3357" customFormat="false" ht="15" hidden="false" customHeight="false" outlineLevel="0" collapsed="false">
      <c r="A3357" s="22" t="n">
        <v>28</v>
      </c>
      <c r="B3357" s="23" t="n">
        <v>45663</v>
      </c>
      <c r="C3357" s="22" t="s">
        <v>223</v>
      </c>
      <c r="D3357" s="24" t="n">
        <v>89</v>
      </c>
    </row>
    <row r="3358" customFormat="false" ht="15" hidden="false" customHeight="false" outlineLevel="0" collapsed="false">
      <c r="A3358" s="22" t="n">
        <v>29</v>
      </c>
      <c r="B3358" s="23" t="n">
        <v>45670</v>
      </c>
      <c r="C3358" s="22" t="s">
        <v>223</v>
      </c>
      <c r="D3358" s="24" t="n">
        <v>96</v>
      </c>
    </row>
    <row r="3359" customFormat="false" ht="15" hidden="false" customHeight="false" outlineLevel="0" collapsed="false">
      <c r="A3359" s="22" t="n">
        <v>30</v>
      </c>
      <c r="B3359" s="23" t="n">
        <v>45677</v>
      </c>
      <c r="C3359" s="22" t="s">
        <v>223</v>
      </c>
      <c r="D3359" s="24" t="n">
        <v>67</v>
      </c>
    </row>
    <row r="3360" customFormat="false" ht="15" hidden="false" customHeight="false" outlineLevel="0" collapsed="false">
      <c r="A3360" s="22" t="n">
        <v>31</v>
      </c>
      <c r="B3360" s="23" t="n">
        <v>45684</v>
      </c>
      <c r="C3360" s="22" t="s">
        <v>223</v>
      </c>
      <c r="D3360" s="24" t="n">
        <v>90</v>
      </c>
    </row>
    <row r="3361" customFormat="false" ht="15" hidden="false" customHeight="false" outlineLevel="0" collapsed="false">
      <c r="A3361" s="22" t="n">
        <v>32</v>
      </c>
      <c r="B3361" s="23" t="n">
        <v>45691</v>
      </c>
      <c r="C3361" s="22" t="s">
        <v>223</v>
      </c>
      <c r="D3361" s="24" t="n">
        <v>91</v>
      </c>
    </row>
    <row r="3362" customFormat="false" ht="15" hidden="false" customHeight="false" outlineLevel="0" collapsed="false">
      <c r="A3362" s="22" t="n">
        <v>33</v>
      </c>
      <c r="B3362" s="23" t="n">
        <v>45698</v>
      </c>
      <c r="C3362" s="22" t="s">
        <v>223</v>
      </c>
      <c r="D3362" s="24" t="n">
        <v>79</v>
      </c>
    </row>
    <row r="3363" customFormat="false" ht="15" hidden="false" customHeight="false" outlineLevel="0" collapsed="false">
      <c r="A3363" s="22" t="n">
        <v>34</v>
      </c>
      <c r="B3363" s="23" t="n">
        <v>45705</v>
      </c>
      <c r="C3363" s="22" t="s">
        <v>223</v>
      </c>
      <c r="D3363" s="24" t="n">
        <v>83</v>
      </c>
    </row>
    <row r="3364" customFormat="false" ht="15" hidden="false" customHeight="false" outlineLevel="0" collapsed="false">
      <c r="A3364" s="22" t="n">
        <v>35</v>
      </c>
      <c r="B3364" s="23" t="n">
        <v>45712</v>
      </c>
      <c r="C3364" s="22" t="s">
        <v>223</v>
      </c>
      <c r="D3364" s="24" t="n">
        <v>47</v>
      </c>
    </row>
    <row r="3365" customFormat="false" ht="15" hidden="false" customHeight="false" outlineLevel="0" collapsed="false">
      <c r="A3365" s="22" t="n">
        <v>36</v>
      </c>
      <c r="B3365" s="23" t="n">
        <v>45719</v>
      </c>
      <c r="C3365" s="22" t="s">
        <v>223</v>
      </c>
      <c r="D3365" s="24" t="n">
        <v>75</v>
      </c>
    </row>
    <row r="3366" customFormat="false" ht="15" hidden="false" customHeight="false" outlineLevel="0" collapsed="false">
      <c r="A3366" s="22" t="n">
        <v>37</v>
      </c>
      <c r="B3366" s="23" t="n">
        <v>45726</v>
      </c>
      <c r="C3366" s="22" t="s">
        <v>223</v>
      </c>
      <c r="D3366" s="24" t="n">
        <v>103</v>
      </c>
    </row>
    <row r="3367" customFormat="false" ht="15" hidden="false" customHeight="false" outlineLevel="0" collapsed="false">
      <c r="A3367" s="22" t="n">
        <v>38</v>
      </c>
      <c r="B3367" s="23" t="n">
        <v>45733</v>
      </c>
      <c r="C3367" s="22" t="s">
        <v>223</v>
      </c>
      <c r="D3367" s="24" t="n">
        <v>62</v>
      </c>
    </row>
    <row r="3368" customFormat="false" ht="15" hidden="false" customHeight="false" outlineLevel="0" collapsed="false">
      <c r="A3368" s="22" t="n">
        <v>39</v>
      </c>
      <c r="B3368" s="23" t="n">
        <v>45740</v>
      </c>
      <c r="C3368" s="22" t="s">
        <v>223</v>
      </c>
      <c r="D3368" s="24" t="n">
        <v>77</v>
      </c>
    </row>
    <row r="3369" customFormat="false" ht="15" hidden="false" customHeight="false" outlineLevel="0" collapsed="false">
      <c r="A3369" s="22" t="n">
        <v>40</v>
      </c>
      <c r="B3369" s="23" t="n">
        <v>45747</v>
      </c>
      <c r="C3369" s="22" t="s">
        <v>223</v>
      </c>
      <c r="D3369" s="24" t="n">
        <v>87</v>
      </c>
    </row>
    <row r="3370" customFormat="false" ht="15" hidden="false" customHeight="false" outlineLevel="0" collapsed="false">
      <c r="A3370" s="22" t="n">
        <v>41</v>
      </c>
      <c r="B3370" s="23" t="n">
        <v>45754</v>
      </c>
      <c r="C3370" s="22" t="s">
        <v>223</v>
      </c>
      <c r="D3370" s="24" t="n">
        <v>92</v>
      </c>
    </row>
    <row r="3371" customFormat="false" ht="15" hidden="false" customHeight="false" outlineLevel="0" collapsed="false">
      <c r="A3371" s="22" t="n">
        <v>42</v>
      </c>
      <c r="B3371" s="23" t="n">
        <v>45761</v>
      </c>
      <c r="C3371" s="22" t="s">
        <v>223</v>
      </c>
      <c r="D3371" s="24" t="n">
        <v>105</v>
      </c>
    </row>
    <row r="3372" customFormat="false" ht="15" hidden="false" customHeight="false" outlineLevel="0" collapsed="false">
      <c r="A3372" s="22" t="n">
        <v>43</v>
      </c>
      <c r="B3372" s="23" t="n">
        <v>45768</v>
      </c>
      <c r="C3372" s="22" t="s">
        <v>223</v>
      </c>
      <c r="D3372" s="24" t="n">
        <v>65</v>
      </c>
    </row>
    <row r="3373" customFormat="false" ht="15" hidden="false" customHeight="false" outlineLevel="0" collapsed="false">
      <c r="A3373" s="22" t="n">
        <v>44</v>
      </c>
      <c r="B3373" s="23" t="n">
        <v>45775</v>
      </c>
      <c r="C3373" s="22" t="s">
        <v>223</v>
      </c>
      <c r="D3373" s="24" t="n">
        <v>87</v>
      </c>
    </row>
    <row r="3374" customFormat="false" ht="15" hidden="false" customHeight="false" outlineLevel="0" collapsed="false">
      <c r="A3374" s="22" t="n">
        <v>45</v>
      </c>
      <c r="B3374" s="23" t="n">
        <v>45782</v>
      </c>
      <c r="C3374" s="22" t="s">
        <v>223</v>
      </c>
      <c r="D3374" s="24" t="n">
        <v>98</v>
      </c>
    </row>
    <row r="3375" customFormat="false" ht="15" hidden="false" customHeight="false" outlineLevel="0" collapsed="false">
      <c r="A3375" s="22" t="n">
        <v>46</v>
      </c>
      <c r="B3375" s="23" t="n">
        <v>45789</v>
      </c>
      <c r="C3375" s="22" t="s">
        <v>223</v>
      </c>
      <c r="D3375" s="24" t="n">
        <v>72</v>
      </c>
    </row>
    <row r="3376" customFormat="false" ht="15" hidden="false" customHeight="false" outlineLevel="0" collapsed="false">
      <c r="A3376" s="22" t="n">
        <v>47</v>
      </c>
      <c r="B3376" s="23" t="n">
        <v>45796</v>
      </c>
      <c r="C3376" s="22" t="s">
        <v>223</v>
      </c>
      <c r="D3376" s="24" t="n">
        <v>88</v>
      </c>
    </row>
    <row r="3377" customFormat="false" ht="15" hidden="false" customHeight="false" outlineLevel="0" collapsed="false">
      <c r="A3377" s="22" t="n">
        <v>48</v>
      </c>
      <c r="B3377" s="23" t="n">
        <v>45803</v>
      </c>
      <c r="C3377" s="22" t="s">
        <v>223</v>
      </c>
      <c r="D3377" s="24" t="n">
        <v>113</v>
      </c>
    </row>
    <row r="3378" customFormat="false" ht="15" hidden="false" customHeight="false" outlineLevel="0" collapsed="false">
      <c r="A3378" s="22" t="n">
        <v>49</v>
      </c>
      <c r="B3378" s="23" t="n">
        <v>45810</v>
      </c>
      <c r="C3378" s="22" t="s">
        <v>223</v>
      </c>
      <c r="D3378" s="24" t="n">
        <v>107</v>
      </c>
    </row>
    <row r="3379" customFormat="false" ht="15" hidden="false" customHeight="false" outlineLevel="0" collapsed="false">
      <c r="A3379" s="22" t="n">
        <v>50</v>
      </c>
      <c r="B3379" s="23" t="n">
        <v>45817</v>
      </c>
      <c r="C3379" s="22" t="s">
        <v>223</v>
      </c>
      <c r="D3379" s="24" t="n">
        <v>97</v>
      </c>
    </row>
    <row r="3380" customFormat="false" ht="15" hidden="false" customHeight="false" outlineLevel="0" collapsed="false">
      <c r="A3380" s="22" t="n">
        <v>51</v>
      </c>
      <c r="B3380" s="23" t="n">
        <v>45824</v>
      </c>
      <c r="C3380" s="22" t="s">
        <v>223</v>
      </c>
      <c r="D3380" s="24" t="n">
        <v>58</v>
      </c>
    </row>
    <row r="3381" customFormat="false" ht="15" hidden="false" customHeight="false" outlineLevel="0" collapsed="false">
      <c r="A3381" s="22" t="n">
        <v>52</v>
      </c>
      <c r="B3381" s="23" t="n">
        <v>45831</v>
      </c>
      <c r="C3381" s="22" t="s">
        <v>223</v>
      </c>
      <c r="D3381" s="24" t="n">
        <v>90</v>
      </c>
    </row>
    <row r="3382" customFormat="false" ht="15" hidden="false" customHeight="false" outlineLevel="0" collapsed="false">
      <c r="A3382" s="22" t="n">
        <v>53</v>
      </c>
      <c r="B3382" s="23" t="n">
        <v>45838</v>
      </c>
      <c r="C3382" s="22" t="s">
        <v>223</v>
      </c>
      <c r="D3382" s="24" t="n">
        <v>98</v>
      </c>
    </row>
    <row r="3383" customFormat="false" ht="15" hidden="false" customHeight="false" outlineLevel="0" collapsed="false">
      <c r="A3383" s="22" t="n">
        <v>54</v>
      </c>
      <c r="B3383" s="23" t="n">
        <v>45845</v>
      </c>
      <c r="C3383" s="22" t="s">
        <v>223</v>
      </c>
      <c r="D3383" s="24" t="n">
        <v>89</v>
      </c>
    </row>
    <row r="3384" customFormat="false" ht="15" hidden="false" customHeight="false" outlineLevel="0" collapsed="false">
      <c r="A3384" s="22" t="n">
        <v>55</v>
      </c>
      <c r="B3384" s="23" t="n">
        <v>45852</v>
      </c>
      <c r="C3384" s="22" t="s">
        <v>223</v>
      </c>
      <c r="D3384" s="24" t="n">
        <v>93</v>
      </c>
    </row>
    <row r="3385" customFormat="false" ht="15" hidden="false" customHeight="false" outlineLevel="0" collapsed="false">
      <c r="A3385" s="22" t="n">
        <v>56</v>
      </c>
      <c r="B3385" s="23" t="n">
        <v>45859</v>
      </c>
      <c r="C3385" s="22" t="s">
        <v>223</v>
      </c>
      <c r="D3385" s="24" t="n">
        <v>135</v>
      </c>
    </row>
    <row r="3386" customFormat="false" ht="15" hidden="false" customHeight="false" outlineLevel="0" collapsed="false">
      <c r="A3386" s="22" t="n">
        <v>57</v>
      </c>
      <c r="B3386" s="23" t="n">
        <v>45866</v>
      </c>
      <c r="C3386" s="22" t="s">
        <v>223</v>
      </c>
      <c r="D3386" s="24" t="n">
        <v>92</v>
      </c>
    </row>
    <row r="3387" customFormat="false" ht="15" hidden="false" customHeight="false" outlineLevel="0" collapsed="false">
      <c r="A3387" s="22" t="n">
        <v>58</v>
      </c>
      <c r="B3387" s="23" t="n">
        <v>45873</v>
      </c>
      <c r="C3387" s="22" t="s">
        <v>223</v>
      </c>
      <c r="D3387" s="24" t="n">
        <v>83</v>
      </c>
    </row>
    <row r="3388" customFormat="false" ht="15" hidden="false" customHeight="false" outlineLevel="0" collapsed="false">
      <c r="A3388" s="22" t="n">
        <v>59</v>
      </c>
      <c r="B3388" s="23" t="n">
        <v>45880</v>
      </c>
      <c r="C3388" s="22" t="s">
        <v>223</v>
      </c>
      <c r="D3388" s="24" t="n">
        <v>100</v>
      </c>
    </row>
    <row r="3389" customFormat="false" ht="15" hidden="false" customHeight="false" outlineLevel="0" collapsed="false">
      <c r="A3389" s="22" t="n">
        <v>60</v>
      </c>
      <c r="B3389" s="23" t="n">
        <v>45887</v>
      </c>
      <c r="C3389" s="22" t="s">
        <v>223</v>
      </c>
      <c r="D3389" s="24" t="n">
        <v>93</v>
      </c>
    </row>
    <row r="3390" customFormat="false" ht="15" hidden="false" customHeight="false" outlineLevel="0" collapsed="false">
      <c r="A3390" s="22" t="n">
        <v>61</v>
      </c>
      <c r="B3390" s="23" t="n">
        <v>45894</v>
      </c>
      <c r="C3390" s="22" t="s">
        <v>223</v>
      </c>
      <c r="D3390" s="24" t="n">
        <v>94</v>
      </c>
    </row>
    <row r="3391" customFormat="false" ht="15" hidden="false" customHeight="false" outlineLevel="0" collapsed="false">
      <c r="A3391" s="22" t="n">
        <v>62</v>
      </c>
      <c r="B3391" s="23" t="n">
        <v>45901</v>
      </c>
      <c r="C3391" s="22" t="s">
        <v>223</v>
      </c>
      <c r="D3391" s="24" t="n">
        <v>97</v>
      </c>
    </row>
    <row r="3392" customFormat="false" ht="15" hidden="false" customHeight="false" outlineLevel="0" collapsed="false">
      <c r="A3392" s="22" t="n">
        <v>63</v>
      </c>
      <c r="B3392" s="23" t="n">
        <v>45908</v>
      </c>
      <c r="C3392" s="22" t="s">
        <v>223</v>
      </c>
      <c r="D3392" s="24" t="n">
        <v>110</v>
      </c>
    </row>
    <row r="3393" customFormat="false" ht="15" hidden="false" customHeight="false" outlineLevel="0" collapsed="false">
      <c r="A3393" s="22" t="n">
        <v>64</v>
      </c>
      <c r="B3393" s="23" t="n">
        <v>45915</v>
      </c>
      <c r="C3393" s="22" t="s">
        <v>223</v>
      </c>
      <c r="D3393" s="24" t="n">
        <v>103</v>
      </c>
    </row>
    <row r="3394" customFormat="false" ht="15" hidden="false" customHeight="false" outlineLevel="0" collapsed="false">
      <c r="A3394" s="22" t="n">
        <v>65</v>
      </c>
      <c r="B3394" s="23" t="n">
        <v>45922</v>
      </c>
      <c r="C3394" s="22" t="s">
        <v>223</v>
      </c>
      <c r="D3394" s="24" t="n">
        <v>84</v>
      </c>
    </row>
    <row r="3395" customFormat="false" ht="15" hidden="false" customHeight="false" outlineLevel="0" collapsed="false">
      <c r="A3395" s="22" t="n">
        <v>66</v>
      </c>
      <c r="B3395" s="23" t="n">
        <v>45929</v>
      </c>
      <c r="C3395" s="22" t="s">
        <v>223</v>
      </c>
      <c r="D3395" s="24" t="n">
        <v>99</v>
      </c>
    </row>
    <row r="3396" customFormat="false" ht="15" hidden="false" customHeight="false" outlineLevel="0" collapsed="false">
      <c r="A3396" s="22" t="n">
        <v>67</v>
      </c>
      <c r="B3396" s="23" t="n">
        <v>45936</v>
      </c>
      <c r="C3396" s="22" t="s">
        <v>223</v>
      </c>
      <c r="D3396" s="24" t="n">
        <v>109</v>
      </c>
    </row>
    <row r="3397" customFormat="false" ht="15" hidden="false" customHeight="false" outlineLevel="0" collapsed="false">
      <c r="A3397" s="22" t="n">
        <v>68</v>
      </c>
      <c r="B3397" s="23" t="n">
        <v>45943</v>
      </c>
      <c r="C3397" s="22" t="s">
        <v>223</v>
      </c>
      <c r="D3397" s="24" t="n">
        <v>96</v>
      </c>
    </row>
    <row r="3398" customFormat="false" ht="15" hidden="false" customHeight="false" outlineLevel="0" collapsed="false">
      <c r="A3398" s="22" t="n">
        <v>69</v>
      </c>
      <c r="B3398" s="23" t="n">
        <v>45950</v>
      </c>
      <c r="C3398" s="22" t="s">
        <v>223</v>
      </c>
      <c r="D3398" s="24" t="n">
        <v>120</v>
      </c>
    </row>
    <row r="3399" customFormat="false" ht="15" hidden="false" customHeight="false" outlineLevel="0" collapsed="false">
      <c r="A3399" s="22" t="n">
        <v>70</v>
      </c>
      <c r="B3399" s="23" t="n">
        <v>45957</v>
      </c>
      <c r="C3399" s="22" t="s">
        <v>223</v>
      </c>
      <c r="D3399" s="24" t="n">
        <v>115</v>
      </c>
    </row>
    <row r="3400" customFormat="false" ht="15" hidden="false" customHeight="false" outlineLevel="0" collapsed="false">
      <c r="A3400" s="22" t="n">
        <v>71</v>
      </c>
      <c r="B3400" s="23" t="n">
        <v>45964</v>
      </c>
      <c r="C3400" s="22" t="s">
        <v>223</v>
      </c>
      <c r="D3400" s="24" t="n">
        <v>90</v>
      </c>
    </row>
    <row r="3401" customFormat="false" ht="15" hidden="false" customHeight="false" outlineLevel="0" collapsed="false">
      <c r="A3401" s="22" t="n">
        <v>72</v>
      </c>
      <c r="B3401" s="23" t="n">
        <v>45971</v>
      </c>
      <c r="C3401" s="22" t="s">
        <v>223</v>
      </c>
      <c r="D3401" s="24" t="n">
        <v>110</v>
      </c>
    </row>
    <row r="3402" customFormat="false" ht="15" hidden="false" customHeight="false" outlineLevel="0" collapsed="false">
      <c r="A3402" s="22" t="n">
        <v>73</v>
      </c>
      <c r="B3402" s="23" t="n">
        <v>45978</v>
      </c>
      <c r="C3402" s="22" t="s">
        <v>223</v>
      </c>
      <c r="D3402" s="24" t="n">
        <v>135</v>
      </c>
    </row>
    <row r="3403" customFormat="false" ht="15" hidden="false" customHeight="false" outlineLevel="0" collapsed="false">
      <c r="A3403" s="22" t="n">
        <v>74</v>
      </c>
      <c r="B3403" s="23" t="n">
        <v>45985</v>
      </c>
      <c r="C3403" s="22" t="s">
        <v>223</v>
      </c>
      <c r="D3403" s="24" t="n">
        <v>130</v>
      </c>
    </row>
    <row r="3404" customFormat="false" ht="15" hidden="false" customHeight="false" outlineLevel="0" collapsed="false">
      <c r="A3404" s="22" t="n">
        <v>75</v>
      </c>
      <c r="B3404" s="23" t="n">
        <v>45992</v>
      </c>
      <c r="C3404" s="22" t="s">
        <v>223</v>
      </c>
      <c r="D3404" s="24" t="n">
        <v>106</v>
      </c>
    </row>
    <row r="3405" customFormat="false" ht="15" hidden="false" customHeight="false" outlineLevel="0" collapsed="false">
      <c r="A3405" s="22" t="n">
        <v>76</v>
      </c>
      <c r="B3405" s="23" t="n">
        <v>45999</v>
      </c>
      <c r="C3405" s="22" t="s">
        <v>223</v>
      </c>
      <c r="D3405" s="24" t="n">
        <v>121</v>
      </c>
    </row>
    <row r="3406" customFormat="false" ht="15" hidden="false" customHeight="false" outlineLevel="0" collapsed="false">
      <c r="A3406" s="22" t="n">
        <v>77</v>
      </c>
      <c r="B3406" s="23" t="n">
        <v>46006</v>
      </c>
      <c r="C3406" s="22" t="s">
        <v>223</v>
      </c>
      <c r="D3406" s="24" t="n">
        <v>98</v>
      </c>
    </row>
    <row r="3407" customFormat="false" ht="15" hidden="false" customHeight="false" outlineLevel="0" collapsed="false">
      <c r="A3407" s="22" t="n">
        <v>78</v>
      </c>
      <c r="B3407" s="23" t="n">
        <v>46013</v>
      </c>
      <c r="C3407" s="22" t="s">
        <v>223</v>
      </c>
      <c r="D3407" s="24" t="n">
        <v>87</v>
      </c>
    </row>
    <row r="3408" customFormat="false" ht="15" hidden="false" customHeight="false" outlineLevel="0" collapsed="false">
      <c r="A3408" s="22" t="n">
        <v>79</v>
      </c>
      <c r="B3408" s="23" t="n">
        <v>46020</v>
      </c>
      <c r="C3408" s="22" t="s">
        <v>223</v>
      </c>
      <c r="D3408" s="24" t="n">
        <v>118</v>
      </c>
    </row>
    <row r="3409" customFormat="false" ht="15" hidden="false" customHeight="false" outlineLevel="0" collapsed="false">
      <c r="A3409" s="22" t="n">
        <v>80</v>
      </c>
      <c r="B3409" s="23" t="n">
        <v>46027</v>
      </c>
      <c r="C3409" s="22" t="s">
        <v>223</v>
      </c>
      <c r="D3409" s="24" t="n">
        <v>114</v>
      </c>
    </row>
    <row r="3410" customFormat="false" ht="15" hidden="false" customHeight="false" outlineLevel="0" collapsed="false">
      <c r="A3410" s="22" t="n">
        <v>81</v>
      </c>
      <c r="B3410" s="23" t="n">
        <v>46034</v>
      </c>
      <c r="C3410" s="22" t="s">
        <v>223</v>
      </c>
      <c r="D3410" s="24" t="n">
        <v>119</v>
      </c>
    </row>
    <row r="3411" customFormat="false" ht="15" hidden="false" customHeight="false" outlineLevel="0" collapsed="false">
      <c r="A3411" s="22" t="n">
        <v>82</v>
      </c>
      <c r="B3411" s="23" t="n">
        <v>46041</v>
      </c>
      <c r="C3411" s="22" t="s">
        <v>223</v>
      </c>
      <c r="D3411" s="24" t="n">
        <v>111</v>
      </c>
    </row>
    <row r="3412" customFormat="false" ht="15" hidden="false" customHeight="false" outlineLevel="0" collapsed="false">
      <c r="A3412" s="22" t="n">
        <v>83</v>
      </c>
      <c r="B3412" s="23" t="n">
        <v>46048</v>
      </c>
      <c r="C3412" s="22" t="s">
        <v>223</v>
      </c>
      <c r="D3412" s="24" t="n">
        <v>117</v>
      </c>
    </row>
    <row r="3413" customFormat="false" ht="15" hidden="false" customHeight="false" outlineLevel="0" collapsed="false">
      <c r="A3413" s="22" t="n">
        <v>84</v>
      </c>
      <c r="B3413" s="23" t="n">
        <v>46055</v>
      </c>
      <c r="C3413" s="22" t="s">
        <v>223</v>
      </c>
      <c r="D3413" s="24" t="n">
        <v>105</v>
      </c>
    </row>
    <row r="3414" customFormat="false" ht="15" hidden="false" customHeight="false" outlineLevel="0" collapsed="false">
      <c r="A3414" s="22" t="n">
        <v>85</v>
      </c>
      <c r="B3414" s="23" t="n">
        <v>46062</v>
      </c>
      <c r="C3414" s="22" t="s">
        <v>223</v>
      </c>
      <c r="D3414" s="24" t="n">
        <v>121</v>
      </c>
    </row>
    <row r="3415" customFormat="false" ht="15" hidden="false" customHeight="false" outlineLevel="0" collapsed="false">
      <c r="A3415" s="22" t="n">
        <v>86</v>
      </c>
      <c r="B3415" s="23" t="n">
        <v>46069</v>
      </c>
      <c r="C3415" s="22" t="s">
        <v>223</v>
      </c>
      <c r="D3415" s="24" t="n">
        <v>128</v>
      </c>
    </row>
    <row r="3416" customFormat="false" ht="15" hidden="false" customHeight="false" outlineLevel="0" collapsed="false">
      <c r="A3416" s="22" t="n">
        <v>87</v>
      </c>
      <c r="B3416" s="23" t="n">
        <v>46076</v>
      </c>
      <c r="C3416" s="22" t="s">
        <v>223</v>
      </c>
      <c r="D3416" s="24" t="n">
        <v>114</v>
      </c>
    </row>
    <row r="3417" customFormat="false" ht="15" hidden="false" customHeight="false" outlineLevel="0" collapsed="false">
      <c r="A3417" s="22" t="n">
        <v>88</v>
      </c>
      <c r="B3417" s="23" t="n">
        <v>46083</v>
      </c>
      <c r="C3417" s="22" t="s">
        <v>223</v>
      </c>
      <c r="D3417" s="24" t="n">
        <v>129</v>
      </c>
    </row>
    <row r="3418" customFormat="false" ht="15" hidden="false" customHeight="false" outlineLevel="0" collapsed="false">
      <c r="A3418" s="22" t="n">
        <v>89</v>
      </c>
      <c r="B3418" s="23" t="n">
        <v>46090</v>
      </c>
      <c r="C3418" s="22" t="s">
        <v>223</v>
      </c>
      <c r="D3418" s="24" t="n">
        <v>87</v>
      </c>
    </row>
    <row r="3419" customFormat="false" ht="15" hidden="false" customHeight="false" outlineLevel="0" collapsed="false">
      <c r="A3419" s="22" t="n">
        <v>90</v>
      </c>
      <c r="B3419" s="23" t="n">
        <v>46097</v>
      </c>
      <c r="C3419" s="22" t="s">
        <v>223</v>
      </c>
      <c r="D3419" s="24" t="n">
        <v>104</v>
      </c>
    </row>
    <row r="3420" customFormat="false" ht="15" hidden="false" customHeight="false" outlineLevel="0" collapsed="false">
      <c r="A3420" s="22" t="n">
        <v>91</v>
      </c>
      <c r="B3420" s="23" t="n">
        <v>46104</v>
      </c>
      <c r="C3420" s="22" t="s">
        <v>223</v>
      </c>
      <c r="D3420" s="24" t="n">
        <v>141</v>
      </c>
    </row>
    <row r="3421" customFormat="false" ht="15" hidden="false" customHeight="false" outlineLevel="0" collapsed="false">
      <c r="A3421" s="22" t="n">
        <v>92</v>
      </c>
      <c r="B3421" s="23" t="n">
        <v>46111</v>
      </c>
      <c r="C3421" s="22" t="s">
        <v>223</v>
      </c>
      <c r="D3421" s="24" t="n">
        <v>147</v>
      </c>
    </row>
    <row r="3422" customFormat="false" ht="15" hidden="false" customHeight="false" outlineLevel="0" collapsed="false">
      <c r="A3422" s="22" t="n">
        <v>93</v>
      </c>
      <c r="B3422" s="23" t="n">
        <v>46118</v>
      </c>
      <c r="C3422" s="22" t="s">
        <v>223</v>
      </c>
      <c r="D3422" s="24" t="n">
        <v>123</v>
      </c>
    </row>
    <row r="3423" customFormat="false" ht="15" hidden="false" customHeight="false" outlineLevel="0" collapsed="false">
      <c r="A3423" s="22" t="n">
        <v>94</v>
      </c>
      <c r="B3423" s="23" t="n">
        <v>46125</v>
      </c>
      <c r="C3423" s="22" t="s">
        <v>223</v>
      </c>
      <c r="D3423" s="24" t="n">
        <v>118</v>
      </c>
    </row>
    <row r="3424" customFormat="false" ht="15" hidden="false" customHeight="false" outlineLevel="0" collapsed="false">
      <c r="A3424" s="22" t="n">
        <v>95</v>
      </c>
      <c r="B3424" s="23" t="n">
        <v>46132</v>
      </c>
      <c r="C3424" s="22" t="s">
        <v>223</v>
      </c>
      <c r="D3424" s="24" t="n">
        <v>99</v>
      </c>
    </row>
    <row r="3425" customFormat="false" ht="15" hidden="false" customHeight="false" outlineLevel="0" collapsed="false">
      <c r="A3425" s="22" t="n">
        <v>96</v>
      </c>
      <c r="B3425" s="23" t="n">
        <v>46139</v>
      </c>
      <c r="C3425" s="22" t="s">
        <v>223</v>
      </c>
      <c r="D3425" s="24" t="n">
        <v>127</v>
      </c>
    </row>
    <row r="3426" customFormat="false" ht="15" hidden="false" customHeight="false" outlineLevel="0" collapsed="false">
      <c r="A3426" s="22" t="n">
        <v>97</v>
      </c>
      <c r="B3426" s="23" t="n">
        <v>46146</v>
      </c>
      <c r="C3426" s="22" t="s">
        <v>223</v>
      </c>
      <c r="D3426" s="24" t="n">
        <v>135</v>
      </c>
    </row>
    <row r="3427" customFormat="false" ht="15" hidden="false" customHeight="false" outlineLevel="0" collapsed="false">
      <c r="A3427" s="22" t="n">
        <v>98</v>
      </c>
      <c r="B3427" s="23" t="n">
        <v>46153</v>
      </c>
      <c r="C3427" s="22" t="s">
        <v>223</v>
      </c>
      <c r="D3427" s="24" t="n">
        <v>97</v>
      </c>
    </row>
    <row r="3428" customFormat="false" ht="15" hidden="false" customHeight="false" outlineLevel="0" collapsed="false">
      <c r="A3428" s="22" t="n">
        <v>99</v>
      </c>
      <c r="B3428" s="23" t="n">
        <v>46160</v>
      </c>
      <c r="C3428" s="22" t="s">
        <v>223</v>
      </c>
      <c r="D3428" s="24" t="n">
        <v>132</v>
      </c>
    </row>
    <row r="3429" customFormat="false" ht="15" hidden="false" customHeight="false" outlineLevel="0" collapsed="false">
      <c r="A3429" s="22" t="n">
        <v>100</v>
      </c>
      <c r="B3429" s="23" t="n">
        <v>46167</v>
      </c>
      <c r="C3429" s="22" t="s">
        <v>223</v>
      </c>
      <c r="D3429" s="24" t="n">
        <v>132</v>
      </c>
    </row>
    <row r="3430" customFormat="false" ht="15" hidden="false" customHeight="false" outlineLevel="0" collapsed="false">
      <c r="A3430" s="22" t="n">
        <v>101</v>
      </c>
      <c r="B3430" s="23" t="n">
        <v>46174</v>
      </c>
      <c r="C3430" s="22" t="s">
        <v>223</v>
      </c>
      <c r="D3430" s="24" t="n">
        <v>132</v>
      </c>
    </row>
    <row r="3431" customFormat="false" ht="15" hidden="false" customHeight="false" outlineLevel="0" collapsed="false">
      <c r="A3431" s="22" t="n">
        <v>102</v>
      </c>
      <c r="B3431" s="23" t="n">
        <v>46181</v>
      </c>
      <c r="C3431" s="22" t="s">
        <v>223</v>
      </c>
      <c r="D3431" s="24" t="n">
        <v>105</v>
      </c>
    </row>
    <row r="3432" customFormat="false" ht="15" hidden="false" customHeight="false" outlineLevel="0" collapsed="false">
      <c r="A3432" s="22" t="n">
        <v>103</v>
      </c>
      <c r="B3432" s="23" t="n">
        <v>46188</v>
      </c>
      <c r="C3432" s="22" t="s">
        <v>223</v>
      </c>
      <c r="D3432" s="24" t="n">
        <v>135</v>
      </c>
    </row>
    <row r="3433" customFormat="false" ht="15" hidden="false" customHeight="false" outlineLevel="0" collapsed="false">
      <c r="A3433" s="22" t="n">
        <v>104</v>
      </c>
      <c r="B3433" s="23" t="n">
        <v>46195</v>
      </c>
      <c r="C3433" s="22" t="s">
        <v>223</v>
      </c>
      <c r="D3433" s="24" t="n">
        <v>100</v>
      </c>
    </row>
    <row r="3434" customFormat="false" ht="15" hidden="false" customHeight="false" outlineLevel="0" collapsed="false">
      <c r="A3434" s="22" t="n">
        <v>1</v>
      </c>
      <c r="B3434" s="23" t="n">
        <v>45474</v>
      </c>
      <c r="C3434" s="22" t="s">
        <v>225</v>
      </c>
      <c r="D3434" s="24" t="n">
        <v>73</v>
      </c>
    </row>
    <row r="3435" customFormat="false" ht="15" hidden="false" customHeight="false" outlineLevel="0" collapsed="false">
      <c r="A3435" s="22" t="n">
        <v>2</v>
      </c>
      <c r="B3435" s="23" t="n">
        <v>45481</v>
      </c>
      <c r="C3435" s="22" t="s">
        <v>225</v>
      </c>
      <c r="D3435" s="24" t="n">
        <v>62</v>
      </c>
    </row>
    <row r="3436" customFormat="false" ht="15" hidden="false" customHeight="false" outlineLevel="0" collapsed="false">
      <c r="A3436" s="22" t="n">
        <v>3</v>
      </c>
      <c r="B3436" s="23" t="n">
        <v>45488</v>
      </c>
      <c r="C3436" s="22" t="s">
        <v>225</v>
      </c>
      <c r="D3436" s="24" t="n">
        <v>50</v>
      </c>
    </row>
    <row r="3437" customFormat="false" ht="15" hidden="false" customHeight="false" outlineLevel="0" collapsed="false">
      <c r="A3437" s="22" t="n">
        <v>4</v>
      </c>
      <c r="B3437" s="23" t="n">
        <v>45495</v>
      </c>
      <c r="C3437" s="22" t="s">
        <v>225</v>
      </c>
      <c r="D3437" s="24" t="n">
        <v>71</v>
      </c>
    </row>
    <row r="3438" customFormat="false" ht="15" hidden="false" customHeight="false" outlineLevel="0" collapsed="false">
      <c r="A3438" s="22" t="n">
        <v>5</v>
      </c>
      <c r="B3438" s="23" t="n">
        <v>45502</v>
      </c>
      <c r="C3438" s="22" t="s">
        <v>225</v>
      </c>
      <c r="D3438" s="24" t="n">
        <v>69</v>
      </c>
    </row>
    <row r="3439" customFormat="false" ht="15" hidden="false" customHeight="false" outlineLevel="0" collapsed="false">
      <c r="A3439" s="22" t="n">
        <v>6</v>
      </c>
      <c r="B3439" s="23" t="n">
        <v>45509</v>
      </c>
      <c r="C3439" s="22" t="s">
        <v>225</v>
      </c>
      <c r="D3439" s="24" t="n">
        <v>54</v>
      </c>
    </row>
    <row r="3440" customFormat="false" ht="15" hidden="false" customHeight="false" outlineLevel="0" collapsed="false">
      <c r="A3440" s="22" t="n">
        <v>7</v>
      </c>
      <c r="B3440" s="23" t="n">
        <v>45516</v>
      </c>
      <c r="C3440" s="22" t="s">
        <v>225</v>
      </c>
      <c r="D3440" s="24" t="n">
        <v>77</v>
      </c>
    </row>
    <row r="3441" customFormat="false" ht="15" hidden="false" customHeight="false" outlineLevel="0" collapsed="false">
      <c r="A3441" s="22" t="n">
        <v>8</v>
      </c>
      <c r="B3441" s="23" t="n">
        <v>45523</v>
      </c>
      <c r="C3441" s="22" t="s">
        <v>225</v>
      </c>
      <c r="D3441" s="24" t="n">
        <v>50</v>
      </c>
    </row>
    <row r="3442" customFormat="false" ht="15" hidden="false" customHeight="false" outlineLevel="0" collapsed="false">
      <c r="A3442" s="22" t="n">
        <v>9</v>
      </c>
      <c r="B3442" s="23" t="n">
        <v>45530</v>
      </c>
      <c r="C3442" s="22" t="s">
        <v>225</v>
      </c>
      <c r="D3442" s="24" t="n">
        <v>61</v>
      </c>
    </row>
    <row r="3443" customFormat="false" ht="15" hidden="false" customHeight="false" outlineLevel="0" collapsed="false">
      <c r="A3443" s="22" t="n">
        <v>10</v>
      </c>
      <c r="B3443" s="23" t="n">
        <v>45537</v>
      </c>
      <c r="C3443" s="22" t="s">
        <v>225</v>
      </c>
      <c r="D3443" s="24" t="n">
        <v>68</v>
      </c>
    </row>
    <row r="3444" customFormat="false" ht="15" hidden="false" customHeight="false" outlineLevel="0" collapsed="false">
      <c r="A3444" s="22" t="n">
        <v>11</v>
      </c>
      <c r="B3444" s="23" t="n">
        <v>45544</v>
      </c>
      <c r="C3444" s="22" t="s">
        <v>225</v>
      </c>
      <c r="D3444" s="24" t="n">
        <v>39</v>
      </c>
    </row>
    <row r="3445" customFormat="false" ht="15" hidden="false" customHeight="false" outlineLevel="0" collapsed="false">
      <c r="A3445" s="22" t="n">
        <v>12</v>
      </c>
      <c r="B3445" s="23" t="n">
        <v>45551</v>
      </c>
      <c r="C3445" s="22" t="s">
        <v>225</v>
      </c>
      <c r="D3445" s="24" t="n">
        <v>65</v>
      </c>
    </row>
    <row r="3446" customFormat="false" ht="15" hidden="false" customHeight="false" outlineLevel="0" collapsed="false">
      <c r="A3446" s="22" t="n">
        <v>13</v>
      </c>
      <c r="B3446" s="23" t="n">
        <v>45558</v>
      </c>
      <c r="C3446" s="22" t="s">
        <v>225</v>
      </c>
      <c r="D3446" s="24" t="n">
        <v>57</v>
      </c>
    </row>
    <row r="3447" customFormat="false" ht="15" hidden="false" customHeight="false" outlineLevel="0" collapsed="false">
      <c r="A3447" s="22" t="n">
        <v>14</v>
      </c>
      <c r="B3447" s="23" t="n">
        <v>45565</v>
      </c>
      <c r="C3447" s="22" t="s">
        <v>225</v>
      </c>
      <c r="D3447" s="24" t="n">
        <v>57</v>
      </c>
    </row>
    <row r="3448" customFormat="false" ht="15" hidden="false" customHeight="false" outlineLevel="0" collapsed="false">
      <c r="A3448" s="22" t="n">
        <v>15</v>
      </c>
      <c r="B3448" s="23" t="n">
        <v>45572</v>
      </c>
      <c r="C3448" s="22" t="s">
        <v>225</v>
      </c>
      <c r="D3448" s="24" t="n">
        <v>48</v>
      </c>
    </row>
    <row r="3449" customFormat="false" ht="15" hidden="false" customHeight="false" outlineLevel="0" collapsed="false">
      <c r="A3449" s="22" t="n">
        <v>16</v>
      </c>
      <c r="B3449" s="23" t="n">
        <v>45579</v>
      </c>
      <c r="C3449" s="22" t="s">
        <v>225</v>
      </c>
      <c r="D3449" s="24" t="n">
        <v>59</v>
      </c>
    </row>
    <row r="3450" customFormat="false" ht="15" hidden="false" customHeight="false" outlineLevel="0" collapsed="false">
      <c r="A3450" s="22" t="n">
        <v>17</v>
      </c>
      <c r="B3450" s="23" t="n">
        <v>45586</v>
      </c>
      <c r="C3450" s="22" t="s">
        <v>225</v>
      </c>
      <c r="D3450" s="24" t="n">
        <v>47</v>
      </c>
    </row>
    <row r="3451" customFormat="false" ht="15" hidden="false" customHeight="false" outlineLevel="0" collapsed="false">
      <c r="A3451" s="22" t="n">
        <v>18</v>
      </c>
      <c r="B3451" s="23" t="n">
        <v>45593</v>
      </c>
      <c r="C3451" s="22" t="s">
        <v>225</v>
      </c>
      <c r="D3451" s="24" t="n">
        <v>48</v>
      </c>
    </row>
    <row r="3452" customFormat="false" ht="15" hidden="false" customHeight="false" outlineLevel="0" collapsed="false">
      <c r="A3452" s="22" t="n">
        <v>19</v>
      </c>
      <c r="B3452" s="23" t="n">
        <v>45600</v>
      </c>
      <c r="C3452" s="22" t="s">
        <v>225</v>
      </c>
      <c r="D3452" s="24" t="n">
        <v>52</v>
      </c>
    </row>
    <row r="3453" customFormat="false" ht="15" hidden="false" customHeight="false" outlineLevel="0" collapsed="false">
      <c r="A3453" s="22" t="n">
        <v>20</v>
      </c>
      <c r="B3453" s="23" t="n">
        <v>45607</v>
      </c>
      <c r="C3453" s="22" t="s">
        <v>225</v>
      </c>
      <c r="D3453" s="24" t="n">
        <v>45</v>
      </c>
    </row>
    <row r="3454" customFormat="false" ht="15" hidden="false" customHeight="false" outlineLevel="0" collapsed="false">
      <c r="A3454" s="22" t="n">
        <v>21</v>
      </c>
      <c r="B3454" s="23" t="n">
        <v>45614</v>
      </c>
      <c r="C3454" s="22" t="s">
        <v>225</v>
      </c>
      <c r="D3454" s="24" t="n">
        <v>67</v>
      </c>
    </row>
    <row r="3455" customFormat="false" ht="15" hidden="false" customHeight="false" outlineLevel="0" collapsed="false">
      <c r="A3455" s="22" t="n">
        <v>22</v>
      </c>
      <c r="B3455" s="23" t="n">
        <v>45621</v>
      </c>
      <c r="C3455" s="22" t="s">
        <v>225</v>
      </c>
      <c r="D3455" s="24" t="n">
        <v>44</v>
      </c>
    </row>
    <row r="3456" customFormat="false" ht="15" hidden="false" customHeight="false" outlineLevel="0" collapsed="false">
      <c r="A3456" s="22" t="n">
        <v>23</v>
      </c>
      <c r="B3456" s="23" t="n">
        <v>45628</v>
      </c>
      <c r="C3456" s="22" t="s">
        <v>225</v>
      </c>
      <c r="D3456" s="24" t="n">
        <v>48</v>
      </c>
    </row>
    <row r="3457" customFormat="false" ht="15" hidden="false" customHeight="false" outlineLevel="0" collapsed="false">
      <c r="A3457" s="22" t="n">
        <v>24</v>
      </c>
      <c r="B3457" s="23" t="n">
        <v>45635</v>
      </c>
      <c r="C3457" s="22" t="s">
        <v>225</v>
      </c>
      <c r="D3457" s="24" t="n">
        <v>51</v>
      </c>
    </row>
    <row r="3458" customFormat="false" ht="15" hidden="false" customHeight="false" outlineLevel="0" collapsed="false">
      <c r="A3458" s="22" t="n">
        <v>25</v>
      </c>
      <c r="B3458" s="23" t="n">
        <v>45642</v>
      </c>
      <c r="C3458" s="22" t="s">
        <v>225</v>
      </c>
      <c r="D3458" s="24" t="n">
        <v>53</v>
      </c>
    </row>
    <row r="3459" customFormat="false" ht="15" hidden="false" customHeight="false" outlineLevel="0" collapsed="false">
      <c r="A3459" s="22" t="n">
        <v>26</v>
      </c>
      <c r="B3459" s="23" t="n">
        <v>45649</v>
      </c>
      <c r="C3459" s="22" t="s">
        <v>225</v>
      </c>
      <c r="D3459" s="24" t="n">
        <v>59</v>
      </c>
    </row>
    <row r="3460" customFormat="false" ht="15" hidden="false" customHeight="false" outlineLevel="0" collapsed="false">
      <c r="A3460" s="22" t="n">
        <v>27</v>
      </c>
      <c r="B3460" s="23" t="n">
        <v>45656</v>
      </c>
      <c r="C3460" s="22" t="s">
        <v>225</v>
      </c>
      <c r="D3460" s="24" t="n">
        <v>59</v>
      </c>
    </row>
    <row r="3461" customFormat="false" ht="15" hidden="false" customHeight="false" outlineLevel="0" collapsed="false">
      <c r="A3461" s="22" t="n">
        <v>28</v>
      </c>
      <c r="B3461" s="23" t="n">
        <v>45663</v>
      </c>
      <c r="C3461" s="22" t="s">
        <v>225</v>
      </c>
      <c r="D3461" s="24" t="n">
        <v>50</v>
      </c>
    </row>
    <row r="3462" customFormat="false" ht="15" hidden="false" customHeight="false" outlineLevel="0" collapsed="false">
      <c r="A3462" s="22" t="n">
        <v>29</v>
      </c>
      <c r="B3462" s="23" t="n">
        <v>45670</v>
      </c>
      <c r="C3462" s="22" t="s">
        <v>225</v>
      </c>
      <c r="D3462" s="24" t="n">
        <v>49</v>
      </c>
    </row>
    <row r="3463" customFormat="false" ht="15" hidden="false" customHeight="false" outlineLevel="0" collapsed="false">
      <c r="A3463" s="22" t="n">
        <v>30</v>
      </c>
      <c r="B3463" s="23" t="n">
        <v>45677</v>
      </c>
      <c r="C3463" s="22" t="s">
        <v>225</v>
      </c>
      <c r="D3463" s="24" t="n">
        <v>52</v>
      </c>
    </row>
    <row r="3464" customFormat="false" ht="15" hidden="false" customHeight="false" outlineLevel="0" collapsed="false">
      <c r="A3464" s="22" t="n">
        <v>31</v>
      </c>
      <c r="B3464" s="23" t="n">
        <v>45684</v>
      </c>
      <c r="C3464" s="22" t="s">
        <v>225</v>
      </c>
      <c r="D3464" s="24" t="n">
        <v>58</v>
      </c>
    </row>
    <row r="3465" customFormat="false" ht="15" hidden="false" customHeight="false" outlineLevel="0" collapsed="false">
      <c r="A3465" s="22" t="n">
        <v>32</v>
      </c>
      <c r="B3465" s="23" t="n">
        <v>45691</v>
      </c>
      <c r="C3465" s="22" t="s">
        <v>225</v>
      </c>
      <c r="D3465" s="24" t="n">
        <v>56</v>
      </c>
    </row>
    <row r="3466" customFormat="false" ht="15" hidden="false" customHeight="false" outlineLevel="0" collapsed="false">
      <c r="A3466" s="22" t="n">
        <v>33</v>
      </c>
      <c r="B3466" s="23" t="n">
        <v>45698</v>
      </c>
      <c r="C3466" s="22" t="s">
        <v>225</v>
      </c>
      <c r="D3466" s="24" t="n">
        <v>47</v>
      </c>
    </row>
    <row r="3467" customFormat="false" ht="15" hidden="false" customHeight="false" outlineLevel="0" collapsed="false">
      <c r="A3467" s="22" t="n">
        <v>34</v>
      </c>
      <c r="B3467" s="23" t="n">
        <v>45705</v>
      </c>
      <c r="C3467" s="22" t="s">
        <v>225</v>
      </c>
      <c r="D3467" s="24" t="n">
        <v>36</v>
      </c>
    </row>
    <row r="3468" customFormat="false" ht="15" hidden="false" customHeight="false" outlineLevel="0" collapsed="false">
      <c r="A3468" s="22" t="n">
        <v>35</v>
      </c>
      <c r="B3468" s="23" t="n">
        <v>45712</v>
      </c>
      <c r="C3468" s="22" t="s">
        <v>225</v>
      </c>
      <c r="D3468" s="24" t="n">
        <v>65</v>
      </c>
    </row>
    <row r="3469" customFormat="false" ht="15" hidden="false" customHeight="false" outlineLevel="0" collapsed="false">
      <c r="A3469" s="22" t="n">
        <v>36</v>
      </c>
      <c r="B3469" s="23" t="n">
        <v>45719</v>
      </c>
      <c r="C3469" s="22" t="s">
        <v>225</v>
      </c>
      <c r="D3469" s="24" t="n">
        <v>57</v>
      </c>
    </row>
    <row r="3470" customFormat="false" ht="15" hidden="false" customHeight="false" outlineLevel="0" collapsed="false">
      <c r="A3470" s="22" t="n">
        <v>37</v>
      </c>
      <c r="B3470" s="23" t="n">
        <v>45726</v>
      </c>
      <c r="C3470" s="22" t="s">
        <v>225</v>
      </c>
      <c r="D3470" s="24" t="n">
        <v>52</v>
      </c>
    </row>
    <row r="3471" customFormat="false" ht="15" hidden="false" customHeight="false" outlineLevel="0" collapsed="false">
      <c r="A3471" s="22" t="n">
        <v>38</v>
      </c>
      <c r="B3471" s="23" t="n">
        <v>45733</v>
      </c>
      <c r="C3471" s="22" t="s">
        <v>225</v>
      </c>
      <c r="D3471" s="24" t="n">
        <v>52</v>
      </c>
    </row>
    <row r="3472" customFormat="false" ht="15" hidden="false" customHeight="false" outlineLevel="0" collapsed="false">
      <c r="A3472" s="22" t="n">
        <v>39</v>
      </c>
      <c r="B3472" s="23" t="n">
        <v>45740</v>
      </c>
      <c r="C3472" s="22" t="s">
        <v>225</v>
      </c>
      <c r="D3472" s="24" t="n">
        <v>46</v>
      </c>
    </row>
    <row r="3473" customFormat="false" ht="15" hidden="false" customHeight="false" outlineLevel="0" collapsed="false">
      <c r="A3473" s="22" t="n">
        <v>40</v>
      </c>
      <c r="B3473" s="23" t="n">
        <v>45747</v>
      </c>
      <c r="C3473" s="22" t="s">
        <v>225</v>
      </c>
      <c r="D3473" s="24" t="n">
        <v>42</v>
      </c>
    </row>
    <row r="3474" customFormat="false" ht="15" hidden="false" customHeight="false" outlineLevel="0" collapsed="false">
      <c r="A3474" s="22" t="n">
        <v>41</v>
      </c>
      <c r="B3474" s="23" t="n">
        <v>45754</v>
      </c>
      <c r="C3474" s="22" t="s">
        <v>225</v>
      </c>
      <c r="D3474" s="24" t="n">
        <v>46</v>
      </c>
    </row>
    <row r="3475" customFormat="false" ht="15" hidden="false" customHeight="false" outlineLevel="0" collapsed="false">
      <c r="A3475" s="22" t="n">
        <v>42</v>
      </c>
      <c r="B3475" s="23" t="n">
        <v>45761</v>
      </c>
      <c r="C3475" s="22" t="s">
        <v>225</v>
      </c>
      <c r="D3475" s="24" t="n">
        <v>47</v>
      </c>
    </row>
    <row r="3476" customFormat="false" ht="15" hidden="false" customHeight="false" outlineLevel="0" collapsed="false">
      <c r="A3476" s="22" t="n">
        <v>43</v>
      </c>
      <c r="B3476" s="23" t="n">
        <v>45768</v>
      </c>
      <c r="C3476" s="22" t="s">
        <v>225</v>
      </c>
      <c r="D3476" s="24" t="n">
        <v>44</v>
      </c>
    </row>
    <row r="3477" customFormat="false" ht="15" hidden="false" customHeight="false" outlineLevel="0" collapsed="false">
      <c r="A3477" s="22" t="n">
        <v>44</v>
      </c>
      <c r="B3477" s="23" t="n">
        <v>45775</v>
      </c>
      <c r="C3477" s="22" t="s">
        <v>225</v>
      </c>
      <c r="D3477" s="24" t="n">
        <v>38</v>
      </c>
    </row>
    <row r="3478" customFormat="false" ht="15" hidden="false" customHeight="false" outlineLevel="0" collapsed="false">
      <c r="A3478" s="22" t="n">
        <v>45</v>
      </c>
      <c r="B3478" s="23" t="n">
        <v>45782</v>
      </c>
      <c r="C3478" s="22" t="s">
        <v>225</v>
      </c>
      <c r="D3478" s="24" t="n">
        <v>45</v>
      </c>
    </row>
    <row r="3479" customFormat="false" ht="15" hidden="false" customHeight="false" outlineLevel="0" collapsed="false">
      <c r="A3479" s="22" t="n">
        <v>46</v>
      </c>
      <c r="B3479" s="23" t="n">
        <v>45789</v>
      </c>
      <c r="C3479" s="22" t="s">
        <v>225</v>
      </c>
      <c r="D3479" s="24" t="n">
        <v>51</v>
      </c>
    </row>
    <row r="3480" customFormat="false" ht="15" hidden="false" customHeight="false" outlineLevel="0" collapsed="false">
      <c r="A3480" s="22" t="n">
        <v>47</v>
      </c>
      <c r="B3480" s="23" t="n">
        <v>45796</v>
      </c>
      <c r="C3480" s="22" t="s">
        <v>225</v>
      </c>
      <c r="D3480" s="24" t="n">
        <v>43</v>
      </c>
    </row>
    <row r="3481" customFormat="false" ht="15" hidden="false" customHeight="false" outlineLevel="0" collapsed="false">
      <c r="A3481" s="22" t="n">
        <v>48</v>
      </c>
      <c r="B3481" s="23" t="n">
        <v>45803</v>
      </c>
      <c r="C3481" s="22" t="s">
        <v>225</v>
      </c>
      <c r="D3481" s="24" t="n">
        <v>47</v>
      </c>
    </row>
    <row r="3482" customFormat="false" ht="15" hidden="false" customHeight="false" outlineLevel="0" collapsed="false">
      <c r="A3482" s="22" t="n">
        <v>49</v>
      </c>
      <c r="B3482" s="23" t="n">
        <v>45810</v>
      </c>
      <c r="C3482" s="22" t="s">
        <v>225</v>
      </c>
      <c r="D3482" s="24" t="n">
        <v>33</v>
      </c>
    </row>
    <row r="3483" customFormat="false" ht="15" hidden="false" customHeight="false" outlineLevel="0" collapsed="false">
      <c r="A3483" s="22" t="n">
        <v>50</v>
      </c>
      <c r="B3483" s="23" t="n">
        <v>45817</v>
      </c>
      <c r="C3483" s="22" t="s">
        <v>225</v>
      </c>
      <c r="D3483" s="24" t="n">
        <v>44</v>
      </c>
    </row>
    <row r="3484" customFormat="false" ht="15" hidden="false" customHeight="false" outlineLevel="0" collapsed="false">
      <c r="A3484" s="22" t="n">
        <v>51</v>
      </c>
      <c r="B3484" s="23" t="n">
        <v>45824</v>
      </c>
      <c r="C3484" s="22" t="s">
        <v>225</v>
      </c>
      <c r="D3484" s="24" t="n">
        <v>45</v>
      </c>
    </row>
    <row r="3485" customFormat="false" ht="15" hidden="false" customHeight="false" outlineLevel="0" collapsed="false">
      <c r="A3485" s="22" t="n">
        <v>52</v>
      </c>
      <c r="B3485" s="23" t="n">
        <v>45831</v>
      </c>
      <c r="C3485" s="22" t="s">
        <v>225</v>
      </c>
      <c r="D3485" s="24" t="n">
        <v>37</v>
      </c>
    </row>
    <row r="3486" customFormat="false" ht="15" hidden="false" customHeight="false" outlineLevel="0" collapsed="false">
      <c r="A3486" s="22" t="n">
        <v>53</v>
      </c>
      <c r="B3486" s="23" t="n">
        <v>45838</v>
      </c>
      <c r="C3486" s="22" t="s">
        <v>225</v>
      </c>
      <c r="D3486" s="24" t="n">
        <v>34</v>
      </c>
    </row>
    <row r="3487" customFormat="false" ht="15" hidden="false" customHeight="false" outlineLevel="0" collapsed="false">
      <c r="A3487" s="22" t="n">
        <v>54</v>
      </c>
      <c r="B3487" s="23" t="n">
        <v>45845</v>
      </c>
      <c r="C3487" s="22" t="s">
        <v>225</v>
      </c>
      <c r="D3487" s="24" t="n">
        <v>47</v>
      </c>
    </row>
    <row r="3488" customFormat="false" ht="15" hidden="false" customHeight="false" outlineLevel="0" collapsed="false">
      <c r="A3488" s="22" t="n">
        <v>55</v>
      </c>
      <c r="B3488" s="23" t="n">
        <v>45852</v>
      </c>
      <c r="C3488" s="22" t="s">
        <v>225</v>
      </c>
      <c r="D3488" s="24" t="n">
        <v>39</v>
      </c>
    </row>
    <row r="3489" customFormat="false" ht="15" hidden="false" customHeight="false" outlineLevel="0" collapsed="false">
      <c r="A3489" s="22" t="n">
        <v>56</v>
      </c>
      <c r="B3489" s="23" t="n">
        <v>45859</v>
      </c>
      <c r="C3489" s="22" t="s">
        <v>225</v>
      </c>
      <c r="D3489" s="24" t="n">
        <v>47</v>
      </c>
    </row>
    <row r="3490" customFormat="false" ht="15" hidden="false" customHeight="false" outlineLevel="0" collapsed="false">
      <c r="A3490" s="22" t="n">
        <v>57</v>
      </c>
      <c r="B3490" s="23" t="n">
        <v>45866</v>
      </c>
      <c r="C3490" s="22" t="s">
        <v>225</v>
      </c>
      <c r="D3490" s="24" t="n">
        <v>41</v>
      </c>
    </row>
    <row r="3491" customFormat="false" ht="15" hidden="false" customHeight="false" outlineLevel="0" collapsed="false">
      <c r="A3491" s="22" t="n">
        <v>58</v>
      </c>
      <c r="B3491" s="23" t="n">
        <v>45873</v>
      </c>
      <c r="C3491" s="22" t="s">
        <v>225</v>
      </c>
      <c r="D3491" s="24" t="n">
        <v>47</v>
      </c>
    </row>
    <row r="3492" customFormat="false" ht="15" hidden="false" customHeight="false" outlineLevel="0" collapsed="false">
      <c r="A3492" s="22" t="n">
        <v>59</v>
      </c>
      <c r="B3492" s="23" t="n">
        <v>45880</v>
      </c>
      <c r="C3492" s="22" t="s">
        <v>225</v>
      </c>
      <c r="D3492" s="24" t="n">
        <v>41</v>
      </c>
    </row>
    <row r="3493" customFormat="false" ht="15" hidden="false" customHeight="false" outlineLevel="0" collapsed="false">
      <c r="A3493" s="22" t="n">
        <v>60</v>
      </c>
      <c r="B3493" s="23" t="n">
        <v>45887</v>
      </c>
      <c r="C3493" s="22" t="s">
        <v>225</v>
      </c>
      <c r="D3493" s="24" t="n">
        <v>34</v>
      </c>
    </row>
    <row r="3494" customFormat="false" ht="15" hidden="false" customHeight="false" outlineLevel="0" collapsed="false">
      <c r="A3494" s="22" t="n">
        <v>61</v>
      </c>
      <c r="B3494" s="23" t="n">
        <v>45894</v>
      </c>
      <c r="C3494" s="22" t="s">
        <v>225</v>
      </c>
      <c r="D3494" s="24" t="n">
        <v>42</v>
      </c>
    </row>
    <row r="3495" customFormat="false" ht="15" hidden="false" customHeight="false" outlineLevel="0" collapsed="false">
      <c r="A3495" s="22" t="n">
        <v>62</v>
      </c>
      <c r="B3495" s="23" t="n">
        <v>45901</v>
      </c>
      <c r="C3495" s="22" t="s">
        <v>225</v>
      </c>
      <c r="D3495" s="24" t="n">
        <v>40</v>
      </c>
    </row>
    <row r="3496" customFormat="false" ht="15" hidden="false" customHeight="false" outlineLevel="0" collapsed="false">
      <c r="A3496" s="22" t="n">
        <v>63</v>
      </c>
      <c r="B3496" s="23" t="n">
        <v>45908</v>
      </c>
      <c r="C3496" s="22" t="s">
        <v>225</v>
      </c>
      <c r="D3496" s="24" t="n">
        <v>46</v>
      </c>
    </row>
    <row r="3497" customFormat="false" ht="15" hidden="false" customHeight="false" outlineLevel="0" collapsed="false">
      <c r="A3497" s="22" t="n">
        <v>64</v>
      </c>
      <c r="B3497" s="23" t="n">
        <v>45915</v>
      </c>
      <c r="C3497" s="22" t="s">
        <v>225</v>
      </c>
      <c r="D3497" s="24" t="n">
        <v>39</v>
      </c>
    </row>
    <row r="3498" customFormat="false" ht="15" hidden="false" customHeight="false" outlineLevel="0" collapsed="false">
      <c r="A3498" s="22" t="n">
        <v>65</v>
      </c>
      <c r="B3498" s="23" t="n">
        <v>45922</v>
      </c>
      <c r="C3498" s="22" t="s">
        <v>225</v>
      </c>
      <c r="D3498" s="24" t="n">
        <v>39</v>
      </c>
    </row>
    <row r="3499" customFormat="false" ht="15" hidden="false" customHeight="false" outlineLevel="0" collapsed="false">
      <c r="A3499" s="22" t="n">
        <v>66</v>
      </c>
      <c r="B3499" s="23" t="n">
        <v>45929</v>
      </c>
      <c r="C3499" s="22" t="s">
        <v>225</v>
      </c>
      <c r="D3499" s="24" t="n">
        <v>46</v>
      </c>
    </row>
    <row r="3500" customFormat="false" ht="15" hidden="false" customHeight="false" outlineLevel="0" collapsed="false">
      <c r="A3500" s="22" t="n">
        <v>67</v>
      </c>
      <c r="B3500" s="23" t="n">
        <v>45936</v>
      </c>
      <c r="C3500" s="22" t="s">
        <v>225</v>
      </c>
      <c r="D3500" s="24" t="n">
        <v>47</v>
      </c>
    </row>
    <row r="3501" customFormat="false" ht="15" hidden="false" customHeight="false" outlineLevel="0" collapsed="false">
      <c r="A3501" s="22" t="n">
        <v>68</v>
      </c>
      <c r="B3501" s="23" t="n">
        <v>45943</v>
      </c>
      <c r="C3501" s="22" t="s">
        <v>225</v>
      </c>
      <c r="D3501" s="24" t="n">
        <v>45</v>
      </c>
    </row>
    <row r="3502" customFormat="false" ht="15" hidden="false" customHeight="false" outlineLevel="0" collapsed="false">
      <c r="A3502" s="22" t="n">
        <v>69</v>
      </c>
      <c r="B3502" s="23" t="n">
        <v>45950</v>
      </c>
      <c r="C3502" s="22" t="s">
        <v>225</v>
      </c>
      <c r="D3502" s="24" t="n">
        <v>46</v>
      </c>
    </row>
    <row r="3503" customFormat="false" ht="15" hidden="false" customHeight="false" outlineLevel="0" collapsed="false">
      <c r="A3503" s="22" t="n">
        <v>70</v>
      </c>
      <c r="B3503" s="23" t="n">
        <v>45957</v>
      </c>
      <c r="C3503" s="22" t="s">
        <v>225</v>
      </c>
      <c r="D3503" s="24" t="n">
        <v>42</v>
      </c>
    </row>
    <row r="3504" customFormat="false" ht="15" hidden="false" customHeight="false" outlineLevel="0" collapsed="false">
      <c r="A3504" s="22" t="n">
        <v>71</v>
      </c>
      <c r="B3504" s="23" t="n">
        <v>45964</v>
      </c>
      <c r="C3504" s="22" t="s">
        <v>225</v>
      </c>
      <c r="D3504" s="24" t="n">
        <v>44</v>
      </c>
    </row>
    <row r="3505" customFormat="false" ht="15" hidden="false" customHeight="false" outlineLevel="0" collapsed="false">
      <c r="A3505" s="22" t="n">
        <v>72</v>
      </c>
      <c r="B3505" s="23" t="n">
        <v>45971</v>
      </c>
      <c r="C3505" s="22" t="s">
        <v>225</v>
      </c>
      <c r="D3505" s="24" t="n">
        <v>44</v>
      </c>
    </row>
    <row r="3506" customFormat="false" ht="15" hidden="false" customHeight="false" outlineLevel="0" collapsed="false">
      <c r="A3506" s="22" t="n">
        <v>73</v>
      </c>
      <c r="B3506" s="23" t="n">
        <v>45978</v>
      </c>
      <c r="C3506" s="22" t="s">
        <v>225</v>
      </c>
      <c r="D3506" s="24" t="n">
        <v>41</v>
      </c>
    </row>
    <row r="3507" customFormat="false" ht="15" hidden="false" customHeight="false" outlineLevel="0" collapsed="false">
      <c r="A3507" s="22" t="n">
        <v>74</v>
      </c>
      <c r="B3507" s="23" t="n">
        <v>45985</v>
      </c>
      <c r="C3507" s="22" t="s">
        <v>225</v>
      </c>
      <c r="D3507" s="24" t="n">
        <v>39</v>
      </c>
    </row>
    <row r="3508" customFormat="false" ht="15" hidden="false" customHeight="false" outlineLevel="0" collapsed="false">
      <c r="A3508" s="22" t="n">
        <v>75</v>
      </c>
      <c r="B3508" s="23" t="n">
        <v>45992</v>
      </c>
      <c r="C3508" s="22" t="s">
        <v>225</v>
      </c>
      <c r="D3508" s="24" t="n">
        <v>39</v>
      </c>
    </row>
    <row r="3509" customFormat="false" ht="15" hidden="false" customHeight="false" outlineLevel="0" collapsed="false">
      <c r="A3509" s="22" t="n">
        <v>76</v>
      </c>
      <c r="B3509" s="23" t="n">
        <v>45999</v>
      </c>
      <c r="C3509" s="22" t="s">
        <v>225</v>
      </c>
      <c r="D3509" s="24" t="n">
        <v>51</v>
      </c>
    </row>
    <row r="3510" customFormat="false" ht="15" hidden="false" customHeight="false" outlineLevel="0" collapsed="false">
      <c r="A3510" s="22" t="n">
        <v>77</v>
      </c>
      <c r="B3510" s="23" t="n">
        <v>46006</v>
      </c>
      <c r="C3510" s="22" t="s">
        <v>225</v>
      </c>
      <c r="D3510" s="24" t="n">
        <v>38</v>
      </c>
    </row>
    <row r="3511" customFormat="false" ht="15" hidden="false" customHeight="false" outlineLevel="0" collapsed="false">
      <c r="A3511" s="22" t="n">
        <v>78</v>
      </c>
      <c r="B3511" s="23" t="n">
        <v>46013</v>
      </c>
      <c r="C3511" s="22" t="s">
        <v>225</v>
      </c>
      <c r="D3511" s="24" t="n">
        <v>36</v>
      </c>
    </row>
    <row r="3512" customFormat="false" ht="15" hidden="false" customHeight="false" outlineLevel="0" collapsed="false">
      <c r="A3512" s="22" t="n">
        <v>79</v>
      </c>
      <c r="B3512" s="23" t="n">
        <v>46020</v>
      </c>
      <c r="C3512" s="22" t="s">
        <v>225</v>
      </c>
      <c r="D3512" s="24" t="n">
        <v>35</v>
      </c>
    </row>
    <row r="3513" customFormat="false" ht="15" hidden="false" customHeight="false" outlineLevel="0" collapsed="false">
      <c r="A3513" s="22" t="n">
        <v>80</v>
      </c>
      <c r="B3513" s="23" t="n">
        <v>46027</v>
      </c>
      <c r="C3513" s="22" t="s">
        <v>225</v>
      </c>
      <c r="D3513" s="24" t="n">
        <v>36</v>
      </c>
    </row>
    <row r="3514" customFormat="false" ht="15" hidden="false" customHeight="false" outlineLevel="0" collapsed="false">
      <c r="A3514" s="22" t="n">
        <v>81</v>
      </c>
      <c r="B3514" s="23" t="n">
        <v>46034</v>
      </c>
      <c r="C3514" s="22" t="s">
        <v>225</v>
      </c>
      <c r="D3514" s="24" t="n">
        <v>38</v>
      </c>
    </row>
    <row r="3515" customFormat="false" ht="15" hidden="false" customHeight="false" outlineLevel="0" collapsed="false">
      <c r="A3515" s="22" t="n">
        <v>82</v>
      </c>
      <c r="B3515" s="23" t="n">
        <v>46041</v>
      </c>
      <c r="C3515" s="22" t="s">
        <v>225</v>
      </c>
      <c r="D3515" s="24" t="n">
        <v>30</v>
      </c>
    </row>
    <row r="3516" customFormat="false" ht="15" hidden="false" customHeight="false" outlineLevel="0" collapsed="false">
      <c r="A3516" s="22" t="n">
        <v>83</v>
      </c>
      <c r="B3516" s="23" t="n">
        <v>46048</v>
      </c>
      <c r="C3516" s="22" t="s">
        <v>225</v>
      </c>
      <c r="D3516" s="24" t="n">
        <v>26</v>
      </c>
    </row>
    <row r="3517" customFormat="false" ht="15" hidden="false" customHeight="false" outlineLevel="0" collapsed="false">
      <c r="A3517" s="22" t="n">
        <v>84</v>
      </c>
      <c r="B3517" s="23" t="n">
        <v>46055</v>
      </c>
      <c r="C3517" s="22" t="s">
        <v>225</v>
      </c>
      <c r="D3517" s="24" t="n">
        <v>37</v>
      </c>
    </row>
    <row r="3518" customFormat="false" ht="15" hidden="false" customHeight="false" outlineLevel="0" collapsed="false">
      <c r="A3518" s="22" t="n">
        <v>85</v>
      </c>
      <c r="B3518" s="23" t="n">
        <v>46062</v>
      </c>
      <c r="C3518" s="22" t="s">
        <v>225</v>
      </c>
      <c r="D3518" s="24" t="n">
        <v>27</v>
      </c>
    </row>
    <row r="3519" customFormat="false" ht="15" hidden="false" customHeight="false" outlineLevel="0" collapsed="false">
      <c r="A3519" s="22" t="n">
        <v>86</v>
      </c>
      <c r="B3519" s="23" t="n">
        <v>46069</v>
      </c>
      <c r="C3519" s="22" t="s">
        <v>225</v>
      </c>
      <c r="D3519" s="24" t="n">
        <v>36</v>
      </c>
    </row>
    <row r="3520" customFormat="false" ht="15" hidden="false" customHeight="false" outlineLevel="0" collapsed="false">
      <c r="A3520" s="22" t="n">
        <v>87</v>
      </c>
      <c r="B3520" s="23" t="n">
        <v>46076</v>
      </c>
      <c r="C3520" s="22" t="s">
        <v>225</v>
      </c>
      <c r="D3520" s="24" t="n">
        <v>35</v>
      </c>
    </row>
    <row r="3521" customFormat="false" ht="15" hidden="false" customHeight="false" outlineLevel="0" collapsed="false">
      <c r="A3521" s="22" t="n">
        <v>88</v>
      </c>
      <c r="B3521" s="23" t="n">
        <v>46083</v>
      </c>
      <c r="C3521" s="22" t="s">
        <v>225</v>
      </c>
      <c r="D3521" s="24" t="n">
        <v>40</v>
      </c>
    </row>
    <row r="3522" customFormat="false" ht="15" hidden="false" customHeight="false" outlineLevel="0" collapsed="false">
      <c r="A3522" s="22" t="n">
        <v>89</v>
      </c>
      <c r="B3522" s="23" t="n">
        <v>46090</v>
      </c>
      <c r="C3522" s="22" t="s">
        <v>225</v>
      </c>
      <c r="D3522" s="24" t="n">
        <v>42</v>
      </c>
    </row>
    <row r="3523" customFormat="false" ht="15" hidden="false" customHeight="false" outlineLevel="0" collapsed="false">
      <c r="A3523" s="22" t="n">
        <v>90</v>
      </c>
      <c r="B3523" s="23" t="n">
        <v>46097</v>
      </c>
      <c r="C3523" s="22" t="s">
        <v>225</v>
      </c>
      <c r="D3523" s="24" t="n">
        <v>35</v>
      </c>
    </row>
    <row r="3524" customFormat="false" ht="15" hidden="false" customHeight="false" outlineLevel="0" collapsed="false">
      <c r="A3524" s="22" t="n">
        <v>91</v>
      </c>
      <c r="B3524" s="23" t="n">
        <v>46104</v>
      </c>
      <c r="C3524" s="22" t="s">
        <v>225</v>
      </c>
      <c r="D3524" s="24" t="n">
        <v>31</v>
      </c>
    </row>
    <row r="3525" customFormat="false" ht="15" hidden="false" customHeight="false" outlineLevel="0" collapsed="false">
      <c r="A3525" s="22" t="n">
        <v>92</v>
      </c>
      <c r="B3525" s="23" t="n">
        <v>46111</v>
      </c>
      <c r="C3525" s="22" t="s">
        <v>225</v>
      </c>
      <c r="D3525" s="24" t="n">
        <v>28</v>
      </c>
    </row>
    <row r="3526" customFormat="false" ht="15" hidden="false" customHeight="false" outlineLevel="0" collapsed="false">
      <c r="A3526" s="22" t="n">
        <v>93</v>
      </c>
      <c r="B3526" s="23" t="n">
        <v>46118</v>
      </c>
      <c r="C3526" s="22" t="s">
        <v>225</v>
      </c>
      <c r="D3526" s="24" t="n">
        <v>29</v>
      </c>
    </row>
    <row r="3527" customFormat="false" ht="15" hidden="false" customHeight="false" outlineLevel="0" collapsed="false">
      <c r="A3527" s="22" t="n">
        <v>94</v>
      </c>
      <c r="B3527" s="23" t="n">
        <v>46125</v>
      </c>
      <c r="C3527" s="22" t="s">
        <v>225</v>
      </c>
      <c r="D3527" s="24" t="n">
        <v>32</v>
      </c>
    </row>
    <row r="3528" customFormat="false" ht="15" hidden="false" customHeight="false" outlineLevel="0" collapsed="false">
      <c r="A3528" s="22" t="n">
        <v>95</v>
      </c>
      <c r="B3528" s="23" t="n">
        <v>46132</v>
      </c>
      <c r="C3528" s="22" t="s">
        <v>225</v>
      </c>
      <c r="D3528" s="24" t="n">
        <v>23</v>
      </c>
    </row>
    <row r="3529" customFormat="false" ht="15" hidden="false" customHeight="false" outlineLevel="0" collapsed="false">
      <c r="A3529" s="22" t="n">
        <v>96</v>
      </c>
      <c r="B3529" s="23" t="n">
        <v>46139</v>
      </c>
      <c r="C3529" s="22" t="s">
        <v>225</v>
      </c>
      <c r="D3529" s="24" t="n">
        <v>32</v>
      </c>
    </row>
    <row r="3530" customFormat="false" ht="15" hidden="false" customHeight="false" outlineLevel="0" collapsed="false">
      <c r="A3530" s="22" t="n">
        <v>97</v>
      </c>
      <c r="B3530" s="23" t="n">
        <v>46146</v>
      </c>
      <c r="C3530" s="22" t="s">
        <v>225</v>
      </c>
      <c r="D3530" s="24" t="n">
        <v>31</v>
      </c>
    </row>
    <row r="3531" customFormat="false" ht="15" hidden="false" customHeight="false" outlineLevel="0" collapsed="false">
      <c r="A3531" s="22" t="n">
        <v>98</v>
      </c>
      <c r="B3531" s="23" t="n">
        <v>46153</v>
      </c>
      <c r="C3531" s="22" t="s">
        <v>225</v>
      </c>
      <c r="D3531" s="24" t="n">
        <v>34</v>
      </c>
    </row>
    <row r="3532" customFormat="false" ht="15" hidden="false" customHeight="false" outlineLevel="0" collapsed="false">
      <c r="A3532" s="22" t="n">
        <v>99</v>
      </c>
      <c r="B3532" s="23" t="n">
        <v>46160</v>
      </c>
      <c r="C3532" s="22" t="s">
        <v>225</v>
      </c>
      <c r="D3532" s="24" t="n">
        <v>29</v>
      </c>
    </row>
    <row r="3533" customFormat="false" ht="15" hidden="false" customHeight="false" outlineLevel="0" collapsed="false">
      <c r="A3533" s="22" t="n">
        <v>100</v>
      </c>
      <c r="B3533" s="23" t="n">
        <v>46167</v>
      </c>
      <c r="C3533" s="22" t="s">
        <v>225</v>
      </c>
      <c r="D3533" s="24" t="n">
        <v>31</v>
      </c>
    </row>
    <row r="3534" customFormat="false" ht="15" hidden="false" customHeight="false" outlineLevel="0" collapsed="false">
      <c r="A3534" s="22" t="n">
        <v>101</v>
      </c>
      <c r="B3534" s="23" t="n">
        <v>46174</v>
      </c>
      <c r="C3534" s="22" t="s">
        <v>225</v>
      </c>
      <c r="D3534" s="24" t="n">
        <v>27</v>
      </c>
    </row>
    <row r="3535" customFormat="false" ht="15" hidden="false" customHeight="false" outlineLevel="0" collapsed="false">
      <c r="A3535" s="22" t="n">
        <v>102</v>
      </c>
      <c r="B3535" s="23" t="n">
        <v>46181</v>
      </c>
      <c r="C3535" s="22" t="s">
        <v>225</v>
      </c>
      <c r="D3535" s="24" t="n">
        <v>28</v>
      </c>
    </row>
    <row r="3536" customFormat="false" ht="15" hidden="false" customHeight="false" outlineLevel="0" collapsed="false">
      <c r="A3536" s="22" t="n">
        <v>103</v>
      </c>
      <c r="B3536" s="23" t="n">
        <v>46188</v>
      </c>
      <c r="C3536" s="22" t="s">
        <v>225</v>
      </c>
      <c r="D3536" s="24" t="n">
        <v>22</v>
      </c>
    </row>
    <row r="3537" customFormat="false" ht="15" hidden="false" customHeight="false" outlineLevel="0" collapsed="false">
      <c r="A3537" s="22" t="n">
        <v>104</v>
      </c>
      <c r="B3537" s="23" t="n">
        <v>46195</v>
      </c>
      <c r="C3537" s="22" t="s">
        <v>225</v>
      </c>
      <c r="D3537" s="24" t="n">
        <v>30</v>
      </c>
    </row>
    <row r="3538" customFormat="false" ht="15" hidden="false" customHeight="false" outlineLevel="0" collapsed="false">
      <c r="A3538" s="22" t="n">
        <v>1</v>
      </c>
      <c r="B3538" s="23" t="n">
        <v>45474</v>
      </c>
      <c r="C3538" s="22" t="s">
        <v>227</v>
      </c>
      <c r="D3538" s="24" t="n">
        <v>61</v>
      </c>
    </row>
    <row r="3539" customFormat="false" ht="15" hidden="false" customHeight="false" outlineLevel="0" collapsed="false">
      <c r="A3539" s="22" t="n">
        <v>2</v>
      </c>
      <c r="B3539" s="23" t="n">
        <v>45481</v>
      </c>
      <c r="C3539" s="22" t="s">
        <v>227</v>
      </c>
      <c r="D3539" s="24" t="n">
        <v>63</v>
      </c>
    </row>
    <row r="3540" customFormat="false" ht="15" hidden="false" customHeight="false" outlineLevel="0" collapsed="false">
      <c r="A3540" s="22" t="n">
        <v>3</v>
      </c>
      <c r="B3540" s="23" t="n">
        <v>45488</v>
      </c>
      <c r="C3540" s="22" t="s">
        <v>227</v>
      </c>
      <c r="D3540" s="24" t="n">
        <v>52</v>
      </c>
    </row>
    <row r="3541" customFormat="false" ht="15" hidden="false" customHeight="false" outlineLevel="0" collapsed="false">
      <c r="A3541" s="22" t="n">
        <v>4</v>
      </c>
      <c r="B3541" s="23" t="n">
        <v>45495</v>
      </c>
      <c r="C3541" s="22" t="s">
        <v>227</v>
      </c>
      <c r="D3541" s="24" t="n">
        <v>72</v>
      </c>
    </row>
    <row r="3542" customFormat="false" ht="15" hidden="false" customHeight="false" outlineLevel="0" collapsed="false">
      <c r="A3542" s="22" t="n">
        <v>5</v>
      </c>
      <c r="B3542" s="23" t="n">
        <v>45502</v>
      </c>
      <c r="C3542" s="22" t="s">
        <v>227</v>
      </c>
      <c r="D3542" s="24" t="n">
        <v>54</v>
      </c>
    </row>
    <row r="3543" customFormat="false" ht="15" hidden="false" customHeight="false" outlineLevel="0" collapsed="false">
      <c r="A3543" s="22" t="n">
        <v>6</v>
      </c>
      <c r="B3543" s="23" t="n">
        <v>45509</v>
      </c>
      <c r="C3543" s="22" t="s">
        <v>227</v>
      </c>
      <c r="D3543" s="24" t="n">
        <v>67</v>
      </c>
    </row>
    <row r="3544" customFormat="false" ht="15" hidden="false" customHeight="false" outlineLevel="0" collapsed="false">
      <c r="A3544" s="22" t="n">
        <v>7</v>
      </c>
      <c r="B3544" s="23" t="n">
        <v>45516</v>
      </c>
      <c r="C3544" s="22" t="s">
        <v>227</v>
      </c>
      <c r="D3544" s="24" t="n">
        <v>61</v>
      </c>
    </row>
    <row r="3545" customFormat="false" ht="15" hidden="false" customHeight="false" outlineLevel="0" collapsed="false">
      <c r="A3545" s="22" t="n">
        <v>8</v>
      </c>
      <c r="B3545" s="23" t="n">
        <v>45523</v>
      </c>
      <c r="C3545" s="22" t="s">
        <v>227</v>
      </c>
      <c r="D3545" s="24" t="n">
        <v>52</v>
      </c>
    </row>
    <row r="3546" customFormat="false" ht="15" hidden="false" customHeight="false" outlineLevel="0" collapsed="false">
      <c r="A3546" s="22" t="n">
        <v>9</v>
      </c>
      <c r="B3546" s="23" t="n">
        <v>45530</v>
      </c>
      <c r="C3546" s="22" t="s">
        <v>227</v>
      </c>
      <c r="D3546" s="24" t="n">
        <v>68</v>
      </c>
    </row>
    <row r="3547" customFormat="false" ht="15" hidden="false" customHeight="false" outlineLevel="0" collapsed="false">
      <c r="A3547" s="22" t="n">
        <v>10</v>
      </c>
      <c r="B3547" s="23" t="n">
        <v>45537</v>
      </c>
      <c r="C3547" s="22" t="s">
        <v>227</v>
      </c>
      <c r="D3547" s="24" t="n">
        <v>60</v>
      </c>
    </row>
    <row r="3548" customFormat="false" ht="15" hidden="false" customHeight="false" outlineLevel="0" collapsed="false">
      <c r="A3548" s="22" t="n">
        <v>11</v>
      </c>
      <c r="B3548" s="23" t="n">
        <v>45544</v>
      </c>
      <c r="C3548" s="22" t="s">
        <v>227</v>
      </c>
      <c r="D3548" s="24" t="n">
        <v>61</v>
      </c>
    </row>
    <row r="3549" customFormat="false" ht="15" hidden="false" customHeight="false" outlineLevel="0" collapsed="false">
      <c r="A3549" s="22" t="n">
        <v>12</v>
      </c>
      <c r="B3549" s="23" t="n">
        <v>45551</v>
      </c>
      <c r="C3549" s="22" t="s">
        <v>227</v>
      </c>
      <c r="D3549" s="24" t="n">
        <v>64</v>
      </c>
    </row>
    <row r="3550" customFormat="false" ht="15" hidden="false" customHeight="false" outlineLevel="0" collapsed="false">
      <c r="A3550" s="22" t="n">
        <v>13</v>
      </c>
      <c r="B3550" s="23" t="n">
        <v>45558</v>
      </c>
      <c r="C3550" s="22" t="s">
        <v>227</v>
      </c>
      <c r="D3550" s="24" t="n">
        <v>60</v>
      </c>
    </row>
    <row r="3551" customFormat="false" ht="15" hidden="false" customHeight="false" outlineLevel="0" collapsed="false">
      <c r="A3551" s="22" t="n">
        <v>14</v>
      </c>
      <c r="B3551" s="23" t="n">
        <v>45565</v>
      </c>
      <c r="C3551" s="22" t="s">
        <v>227</v>
      </c>
      <c r="D3551" s="24" t="n">
        <v>57</v>
      </c>
    </row>
    <row r="3552" customFormat="false" ht="15" hidden="false" customHeight="false" outlineLevel="0" collapsed="false">
      <c r="A3552" s="22" t="n">
        <v>15</v>
      </c>
      <c r="B3552" s="23" t="n">
        <v>45572</v>
      </c>
      <c r="C3552" s="22" t="s">
        <v>227</v>
      </c>
      <c r="D3552" s="24" t="n">
        <v>64</v>
      </c>
    </row>
    <row r="3553" customFormat="false" ht="15" hidden="false" customHeight="false" outlineLevel="0" collapsed="false">
      <c r="A3553" s="22" t="n">
        <v>16</v>
      </c>
      <c r="B3553" s="23" t="n">
        <v>45579</v>
      </c>
      <c r="C3553" s="22" t="s">
        <v>227</v>
      </c>
      <c r="D3553" s="24" t="n">
        <v>57</v>
      </c>
    </row>
    <row r="3554" customFormat="false" ht="15" hidden="false" customHeight="false" outlineLevel="0" collapsed="false">
      <c r="A3554" s="22" t="n">
        <v>17</v>
      </c>
      <c r="B3554" s="23" t="n">
        <v>45586</v>
      </c>
      <c r="C3554" s="22" t="s">
        <v>227</v>
      </c>
      <c r="D3554" s="24" t="n">
        <v>61</v>
      </c>
    </row>
    <row r="3555" customFormat="false" ht="15" hidden="false" customHeight="false" outlineLevel="0" collapsed="false">
      <c r="A3555" s="22" t="n">
        <v>18</v>
      </c>
      <c r="B3555" s="23" t="n">
        <v>45593</v>
      </c>
      <c r="C3555" s="22" t="s">
        <v>227</v>
      </c>
      <c r="D3555" s="24" t="n">
        <v>55</v>
      </c>
    </row>
    <row r="3556" customFormat="false" ht="15" hidden="false" customHeight="false" outlineLevel="0" collapsed="false">
      <c r="A3556" s="22" t="n">
        <v>19</v>
      </c>
      <c r="B3556" s="23" t="n">
        <v>45600</v>
      </c>
      <c r="C3556" s="22" t="s">
        <v>227</v>
      </c>
      <c r="D3556" s="24" t="n">
        <v>48</v>
      </c>
    </row>
    <row r="3557" customFormat="false" ht="15" hidden="false" customHeight="false" outlineLevel="0" collapsed="false">
      <c r="A3557" s="22" t="n">
        <v>20</v>
      </c>
      <c r="B3557" s="23" t="n">
        <v>45607</v>
      </c>
      <c r="C3557" s="22" t="s">
        <v>227</v>
      </c>
      <c r="D3557" s="24" t="n">
        <v>55</v>
      </c>
    </row>
    <row r="3558" customFormat="false" ht="15" hidden="false" customHeight="false" outlineLevel="0" collapsed="false">
      <c r="A3558" s="22" t="n">
        <v>21</v>
      </c>
      <c r="B3558" s="23" t="n">
        <v>45614</v>
      </c>
      <c r="C3558" s="22" t="s">
        <v>227</v>
      </c>
      <c r="D3558" s="24" t="n">
        <v>56</v>
      </c>
    </row>
    <row r="3559" customFormat="false" ht="15" hidden="false" customHeight="false" outlineLevel="0" collapsed="false">
      <c r="A3559" s="22" t="n">
        <v>22</v>
      </c>
      <c r="B3559" s="23" t="n">
        <v>45621</v>
      </c>
      <c r="C3559" s="22" t="s">
        <v>227</v>
      </c>
      <c r="D3559" s="24" t="n">
        <v>60</v>
      </c>
    </row>
    <row r="3560" customFormat="false" ht="15" hidden="false" customHeight="false" outlineLevel="0" collapsed="false">
      <c r="A3560" s="22" t="n">
        <v>23</v>
      </c>
      <c r="B3560" s="23" t="n">
        <v>45628</v>
      </c>
      <c r="C3560" s="22" t="s">
        <v>227</v>
      </c>
      <c r="D3560" s="24" t="n">
        <v>70</v>
      </c>
    </row>
    <row r="3561" customFormat="false" ht="15" hidden="false" customHeight="false" outlineLevel="0" collapsed="false">
      <c r="A3561" s="22" t="n">
        <v>24</v>
      </c>
      <c r="B3561" s="23" t="n">
        <v>45635</v>
      </c>
      <c r="C3561" s="22" t="s">
        <v>227</v>
      </c>
      <c r="D3561" s="24" t="n">
        <v>46</v>
      </c>
    </row>
    <row r="3562" customFormat="false" ht="15" hidden="false" customHeight="false" outlineLevel="0" collapsed="false">
      <c r="A3562" s="22" t="n">
        <v>25</v>
      </c>
      <c r="B3562" s="23" t="n">
        <v>45642</v>
      </c>
      <c r="C3562" s="22" t="s">
        <v>227</v>
      </c>
      <c r="D3562" s="24" t="n">
        <v>61</v>
      </c>
    </row>
    <row r="3563" customFormat="false" ht="15" hidden="false" customHeight="false" outlineLevel="0" collapsed="false">
      <c r="A3563" s="22" t="n">
        <v>26</v>
      </c>
      <c r="B3563" s="23" t="n">
        <v>45649</v>
      </c>
      <c r="C3563" s="22" t="s">
        <v>227</v>
      </c>
      <c r="D3563" s="24" t="n">
        <v>42</v>
      </c>
    </row>
    <row r="3564" customFormat="false" ht="15" hidden="false" customHeight="false" outlineLevel="0" collapsed="false">
      <c r="A3564" s="22" t="n">
        <v>27</v>
      </c>
      <c r="B3564" s="23" t="n">
        <v>45656</v>
      </c>
      <c r="C3564" s="22" t="s">
        <v>227</v>
      </c>
      <c r="D3564" s="24" t="n">
        <v>51</v>
      </c>
    </row>
    <row r="3565" customFormat="false" ht="15" hidden="false" customHeight="false" outlineLevel="0" collapsed="false">
      <c r="A3565" s="22" t="n">
        <v>28</v>
      </c>
      <c r="B3565" s="23" t="n">
        <v>45663</v>
      </c>
      <c r="C3565" s="22" t="s">
        <v>227</v>
      </c>
      <c r="D3565" s="24" t="n">
        <v>56</v>
      </c>
    </row>
    <row r="3566" customFormat="false" ht="15" hidden="false" customHeight="false" outlineLevel="0" collapsed="false">
      <c r="A3566" s="22" t="n">
        <v>29</v>
      </c>
      <c r="B3566" s="23" t="n">
        <v>45670</v>
      </c>
      <c r="C3566" s="22" t="s">
        <v>227</v>
      </c>
      <c r="D3566" s="24" t="n">
        <v>42</v>
      </c>
    </row>
    <row r="3567" customFormat="false" ht="15" hidden="false" customHeight="false" outlineLevel="0" collapsed="false">
      <c r="A3567" s="22" t="n">
        <v>30</v>
      </c>
      <c r="B3567" s="23" t="n">
        <v>45677</v>
      </c>
      <c r="C3567" s="22" t="s">
        <v>227</v>
      </c>
      <c r="D3567" s="24" t="n">
        <v>45</v>
      </c>
    </row>
    <row r="3568" customFormat="false" ht="15" hidden="false" customHeight="false" outlineLevel="0" collapsed="false">
      <c r="A3568" s="22" t="n">
        <v>31</v>
      </c>
      <c r="B3568" s="23" t="n">
        <v>45684</v>
      </c>
      <c r="C3568" s="22" t="s">
        <v>227</v>
      </c>
      <c r="D3568" s="24" t="n">
        <v>61</v>
      </c>
    </row>
    <row r="3569" customFormat="false" ht="15" hidden="false" customHeight="false" outlineLevel="0" collapsed="false">
      <c r="A3569" s="22" t="n">
        <v>32</v>
      </c>
      <c r="B3569" s="23" t="n">
        <v>45691</v>
      </c>
      <c r="C3569" s="22" t="s">
        <v>227</v>
      </c>
      <c r="D3569" s="24" t="n">
        <v>61</v>
      </c>
    </row>
    <row r="3570" customFormat="false" ht="15" hidden="false" customHeight="false" outlineLevel="0" collapsed="false">
      <c r="A3570" s="22" t="n">
        <v>33</v>
      </c>
      <c r="B3570" s="23" t="n">
        <v>45698</v>
      </c>
      <c r="C3570" s="22" t="s">
        <v>227</v>
      </c>
      <c r="D3570" s="24" t="n">
        <v>59</v>
      </c>
    </row>
    <row r="3571" customFormat="false" ht="15" hidden="false" customHeight="false" outlineLevel="0" collapsed="false">
      <c r="A3571" s="22" t="n">
        <v>34</v>
      </c>
      <c r="B3571" s="23" t="n">
        <v>45705</v>
      </c>
      <c r="C3571" s="22" t="s">
        <v>227</v>
      </c>
      <c r="D3571" s="24" t="n">
        <v>53</v>
      </c>
    </row>
    <row r="3572" customFormat="false" ht="15" hidden="false" customHeight="false" outlineLevel="0" collapsed="false">
      <c r="A3572" s="22" t="n">
        <v>35</v>
      </c>
      <c r="B3572" s="23" t="n">
        <v>45712</v>
      </c>
      <c r="C3572" s="22" t="s">
        <v>227</v>
      </c>
      <c r="D3572" s="24" t="n">
        <v>78</v>
      </c>
    </row>
    <row r="3573" customFormat="false" ht="15" hidden="false" customHeight="false" outlineLevel="0" collapsed="false">
      <c r="A3573" s="22" t="n">
        <v>36</v>
      </c>
      <c r="B3573" s="23" t="n">
        <v>45719</v>
      </c>
      <c r="C3573" s="22" t="s">
        <v>227</v>
      </c>
      <c r="D3573" s="24" t="n">
        <v>59</v>
      </c>
    </row>
    <row r="3574" customFormat="false" ht="15" hidden="false" customHeight="false" outlineLevel="0" collapsed="false">
      <c r="A3574" s="22" t="n">
        <v>37</v>
      </c>
      <c r="B3574" s="23" t="n">
        <v>45726</v>
      </c>
      <c r="C3574" s="22" t="s">
        <v>227</v>
      </c>
      <c r="D3574" s="24" t="n">
        <v>53</v>
      </c>
    </row>
    <row r="3575" customFormat="false" ht="15" hidden="false" customHeight="false" outlineLevel="0" collapsed="false">
      <c r="A3575" s="22" t="n">
        <v>38</v>
      </c>
      <c r="B3575" s="23" t="n">
        <v>45733</v>
      </c>
      <c r="C3575" s="22" t="s">
        <v>227</v>
      </c>
      <c r="D3575" s="24" t="n">
        <v>74</v>
      </c>
    </row>
    <row r="3576" customFormat="false" ht="15" hidden="false" customHeight="false" outlineLevel="0" collapsed="false">
      <c r="A3576" s="22" t="n">
        <v>39</v>
      </c>
      <c r="B3576" s="23" t="n">
        <v>45740</v>
      </c>
      <c r="C3576" s="22" t="s">
        <v>227</v>
      </c>
      <c r="D3576" s="24" t="n">
        <v>65</v>
      </c>
    </row>
    <row r="3577" customFormat="false" ht="15" hidden="false" customHeight="false" outlineLevel="0" collapsed="false">
      <c r="A3577" s="22" t="n">
        <v>40</v>
      </c>
      <c r="B3577" s="23" t="n">
        <v>45747</v>
      </c>
      <c r="C3577" s="22" t="s">
        <v>227</v>
      </c>
      <c r="D3577" s="24" t="n">
        <v>57</v>
      </c>
    </row>
    <row r="3578" customFormat="false" ht="15" hidden="false" customHeight="false" outlineLevel="0" collapsed="false">
      <c r="A3578" s="22" t="n">
        <v>41</v>
      </c>
      <c r="B3578" s="23" t="n">
        <v>45754</v>
      </c>
      <c r="C3578" s="22" t="s">
        <v>227</v>
      </c>
      <c r="D3578" s="24" t="n">
        <v>70</v>
      </c>
    </row>
    <row r="3579" customFormat="false" ht="15" hidden="false" customHeight="false" outlineLevel="0" collapsed="false">
      <c r="A3579" s="22" t="n">
        <v>42</v>
      </c>
      <c r="B3579" s="23" t="n">
        <v>45761</v>
      </c>
      <c r="C3579" s="22" t="s">
        <v>227</v>
      </c>
      <c r="D3579" s="24" t="n">
        <v>61</v>
      </c>
    </row>
    <row r="3580" customFormat="false" ht="15" hidden="false" customHeight="false" outlineLevel="0" collapsed="false">
      <c r="A3580" s="22" t="n">
        <v>43</v>
      </c>
      <c r="B3580" s="23" t="n">
        <v>45768</v>
      </c>
      <c r="C3580" s="22" t="s">
        <v>227</v>
      </c>
      <c r="D3580" s="24" t="n">
        <v>65</v>
      </c>
    </row>
    <row r="3581" customFormat="false" ht="15" hidden="false" customHeight="false" outlineLevel="0" collapsed="false">
      <c r="A3581" s="22" t="n">
        <v>44</v>
      </c>
      <c r="B3581" s="23" t="n">
        <v>45775</v>
      </c>
      <c r="C3581" s="22" t="s">
        <v>227</v>
      </c>
      <c r="D3581" s="24" t="n">
        <v>62</v>
      </c>
    </row>
    <row r="3582" customFormat="false" ht="15" hidden="false" customHeight="false" outlineLevel="0" collapsed="false">
      <c r="A3582" s="22" t="n">
        <v>45</v>
      </c>
      <c r="B3582" s="23" t="n">
        <v>45782</v>
      </c>
      <c r="C3582" s="22" t="s">
        <v>227</v>
      </c>
      <c r="D3582" s="24" t="n">
        <v>52</v>
      </c>
    </row>
    <row r="3583" customFormat="false" ht="15" hidden="false" customHeight="false" outlineLevel="0" collapsed="false">
      <c r="A3583" s="22" t="n">
        <v>46</v>
      </c>
      <c r="B3583" s="23" t="n">
        <v>45789</v>
      </c>
      <c r="C3583" s="22" t="s">
        <v>227</v>
      </c>
      <c r="D3583" s="24" t="n">
        <v>68</v>
      </c>
    </row>
    <row r="3584" customFormat="false" ht="15" hidden="false" customHeight="false" outlineLevel="0" collapsed="false">
      <c r="A3584" s="22" t="n">
        <v>47</v>
      </c>
      <c r="B3584" s="23" t="n">
        <v>45796</v>
      </c>
      <c r="C3584" s="22" t="s">
        <v>227</v>
      </c>
      <c r="D3584" s="24" t="n">
        <v>61</v>
      </c>
    </row>
    <row r="3585" customFormat="false" ht="15" hidden="false" customHeight="false" outlineLevel="0" collapsed="false">
      <c r="A3585" s="22" t="n">
        <v>48</v>
      </c>
      <c r="B3585" s="23" t="n">
        <v>45803</v>
      </c>
      <c r="C3585" s="22" t="s">
        <v>227</v>
      </c>
      <c r="D3585" s="24" t="n">
        <v>52</v>
      </c>
    </row>
    <row r="3586" customFormat="false" ht="15" hidden="false" customHeight="false" outlineLevel="0" collapsed="false">
      <c r="A3586" s="22" t="n">
        <v>49</v>
      </c>
      <c r="B3586" s="23" t="n">
        <v>45810</v>
      </c>
      <c r="C3586" s="22" t="s">
        <v>227</v>
      </c>
      <c r="D3586" s="24" t="n">
        <v>54</v>
      </c>
    </row>
    <row r="3587" customFormat="false" ht="15" hidden="false" customHeight="false" outlineLevel="0" collapsed="false">
      <c r="A3587" s="22" t="n">
        <v>50</v>
      </c>
      <c r="B3587" s="23" t="n">
        <v>45817</v>
      </c>
      <c r="C3587" s="22" t="s">
        <v>227</v>
      </c>
      <c r="D3587" s="24" t="n">
        <v>68</v>
      </c>
    </row>
    <row r="3588" customFormat="false" ht="15" hidden="false" customHeight="false" outlineLevel="0" collapsed="false">
      <c r="A3588" s="22" t="n">
        <v>51</v>
      </c>
      <c r="B3588" s="23" t="n">
        <v>45824</v>
      </c>
      <c r="C3588" s="22" t="s">
        <v>227</v>
      </c>
      <c r="D3588" s="24" t="n">
        <v>57</v>
      </c>
    </row>
    <row r="3589" customFormat="false" ht="15" hidden="false" customHeight="false" outlineLevel="0" collapsed="false">
      <c r="A3589" s="22" t="n">
        <v>52</v>
      </c>
      <c r="B3589" s="23" t="n">
        <v>45831</v>
      </c>
      <c r="C3589" s="22" t="s">
        <v>227</v>
      </c>
      <c r="D3589" s="24" t="n">
        <v>60</v>
      </c>
    </row>
    <row r="3590" customFormat="false" ht="15" hidden="false" customHeight="false" outlineLevel="0" collapsed="false">
      <c r="A3590" s="22" t="n">
        <v>53</v>
      </c>
      <c r="B3590" s="23" t="n">
        <v>45838</v>
      </c>
      <c r="C3590" s="22" t="s">
        <v>227</v>
      </c>
      <c r="D3590" s="24" t="n">
        <v>65</v>
      </c>
    </row>
    <row r="3591" customFormat="false" ht="15" hidden="false" customHeight="false" outlineLevel="0" collapsed="false">
      <c r="A3591" s="22" t="n">
        <v>54</v>
      </c>
      <c r="B3591" s="23" t="n">
        <v>45845</v>
      </c>
      <c r="C3591" s="22" t="s">
        <v>227</v>
      </c>
      <c r="D3591" s="24" t="n">
        <v>61</v>
      </c>
    </row>
    <row r="3592" customFormat="false" ht="15" hidden="false" customHeight="false" outlineLevel="0" collapsed="false">
      <c r="A3592" s="22" t="n">
        <v>55</v>
      </c>
      <c r="B3592" s="23" t="n">
        <v>45852</v>
      </c>
      <c r="C3592" s="22" t="s">
        <v>227</v>
      </c>
      <c r="D3592" s="24" t="n">
        <v>48</v>
      </c>
    </row>
    <row r="3593" customFormat="false" ht="15" hidden="false" customHeight="false" outlineLevel="0" collapsed="false">
      <c r="A3593" s="22" t="n">
        <v>56</v>
      </c>
      <c r="B3593" s="23" t="n">
        <v>45859</v>
      </c>
      <c r="C3593" s="22" t="s">
        <v>227</v>
      </c>
      <c r="D3593" s="24" t="n">
        <v>65</v>
      </c>
    </row>
    <row r="3594" customFormat="false" ht="15" hidden="false" customHeight="false" outlineLevel="0" collapsed="false">
      <c r="A3594" s="22" t="n">
        <v>57</v>
      </c>
      <c r="B3594" s="23" t="n">
        <v>45866</v>
      </c>
      <c r="C3594" s="22" t="s">
        <v>227</v>
      </c>
      <c r="D3594" s="24" t="n">
        <v>68</v>
      </c>
    </row>
    <row r="3595" customFormat="false" ht="15" hidden="false" customHeight="false" outlineLevel="0" collapsed="false">
      <c r="A3595" s="22" t="n">
        <v>58</v>
      </c>
      <c r="B3595" s="23" t="n">
        <v>45873</v>
      </c>
      <c r="C3595" s="22" t="s">
        <v>227</v>
      </c>
      <c r="D3595" s="24" t="n">
        <v>67</v>
      </c>
    </row>
    <row r="3596" customFormat="false" ht="15" hidden="false" customHeight="false" outlineLevel="0" collapsed="false">
      <c r="A3596" s="22" t="n">
        <v>59</v>
      </c>
      <c r="B3596" s="23" t="n">
        <v>45880</v>
      </c>
      <c r="C3596" s="22" t="s">
        <v>227</v>
      </c>
      <c r="D3596" s="24" t="n">
        <v>73</v>
      </c>
    </row>
    <row r="3597" customFormat="false" ht="15" hidden="false" customHeight="false" outlineLevel="0" collapsed="false">
      <c r="A3597" s="22" t="n">
        <v>60</v>
      </c>
      <c r="B3597" s="23" t="n">
        <v>45887</v>
      </c>
      <c r="C3597" s="22" t="s">
        <v>227</v>
      </c>
      <c r="D3597" s="24" t="n">
        <v>63</v>
      </c>
    </row>
    <row r="3598" customFormat="false" ht="15" hidden="false" customHeight="false" outlineLevel="0" collapsed="false">
      <c r="A3598" s="22" t="n">
        <v>61</v>
      </c>
      <c r="B3598" s="23" t="n">
        <v>45894</v>
      </c>
      <c r="C3598" s="22" t="s">
        <v>227</v>
      </c>
      <c r="D3598" s="24" t="n">
        <v>66</v>
      </c>
    </row>
    <row r="3599" customFormat="false" ht="15" hidden="false" customHeight="false" outlineLevel="0" collapsed="false">
      <c r="A3599" s="22" t="n">
        <v>62</v>
      </c>
      <c r="B3599" s="23" t="n">
        <v>45901</v>
      </c>
      <c r="C3599" s="22" t="s">
        <v>227</v>
      </c>
      <c r="D3599" s="24" t="n">
        <v>73</v>
      </c>
    </row>
    <row r="3600" customFormat="false" ht="15" hidden="false" customHeight="false" outlineLevel="0" collapsed="false">
      <c r="A3600" s="22" t="n">
        <v>63</v>
      </c>
      <c r="B3600" s="23" t="n">
        <v>45908</v>
      </c>
      <c r="C3600" s="22" t="s">
        <v>227</v>
      </c>
      <c r="D3600" s="24" t="n">
        <v>58</v>
      </c>
    </row>
    <row r="3601" customFormat="false" ht="15" hidden="false" customHeight="false" outlineLevel="0" collapsed="false">
      <c r="A3601" s="22" t="n">
        <v>64</v>
      </c>
      <c r="B3601" s="23" t="n">
        <v>45915</v>
      </c>
      <c r="C3601" s="22" t="s">
        <v>227</v>
      </c>
      <c r="D3601" s="24" t="n">
        <v>74</v>
      </c>
    </row>
    <row r="3602" customFormat="false" ht="15" hidden="false" customHeight="false" outlineLevel="0" collapsed="false">
      <c r="A3602" s="22" t="n">
        <v>65</v>
      </c>
      <c r="B3602" s="23" t="n">
        <v>45922</v>
      </c>
      <c r="C3602" s="22" t="s">
        <v>227</v>
      </c>
      <c r="D3602" s="24" t="n">
        <v>74</v>
      </c>
    </row>
    <row r="3603" customFormat="false" ht="15" hidden="false" customHeight="false" outlineLevel="0" collapsed="false">
      <c r="A3603" s="22" t="n">
        <v>66</v>
      </c>
      <c r="B3603" s="23" t="n">
        <v>45929</v>
      </c>
      <c r="C3603" s="22" t="s">
        <v>227</v>
      </c>
      <c r="D3603" s="24" t="n">
        <v>66</v>
      </c>
    </row>
    <row r="3604" customFormat="false" ht="15" hidden="false" customHeight="false" outlineLevel="0" collapsed="false">
      <c r="A3604" s="22" t="n">
        <v>67</v>
      </c>
      <c r="B3604" s="23" t="n">
        <v>45936</v>
      </c>
      <c r="C3604" s="22" t="s">
        <v>227</v>
      </c>
      <c r="D3604" s="24" t="n">
        <v>75</v>
      </c>
    </row>
    <row r="3605" customFormat="false" ht="15" hidden="false" customHeight="false" outlineLevel="0" collapsed="false">
      <c r="A3605" s="22" t="n">
        <v>68</v>
      </c>
      <c r="B3605" s="23" t="n">
        <v>45943</v>
      </c>
      <c r="C3605" s="22" t="s">
        <v>227</v>
      </c>
      <c r="D3605" s="24" t="n">
        <v>67</v>
      </c>
    </row>
    <row r="3606" customFormat="false" ht="15" hidden="false" customHeight="false" outlineLevel="0" collapsed="false">
      <c r="A3606" s="22" t="n">
        <v>69</v>
      </c>
      <c r="B3606" s="23" t="n">
        <v>45950</v>
      </c>
      <c r="C3606" s="22" t="s">
        <v>227</v>
      </c>
      <c r="D3606" s="24" t="n">
        <v>53</v>
      </c>
    </row>
    <row r="3607" customFormat="false" ht="15" hidden="false" customHeight="false" outlineLevel="0" collapsed="false">
      <c r="A3607" s="22" t="n">
        <v>70</v>
      </c>
      <c r="B3607" s="23" t="n">
        <v>45957</v>
      </c>
      <c r="C3607" s="22" t="s">
        <v>227</v>
      </c>
      <c r="D3607" s="24" t="n">
        <v>69</v>
      </c>
    </row>
    <row r="3608" customFormat="false" ht="15" hidden="false" customHeight="false" outlineLevel="0" collapsed="false">
      <c r="A3608" s="22" t="n">
        <v>71</v>
      </c>
      <c r="B3608" s="23" t="n">
        <v>45964</v>
      </c>
      <c r="C3608" s="22" t="s">
        <v>227</v>
      </c>
      <c r="D3608" s="24" t="n">
        <v>63</v>
      </c>
    </row>
    <row r="3609" customFormat="false" ht="15" hidden="false" customHeight="false" outlineLevel="0" collapsed="false">
      <c r="A3609" s="22" t="n">
        <v>72</v>
      </c>
      <c r="B3609" s="23" t="n">
        <v>45971</v>
      </c>
      <c r="C3609" s="22" t="s">
        <v>227</v>
      </c>
      <c r="D3609" s="24" t="n">
        <v>63</v>
      </c>
    </row>
    <row r="3610" customFormat="false" ht="15" hidden="false" customHeight="false" outlineLevel="0" collapsed="false">
      <c r="A3610" s="22" t="n">
        <v>73</v>
      </c>
      <c r="B3610" s="23" t="n">
        <v>45978</v>
      </c>
      <c r="C3610" s="22" t="s">
        <v>227</v>
      </c>
      <c r="D3610" s="24" t="n">
        <v>61</v>
      </c>
    </row>
    <row r="3611" customFormat="false" ht="15" hidden="false" customHeight="false" outlineLevel="0" collapsed="false">
      <c r="A3611" s="22" t="n">
        <v>74</v>
      </c>
      <c r="B3611" s="23" t="n">
        <v>45985</v>
      </c>
      <c r="C3611" s="22" t="s">
        <v>227</v>
      </c>
      <c r="D3611" s="24" t="n">
        <v>71</v>
      </c>
    </row>
    <row r="3612" customFormat="false" ht="15" hidden="false" customHeight="false" outlineLevel="0" collapsed="false">
      <c r="A3612" s="22" t="n">
        <v>75</v>
      </c>
      <c r="B3612" s="23" t="n">
        <v>45992</v>
      </c>
      <c r="C3612" s="22" t="s">
        <v>227</v>
      </c>
      <c r="D3612" s="24" t="n">
        <v>64</v>
      </c>
    </row>
    <row r="3613" customFormat="false" ht="15" hidden="false" customHeight="false" outlineLevel="0" collapsed="false">
      <c r="A3613" s="22" t="n">
        <v>76</v>
      </c>
      <c r="B3613" s="23" t="n">
        <v>45999</v>
      </c>
      <c r="C3613" s="22" t="s">
        <v>227</v>
      </c>
      <c r="D3613" s="24" t="n">
        <v>54</v>
      </c>
    </row>
    <row r="3614" customFormat="false" ht="15" hidden="false" customHeight="false" outlineLevel="0" collapsed="false">
      <c r="A3614" s="22" t="n">
        <v>77</v>
      </c>
      <c r="B3614" s="23" t="n">
        <v>46006</v>
      </c>
      <c r="C3614" s="22" t="s">
        <v>227</v>
      </c>
      <c r="D3614" s="24" t="n">
        <v>64</v>
      </c>
    </row>
    <row r="3615" customFormat="false" ht="15" hidden="false" customHeight="false" outlineLevel="0" collapsed="false">
      <c r="A3615" s="22" t="n">
        <v>78</v>
      </c>
      <c r="B3615" s="23" t="n">
        <v>46013</v>
      </c>
      <c r="C3615" s="22" t="s">
        <v>227</v>
      </c>
      <c r="D3615" s="24" t="n">
        <v>66</v>
      </c>
    </row>
    <row r="3616" customFormat="false" ht="15" hidden="false" customHeight="false" outlineLevel="0" collapsed="false">
      <c r="A3616" s="22" t="n">
        <v>79</v>
      </c>
      <c r="B3616" s="23" t="n">
        <v>46020</v>
      </c>
      <c r="C3616" s="22" t="s">
        <v>227</v>
      </c>
      <c r="D3616" s="24" t="n">
        <v>54</v>
      </c>
    </row>
    <row r="3617" customFormat="false" ht="15" hidden="false" customHeight="false" outlineLevel="0" collapsed="false">
      <c r="A3617" s="22" t="n">
        <v>80</v>
      </c>
      <c r="B3617" s="23" t="n">
        <v>46027</v>
      </c>
      <c r="C3617" s="22" t="s">
        <v>227</v>
      </c>
      <c r="D3617" s="24" t="n">
        <v>56</v>
      </c>
    </row>
    <row r="3618" customFormat="false" ht="15" hidden="false" customHeight="false" outlineLevel="0" collapsed="false">
      <c r="A3618" s="22" t="n">
        <v>81</v>
      </c>
      <c r="B3618" s="23" t="n">
        <v>46034</v>
      </c>
      <c r="C3618" s="22" t="s">
        <v>227</v>
      </c>
      <c r="D3618" s="24" t="n">
        <v>57</v>
      </c>
    </row>
    <row r="3619" customFormat="false" ht="15" hidden="false" customHeight="false" outlineLevel="0" collapsed="false">
      <c r="A3619" s="22" t="n">
        <v>82</v>
      </c>
      <c r="B3619" s="23" t="n">
        <v>46041</v>
      </c>
      <c r="C3619" s="22" t="s">
        <v>227</v>
      </c>
      <c r="D3619" s="24" t="n">
        <v>55</v>
      </c>
    </row>
    <row r="3620" customFormat="false" ht="15" hidden="false" customHeight="false" outlineLevel="0" collapsed="false">
      <c r="A3620" s="22" t="n">
        <v>83</v>
      </c>
      <c r="B3620" s="23" t="n">
        <v>46048</v>
      </c>
      <c r="C3620" s="22" t="s">
        <v>227</v>
      </c>
      <c r="D3620" s="24" t="n">
        <v>63</v>
      </c>
    </row>
    <row r="3621" customFormat="false" ht="15" hidden="false" customHeight="false" outlineLevel="0" collapsed="false">
      <c r="A3621" s="22" t="n">
        <v>84</v>
      </c>
      <c r="B3621" s="23" t="n">
        <v>46055</v>
      </c>
      <c r="C3621" s="22" t="s">
        <v>227</v>
      </c>
      <c r="D3621" s="24" t="n">
        <v>68</v>
      </c>
    </row>
    <row r="3622" customFormat="false" ht="15" hidden="false" customHeight="false" outlineLevel="0" collapsed="false">
      <c r="A3622" s="22" t="n">
        <v>85</v>
      </c>
      <c r="B3622" s="23" t="n">
        <v>46062</v>
      </c>
      <c r="C3622" s="22" t="s">
        <v>227</v>
      </c>
      <c r="D3622" s="24" t="n">
        <v>75</v>
      </c>
    </row>
    <row r="3623" customFormat="false" ht="15" hidden="false" customHeight="false" outlineLevel="0" collapsed="false">
      <c r="A3623" s="22" t="n">
        <v>86</v>
      </c>
      <c r="B3623" s="23" t="n">
        <v>46069</v>
      </c>
      <c r="C3623" s="22" t="s">
        <v>227</v>
      </c>
      <c r="D3623" s="24" t="n">
        <v>70</v>
      </c>
    </row>
    <row r="3624" customFormat="false" ht="15" hidden="false" customHeight="false" outlineLevel="0" collapsed="false">
      <c r="A3624" s="22" t="n">
        <v>87</v>
      </c>
      <c r="B3624" s="23" t="n">
        <v>46076</v>
      </c>
      <c r="C3624" s="22" t="s">
        <v>227</v>
      </c>
      <c r="D3624" s="24" t="n">
        <v>68</v>
      </c>
    </row>
    <row r="3625" customFormat="false" ht="15" hidden="false" customHeight="false" outlineLevel="0" collapsed="false">
      <c r="A3625" s="22" t="n">
        <v>88</v>
      </c>
      <c r="B3625" s="23" t="n">
        <v>46083</v>
      </c>
      <c r="C3625" s="22" t="s">
        <v>227</v>
      </c>
      <c r="D3625" s="24" t="n">
        <v>69</v>
      </c>
    </row>
    <row r="3626" customFormat="false" ht="15" hidden="false" customHeight="false" outlineLevel="0" collapsed="false">
      <c r="A3626" s="22" t="n">
        <v>89</v>
      </c>
      <c r="B3626" s="23" t="n">
        <v>46090</v>
      </c>
      <c r="C3626" s="22" t="s">
        <v>227</v>
      </c>
      <c r="D3626" s="24" t="n">
        <v>71</v>
      </c>
    </row>
    <row r="3627" customFormat="false" ht="15" hidden="false" customHeight="false" outlineLevel="0" collapsed="false">
      <c r="A3627" s="22" t="n">
        <v>90</v>
      </c>
      <c r="B3627" s="23" t="n">
        <v>46097</v>
      </c>
      <c r="C3627" s="22" t="s">
        <v>227</v>
      </c>
      <c r="D3627" s="24" t="n">
        <v>57</v>
      </c>
    </row>
    <row r="3628" customFormat="false" ht="15" hidden="false" customHeight="false" outlineLevel="0" collapsed="false">
      <c r="A3628" s="22" t="n">
        <v>91</v>
      </c>
      <c r="B3628" s="23" t="n">
        <v>46104</v>
      </c>
      <c r="C3628" s="22" t="s">
        <v>227</v>
      </c>
      <c r="D3628" s="24" t="n">
        <v>66</v>
      </c>
    </row>
    <row r="3629" customFormat="false" ht="15" hidden="false" customHeight="false" outlineLevel="0" collapsed="false">
      <c r="A3629" s="22" t="n">
        <v>92</v>
      </c>
      <c r="B3629" s="23" t="n">
        <v>46111</v>
      </c>
      <c r="C3629" s="22" t="s">
        <v>227</v>
      </c>
      <c r="D3629" s="24" t="n">
        <v>63</v>
      </c>
    </row>
    <row r="3630" customFormat="false" ht="15" hidden="false" customHeight="false" outlineLevel="0" collapsed="false">
      <c r="A3630" s="22" t="n">
        <v>93</v>
      </c>
      <c r="B3630" s="23" t="n">
        <v>46118</v>
      </c>
      <c r="C3630" s="22" t="s">
        <v>227</v>
      </c>
      <c r="D3630" s="24" t="n">
        <v>59</v>
      </c>
    </row>
    <row r="3631" customFormat="false" ht="15" hidden="false" customHeight="false" outlineLevel="0" collapsed="false">
      <c r="A3631" s="22" t="n">
        <v>94</v>
      </c>
      <c r="B3631" s="23" t="n">
        <v>46125</v>
      </c>
      <c r="C3631" s="22" t="s">
        <v>227</v>
      </c>
      <c r="D3631" s="24" t="n">
        <v>56</v>
      </c>
    </row>
    <row r="3632" customFormat="false" ht="15" hidden="false" customHeight="false" outlineLevel="0" collapsed="false">
      <c r="A3632" s="22" t="n">
        <v>95</v>
      </c>
      <c r="B3632" s="23" t="n">
        <v>46132</v>
      </c>
      <c r="C3632" s="22" t="s">
        <v>227</v>
      </c>
      <c r="D3632" s="24" t="n">
        <v>56</v>
      </c>
    </row>
    <row r="3633" customFormat="false" ht="15" hidden="false" customHeight="false" outlineLevel="0" collapsed="false">
      <c r="A3633" s="22" t="n">
        <v>96</v>
      </c>
      <c r="B3633" s="23" t="n">
        <v>46139</v>
      </c>
      <c r="C3633" s="22" t="s">
        <v>227</v>
      </c>
      <c r="D3633" s="24" t="n">
        <v>58</v>
      </c>
    </row>
    <row r="3634" customFormat="false" ht="15" hidden="false" customHeight="false" outlineLevel="0" collapsed="false">
      <c r="A3634" s="22" t="n">
        <v>97</v>
      </c>
      <c r="B3634" s="23" t="n">
        <v>46146</v>
      </c>
      <c r="C3634" s="22" t="s">
        <v>227</v>
      </c>
      <c r="D3634" s="24" t="n">
        <v>50</v>
      </c>
    </row>
    <row r="3635" customFormat="false" ht="15" hidden="false" customHeight="false" outlineLevel="0" collapsed="false">
      <c r="A3635" s="22" t="n">
        <v>98</v>
      </c>
      <c r="B3635" s="23" t="n">
        <v>46153</v>
      </c>
      <c r="C3635" s="22" t="s">
        <v>227</v>
      </c>
      <c r="D3635" s="24" t="n">
        <v>64</v>
      </c>
    </row>
    <row r="3636" customFormat="false" ht="15" hidden="false" customHeight="false" outlineLevel="0" collapsed="false">
      <c r="A3636" s="22" t="n">
        <v>99</v>
      </c>
      <c r="B3636" s="23" t="n">
        <v>46160</v>
      </c>
      <c r="C3636" s="22" t="s">
        <v>227</v>
      </c>
      <c r="D3636" s="24" t="n">
        <v>60</v>
      </c>
    </row>
    <row r="3637" customFormat="false" ht="15" hidden="false" customHeight="false" outlineLevel="0" collapsed="false">
      <c r="A3637" s="22" t="n">
        <v>100</v>
      </c>
      <c r="B3637" s="23" t="n">
        <v>46167</v>
      </c>
      <c r="C3637" s="22" t="s">
        <v>227</v>
      </c>
      <c r="D3637" s="24" t="n">
        <v>61</v>
      </c>
    </row>
    <row r="3638" customFormat="false" ht="15" hidden="false" customHeight="false" outlineLevel="0" collapsed="false">
      <c r="A3638" s="22" t="n">
        <v>101</v>
      </c>
      <c r="B3638" s="23" t="n">
        <v>46174</v>
      </c>
      <c r="C3638" s="22" t="s">
        <v>227</v>
      </c>
      <c r="D3638" s="24" t="n">
        <v>63</v>
      </c>
    </row>
    <row r="3639" customFormat="false" ht="15" hidden="false" customHeight="false" outlineLevel="0" collapsed="false">
      <c r="A3639" s="22" t="n">
        <v>102</v>
      </c>
      <c r="B3639" s="23" t="n">
        <v>46181</v>
      </c>
      <c r="C3639" s="22" t="s">
        <v>227</v>
      </c>
      <c r="D3639" s="24" t="n">
        <v>66</v>
      </c>
    </row>
    <row r="3640" customFormat="false" ht="15" hidden="false" customHeight="false" outlineLevel="0" collapsed="false">
      <c r="A3640" s="22" t="n">
        <v>103</v>
      </c>
      <c r="B3640" s="23" t="n">
        <v>46188</v>
      </c>
      <c r="C3640" s="22" t="s">
        <v>227</v>
      </c>
      <c r="D3640" s="24" t="n">
        <v>55</v>
      </c>
    </row>
    <row r="3641" customFormat="false" ht="15" hidden="false" customHeight="false" outlineLevel="0" collapsed="false">
      <c r="A3641" s="22" t="n">
        <v>104</v>
      </c>
      <c r="B3641" s="23" t="n">
        <v>46195</v>
      </c>
      <c r="C3641" s="22" t="s">
        <v>227</v>
      </c>
      <c r="D3641" s="24" t="n">
        <v>59</v>
      </c>
    </row>
    <row r="3642" customFormat="false" ht="15" hidden="false" customHeight="false" outlineLevel="0" collapsed="false">
      <c r="A3642" s="22" t="n">
        <v>1</v>
      </c>
      <c r="B3642" s="23" t="n">
        <v>45474</v>
      </c>
      <c r="C3642" s="22" t="s">
        <v>229</v>
      </c>
      <c r="D3642" s="24" t="n">
        <v>6</v>
      </c>
    </row>
    <row r="3643" customFormat="false" ht="15" hidden="false" customHeight="false" outlineLevel="0" collapsed="false">
      <c r="A3643" s="22" t="n">
        <v>2</v>
      </c>
      <c r="B3643" s="23" t="n">
        <v>45481</v>
      </c>
      <c r="C3643" s="22" t="s">
        <v>229</v>
      </c>
      <c r="D3643" s="24" t="n">
        <v>8</v>
      </c>
    </row>
    <row r="3644" customFormat="false" ht="15" hidden="false" customHeight="false" outlineLevel="0" collapsed="false">
      <c r="A3644" s="22" t="n">
        <v>3</v>
      </c>
      <c r="B3644" s="23" t="n">
        <v>45488</v>
      </c>
      <c r="C3644" s="22" t="s">
        <v>229</v>
      </c>
      <c r="D3644" s="24" t="n">
        <v>4</v>
      </c>
    </row>
    <row r="3645" customFormat="false" ht="15" hidden="false" customHeight="false" outlineLevel="0" collapsed="false">
      <c r="A3645" s="22" t="n">
        <v>4</v>
      </c>
      <c r="B3645" s="23" t="n">
        <v>45495</v>
      </c>
      <c r="C3645" s="22" t="s">
        <v>229</v>
      </c>
      <c r="D3645" s="24" t="n">
        <v>4</v>
      </c>
    </row>
    <row r="3646" customFormat="false" ht="15" hidden="false" customHeight="false" outlineLevel="0" collapsed="false">
      <c r="A3646" s="22" t="n">
        <v>5</v>
      </c>
      <c r="B3646" s="23" t="n">
        <v>45502</v>
      </c>
      <c r="C3646" s="22" t="s">
        <v>229</v>
      </c>
      <c r="D3646" s="24" t="n">
        <v>8</v>
      </c>
    </row>
    <row r="3647" customFormat="false" ht="15" hidden="false" customHeight="false" outlineLevel="0" collapsed="false">
      <c r="A3647" s="22" t="n">
        <v>6</v>
      </c>
      <c r="B3647" s="23" t="n">
        <v>45509</v>
      </c>
      <c r="C3647" s="22" t="s">
        <v>229</v>
      </c>
      <c r="D3647" s="24" t="n">
        <v>7</v>
      </c>
    </row>
    <row r="3648" customFormat="false" ht="15" hidden="false" customHeight="false" outlineLevel="0" collapsed="false">
      <c r="A3648" s="22" t="n">
        <v>7</v>
      </c>
      <c r="B3648" s="23" t="n">
        <v>45516</v>
      </c>
      <c r="C3648" s="22" t="s">
        <v>229</v>
      </c>
      <c r="D3648" s="24" t="n">
        <v>6</v>
      </c>
    </row>
    <row r="3649" customFormat="false" ht="15" hidden="false" customHeight="false" outlineLevel="0" collapsed="false">
      <c r="A3649" s="22" t="n">
        <v>8</v>
      </c>
      <c r="B3649" s="23" t="n">
        <v>45523</v>
      </c>
      <c r="C3649" s="22" t="s">
        <v>229</v>
      </c>
      <c r="D3649" s="24" t="n">
        <v>6</v>
      </c>
    </row>
    <row r="3650" customFormat="false" ht="15" hidden="false" customHeight="false" outlineLevel="0" collapsed="false">
      <c r="A3650" s="22" t="n">
        <v>9</v>
      </c>
      <c r="B3650" s="23" t="n">
        <v>45530</v>
      </c>
      <c r="C3650" s="22" t="s">
        <v>229</v>
      </c>
      <c r="D3650" s="24" t="n">
        <v>12</v>
      </c>
    </row>
    <row r="3651" customFormat="false" ht="15" hidden="false" customHeight="false" outlineLevel="0" collapsed="false">
      <c r="A3651" s="22" t="n">
        <v>10</v>
      </c>
      <c r="B3651" s="23" t="n">
        <v>45537</v>
      </c>
      <c r="C3651" s="22" t="s">
        <v>229</v>
      </c>
      <c r="D3651" s="24" t="n">
        <v>3</v>
      </c>
    </row>
    <row r="3652" customFormat="false" ht="15" hidden="false" customHeight="false" outlineLevel="0" collapsed="false">
      <c r="A3652" s="22" t="n">
        <v>11</v>
      </c>
      <c r="B3652" s="23" t="n">
        <v>45544</v>
      </c>
      <c r="C3652" s="22" t="s">
        <v>229</v>
      </c>
      <c r="D3652" s="24" t="n">
        <v>6</v>
      </c>
    </row>
    <row r="3653" customFormat="false" ht="15" hidden="false" customHeight="false" outlineLevel="0" collapsed="false">
      <c r="A3653" s="22" t="n">
        <v>12</v>
      </c>
      <c r="B3653" s="23" t="n">
        <v>45551</v>
      </c>
      <c r="C3653" s="22" t="s">
        <v>229</v>
      </c>
      <c r="D3653" s="24" t="n">
        <v>9</v>
      </c>
    </row>
    <row r="3654" customFormat="false" ht="15" hidden="false" customHeight="false" outlineLevel="0" collapsed="false">
      <c r="A3654" s="22" t="n">
        <v>13</v>
      </c>
      <c r="B3654" s="23" t="n">
        <v>45558</v>
      </c>
      <c r="C3654" s="22" t="s">
        <v>229</v>
      </c>
      <c r="D3654" s="24" t="n">
        <v>8</v>
      </c>
    </row>
    <row r="3655" customFormat="false" ht="15" hidden="false" customHeight="false" outlineLevel="0" collapsed="false">
      <c r="A3655" s="22" t="n">
        <v>14</v>
      </c>
      <c r="B3655" s="23" t="n">
        <v>45565</v>
      </c>
      <c r="C3655" s="22" t="s">
        <v>229</v>
      </c>
      <c r="D3655" s="24" t="n">
        <v>7</v>
      </c>
    </row>
    <row r="3656" customFormat="false" ht="15" hidden="false" customHeight="false" outlineLevel="0" collapsed="false">
      <c r="A3656" s="22" t="n">
        <v>15</v>
      </c>
      <c r="B3656" s="23" t="n">
        <v>45572</v>
      </c>
      <c r="C3656" s="22" t="s">
        <v>229</v>
      </c>
      <c r="D3656" s="24" t="n">
        <v>9</v>
      </c>
    </row>
    <row r="3657" customFormat="false" ht="15" hidden="false" customHeight="false" outlineLevel="0" collapsed="false">
      <c r="A3657" s="22" t="n">
        <v>16</v>
      </c>
      <c r="B3657" s="23" t="n">
        <v>45579</v>
      </c>
      <c r="C3657" s="22" t="s">
        <v>229</v>
      </c>
      <c r="D3657" s="24" t="n">
        <v>10</v>
      </c>
    </row>
    <row r="3658" customFormat="false" ht="15" hidden="false" customHeight="false" outlineLevel="0" collapsed="false">
      <c r="A3658" s="22" t="n">
        <v>17</v>
      </c>
      <c r="B3658" s="23" t="n">
        <v>45586</v>
      </c>
      <c r="C3658" s="22" t="s">
        <v>229</v>
      </c>
      <c r="D3658" s="24" t="n">
        <v>6</v>
      </c>
    </row>
    <row r="3659" customFormat="false" ht="15" hidden="false" customHeight="false" outlineLevel="0" collapsed="false">
      <c r="A3659" s="22" t="n">
        <v>18</v>
      </c>
      <c r="B3659" s="23" t="n">
        <v>45593</v>
      </c>
      <c r="C3659" s="22" t="s">
        <v>229</v>
      </c>
      <c r="D3659" s="24" t="n">
        <v>14</v>
      </c>
    </row>
    <row r="3660" customFormat="false" ht="15" hidden="false" customHeight="false" outlineLevel="0" collapsed="false">
      <c r="A3660" s="22" t="n">
        <v>19</v>
      </c>
      <c r="B3660" s="23" t="n">
        <v>45600</v>
      </c>
      <c r="C3660" s="22" t="s">
        <v>229</v>
      </c>
      <c r="D3660" s="24" t="n">
        <v>16</v>
      </c>
    </row>
    <row r="3661" customFormat="false" ht="15" hidden="false" customHeight="false" outlineLevel="0" collapsed="false">
      <c r="A3661" s="22" t="n">
        <v>20</v>
      </c>
      <c r="B3661" s="23" t="n">
        <v>45607</v>
      </c>
      <c r="C3661" s="22" t="s">
        <v>229</v>
      </c>
      <c r="D3661" s="24" t="n">
        <v>8</v>
      </c>
    </row>
    <row r="3662" customFormat="false" ht="15" hidden="false" customHeight="false" outlineLevel="0" collapsed="false">
      <c r="A3662" s="22" t="n">
        <v>21</v>
      </c>
      <c r="B3662" s="23" t="n">
        <v>45614</v>
      </c>
      <c r="C3662" s="22" t="s">
        <v>229</v>
      </c>
      <c r="D3662" s="24" t="n">
        <v>7</v>
      </c>
    </row>
    <row r="3663" customFormat="false" ht="15" hidden="false" customHeight="false" outlineLevel="0" collapsed="false">
      <c r="A3663" s="22" t="n">
        <v>22</v>
      </c>
      <c r="B3663" s="23" t="n">
        <v>45621</v>
      </c>
      <c r="C3663" s="22" t="s">
        <v>229</v>
      </c>
      <c r="D3663" s="24" t="n">
        <v>7</v>
      </c>
    </row>
    <row r="3664" customFormat="false" ht="15" hidden="false" customHeight="false" outlineLevel="0" collapsed="false">
      <c r="A3664" s="22" t="n">
        <v>23</v>
      </c>
      <c r="B3664" s="23" t="n">
        <v>45628</v>
      </c>
      <c r="C3664" s="22" t="s">
        <v>229</v>
      </c>
      <c r="D3664" s="24" t="n">
        <v>8</v>
      </c>
    </row>
    <row r="3665" customFormat="false" ht="15" hidden="false" customHeight="false" outlineLevel="0" collapsed="false">
      <c r="A3665" s="22" t="n">
        <v>24</v>
      </c>
      <c r="B3665" s="23" t="n">
        <v>45635</v>
      </c>
      <c r="C3665" s="22" t="s">
        <v>229</v>
      </c>
      <c r="D3665" s="24" t="n">
        <v>8</v>
      </c>
    </row>
    <row r="3666" customFormat="false" ht="15" hidden="false" customHeight="false" outlineLevel="0" collapsed="false">
      <c r="A3666" s="22" t="n">
        <v>25</v>
      </c>
      <c r="B3666" s="23" t="n">
        <v>45642</v>
      </c>
      <c r="C3666" s="22" t="s">
        <v>229</v>
      </c>
      <c r="D3666" s="24" t="n">
        <v>4</v>
      </c>
    </row>
    <row r="3667" customFormat="false" ht="15" hidden="false" customHeight="false" outlineLevel="0" collapsed="false">
      <c r="A3667" s="22" t="n">
        <v>26</v>
      </c>
      <c r="B3667" s="23" t="n">
        <v>45649</v>
      </c>
      <c r="C3667" s="22" t="s">
        <v>229</v>
      </c>
      <c r="D3667" s="24" t="n">
        <v>8</v>
      </c>
    </row>
    <row r="3668" customFormat="false" ht="15" hidden="false" customHeight="false" outlineLevel="0" collapsed="false">
      <c r="A3668" s="22" t="n">
        <v>27</v>
      </c>
      <c r="B3668" s="23" t="n">
        <v>45656</v>
      </c>
      <c r="C3668" s="22" t="s">
        <v>229</v>
      </c>
      <c r="D3668" s="24" t="n">
        <v>4</v>
      </c>
    </row>
    <row r="3669" customFormat="false" ht="15" hidden="false" customHeight="false" outlineLevel="0" collapsed="false">
      <c r="A3669" s="22" t="n">
        <v>28</v>
      </c>
      <c r="B3669" s="23" t="n">
        <v>45663</v>
      </c>
      <c r="C3669" s="22" t="s">
        <v>229</v>
      </c>
      <c r="D3669" s="24" t="n">
        <v>4</v>
      </c>
    </row>
    <row r="3670" customFormat="false" ht="15" hidden="false" customHeight="false" outlineLevel="0" collapsed="false">
      <c r="A3670" s="22" t="n">
        <v>29</v>
      </c>
      <c r="B3670" s="23" t="n">
        <v>45670</v>
      </c>
      <c r="C3670" s="22" t="s">
        <v>229</v>
      </c>
      <c r="D3670" s="24" t="n">
        <v>9</v>
      </c>
    </row>
    <row r="3671" customFormat="false" ht="15" hidden="false" customHeight="false" outlineLevel="0" collapsed="false">
      <c r="A3671" s="22" t="n">
        <v>30</v>
      </c>
      <c r="B3671" s="23" t="n">
        <v>45677</v>
      </c>
      <c r="C3671" s="22" t="s">
        <v>229</v>
      </c>
      <c r="D3671" s="24" t="n">
        <v>8</v>
      </c>
    </row>
    <row r="3672" customFormat="false" ht="15" hidden="false" customHeight="false" outlineLevel="0" collapsed="false">
      <c r="A3672" s="22" t="n">
        <v>31</v>
      </c>
      <c r="B3672" s="23" t="n">
        <v>45684</v>
      </c>
      <c r="C3672" s="22" t="s">
        <v>229</v>
      </c>
      <c r="D3672" s="24" t="n">
        <v>4</v>
      </c>
    </row>
    <row r="3673" customFormat="false" ht="15" hidden="false" customHeight="false" outlineLevel="0" collapsed="false">
      <c r="A3673" s="22" t="n">
        <v>32</v>
      </c>
      <c r="B3673" s="23" t="n">
        <v>45691</v>
      </c>
      <c r="C3673" s="22" t="s">
        <v>229</v>
      </c>
      <c r="D3673" s="24" t="n">
        <v>4</v>
      </c>
    </row>
    <row r="3674" customFormat="false" ht="15" hidden="false" customHeight="false" outlineLevel="0" collapsed="false">
      <c r="A3674" s="22" t="n">
        <v>33</v>
      </c>
      <c r="B3674" s="23" t="n">
        <v>45698</v>
      </c>
      <c r="C3674" s="22" t="s">
        <v>229</v>
      </c>
      <c r="D3674" s="24" t="n">
        <v>9</v>
      </c>
    </row>
    <row r="3675" customFormat="false" ht="15" hidden="false" customHeight="false" outlineLevel="0" collapsed="false">
      <c r="A3675" s="22" t="n">
        <v>34</v>
      </c>
      <c r="B3675" s="23" t="n">
        <v>45705</v>
      </c>
      <c r="C3675" s="22" t="s">
        <v>229</v>
      </c>
      <c r="D3675" s="24" t="n">
        <v>5</v>
      </c>
    </row>
    <row r="3676" customFormat="false" ht="15" hidden="false" customHeight="false" outlineLevel="0" collapsed="false">
      <c r="A3676" s="22" t="n">
        <v>35</v>
      </c>
      <c r="B3676" s="23" t="n">
        <v>45712</v>
      </c>
      <c r="C3676" s="22" t="s">
        <v>229</v>
      </c>
      <c r="D3676" s="24" t="n">
        <v>13</v>
      </c>
    </row>
    <row r="3677" customFormat="false" ht="15" hidden="false" customHeight="false" outlineLevel="0" collapsed="false">
      <c r="A3677" s="22" t="n">
        <v>36</v>
      </c>
      <c r="B3677" s="23" t="n">
        <v>45719</v>
      </c>
      <c r="C3677" s="22" t="s">
        <v>229</v>
      </c>
      <c r="D3677" s="24" t="n">
        <v>8</v>
      </c>
    </row>
    <row r="3678" customFormat="false" ht="15" hidden="false" customHeight="false" outlineLevel="0" collapsed="false">
      <c r="A3678" s="22" t="n">
        <v>37</v>
      </c>
      <c r="B3678" s="23" t="n">
        <v>45726</v>
      </c>
      <c r="C3678" s="22" t="s">
        <v>229</v>
      </c>
      <c r="D3678" s="24" t="n">
        <v>4</v>
      </c>
    </row>
    <row r="3679" customFormat="false" ht="15" hidden="false" customHeight="false" outlineLevel="0" collapsed="false">
      <c r="A3679" s="22" t="n">
        <v>38</v>
      </c>
      <c r="B3679" s="23" t="n">
        <v>45733</v>
      </c>
      <c r="C3679" s="22" t="s">
        <v>229</v>
      </c>
      <c r="D3679" s="24" t="n">
        <v>9</v>
      </c>
    </row>
    <row r="3680" customFormat="false" ht="15" hidden="false" customHeight="false" outlineLevel="0" collapsed="false">
      <c r="A3680" s="22" t="n">
        <v>39</v>
      </c>
      <c r="B3680" s="23" t="n">
        <v>45740</v>
      </c>
      <c r="C3680" s="22" t="s">
        <v>229</v>
      </c>
      <c r="D3680" s="24" t="n">
        <v>3</v>
      </c>
    </row>
    <row r="3681" customFormat="false" ht="15" hidden="false" customHeight="false" outlineLevel="0" collapsed="false">
      <c r="A3681" s="22" t="n">
        <v>40</v>
      </c>
      <c r="B3681" s="23" t="n">
        <v>45747</v>
      </c>
      <c r="C3681" s="22" t="s">
        <v>229</v>
      </c>
      <c r="D3681" s="24" t="n">
        <v>8</v>
      </c>
    </row>
    <row r="3682" customFormat="false" ht="15" hidden="false" customHeight="false" outlineLevel="0" collapsed="false">
      <c r="A3682" s="22" t="n">
        <v>41</v>
      </c>
      <c r="B3682" s="23" t="n">
        <v>45754</v>
      </c>
      <c r="C3682" s="22" t="s">
        <v>229</v>
      </c>
      <c r="D3682" s="24" t="n">
        <v>8</v>
      </c>
    </row>
    <row r="3683" customFormat="false" ht="15" hidden="false" customHeight="false" outlineLevel="0" collapsed="false">
      <c r="A3683" s="22" t="n">
        <v>42</v>
      </c>
      <c r="B3683" s="23" t="n">
        <v>45761</v>
      </c>
      <c r="C3683" s="22" t="s">
        <v>229</v>
      </c>
      <c r="D3683" s="24" t="n">
        <v>7</v>
      </c>
    </row>
    <row r="3684" customFormat="false" ht="15" hidden="false" customHeight="false" outlineLevel="0" collapsed="false">
      <c r="A3684" s="22" t="n">
        <v>43</v>
      </c>
      <c r="B3684" s="23" t="n">
        <v>45768</v>
      </c>
      <c r="C3684" s="22" t="s">
        <v>229</v>
      </c>
      <c r="D3684" s="24" t="n">
        <v>6</v>
      </c>
    </row>
    <row r="3685" customFormat="false" ht="15" hidden="false" customHeight="false" outlineLevel="0" collapsed="false">
      <c r="A3685" s="22" t="n">
        <v>44</v>
      </c>
      <c r="B3685" s="23" t="n">
        <v>45775</v>
      </c>
      <c r="C3685" s="22" t="s">
        <v>229</v>
      </c>
      <c r="D3685" s="24" t="n">
        <v>8</v>
      </c>
    </row>
    <row r="3686" customFormat="false" ht="15" hidden="false" customHeight="false" outlineLevel="0" collapsed="false">
      <c r="A3686" s="22" t="n">
        <v>45</v>
      </c>
      <c r="B3686" s="23" t="n">
        <v>45782</v>
      </c>
      <c r="C3686" s="22" t="s">
        <v>229</v>
      </c>
      <c r="D3686" s="24" t="n">
        <v>5</v>
      </c>
    </row>
    <row r="3687" customFormat="false" ht="15" hidden="false" customHeight="false" outlineLevel="0" collapsed="false">
      <c r="A3687" s="22" t="n">
        <v>46</v>
      </c>
      <c r="B3687" s="23" t="n">
        <v>45789</v>
      </c>
      <c r="C3687" s="22" t="s">
        <v>229</v>
      </c>
      <c r="D3687" s="24" t="n">
        <v>7</v>
      </c>
    </row>
    <row r="3688" customFormat="false" ht="15" hidden="false" customHeight="false" outlineLevel="0" collapsed="false">
      <c r="A3688" s="22" t="n">
        <v>47</v>
      </c>
      <c r="B3688" s="23" t="n">
        <v>45796</v>
      </c>
      <c r="C3688" s="22" t="s">
        <v>229</v>
      </c>
      <c r="D3688" s="24" t="n">
        <v>5</v>
      </c>
    </row>
    <row r="3689" customFormat="false" ht="15" hidden="false" customHeight="false" outlineLevel="0" collapsed="false">
      <c r="A3689" s="22" t="n">
        <v>48</v>
      </c>
      <c r="B3689" s="23" t="n">
        <v>45803</v>
      </c>
      <c r="C3689" s="22" t="s">
        <v>229</v>
      </c>
      <c r="D3689" s="24" t="n">
        <v>5</v>
      </c>
    </row>
    <row r="3690" customFormat="false" ht="15" hidden="false" customHeight="false" outlineLevel="0" collapsed="false">
      <c r="A3690" s="22" t="n">
        <v>49</v>
      </c>
      <c r="B3690" s="23" t="n">
        <v>45810</v>
      </c>
      <c r="C3690" s="22" t="s">
        <v>229</v>
      </c>
      <c r="D3690" s="24" t="n">
        <v>11</v>
      </c>
    </row>
    <row r="3691" customFormat="false" ht="15" hidden="false" customHeight="false" outlineLevel="0" collapsed="false">
      <c r="A3691" s="22" t="n">
        <v>50</v>
      </c>
      <c r="B3691" s="23" t="n">
        <v>45817</v>
      </c>
      <c r="C3691" s="22" t="s">
        <v>229</v>
      </c>
      <c r="D3691" s="24" t="n">
        <v>8</v>
      </c>
    </row>
    <row r="3692" customFormat="false" ht="15" hidden="false" customHeight="false" outlineLevel="0" collapsed="false">
      <c r="A3692" s="22" t="n">
        <v>51</v>
      </c>
      <c r="B3692" s="23" t="n">
        <v>45824</v>
      </c>
      <c r="C3692" s="22" t="s">
        <v>229</v>
      </c>
      <c r="D3692" s="24" t="n">
        <v>3</v>
      </c>
    </row>
    <row r="3693" customFormat="false" ht="15" hidden="false" customHeight="false" outlineLevel="0" collapsed="false">
      <c r="A3693" s="22" t="n">
        <v>52</v>
      </c>
      <c r="B3693" s="23" t="n">
        <v>45831</v>
      </c>
      <c r="C3693" s="22" t="s">
        <v>229</v>
      </c>
      <c r="D3693" s="24" t="n">
        <v>5</v>
      </c>
    </row>
    <row r="3694" customFormat="false" ht="15" hidden="false" customHeight="false" outlineLevel="0" collapsed="false">
      <c r="A3694" s="22" t="n">
        <v>53</v>
      </c>
      <c r="B3694" s="23" t="n">
        <v>45838</v>
      </c>
      <c r="C3694" s="22" t="s">
        <v>229</v>
      </c>
      <c r="D3694" s="24" t="n">
        <v>9</v>
      </c>
    </row>
    <row r="3695" customFormat="false" ht="15" hidden="false" customHeight="false" outlineLevel="0" collapsed="false">
      <c r="A3695" s="22" t="n">
        <v>54</v>
      </c>
      <c r="B3695" s="23" t="n">
        <v>45845</v>
      </c>
      <c r="C3695" s="22" t="s">
        <v>229</v>
      </c>
      <c r="D3695" s="24" t="n">
        <v>10</v>
      </c>
    </row>
    <row r="3696" customFormat="false" ht="15" hidden="false" customHeight="false" outlineLevel="0" collapsed="false">
      <c r="A3696" s="22" t="n">
        <v>55</v>
      </c>
      <c r="B3696" s="23" t="n">
        <v>45852</v>
      </c>
      <c r="C3696" s="22" t="s">
        <v>229</v>
      </c>
      <c r="D3696" s="24" t="n">
        <v>8</v>
      </c>
    </row>
    <row r="3697" customFormat="false" ht="15" hidden="false" customHeight="false" outlineLevel="0" collapsed="false">
      <c r="A3697" s="22" t="n">
        <v>56</v>
      </c>
      <c r="B3697" s="23" t="n">
        <v>45859</v>
      </c>
      <c r="C3697" s="22" t="s">
        <v>229</v>
      </c>
      <c r="D3697" s="24" t="n">
        <v>7</v>
      </c>
    </row>
    <row r="3698" customFormat="false" ht="15" hidden="false" customHeight="false" outlineLevel="0" collapsed="false">
      <c r="A3698" s="22" t="n">
        <v>57</v>
      </c>
      <c r="B3698" s="23" t="n">
        <v>45866</v>
      </c>
      <c r="C3698" s="22" t="s">
        <v>229</v>
      </c>
      <c r="D3698" s="24" t="n">
        <v>9</v>
      </c>
    </row>
    <row r="3699" customFormat="false" ht="15" hidden="false" customHeight="false" outlineLevel="0" collapsed="false">
      <c r="A3699" s="22" t="n">
        <v>58</v>
      </c>
      <c r="B3699" s="23" t="n">
        <v>45873</v>
      </c>
      <c r="C3699" s="22" t="s">
        <v>229</v>
      </c>
      <c r="D3699" s="24" t="n">
        <v>10</v>
      </c>
    </row>
    <row r="3700" customFormat="false" ht="15" hidden="false" customHeight="false" outlineLevel="0" collapsed="false">
      <c r="A3700" s="22" t="n">
        <v>59</v>
      </c>
      <c r="B3700" s="23" t="n">
        <v>45880</v>
      </c>
      <c r="C3700" s="22" t="s">
        <v>229</v>
      </c>
      <c r="D3700" s="24" t="n">
        <v>8</v>
      </c>
    </row>
    <row r="3701" customFormat="false" ht="15" hidden="false" customHeight="false" outlineLevel="0" collapsed="false">
      <c r="A3701" s="22" t="n">
        <v>60</v>
      </c>
      <c r="B3701" s="23" t="n">
        <v>45887</v>
      </c>
      <c r="C3701" s="22" t="s">
        <v>229</v>
      </c>
      <c r="D3701" s="24" t="n">
        <v>3</v>
      </c>
    </row>
    <row r="3702" customFormat="false" ht="15" hidden="false" customHeight="false" outlineLevel="0" collapsed="false">
      <c r="A3702" s="22" t="n">
        <v>61</v>
      </c>
      <c r="B3702" s="23" t="n">
        <v>45894</v>
      </c>
      <c r="C3702" s="22" t="s">
        <v>229</v>
      </c>
      <c r="D3702" s="24" t="n">
        <v>7</v>
      </c>
    </row>
    <row r="3703" customFormat="false" ht="15" hidden="false" customHeight="false" outlineLevel="0" collapsed="false">
      <c r="A3703" s="22" t="n">
        <v>62</v>
      </c>
      <c r="B3703" s="23" t="n">
        <v>45901</v>
      </c>
      <c r="C3703" s="22" t="s">
        <v>229</v>
      </c>
      <c r="D3703" s="24" t="n">
        <v>9</v>
      </c>
    </row>
    <row r="3704" customFormat="false" ht="15" hidden="false" customHeight="false" outlineLevel="0" collapsed="false">
      <c r="A3704" s="22" t="n">
        <v>63</v>
      </c>
      <c r="B3704" s="23" t="n">
        <v>45908</v>
      </c>
      <c r="C3704" s="22" t="s">
        <v>229</v>
      </c>
      <c r="D3704" s="24" t="n">
        <v>5</v>
      </c>
    </row>
    <row r="3705" customFormat="false" ht="15" hidden="false" customHeight="false" outlineLevel="0" collapsed="false">
      <c r="A3705" s="22" t="n">
        <v>64</v>
      </c>
      <c r="B3705" s="23" t="n">
        <v>45915</v>
      </c>
      <c r="C3705" s="22" t="s">
        <v>229</v>
      </c>
      <c r="D3705" s="24" t="n">
        <v>5</v>
      </c>
    </row>
    <row r="3706" customFormat="false" ht="15" hidden="false" customHeight="false" outlineLevel="0" collapsed="false">
      <c r="A3706" s="22" t="n">
        <v>65</v>
      </c>
      <c r="B3706" s="23" t="n">
        <v>45922</v>
      </c>
      <c r="C3706" s="22" t="s">
        <v>229</v>
      </c>
      <c r="D3706" s="24" t="n">
        <v>8</v>
      </c>
    </row>
    <row r="3707" customFormat="false" ht="15" hidden="false" customHeight="false" outlineLevel="0" collapsed="false">
      <c r="A3707" s="22" t="n">
        <v>66</v>
      </c>
      <c r="B3707" s="23" t="n">
        <v>45929</v>
      </c>
      <c r="C3707" s="22" t="s">
        <v>229</v>
      </c>
      <c r="D3707" s="24" t="n">
        <v>8</v>
      </c>
    </row>
    <row r="3708" customFormat="false" ht="15" hidden="false" customHeight="false" outlineLevel="0" collapsed="false">
      <c r="A3708" s="22" t="n">
        <v>67</v>
      </c>
      <c r="B3708" s="23" t="n">
        <v>45936</v>
      </c>
      <c r="C3708" s="22" t="s">
        <v>229</v>
      </c>
      <c r="D3708" s="24" t="n">
        <v>6</v>
      </c>
    </row>
    <row r="3709" customFormat="false" ht="15" hidden="false" customHeight="false" outlineLevel="0" collapsed="false">
      <c r="A3709" s="22" t="n">
        <v>68</v>
      </c>
      <c r="B3709" s="23" t="n">
        <v>45943</v>
      </c>
      <c r="C3709" s="22" t="s">
        <v>229</v>
      </c>
      <c r="D3709" s="24" t="n">
        <v>8</v>
      </c>
    </row>
    <row r="3710" customFormat="false" ht="15" hidden="false" customHeight="false" outlineLevel="0" collapsed="false">
      <c r="A3710" s="22" t="n">
        <v>69</v>
      </c>
      <c r="B3710" s="23" t="n">
        <v>45950</v>
      </c>
      <c r="C3710" s="22" t="s">
        <v>229</v>
      </c>
      <c r="D3710" s="24" t="n">
        <v>12</v>
      </c>
    </row>
    <row r="3711" customFormat="false" ht="15" hidden="false" customHeight="false" outlineLevel="0" collapsed="false">
      <c r="A3711" s="22" t="n">
        <v>70</v>
      </c>
      <c r="B3711" s="23" t="n">
        <v>45957</v>
      </c>
      <c r="C3711" s="22" t="s">
        <v>229</v>
      </c>
      <c r="D3711" s="24" t="n">
        <v>6</v>
      </c>
    </row>
    <row r="3712" customFormat="false" ht="15" hidden="false" customHeight="false" outlineLevel="0" collapsed="false">
      <c r="A3712" s="22" t="n">
        <v>71</v>
      </c>
      <c r="B3712" s="23" t="n">
        <v>45964</v>
      </c>
      <c r="C3712" s="22" t="s">
        <v>229</v>
      </c>
      <c r="D3712" s="24" t="n">
        <v>7</v>
      </c>
    </row>
    <row r="3713" customFormat="false" ht="15" hidden="false" customHeight="false" outlineLevel="0" collapsed="false">
      <c r="A3713" s="22" t="n">
        <v>72</v>
      </c>
      <c r="B3713" s="23" t="n">
        <v>45971</v>
      </c>
      <c r="C3713" s="22" t="s">
        <v>229</v>
      </c>
      <c r="D3713" s="24" t="n">
        <v>9</v>
      </c>
    </row>
    <row r="3714" customFormat="false" ht="15" hidden="false" customHeight="false" outlineLevel="0" collapsed="false">
      <c r="A3714" s="22" t="n">
        <v>73</v>
      </c>
      <c r="B3714" s="23" t="n">
        <v>45978</v>
      </c>
      <c r="C3714" s="22" t="s">
        <v>229</v>
      </c>
      <c r="D3714" s="24" t="n">
        <v>7</v>
      </c>
    </row>
    <row r="3715" customFormat="false" ht="15" hidden="false" customHeight="false" outlineLevel="0" collapsed="false">
      <c r="A3715" s="22" t="n">
        <v>74</v>
      </c>
      <c r="B3715" s="23" t="n">
        <v>45985</v>
      </c>
      <c r="C3715" s="22" t="s">
        <v>229</v>
      </c>
      <c r="D3715" s="24" t="n">
        <v>7</v>
      </c>
    </row>
    <row r="3716" customFormat="false" ht="15" hidden="false" customHeight="false" outlineLevel="0" collapsed="false">
      <c r="A3716" s="22" t="n">
        <v>75</v>
      </c>
      <c r="B3716" s="23" t="n">
        <v>45992</v>
      </c>
      <c r="C3716" s="22" t="s">
        <v>229</v>
      </c>
      <c r="D3716" s="24" t="n">
        <v>12</v>
      </c>
    </row>
    <row r="3717" customFormat="false" ht="15" hidden="false" customHeight="false" outlineLevel="0" collapsed="false">
      <c r="A3717" s="22" t="n">
        <v>76</v>
      </c>
      <c r="B3717" s="23" t="n">
        <v>45999</v>
      </c>
      <c r="C3717" s="22" t="s">
        <v>229</v>
      </c>
      <c r="D3717" s="24" t="n">
        <v>8</v>
      </c>
    </row>
    <row r="3718" customFormat="false" ht="15" hidden="false" customHeight="false" outlineLevel="0" collapsed="false">
      <c r="A3718" s="22" t="n">
        <v>77</v>
      </c>
      <c r="B3718" s="23" t="n">
        <v>46006</v>
      </c>
      <c r="C3718" s="22" t="s">
        <v>229</v>
      </c>
      <c r="D3718" s="24" t="n">
        <v>12</v>
      </c>
    </row>
    <row r="3719" customFormat="false" ht="15" hidden="false" customHeight="false" outlineLevel="0" collapsed="false">
      <c r="A3719" s="22" t="n">
        <v>78</v>
      </c>
      <c r="B3719" s="23" t="n">
        <v>46013</v>
      </c>
      <c r="C3719" s="22" t="s">
        <v>229</v>
      </c>
      <c r="D3719" s="24" t="n">
        <v>9</v>
      </c>
    </row>
    <row r="3720" customFormat="false" ht="15" hidden="false" customHeight="false" outlineLevel="0" collapsed="false">
      <c r="A3720" s="22" t="n">
        <v>79</v>
      </c>
      <c r="B3720" s="23" t="n">
        <v>46020</v>
      </c>
      <c r="C3720" s="22" t="s">
        <v>229</v>
      </c>
      <c r="D3720" s="24" t="n">
        <v>7</v>
      </c>
    </row>
    <row r="3721" customFormat="false" ht="15" hidden="false" customHeight="false" outlineLevel="0" collapsed="false">
      <c r="A3721" s="22" t="n">
        <v>80</v>
      </c>
      <c r="B3721" s="23" t="n">
        <v>46027</v>
      </c>
      <c r="C3721" s="22" t="s">
        <v>229</v>
      </c>
      <c r="D3721" s="24" t="n">
        <v>6</v>
      </c>
    </row>
    <row r="3722" customFormat="false" ht="15" hidden="false" customHeight="false" outlineLevel="0" collapsed="false">
      <c r="A3722" s="22" t="n">
        <v>81</v>
      </c>
      <c r="B3722" s="23" t="n">
        <v>46034</v>
      </c>
      <c r="C3722" s="22" t="s">
        <v>229</v>
      </c>
      <c r="D3722" s="24" t="n">
        <v>3</v>
      </c>
    </row>
    <row r="3723" customFormat="false" ht="15" hidden="false" customHeight="false" outlineLevel="0" collapsed="false">
      <c r="A3723" s="22" t="n">
        <v>82</v>
      </c>
      <c r="B3723" s="23" t="n">
        <v>46041</v>
      </c>
      <c r="C3723" s="22" t="s">
        <v>229</v>
      </c>
      <c r="D3723" s="24" t="n">
        <v>8</v>
      </c>
    </row>
    <row r="3724" customFormat="false" ht="15" hidden="false" customHeight="false" outlineLevel="0" collapsed="false">
      <c r="A3724" s="22" t="n">
        <v>83</v>
      </c>
      <c r="B3724" s="23" t="n">
        <v>46048</v>
      </c>
      <c r="C3724" s="22" t="s">
        <v>229</v>
      </c>
      <c r="D3724" s="24" t="n">
        <v>10</v>
      </c>
    </row>
    <row r="3725" customFormat="false" ht="15" hidden="false" customHeight="false" outlineLevel="0" collapsed="false">
      <c r="A3725" s="22" t="n">
        <v>84</v>
      </c>
      <c r="B3725" s="23" t="n">
        <v>46055</v>
      </c>
      <c r="C3725" s="22" t="s">
        <v>229</v>
      </c>
      <c r="D3725" s="24" t="n">
        <v>14</v>
      </c>
    </row>
    <row r="3726" customFormat="false" ht="15" hidden="false" customHeight="false" outlineLevel="0" collapsed="false">
      <c r="A3726" s="22" t="n">
        <v>85</v>
      </c>
      <c r="B3726" s="23" t="n">
        <v>46062</v>
      </c>
      <c r="C3726" s="22" t="s">
        <v>229</v>
      </c>
      <c r="D3726" s="24" t="n">
        <v>6</v>
      </c>
    </row>
    <row r="3727" customFormat="false" ht="15" hidden="false" customHeight="false" outlineLevel="0" collapsed="false">
      <c r="A3727" s="22" t="n">
        <v>86</v>
      </c>
      <c r="B3727" s="23" t="n">
        <v>46069</v>
      </c>
      <c r="C3727" s="22" t="s">
        <v>229</v>
      </c>
      <c r="D3727" s="24" t="n">
        <v>12</v>
      </c>
    </row>
    <row r="3728" customFormat="false" ht="15" hidden="false" customHeight="false" outlineLevel="0" collapsed="false">
      <c r="A3728" s="22" t="n">
        <v>87</v>
      </c>
      <c r="B3728" s="23" t="n">
        <v>46076</v>
      </c>
      <c r="C3728" s="22" t="s">
        <v>229</v>
      </c>
      <c r="D3728" s="24" t="n">
        <v>7</v>
      </c>
    </row>
    <row r="3729" customFormat="false" ht="15" hidden="false" customHeight="false" outlineLevel="0" collapsed="false">
      <c r="A3729" s="22" t="n">
        <v>88</v>
      </c>
      <c r="B3729" s="23" t="n">
        <v>46083</v>
      </c>
      <c r="C3729" s="22" t="s">
        <v>229</v>
      </c>
      <c r="D3729" s="24" t="n">
        <v>7</v>
      </c>
    </row>
    <row r="3730" customFormat="false" ht="15" hidden="false" customHeight="false" outlineLevel="0" collapsed="false">
      <c r="A3730" s="22" t="n">
        <v>89</v>
      </c>
      <c r="B3730" s="23" t="n">
        <v>46090</v>
      </c>
      <c r="C3730" s="22" t="s">
        <v>229</v>
      </c>
      <c r="D3730" s="24" t="n">
        <v>10</v>
      </c>
    </row>
    <row r="3731" customFormat="false" ht="15" hidden="false" customHeight="false" outlineLevel="0" collapsed="false">
      <c r="A3731" s="22" t="n">
        <v>90</v>
      </c>
      <c r="B3731" s="23" t="n">
        <v>46097</v>
      </c>
      <c r="C3731" s="22" t="s">
        <v>229</v>
      </c>
      <c r="D3731" s="24" t="n">
        <v>6</v>
      </c>
    </row>
    <row r="3732" customFormat="false" ht="15" hidden="false" customHeight="false" outlineLevel="0" collapsed="false">
      <c r="A3732" s="22" t="n">
        <v>91</v>
      </c>
      <c r="B3732" s="23" t="n">
        <v>46104</v>
      </c>
      <c r="C3732" s="22" t="s">
        <v>229</v>
      </c>
      <c r="D3732" s="24" t="n">
        <v>12</v>
      </c>
    </row>
    <row r="3733" customFormat="false" ht="15" hidden="false" customHeight="false" outlineLevel="0" collapsed="false">
      <c r="A3733" s="22" t="n">
        <v>92</v>
      </c>
      <c r="B3733" s="23" t="n">
        <v>46111</v>
      </c>
      <c r="C3733" s="22" t="s">
        <v>229</v>
      </c>
      <c r="D3733" s="24" t="n">
        <v>9</v>
      </c>
    </row>
    <row r="3734" customFormat="false" ht="15" hidden="false" customHeight="false" outlineLevel="0" collapsed="false">
      <c r="A3734" s="22" t="n">
        <v>93</v>
      </c>
      <c r="B3734" s="23" t="n">
        <v>46118</v>
      </c>
      <c r="C3734" s="22" t="s">
        <v>229</v>
      </c>
      <c r="D3734" s="24" t="n">
        <v>7</v>
      </c>
    </row>
    <row r="3735" customFormat="false" ht="15" hidden="false" customHeight="false" outlineLevel="0" collapsed="false">
      <c r="A3735" s="22" t="n">
        <v>94</v>
      </c>
      <c r="B3735" s="23" t="n">
        <v>46125</v>
      </c>
      <c r="C3735" s="22" t="s">
        <v>229</v>
      </c>
      <c r="D3735" s="24" t="n">
        <v>11</v>
      </c>
    </row>
    <row r="3736" customFormat="false" ht="15" hidden="false" customHeight="false" outlineLevel="0" collapsed="false">
      <c r="A3736" s="22" t="n">
        <v>95</v>
      </c>
      <c r="B3736" s="23" t="n">
        <v>46132</v>
      </c>
      <c r="C3736" s="22" t="s">
        <v>229</v>
      </c>
      <c r="D3736" s="24" t="n">
        <v>7</v>
      </c>
    </row>
    <row r="3737" customFormat="false" ht="15" hidden="false" customHeight="false" outlineLevel="0" collapsed="false">
      <c r="A3737" s="22" t="n">
        <v>96</v>
      </c>
      <c r="B3737" s="23" t="n">
        <v>46139</v>
      </c>
      <c r="C3737" s="22" t="s">
        <v>229</v>
      </c>
      <c r="D3737" s="24" t="n">
        <v>5</v>
      </c>
    </row>
    <row r="3738" customFormat="false" ht="15" hidden="false" customHeight="false" outlineLevel="0" collapsed="false">
      <c r="A3738" s="22" t="n">
        <v>97</v>
      </c>
      <c r="B3738" s="23" t="n">
        <v>46146</v>
      </c>
      <c r="C3738" s="22" t="s">
        <v>229</v>
      </c>
      <c r="D3738" s="24" t="n">
        <v>9</v>
      </c>
    </row>
    <row r="3739" customFormat="false" ht="15" hidden="false" customHeight="false" outlineLevel="0" collapsed="false">
      <c r="A3739" s="22" t="n">
        <v>98</v>
      </c>
      <c r="B3739" s="23" t="n">
        <v>46153</v>
      </c>
      <c r="C3739" s="22" t="s">
        <v>229</v>
      </c>
      <c r="D3739" s="24" t="n">
        <v>7</v>
      </c>
    </row>
    <row r="3740" customFormat="false" ht="15" hidden="false" customHeight="false" outlineLevel="0" collapsed="false">
      <c r="A3740" s="22" t="n">
        <v>99</v>
      </c>
      <c r="B3740" s="23" t="n">
        <v>46160</v>
      </c>
      <c r="C3740" s="22" t="s">
        <v>229</v>
      </c>
      <c r="D3740" s="24" t="n">
        <v>4</v>
      </c>
    </row>
    <row r="3741" customFormat="false" ht="15" hidden="false" customHeight="false" outlineLevel="0" collapsed="false">
      <c r="A3741" s="22" t="n">
        <v>100</v>
      </c>
      <c r="B3741" s="23" t="n">
        <v>46167</v>
      </c>
      <c r="C3741" s="22" t="s">
        <v>229</v>
      </c>
      <c r="D3741" s="24" t="n">
        <v>10</v>
      </c>
    </row>
    <row r="3742" customFormat="false" ht="15" hidden="false" customHeight="false" outlineLevel="0" collapsed="false">
      <c r="A3742" s="22" t="n">
        <v>101</v>
      </c>
      <c r="B3742" s="23" t="n">
        <v>46174</v>
      </c>
      <c r="C3742" s="22" t="s">
        <v>229</v>
      </c>
      <c r="D3742" s="24" t="n">
        <v>8</v>
      </c>
    </row>
    <row r="3743" customFormat="false" ht="15" hidden="false" customHeight="false" outlineLevel="0" collapsed="false">
      <c r="A3743" s="22" t="n">
        <v>102</v>
      </c>
      <c r="B3743" s="23" t="n">
        <v>46181</v>
      </c>
      <c r="C3743" s="22" t="s">
        <v>229</v>
      </c>
      <c r="D3743" s="24" t="n">
        <v>10</v>
      </c>
    </row>
    <row r="3744" customFormat="false" ht="15" hidden="false" customHeight="false" outlineLevel="0" collapsed="false">
      <c r="A3744" s="22" t="n">
        <v>103</v>
      </c>
      <c r="B3744" s="23" t="n">
        <v>46188</v>
      </c>
      <c r="C3744" s="22" t="s">
        <v>229</v>
      </c>
      <c r="D3744" s="24" t="n">
        <v>10</v>
      </c>
    </row>
    <row r="3745" customFormat="false" ht="15" hidden="false" customHeight="false" outlineLevel="0" collapsed="false">
      <c r="A3745" s="22" t="n">
        <v>104</v>
      </c>
      <c r="B3745" s="23" t="n">
        <v>46195</v>
      </c>
      <c r="C3745" s="22" t="s">
        <v>229</v>
      </c>
      <c r="D3745" s="24" t="n">
        <v>3</v>
      </c>
    </row>
    <row r="3746" customFormat="false" ht="15" hidden="false" customHeight="false" outlineLevel="0" collapsed="false">
      <c r="A3746" s="22" t="n">
        <v>1</v>
      </c>
      <c r="B3746" s="23" t="n">
        <v>45474</v>
      </c>
      <c r="C3746" s="22" t="s">
        <v>231</v>
      </c>
      <c r="D3746" s="24" t="n">
        <v>11</v>
      </c>
    </row>
    <row r="3747" customFormat="false" ht="15" hidden="false" customHeight="false" outlineLevel="0" collapsed="false">
      <c r="A3747" s="22" t="n">
        <v>2</v>
      </c>
      <c r="B3747" s="23" t="n">
        <v>45481</v>
      </c>
      <c r="C3747" s="22" t="s">
        <v>231</v>
      </c>
      <c r="D3747" s="24" t="n">
        <v>20</v>
      </c>
    </row>
    <row r="3748" customFormat="false" ht="15" hidden="false" customHeight="false" outlineLevel="0" collapsed="false">
      <c r="A3748" s="22" t="n">
        <v>3</v>
      </c>
      <c r="B3748" s="23" t="n">
        <v>45488</v>
      </c>
      <c r="C3748" s="22" t="s">
        <v>231</v>
      </c>
      <c r="D3748" s="24" t="n">
        <v>16</v>
      </c>
    </row>
    <row r="3749" customFormat="false" ht="15" hidden="false" customHeight="false" outlineLevel="0" collapsed="false">
      <c r="A3749" s="22" t="n">
        <v>4</v>
      </c>
      <c r="B3749" s="23" t="n">
        <v>45495</v>
      </c>
      <c r="C3749" s="22" t="s">
        <v>231</v>
      </c>
      <c r="D3749" s="24" t="n">
        <v>9</v>
      </c>
    </row>
    <row r="3750" customFormat="false" ht="15" hidden="false" customHeight="false" outlineLevel="0" collapsed="false">
      <c r="A3750" s="22" t="n">
        <v>5</v>
      </c>
      <c r="B3750" s="23" t="n">
        <v>45502</v>
      </c>
      <c r="C3750" s="22" t="s">
        <v>231</v>
      </c>
      <c r="D3750" s="24" t="n">
        <v>14</v>
      </c>
    </row>
    <row r="3751" customFormat="false" ht="15" hidden="false" customHeight="false" outlineLevel="0" collapsed="false">
      <c r="A3751" s="22" t="n">
        <v>6</v>
      </c>
      <c r="B3751" s="23" t="n">
        <v>45509</v>
      </c>
      <c r="C3751" s="22" t="s">
        <v>231</v>
      </c>
      <c r="D3751" s="24" t="n">
        <v>12</v>
      </c>
    </row>
    <row r="3752" customFormat="false" ht="15" hidden="false" customHeight="false" outlineLevel="0" collapsed="false">
      <c r="A3752" s="22" t="n">
        <v>7</v>
      </c>
      <c r="B3752" s="23" t="n">
        <v>45516</v>
      </c>
      <c r="C3752" s="22" t="s">
        <v>231</v>
      </c>
      <c r="D3752" s="24" t="n">
        <v>12</v>
      </c>
    </row>
    <row r="3753" customFormat="false" ht="15" hidden="false" customHeight="false" outlineLevel="0" collapsed="false">
      <c r="A3753" s="22" t="n">
        <v>8</v>
      </c>
      <c r="B3753" s="23" t="n">
        <v>45523</v>
      </c>
      <c r="C3753" s="22" t="s">
        <v>231</v>
      </c>
      <c r="D3753" s="24" t="n">
        <v>15</v>
      </c>
    </row>
    <row r="3754" customFormat="false" ht="15" hidden="false" customHeight="false" outlineLevel="0" collapsed="false">
      <c r="A3754" s="22" t="n">
        <v>9</v>
      </c>
      <c r="B3754" s="23" t="n">
        <v>45530</v>
      </c>
      <c r="C3754" s="22" t="s">
        <v>231</v>
      </c>
      <c r="D3754" s="24" t="n">
        <v>21</v>
      </c>
    </row>
    <row r="3755" customFormat="false" ht="15" hidden="false" customHeight="false" outlineLevel="0" collapsed="false">
      <c r="A3755" s="22" t="n">
        <v>10</v>
      </c>
      <c r="B3755" s="23" t="n">
        <v>45537</v>
      </c>
      <c r="C3755" s="22" t="s">
        <v>231</v>
      </c>
      <c r="D3755" s="24" t="n">
        <v>13</v>
      </c>
    </row>
    <row r="3756" customFormat="false" ht="15" hidden="false" customHeight="false" outlineLevel="0" collapsed="false">
      <c r="A3756" s="22" t="n">
        <v>11</v>
      </c>
      <c r="B3756" s="23" t="n">
        <v>45544</v>
      </c>
      <c r="C3756" s="22" t="s">
        <v>231</v>
      </c>
      <c r="D3756" s="24" t="n">
        <v>16</v>
      </c>
    </row>
    <row r="3757" customFormat="false" ht="15" hidden="false" customHeight="false" outlineLevel="0" collapsed="false">
      <c r="A3757" s="22" t="n">
        <v>12</v>
      </c>
      <c r="B3757" s="23" t="n">
        <v>45551</v>
      </c>
      <c r="C3757" s="22" t="s">
        <v>231</v>
      </c>
      <c r="D3757" s="24" t="n">
        <v>7</v>
      </c>
    </row>
    <row r="3758" customFormat="false" ht="15" hidden="false" customHeight="false" outlineLevel="0" collapsed="false">
      <c r="A3758" s="22" t="n">
        <v>13</v>
      </c>
      <c r="B3758" s="23" t="n">
        <v>45558</v>
      </c>
      <c r="C3758" s="22" t="s">
        <v>231</v>
      </c>
      <c r="D3758" s="24" t="n">
        <v>16</v>
      </c>
    </row>
    <row r="3759" customFormat="false" ht="15" hidden="false" customHeight="false" outlineLevel="0" collapsed="false">
      <c r="A3759" s="22" t="n">
        <v>14</v>
      </c>
      <c r="B3759" s="23" t="n">
        <v>45565</v>
      </c>
      <c r="C3759" s="22" t="s">
        <v>231</v>
      </c>
      <c r="D3759" s="24" t="n">
        <v>21</v>
      </c>
    </row>
    <row r="3760" customFormat="false" ht="15" hidden="false" customHeight="false" outlineLevel="0" collapsed="false">
      <c r="A3760" s="22" t="n">
        <v>15</v>
      </c>
      <c r="B3760" s="23" t="n">
        <v>45572</v>
      </c>
      <c r="C3760" s="22" t="s">
        <v>231</v>
      </c>
      <c r="D3760" s="24" t="n">
        <v>19</v>
      </c>
    </row>
    <row r="3761" customFormat="false" ht="15" hidden="false" customHeight="false" outlineLevel="0" collapsed="false">
      <c r="A3761" s="22" t="n">
        <v>16</v>
      </c>
      <c r="B3761" s="23" t="n">
        <v>45579</v>
      </c>
      <c r="C3761" s="22" t="s">
        <v>231</v>
      </c>
      <c r="D3761" s="24" t="n">
        <v>18</v>
      </c>
    </row>
    <row r="3762" customFormat="false" ht="15" hidden="false" customHeight="false" outlineLevel="0" collapsed="false">
      <c r="A3762" s="22" t="n">
        <v>17</v>
      </c>
      <c r="B3762" s="23" t="n">
        <v>45586</v>
      </c>
      <c r="C3762" s="22" t="s">
        <v>231</v>
      </c>
      <c r="D3762" s="24" t="n">
        <v>12</v>
      </c>
    </row>
    <row r="3763" customFormat="false" ht="15" hidden="false" customHeight="false" outlineLevel="0" collapsed="false">
      <c r="A3763" s="22" t="n">
        <v>18</v>
      </c>
      <c r="B3763" s="23" t="n">
        <v>45593</v>
      </c>
      <c r="C3763" s="22" t="s">
        <v>231</v>
      </c>
      <c r="D3763" s="24" t="n">
        <v>10</v>
      </c>
    </row>
    <row r="3764" customFormat="false" ht="15" hidden="false" customHeight="false" outlineLevel="0" collapsed="false">
      <c r="A3764" s="22" t="n">
        <v>19</v>
      </c>
      <c r="B3764" s="23" t="n">
        <v>45600</v>
      </c>
      <c r="C3764" s="22" t="s">
        <v>231</v>
      </c>
      <c r="D3764" s="24" t="n">
        <v>14</v>
      </c>
    </row>
    <row r="3765" customFormat="false" ht="15" hidden="false" customHeight="false" outlineLevel="0" collapsed="false">
      <c r="A3765" s="22" t="n">
        <v>20</v>
      </c>
      <c r="B3765" s="23" t="n">
        <v>45607</v>
      </c>
      <c r="C3765" s="22" t="s">
        <v>231</v>
      </c>
      <c r="D3765" s="24" t="n">
        <v>8</v>
      </c>
    </row>
    <row r="3766" customFormat="false" ht="15" hidden="false" customHeight="false" outlineLevel="0" collapsed="false">
      <c r="A3766" s="22" t="n">
        <v>21</v>
      </c>
      <c r="B3766" s="23" t="n">
        <v>45614</v>
      </c>
      <c r="C3766" s="22" t="s">
        <v>231</v>
      </c>
      <c r="D3766" s="24" t="n">
        <v>8</v>
      </c>
    </row>
    <row r="3767" customFormat="false" ht="15" hidden="false" customHeight="false" outlineLevel="0" collapsed="false">
      <c r="A3767" s="22" t="n">
        <v>22</v>
      </c>
      <c r="B3767" s="23" t="n">
        <v>45621</v>
      </c>
      <c r="C3767" s="22" t="s">
        <v>231</v>
      </c>
      <c r="D3767" s="24" t="n">
        <v>20</v>
      </c>
    </row>
    <row r="3768" customFormat="false" ht="15" hidden="false" customHeight="false" outlineLevel="0" collapsed="false">
      <c r="A3768" s="22" t="n">
        <v>23</v>
      </c>
      <c r="B3768" s="23" t="n">
        <v>45628</v>
      </c>
      <c r="C3768" s="22" t="s">
        <v>231</v>
      </c>
      <c r="D3768" s="24" t="n">
        <v>10</v>
      </c>
    </row>
    <row r="3769" customFormat="false" ht="15" hidden="false" customHeight="false" outlineLevel="0" collapsed="false">
      <c r="A3769" s="22" t="n">
        <v>24</v>
      </c>
      <c r="B3769" s="23" t="n">
        <v>45635</v>
      </c>
      <c r="C3769" s="22" t="s">
        <v>231</v>
      </c>
      <c r="D3769" s="24" t="n">
        <v>25</v>
      </c>
    </row>
    <row r="3770" customFormat="false" ht="15" hidden="false" customHeight="false" outlineLevel="0" collapsed="false">
      <c r="A3770" s="22" t="n">
        <v>25</v>
      </c>
      <c r="B3770" s="23" t="n">
        <v>45642</v>
      </c>
      <c r="C3770" s="22" t="s">
        <v>231</v>
      </c>
      <c r="D3770" s="24" t="n">
        <v>7</v>
      </c>
    </row>
    <row r="3771" customFormat="false" ht="15" hidden="false" customHeight="false" outlineLevel="0" collapsed="false">
      <c r="A3771" s="22" t="n">
        <v>26</v>
      </c>
      <c r="B3771" s="23" t="n">
        <v>45649</v>
      </c>
      <c r="C3771" s="22" t="s">
        <v>231</v>
      </c>
      <c r="D3771" s="24" t="n">
        <v>17</v>
      </c>
    </row>
    <row r="3772" customFormat="false" ht="15" hidden="false" customHeight="false" outlineLevel="0" collapsed="false">
      <c r="A3772" s="22" t="n">
        <v>27</v>
      </c>
      <c r="B3772" s="23" t="n">
        <v>45656</v>
      </c>
      <c r="C3772" s="22" t="s">
        <v>231</v>
      </c>
      <c r="D3772" s="24" t="n">
        <v>8</v>
      </c>
    </row>
    <row r="3773" customFormat="false" ht="15" hidden="false" customHeight="false" outlineLevel="0" collapsed="false">
      <c r="A3773" s="22" t="n">
        <v>28</v>
      </c>
      <c r="B3773" s="23" t="n">
        <v>45663</v>
      </c>
      <c r="C3773" s="22" t="s">
        <v>231</v>
      </c>
      <c r="D3773" s="24" t="n">
        <v>16</v>
      </c>
    </row>
    <row r="3774" customFormat="false" ht="15" hidden="false" customHeight="false" outlineLevel="0" collapsed="false">
      <c r="A3774" s="22" t="n">
        <v>29</v>
      </c>
      <c r="B3774" s="23" t="n">
        <v>45670</v>
      </c>
      <c r="C3774" s="22" t="s">
        <v>231</v>
      </c>
      <c r="D3774" s="24" t="n">
        <v>9</v>
      </c>
    </row>
    <row r="3775" customFormat="false" ht="15" hidden="false" customHeight="false" outlineLevel="0" collapsed="false">
      <c r="A3775" s="22" t="n">
        <v>30</v>
      </c>
      <c r="B3775" s="23" t="n">
        <v>45677</v>
      </c>
      <c r="C3775" s="22" t="s">
        <v>231</v>
      </c>
      <c r="D3775" s="24" t="n">
        <v>15</v>
      </c>
    </row>
    <row r="3776" customFormat="false" ht="15" hidden="false" customHeight="false" outlineLevel="0" collapsed="false">
      <c r="A3776" s="22" t="n">
        <v>31</v>
      </c>
      <c r="B3776" s="23" t="n">
        <v>45684</v>
      </c>
      <c r="C3776" s="22" t="s">
        <v>231</v>
      </c>
      <c r="D3776" s="24" t="n">
        <v>14</v>
      </c>
    </row>
    <row r="3777" customFormat="false" ht="15" hidden="false" customHeight="false" outlineLevel="0" collapsed="false">
      <c r="A3777" s="22" t="n">
        <v>32</v>
      </c>
      <c r="B3777" s="23" t="n">
        <v>45691</v>
      </c>
      <c r="C3777" s="22" t="s">
        <v>231</v>
      </c>
      <c r="D3777" s="24" t="n">
        <v>12</v>
      </c>
    </row>
    <row r="3778" customFormat="false" ht="15" hidden="false" customHeight="false" outlineLevel="0" collapsed="false">
      <c r="A3778" s="22" t="n">
        <v>33</v>
      </c>
      <c r="B3778" s="23" t="n">
        <v>45698</v>
      </c>
      <c r="C3778" s="22" t="s">
        <v>231</v>
      </c>
      <c r="D3778" s="24" t="n">
        <v>18</v>
      </c>
    </row>
    <row r="3779" customFormat="false" ht="15" hidden="false" customHeight="false" outlineLevel="0" collapsed="false">
      <c r="A3779" s="22" t="n">
        <v>34</v>
      </c>
      <c r="B3779" s="23" t="n">
        <v>45705</v>
      </c>
      <c r="C3779" s="22" t="s">
        <v>231</v>
      </c>
      <c r="D3779" s="24" t="n">
        <v>23</v>
      </c>
    </row>
    <row r="3780" customFormat="false" ht="15" hidden="false" customHeight="false" outlineLevel="0" collapsed="false">
      <c r="A3780" s="22" t="n">
        <v>35</v>
      </c>
      <c r="B3780" s="23" t="n">
        <v>45712</v>
      </c>
      <c r="C3780" s="22" t="s">
        <v>231</v>
      </c>
      <c r="D3780" s="24" t="n">
        <v>12</v>
      </c>
    </row>
    <row r="3781" customFormat="false" ht="15" hidden="false" customHeight="false" outlineLevel="0" collapsed="false">
      <c r="A3781" s="22" t="n">
        <v>36</v>
      </c>
      <c r="B3781" s="23" t="n">
        <v>45719</v>
      </c>
      <c r="C3781" s="22" t="s">
        <v>231</v>
      </c>
      <c r="D3781" s="24" t="n">
        <v>20</v>
      </c>
    </row>
    <row r="3782" customFormat="false" ht="15" hidden="false" customHeight="false" outlineLevel="0" collapsed="false">
      <c r="A3782" s="22" t="n">
        <v>37</v>
      </c>
      <c r="B3782" s="23" t="n">
        <v>45726</v>
      </c>
      <c r="C3782" s="22" t="s">
        <v>231</v>
      </c>
      <c r="D3782" s="24" t="n">
        <v>15</v>
      </c>
    </row>
    <row r="3783" customFormat="false" ht="15" hidden="false" customHeight="false" outlineLevel="0" collapsed="false">
      <c r="A3783" s="22" t="n">
        <v>38</v>
      </c>
      <c r="B3783" s="23" t="n">
        <v>45733</v>
      </c>
      <c r="C3783" s="22" t="s">
        <v>231</v>
      </c>
      <c r="D3783" s="24" t="n">
        <v>15</v>
      </c>
    </row>
    <row r="3784" customFormat="false" ht="15" hidden="false" customHeight="false" outlineLevel="0" collapsed="false">
      <c r="A3784" s="22" t="n">
        <v>39</v>
      </c>
      <c r="B3784" s="23" t="n">
        <v>45740</v>
      </c>
      <c r="C3784" s="22" t="s">
        <v>231</v>
      </c>
      <c r="D3784" s="24" t="n">
        <v>27</v>
      </c>
    </row>
    <row r="3785" customFormat="false" ht="15" hidden="false" customHeight="false" outlineLevel="0" collapsed="false">
      <c r="A3785" s="22" t="n">
        <v>40</v>
      </c>
      <c r="B3785" s="23" t="n">
        <v>45747</v>
      </c>
      <c r="C3785" s="22" t="s">
        <v>231</v>
      </c>
      <c r="D3785" s="24" t="n">
        <v>3</v>
      </c>
    </row>
    <row r="3786" customFormat="false" ht="15" hidden="false" customHeight="false" outlineLevel="0" collapsed="false">
      <c r="A3786" s="22" t="n">
        <v>41</v>
      </c>
      <c r="B3786" s="23" t="n">
        <v>45754</v>
      </c>
      <c r="C3786" s="22" t="s">
        <v>231</v>
      </c>
      <c r="D3786" s="24" t="n">
        <v>11</v>
      </c>
    </row>
    <row r="3787" customFormat="false" ht="15" hidden="false" customHeight="false" outlineLevel="0" collapsed="false">
      <c r="A3787" s="22" t="n">
        <v>42</v>
      </c>
      <c r="B3787" s="23" t="n">
        <v>45761</v>
      </c>
      <c r="C3787" s="22" t="s">
        <v>231</v>
      </c>
      <c r="D3787" s="24" t="n">
        <v>5</v>
      </c>
    </row>
    <row r="3788" customFormat="false" ht="15" hidden="false" customHeight="false" outlineLevel="0" collapsed="false">
      <c r="A3788" s="22" t="n">
        <v>43</v>
      </c>
      <c r="B3788" s="23" t="n">
        <v>45768</v>
      </c>
      <c r="C3788" s="22" t="s">
        <v>231</v>
      </c>
      <c r="D3788" s="24" t="n">
        <v>13</v>
      </c>
    </row>
    <row r="3789" customFormat="false" ht="15" hidden="false" customHeight="false" outlineLevel="0" collapsed="false">
      <c r="A3789" s="22" t="n">
        <v>44</v>
      </c>
      <c r="B3789" s="23" t="n">
        <v>45775</v>
      </c>
      <c r="C3789" s="22" t="s">
        <v>231</v>
      </c>
      <c r="D3789" s="24" t="n">
        <v>14</v>
      </c>
    </row>
    <row r="3790" customFormat="false" ht="15" hidden="false" customHeight="false" outlineLevel="0" collapsed="false">
      <c r="A3790" s="22" t="n">
        <v>45</v>
      </c>
      <c r="B3790" s="23" t="n">
        <v>45782</v>
      </c>
      <c r="C3790" s="22" t="s">
        <v>231</v>
      </c>
      <c r="D3790" s="24" t="n">
        <v>36</v>
      </c>
    </row>
    <row r="3791" customFormat="false" ht="15" hidden="false" customHeight="false" outlineLevel="0" collapsed="false">
      <c r="A3791" s="22" t="n">
        <v>46</v>
      </c>
      <c r="B3791" s="23" t="n">
        <v>45789</v>
      </c>
      <c r="C3791" s="22" t="s">
        <v>231</v>
      </c>
      <c r="D3791" s="24" t="n">
        <v>17</v>
      </c>
    </row>
    <row r="3792" customFormat="false" ht="15" hidden="false" customHeight="false" outlineLevel="0" collapsed="false">
      <c r="A3792" s="22" t="n">
        <v>47</v>
      </c>
      <c r="B3792" s="23" t="n">
        <v>45796</v>
      </c>
      <c r="C3792" s="22" t="s">
        <v>231</v>
      </c>
      <c r="D3792" s="24" t="n">
        <v>25</v>
      </c>
    </row>
    <row r="3793" customFormat="false" ht="15" hidden="false" customHeight="false" outlineLevel="0" collapsed="false">
      <c r="A3793" s="22" t="n">
        <v>48</v>
      </c>
      <c r="B3793" s="23" t="n">
        <v>45803</v>
      </c>
      <c r="C3793" s="22" t="s">
        <v>231</v>
      </c>
      <c r="D3793" s="24" t="n">
        <v>22</v>
      </c>
    </row>
    <row r="3794" customFormat="false" ht="15" hidden="false" customHeight="false" outlineLevel="0" collapsed="false">
      <c r="A3794" s="22" t="n">
        <v>49</v>
      </c>
      <c r="B3794" s="23" t="n">
        <v>45810</v>
      </c>
      <c r="C3794" s="22" t="s">
        <v>231</v>
      </c>
      <c r="D3794" s="24" t="n">
        <v>12</v>
      </c>
    </row>
    <row r="3795" customFormat="false" ht="15" hidden="false" customHeight="false" outlineLevel="0" collapsed="false">
      <c r="A3795" s="22" t="n">
        <v>50</v>
      </c>
      <c r="B3795" s="23" t="n">
        <v>45817</v>
      </c>
      <c r="C3795" s="22" t="s">
        <v>231</v>
      </c>
      <c r="D3795" s="24" t="n">
        <v>18</v>
      </c>
    </row>
    <row r="3796" customFormat="false" ht="15" hidden="false" customHeight="false" outlineLevel="0" collapsed="false">
      <c r="A3796" s="22" t="n">
        <v>51</v>
      </c>
      <c r="B3796" s="23" t="n">
        <v>45824</v>
      </c>
      <c r="C3796" s="22" t="s">
        <v>231</v>
      </c>
      <c r="D3796" s="24" t="n">
        <v>24</v>
      </c>
    </row>
    <row r="3797" customFormat="false" ht="15" hidden="false" customHeight="false" outlineLevel="0" collapsed="false">
      <c r="A3797" s="22" t="n">
        <v>52</v>
      </c>
      <c r="B3797" s="23" t="n">
        <v>45831</v>
      </c>
      <c r="C3797" s="22" t="s">
        <v>231</v>
      </c>
      <c r="D3797" s="24" t="n">
        <v>16</v>
      </c>
    </row>
    <row r="3798" customFormat="false" ht="15" hidden="false" customHeight="false" outlineLevel="0" collapsed="false">
      <c r="A3798" s="22" t="n">
        <v>53</v>
      </c>
      <c r="B3798" s="23" t="n">
        <v>45838</v>
      </c>
      <c r="C3798" s="22" t="s">
        <v>231</v>
      </c>
      <c r="D3798" s="24" t="n">
        <v>16</v>
      </c>
    </row>
    <row r="3799" customFormat="false" ht="15" hidden="false" customHeight="false" outlineLevel="0" collapsed="false">
      <c r="A3799" s="22" t="n">
        <v>54</v>
      </c>
      <c r="B3799" s="23" t="n">
        <v>45845</v>
      </c>
      <c r="C3799" s="22" t="s">
        <v>231</v>
      </c>
      <c r="D3799" s="24" t="n">
        <v>18</v>
      </c>
    </row>
    <row r="3800" customFormat="false" ht="15" hidden="false" customHeight="false" outlineLevel="0" collapsed="false">
      <c r="A3800" s="22" t="n">
        <v>55</v>
      </c>
      <c r="B3800" s="23" t="n">
        <v>45852</v>
      </c>
      <c r="C3800" s="22" t="s">
        <v>231</v>
      </c>
      <c r="D3800" s="24" t="n">
        <v>7</v>
      </c>
    </row>
    <row r="3801" customFormat="false" ht="15" hidden="false" customHeight="false" outlineLevel="0" collapsed="false">
      <c r="A3801" s="22" t="n">
        <v>56</v>
      </c>
      <c r="B3801" s="23" t="n">
        <v>45859</v>
      </c>
      <c r="C3801" s="22" t="s">
        <v>231</v>
      </c>
      <c r="D3801" s="24" t="n">
        <v>10</v>
      </c>
    </row>
    <row r="3802" customFormat="false" ht="15" hidden="false" customHeight="false" outlineLevel="0" collapsed="false">
      <c r="A3802" s="22" t="n">
        <v>57</v>
      </c>
      <c r="B3802" s="23" t="n">
        <v>45866</v>
      </c>
      <c r="C3802" s="22" t="s">
        <v>231</v>
      </c>
      <c r="D3802" s="24" t="n">
        <v>17</v>
      </c>
    </row>
    <row r="3803" customFormat="false" ht="15" hidden="false" customHeight="false" outlineLevel="0" collapsed="false">
      <c r="A3803" s="22" t="n">
        <v>58</v>
      </c>
      <c r="B3803" s="23" t="n">
        <v>45873</v>
      </c>
      <c r="C3803" s="22" t="s">
        <v>231</v>
      </c>
      <c r="D3803" s="24" t="n">
        <v>18</v>
      </c>
    </row>
    <row r="3804" customFormat="false" ht="15" hidden="false" customHeight="false" outlineLevel="0" collapsed="false">
      <c r="A3804" s="22" t="n">
        <v>59</v>
      </c>
      <c r="B3804" s="23" t="n">
        <v>45880</v>
      </c>
      <c r="C3804" s="22" t="s">
        <v>231</v>
      </c>
      <c r="D3804" s="24" t="n">
        <v>10</v>
      </c>
    </row>
    <row r="3805" customFormat="false" ht="15" hidden="false" customHeight="false" outlineLevel="0" collapsed="false">
      <c r="A3805" s="22" t="n">
        <v>60</v>
      </c>
      <c r="B3805" s="23" t="n">
        <v>45887</v>
      </c>
      <c r="C3805" s="22" t="s">
        <v>231</v>
      </c>
      <c r="D3805" s="24" t="n">
        <v>13</v>
      </c>
    </row>
    <row r="3806" customFormat="false" ht="15" hidden="false" customHeight="false" outlineLevel="0" collapsed="false">
      <c r="A3806" s="22" t="n">
        <v>61</v>
      </c>
      <c r="B3806" s="23" t="n">
        <v>45894</v>
      </c>
      <c r="C3806" s="22" t="s">
        <v>231</v>
      </c>
      <c r="D3806" s="24" t="n">
        <v>14</v>
      </c>
    </row>
    <row r="3807" customFormat="false" ht="15" hidden="false" customHeight="false" outlineLevel="0" collapsed="false">
      <c r="A3807" s="22" t="n">
        <v>62</v>
      </c>
      <c r="B3807" s="23" t="n">
        <v>45901</v>
      </c>
      <c r="C3807" s="22" t="s">
        <v>231</v>
      </c>
      <c r="D3807" s="24" t="n">
        <v>14</v>
      </c>
    </row>
    <row r="3808" customFormat="false" ht="15" hidden="false" customHeight="false" outlineLevel="0" collapsed="false">
      <c r="A3808" s="22" t="n">
        <v>63</v>
      </c>
      <c r="B3808" s="23" t="n">
        <v>45908</v>
      </c>
      <c r="C3808" s="22" t="s">
        <v>231</v>
      </c>
      <c r="D3808" s="24" t="n">
        <v>19</v>
      </c>
    </row>
    <row r="3809" customFormat="false" ht="15" hidden="false" customHeight="false" outlineLevel="0" collapsed="false">
      <c r="A3809" s="22" t="n">
        <v>64</v>
      </c>
      <c r="B3809" s="23" t="n">
        <v>45915</v>
      </c>
      <c r="C3809" s="22" t="s">
        <v>231</v>
      </c>
      <c r="D3809" s="24" t="n">
        <v>16</v>
      </c>
    </row>
    <row r="3810" customFormat="false" ht="15" hidden="false" customHeight="false" outlineLevel="0" collapsed="false">
      <c r="A3810" s="22" t="n">
        <v>65</v>
      </c>
      <c r="B3810" s="23" t="n">
        <v>45922</v>
      </c>
      <c r="C3810" s="22" t="s">
        <v>231</v>
      </c>
      <c r="D3810" s="24" t="n">
        <v>16</v>
      </c>
    </row>
    <row r="3811" customFormat="false" ht="15" hidden="false" customHeight="false" outlineLevel="0" collapsed="false">
      <c r="A3811" s="22" t="n">
        <v>66</v>
      </c>
      <c r="B3811" s="23" t="n">
        <v>45929</v>
      </c>
      <c r="C3811" s="22" t="s">
        <v>231</v>
      </c>
      <c r="D3811" s="24" t="n">
        <v>7</v>
      </c>
    </row>
    <row r="3812" customFormat="false" ht="15" hidden="false" customHeight="false" outlineLevel="0" collapsed="false">
      <c r="A3812" s="22" t="n">
        <v>67</v>
      </c>
      <c r="B3812" s="23" t="n">
        <v>45936</v>
      </c>
      <c r="C3812" s="22" t="s">
        <v>231</v>
      </c>
      <c r="D3812" s="24" t="n">
        <v>9</v>
      </c>
    </row>
    <row r="3813" customFormat="false" ht="15" hidden="false" customHeight="false" outlineLevel="0" collapsed="false">
      <c r="A3813" s="22" t="n">
        <v>68</v>
      </c>
      <c r="B3813" s="23" t="n">
        <v>45943</v>
      </c>
      <c r="C3813" s="22" t="s">
        <v>231</v>
      </c>
      <c r="D3813" s="24" t="n">
        <v>17</v>
      </c>
    </row>
    <row r="3814" customFormat="false" ht="15" hidden="false" customHeight="false" outlineLevel="0" collapsed="false">
      <c r="A3814" s="22" t="n">
        <v>69</v>
      </c>
      <c r="B3814" s="23" t="n">
        <v>45950</v>
      </c>
      <c r="C3814" s="22" t="s">
        <v>231</v>
      </c>
      <c r="D3814" s="24" t="n">
        <v>6</v>
      </c>
    </row>
    <row r="3815" customFormat="false" ht="15" hidden="false" customHeight="false" outlineLevel="0" collapsed="false">
      <c r="A3815" s="22" t="n">
        <v>70</v>
      </c>
      <c r="B3815" s="23" t="n">
        <v>45957</v>
      </c>
      <c r="C3815" s="22" t="s">
        <v>231</v>
      </c>
      <c r="D3815" s="24" t="n">
        <v>16</v>
      </c>
    </row>
    <row r="3816" customFormat="false" ht="15" hidden="false" customHeight="false" outlineLevel="0" collapsed="false">
      <c r="A3816" s="22" t="n">
        <v>71</v>
      </c>
      <c r="B3816" s="23" t="n">
        <v>45964</v>
      </c>
      <c r="C3816" s="22" t="s">
        <v>231</v>
      </c>
      <c r="D3816" s="24" t="n">
        <v>11</v>
      </c>
    </row>
    <row r="3817" customFormat="false" ht="15" hidden="false" customHeight="false" outlineLevel="0" collapsed="false">
      <c r="A3817" s="22" t="n">
        <v>72</v>
      </c>
      <c r="B3817" s="23" t="n">
        <v>45971</v>
      </c>
      <c r="C3817" s="22" t="s">
        <v>231</v>
      </c>
      <c r="D3817" s="24" t="n">
        <v>10</v>
      </c>
    </row>
    <row r="3818" customFormat="false" ht="15" hidden="false" customHeight="false" outlineLevel="0" collapsed="false">
      <c r="A3818" s="22" t="n">
        <v>73</v>
      </c>
      <c r="B3818" s="23" t="n">
        <v>45978</v>
      </c>
      <c r="C3818" s="22" t="s">
        <v>231</v>
      </c>
      <c r="D3818" s="24" t="n">
        <v>19</v>
      </c>
    </row>
    <row r="3819" customFormat="false" ht="15" hidden="false" customHeight="false" outlineLevel="0" collapsed="false">
      <c r="A3819" s="22" t="n">
        <v>74</v>
      </c>
      <c r="B3819" s="23" t="n">
        <v>45985</v>
      </c>
      <c r="C3819" s="22" t="s">
        <v>231</v>
      </c>
      <c r="D3819" s="24" t="n">
        <v>11</v>
      </c>
    </row>
    <row r="3820" customFormat="false" ht="15" hidden="false" customHeight="false" outlineLevel="0" collapsed="false">
      <c r="A3820" s="22" t="n">
        <v>75</v>
      </c>
      <c r="B3820" s="23" t="n">
        <v>45992</v>
      </c>
      <c r="C3820" s="22" t="s">
        <v>231</v>
      </c>
      <c r="D3820" s="24" t="n">
        <v>10</v>
      </c>
    </row>
    <row r="3821" customFormat="false" ht="15" hidden="false" customHeight="false" outlineLevel="0" collapsed="false">
      <c r="A3821" s="22" t="n">
        <v>76</v>
      </c>
      <c r="B3821" s="23" t="n">
        <v>45999</v>
      </c>
      <c r="C3821" s="22" t="s">
        <v>231</v>
      </c>
      <c r="D3821" s="24" t="n">
        <v>11</v>
      </c>
    </row>
    <row r="3822" customFormat="false" ht="15" hidden="false" customHeight="false" outlineLevel="0" collapsed="false">
      <c r="A3822" s="22" t="n">
        <v>77</v>
      </c>
      <c r="B3822" s="23" t="n">
        <v>46006</v>
      </c>
      <c r="C3822" s="22" t="s">
        <v>231</v>
      </c>
      <c r="D3822" s="24" t="n">
        <v>15</v>
      </c>
    </row>
    <row r="3823" customFormat="false" ht="15" hidden="false" customHeight="false" outlineLevel="0" collapsed="false">
      <c r="A3823" s="22" t="n">
        <v>78</v>
      </c>
      <c r="B3823" s="23" t="n">
        <v>46013</v>
      </c>
      <c r="C3823" s="22" t="s">
        <v>231</v>
      </c>
      <c r="D3823" s="24" t="n">
        <v>30</v>
      </c>
    </row>
    <row r="3824" customFormat="false" ht="15" hidden="false" customHeight="false" outlineLevel="0" collapsed="false">
      <c r="A3824" s="22" t="n">
        <v>79</v>
      </c>
      <c r="B3824" s="23" t="n">
        <v>46020</v>
      </c>
      <c r="C3824" s="22" t="s">
        <v>231</v>
      </c>
      <c r="D3824" s="24" t="n">
        <v>3</v>
      </c>
    </row>
    <row r="3825" customFormat="false" ht="15" hidden="false" customHeight="false" outlineLevel="0" collapsed="false">
      <c r="A3825" s="22" t="n">
        <v>80</v>
      </c>
      <c r="B3825" s="23" t="n">
        <v>46027</v>
      </c>
      <c r="C3825" s="22" t="s">
        <v>231</v>
      </c>
      <c r="D3825" s="24" t="n">
        <v>15</v>
      </c>
    </row>
    <row r="3826" customFormat="false" ht="15" hidden="false" customHeight="false" outlineLevel="0" collapsed="false">
      <c r="A3826" s="22" t="n">
        <v>81</v>
      </c>
      <c r="B3826" s="23" t="n">
        <v>46034</v>
      </c>
      <c r="C3826" s="22" t="s">
        <v>231</v>
      </c>
      <c r="D3826" s="24" t="n">
        <v>14</v>
      </c>
    </row>
    <row r="3827" customFormat="false" ht="15" hidden="false" customHeight="false" outlineLevel="0" collapsed="false">
      <c r="A3827" s="22" t="n">
        <v>82</v>
      </c>
      <c r="B3827" s="23" t="n">
        <v>46041</v>
      </c>
      <c r="C3827" s="22" t="s">
        <v>231</v>
      </c>
      <c r="D3827" s="24" t="n">
        <v>20</v>
      </c>
    </row>
    <row r="3828" customFormat="false" ht="15" hidden="false" customHeight="false" outlineLevel="0" collapsed="false">
      <c r="A3828" s="22" t="n">
        <v>83</v>
      </c>
      <c r="B3828" s="23" t="n">
        <v>46048</v>
      </c>
      <c r="C3828" s="22" t="s">
        <v>231</v>
      </c>
      <c r="D3828" s="24" t="n">
        <v>13</v>
      </c>
    </row>
    <row r="3829" customFormat="false" ht="15" hidden="false" customHeight="false" outlineLevel="0" collapsed="false">
      <c r="A3829" s="22" t="n">
        <v>84</v>
      </c>
      <c r="B3829" s="23" t="n">
        <v>46055</v>
      </c>
      <c r="C3829" s="22" t="s">
        <v>231</v>
      </c>
      <c r="D3829" s="24" t="n">
        <v>1</v>
      </c>
    </row>
    <row r="3830" customFormat="false" ht="15" hidden="false" customHeight="false" outlineLevel="0" collapsed="false">
      <c r="A3830" s="22" t="n">
        <v>85</v>
      </c>
      <c r="B3830" s="23" t="n">
        <v>46062</v>
      </c>
      <c r="C3830" s="22" t="s">
        <v>231</v>
      </c>
      <c r="D3830" s="24" t="n">
        <v>22</v>
      </c>
    </row>
    <row r="3831" customFormat="false" ht="15" hidden="false" customHeight="false" outlineLevel="0" collapsed="false">
      <c r="A3831" s="22" t="n">
        <v>86</v>
      </c>
      <c r="B3831" s="23" t="n">
        <v>46069</v>
      </c>
      <c r="C3831" s="22" t="s">
        <v>231</v>
      </c>
      <c r="D3831" s="24" t="n">
        <v>9</v>
      </c>
    </row>
    <row r="3832" customFormat="false" ht="15" hidden="false" customHeight="false" outlineLevel="0" collapsed="false">
      <c r="A3832" s="22" t="n">
        <v>87</v>
      </c>
      <c r="B3832" s="23" t="n">
        <v>46076</v>
      </c>
      <c r="C3832" s="22" t="s">
        <v>231</v>
      </c>
      <c r="D3832" s="24" t="n">
        <v>15</v>
      </c>
    </row>
    <row r="3833" customFormat="false" ht="15" hidden="false" customHeight="false" outlineLevel="0" collapsed="false">
      <c r="A3833" s="22" t="n">
        <v>88</v>
      </c>
      <c r="B3833" s="23" t="n">
        <v>46083</v>
      </c>
      <c r="C3833" s="22" t="s">
        <v>231</v>
      </c>
      <c r="D3833" s="24" t="n">
        <v>7</v>
      </c>
    </row>
    <row r="3834" customFormat="false" ht="15" hidden="false" customHeight="false" outlineLevel="0" collapsed="false">
      <c r="A3834" s="22" t="n">
        <v>89</v>
      </c>
      <c r="B3834" s="23" t="n">
        <v>46090</v>
      </c>
      <c r="C3834" s="22" t="s">
        <v>231</v>
      </c>
      <c r="D3834" s="24" t="n">
        <v>9</v>
      </c>
    </row>
    <row r="3835" customFormat="false" ht="15" hidden="false" customHeight="false" outlineLevel="0" collapsed="false">
      <c r="A3835" s="22" t="n">
        <v>90</v>
      </c>
      <c r="B3835" s="23" t="n">
        <v>46097</v>
      </c>
      <c r="C3835" s="22" t="s">
        <v>231</v>
      </c>
      <c r="D3835" s="24" t="n">
        <v>12</v>
      </c>
    </row>
    <row r="3836" customFormat="false" ht="15" hidden="false" customHeight="false" outlineLevel="0" collapsed="false">
      <c r="A3836" s="22" t="n">
        <v>91</v>
      </c>
      <c r="B3836" s="23" t="n">
        <v>46104</v>
      </c>
      <c r="C3836" s="22" t="s">
        <v>231</v>
      </c>
      <c r="D3836" s="24" t="n">
        <v>20</v>
      </c>
    </row>
    <row r="3837" customFormat="false" ht="15" hidden="false" customHeight="false" outlineLevel="0" collapsed="false">
      <c r="A3837" s="22" t="n">
        <v>92</v>
      </c>
      <c r="B3837" s="23" t="n">
        <v>46111</v>
      </c>
      <c r="C3837" s="22" t="s">
        <v>231</v>
      </c>
      <c r="D3837" s="24" t="n">
        <v>20</v>
      </c>
    </row>
    <row r="3838" customFormat="false" ht="15" hidden="false" customHeight="false" outlineLevel="0" collapsed="false">
      <c r="A3838" s="22" t="n">
        <v>93</v>
      </c>
      <c r="B3838" s="23" t="n">
        <v>46118</v>
      </c>
      <c r="C3838" s="22" t="s">
        <v>231</v>
      </c>
      <c r="D3838" s="24" t="n">
        <v>12</v>
      </c>
    </row>
    <row r="3839" customFormat="false" ht="15" hidden="false" customHeight="false" outlineLevel="0" collapsed="false">
      <c r="A3839" s="22" t="n">
        <v>94</v>
      </c>
      <c r="B3839" s="23" t="n">
        <v>46125</v>
      </c>
      <c r="C3839" s="22" t="s">
        <v>231</v>
      </c>
      <c r="D3839" s="24" t="n">
        <v>18</v>
      </c>
    </row>
    <row r="3840" customFormat="false" ht="15" hidden="false" customHeight="false" outlineLevel="0" collapsed="false">
      <c r="A3840" s="22" t="n">
        <v>95</v>
      </c>
      <c r="B3840" s="23" t="n">
        <v>46132</v>
      </c>
      <c r="C3840" s="22" t="s">
        <v>231</v>
      </c>
      <c r="D3840" s="24" t="n">
        <v>13</v>
      </c>
    </row>
    <row r="3841" customFormat="false" ht="15" hidden="false" customHeight="false" outlineLevel="0" collapsed="false">
      <c r="A3841" s="22" t="n">
        <v>96</v>
      </c>
      <c r="B3841" s="23" t="n">
        <v>46139</v>
      </c>
      <c r="C3841" s="22" t="s">
        <v>231</v>
      </c>
      <c r="D3841" s="24" t="n">
        <v>15</v>
      </c>
    </row>
    <row r="3842" customFormat="false" ht="15" hidden="false" customHeight="false" outlineLevel="0" collapsed="false">
      <c r="A3842" s="22" t="n">
        <v>97</v>
      </c>
      <c r="B3842" s="23" t="n">
        <v>46146</v>
      </c>
      <c r="C3842" s="22" t="s">
        <v>231</v>
      </c>
      <c r="D3842" s="24" t="n">
        <v>16</v>
      </c>
    </row>
    <row r="3843" customFormat="false" ht="15" hidden="false" customHeight="false" outlineLevel="0" collapsed="false">
      <c r="A3843" s="22" t="n">
        <v>98</v>
      </c>
      <c r="B3843" s="23" t="n">
        <v>46153</v>
      </c>
      <c r="C3843" s="22" t="s">
        <v>231</v>
      </c>
      <c r="D3843" s="24" t="n">
        <v>18</v>
      </c>
    </row>
    <row r="3844" customFormat="false" ht="15" hidden="false" customHeight="false" outlineLevel="0" collapsed="false">
      <c r="A3844" s="22" t="n">
        <v>99</v>
      </c>
      <c r="B3844" s="23" t="n">
        <v>46160</v>
      </c>
      <c r="C3844" s="22" t="s">
        <v>231</v>
      </c>
      <c r="D3844" s="24" t="n">
        <v>11</v>
      </c>
    </row>
    <row r="3845" customFormat="false" ht="15" hidden="false" customHeight="false" outlineLevel="0" collapsed="false">
      <c r="A3845" s="22" t="n">
        <v>100</v>
      </c>
      <c r="B3845" s="23" t="n">
        <v>46167</v>
      </c>
      <c r="C3845" s="22" t="s">
        <v>231</v>
      </c>
      <c r="D3845" s="24" t="n">
        <v>14</v>
      </c>
    </row>
    <row r="3846" customFormat="false" ht="15" hidden="false" customHeight="false" outlineLevel="0" collapsed="false">
      <c r="A3846" s="22" t="n">
        <v>101</v>
      </c>
      <c r="B3846" s="23" t="n">
        <v>46174</v>
      </c>
      <c r="C3846" s="22" t="s">
        <v>231</v>
      </c>
      <c r="D3846" s="24" t="n">
        <v>16</v>
      </c>
    </row>
    <row r="3847" customFormat="false" ht="15" hidden="false" customHeight="false" outlineLevel="0" collapsed="false">
      <c r="A3847" s="22" t="n">
        <v>102</v>
      </c>
      <c r="B3847" s="23" t="n">
        <v>46181</v>
      </c>
      <c r="C3847" s="22" t="s">
        <v>231</v>
      </c>
      <c r="D3847" s="24" t="n">
        <v>15</v>
      </c>
    </row>
    <row r="3848" customFormat="false" ht="15" hidden="false" customHeight="false" outlineLevel="0" collapsed="false">
      <c r="A3848" s="22" t="n">
        <v>103</v>
      </c>
      <c r="B3848" s="23" t="n">
        <v>46188</v>
      </c>
      <c r="C3848" s="22" t="s">
        <v>231</v>
      </c>
      <c r="D3848" s="24" t="n">
        <v>10</v>
      </c>
    </row>
    <row r="3849" customFormat="false" ht="15" hidden="false" customHeight="false" outlineLevel="0" collapsed="false">
      <c r="A3849" s="22" t="n">
        <v>104</v>
      </c>
      <c r="B3849" s="23" t="n">
        <v>46195</v>
      </c>
      <c r="C3849" s="22" t="s">
        <v>231</v>
      </c>
      <c r="D3849" s="24" t="n">
        <v>24</v>
      </c>
    </row>
    <row r="3850" customFormat="false" ht="15" hidden="false" customHeight="false" outlineLevel="0" collapsed="false">
      <c r="A3850" s="22" t="n">
        <v>1</v>
      </c>
      <c r="B3850" s="23" t="n">
        <v>45474</v>
      </c>
      <c r="C3850" s="22" t="s">
        <v>233</v>
      </c>
      <c r="D3850" s="24" t="n">
        <v>236</v>
      </c>
    </row>
    <row r="3851" customFormat="false" ht="15" hidden="false" customHeight="false" outlineLevel="0" collapsed="false">
      <c r="A3851" s="22" t="n">
        <v>2</v>
      </c>
      <c r="B3851" s="23" t="n">
        <v>45481</v>
      </c>
      <c r="C3851" s="22" t="s">
        <v>233</v>
      </c>
      <c r="D3851" s="24" t="n">
        <v>224</v>
      </c>
    </row>
    <row r="3852" customFormat="false" ht="15" hidden="false" customHeight="false" outlineLevel="0" collapsed="false">
      <c r="A3852" s="22" t="n">
        <v>3</v>
      </c>
      <c r="B3852" s="23" t="n">
        <v>45488</v>
      </c>
      <c r="C3852" s="22" t="s">
        <v>233</v>
      </c>
      <c r="D3852" s="24" t="n">
        <v>247</v>
      </c>
    </row>
    <row r="3853" customFormat="false" ht="15" hidden="false" customHeight="false" outlineLevel="0" collapsed="false">
      <c r="A3853" s="22" t="n">
        <v>4</v>
      </c>
      <c r="B3853" s="23" t="n">
        <v>45495</v>
      </c>
      <c r="C3853" s="22" t="s">
        <v>233</v>
      </c>
      <c r="D3853" s="24" t="n">
        <v>170</v>
      </c>
    </row>
    <row r="3854" customFormat="false" ht="15" hidden="false" customHeight="false" outlineLevel="0" collapsed="false">
      <c r="A3854" s="22" t="n">
        <v>5</v>
      </c>
      <c r="B3854" s="23" t="n">
        <v>45502</v>
      </c>
      <c r="C3854" s="22" t="s">
        <v>233</v>
      </c>
      <c r="D3854" s="24" t="n">
        <v>265</v>
      </c>
    </row>
    <row r="3855" customFormat="false" ht="15" hidden="false" customHeight="false" outlineLevel="0" collapsed="false">
      <c r="A3855" s="22" t="n">
        <v>6</v>
      </c>
      <c r="B3855" s="23" t="n">
        <v>45509</v>
      </c>
      <c r="C3855" s="22" t="s">
        <v>233</v>
      </c>
      <c r="D3855" s="24" t="n">
        <v>215</v>
      </c>
    </row>
    <row r="3856" customFormat="false" ht="15" hidden="false" customHeight="false" outlineLevel="0" collapsed="false">
      <c r="A3856" s="22" t="n">
        <v>7</v>
      </c>
      <c r="B3856" s="23" t="n">
        <v>45516</v>
      </c>
      <c r="C3856" s="22" t="s">
        <v>233</v>
      </c>
      <c r="D3856" s="24" t="n">
        <v>192</v>
      </c>
    </row>
    <row r="3857" customFormat="false" ht="15" hidden="false" customHeight="false" outlineLevel="0" collapsed="false">
      <c r="A3857" s="22" t="n">
        <v>8</v>
      </c>
      <c r="B3857" s="23" t="n">
        <v>45523</v>
      </c>
      <c r="C3857" s="22" t="s">
        <v>233</v>
      </c>
      <c r="D3857" s="24" t="n">
        <v>222</v>
      </c>
    </row>
    <row r="3858" customFormat="false" ht="15" hidden="false" customHeight="false" outlineLevel="0" collapsed="false">
      <c r="A3858" s="22" t="n">
        <v>9</v>
      </c>
      <c r="B3858" s="23" t="n">
        <v>45530</v>
      </c>
      <c r="C3858" s="22" t="s">
        <v>233</v>
      </c>
      <c r="D3858" s="24" t="n">
        <v>270</v>
      </c>
    </row>
    <row r="3859" customFormat="false" ht="15" hidden="false" customHeight="false" outlineLevel="0" collapsed="false">
      <c r="A3859" s="22" t="n">
        <v>10</v>
      </c>
      <c r="B3859" s="23" t="n">
        <v>45537</v>
      </c>
      <c r="C3859" s="22" t="s">
        <v>233</v>
      </c>
      <c r="D3859" s="24" t="n">
        <v>231</v>
      </c>
    </row>
    <row r="3860" customFormat="false" ht="15" hidden="false" customHeight="false" outlineLevel="0" collapsed="false">
      <c r="A3860" s="22" t="n">
        <v>11</v>
      </c>
      <c r="B3860" s="23" t="n">
        <v>45544</v>
      </c>
      <c r="C3860" s="22" t="s">
        <v>233</v>
      </c>
      <c r="D3860" s="24" t="n">
        <v>192</v>
      </c>
    </row>
    <row r="3861" customFormat="false" ht="15" hidden="false" customHeight="false" outlineLevel="0" collapsed="false">
      <c r="A3861" s="22" t="n">
        <v>12</v>
      </c>
      <c r="B3861" s="23" t="n">
        <v>45551</v>
      </c>
      <c r="C3861" s="22" t="s">
        <v>233</v>
      </c>
      <c r="D3861" s="24" t="n">
        <v>209</v>
      </c>
    </row>
    <row r="3862" customFormat="false" ht="15" hidden="false" customHeight="false" outlineLevel="0" collapsed="false">
      <c r="A3862" s="22" t="n">
        <v>13</v>
      </c>
      <c r="B3862" s="23" t="n">
        <v>45558</v>
      </c>
      <c r="C3862" s="22" t="s">
        <v>233</v>
      </c>
      <c r="D3862" s="24" t="n">
        <v>249</v>
      </c>
    </row>
    <row r="3863" customFormat="false" ht="15" hidden="false" customHeight="false" outlineLevel="0" collapsed="false">
      <c r="A3863" s="22" t="n">
        <v>14</v>
      </c>
      <c r="B3863" s="23" t="n">
        <v>45565</v>
      </c>
      <c r="C3863" s="22" t="s">
        <v>233</v>
      </c>
      <c r="D3863" s="24" t="n">
        <v>188</v>
      </c>
    </row>
    <row r="3864" customFormat="false" ht="15" hidden="false" customHeight="false" outlineLevel="0" collapsed="false">
      <c r="A3864" s="22" t="n">
        <v>15</v>
      </c>
      <c r="B3864" s="23" t="n">
        <v>45572</v>
      </c>
      <c r="C3864" s="22" t="s">
        <v>233</v>
      </c>
      <c r="D3864" s="24" t="n">
        <v>215</v>
      </c>
    </row>
    <row r="3865" customFormat="false" ht="15" hidden="false" customHeight="false" outlineLevel="0" collapsed="false">
      <c r="A3865" s="22" t="n">
        <v>16</v>
      </c>
      <c r="B3865" s="23" t="n">
        <v>45579</v>
      </c>
      <c r="C3865" s="22" t="s">
        <v>233</v>
      </c>
      <c r="D3865" s="24" t="n">
        <v>213</v>
      </c>
    </row>
    <row r="3866" customFormat="false" ht="15" hidden="false" customHeight="false" outlineLevel="0" collapsed="false">
      <c r="A3866" s="22" t="n">
        <v>17</v>
      </c>
      <c r="B3866" s="23" t="n">
        <v>45586</v>
      </c>
      <c r="C3866" s="22" t="s">
        <v>233</v>
      </c>
      <c r="D3866" s="24" t="n">
        <v>268</v>
      </c>
    </row>
    <row r="3867" customFormat="false" ht="15" hidden="false" customHeight="false" outlineLevel="0" collapsed="false">
      <c r="A3867" s="22" t="n">
        <v>18</v>
      </c>
      <c r="B3867" s="23" t="n">
        <v>45593</v>
      </c>
      <c r="C3867" s="22" t="s">
        <v>233</v>
      </c>
      <c r="D3867" s="24" t="n">
        <v>213</v>
      </c>
    </row>
    <row r="3868" customFormat="false" ht="15" hidden="false" customHeight="false" outlineLevel="0" collapsed="false">
      <c r="A3868" s="22" t="n">
        <v>19</v>
      </c>
      <c r="B3868" s="23" t="n">
        <v>45600</v>
      </c>
      <c r="C3868" s="22" t="s">
        <v>233</v>
      </c>
      <c r="D3868" s="24" t="n">
        <v>249</v>
      </c>
    </row>
    <row r="3869" customFormat="false" ht="15" hidden="false" customHeight="false" outlineLevel="0" collapsed="false">
      <c r="A3869" s="22" t="n">
        <v>20</v>
      </c>
      <c r="B3869" s="23" t="n">
        <v>45607</v>
      </c>
      <c r="C3869" s="22" t="s">
        <v>233</v>
      </c>
      <c r="D3869" s="24" t="n">
        <v>204</v>
      </c>
    </row>
    <row r="3870" customFormat="false" ht="15" hidden="false" customHeight="false" outlineLevel="0" collapsed="false">
      <c r="A3870" s="22" t="n">
        <v>21</v>
      </c>
      <c r="B3870" s="23" t="n">
        <v>45614</v>
      </c>
      <c r="C3870" s="22" t="s">
        <v>233</v>
      </c>
      <c r="D3870" s="24" t="n">
        <v>201</v>
      </c>
    </row>
    <row r="3871" customFormat="false" ht="15" hidden="false" customHeight="false" outlineLevel="0" collapsed="false">
      <c r="A3871" s="22" t="n">
        <v>22</v>
      </c>
      <c r="B3871" s="23" t="n">
        <v>45621</v>
      </c>
      <c r="C3871" s="22" t="s">
        <v>233</v>
      </c>
      <c r="D3871" s="24" t="n">
        <v>242</v>
      </c>
    </row>
    <row r="3872" customFormat="false" ht="15" hidden="false" customHeight="false" outlineLevel="0" collapsed="false">
      <c r="A3872" s="22" t="n">
        <v>23</v>
      </c>
      <c r="B3872" s="23" t="n">
        <v>45628</v>
      </c>
      <c r="C3872" s="22" t="s">
        <v>233</v>
      </c>
      <c r="D3872" s="24" t="n">
        <v>233</v>
      </c>
    </row>
    <row r="3873" customFormat="false" ht="15" hidden="false" customHeight="false" outlineLevel="0" collapsed="false">
      <c r="A3873" s="22" t="n">
        <v>24</v>
      </c>
      <c r="B3873" s="23" t="n">
        <v>45635</v>
      </c>
      <c r="C3873" s="22" t="s">
        <v>233</v>
      </c>
      <c r="D3873" s="24" t="n">
        <v>181</v>
      </c>
    </row>
    <row r="3874" customFormat="false" ht="15" hidden="false" customHeight="false" outlineLevel="0" collapsed="false">
      <c r="A3874" s="22" t="n">
        <v>25</v>
      </c>
      <c r="B3874" s="23" t="n">
        <v>45642</v>
      </c>
      <c r="C3874" s="22" t="s">
        <v>233</v>
      </c>
      <c r="D3874" s="24" t="n">
        <v>234</v>
      </c>
    </row>
    <row r="3875" customFormat="false" ht="15" hidden="false" customHeight="false" outlineLevel="0" collapsed="false">
      <c r="A3875" s="22" t="n">
        <v>26</v>
      </c>
      <c r="B3875" s="23" t="n">
        <v>45649</v>
      </c>
      <c r="C3875" s="22" t="s">
        <v>233</v>
      </c>
      <c r="D3875" s="24" t="n">
        <v>234</v>
      </c>
    </row>
    <row r="3876" customFormat="false" ht="15" hidden="false" customHeight="false" outlineLevel="0" collapsed="false">
      <c r="A3876" s="22" t="n">
        <v>27</v>
      </c>
      <c r="B3876" s="23" t="n">
        <v>45656</v>
      </c>
      <c r="C3876" s="22" t="s">
        <v>233</v>
      </c>
      <c r="D3876" s="24" t="n">
        <v>206</v>
      </c>
    </row>
    <row r="3877" customFormat="false" ht="15" hidden="false" customHeight="false" outlineLevel="0" collapsed="false">
      <c r="A3877" s="22" t="n">
        <v>28</v>
      </c>
      <c r="B3877" s="23" t="n">
        <v>45663</v>
      </c>
      <c r="C3877" s="22" t="s">
        <v>233</v>
      </c>
      <c r="D3877" s="24" t="n">
        <v>224</v>
      </c>
    </row>
    <row r="3878" customFormat="false" ht="15" hidden="false" customHeight="false" outlineLevel="0" collapsed="false">
      <c r="A3878" s="22" t="n">
        <v>29</v>
      </c>
      <c r="B3878" s="23" t="n">
        <v>45670</v>
      </c>
      <c r="C3878" s="22" t="s">
        <v>233</v>
      </c>
      <c r="D3878" s="24" t="n">
        <v>225</v>
      </c>
    </row>
    <row r="3879" customFormat="false" ht="15" hidden="false" customHeight="false" outlineLevel="0" collapsed="false">
      <c r="A3879" s="22" t="n">
        <v>30</v>
      </c>
      <c r="B3879" s="23" t="n">
        <v>45677</v>
      </c>
      <c r="C3879" s="22" t="s">
        <v>233</v>
      </c>
      <c r="D3879" s="24" t="n">
        <v>208</v>
      </c>
    </row>
    <row r="3880" customFormat="false" ht="15" hidden="false" customHeight="false" outlineLevel="0" collapsed="false">
      <c r="A3880" s="22" t="n">
        <v>31</v>
      </c>
      <c r="B3880" s="23" t="n">
        <v>45684</v>
      </c>
      <c r="C3880" s="22" t="s">
        <v>233</v>
      </c>
      <c r="D3880" s="24" t="n">
        <v>206</v>
      </c>
    </row>
    <row r="3881" customFormat="false" ht="15" hidden="false" customHeight="false" outlineLevel="0" collapsed="false">
      <c r="A3881" s="22" t="n">
        <v>32</v>
      </c>
      <c r="B3881" s="23" t="n">
        <v>45691</v>
      </c>
      <c r="C3881" s="22" t="s">
        <v>233</v>
      </c>
      <c r="D3881" s="24" t="n">
        <v>204</v>
      </c>
    </row>
    <row r="3882" customFormat="false" ht="15" hidden="false" customHeight="false" outlineLevel="0" collapsed="false">
      <c r="A3882" s="22" t="n">
        <v>33</v>
      </c>
      <c r="B3882" s="23" t="n">
        <v>45698</v>
      </c>
      <c r="C3882" s="22" t="s">
        <v>233</v>
      </c>
      <c r="D3882" s="24" t="n">
        <v>213</v>
      </c>
    </row>
    <row r="3883" customFormat="false" ht="15" hidden="false" customHeight="false" outlineLevel="0" collapsed="false">
      <c r="A3883" s="22" t="n">
        <v>34</v>
      </c>
      <c r="B3883" s="23" t="n">
        <v>45705</v>
      </c>
      <c r="C3883" s="22" t="s">
        <v>233</v>
      </c>
      <c r="D3883" s="24" t="n">
        <v>190</v>
      </c>
    </row>
    <row r="3884" customFormat="false" ht="15" hidden="false" customHeight="false" outlineLevel="0" collapsed="false">
      <c r="A3884" s="22" t="n">
        <v>35</v>
      </c>
      <c r="B3884" s="23" t="n">
        <v>45712</v>
      </c>
      <c r="C3884" s="22" t="s">
        <v>233</v>
      </c>
      <c r="D3884" s="24" t="n">
        <v>218</v>
      </c>
    </row>
    <row r="3885" customFormat="false" ht="15" hidden="false" customHeight="false" outlineLevel="0" collapsed="false">
      <c r="A3885" s="22" t="n">
        <v>36</v>
      </c>
      <c r="B3885" s="23" t="n">
        <v>45719</v>
      </c>
      <c r="C3885" s="22" t="s">
        <v>233</v>
      </c>
      <c r="D3885" s="24" t="n">
        <v>186</v>
      </c>
    </row>
    <row r="3886" customFormat="false" ht="15" hidden="false" customHeight="false" outlineLevel="0" collapsed="false">
      <c r="A3886" s="22" t="n">
        <v>37</v>
      </c>
      <c r="B3886" s="23" t="n">
        <v>45726</v>
      </c>
      <c r="C3886" s="22" t="s">
        <v>233</v>
      </c>
      <c r="D3886" s="24" t="n">
        <v>221</v>
      </c>
    </row>
    <row r="3887" customFormat="false" ht="15" hidden="false" customHeight="false" outlineLevel="0" collapsed="false">
      <c r="A3887" s="22" t="n">
        <v>38</v>
      </c>
      <c r="B3887" s="23" t="n">
        <v>45733</v>
      </c>
      <c r="C3887" s="22" t="s">
        <v>233</v>
      </c>
      <c r="D3887" s="24" t="n">
        <v>217</v>
      </c>
    </row>
    <row r="3888" customFormat="false" ht="15" hidden="false" customHeight="false" outlineLevel="0" collapsed="false">
      <c r="A3888" s="22" t="n">
        <v>39</v>
      </c>
      <c r="B3888" s="23" t="n">
        <v>45740</v>
      </c>
      <c r="C3888" s="22" t="s">
        <v>233</v>
      </c>
      <c r="D3888" s="24" t="n">
        <v>196</v>
      </c>
    </row>
    <row r="3889" customFormat="false" ht="15" hidden="false" customHeight="false" outlineLevel="0" collapsed="false">
      <c r="A3889" s="22" t="n">
        <v>40</v>
      </c>
      <c r="B3889" s="23" t="n">
        <v>45747</v>
      </c>
      <c r="C3889" s="22" t="s">
        <v>233</v>
      </c>
      <c r="D3889" s="24" t="n">
        <v>238</v>
      </c>
    </row>
    <row r="3890" customFormat="false" ht="15" hidden="false" customHeight="false" outlineLevel="0" collapsed="false">
      <c r="A3890" s="22" t="n">
        <v>41</v>
      </c>
      <c r="B3890" s="23" t="n">
        <v>45754</v>
      </c>
      <c r="C3890" s="22" t="s">
        <v>233</v>
      </c>
      <c r="D3890" s="24" t="n">
        <v>263</v>
      </c>
    </row>
    <row r="3891" customFormat="false" ht="15" hidden="false" customHeight="false" outlineLevel="0" collapsed="false">
      <c r="A3891" s="22" t="n">
        <v>42</v>
      </c>
      <c r="B3891" s="23" t="n">
        <v>45761</v>
      </c>
      <c r="C3891" s="22" t="s">
        <v>233</v>
      </c>
      <c r="D3891" s="24" t="n">
        <v>249</v>
      </c>
    </row>
    <row r="3892" customFormat="false" ht="15" hidden="false" customHeight="false" outlineLevel="0" collapsed="false">
      <c r="A3892" s="22" t="n">
        <v>43</v>
      </c>
      <c r="B3892" s="23" t="n">
        <v>45768</v>
      </c>
      <c r="C3892" s="22" t="s">
        <v>233</v>
      </c>
      <c r="D3892" s="24" t="n">
        <v>189</v>
      </c>
    </row>
    <row r="3893" customFormat="false" ht="15" hidden="false" customHeight="false" outlineLevel="0" collapsed="false">
      <c r="A3893" s="22" t="n">
        <v>44</v>
      </c>
      <c r="B3893" s="23" t="n">
        <v>45775</v>
      </c>
      <c r="C3893" s="22" t="s">
        <v>233</v>
      </c>
      <c r="D3893" s="24" t="n">
        <v>248</v>
      </c>
    </row>
    <row r="3894" customFormat="false" ht="15" hidden="false" customHeight="false" outlineLevel="0" collapsed="false">
      <c r="A3894" s="22" t="n">
        <v>45</v>
      </c>
      <c r="B3894" s="23" t="n">
        <v>45782</v>
      </c>
      <c r="C3894" s="22" t="s">
        <v>233</v>
      </c>
      <c r="D3894" s="24" t="n">
        <v>224</v>
      </c>
    </row>
    <row r="3895" customFormat="false" ht="15" hidden="false" customHeight="false" outlineLevel="0" collapsed="false">
      <c r="A3895" s="22" t="n">
        <v>46</v>
      </c>
      <c r="B3895" s="23" t="n">
        <v>45789</v>
      </c>
      <c r="C3895" s="22" t="s">
        <v>233</v>
      </c>
      <c r="D3895" s="24" t="n">
        <v>218</v>
      </c>
    </row>
    <row r="3896" customFormat="false" ht="15" hidden="false" customHeight="false" outlineLevel="0" collapsed="false">
      <c r="A3896" s="22" t="n">
        <v>47</v>
      </c>
      <c r="B3896" s="23" t="n">
        <v>45796</v>
      </c>
      <c r="C3896" s="22" t="s">
        <v>233</v>
      </c>
      <c r="D3896" s="24" t="n">
        <v>206</v>
      </c>
    </row>
    <row r="3897" customFormat="false" ht="15" hidden="false" customHeight="false" outlineLevel="0" collapsed="false">
      <c r="A3897" s="22" t="n">
        <v>48</v>
      </c>
      <c r="B3897" s="23" t="n">
        <v>45803</v>
      </c>
      <c r="C3897" s="22" t="s">
        <v>233</v>
      </c>
      <c r="D3897" s="24" t="n">
        <v>219</v>
      </c>
    </row>
    <row r="3898" customFormat="false" ht="15" hidden="false" customHeight="false" outlineLevel="0" collapsed="false">
      <c r="A3898" s="22" t="n">
        <v>49</v>
      </c>
      <c r="B3898" s="23" t="n">
        <v>45810</v>
      </c>
      <c r="C3898" s="22" t="s">
        <v>233</v>
      </c>
      <c r="D3898" s="24" t="n">
        <v>250</v>
      </c>
    </row>
    <row r="3899" customFormat="false" ht="15" hidden="false" customHeight="false" outlineLevel="0" collapsed="false">
      <c r="A3899" s="22" t="n">
        <v>50</v>
      </c>
      <c r="B3899" s="23" t="n">
        <v>45817</v>
      </c>
      <c r="C3899" s="22" t="s">
        <v>233</v>
      </c>
      <c r="D3899" s="24" t="n">
        <v>231</v>
      </c>
    </row>
    <row r="3900" customFormat="false" ht="15" hidden="false" customHeight="false" outlineLevel="0" collapsed="false">
      <c r="A3900" s="22" t="n">
        <v>51</v>
      </c>
      <c r="B3900" s="23" t="n">
        <v>45824</v>
      </c>
      <c r="C3900" s="22" t="s">
        <v>233</v>
      </c>
      <c r="D3900" s="24" t="n">
        <v>210</v>
      </c>
    </row>
    <row r="3901" customFormat="false" ht="15" hidden="false" customHeight="false" outlineLevel="0" collapsed="false">
      <c r="A3901" s="22" t="n">
        <v>52</v>
      </c>
      <c r="B3901" s="23" t="n">
        <v>45831</v>
      </c>
      <c r="C3901" s="22" t="s">
        <v>233</v>
      </c>
      <c r="D3901" s="24" t="n">
        <v>204</v>
      </c>
    </row>
    <row r="3902" customFormat="false" ht="15" hidden="false" customHeight="false" outlineLevel="0" collapsed="false">
      <c r="A3902" s="22" t="n">
        <v>53</v>
      </c>
      <c r="B3902" s="23" t="n">
        <v>45838</v>
      </c>
      <c r="C3902" s="22" t="s">
        <v>233</v>
      </c>
      <c r="D3902" s="24" t="n">
        <v>210</v>
      </c>
    </row>
    <row r="3903" customFormat="false" ht="15" hidden="false" customHeight="false" outlineLevel="0" collapsed="false">
      <c r="A3903" s="22" t="n">
        <v>54</v>
      </c>
      <c r="B3903" s="23" t="n">
        <v>45845</v>
      </c>
      <c r="C3903" s="22" t="s">
        <v>233</v>
      </c>
      <c r="D3903" s="24" t="n">
        <v>232</v>
      </c>
    </row>
    <row r="3904" customFormat="false" ht="15" hidden="false" customHeight="false" outlineLevel="0" collapsed="false">
      <c r="A3904" s="22" t="n">
        <v>55</v>
      </c>
      <c r="B3904" s="23" t="n">
        <v>45852</v>
      </c>
      <c r="C3904" s="22" t="s">
        <v>233</v>
      </c>
      <c r="D3904" s="24" t="n">
        <v>261</v>
      </c>
    </row>
    <row r="3905" customFormat="false" ht="15" hidden="false" customHeight="false" outlineLevel="0" collapsed="false">
      <c r="A3905" s="22" t="n">
        <v>56</v>
      </c>
      <c r="B3905" s="23" t="n">
        <v>45859</v>
      </c>
      <c r="C3905" s="22" t="s">
        <v>233</v>
      </c>
      <c r="D3905" s="24" t="n">
        <v>196</v>
      </c>
    </row>
    <row r="3906" customFormat="false" ht="15" hidden="false" customHeight="false" outlineLevel="0" collapsed="false">
      <c r="A3906" s="22" t="n">
        <v>57</v>
      </c>
      <c r="B3906" s="23" t="n">
        <v>45866</v>
      </c>
      <c r="C3906" s="22" t="s">
        <v>233</v>
      </c>
      <c r="D3906" s="24" t="n">
        <v>219</v>
      </c>
    </row>
    <row r="3907" customFormat="false" ht="15" hidden="false" customHeight="false" outlineLevel="0" collapsed="false">
      <c r="A3907" s="22" t="n">
        <v>58</v>
      </c>
      <c r="B3907" s="23" t="n">
        <v>45873</v>
      </c>
      <c r="C3907" s="22" t="s">
        <v>233</v>
      </c>
      <c r="D3907" s="24" t="n">
        <v>211</v>
      </c>
    </row>
    <row r="3908" customFormat="false" ht="15" hidden="false" customHeight="false" outlineLevel="0" collapsed="false">
      <c r="A3908" s="22" t="n">
        <v>59</v>
      </c>
      <c r="B3908" s="23" t="n">
        <v>45880</v>
      </c>
      <c r="C3908" s="22" t="s">
        <v>233</v>
      </c>
      <c r="D3908" s="24" t="n">
        <v>202</v>
      </c>
    </row>
    <row r="3909" customFormat="false" ht="15" hidden="false" customHeight="false" outlineLevel="0" collapsed="false">
      <c r="A3909" s="22" t="n">
        <v>60</v>
      </c>
      <c r="B3909" s="23" t="n">
        <v>45887</v>
      </c>
      <c r="C3909" s="22" t="s">
        <v>233</v>
      </c>
      <c r="D3909" s="24" t="n">
        <v>228</v>
      </c>
    </row>
    <row r="3910" customFormat="false" ht="15" hidden="false" customHeight="false" outlineLevel="0" collapsed="false">
      <c r="A3910" s="22" t="n">
        <v>61</v>
      </c>
      <c r="B3910" s="23" t="n">
        <v>45894</v>
      </c>
      <c r="C3910" s="22" t="s">
        <v>233</v>
      </c>
      <c r="D3910" s="24" t="n">
        <v>232</v>
      </c>
    </row>
    <row r="3911" customFormat="false" ht="15" hidden="false" customHeight="false" outlineLevel="0" collapsed="false">
      <c r="A3911" s="22" t="n">
        <v>62</v>
      </c>
      <c r="B3911" s="23" t="n">
        <v>45901</v>
      </c>
      <c r="C3911" s="22" t="s">
        <v>233</v>
      </c>
      <c r="D3911" s="24" t="n">
        <v>188</v>
      </c>
    </row>
    <row r="3912" customFormat="false" ht="15" hidden="false" customHeight="false" outlineLevel="0" collapsed="false">
      <c r="A3912" s="22" t="n">
        <v>63</v>
      </c>
      <c r="B3912" s="23" t="n">
        <v>45908</v>
      </c>
      <c r="C3912" s="22" t="s">
        <v>233</v>
      </c>
      <c r="D3912" s="24" t="n">
        <v>196</v>
      </c>
    </row>
    <row r="3913" customFormat="false" ht="15" hidden="false" customHeight="false" outlineLevel="0" collapsed="false">
      <c r="A3913" s="22" t="n">
        <v>64</v>
      </c>
      <c r="B3913" s="23" t="n">
        <v>45915</v>
      </c>
      <c r="C3913" s="22" t="s">
        <v>233</v>
      </c>
      <c r="D3913" s="24" t="n">
        <v>246</v>
      </c>
    </row>
    <row r="3914" customFormat="false" ht="15" hidden="false" customHeight="false" outlineLevel="0" collapsed="false">
      <c r="A3914" s="22" t="n">
        <v>65</v>
      </c>
      <c r="B3914" s="23" t="n">
        <v>45922</v>
      </c>
      <c r="C3914" s="22" t="s">
        <v>233</v>
      </c>
      <c r="D3914" s="24" t="n">
        <v>226</v>
      </c>
    </row>
    <row r="3915" customFormat="false" ht="15" hidden="false" customHeight="false" outlineLevel="0" collapsed="false">
      <c r="A3915" s="22" t="n">
        <v>66</v>
      </c>
      <c r="B3915" s="23" t="n">
        <v>45929</v>
      </c>
      <c r="C3915" s="22" t="s">
        <v>233</v>
      </c>
      <c r="D3915" s="24" t="n">
        <v>231</v>
      </c>
    </row>
    <row r="3916" customFormat="false" ht="15" hidden="false" customHeight="false" outlineLevel="0" collapsed="false">
      <c r="A3916" s="22" t="n">
        <v>67</v>
      </c>
      <c r="B3916" s="23" t="n">
        <v>45936</v>
      </c>
      <c r="C3916" s="22" t="s">
        <v>233</v>
      </c>
      <c r="D3916" s="24" t="n">
        <v>208</v>
      </c>
    </row>
    <row r="3917" customFormat="false" ht="15" hidden="false" customHeight="false" outlineLevel="0" collapsed="false">
      <c r="A3917" s="22" t="n">
        <v>68</v>
      </c>
      <c r="B3917" s="23" t="n">
        <v>45943</v>
      </c>
      <c r="C3917" s="22" t="s">
        <v>233</v>
      </c>
      <c r="D3917" s="24" t="n">
        <v>211</v>
      </c>
    </row>
    <row r="3918" customFormat="false" ht="15" hidden="false" customHeight="false" outlineLevel="0" collapsed="false">
      <c r="A3918" s="22" t="n">
        <v>69</v>
      </c>
      <c r="B3918" s="23" t="n">
        <v>45950</v>
      </c>
      <c r="C3918" s="22" t="s">
        <v>233</v>
      </c>
      <c r="D3918" s="24" t="n">
        <v>229</v>
      </c>
    </row>
    <row r="3919" customFormat="false" ht="15" hidden="false" customHeight="false" outlineLevel="0" collapsed="false">
      <c r="A3919" s="22" t="n">
        <v>70</v>
      </c>
      <c r="B3919" s="23" t="n">
        <v>45957</v>
      </c>
      <c r="C3919" s="22" t="s">
        <v>233</v>
      </c>
      <c r="D3919" s="24" t="n">
        <v>208</v>
      </c>
    </row>
    <row r="3920" customFormat="false" ht="15" hidden="false" customHeight="false" outlineLevel="0" collapsed="false">
      <c r="A3920" s="22" t="n">
        <v>71</v>
      </c>
      <c r="B3920" s="23" t="n">
        <v>45964</v>
      </c>
      <c r="C3920" s="22" t="s">
        <v>233</v>
      </c>
      <c r="D3920" s="24" t="n">
        <v>194</v>
      </c>
    </row>
    <row r="3921" customFormat="false" ht="15" hidden="false" customHeight="false" outlineLevel="0" collapsed="false">
      <c r="A3921" s="22" t="n">
        <v>72</v>
      </c>
      <c r="B3921" s="23" t="n">
        <v>45971</v>
      </c>
      <c r="C3921" s="22" t="s">
        <v>233</v>
      </c>
      <c r="D3921" s="24" t="n">
        <v>219</v>
      </c>
    </row>
    <row r="3922" customFormat="false" ht="15" hidden="false" customHeight="false" outlineLevel="0" collapsed="false">
      <c r="A3922" s="22" t="n">
        <v>73</v>
      </c>
      <c r="B3922" s="23" t="n">
        <v>45978</v>
      </c>
      <c r="C3922" s="22" t="s">
        <v>233</v>
      </c>
      <c r="D3922" s="24" t="n">
        <v>239</v>
      </c>
    </row>
    <row r="3923" customFormat="false" ht="15" hidden="false" customHeight="false" outlineLevel="0" collapsed="false">
      <c r="A3923" s="22" t="n">
        <v>74</v>
      </c>
      <c r="B3923" s="23" t="n">
        <v>45985</v>
      </c>
      <c r="C3923" s="22" t="s">
        <v>233</v>
      </c>
      <c r="D3923" s="24" t="n">
        <v>196</v>
      </c>
    </row>
    <row r="3924" customFormat="false" ht="15" hidden="false" customHeight="false" outlineLevel="0" collapsed="false">
      <c r="A3924" s="22" t="n">
        <v>75</v>
      </c>
      <c r="B3924" s="23" t="n">
        <v>45992</v>
      </c>
      <c r="C3924" s="22" t="s">
        <v>233</v>
      </c>
      <c r="D3924" s="24" t="n">
        <v>243</v>
      </c>
    </row>
    <row r="3925" customFormat="false" ht="15" hidden="false" customHeight="false" outlineLevel="0" collapsed="false">
      <c r="A3925" s="22" t="n">
        <v>76</v>
      </c>
      <c r="B3925" s="23" t="n">
        <v>45999</v>
      </c>
      <c r="C3925" s="22" t="s">
        <v>233</v>
      </c>
      <c r="D3925" s="24" t="n">
        <v>235</v>
      </c>
    </row>
    <row r="3926" customFormat="false" ht="15" hidden="false" customHeight="false" outlineLevel="0" collapsed="false">
      <c r="A3926" s="22" t="n">
        <v>77</v>
      </c>
      <c r="B3926" s="23" t="n">
        <v>46006</v>
      </c>
      <c r="C3926" s="22" t="s">
        <v>233</v>
      </c>
      <c r="D3926" s="24" t="n">
        <v>200</v>
      </c>
    </row>
    <row r="3927" customFormat="false" ht="15" hidden="false" customHeight="false" outlineLevel="0" collapsed="false">
      <c r="A3927" s="22" t="n">
        <v>78</v>
      </c>
      <c r="B3927" s="23" t="n">
        <v>46013</v>
      </c>
      <c r="C3927" s="22" t="s">
        <v>233</v>
      </c>
      <c r="D3927" s="24" t="n">
        <v>219</v>
      </c>
    </row>
    <row r="3928" customFormat="false" ht="15" hidden="false" customHeight="false" outlineLevel="0" collapsed="false">
      <c r="A3928" s="22" t="n">
        <v>79</v>
      </c>
      <c r="B3928" s="23" t="n">
        <v>46020</v>
      </c>
      <c r="C3928" s="22" t="s">
        <v>233</v>
      </c>
      <c r="D3928" s="24" t="n">
        <v>218</v>
      </c>
    </row>
    <row r="3929" customFormat="false" ht="15" hidden="false" customHeight="false" outlineLevel="0" collapsed="false">
      <c r="A3929" s="22" t="n">
        <v>80</v>
      </c>
      <c r="B3929" s="23" t="n">
        <v>46027</v>
      </c>
      <c r="C3929" s="22" t="s">
        <v>233</v>
      </c>
      <c r="D3929" s="24" t="n">
        <v>233</v>
      </c>
    </row>
    <row r="3930" customFormat="false" ht="15" hidden="false" customHeight="false" outlineLevel="0" collapsed="false">
      <c r="A3930" s="22" t="n">
        <v>81</v>
      </c>
      <c r="B3930" s="23" t="n">
        <v>46034</v>
      </c>
      <c r="C3930" s="22" t="s">
        <v>233</v>
      </c>
      <c r="D3930" s="24" t="n">
        <v>234</v>
      </c>
    </row>
    <row r="3931" customFormat="false" ht="15" hidden="false" customHeight="false" outlineLevel="0" collapsed="false">
      <c r="A3931" s="22" t="n">
        <v>82</v>
      </c>
      <c r="B3931" s="23" t="n">
        <v>46041</v>
      </c>
      <c r="C3931" s="22" t="s">
        <v>233</v>
      </c>
      <c r="D3931" s="24" t="n">
        <v>190</v>
      </c>
    </row>
    <row r="3932" customFormat="false" ht="15" hidden="false" customHeight="false" outlineLevel="0" collapsed="false">
      <c r="A3932" s="22" t="n">
        <v>83</v>
      </c>
      <c r="B3932" s="23" t="n">
        <v>46048</v>
      </c>
      <c r="C3932" s="22" t="s">
        <v>233</v>
      </c>
      <c r="D3932" s="24" t="n">
        <v>189</v>
      </c>
    </row>
    <row r="3933" customFormat="false" ht="15" hidden="false" customHeight="false" outlineLevel="0" collapsed="false">
      <c r="A3933" s="22" t="n">
        <v>84</v>
      </c>
      <c r="B3933" s="23" t="n">
        <v>46055</v>
      </c>
      <c r="C3933" s="22" t="s">
        <v>233</v>
      </c>
      <c r="D3933" s="24" t="n">
        <v>242</v>
      </c>
    </row>
    <row r="3934" customFormat="false" ht="15" hidden="false" customHeight="false" outlineLevel="0" collapsed="false">
      <c r="A3934" s="22" t="n">
        <v>85</v>
      </c>
      <c r="B3934" s="23" t="n">
        <v>46062</v>
      </c>
      <c r="C3934" s="22" t="s">
        <v>233</v>
      </c>
      <c r="D3934" s="24" t="n">
        <v>222</v>
      </c>
    </row>
    <row r="3935" customFormat="false" ht="15" hidden="false" customHeight="false" outlineLevel="0" collapsed="false">
      <c r="A3935" s="22" t="n">
        <v>86</v>
      </c>
      <c r="B3935" s="23" t="n">
        <v>46069</v>
      </c>
      <c r="C3935" s="22" t="s">
        <v>233</v>
      </c>
      <c r="D3935" s="24" t="n">
        <v>229</v>
      </c>
    </row>
    <row r="3936" customFormat="false" ht="15" hidden="false" customHeight="false" outlineLevel="0" collapsed="false">
      <c r="A3936" s="22" t="n">
        <v>87</v>
      </c>
      <c r="B3936" s="23" t="n">
        <v>46076</v>
      </c>
      <c r="C3936" s="22" t="s">
        <v>233</v>
      </c>
      <c r="D3936" s="24" t="n">
        <v>227</v>
      </c>
    </row>
    <row r="3937" customFormat="false" ht="15" hidden="false" customHeight="false" outlineLevel="0" collapsed="false">
      <c r="A3937" s="22" t="n">
        <v>88</v>
      </c>
      <c r="B3937" s="23" t="n">
        <v>46083</v>
      </c>
      <c r="C3937" s="22" t="s">
        <v>233</v>
      </c>
      <c r="D3937" s="24" t="n">
        <v>253</v>
      </c>
    </row>
    <row r="3938" customFormat="false" ht="15" hidden="false" customHeight="false" outlineLevel="0" collapsed="false">
      <c r="A3938" s="22" t="n">
        <v>89</v>
      </c>
      <c r="B3938" s="23" t="n">
        <v>46090</v>
      </c>
      <c r="C3938" s="22" t="s">
        <v>233</v>
      </c>
      <c r="D3938" s="24" t="n">
        <v>192</v>
      </c>
    </row>
    <row r="3939" customFormat="false" ht="15" hidden="false" customHeight="false" outlineLevel="0" collapsed="false">
      <c r="A3939" s="22" t="n">
        <v>90</v>
      </c>
      <c r="B3939" s="23" t="n">
        <v>46097</v>
      </c>
      <c r="C3939" s="22" t="s">
        <v>233</v>
      </c>
      <c r="D3939" s="24" t="n">
        <v>244</v>
      </c>
    </row>
    <row r="3940" customFormat="false" ht="15" hidden="false" customHeight="false" outlineLevel="0" collapsed="false">
      <c r="A3940" s="22" t="n">
        <v>91</v>
      </c>
      <c r="B3940" s="23" t="n">
        <v>46104</v>
      </c>
      <c r="C3940" s="22" t="s">
        <v>233</v>
      </c>
      <c r="D3940" s="24" t="n">
        <v>201</v>
      </c>
    </row>
    <row r="3941" customFormat="false" ht="15" hidden="false" customHeight="false" outlineLevel="0" collapsed="false">
      <c r="A3941" s="22" t="n">
        <v>92</v>
      </c>
      <c r="B3941" s="23" t="n">
        <v>46111</v>
      </c>
      <c r="C3941" s="22" t="s">
        <v>233</v>
      </c>
      <c r="D3941" s="24" t="n">
        <v>235</v>
      </c>
    </row>
    <row r="3942" customFormat="false" ht="15" hidden="false" customHeight="false" outlineLevel="0" collapsed="false">
      <c r="A3942" s="22" t="n">
        <v>93</v>
      </c>
      <c r="B3942" s="23" t="n">
        <v>46118</v>
      </c>
      <c r="C3942" s="22" t="s">
        <v>233</v>
      </c>
      <c r="D3942" s="24" t="n">
        <v>249</v>
      </c>
    </row>
    <row r="3943" customFormat="false" ht="15" hidden="false" customHeight="false" outlineLevel="0" collapsed="false">
      <c r="A3943" s="22" t="n">
        <v>94</v>
      </c>
      <c r="B3943" s="23" t="n">
        <v>46125</v>
      </c>
      <c r="C3943" s="22" t="s">
        <v>233</v>
      </c>
      <c r="D3943" s="24" t="n">
        <v>188</v>
      </c>
    </row>
    <row r="3944" customFormat="false" ht="15" hidden="false" customHeight="false" outlineLevel="0" collapsed="false">
      <c r="A3944" s="22" t="n">
        <v>95</v>
      </c>
      <c r="B3944" s="23" t="n">
        <v>46132</v>
      </c>
      <c r="C3944" s="22" t="s">
        <v>233</v>
      </c>
      <c r="D3944" s="24" t="n">
        <v>228</v>
      </c>
    </row>
    <row r="3945" customFormat="false" ht="15" hidden="false" customHeight="false" outlineLevel="0" collapsed="false">
      <c r="A3945" s="22" t="n">
        <v>96</v>
      </c>
      <c r="B3945" s="23" t="n">
        <v>46139</v>
      </c>
      <c r="C3945" s="22" t="s">
        <v>233</v>
      </c>
      <c r="D3945" s="24" t="n">
        <v>213</v>
      </c>
    </row>
    <row r="3946" customFormat="false" ht="15" hidden="false" customHeight="false" outlineLevel="0" collapsed="false">
      <c r="A3946" s="22" t="n">
        <v>97</v>
      </c>
      <c r="B3946" s="23" t="n">
        <v>46146</v>
      </c>
      <c r="C3946" s="22" t="s">
        <v>233</v>
      </c>
      <c r="D3946" s="24" t="n">
        <v>213</v>
      </c>
    </row>
    <row r="3947" customFormat="false" ht="15" hidden="false" customHeight="false" outlineLevel="0" collapsed="false">
      <c r="A3947" s="22" t="n">
        <v>98</v>
      </c>
      <c r="B3947" s="23" t="n">
        <v>46153</v>
      </c>
      <c r="C3947" s="22" t="s">
        <v>233</v>
      </c>
      <c r="D3947" s="24" t="n">
        <v>220</v>
      </c>
    </row>
    <row r="3948" customFormat="false" ht="15" hidden="false" customHeight="false" outlineLevel="0" collapsed="false">
      <c r="A3948" s="22" t="n">
        <v>99</v>
      </c>
      <c r="B3948" s="23" t="n">
        <v>46160</v>
      </c>
      <c r="C3948" s="22" t="s">
        <v>233</v>
      </c>
      <c r="D3948" s="24" t="n">
        <v>196</v>
      </c>
    </row>
    <row r="3949" customFormat="false" ht="15" hidden="false" customHeight="false" outlineLevel="0" collapsed="false">
      <c r="A3949" s="22" t="n">
        <v>100</v>
      </c>
      <c r="B3949" s="23" t="n">
        <v>46167</v>
      </c>
      <c r="C3949" s="22" t="s">
        <v>233</v>
      </c>
      <c r="D3949" s="24" t="n">
        <v>198</v>
      </c>
    </row>
    <row r="3950" customFormat="false" ht="15" hidden="false" customHeight="false" outlineLevel="0" collapsed="false">
      <c r="A3950" s="22" t="n">
        <v>101</v>
      </c>
      <c r="B3950" s="23" t="n">
        <v>46174</v>
      </c>
      <c r="C3950" s="22" t="s">
        <v>233</v>
      </c>
      <c r="D3950" s="24" t="n">
        <v>234</v>
      </c>
    </row>
    <row r="3951" customFormat="false" ht="15" hidden="false" customHeight="false" outlineLevel="0" collapsed="false">
      <c r="A3951" s="22" t="n">
        <v>102</v>
      </c>
      <c r="B3951" s="23" t="n">
        <v>46181</v>
      </c>
      <c r="C3951" s="22" t="s">
        <v>233</v>
      </c>
      <c r="D3951" s="24" t="n">
        <v>238</v>
      </c>
    </row>
    <row r="3952" customFormat="false" ht="15" hidden="false" customHeight="false" outlineLevel="0" collapsed="false">
      <c r="A3952" s="22" t="n">
        <v>103</v>
      </c>
      <c r="B3952" s="23" t="n">
        <v>46188</v>
      </c>
      <c r="C3952" s="22" t="s">
        <v>233</v>
      </c>
      <c r="D3952" s="24" t="n">
        <v>207</v>
      </c>
    </row>
    <row r="3953" customFormat="false" ht="15" hidden="false" customHeight="false" outlineLevel="0" collapsed="false">
      <c r="A3953" s="22" t="n">
        <v>104</v>
      </c>
      <c r="B3953" s="23" t="n">
        <v>46195</v>
      </c>
      <c r="C3953" s="22" t="s">
        <v>233</v>
      </c>
      <c r="D3953" s="24" t="n">
        <v>187</v>
      </c>
    </row>
    <row r="3954" customFormat="false" ht="15" hidden="false" customHeight="false" outlineLevel="0" collapsed="false">
      <c r="A3954" s="22" t="n">
        <v>1</v>
      </c>
      <c r="B3954" s="23" t="n">
        <v>45474</v>
      </c>
      <c r="C3954" s="22" t="s">
        <v>236</v>
      </c>
      <c r="D3954" s="24" t="n">
        <v>185</v>
      </c>
    </row>
    <row r="3955" customFormat="false" ht="15" hidden="false" customHeight="false" outlineLevel="0" collapsed="false">
      <c r="A3955" s="22" t="n">
        <v>2</v>
      </c>
      <c r="B3955" s="23" t="n">
        <v>45481</v>
      </c>
      <c r="C3955" s="22" t="s">
        <v>236</v>
      </c>
      <c r="D3955" s="24" t="n">
        <v>168</v>
      </c>
    </row>
    <row r="3956" customFormat="false" ht="15" hidden="false" customHeight="false" outlineLevel="0" collapsed="false">
      <c r="A3956" s="22" t="n">
        <v>3</v>
      </c>
      <c r="B3956" s="23" t="n">
        <v>45488</v>
      </c>
      <c r="C3956" s="22" t="s">
        <v>236</v>
      </c>
      <c r="D3956" s="24" t="n">
        <v>135</v>
      </c>
    </row>
    <row r="3957" customFormat="false" ht="15" hidden="false" customHeight="false" outlineLevel="0" collapsed="false">
      <c r="A3957" s="22" t="n">
        <v>4</v>
      </c>
      <c r="B3957" s="23" t="n">
        <v>45495</v>
      </c>
      <c r="C3957" s="22" t="s">
        <v>236</v>
      </c>
      <c r="D3957" s="24" t="n">
        <v>145</v>
      </c>
    </row>
    <row r="3958" customFormat="false" ht="15" hidden="false" customHeight="false" outlineLevel="0" collapsed="false">
      <c r="A3958" s="22" t="n">
        <v>5</v>
      </c>
      <c r="B3958" s="23" t="n">
        <v>45502</v>
      </c>
      <c r="C3958" s="22" t="s">
        <v>236</v>
      </c>
      <c r="D3958" s="24" t="n">
        <v>165</v>
      </c>
    </row>
    <row r="3959" customFormat="false" ht="15" hidden="false" customHeight="false" outlineLevel="0" collapsed="false">
      <c r="A3959" s="22" t="n">
        <v>6</v>
      </c>
      <c r="B3959" s="23" t="n">
        <v>45509</v>
      </c>
      <c r="C3959" s="22" t="s">
        <v>236</v>
      </c>
      <c r="D3959" s="24" t="n">
        <v>137</v>
      </c>
    </row>
    <row r="3960" customFormat="false" ht="15" hidden="false" customHeight="false" outlineLevel="0" collapsed="false">
      <c r="A3960" s="22" t="n">
        <v>7</v>
      </c>
      <c r="B3960" s="23" t="n">
        <v>45516</v>
      </c>
      <c r="C3960" s="22" t="s">
        <v>236</v>
      </c>
      <c r="D3960" s="24" t="n">
        <v>197</v>
      </c>
    </row>
    <row r="3961" customFormat="false" ht="15" hidden="false" customHeight="false" outlineLevel="0" collapsed="false">
      <c r="A3961" s="22" t="n">
        <v>8</v>
      </c>
      <c r="B3961" s="23" t="n">
        <v>45523</v>
      </c>
      <c r="C3961" s="22" t="s">
        <v>236</v>
      </c>
      <c r="D3961" s="24" t="n">
        <v>162</v>
      </c>
    </row>
    <row r="3962" customFormat="false" ht="15" hidden="false" customHeight="false" outlineLevel="0" collapsed="false">
      <c r="A3962" s="22" t="n">
        <v>9</v>
      </c>
      <c r="B3962" s="23" t="n">
        <v>45530</v>
      </c>
      <c r="C3962" s="22" t="s">
        <v>236</v>
      </c>
      <c r="D3962" s="24" t="n">
        <v>168</v>
      </c>
    </row>
    <row r="3963" customFormat="false" ht="15" hidden="false" customHeight="false" outlineLevel="0" collapsed="false">
      <c r="A3963" s="22" t="n">
        <v>10</v>
      </c>
      <c r="B3963" s="23" t="n">
        <v>45537</v>
      </c>
      <c r="C3963" s="22" t="s">
        <v>236</v>
      </c>
      <c r="D3963" s="24" t="n">
        <v>135</v>
      </c>
    </row>
    <row r="3964" customFormat="false" ht="15" hidden="false" customHeight="false" outlineLevel="0" collapsed="false">
      <c r="A3964" s="22" t="n">
        <v>11</v>
      </c>
      <c r="B3964" s="23" t="n">
        <v>45544</v>
      </c>
      <c r="C3964" s="22" t="s">
        <v>236</v>
      </c>
      <c r="D3964" s="24" t="n">
        <v>138</v>
      </c>
    </row>
    <row r="3965" customFormat="false" ht="15" hidden="false" customHeight="false" outlineLevel="0" collapsed="false">
      <c r="A3965" s="22" t="n">
        <v>12</v>
      </c>
      <c r="B3965" s="23" t="n">
        <v>45551</v>
      </c>
      <c r="C3965" s="22" t="s">
        <v>236</v>
      </c>
      <c r="D3965" s="24" t="n">
        <v>141</v>
      </c>
    </row>
    <row r="3966" customFormat="false" ht="15" hidden="false" customHeight="false" outlineLevel="0" collapsed="false">
      <c r="A3966" s="22" t="n">
        <v>13</v>
      </c>
      <c r="B3966" s="23" t="n">
        <v>45558</v>
      </c>
      <c r="C3966" s="22" t="s">
        <v>236</v>
      </c>
      <c r="D3966" s="24" t="n">
        <v>166</v>
      </c>
    </row>
    <row r="3967" customFormat="false" ht="15" hidden="false" customHeight="false" outlineLevel="0" collapsed="false">
      <c r="A3967" s="22" t="n">
        <v>14</v>
      </c>
      <c r="B3967" s="23" t="n">
        <v>45565</v>
      </c>
      <c r="C3967" s="22" t="s">
        <v>236</v>
      </c>
      <c r="D3967" s="24" t="n">
        <v>153</v>
      </c>
    </row>
    <row r="3968" customFormat="false" ht="15" hidden="false" customHeight="false" outlineLevel="0" collapsed="false">
      <c r="A3968" s="22" t="n">
        <v>15</v>
      </c>
      <c r="B3968" s="23" t="n">
        <v>45572</v>
      </c>
      <c r="C3968" s="22" t="s">
        <v>236</v>
      </c>
      <c r="D3968" s="24" t="n">
        <v>152</v>
      </c>
    </row>
    <row r="3969" customFormat="false" ht="15" hidden="false" customHeight="false" outlineLevel="0" collapsed="false">
      <c r="A3969" s="22" t="n">
        <v>16</v>
      </c>
      <c r="B3969" s="23" t="n">
        <v>45579</v>
      </c>
      <c r="C3969" s="22" t="s">
        <v>236</v>
      </c>
      <c r="D3969" s="24" t="n">
        <v>167</v>
      </c>
    </row>
    <row r="3970" customFormat="false" ht="15" hidden="false" customHeight="false" outlineLevel="0" collapsed="false">
      <c r="A3970" s="22" t="n">
        <v>17</v>
      </c>
      <c r="B3970" s="23" t="n">
        <v>45586</v>
      </c>
      <c r="C3970" s="22" t="s">
        <v>236</v>
      </c>
      <c r="D3970" s="24" t="n">
        <v>164</v>
      </c>
    </row>
    <row r="3971" customFormat="false" ht="15" hidden="false" customHeight="false" outlineLevel="0" collapsed="false">
      <c r="A3971" s="22" t="n">
        <v>18</v>
      </c>
      <c r="B3971" s="23" t="n">
        <v>45593</v>
      </c>
      <c r="C3971" s="22" t="s">
        <v>236</v>
      </c>
      <c r="D3971" s="24" t="n">
        <v>194</v>
      </c>
    </row>
    <row r="3972" customFormat="false" ht="15" hidden="false" customHeight="false" outlineLevel="0" collapsed="false">
      <c r="A3972" s="22" t="n">
        <v>19</v>
      </c>
      <c r="B3972" s="23" t="n">
        <v>45600</v>
      </c>
      <c r="C3972" s="22" t="s">
        <v>236</v>
      </c>
      <c r="D3972" s="24" t="n">
        <v>155</v>
      </c>
    </row>
    <row r="3973" customFormat="false" ht="15" hidden="false" customHeight="false" outlineLevel="0" collapsed="false">
      <c r="A3973" s="22" t="n">
        <v>20</v>
      </c>
      <c r="B3973" s="23" t="n">
        <v>45607</v>
      </c>
      <c r="C3973" s="22" t="s">
        <v>236</v>
      </c>
      <c r="D3973" s="24" t="n">
        <v>135</v>
      </c>
    </row>
    <row r="3974" customFormat="false" ht="15" hidden="false" customHeight="false" outlineLevel="0" collapsed="false">
      <c r="A3974" s="22" t="n">
        <v>21</v>
      </c>
      <c r="B3974" s="23" t="n">
        <v>45614</v>
      </c>
      <c r="C3974" s="22" t="s">
        <v>236</v>
      </c>
      <c r="D3974" s="24" t="n">
        <v>159</v>
      </c>
    </row>
    <row r="3975" customFormat="false" ht="15" hidden="false" customHeight="false" outlineLevel="0" collapsed="false">
      <c r="A3975" s="22" t="n">
        <v>22</v>
      </c>
      <c r="B3975" s="23" t="n">
        <v>45621</v>
      </c>
      <c r="C3975" s="22" t="s">
        <v>236</v>
      </c>
      <c r="D3975" s="24" t="n">
        <v>194</v>
      </c>
    </row>
    <row r="3976" customFormat="false" ht="15" hidden="false" customHeight="false" outlineLevel="0" collapsed="false">
      <c r="A3976" s="22" t="n">
        <v>23</v>
      </c>
      <c r="B3976" s="23" t="n">
        <v>45628</v>
      </c>
      <c r="C3976" s="22" t="s">
        <v>236</v>
      </c>
      <c r="D3976" s="24" t="n">
        <v>146</v>
      </c>
    </row>
    <row r="3977" customFormat="false" ht="15" hidden="false" customHeight="false" outlineLevel="0" collapsed="false">
      <c r="A3977" s="22" t="n">
        <v>24</v>
      </c>
      <c r="B3977" s="23" t="n">
        <v>45635</v>
      </c>
      <c r="C3977" s="22" t="s">
        <v>236</v>
      </c>
      <c r="D3977" s="24" t="n">
        <v>160</v>
      </c>
    </row>
    <row r="3978" customFormat="false" ht="15" hidden="false" customHeight="false" outlineLevel="0" collapsed="false">
      <c r="A3978" s="22" t="n">
        <v>25</v>
      </c>
      <c r="B3978" s="23" t="n">
        <v>45642</v>
      </c>
      <c r="C3978" s="22" t="s">
        <v>236</v>
      </c>
      <c r="D3978" s="24" t="n">
        <v>151</v>
      </c>
    </row>
    <row r="3979" customFormat="false" ht="15" hidden="false" customHeight="false" outlineLevel="0" collapsed="false">
      <c r="A3979" s="22" t="n">
        <v>26</v>
      </c>
      <c r="B3979" s="23" t="n">
        <v>45649</v>
      </c>
      <c r="C3979" s="22" t="s">
        <v>236</v>
      </c>
      <c r="D3979" s="24" t="n">
        <v>169</v>
      </c>
    </row>
    <row r="3980" customFormat="false" ht="15" hidden="false" customHeight="false" outlineLevel="0" collapsed="false">
      <c r="A3980" s="22" t="n">
        <v>27</v>
      </c>
      <c r="B3980" s="23" t="n">
        <v>45656</v>
      </c>
      <c r="C3980" s="22" t="s">
        <v>236</v>
      </c>
      <c r="D3980" s="24" t="n">
        <v>165</v>
      </c>
    </row>
    <row r="3981" customFormat="false" ht="15" hidden="false" customHeight="false" outlineLevel="0" collapsed="false">
      <c r="A3981" s="22" t="n">
        <v>28</v>
      </c>
      <c r="B3981" s="23" t="n">
        <v>45663</v>
      </c>
      <c r="C3981" s="22" t="s">
        <v>236</v>
      </c>
      <c r="D3981" s="24" t="n">
        <v>140</v>
      </c>
    </row>
    <row r="3982" customFormat="false" ht="15" hidden="false" customHeight="false" outlineLevel="0" collapsed="false">
      <c r="A3982" s="22" t="n">
        <v>29</v>
      </c>
      <c r="B3982" s="23" t="n">
        <v>45670</v>
      </c>
      <c r="C3982" s="22" t="s">
        <v>236</v>
      </c>
      <c r="D3982" s="24" t="n">
        <v>154</v>
      </c>
    </row>
    <row r="3983" customFormat="false" ht="15" hidden="false" customHeight="false" outlineLevel="0" collapsed="false">
      <c r="A3983" s="22" t="n">
        <v>30</v>
      </c>
      <c r="B3983" s="23" t="n">
        <v>45677</v>
      </c>
      <c r="C3983" s="22" t="s">
        <v>236</v>
      </c>
      <c r="D3983" s="24" t="n">
        <v>181</v>
      </c>
    </row>
    <row r="3984" customFormat="false" ht="15" hidden="false" customHeight="false" outlineLevel="0" collapsed="false">
      <c r="A3984" s="22" t="n">
        <v>31</v>
      </c>
      <c r="B3984" s="23" t="n">
        <v>45684</v>
      </c>
      <c r="C3984" s="22" t="s">
        <v>236</v>
      </c>
      <c r="D3984" s="24" t="n">
        <v>185</v>
      </c>
    </row>
    <row r="3985" customFormat="false" ht="15" hidden="false" customHeight="false" outlineLevel="0" collapsed="false">
      <c r="A3985" s="22" t="n">
        <v>32</v>
      </c>
      <c r="B3985" s="23" t="n">
        <v>45691</v>
      </c>
      <c r="C3985" s="22" t="s">
        <v>236</v>
      </c>
      <c r="D3985" s="24" t="n">
        <v>181</v>
      </c>
    </row>
    <row r="3986" customFormat="false" ht="15" hidden="false" customHeight="false" outlineLevel="0" collapsed="false">
      <c r="A3986" s="22" t="n">
        <v>33</v>
      </c>
      <c r="B3986" s="23" t="n">
        <v>45698</v>
      </c>
      <c r="C3986" s="22" t="s">
        <v>236</v>
      </c>
      <c r="D3986" s="24" t="n">
        <v>179</v>
      </c>
    </row>
    <row r="3987" customFormat="false" ht="15" hidden="false" customHeight="false" outlineLevel="0" collapsed="false">
      <c r="A3987" s="22" t="n">
        <v>34</v>
      </c>
      <c r="B3987" s="23" t="n">
        <v>45705</v>
      </c>
      <c r="C3987" s="22" t="s">
        <v>236</v>
      </c>
      <c r="D3987" s="24" t="n">
        <v>151</v>
      </c>
    </row>
    <row r="3988" customFormat="false" ht="15" hidden="false" customHeight="false" outlineLevel="0" collapsed="false">
      <c r="A3988" s="22" t="n">
        <v>35</v>
      </c>
      <c r="B3988" s="23" t="n">
        <v>45712</v>
      </c>
      <c r="C3988" s="22" t="s">
        <v>236</v>
      </c>
      <c r="D3988" s="24" t="n">
        <v>151</v>
      </c>
    </row>
    <row r="3989" customFormat="false" ht="15" hidden="false" customHeight="false" outlineLevel="0" collapsed="false">
      <c r="A3989" s="22" t="n">
        <v>36</v>
      </c>
      <c r="B3989" s="23" t="n">
        <v>45719</v>
      </c>
      <c r="C3989" s="22" t="s">
        <v>236</v>
      </c>
      <c r="D3989" s="24" t="n">
        <v>181</v>
      </c>
    </row>
    <row r="3990" customFormat="false" ht="15" hidden="false" customHeight="false" outlineLevel="0" collapsed="false">
      <c r="A3990" s="22" t="n">
        <v>37</v>
      </c>
      <c r="B3990" s="23" t="n">
        <v>45726</v>
      </c>
      <c r="C3990" s="22" t="s">
        <v>236</v>
      </c>
      <c r="D3990" s="24" t="n">
        <v>132</v>
      </c>
    </row>
    <row r="3991" customFormat="false" ht="15" hidden="false" customHeight="false" outlineLevel="0" collapsed="false">
      <c r="A3991" s="22" t="n">
        <v>38</v>
      </c>
      <c r="B3991" s="23" t="n">
        <v>45733</v>
      </c>
      <c r="C3991" s="22" t="s">
        <v>236</v>
      </c>
      <c r="D3991" s="24" t="n">
        <v>158</v>
      </c>
    </row>
    <row r="3992" customFormat="false" ht="15" hidden="false" customHeight="false" outlineLevel="0" collapsed="false">
      <c r="A3992" s="22" t="n">
        <v>39</v>
      </c>
      <c r="B3992" s="23" t="n">
        <v>45740</v>
      </c>
      <c r="C3992" s="22" t="s">
        <v>236</v>
      </c>
      <c r="D3992" s="24" t="n">
        <v>116</v>
      </c>
    </row>
    <row r="3993" customFormat="false" ht="15" hidden="false" customHeight="false" outlineLevel="0" collapsed="false">
      <c r="A3993" s="22" t="n">
        <v>40</v>
      </c>
      <c r="B3993" s="23" t="n">
        <v>45747</v>
      </c>
      <c r="C3993" s="22" t="s">
        <v>236</v>
      </c>
      <c r="D3993" s="24" t="n">
        <v>150</v>
      </c>
    </row>
    <row r="3994" customFormat="false" ht="15" hidden="false" customHeight="false" outlineLevel="0" collapsed="false">
      <c r="A3994" s="22" t="n">
        <v>41</v>
      </c>
      <c r="B3994" s="23" t="n">
        <v>45754</v>
      </c>
      <c r="C3994" s="22" t="s">
        <v>236</v>
      </c>
      <c r="D3994" s="24" t="n">
        <v>143</v>
      </c>
    </row>
    <row r="3995" customFormat="false" ht="15" hidden="false" customHeight="false" outlineLevel="0" collapsed="false">
      <c r="A3995" s="22" t="n">
        <v>42</v>
      </c>
      <c r="B3995" s="23" t="n">
        <v>45761</v>
      </c>
      <c r="C3995" s="22" t="s">
        <v>236</v>
      </c>
      <c r="D3995" s="24" t="n">
        <v>131</v>
      </c>
    </row>
    <row r="3996" customFormat="false" ht="15" hidden="false" customHeight="false" outlineLevel="0" collapsed="false">
      <c r="A3996" s="22" t="n">
        <v>43</v>
      </c>
      <c r="B3996" s="23" t="n">
        <v>45768</v>
      </c>
      <c r="C3996" s="22" t="s">
        <v>236</v>
      </c>
      <c r="D3996" s="24" t="n">
        <v>173</v>
      </c>
    </row>
    <row r="3997" customFormat="false" ht="15" hidden="false" customHeight="false" outlineLevel="0" collapsed="false">
      <c r="A3997" s="22" t="n">
        <v>44</v>
      </c>
      <c r="B3997" s="23" t="n">
        <v>45775</v>
      </c>
      <c r="C3997" s="22" t="s">
        <v>236</v>
      </c>
      <c r="D3997" s="24" t="n">
        <v>142</v>
      </c>
    </row>
    <row r="3998" customFormat="false" ht="15" hidden="false" customHeight="false" outlineLevel="0" collapsed="false">
      <c r="A3998" s="22" t="n">
        <v>45</v>
      </c>
      <c r="B3998" s="23" t="n">
        <v>45782</v>
      </c>
      <c r="C3998" s="22" t="s">
        <v>236</v>
      </c>
      <c r="D3998" s="24" t="n">
        <v>151</v>
      </c>
    </row>
    <row r="3999" customFormat="false" ht="15" hidden="false" customHeight="false" outlineLevel="0" collapsed="false">
      <c r="A3999" s="22" t="n">
        <v>46</v>
      </c>
      <c r="B3999" s="23" t="n">
        <v>45789</v>
      </c>
      <c r="C3999" s="22" t="s">
        <v>236</v>
      </c>
      <c r="D3999" s="24" t="n">
        <v>153</v>
      </c>
    </row>
    <row r="4000" customFormat="false" ht="15" hidden="false" customHeight="false" outlineLevel="0" collapsed="false">
      <c r="A4000" s="22" t="n">
        <v>47</v>
      </c>
      <c r="B4000" s="23" t="n">
        <v>45796</v>
      </c>
      <c r="C4000" s="22" t="s">
        <v>236</v>
      </c>
      <c r="D4000" s="24" t="n">
        <v>142</v>
      </c>
    </row>
    <row r="4001" customFormat="false" ht="15" hidden="false" customHeight="false" outlineLevel="0" collapsed="false">
      <c r="A4001" s="22" t="n">
        <v>48</v>
      </c>
      <c r="B4001" s="23" t="n">
        <v>45803</v>
      </c>
      <c r="C4001" s="22" t="s">
        <v>236</v>
      </c>
      <c r="D4001" s="24" t="n">
        <v>192</v>
      </c>
    </row>
    <row r="4002" customFormat="false" ht="15" hidden="false" customHeight="false" outlineLevel="0" collapsed="false">
      <c r="A4002" s="22" t="n">
        <v>49</v>
      </c>
      <c r="B4002" s="23" t="n">
        <v>45810</v>
      </c>
      <c r="C4002" s="22" t="s">
        <v>236</v>
      </c>
      <c r="D4002" s="24" t="n">
        <v>148</v>
      </c>
    </row>
    <row r="4003" customFormat="false" ht="15" hidden="false" customHeight="false" outlineLevel="0" collapsed="false">
      <c r="A4003" s="22" t="n">
        <v>50</v>
      </c>
      <c r="B4003" s="23" t="n">
        <v>45817</v>
      </c>
      <c r="C4003" s="22" t="s">
        <v>236</v>
      </c>
      <c r="D4003" s="24" t="n">
        <v>164</v>
      </c>
    </row>
    <row r="4004" customFormat="false" ht="15" hidden="false" customHeight="false" outlineLevel="0" collapsed="false">
      <c r="A4004" s="22" t="n">
        <v>51</v>
      </c>
      <c r="B4004" s="23" t="n">
        <v>45824</v>
      </c>
      <c r="C4004" s="22" t="s">
        <v>236</v>
      </c>
      <c r="D4004" s="24" t="n">
        <v>129</v>
      </c>
    </row>
    <row r="4005" customFormat="false" ht="15" hidden="false" customHeight="false" outlineLevel="0" collapsed="false">
      <c r="A4005" s="22" t="n">
        <v>52</v>
      </c>
      <c r="B4005" s="23" t="n">
        <v>45831</v>
      </c>
      <c r="C4005" s="22" t="s">
        <v>236</v>
      </c>
      <c r="D4005" s="24" t="n">
        <v>148</v>
      </c>
    </row>
    <row r="4006" customFormat="false" ht="15" hidden="false" customHeight="false" outlineLevel="0" collapsed="false">
      <c r="A4006" s="22" t="n">
        <v>53</v>
      </c>
      <c r="B4006" s="23" t="n">
        <v>45838</v>
      </c>
      <c r="C4006" s="22" t="s">
        <v>236</v>
      </c>
      <c r="D4006" s="24" t="n">
        <v>152</v>
      </c>
    </row>
    <row r="4007" customFormat="false" ht="15" hidden="false" customHeight="false" outlineLevel="0" collapsed="false">
      <c r="A4007" s="22" t="n">
        <v>54</v>
      </c>
      <c r="B4007" s="23" t="n">
        <v>45845</v>
      </c>
      <c r="C4007" s="22" t="s">
        <v>236</v>
      </c>
      <c r="D4007" s="24" t="n">
        <v>152</v>
      </c>
    </row>
    <row r="4008" customFormat="false" ht="15" hidden="false" customHeight="false" outlineLevel="0" collapsed="false">
      <c r="A4008" s="22" t="n">
        <v>55</v>
      </c>
      <c r="B4008" s="23" t="n">
        <v>45852</v>
      </c>
      <c r="C4008" s="22" t="s">
        <v>236</v>
      </c>
      <c r="D4008" s="24" t="n">
        <v>146</v>
      </c>
    </row>
    <row r="4009" customFormat="false" ht="15" hidden="false" customHeight="false" outlineLevel="0" collapsed="false">
      <c r="A4009" s="22" t="n">
        <v>56</v>
      </c>
      <c r="B4009" s="23" t="n">
        <v>45859</v>
      </c>
      <c r="C4009" s="22" t="s">
        <v>236</v>
      </c>
      <c r="D4009" s="24" t="n">
        <v>163</v>
      </c>
    </row>
    <row r="4010" customFormat="false" ht="15" hidden="false" customHeight="false" outlineLevel="0" collapsed="false">
      <c r="A4010" s="22" t="n">
        <v>57</v>
      </c>
      <c r="B4010" s="23" t="n">
        <v>45866</v>
      </c>
      <c r="C4010" s="22" t="s">
        <v>236</v>
      </c>
      <c r="D4010" s="24" t="n">
        <v>196</v>
      </c>
    </row>
    <row r="4011" customFormat="false" ht="15" hidden="false" customHeight="false" outlineLevel="0" collapsed="false">
      <c r="A4011" s="22" t="n">
        <v>58</v>
      </c>
      <c r="B4011" s="23" t="n">
        <v>45873</v>
      </c>
      <c r="C4011" s="22" t="s">
        <v>236</v>
      </c>
      <c r="D4011" s="24" t="n">
        <v>156</v>
      </c>
    </row>
    <row r="4012" customFormat="false" ht="15" hidden="false" customHeight="false" outlineLevel="0" collapsed="false">
      <c r="A4012" s="22" t="n">
        <v>59</v>
      </c>
      <c r="B4012" s="23" t="n">
        <v>45880</v>
      </c>
      <c r="C4012" s="22" t="s">
        <v>236</v>
      </c>
      <c r="D4012" s="24" t="n">
        <v>156</v>
      </c>
    </row>
    <row r="4013" customFormat="false" ht="15" hidden="false" customHeight="false" outlineLevel="0" collapsed="false">
      <c r="A4013" s="22" t="n">
        <v>60</v>
      </c>
      <c r="B4013" s="23" t="n">
        <v>45887</v>
      </c>
      <c r="C4013" s="22" t="s">
        <v>236</v>
      </c>
      <c r="D4013" s="24" t="n">
        <v>150</v>
      </c>
    </row>
    <row r="4014" customFormat="false" ht="15" hidden="false" customHeight="false" outlineLevel="0" collapsed="false">
      <c r="A4014" s="22" t="n">
        <v>61</v>
      </c>
      <c r="B4014" s="23" t="n">
        <v>45894</v>
      </c>
      <c r="C4014" s="22" t="s">
        <v>236</v>
      </c>
      <c r="D4014" s="24" t="n">
        <v>219</v>
      </c>
    </row>
    <row r="4015" customFormat="false" ht="15" hidden="false" customHeight="false" outlineLevel="0" collapsed="false">
      <c r="A4015" s="22" t="n">
        <v>62</v>
      </c>
      <c r="B4015" s="23" t="n">
        <v>45901</v>
      </c>
      <c r="C4015" s="22" t="s">
        <v>236</v>
      </c>
      <c r="D4015" s="24" t="n">
        <v>197</v>
      </c>
    </row>
    <row r="4016" customFormat="false" ht="15" hidden="false" customHeight="false" outlineLevel="0" collapsed="false">
      <c r="A4016" s="22" t="n">
        <v>63</v>
      </c>
      <c r="B4016" s="23" t="n">
        <v>45908</v>
      </c>
      <c r="C4016" s="22" t="s">
        <v>236</v>
      </c>
      <c r="D4016" s="24" t="n">
        <v>172</v>
      </c>
    </row>
    <row r="4017" customFormat="false" ht="15" hidden="false" customHeight="false" outlineLevel="0" collapsed="false">
      <c r="A4017" s="22" t="n">
        <v>64</v>
      </c>
      <c r="B4017" s="23" t="n">
        <v>45915</v>
      </c>
      <c r="C4017" s="22" t="s">
        <v>236</v>
      </c>
      <c r="D4017" s="24" t="n">
        <v>176</v>
      </c>
    </row>
    <row r="4018" customFormat="false" ht="15" hidden="false" customHeight="false" outlineLevel="0" collapsed="false">
      <c r="A4018" s="22" t="n">
        <v>65</v>
      </c>
      <c r="B4018" s="23" t="n">
        <v>45922</v>
      </c>
      <c r="C4018" s="22" t="s">
        <v>236</v>
      </c>
      <c r="D4018" s="24" t="n">
        <v>143</v>
      </c>
    </row>
    <row r="4019" customFormat="false" ht="15" hidden="false" customHeight="false" outlineLevel="0" collapsed="false">
      <c r="A4019" s="22" t="n">
        <v>66</v>
      </c>
      <c r="B4019" s="23" t="n">
        <v>45929</v>
      </c>
      <c r="C4019" s="22" t="s">
        <v>236</v>
      </c>
      <c r="D4019" s="24" t="n">
        <v>156</v>
      </c>
    </row>
    <row r="4020" customFormat="false" ht="15" hidden="false" customHeight="false" outlineLevel="0" collapsed="false">
      <c r="A4020" s="22" t="n">
        <v>67</v>
      </c>
      <c r="B4020" s="23" t="n">
        <v>45936</v>
      </c>
      <c r="C4020" s="22" t="s">
        <v>236</v>
      </c>
      <c r="D4020" s="24" t="n">
        <v>164</v>
      </c>
    </row>
    <row r="4021" customFormat="false" ht="15" hidden="false" customHeight="false" outlineLevel="0" collapsed="false">
      <c r="A4021" s="22" t="n">
        <v>68</v>
      </c>
      <c r="B4021" s="23" t="n">
        <v>45943</v>
      </c>
      <c r="C4021" s="22" t="s">
        <v>236</v>
      </c>
      <c r="D4021" s="24" t="n">
        <v>162</v>
      </c>
    </row>
    <row r="4022" customFormat="false" ht="15" hidden="false" customHeight="false" outlineLevel="0" collapsed="false">
      <c r="A4022" s="22" t="n">
        <v>69</v>
      </c>
      <c r="B4022" s="23" t="n">
        <v>45950</v>
      </c>
      <c r="C4022" s="22" t="s">
        <v>236</v>
      </c>
      <c r="D4022" s="24" t="n">
        <v>139</v>
      </c>
    </row>
    <row r="4023" customFormat="false" ht="15" hidden="false" customHeight="false" outlineLevel="0" collapsed="false">
      <c r="A4023" s="22" t="n">
        <v>70</v>
      </c>
      <c r="B4023" s="23" t="n">
        <v>45957</v>
      </c>
      <c r="C4023" s="22" t="s">
        <v>236</v>
      </c>
      <c r="D4023" s="24" t="n">
        <v>141</v>
      </c>
    </row>
    <row r="4024" customFormat="false" ht="15" hidden="false" customHeight="false" outlineLevel="0" collapsed="false">
      <c r="A4024" s="22" t="n">
        <v>71</v>
      </c>
      <c r="B4024" s="23" t="n">
        <v>45964</v>
      </c>
      <c r="C4024" s="22" t="s">
        <v>236</v>
      </c>
      <c r="D4024" s="24" t="n">
        <v>171</v>
      </c>
    </row>
    <row r="4025" customFormat="false" ht="15" hidden="false" customHeight="false" outlineLevel="0" collapsed="false">
      <c r="A4025" s="22" t="n">
        <v>72</v>
      </c>
      <c r="B4025" s="23" t="n">
        <v>45971</v>
      </c>
      <c r="C4025" s="22" t="s">
        <v>236</v>
      </c>
      <c r="D4025" s="24" t="n">
        <v>167</v>
      </c>
    </row>
    <row r="4026" customFormat="false" ht="15" hidden="false" customHeight="false" outlineLevel="0" collapsed="false">
      <c r="A4026" s="22" t="n">
        <v>73</v>
      </c>
      <c r="B4026" s="23" t="n">
        <v>45978</v>
      </c>
      <c r="C4026" s="22" t="s">
        <v>236</v>
      </c>
      <c r="D4026" s="24" t="n">
        <v>110</v>
      </c>
    </row>
    <row r="4027" customFormat="false" ht="15" hidden="false" customHeight="false" outlineLevel="0" collapsed="false">
      <c r="A4027" s="22" t="n">
        <v>74</v>
      </c>
      <c r="B4027" s="23" t="n">
        <v>45985</v>
      </c>
      <c r="C4027" s="22" t="s">
        <v>236</v>
      </c>
      <c r="D4027" s="24" t="n">
        <v>161</v>
      </c>
    </row>
    <row r="4028" customFormat="false" ht="15" hidden="false" customHeight="false" outlineLevel="0" collapsed="false">
      <c r="A4028" s="22" t="n">
        <v>75</v>
      </c>
      <c r="B4028" s="23" t="n">
        <v>45992</v>
      </c>
      <c r="C4028" s="22" t="s">
        <v>236</v>
      </c>
      <c r="D4028" s="24" t="n">
        <v>189</v>
      </c>
    </row>
    <row r="4029" customFormat="false" ht="15" hidden="false" customHeight="false" outlineLevel="0" collapsed="false">
      <c r="A4029" s="22" t="n">
        <v>76</v>
      </c>
      <c r="B4029" s="23" t="n">
        <v>45999</v>
      </c>
      <c r="C4029" s="22" t="s">
        <v>236</v>
      </c>
      <c r="D4029" s="24" t="n">
        <v>144</v>
      </c>
    </row>
    <row r="4030" customFormat="false" ht="15" hidden="false" customHeight="false" outlineLevel="0" collapsed="false">
      <c r="A4030" s="22" t="n">
        <v>77</v>
      </c>
      <c r="B4030" s="23" t="n">
        <v>46006</v>
      </c>
      <c r="C4030" s="22" t="s">
        <v>236</v>
      </c>
      <c r="D4030" s="24" t="n">
        <v>165</v>
      </c>
    </row>
    <row r="4031" customFormat="false" ht="15" hidden="false" customHeight="false" outlineLevel="0" collapsed="false">
      <c r="A4031" s="22" t="n">
        <v>78</v>
      </c>
      <c r="B4031" s="23" t="n">
        <v>46013</v>
      </c>
      <c r="C4031" s="22" t="s">
        <v>236</v>
      </c>
      <c r="D4031" s="24" t="n">
        <v>125</v>
      </c>
    </row>
    <row r="4032" customFormat="false" ht="15" hidden="false" customHeight="false" outlineLevel="0" collapsed="false">
      <c r="A4032" s="22" t="n">
        <v>79</v>
      </c>
      <c r="B4032" s="23" t="n">
        <v>46020</v>
      </c>
      <c r="C4032" s="22" t="s">
        <v>236</v>
      </c>
      <c r="D4032" s="24" t="n">
        <v>179</v>
      </c>
    </row>
    <row r="4033" customFormat="false" ht="15" hidden="false" customHeight="false" outlineLevel="0" collapsed="false">
      <c r="A4033" s="22" t="n">
        <v>80</v>
      </c>
      <c r="B4033" s="23" t="n">
        <v>46027</v>
      </c>
      <c r="C4033" s="22" t="s">
        <v>236</v>
      </c>
      <c r="D4033" s="24" t="n">
        <v>133</v>
      </c>
    </row>
    <row r="4034" customFormat="false" ht="15" hidden="false" customHeight="false" outlineLevel="0" collapsed="false">
      <c r="A4034" s="22" t="n">
        <v>81</v>
      </c>
      <c r="B4034" s="23" t="n">
        <v>46034</v>
      </c>
      <c r="C4034" s="22" t="s">
        <v>236</v>
      </c>
      <c r="D4034" s="24" t="n">
        <v>130</v>
      </c>
    </row>
    <row r="4035" customFormat="false" ht="15" hidden="false" customHeight="false" outlineLevel="0" collapsed="false">
      <c r="A4035" s="22" t="n">
        <v>82</v>
      </c>
      <c r="B4035" s="23" t="n">
        <v>46041</v>
      </c>
      <c r="C4035" s="22" t="s">
        <v>236</v>
      </c>
      <c r="D4035" s="24" t="n">
        <v>152</v>
      </c>
    </row>
    <row r="4036" customFormat="false" ht="15" hidden="false" customHeight="false" outlineLevel="0" collapsed="false">
      <c r="A4036" s="22" t="n">
        <v>83</v>
      </c>
      <c r="B4036" s="23" t="n">
        <v>46048</v>
      </c>
      <c r="C4036" s="22" t="s">
        <v>236</v>
      </c>
      <c r="D4036" s="24" t="n">
        <v>215</v>
      </c>
    </row>
    <row r="4037" customFormat="false" ht="15" hidden="false" customHeight="false" outlineLevel="0" collapsed="false">
      <c r="A4037" s="22" t="n">
        <v>84</v>
      </c>
      <c r="B4037" s="23" t="n">
        <v>46055</v>
      </c>
      <c r="C4037" s="22" t="s">
        <v>236</v>
      </c>
      <c r="D4037" s="24" t="n">
        <v>145</v>
      </c>
    </row>
    <row r="4038" customFormat="false" ht="15" hidden="false" customHeight="false" outlineLevel="0" collapsed="false">
      <c r="A4038" s="22" t="n">
        <v>85</v>
      </c>
      <c r="B4038" s="23" t="n">
        <v>46062</v>
      </c>
      <c r="C4038" s="22" t="s">
        <v>236</v>
      </c>
      <c r="D4038" s="24" t="n">
        <v>130</v>
      </c>
    </row>
    <row r="4039" customFormat="false" ht="15" hidden="false" customHeight="false" outlineLevel="0" collapsed="false">
      <c r="A4039" s="22" t="n">
        <v>86</v>
      </c>
      <c r="B4039" s="23" t="n">
        <v>46069</v>
      </c>
      <c r="C4039" s="22" t="s">
        <v>236</v>
      </c>
      <c r="D4039" s="24" t="n">
        <v>170</v>
      </c>
    </row>
    <row r="4040" customFormat="false" ht="15" hidden="false" customHeight="false" outlineLevel="0" collapsed="false">
      <c r="A4040" s="22" t="n">
        <v>87</v>
      </c>
      <c r="B4040" s="23" t="n">
        <v>46076</v>
      </c>
      <c r="C4040" s="22" t="s">
        <v>236</v>
      </c>
      <c r="D4040" s="24" t="n">
        <v>165</v>
      </c>
    </row>
    <row r="4041" customFormat="false" ht="15" hidden="false" customHeight="false" outlineLevel="0" collapsed="false">
      <c r="A4041" s="22" t="n">
        <v>88</v>
      </c>
      <c r="B4041" s="23" t="n">
        <v>46083</v>
      </c>
      <c r="C4041" s="22" t="s">
        <v>236</v>
      </c>
      <c r="D4041" s="24" t="n">
        <v>198</v>
      </c>
    </row>
    <row r="4042" customFormat="false" ht="15" hidden="false" customHeight="false" outlineLevel="0" collapsed="false">
      <c r="A4042" s="22" t="n">
        <v>89</v>
      </c>
      <c r="B4042" s="23" t="n">
        <v>46090</v>
      </c>
      <c r="C4042" s="22" t="s">
        <v>236</v>
      </c>
      <c r="D4042" s="24" t="n">
        <v>130</v>
      </c>
    </row>
    <row r="4043" customFormat="false" ht="15" hidden="false" customHeight="false" outlineLevel="0" collapsed="false">
      <c r="A4043" s="22" t="n">
        <v>90</v>
      </c>
      <c r="B4043" s="23" t="n">
        <v>46097</v>
      </c>
      <c r="C4043" s="22" t="s">
        <v>236</v>
      </c>
      <c r="D4043" s="24" t="n">
        <v>122</v>
      </c>
    </row>
    <row r="4044" customFormat="false" ht="15" hidden="false" customHeight="false" outlineLevel="0" collapsed="false">
      <c r="A4044" s="22" t="n">
        <v>91</v>
      </c>
      <c r="B4044" s="23" t="n">
        <v>46104</v>
      </c>
      <c r="C4044" s="22" t="s">
        <v>236</v>
      </c>
      <c r="D4044" s="24" t="n">
        <v>152</v>
      </c>
    </row>
    <row r="4045" customFormat="false" ht="15" hidden="false" customHeight="false" outlineLevel="0" collapsed="false">
      <c r="A4045" s="22" t="n">
        <v>92</v>
      </c>
      <c r="B4045" s="23" t="n">
        <v>46111</v>
      </c>
      <c r="C4045" s="22" t="s">
        <v>236</v>
      </c>
      <c r="D4045" s="24" t="n">
        <v>168</v>
      </c>
    </row>
    <row r="4046" customFormat="false" ht="15" hidden="false" customHeight="false" outlineLevel="0" collapsed="false">
      <c r="A4046" s="22" t="n">
        <v>93</v>
      </c>
      <c r="B4046" s="23" t="n">
        <v>46118</v>
      </c>
      <c r="C4046" s="22" t="s">
        <v>236</v>
      </c>
      <c r="D4046" s="24" t="n">
        <v>168</v>
      </c>
    </row>
    <row r="4047" customFormat="false" ht="15" hidden="false" customHeight="false" outlineLevel="0" collapsed="false">
      <c r="A4047" s="22" t="n">
        <v>94</v>
      </c>
      <c r="B4047" s="23" t="n">
        <v>46125</v>
      </c>
      <c r="C4047" s="22" t="s">
        <v>236</v>
      </c>
      <c r="D4047" s="24" t="n">
        <v>185</v>
      </c>
    </row>
    <row r="4048" customFormat="false" ht="15" hidden="false" customHeight="false" outlineLevel="0" collapsed="false">
      <c r="A4048" s="22" t="n">
        <v>95</v>
      </c>
      <c r="B4048" s="23" t="n">
        <v>46132</v>
      </c>
      <c r="C4048" s="22" t="s">
        <v>236</v>
      </c>
      <c r="D4048" s="24" t="n">
        <v>124</v>
      </c>
    </row>
    <row r="4049" customFormat="false" ht="15" hidden="false" customHeight="false" outlineLevel="0" collapsed="false">
      <c r="A4049" s="22" t="n">
        <v>96</v>
      </c>
      <c r="B4049" s="23" t="n">
        <v>46139</v>
      </c>
      <c r="C4049" s="22" t="s">
        <v>236</v>
      </c>
      <c r="D4049" s="24" t="n">
        <v>140</v>
      </c>
    </row>
    <row r="4050" customFormat="false" ht="15" hidden="false" customHeight="false" outlineLevel="0" collapsed="false">
      <c r="A4050" s="22" t="n">
        <v>97</v>
      </c>
      <c r="B4050" s="23" t="n">
        <v>46146</v>
      </c>
      <c r="C4050" s="22" t="s">
        <v>236</v>
      </c>
      <c r="D4050" s="24" t="n">
        <v>156</v>
      </c>
    </row>
    <row r="4051" customFormat="false" ht="15" hidden="false" customHeight="false" outlineLevel="0" collapsed="false">
      <c r="A4051" s="22" t="n">
        <v>98</v>
      </c>
      <c r="B4051" s="23" t="n">
        <v>46153</v>
      </c>
      <c r="C4051" s="22" t="s">
        <v>236</v>
      </c>
      <c r="D4051" s="24" t="n">
        <v>179</v>
      </c>
    </row>
    <row r="4052" customFormat="false" ht="15" hidden="false" customHeight="false" outlineLevel="0" collapsed="false">
      <c r="A4052" s="22" t="n">
        <v>99</v>
      </c>
      <c r="B4052" s="23" t="n">
        <v>46160</v>
      </c>
      <c r="C4052" s="22" t="s">
        <v>236</v>
      </c>
      <c r="D4052" s="24" t="n">
        <v>170</v>
      </c>
    </row>
    <row r="4053" customFormat="false" ht="15" hidden="false" customHeight="false" outlineLevel="0" collapsed="false">
      <c r="A4053" s="22" t="n">
        <v>100</v>
      </c>
      <c r="B4053" s="23" t="n">
        <v>46167</v>
      </c>
      <c r="C4053" s="22" t="s">
        <v>236</v>
      </c>
      <c r="D4053" s="24" t="n">
        <v>149</v>
      </c>
    </row>
    <row r="4054" customFormat="false" ht="15" hidden="false" customHeight="false" outlineLevel="0" collapsed="false">
      <c r="A4054" s="22" t="n">
        <v>101</v>
      </c>
      <c r="B4054" s="23" t="n">
        <v>46174</v>
      </c>
      <c r="C4054" s="22" t="s">
        <v>236</v>
      </c>
      <c r="D4054" s="24" t="n">
        <v>135</v>
      </c>
    </row>
    <row r="4055" customFormat="false" ht="15" hidden="false" customHeight="false" outlineLevel="0" collapsed="false">
      <c r="A4055" s="22" t="n">
        <v>102</v>
      </c>
      <c r="B4055" s="23" t="n">
        <v>46181</v>
      </c>
      <c r="C4055" s="22" t="s">
        <v>236</v>
      </c>
      <c r="D4055" s="24" t="n">
        <v>180</v>
      </c>
    </row>
    <row r="4056" customFormat="false" ht="15" hidden="false" customHeight="false" outlineLevel="0" collapsed="false">
      <c r="A4056" s="22" t="n">
        <v>103</v>
      </c>
      <c r="B4056" s="23" t="n">
        <v>46188</v>
      </c>
      <c r="C4056" s="22" t="s">
        <v>236</v>
      </c>
      <c r="D4056" s="24" t="n">
        <v>181</v>
      </c>
    </row>
    <row r="4057" customFormat="false" ht="15" hidden="false" customHeight="false" outlineLevel="0" collapsed="false">
      <c r="A4057" s="22" t="n">
        <v>104</v>
      </c>
      <c r="B4057" s="23" t="n">
        <v>46195</v>
      </c>
      <c r="C4057" s="22" t="s">
        <v>236</v>
      </c>
      <c r="D4057" s="24" t="n">
        <v>223</v>
      </c>
    </row>
    <row r="4058" customFormat="false" ht="15" hidden="false" customHeight="false" outlineLevel="0" collapsed="false">
      <c r="A4058" s="22" t="n">
        <v>1</v>
      </c>
      <c r="B4058" s="23" t="n">
        <v>45474</v>
      </c>
      <c r="C4058" s="22" t="s">
        <v>238</v>
      </c>
      <c r="D4058" s="24" t="n">
        <v>88</v>
      </c>
    </row>
    <row r="4059" customFormat="false" ht="15" hidden="false" customHeight="false" outlineLevel="0" collapsed="false">
      <c r="A4059" s="22" t="n">
        <v>2</v>
      </c>
      <c r="B4059" s="23" t="n">
        <v>45481</v>
      </c>
      <c r="C4059" s="22" t="s">
        <v>238</v>
      </c>
      <c r="D4059" s="24" t="n">
        <v>112</v>
      </c>
    </row>
    <row r="4060" customFormat="false" ht="15" hidden="false" customHeight="false" outlineLevel="0" collapsed="false">
      <c r="A4060" s="22" t="n">
        <v>3</v>
      </c>
      <c r="B4060" s="23" t="n">
        <v>45488</v>
      </c>
      <c r="C4060" s="22" t="s">
        <v>238</v>
      </c>
      <c r="D4060" s="24" t="n">
        <v>77</v>
      </c>
    </row>
    <row r="4061" customFormat="false" ht="15" hidden="false" customHeight="false" outlineLevel="0" collapsed="false">
      <c r="A4061" s="22" t="n">
        <v>4</v>
      </c>
      <c r="B4061" s="23" t="n">
        <v>45495</v>
      </c>
      <c r="C4061" s="22" t="s">
        <v>238</v>
      </c>
      <c r="D4061" s="24" t="n">
        <v>87</v>
      </c>
    </row>
    <row r="4062" customFormat="false" ht="15" hidden="false" customHeight="false" outlineLevel="0" collapsed="false">
      <c r="A4062" s="22" t="n">
        <v>5</v>
      </c>
      <c r="B4062" s="23" t="n">
        <v>45502</v>
      </c>
      <c r="C4062" s="22" t="s">
        <v>238</v>
      </c>
      <c r="D4062" s="24" t="n">
        <v>86</v>
      </c>
    </row>
    <row r="4063" customFormat="false" ht="15" hidden="false" customHeight="false" outlineLevel="0" collapsed="false">
      <c r="A4063" s="22" t="n">
        <v>6</v>
      </c>
      <c r="B4063" s="23" t="n">
        <v>45509</v>
      </c>
      <c r="C4063" s="22" t="s">
        <v>238</v>
      </c>
      <c r="D4063" s="24" t="n">
        <v>90</v>
      </c>
    </row>
    <row r="4064" customFormat="false" ht="15" hidden="false" customHeight="false" outlineLevel="0" collapsed="false">
      <c r="A4064" s="22" t="n">
        <v>7</v>
      </c>
      <c r="B4064" s="23" t="n">
        <v>45516</v>
      </c>
      <c r="C4064" s="22" t="s">
        <v>238</v>
      </c>
      <c r="D4064" s="24" t="n">
        <v>85</v>
      </c>
    </row>
    <row r="4065" customFormat="false" ht="15" hidden="false" customHeight="false" outlineLevel="0" collapsed="false">
      <c r="A4065" s="22" t="n">
        <v>8</v>
      </c>
      <c r="B4065" s="23" t="n">
        <v>45523</v>
      </c>
      <c r="C4065" s="22" t="s">
        <v>238</v>
      </c>
      <c r="D4065" s="24" t="n">
        <v>90</v>
      </c>
    </row>
    <row r="4066" customFormat="false" ht="15" hidden="false" customHeight="false" outlineLevel="0" collapsed="false">
      <c r="A4066" s="22" t="n">
        <v>9</v>
      </c>
      <c r="B4066" s="23" t="n">
        <v>45530</v>
      </c>
      <c r="C4066" s="22" t="s">
        <v>238</v>
      </c>
      <c r="D4066" s="24" t="n">
        <v>98</v>
      </c>
    </row>
    <row r="4067" customFormat="false" ht="15" hidden="false" customHeight="false" outlineLevel="0" collapsed="false">
      <c r="A4067" s="22" t="n">
        <v>10</v>
      </c>
      <c r="B4067" s="23" t="n">
        <v>45537</v>
      </c>
      <c r="C4067" s="22" t="s">
        <v>238</v>
      </c>
      <c r="D4067" s="24" t="n">
        <v>94</v>
      </c>
    </row>
    <row r="4068" customFormat="false" ht="15" hidden="false" customHeight="false" outlineLevel="0" collapsed="false">
      <c r="A4068" s="22" t="n">
        <v>11</v>
      </c>
      <c r="B4068" s="23" t="n">
        <v>45544</v>
      </c>
      <c r="C4068" s="22" t="s">
        <v>238</v>
      </c>
      <c r="D4068" s="24" t="n">
        <v>110</v>
      </c>
    </row>
    <row r="4069" customFormat="false" ht="15" hidden="false" customHeight="false" outlineLevel="0" collapsed="false">
      <c r="A4069" s="22" t="n">
        <v>12</v>
      </c>
      <c r="B4069" s="23" t="n">
        <v>45551</v>
      </c>
      <c r="C4069" s="22" t="s">
        <v>238</v>
      </c>
      <c r="D4069" s="24" t="n">
        <v>101</v>
      </c>
    </row>
    <row r="4070" customFormat="false" ht="15" hidden="false" customHeight="false" outlineLevel="0" collapsed="false">
      <c r="A4070" s="22" t="n">
        <v>13</v>
      </c>
      <c r="B4070" s="23" t="n">
        <v>45558</v>
      </c>
      <c r="C4070" s="22" t="s">
        <v>238</v>
      </c>
      <c r="D4070" s="24" t="n">
        <v>103</v>
      </c>
    </row>
    <row r="4071" customFormat="false" ht="15" hidden="false" customHeight="false" outlineLevel="0" collapsed="false">
      <c r="A4071" s="22" t="n">
        <v>14</v>
      </c>
      <c r="B4071" s="23" t="n">
        <v>45565</v>
      </c>
      <c r="C4071" s="22" t="s">
        <v>238</v>
      </c>
      <c r="D4071" s="24" t="n">
        <v>125</v>
      </c>
    </row>
    <row r="4072" customFormat="false" ht="15" hidden="false" customHeight="false" outlineLevel="0" collapsed="false">
      <c r="A4072" s="22" t="n">
        <v>15</v>
      </c>
      <c r="B4072" s="23" t="n">
        <v>45572</v>
      </c>
      <c r="C4072" s="22" t="s">
        <v>238</v>
      </c>
      <c r="D4072" s="24" t="n">
        <v>109</v>
      </c>
    </row>
    <row r="4073" customFormat="false" ht="15" hidden="false" customHeight="false" outlineLevel="0" collapsed="false">
      <c r="A4073" s="22" t="n">
        <v>16</v>
      </c>
      <c r="B4073" s="23" t="n">
        <v>45579</v>
      </c>
      <c r="C4073" s="22" t="s">
        <v>238</v>
      </c>
      <c r="D4073" s="24" t="n">
        <v>108</v>
      </c>
    </row>
    <row r="4074" customFormat="false" ht="15" hidden="false" customHeight="false" outlineLevel="0" collapsed="false">
      <c r="A4074" s="22" t="n">
        <v>17</v>
      </c>
      <c r="B4074" s="23" t="n">
        <v>45586</v>
      </c>
      <c r="C4074" s="22" t="s">
        <v>238</v>
      </c>
      <c r="D4074" s="24" t="n">
        <v>107</v>
      </c>
    </row>
    <row r="4075" customFormat="false" ht="15" hidden="false" customHeight="false" outlineLevel="0" collapsed="false">
      <c r="A4075" s="22" t="n">
        <v>18</v>
      </c>
      <c r="B4075" s="23" t="n">
        <v>45593</v>
      </c>
      <c r="C4075" s="22" t="s">
        <v>238</v>
      </c>
      <c r="D4075" s="24" t="n">
        <v>109</v>
      </c>
    </row>
    <row r="4076" customFormat="false" ht="15" hidden="false" customHeight="false" outlineLevel="0" collapsed="false">
      <c r="A4076" s="22" t="n">
        <v>19</v>
      </c>
      <c r="B4076" s="23" t="n">
        <v>45600</v>
      </c>
      <c r="C4076" s="22" t="s">
        <v>238</v>
      </c>
      <c r="D4076" s="24" t="n">
        <v>117</v>
      </c>
    </row>
    <row r="4077" customFormat="false" ht="15" hidden="false" customHeight="false" outlineLevel="0" collapsed="false">
      <c r="A4077" s="22" t="n">
        <v>20</v>
      </c>
      <c r="B4077" s="23" t="n">
        <v>45607</v>
      </c>
      <c r="C4077" s="22" t="s">
        <v>238</v>
      </c>
      <c r="D4077" s="24" t="n">
        <v>98</v>
      </c>
    </row>
    <row r="4078" customFormat="false" ht="15" hidden="false" customHeight="false" outlineLevel="0" collapsed="false">
      <c r="A4078" s="22" t="n">
        <v>21</v>
      </c>
      <c r="B4078" s="23" t="n">
        <v>45614</v>
      </c>
      <c r="C4078" s="22" t="s">
        <v>238</v>
      </c>
      <c r="D4078" s="24" t="n">
        <v>128</v>
      </c>
    </row>
    <row r="4079" customFormat="false" ht="15" hidden="false" customHeight="false" outlineLevel="0" collapsed="false">
      <c r="A4079" s="22" t="n">
        <v>22</v>
      </c>
      <c r="B4079" s="23" t="n">
        <v>45621</v>
      </c>
      <c r="C4079" s="22" t="s">
        <v>238</v>
      </c>
      <c r="D4079" s="24" t="n">
        <v>136</v>
      </c>
    </row>
    <row r="4080" customFormat="false" ht="15" hidden="false" customHeight="false" outlineLevel="0" collapsed="false">
      <c r="A4080" s="22" t="n">
        <v>23</v>
      </c>
      <c r="B4080" s="23" t="n">
        <v>45628</v>
      </c>
      <c r="C4080" s="22" t="s">
        <v>238</v>
      </c>
      <c r="D4080" s="24" t="n">
        <v>131</v>
      </c>
    </row>
    <row r="4081" customFormat="false" ht="15" hidden="false" customHeight="false" outlineLevel="0" collapsed="false">
      <c r="A4081" s="22" t="n">
        <v>24</v>
      </c>
      <c r="B4081" s="23" t="n">
        <v>45635</v>
      </c>
      <c r="C4081" s="22" t="s">
        <v>238</v>
      </c>
      <c r="D4081" s="24" t="n">
        <v>106</v>
      </c>
    </row>
    <row r="4082" customFormat="false" ht="15" hidden="false" customHeight="false" outlineLevel="0" collapsed="false">
      <c r="A4082" s="22" t="n">
        <v>25</v>
      </c>
      <c r="B4082" s="23" t="n">
        <v>45642</v>
      </c>
      <c r="C4082" s="22" t="s">
        <v>238</v>
      </c>
      <c r="D4082" s="24" t="n">
        <v>90</v>
      </c>
    </row>
    <row r="4083" customFormat="false" ht="15" hidden="false" customHeight="false" outlineLevel="0" collapsed="false">
      <c r="A4083" s="22" t="n">
        <v>26</v>
      </c>
      <c r="B4083" s="23" t="n">
        <v>45649</v>
      </c>
      <c r="C4083" s="22" t="s">
        <v>238</v>
      </c>
      <c r="D4083" s="24" t="n">
        <v>109</v>
      </c>
    </row>
    <row r="4084" customFormat="false" ht="15" hidden="false" customHeight="false" outlineLevel="0" collapsed="false">
      <c r="A4084" s="22" t="n">
        <v>27</v>
      </c>
      <c r="B4084" s="23" t="n">
        <v>45656</v>
      </c>
      <c r="C4084" s="22" t="s">
        <v>238</v>
      </c>
      <c r="D4084" s="24" t="n">
        <v>120</v>
      </c>
    </row>
    <row r="4085" customFormat="false" ht="15" hidden="false" customHeight="false" outlineLevel="0" collapsed="false">
      <c r="A4085" s="22" t="n">
        <v>28</v>
      </c>
      <c r="B4085" s="23" t="n">
        <v>45663</v>
      </c>
      <c r="C4085" s="22" t="s">
        <v>238</v>
      </c>
      <c r="D4085" s="24" t="n">
        <v>131</v>
      </c>
    </row>
    <row r="4086" customFormat="false" ht="15" hidden="false" customHeight="false" outlineLevel="0" collapsed="false">
      <c r="A4086" s="22" t="n">
        <v>29</v>
      </c>
      <c r="B4086" s="23" t="n">
        <v>45670</v>
      </c>
      <c r="C4086" s="22" t="s">
        <v>238</v>
      </c>
      <c r="D4086" s="24" t="n">
        <v>116</v>
      </c>
    </row>
    <row r="4087" customFormat="false" ht="15" hidden="false" customHeight="false" outlineLevel="0" collapsed="false">
      <c r="A4087" s="22" t="n">
        <v>30</v>
      </c>
      <c r="B4087" s="23" t="n">
        <v>45677</v>
      </c>
      <c r="C4087" s="22" t="s">
        <v>238</v>
      </c>
      <c r="D4087" s="24" t="n">
        <v>115</v>
      </c>
    </row>
    <row r="4088" customFormat="false" ht="15" hidden="false" customHeight="false" outlineLevel="0" collapsed="false">
      <c r="A4088" s="22" t="n">
        <v>31</v>
      </c>
      <c r="B4088" s="23" t="n">
        <v>45684</v>
      </c>
      <c r="C4088" s="22" t="s">
        <v>238</v>
      </c>
      <c r="D4088" s="24" t="n">
        <v>146</v>
      </c>
    </row>
    <row r="4089" customFormat="false" ht="15" hidden="false" customHeight="false" outlineLevel="0" collapsed="false">
      <c r="A4089" s="22" t="n">
        <v>32</v>
      </c>
      <c r="B4089" s="23" t="n">
        <v>45691</v>
      </c>
      <c r="C4089" s="22" t="s">
        <v>238</v>
      </c>
      <c r="D4089" s="24" t="n">
        <v>111</v>
      </c>
    </row>
    <row r="4090" customFormat="false" ht="15" hidden="false" customHeight="false" outlineLevel="0" collapsed="false">
      <c r="A4090" s="22" t="n">
        <v>33</v>
      </c>
      <c r="B4090" s="23" t="n">
        <v>45698</v>
      </c>
      <c r="C4090" s="22" t="s">
        <v>238</v>
      </c>
      <c r="D4090" s="24" t="n">
        <v>141</v>
      </c>
    </row>
    <row r="4091" customFormat="false" ht="15" hidden="false" customHeight="false" outlineLevel="0" collapsed="false">
      <c r="A4091" s="22" t="n">
        <v>34</v>
      </c>
      <c r="B4091" s="23" t="n">
        <v>45705</v>
      </c>
      <c r="C4091" s="22" t="s">
        <v>238</v>
      </c>
      <c r="D4091" s="24" t="n">
        <v>140</v>
      </c>
    </row>
    <row r="4092" customFormat="false" ht="15" hidden="false" customHeight="false" outlineLevel="0" collapsed="false">
      <c r="A4092" s="22" t="n">
        <v>35</v>
      </c>
      <c r="B4092" s="23" t="n">
        <v>45712</v>
      </c>
      <c r="C4092" s="22" t="s">
        <v>238</v>
      </c>
      <c r="D4092" s="24" t="n">
        <v>102</v>
      </c>
    </row>
    <row r="4093" customFormat="false" ht="15" hidden="false" customHeight="false" outlineLevel="0" collapsed="false">
      <c r="A4093" s="22" t="n">
        <v>36</v>
      </c>
      <c r="B4093" s="23" t="n">
        <v>45719</v>
      </c>
      <c r="C4093" s="22" t="s">
        <v>238</v>
      </c>
      <c r="D4093" s="24" t="n">
        <v>131</v>
      </c>
    </row>
    <row r="4094" customFormat="false" ht="15" hidden="false" customHeight="false" outlineLevel="0" collapsed="false">
      <c r="A4094" s="22" t="n">
        <v>37</v>
      </c>
      <c r="B4094" s="23" t="n">
        <v>45726</v>
      </c>
      <c r="C4094" s="22" t="s">
        <v>238</v>
      </c>
      <c r="D4094" s="24" t="n">
        <v>117</v>
      </c>
    </row>
    <row r="4095" customFormat="false" ht="15" hidden="false" customHeight="false" outlineLevel="0" collapsed="false">
      <c r="A4095" s="22" t="n">
        <v>38</v>
      </c>
      <c r="B4095" s="23" t="n">
        <v>45733</v>
      </c>
      <c r="C4095" s="22" t="s">
        <v>238</v>
      </c>
      <c r="D4095" s="24" t="n">
        <v>111</v>
      </c>
    </row>
    <row r="4096" customFormat="false" ht="15" hidden="false" customHeight="false" outlineLevel="0" collapsed="false">
      <c r="A4096" s="22" t="n">
        <v>39</v>
      </c>
      <c r="B4096" s="23" t="n">
        <v>45740</v>
      </c>
      <c r="C4096" s="22" t="s">
        <v>238</v>
      </c>
      <c r="D4096" s="24" t="n">
        <v>96</v>
      </c>
    </row>
    <row r="4097" customFormat="false" ht="15" hidden="false" customHeight="false" outlineLevel="0" collapsed="false">
      <c r="A4097" s="22" t="n">
        <v>40</v>
      </c>
      <c r="B4097" s="23" t="n">
        <v>45747</v>
      </c>
      <c r="C4097" s="22" t="s">
        <v>238</v>
      </c>
      <c r="D4097" s="24" t="n">
        <v>102</v>
      </c>
    </row>
    <row r="4098" customFormat="false" ht="15" hidden="false" customHeight="false" outlineLevel="0" collapsed="false">
      <c r="A4098" s="22" t="n">
        <v>41</v>
      </c>
      <c r="B4098" s="23" t="n">
        <v>45754</v>
      </c>
      <c r="C4098" s="22" t="s">
        <v>238</v>
      </c>
      <c r="D4098" s="24" t="n">
        <v>139</v>
      </c>
    </row>
    <row r="4099" customFormat="false" ht="15" hidden="false" customHeight="false" outlineLevel="0" collapsed="false">
      <c r="A4099" s="22" t="n">
        <v>42</v>
      </c>
      <c r="B4099" s="23" t="n">
        <v>45761</v>
      </c>
      <c r="C4099" s="22" t="s">
        <v>238</v>
      </c>
      <c r="D4099" s="24" t="n">
        <v>125</v>
      </c>
    </row>
    <row r="4100" customFormat="false" ht="15" hidden="false" customHeight="false" outlineLevel="0" collapsed="false">
      <c r="A4100" s="22" t="n">
        <v>43</v>
      </c>
      <c r="B4100" s="23" t="n">
        <v>45768</v>
      </c>
      <c r="C4100" s="22" t="s">
        <v>238</v>
      </c>
      <c r="D4100" s="24" t="n">
        <v>138</v>
      </c>
    </row>
    <row r="4101" customFormat="false" ht="15" hidden="false" customHeight="false" outlineLevel="0" collapsed="false">
      <c r="A4101" s="22" t="n">
        <v>44</v>
      </c>
      <c r="B4101" s="23" t="n">
        <v>45775</v>
      </c>
      <c r="C4101" s="22" t="s">
        <v>238</v>
      </c>
      <c r="D4101" s="24" t="n">
        <v>115</v>
      </c>
    </row>
    <row r="4102" customFormat="false" ht="15" hidden="false" customHeight="false" outlineLevel="0" collapsed="false">
      <c r="A4102" s="22" t="n">
        <v>45</v>
      </c>
      <c r="B4102" s="23" t="n">
        <v>45782</v>
      </c>
      <c r="C4102" s="22" t="s">
        <v>238</v>
      </c>
      <c r="D4102" s="24" t="n">
        <v>129</v>
      </c>
    </row>
    <row r="4103" customFormat="false" ht="15" hidden="false" customHeight="false" outlineLevel="0" collapsed="false">
      <c r="A4103" s="22" t="n">
        <v>46</v>
      </c>
      <c r="B4103" s="23" t="n">
        <v>45789</v>
      </c>
      <c r="C4103" s="22" t="s">
        <v>238</v>
      </c>
      <c r="D4103" s="24" t="n">
        <v>131</v>
      </c>
    </row>
    <row r="4104" customFormat="false" ht="15" hidden="false" customHeight="false" outlineLevel="0" collapsed="false">
      <c r="A4104" s="22" t="n">
        <v>47</v>
      </c>
      <c r="B4104" s="23" t="n">
        <v>45796</v>
      </c>
      <c r="C4104" s="22" t="s">
        <v>238</v>
      </c>
      <c r="D4104" s="24" t="n">
        <v>108</v>
      </c>
    </row>
    <row r="4105" customFormat="false" ht="15" hidden="false" customHeight="false" outlineLevel="0" collapsed="false">
      <c r="A4105" s="22" t="n">
        <v>48</v>
      </c>
      <c r="B4105" s="23" t="n">
        <v>45803</v>
      </c>
      <c r="C4105" s="22" t="s">
        <v>238</v>
      </c>
      <c r="D4105" s="24" t="n">
        <v>107</v>
      </c>
    </row>
    <row r="4106" customFormat="false" ht="15" hidden="false" customHeight="false" outlineLevel="0" collapsed="false">
      <c r="A4106" s="22" t="n">
        <v>49</v>
      </c>
      <c r="B4106" s="23" t="n">
        <v>45810</v>
      </c>
      <c r="C4106" s="22" t="s">
        <v>238</v>
      </c>
      <c r="D4106" s="24" t="n">
        <v>148</v>
      </c>
    </row>
    <row r="4107" customFormat="false" ht="15" hidden="false" customHeight="false" outlineLevel="0" collapsed="false">
      <c r="A4107" s="22" t="n">
        <v>50</v>
      </c>
      <c r="B4107" s="23" t="n">
        <v>45817</v>
      </c>
      <c r="C4107" s="22" t="s">
        <v>238</v>
      </c>
      <c r="D4107" s="24" t="n">
        <v>143</v>
      </c>
    </row>
    <row r="4108" customFormat="false" ht="15" hidden="false" customHeight="false" outlineLevel="0" collapsed="false">
      <c r="A4108" s="22" t="n">
        <v>51</v>
      </c>
      <c r="B4108" s="23" t="n">
        <v>45824</v>
      </c>
      <c r="C4108" s="22" t="s">
        <v>238</v>
      </c>
      <c r="D4108" s="24" t="n">
        <v>123</v>
      </c>
    </row>
    <row r="4109" customFormat="false" ht="15" hidden="false" customHeight="false" outlineLevel="0" collapsed="false">
      <c r="A4109" s="22" t="n">
        <v>52</v>
      </c>
      <c r="B4109" s="23" t="n">
        <v>45831</v>
      </c>
      <c r="C4109" s="22" t="s">
        <v>238</v>
      </c>
      <c r="D4109" s="24" t="n">
        <v>140</v>
      </c>
    </row>
    <row r="4110" customFormat="false" ht="15" hidden="false" customHeight="false" outlineLevel="0" collapsed="false">
      <c r="A4110" s="22" t="n">
        <v>53</v>
      </c>
      <c r="B4110" s="23" t="n">
        <v>45838</v>
      </c>
      <c r="C4110" s="22" t="s">
        <v>238</v>
      </c>
      <c r="D4110" s="24" t="n">
        <v>157</v>
      </c>
    </row>
    <row r="4111" customFormat="false" ht="15" hidden="false" customHeight="false" outlineLevel="0" collapsed="false">
      <c r="A4111" s="22" t="n">
        <v>54</v>
      </c>
      <c r="B4111" s="23" t="n">
        <v>45845</v>
      </c>
      <c r="C4111" s="22" t="s">
        <v>238</v>
      </c>
      <c r="D4111" s="24" t="n">
        <v>181</v>
      </c>
    </row>
    <row r="4112" customFormat="false" ht="15" hidden="false" customHeight="false" outlineLevel="0" collapsed="false">
      <c r="A4112" s="22" t="n">
        <v>55</v>
      </c>
      <c r="B4112" s="23" t="n">
        <v>45852</v>
      </c>
      <c r="C4112" s="22" t="s">
        <v>238</v>
      </c>
      <c r="D4112" s="24" t="n">
        <v>128</v>
      </c>
    </row>
    <row r="4113" customFormat="false" ht="15" hidden="false" customHeight="false" outlineLevel="0" collapsed="false">
      <c r="A4113" s="22" t="n">
        <v>56</v>
      </c>
      <c r="B4113" s="23" t="n">
        <v>45859</v>
      </c>
      <c r="C4113" s="22" t="s">
        <v>238</v>
      </c>
      <c r="D4113" s="24" t="n">
        <v>159</v>
      </c>
    </row>
    <row r="4114" customFormat="false" ht="15" hidden="false" customHeight="false" outlineLevel="0" collapsed="false">
      <c r="A4114" s="22" t="n">
        <v>57</v>
      </c>
      <c r="B4114" s="23" t="n">
        <v>45866</v>
      </c>
      <c r="C4114" s="22" t="s">
        <v>238</v>
      </c>
      <c r="D4114" s="24" t="n">
        <v>191</v>
      </c>
    </row>
    <row r="4115" customFormat="false" ht="15" hidden="false" customHeight="false" outlineLevel="0" collapsed="false">
      <c r="A4115" s="22" t="n">
        <v>58</v>
      </c>
      <c r="B4115" s="23" t="n">
        <v>45873</v>
      </c>
      <c r="C4115" s="22" t="s">
        <v>238</v>
      </c>
      <c r="D4115" s="24" t="n">
        <v>150</v>
      </c>
    </row>
    <row r="4116" customFormat="false" ht="15" hidden="false" customHeight="false" outlineLevel="0" collapsed="false">
      <c r="A4116" s="22" t="n">
        <v>59</v>
      </c>
      <c r="B4116" s="23" t="n">
        <v>45880</v>
      </c>
      <c r="C4116" s="22" t="s">
        <v>238</v>
      </c>
      <c r="D4116" s="24" t="n">
        <v>180</v>
      </c>
    </row>
    <row r="4117" customFormat="false" ht="15" hidden="false" customHeight="false" outlineLevel="0" collapsed="false">
      <c r="A4117" s="22" t="n">
        <v>60</v>
      </c>
      <c r="B4117" s="23" t="n">
        <v>45887</v>
      </c>
      <c r="C4117" s="22" t="s">
        <v>238</v>
      </c>
      <c r="D4117" s="24" t="n">
        <v>97</v>
      </c>
    </row>
    <row r="4118" customFormat="false" ht="15" hidden="false" customHeight="false" outlineLevel="0" collapsed="false">
      <c r="A4118" s="22" t="n">
        <v>61</v>
      </c>
      <c r="B4118" s="23" t="n">
        <v>45894</v>
      </c>
      <c r="C4118" s="22" t="s">
        <v>238</v>
      </c>
      <c r="D4118" s="24" t="n">
        <v>182</v>
      </c>
    </row>
    <row r="4119" customFormat="false" ht="15" hidden="false" customHeight="false" outlineLevel="0" collapsed="false">
      <c r="A4119" s="22" t="n">
        <v>62</v>
      </c>
      <c r="B4119" s="23" t="n">
        <v>45901</v>
      </c>
      <c r="C4119" s="22" t="s">
        <v>238</v>
      </c>
      <c r="D4119" s="24" t="n">
        <v>152</v>
      </c>
    </row>
    <row r="4120" customFormat="false" ht="15" hidden="false" customHeight="false" outlineLevel="0" collapsed="false">
      <c r="A4120" s="22" t="n">
        <v>63</v>
      </c>
      <c r="B4120" s="23" t="n">
        <v>45908</v>
      </c>
      <c r="C4120" s="22" t="s">
        <v>238</v>
      </c>
      <c r="D4120" s="24" t="n">
        <v>114</v>
      </c>
    </row>
    <row r="4121" customFormat="false" ht="15" hidden="false" customHeight="false" outlineLevel="0" collapsed="false">
      <c r="A4121" s="22" t="n">
        <v>64</v>
      </c>
      <c r="B4121" s="23" t="n">
        <v>45915</v>
      </c>
      <c r="C4121" s="22" t="s">
        <v>238</v>
      </c>
      <c r="D4121" s="24" t="n">
        <v>171</v>
      </c>
    </row>
    <row r="4122" customFormat="false" ht="15" hidden="false" customHeight="false" outlineLevel="0" collapsed="false">
      <c r="A4122" s="22" t="n">
        <v>65</v>
      </c>
      <c r="B4122" s="23" t="n">
        <v>45922</v>
      </c>
      <c r="C4122" s="22" t="s">
        <v>238</v>
      </c>
      <c r="D4122" s="24" t="n">
        <v>178</v>
      </c>
    </row>
    <row r="4123" customFormat="false" ht="15" hidden="false" customHeight="false" outlineLevel="0" collapsed="false">
      <c r="A4123" s="22" t="n">
        <v>66</v>
      </c>
      <c r="B4123" s="23" t="n">
        <v>45929</v>
      </c>
      <c r="C4123" s="22" t="s">
        <v>238</v>
      </c>
      <c r="D4123" s="24" t="n">
        <v>183</v>
      </c>
    </row>
    <row r="4124" customFormat="false" ht="15" hidden="false" customHeight="false" outlineLevel="0" collapsed="false">
      <c r="A4124" s="22" t="n">
        <v>67</v>
      </c>
      <c r="B4124" s="23" t="n">
        <v>45936</v>
      </c>
      <c r="C4124" s="22" t="s">
        <v>238</v>
      </c>
      <c r="D4124" s="24" t="n">
        <v>184</v>
      </c>
    </row>
    <row r="4125" customFormat="false" ht="15" hidden="false" customHeight="false" outlineLevel="0" collapsed="false">
      <c r="A4125" s="22" t="n">
        <v>68</v>
      </c>
      <c r="B4125" s="23" t="n">
        <v>45943</v>
      </c>
      <c r="C4125" s="22" t="s">
        <v>238</v>
      </c>
      <c r="D4125" s="24" t="n">
        <v>158</v>
      </c>
    </row>
    <row r="4126" customFormat="false" ht="15" hidden="false" customHeight="false" outlineLevel="0" collapsed="false">
      <c r="A4126" s="22" t="n">
        <v>69</v>
      </c>
      <c r="B4126" s="23" t="n">
        <v>45950</v>
      </c>
      <c r="C4126" s="22" t="s">
        <v>238</v>
      </c>
      <c r="D4126" s="24" t="n">
        <v>143</v>
      </c>
    </row>
    <row r="4127" customFormat="false" ht="15" hidden="false" customHeight="false" outlineLevel="0" collapsed="false">
      <c r="A4127" s="22" t="n">
        <v>70</v>
      </c>
      <c r="B4127" s="23" t="n">
        <v>45957</v>
      </c>
      <c r="C4127" s="22" t="s">
        <v>238</v>
      </c>
      <c r="D4127" s="24" t="n">
        <v>150</v>
      </c>
    </row>
    <row r="4128" customFormat="false" ht="15" hidden="false" customHeight="false" outlineLevel="0" collapsed="false">
      <c r="A4128" s="22" t="n">
        <v>71</v>
      </c>
      <c r="B4128" s="23" t="n">
        <v>45964</v>
      </c>
      <c r="C4128" s="22" t="s">
        <v>238</v>
      </c>
      <c r="D4128" s="24" t="n">
        <v>161</v>
      </c>
    </row>
    <row r="4129" customFormat="false" ht="15" hidden="false" customHeight="false" outlineLevel="0" collapsed="false">
      <c r="A4129" s="22" t="n">
        <v>72</v>
      </c>
      <c r="B4129" s="23" t="n">
        <v>45971</v>
      </c>
      <c r="C4129" s="22" t="s">
        <v>238</v>
      </c>
      <c r="D4129" s="24" t="n">
        <v>172</v>
      </c>
    </row>
    <row r="4130" customFormat="false" ht="15" hidden="false" customHeight="false" outlineLevel="0" collapsed="false">
      <c r="A4130" s="22" t="n">
        <v>73</v>
      </c>
      <c r="B4130" s="23" t="n">
        <v>45978</v>
      </c>
      <c r="C4130" s="22" t="s">
        <v>238</v>
      </c>
      <c r="D4130" s="24" t="n">
        <v>153</v>
      </c>
    </row>
    <row r="4131" customFormat="false" ht="15" hidden="false" customHeight="false" outlineLevel="0" collapsed="false">
      <c r="A4131" s="22" t="n">
        <v>74</v>
      </c>
      <c r="B4131" s="23" t="n">
        <v>45985</v>
      </c>
      <c r="C4131" s="22" t="s">
        <v>238</v>
      </c>
      <c r="D4131" s="24" t="n">
        <v>166</v>
      </c>
    </row>
    <row r="4132" customFormat="false" ht="15" hidden="false" customHeight="false" outlineLevel="0" collapsed="false">
      <c r="A4132" s="22" t="n">
        <v>75</v>
      </c>
      <c r="B4132" s="23" t="n">
        <v>45992</v>
      </c>
      <c r="C4132" s="22" t="s">
        <v>238</v>
      </c>
      <c r="D4132" s="24" t="n">
        <v>186</v>
      </c>
    </row>
    <row r="4133" customFormat="false" ht="15" hidden="false" customHeight="false" outlineLevel="0" collapsed="false">
      <c r="A4133" s="22" t="n">
        <v>76</v>
      </c>
      <c r="B4133" s="23" t="n">
        <v>45999</v>
      </c>
      <c r="C4133" s="22" t="s">
        <v>238</v>
      </c>
      <c r="D4133" s="24" t="n">
        <v>174</v>
      </c>
    </row>
    <row r="4134" customFormat="false" ht="15" hidden="false" customHeight="false" outlineLevel="0" collapsed="false">
      <c r="A4134" s="22" t="n">
        <v>77</v>
      </c>
      <c r="B4134" s="23" t="n">
        <v>46006</v>
      </c>
      <c r="C4134" s="22" t="s">
        <v>238</v>
      </c>
      <c r="D4134" s="24" t="n">
        <v>221</v>
      </c>
    </row>
    <row r="4135" customFormat="false" ht="15" hidden="false" customHeight="false" outlineLevel="0" collapsed="false">
      <c r="A4135" s="22" t="n">
        <v>78</v>
      </c>
      <c r="B4135" s="23" t="n">
        <v>46013</v>
      </c>
      <c r="C4135" s="22" t="s">
        <v>238</v>
      </c>
      <c r="D4135" s="24" t="n">
        <v>219</v>
      </c>
    </row>
    <row r="4136" customFormat="false" ht="15" hidden="false" customHeight="false" outlineLevel="0" collapsed="false">
      <c r="A4136" s="22" t="n">
        <v>79</v>
      </c>
      <c r="B4136" s="23" t="n">
        <v>46020</v>
      </c>
      <c r="C4136" s="22" t="s">
        <v>238</v>
      </c>
      <c r="D4136" s="24" t="n">
        <v>143</v>
      </c>
    </row>
    <row r="4137" customFormat="false" ht="15" hidden="false" customHeight="false" outlineLevel="0" collapsed="false">
      <c r="A4137" s="22" t="n">
        <v>80</v>
      </c>
      <c r="B4137" s="23" t="n">
        <v>46027</v>
      </c>
      <c r="C4137" s="22" t="s">
        <v>238</v>
      </c>
      <c r="D4137" s="24" t="n">
        <v>157</v>
      </c>
    </row>
    <row r="4138" customFormat="false" ht="15" hidden="false" customHeight="false" outlineLevel="0" collapsed="false">
      <c r="A4138" s="22" t="n">
        <v>81</v>
      </c>
      <c r="B4138" s="23" t="n">
        <v>46034</v>
      </c>
      <c r="C4138" s="22" t="s">
        <v>238</v>
      </c>
      <c r="D4138" s="24" t="n">
        <v>141</v>
      </c>
    </row>
    <row r="4139" customFormat="false" ht="15" hidden="false" customHeight="false" outlineLevel="0" collapsed="false">
      <c r="A4139" s="22" t="n">
        <v>82</v>
      </c>
      <c r="B4139" s="23" t="n">
        <v>46041</v>
      </c>
      <c r="C4139" s="22" t="s">
        <v>238</v>
      </c>
      <c r="D4139" s="24" t="n">
        <v>145</v>
      </c>
    </row>
    <row r="4140" customFormat="false" ht="15" hidden="false" customHeight="false" outlineLevel="0" collapsed="false">
      <c r="A4140" s="22" t="n">
        <v>83</v>
      </c>
      <c r="B4140" s="23" t="n">
        <v>46048</v>
      </c>
      <c r="C4140" s="22" t="s">
        <v>238</v>
      </c>
      <c r="D4140" s="24" t="n">
        <v>187</v>
      </c>
    </row>
    <row r="4141" customFormat="false" ht="15" hidden="false" customHeight="false" outlineLevel="0" collapsed="false">
      <c r="A4141" s="22" t="n">
        <v>84</v>
      </c>
      <c r="B4141" s="23" t="n">
        <v>46055</v>
      </c>
      <c r="C4141" s="22" t="s">
        <v>238</v>
      </c>
      <c r="D4141" s="24" t="n">
        <v>151</v>
      </c>
    </row>
    <row r="4142" customFormat="false" ht="15" hidden="false" customHeight="false" outlineLevel="0" collapsed="false">
      <c r="A4142" s="22" t="n">
        <v>85</v>
      </c>
      <c r="B4142" s="23" t="n">
        <v>46062</v>
      </c>
      <c r="C4142" s="22" t="s">
        <v>238</v>
      </c>
      <c r="D4142" s="24" t="n">
        <v>151</v>
      </c>
    </row>
    <row r="4143" customFormat="false" ht="15" hidden="false" customHeight="false" outlineLevel="0" collapsed="false">
      <c r="A4143" s="22" t="n">
        <v>86</v>
      </c>
      <c r="B4143" s="23" t="n">
        <v>46069</v>
      </c>
      <c r="C4143" s="22" t="s">
        <v>238</v>
      </c>
      <c r="D4143" s="24" t="n">
        <v>170</v>
      </c>
    </row>
    <row r="4144" customFormat="false" ht="15" hidden="false" customHeight="false" outlineLevel="0" collapsed="false">
      <c r="A4144" s="22" t="n">
        <v>87</v>
      </c>
      <c r="B4144" s="23" t="n">
        <v>46076</v>
      </c>
      <c r="C4144" s="22" t="s">
        <v>238</v>
      </c>
      <c r="D4144" s="24" t="n">
        <v>198</v>
      </c>
    </row>
    <row r="4145" customFormat="false" ht="15" hidden="false" customHeight="false" outlineLevel="0" collapsed="false">
      <c r="A4145" s="22" t="n">
        <v>88</v>
      </c>
      <c r="B4145" s="23" t="n">
        <v>46083</v>
      </c>
      <c r="C4145" s="22" t="s">
        <v>238</v>
      </c>
      <c r="D4145" s="24" t="n">
        <v>170</v>
      </c>
    </row>
    <row r="4146" customFormat="false" ht="15" hidden="false" customHeight="false" outlineLevel="0" collapsed="false">
      <c r="A4146" s="22" t="n">
        <v>89</v>
      </c>
      <c r="B4146" s="23" t="n">
        <v>46090</v>
      </c>
      <c r="C4146" s="22" t="s">
        <v>238</v>
      </c>
      <c r="D4146" s="24" t="n">
        <v>171</v>
      </c>
    </row>
    <row r="4147" customFormat="false" ht="15" hidden="false" customHeight="false" outlineLevel="0" collapsed="false">
      <c r="A4147" s="22" t="n">
        <v>90</v>
      </c>
      <c r="B4147" s="23" t="n">
        <v>46097</v>
      </c>
      <c r="C4147" s="22" t="s">
        <v>238</v>
      </c>
      <c r="D4147" s="24" t="n">
        <v>204</v>
      </c>
    </row>
    <row r="4148" customFormat="false" ht="15" hidden="false" customHeight="false" outlineLevel="0" collapsed="false">
      <c r="A4148" s="22" t="n">
        <v>91</v>
      </c>
      <c r="B4148" s="23" t="n">
        <v>46104</v>
      </c>
      <c r="C4148" s="22" t="s">
        <v>238</v>
      </c>
      <c r="D4148" s="24" t="n">
        <v>194</v>
      </c>
    </row>
    <row r="4149" customFormat="false" ht="15" hidden="false" customHeight="false" outlineLevel="0" collapsed="false">
      <c r="A4149" s="22" t="n">
        <v>92</v>
      </c>
      <c r="B4149" s="23" t="n">
        <v>46111</v>
      </c>
      <c r="C4149" s="22" t="s">
        <v>238</v>
      </c>
      <c r="D4149" s="24" t="n">
        <v>195</v>
      </c>
    </row>
    <row r="4150" customFormat="false" ht="15" hidden="false" customHeight="false" outlineLevel="0" collapsed="false">
      <c r="A4150" s="22" t="n">
        <v>93</v>
      </c>
      <c r="B4150" s="23" t="n">
        <v>46118</v>
      </c>
      <c r="C4150" s="22" t="s">
        <v>238</v>
      </c>
      <c r="D4150" s="24" t="n">
        <v>208</v>
      </c>
    </row>
    <row r="4151" customFormat="false" ht="15" hidden="false" customHeight="false" outlineLevel="0" collapsed="false">
      <c r="A4151" s="22" t="n">
        <v>94</v>
      </c>
      <c r="B4151" s="23" t="n">
        <v>46125</v>
      </c>
      <c r="C4151" s="22" t="s">
        <v>238</v>
      </c>
      <c r="D4151" s="24" t="n">
        <v>159</v>
      </c>
    </row>
    <row r="4152" customFormat="false" ht="15" hidden="false" customHeight="false" outlineLevel="0" collapsed="false">
      <c r="A4152" s="22" t="n">
        <v>95</v>
      </c>
      <c r="B4152" s="23" t="n">
        <v>46132</v>
      </c>
      <c r="C4152" s="22" t="s">
        <v>238</v>
      </c>
      <c r="D4152" s="24" t="n">
        <v>192</v>
      </c>
    </row>
    <row r="4153" customFormat="false" ht="15" hidden="false" customHeight="false" outlineLevel="0" collapsed="false">
      <c r="A4153" s="22" t="n">
        <v>96</v>
      </c>
      <c r="B4153" s="23" t="n">
        <v>46139</v>
      </c>
      <c r="C4153" s="22" t="s">
        <v>238</v>
      </c>
      <c r="D4153" s="24" t="n">
        <v>171</v>
      </c>
    </row>
    <row r="4154" customFormat="false" ht="15" hidden="false" customHeight="false" outlineLevel="0" collapsed="false">
      <c r="A4154" s="22" t="n">
        <v>97</v>
      </c>
      <c r="B4154" s="23" t="n">
        <v>46146</v>
      </c>
      <c r="C4154" s="22" t="s">
        <v>238</v>
      </c>
      <c r="D4154" s="24" t="n">
        <v>215</v>
      </c>
    </row>
    <row r="4155" customFormat="false" ht="15" hidden="false" customHeight="false" outlineLevel="0" collapsed="false">
      <c r="A4155" s="22" t="n">
        <v>98</v>
      </c>
      <c r="B4155" s="23" t="n">
        <v>46153</v>
      </c>
      <c r="C4155" s="22" t="s">
        <v>238</v>
      </c>
      <c r="D4155" s="24" t="n">
        <v>210</v>
      </c>
    </row>
    <row r="4156" customFormat="false" ht="15" hidden="false" customHeight="false" outlineLevel="0" collapsed="false">
      <c r="A4156" s="22" t="n">
        <v>99</v>
      </c>
      <c r="B4156" s="23" t="n">
        <v>46160</v>
      </c>
      <c r="C4156" s="22" t="s">
        <v>238</v>
      </c>
      <c r="D4156" s="24" t="n">
        <v>163</v>
      </c>
    </row>
    <row r="4157" customFormat="false" ht="15" hidden="false" customHeight="false" outlineLevel="0" collapsed="false">
      <c r="A4157" s="22" t="n">
        <v>100</v>
      </c>
      <c r="B4157" s="23" t="n">
        <v>46167</v>
      </c>
      <c r="C4157" s="22" t="s">
        <v>238</v>
      </c>
      <c r="D4157" s="24" t="n">
        <v>226</v>
      </c>
    </row>
    <row r="4158" customFormat="false" ht="15" hidden="false" customHeight="false" outlineLevel="0" collapsed="false">
      <c r="A4158" s="22" t="n">
        <v>101</v>
      </c>
      <c r="B4158" s="23" t="n">
        <v>46174</v>
      </c>
      <c r="C4158" s="22" t="s">
        <v>238</v>
      </c>
      <c r="D4158" s="24" t="n">
        <v>161</v>
      </c>
    </row>
    <row r="4159" customFormat="false" ht="15" hidden="false" customHeight="false" outlineLevel="0" collapsed="false">
      <c r="A4159" s="22" t="n">
        <v>102</v>
      </c>
      <c r="B4159" s="23" t="n">
        <v>46181</v>
      </c>
      <c r="C4159" s="22" t="s">
        <v>238</v>
      </c>
      <c r="D4159" s="24" t="n">
        <v>224</v>
      </c>
    </row>
    <row r="4160" customFormat="false" ht="15" hidden="false" customHeight="false" outlineLevel="0" collapsed="false">
      <c r="A4160" s="22" t="n">
        <v>103</v>
      </c>
      <c r="B4160" s="23" t="n">
        <v>46188</v>
      </c>
      <c r="C4160" s="22" t="s">
        <v>238</v>
      </c>
      <c r="D4160" s="24" t="n">
        <v>200</v>
      </c>
    </row>
    <row r="4161" customFormat="false" ht="15" hidden="false" customHeight="false" outlineLevel="0" collapsed="false">
      <c r="A4161" s="22" t="n">
        <v>104</v>
      </c>
      <c r="B4161" s="23" t="n">
        <v>46195</v>
      </c>
      <c r="C4161" s="22" t="s">
        <v>238</v>
      </c>
      <c r="D4161" s="24" t="n">
        <v>172</v>
      </c>
    </row>
    <row r="4162" customFormat="false" ht="15" hidden="false" customHeight="false" outlineLevel="0" collapsed="false">
      <c r="A4162" s="22" t="n">
        <v>1</v>
      </c>
      <c r="B4162" s="23" t="n">
        <v>45474</v>
      </c>
      <c r="C4162" s="22" t="s">
        <v>240</v>
      </c>
      <c r="D4162" s="24" t="n">
        <v>80</v>
      </c>
    </row>
    <row r="4163" customFormat="false" ht="15" hidden="false" customHeight="false" outlineLevel="0" collapsed="false">
      <c r="A4163" s="22" t="n">
        <v>2</v>
      </c>
      <c r="B4163" s="23" t="n">
        <v>45481</v>
      </c>
      <c r="C4163" s="22" t="s">
        <v>240</v>
      </c>
      <c r="D4163" s="24" t="n">
        <v>88</v>
      </c>
    </row>
    <row r="4164" customFormat="false" ht="15" hidden="false" customHeight="false" outlineLevel="0" collapsed="false">
      <c r="A4164" s="22" t="n">
        <v>3</v>
      </c>
      <c r="B4164" s="23" t="n">
        <v>45488</v>
      </c>
      <c r="C4164" s="22" t="s">
        <v>240</v>
      </c>
      <c r="D4164" s="24" t="n">
        <v>67</v>
      </c>
    </row>
    <row r="4165" customFormat="false" ht="15" hidden="false" customHeight="false" outlineLevel="0" collapsed="false">
      <c r="A4165" s="22" t="n">
        <v>4</v>
      </c>
      <c r="B4165" s="23" t="n">
        <v>45495</v>
      </c>
      <c r="C4165" s="22" t="s">
        <v>240</v>
      </c>
      <c r="D4165" s="24" t="n">
        <v>107</v>
      </c>
    </row>
    <row r="4166" customFormat="false" ht="15" hidden="false" customHeight="false" outlineLevel="0" collapsed="false">
      <c r="A4166" s="22" t="n">
        <v>5</v>
      </c>
      <c r="B4166" s="23" t="n">
        <v>45502</v>
      </c>
      <c r="C4166" s="22" t="s">
        <v>240</v>
      </c>
      <c r="D4166" s="24" t="n">
        <v>46</v>
      </c>
    </row>
    <row r="4167" customFormat="false" ht="15" hidden="false" customHeight="false" outlineLevel="0" collapsed="false">
      <c r="A4167" s="22" t="n">
        <v>6</v>
      </c>
      <c r="B4167" s="23" t="n">
        <v>45509</v>
      </c>
      <c r="C4167" s="22" t="s">
        <v>240</v>
      </c>
      <c r="D4167" s="24" t="n">
        <v>89</v>
      </c>
    </row>
    <row r="4168" customFormat="false" ht="15" hidden="false" customHeight="false" outlineLevel="0" collapsed="false">
      <c r="A4168" s="22" t="n">
        <v>7</v>
      </c>
      <c r="B4168" s="23" t="n">
        <v>45516</v>
      </c>
      <c r="C4168" s="22" t="s">
        <v>240</v>
      </c>
      <c r="D4168" s="24" t="n">
        <v>89</v>
      </c>
    </row>
    <row r="4169" customFormat="false" ht="15" hidden="false" customHeight="false" outlineLevel="0" collapsed="false">
      <c r="A4169" s="22" t="n">
        <v>8</v>
      </c>
      <c r="B4169" s="23" t="n">
        <v>45523</v>
      </c>
      <c r="C4169" s="22" t="s">
        <v>240</v>
      </c>
      <c r="D4169" s="24" t="n">
        <v>31</v>
      </c>
    </row>
    <row r="4170" customFormat="false" ht="15" hidden="false" customHeight="false" outlineLevel="0" collapsed="false">
      <c r="A4170" s="22" t="n">
        <v>9</v>
      </c>
      <c r="B4170" s="23" t="n">
        <v>45530</v>
      </c>
      <c r="C4170" s="22" t="s">
        <v>240</v>
      </c>
      <c r="D4170" s="24" t="n">
        <v>99</v>
      </c>
    </row>
    <row r="4171" customFormat="false" ht="15" hidden="false" customHeight="false" outlineLevel="0" collapsed="false">
      <c r="A4171" s="22" t="n">
        <v>10</v>
      </c>
      <c r="B4171" s="23" t="n">
        <v>45537</v>
      </c>
      <c r="C4171" s="22" t="s">
        <v>240</v>
      </c>
      <c r="D4171" s="24" t="n">
        <v>50</v>
      </c>
    </row>
    <row r="4172" customFormat="false" ht="15" hidden="false" customHeight="false" outlineLevel="0" collapsed="false">
      <c r="A4172" s="22" t="n">
        <v>11</v>
      </c>
      <c r="B4172" s="23" t="n">
        <v>45544</v>
      </c>
      <c r="C4172" s="22" t="s">
        <v>240</v>
      </c>
      <c r="D4172" s="24" t="n">
        <v>12</v>
      </c>
    </row>
    <row r="4173" customFormat="false" ht="15" hidden="false" customHeight="false" outlineLevel="0" collapsed="false">
      <c r="A4173" s="22" t="n">
        <v>12</v>
      </c>
      <c r="B4173" s="23" t="n">
        <v>45551</v>
      </c>
      <c r="C4173" s="22" t="s">
        <v>240</v>
      </c>
      <c r="D4173" s="24" t="n">
        <v>70</v>
      </c>
    </row>
    <row r="4174" customFormat="false" ht="15" hidden="false" customHeight="false" outlineLevel="0" collapsed="false">
      <c r="A4174" s="22" t="n">
        <v>13</v>
      </c>
      <c r="B4174" s="23" t="n">
        <v>45558</v>
      </c>
      <c r="C4174" s="22" t="s">
        <v>240</v>
      </c>
      <c r="D4174" s="24" t="n">
        <v>82</v>
      </c>
    </row>
    <row r="4175" customFormat="false" ht="15" hidden="false" customHeight="false" outlineLevel="0" collapsed="false">
      <c r="A4175" s="22" t="n">
        <v>14</v>
      </c>
      <c r="B4175" s="23" t="n">
        <v>45565</v>
      </c>
      <c r="C4175" s="22" t="s">
        <v>240</v>
      </c>
      <c r="D4175" s="24" t="n">
        <v>117</v>
      </c>
    </row>
    <row r="4176" customFormat="false" ht="15" hidden="false" customHeight="false" outlineLevel="0" collapsed="false">
      <c r="A4176" s="22" t="n">
        <v>15</v>
      </c>
      <c r="B4176" s="23" t="n">
        <v>45572</v>
      </c>
      <c r="C4176" s="22" t="s">
        <v>240</v>
      </c>
      <c r="D4176" s="24" t="n">
        <v>74</v>
      </c>
    </row>
    <row r="4177" customFormat="false" ht="15" hidden="false" customHeight="false" outlineLevel="0" collapsed="false">
      <c r="A4177" s="22" t="n">
        <v>16</v>
      </c>
      <c r="B4177" s="23" t="n">
        <v>45579</v>
      </c>
      <c r="C4177" s="22" t="s">
        <v>240</v>
      </c>
      <c r="D4177" s="24" t="n">
        <v>135</v>
      </c>
    </row>
    <row r="4178" customFormat="false" ht="15" hidden="false" customHeight="false" outlineLevel="0" collapsed="false">
      <c r="A4178" s="22" t="n">
        <v>17</v>
      </c>
      <c r="B4178" s="23" t="n">
        <v>45586</v>
      </c>
      <c r="C4178" s="22" t="s">
        <v>240</v>
      </c>
      <c r="D4178" s="24" t="n">
        <v>134</v>
      </c>
    </row>
    <row r="4179" customFormat="false" ht="15" hidden="false" customHeight="false" outlineLevel="0" collapsed="false">
      <c r="A4179" s="22" t="n">
        <v>18</v>
      </c>
      <c r="B4179" s="23" t="n">
        <v>45593</v>
      </c>
      <c r="C4179" s="22" t="s">
        <v>240</v>
      </c>
      <c r="D4179" s="24" t="n">
        <v>123</v>
      </c>
    </row>
    <row r="4180" customFormat="false" ht="15" hidden="false" customHeight="false" outlineLevel="0" collapsed="false">
      <c r="A4180" s="22" t="n">
        <v>19</v>
      </c>
      <c r="B4180" s="23" t="n">
        <v>45600</v>
      </c>
      <c r="C4180" s="22" t="s">
        <v>240</v>
      </c>
      <c r="D4180" s="24" t="n">
        <v>130</v>
      </c>
    </row>
    <row r="4181" customFormat="false" ht="15" hidden="false" customHeight="false" outlineLevel="0" collapsed="false">
      <c r="A4181" s="22" t="n">
        <v>20</v>
      </c>
      <c r="B4181" s="23" t="n">
        <v>45607</v>
      </c>
      <c r="C4181" s="22" t="s">
        <v>240</v>
      </c>
      <c r="D4181" s="24" t="n">
        <v>100</v>
      </c>
    </row>
    <row r="4182" customFormat="false" ht="15" hidden="false" customHeight="false" outlineLevel="0" collapsed="false">
      <c r="A4182" s="22" t="n">
        <v>21</v>
      </c>
      <c r="B4182" s="23" t="n">
        <v>45614</v>
      </c>
      <c r="C4182" s="22" t="s">
        <v>240</v>
      </c>
      <c r="D4182" s="24" t="n">
        <v>72</v>
      </c>
    </row>
    <row r="4183" customFormat="false" ht="15" hidden="false" customHeight="false" outlineLevel="0" collapsed="false">
      <c r="A4183" s="22" t="n">
        <v>22</v>
      </c>
      <c r="B4183" s="23" t="n">
        <v>45621</v>
      </c>
      <c r="C4183" s="22" t="s">
        <v>240</v>
      </c>
      <c r="D4183" s="24" t="n">
        <v>109</v>
      </c>
    </row>
    <row r="4184" customFormat="false" ht="15" hidden="false" customHeight="false" outlineLevel="0" collapsed="false">
      <c r="A4184" s="22" t="n">
        <v>23</v>
      </c>
      <c r="B4184" s="23" t="n">
        <v>45628</v>
      </c>
      <c r="C4184" s="22" t="s">
        <v>240</v>
      </c>
      <c r="D4184" s="24" t="n">
        <v>119</v>
      </c>
    </row>
    <row r="4185" customFormat="false" ht="15" hidden="false" customHeight="false" outlineLevel="0" collapsed="false">
      <c r="A4185" s="22" t="n">
        <v>24</v>
      </c>
      <c r="B4185" s="23" t="n">
        <v>45635</v>
      </c>
      <c r="C4185" s="22" t="s">
        <v>240</v>
      </c>
      <c r="D4185" s="24" t="n">
        <v>96</v>
      </c>
    </row>
    <row r="4186" customFormat="false" ht="15" hidden="false" customHeight="false" outlineLevel="0" collapsed="false">
      <c r="A4186" s="22" t="n">
        <v>25</v>
      </c>
      <c r="B4186" s="23" t="n">
        <v>45642</v>
      </c>
      <c r="C4186" s="22" t="s">
        <v>240</v>
      </c>
      <c r="D4186" s="24" t="n">
        <v>81</v>
      </c>
    </row>
    <row r="4187" customFormat="false" ht="15" hidden="false" customHeight="false" outlineLevel="0" collapsed="false">
      <c r="A4187" s="22" t="n">
        <v>26</v>
      </c>
      <c r="B4187" s="23" t="n">
        <v>45649</v>
      </c>
      <c r="C4187" s="22" t="s">
        <v>240</v>
      </c>
      <c r="D4187" s="24" t="n">
        <v>40</v>
      </c>
    </row>
    <row r="4188" customFormat="false" ht="15" hidden="false" customHeight="false" outlineLevel="0" collapsed="false">
      <c r="A4188" s="22" t="n">
        <v>27</v>
      </c>
      <c r="B4188" s="23" t="n">
        <v>45656</v>
      </c>
      <c r="C4188" s="22" t="s">
        <v>240</v>
      </c>
      <c r="D4188" s="24" t="n">
        <v>110</v>
      </c>
    </row>
    <row r="4189" customFormat="false" ht="15" hidden="false" customHeight="false" outlineLevel="0" collapsed="false">
      <c r="A4189" s="22" t="n">
        <v>28</v>
      </c>
      <c r="B4189" s="23" t="n">
        <v>45663</v>
      </c>
      <c r="C4189" s="22" t="s">
        <v>240</v>
      </c>
      <c r="D4189" s="24" t="n">
        <v>100</v>
      </c>
    </row>
    <row r="4190" customFormat="false" ht="15" hidden="false" customHeight="false" outlineLevel="0" collapsed="false">
      <c r="A4190" s="22" t="n">
        <v>29</v>
      </c>
      <c r="B4190" s="23" t="n">
        <v>45670</v>
      </c>
      <c r="C4190" s="22" t="s">
        <v>240</v>
      </c>
      <c r="D4190" s="24" t="n">
        <v>49</v>
      </c>
    </row>
    <row r="4191" customFormat="false" ht="15" hidden="false" customHeight="false" outlineLevel="0" collapsed="false">
      <c r="A4191" s="22" t="n">
        <v>30</v>
      </c>
      <c r="B4191" s="23" t="n">
        <v>45677</v>
      </c>
      <c r="C4191" s="22" t="s">
        <v>240</v>
      </c>
      <c r="D4191" s="24" t="n">
        <v>92</v>
      </c>
    </row>
    <row r="4192" customFormat="false" ht="15" hidden="false" customHeight="false" outlineLevel="0" collapsed="false">
      <c r="A4192" s="22" t="n">
        <v>31</v>
      </c>
      <c r="B4192" s="23" t="n">
        <v>45684</v>
      </c>
      <c r="C4192" s="22" t="s">
        <v>240</v>
      </c>
      <c r="D4192" s="24" t="n">
        <v>112</v>
      </c>
    </row>
    <row r="4193" customFormat="false" ht="15" hidden="false" customHeight="false" outlineLevel="0" collapsed="false">
      <c r="A4193" s="22" t="n">
        <v>32</v>
      </c>
      <c r="B4193" s="23" t="n">
        <v>45691</v>
      </c>
      <c r="C4193" s="22" t="s">
        <v>240</v>
      </c>
      <c r="D4193" s="24" t="n">
        <v>86</v>
      </c>
    </row>
    <row r="4194" customFormat="false" ht="15" hidden="false" customHeight="false" outlineLevel="0" collapsed="false">
      <c r="A4194" s="22" t="n">
        <v>33</v>
      </c>
      <c r="B4194" s="23" t="n">
        <v>45698</v>
      </c>
      <c r="C4194" s="22" t="s">
        <v>240</v>
      </c>
      <c r="D4194" s="24" t="n">
        <v>113</v>
      </c>
    </row>
    <row r="4195" customFormat="false" ht="15" hidden="false" customHeight="false" outlineLevel="0" collapsed="false">
      <c r="A4195" s="22" t="n">
        <v>34</v>
      </c>
      <c r="B4195" s="23" t="n">
        <v>45705</v>
      </c>
      <c r="C4195" s="22" t="s">
        <v>240</v>
      </c>
      <c r="D4195" s="24" t="n">
        <v>113</v>
      </c>
    </row>
    <row r="4196" customFormat="false" ht="15" hidden="false" customHeight="false" outlineLevel="0" collapsed="false">
      <c r="A4196" s="22" t="n">
        <v>35</v>
      </c>
      <c r="B4196" s="23" t="n">
        <v>45712</v>
      </c>
      <c r="C4196" s="22" t="s">
        <v>240</v>
      </c>
      <c r="D4196" s="24" t="n">
        <v>43</v>
      </c>
    </row>
    <row r="4197" customFormat="false" ht="15" hidden="false" customHeight="false" outlineLevel="0" collapsed="false">
      <c r="A4197" s="22" t="n">
        <v>36</v>
      </c>
      <c r="B4197" s="23" t="n">
        <v>45719</v>
      </c>
      <c r="C4197" s="22" t="s">
        <v>240</v>
      </c>
      <c r="D4197" s="24" t="n">
        <v>80</v>
      </c>
    </row>
    <row r="4198" customFormat="false" ht="15" hidden="false" customHeight="false" outlineLevel="0" collapsed="false">
      <c r="A4198" s="22" t="n">
        <v>37</v>
      </c>
      <c r="B4198" s="23" t="n">
        <v>45726</v>
      </c>
      <c r="C4198" s="22" t="s">
        <v>240</v>
      </c>
      <c r="D4198" s="24" t="n">
        <v>104</v>
      </c>
    </row>
    <row r="4199" customFormat="false" ht="15" hidden="false" customHeight="false" outlineLevel="0" collapsed="false">
      <c r="A4199" s="22" t="n">
        <v>38</v>
      </c>
      <c r="B4199" s="23" t="n">
        <v>45733</v>
      </c>
      <c r="C4199" s="22" t="s">
        <v>240</v>
      </c>
      <c r="D4199" s="24" t="n">
        <v>118</v>
      </c>
    </row>
    <row r="4200" customFormat="false" ht="15" hidden="false" customHeight="false" outlineLevel="0" collapsed="false">
      <c r="A4200" s="22" t="n">
        <v>39</v>
      </c>
      <c r="B4200" s="23" t="n">
        <v>45740</v>
      </c>
      <c r="C4200" s="22" t="s">
        <v>240</v>
      </c>
      <c r="D4200" s="24" t="n">
        <v>133</v>
      </c>
    </row>
    <row r="4201" customFormat="false" ht="15" hidden="false" customHeight="false" outlineLevel="0" collapsed="false">
      <c r="A4201" s="22" t="n">
        <v>40</v>
      </c>
      <c r="B4201" s="23" t="n">
        <v>45747</v>
      </c>
      <c r="C4201" s="22" t="s">
        <v>240</v>
      </c>
      <c r="D4201" s="24" t="n">
        <v>29</v>
      </c>
    </row>
    <row r="4202" customFormat="false" ht="15" hidden="false" customHeight="false" outlineLevel="0" collapsed="false">
      <c r="A4202" s="22" t="n">
        <v>41</v>
      </c>
      <c r="B4202" s="23" t="n">
        <v>45754</v>
      </c>
      <c r="C4202" s="22" t="s">
        <v>240</v>
      </c>
      <c r="D4202" s="24" t="n">
        <v>87</v>
      </c>
    </row>
    <row r="4203" customFormat="false" ht="15" hidden="false" customHeight="false" outlineLevel="0" collapsed="false">
      <c r="A4203" s="22" t="n">
        <v>42</v>
      </c>
      <c r="B4203" s="23" t="n">
        <v>45761</v>
      </c>
      <c r="C4203" s="22" t="s">
        <v>240</v>
      </c>
      <c r="D4203" s="24" t="n">
        <v>111</v>
      </c>
    </row>
    <row r="4204" customFormat="false" ht="15" hidden="false" customHeight="false" outlineLevel="0" collapsed="false">
      <c r="A4204" s="22" t="n">
        <v>43</v>
      </c>
      <c r="B4204" s="23" t="n">
        <v>45768</v>
      </c>
      <c r="C4204" s="22" t="s">
        <v>240</v>
      </c>
      <c r="D4204" s="24" t="n">
        <v>127</v>
      </c>
    </row>
    <row r="4205" customFormat="false" ht="15" hidden="false" customHeight="false" outlineLevel="0" collapsed="false">
      <c r="A4205" s="22" t="n">
        <v>44</v>
      </c>
      <c r="B4205" s="23" t="n">
        <v>45775</v>
      </c>
      <c r="C4205" s="22" t="s">
        <v>240</v>
      </c>
      <c r="D4205" s="24" t="n">
        <v>142</v>
      </c>
    </row>
    <row r="4206" customFormat="false" ht="15" hidden="false" customHeight="false" outlineLevel="0" collapsed="false">
      <c r="A4206" s="22" t="n">
        <v>45</v>
      </c>
      <c r="B4206" s="23" t="n">
        <v>45782</v>
      </c>
      <c r="C4206" s="22" t="s">
        <v>240</v>
      </c>
      <c r="D4206" s="24" t="n">
        <v>60</v>
      </c>
    </row>
    <row r="4207" customFormat="false" ht="15" hidden="false" customHeight="false" outlineLevel="0" collapsed="false">
      <c r="A4207" s="22" t="n">
        <v>46</v>
      </c>
      <c r="B4207" s="23" t="n">
        <v>45789</v>
      </c>
      <c r="C4207" s="22" t="s">
        <v>240</v>
      </c>
      <c r="D4207" s="24" t="n">
        <v>77</v>
      </c>
    </row>
    <row r="4208" customFormat="false" ht="15" hidden="false" customHeight="false" outlineLevel="0" collapsed="false">
      <c r="A4208" s="22" t="n">
        <v>47</v>
      </c>
      <c r="B4208" s="23" t="n">
        <v>45796</v>
      </c>
      <c r="C4208" s="22" t="s">
        <v>240</v>
      </c>
      <c r="D4208" s="24" t="n">
        <v>56</v>
      </c>
    </row>
    <row r="4209" customFormat="false" ht="15" hidden="false" customHeight="false" outlineLevel="0" collapsed="false">
      <c r="A4209" s="22" t="n">
        <v>48</v>
      </c>
      <c r="B4209" s="23" t="n">
        <v>45803</v>
      </c>
      <c r="C4209" s="22" t="s">
        <v>240</v>
      </c>
      <c r="D4209" s="24" t="n">
        <v>115</v>
      </c>
    </row>
    <row r="4210" customFormat="false" ht="15" hidden="false" customHeight="false" outlineLevel="0" collapsed="false">
      <c r="A4210" s="22" t="n">
        <v>49</v>
      </c>
      <c r="B4210" s="23" t="n">
        <v>45810</v>
      </c>
      <c r="C4210" s="22" t="s">
        <v>240</v>
      </c>
      <c r="D4210" s="24" t="n">
        <v>48</v>
      </c>
    </row>
    <row r="4211" customFormat="false" ht="15" hidden="false" customHeight="false" outlineLevel="0" collapsed="false">
      <c r="A4211" s="22" t="n">
        <v>50</v>
      </c>
      <c r="B4211" s="23" t="n">
        <v>45817</v>
      </c>
      <c r="C4211" s="22" t="s">
        <v>240</v>
      </c>
      <c r="D4211" s="24" t="n">
        <v>126</v>
      </c>
    </row>
    <row r="4212" customFormat="false" ht="15" hidden="false" customHeight="false" outlineLevel="0" collapsed="false">
      <c r="A4212" s="22" t="n">
        <v>51</v>
      </c>
      <c r="B4212" s="23" t="n">
        <v>45824</v>
      </c>
      <c r="C4212" s="22" t="s">
        <v>240</v>
      </c>
      <c r="D4212" s="24" t="n">
        <v>118</v>
      </c>
    </row>
    <row r="4213" customFormat="false" ht="15" hidden="false" customHeight="false" outlineLevel="0" collapsed="false">
      <c r="A4213" s="22" t="n">
        <v>52</v>
      </c>
      <c r="B4213" s="23" t="n">
        <v>45831</v>
      </c>
      <c r="C4213" s="22" t="s">
        <v>240</v>
      </c>
      <c r="D4213" s="24" t="n">
        <v>104</v>
      </c>
    </row>
    <row r="4214" customFormat="false" ht="15" hidden="false" customHeight="false" outlineLevel="0" collapsed="false">
      <c r="A4214" s="22" t="n">
        <v>53</v>
      </c>
      <c r="B4214" s="23" t="n">
        <v>45838</v>
      </c>
      <c r="C4214" s="22" t="s">
        <v>240</v>
      </c>
      <c r="D4214" s="24" t="n">
        <v>21</v>
      </c>
    </row>
    <row r="4215" customFormat="false" ht="15" hidden="false" customHeight="false" outlineLevel="0" collapsed="false">
      <c r="A4215" s="22" t="n">
        <v>54</v>
      </c>
      <c r="B4215" s="23" t="n">
        <v>45845</v>
      </c>
      <c r="C4215" s="22" t="s">
        <v>240</v>
      </c>
      <c r="D4215" s="24" t="n">
        <v>68</v>
      </c>
    </row>
    <row r="4216" customFormat="false" ht="15" hidden="false" customHeight="false" outlineLevel="0" collapsed="false">
      <c r="A4216" s="22" t="n">
        <v>55</v>
      </c>
      <c r="B4216" s="23" t="n">
        <v>45852</v>
      </c>
      <c r="C4216" s="22" t="s">
        <v>240</v>
      </c>
      <c r="D4216" s="24" t="n">
        <v>112</v>
      </c>
    </row>
    <row r="4217" customFormat="false" ht="15" hidden="false" customHeight="false" outlineLevel="0" collapsed="false">
      <c r="A4217" s="22" t="n">
        <v>56</v>
      </c>
      <c r="B4217" s="23" t="n">
        <v>45859</v>
      </c>
      <c r="C4217" s="22" t="s">
        <v>240</v>
      </c>
      <c r="D4217" s="24" t="n">
        <v>45</v>
      </c>
    </row>
    <row r="4218" customFormat="false" ht="15" hidden="false" customHeight="false" outlineLevel="0" collapsed="false">
      <c r="A4218" s="22" t="n">
        <v>57</v>
      </c>
      <c r="B4218" s="23" t="n">
        <v>45866</v>
      </c>
      <c r="C4218" s="22" t="s">
        <v>240</v>
      </c>
      <c r="D4218" s="24" t="n">
        <v>82</v>
      </c>
    </row>
    <row r="4219" customFormat="false" ht="15" hidden="false" customHeight="false" outlineLevel="0" collapsed="false">
      <c r="A4219" s="22" t="n">
        <v>58</v>
      </c>
      <c r="B4219" s="23" t="n">
        <v>45873</v>
      </c>
      <c r="C4219" s="22" t="s">
        <v>240</v>
      </c>
      <c r="D4219" s="24" t="n">
        <v>86</v>
      </c>
    </row>
    <row r="4220" customFormat="false" ht="15" hidden="false" customHeight="false" outlineLevel="0" collapsed="false">
      <c r="A4220" s="22" t="n">
        <v>59</v>
      </c>
      <c r="B4220" s="23" t="n">
        <v>45880</v>
      </c>
      <c r="C4220" s="22" t="s">
        <v>240</v>
      </c>
      <c r="D4220" s="24" t="n">
        <v>117</v>
      </c>
    </row>
    <row r="4221" customFormat="false" ht="15" hidden="false" customHeight="false" outlineLevel="0" collapsed="false">
      <c r="A4221" s="22" t="n">
        <v>60</v>
      </c>
      <c r="B4221" s="23" t="n">
        <v>45887</v>
      </c>
      <c r="C4221" s="22" t="s">
        <v>240</v>
      </c>
      <c r="D4221" s="24" t="n">
        <v>98</v>
      </c>
    </row>
    <row r="4222" customFormat="false" ht="15" hidden="false" customHeight="false" outlineLevel="0" collapsed="false">
      <c r="A4222" s="22" t="n">
        <v>61</v>
      </c>
      <c r="B4222" s="23" t="n">
        <v>45894</v>
      </c>
      <c r="C4222" s="22" t="s">
        <v>240</v>
      </c>
      <c r="D4222" s="24" t="n">
        <v>98</v>
      </c>
    </row>
    <row r="4223" customFormat="false" ht="15" hidden="false" customHeight="false" outlineLevel="0" collapsed="false">
      <c r="A4223" s="22" t="n">
        <v>62</v>
      </c>
      <c r="B4223" s="23" t="n">
        <v>45901</v>
      </c>
      <c r="C4223" s="22" t="s">
        <v>240</v>
      </c>
      <c r="D4223" s="24" t="n">
        <v>75</v>
      </c>
    </row>
    <row r="4224" customFormat="false" ht="15" hidden="false" customHeight="false" outlineLevel="0" collapsed="false">
      <c r="A4224" s="22" t="n">
        <v>63</v>
      </c>
      <c r="B4224" s="23" t="n">
        <v>45908</v>
      </c>
      <c r="C4224" s="22" t="s">
        <v>240</v>
      </c>
      <c r="D4224" s="24" t="n">
        <v>89</v>
      </c>
    </row>
    <row r="4225" customFormat="false" ht="15" hidden="false" customHeight="false" outlineLevel="0" collapsed="false">
      <c r="A4225" s="22" t="n">
        <v>64</v>
      </c>
      <c r="B4225" s="23" t="n">
        <v>45915</v>
      </c>
      <c r="C4225" s="22" t="s">
        <v>240</v>
      </c>
      <c r="D4225" s="24" t="n">
        <v>85</v>
      </c>
    </row>
    <row r="4226" customFormat="false" ht="15" hidden="false" customHeight="false" outlineLevel="0" collapsed="false">
      <c r="A4226" s="22" t="n">
        <v>65</v>
      </c>
      <c r="B4226" s="23" t="n">
        <v>45922</v>
      </c>
      <c r="C4226" s="22" t="s">
        <v>240</v>
      </c>
      <c r="D4226" s="24" t="n">
        <v>112</v>
      </c>
    </row>
    <row r="4227" customFormat="false" ht="15" hidden="false" customHeight="false" outlineLevel="0" collapsed="false">
      <c r="A4227" s="22" t="n">
        <v>66</v>
      </c>
      <c r="B4227" s="23" t="n">
        <v>45929</v>
      </c>
      <c r="C4227" s="22" t="s">
        <v>240</v>
      </c>
      <c r="D4227" s="24" t="n">
        <v>83</v>
      </c>
    </row>
    <row r="4228" customFormat="false" ht="15" hidden="false" customHeight="false" outlineLevel="0" collapsed="false">
      <c r="A4228" s="22" t="n">
        <v>67</v>
      </c>
      <c r="B4228" s="23" t="n">
        <v>45936</v>
      </c>
      <c r="C4228" s="22" t="s">
        <v>240</v>
      </c>
      <c r="D4228" s="24" t="n">
        <v>121</v>
      </c>
    </row>
    <row r="4229" customFormat="false" ht="15" hidden="false" customHeight="false" outlineLevel="0" collapsed="false">
      <c r="A4229" s="22" t="n">
        <v>68</v>
      </c>
      <c r="B4229" s="23" t="n">
        <v>45943</v>
      </c>
      <c r="C4229" s="22" t="s">
        <v>240</v>
      </c>
      <c r="D4229" s="24" t="n">
        <v>36</v>
      </c>
    </row>
    <row r="4230" customFormat="false" ht="15" hidden="false" customHeight="false" outlineLevel="0" collapsed="false">
      <c r="A4230" s="22" t="n">
        <v>69</v>
      </c>
      <c r="B4230" s="23" t="n">
        <v>45950</v>
      </c>
      <c r="C4230" s="22" t="s">
        <v>240</v>
      </c>
      <c r="D4230" s="24" t="n">
        <v>126</v>
      </c>
    </row>
    <row r="4231" customFormat="false" ht="15" hidden="false" customHeight="false" outlineLevel="0" collapsed="false">
      <c r="A4231" s="22" t="n">
        <v>70</v>
      </c>
      <c r="B4231" s="23" t="n">
        <v>45957</v>
      </c>
      <c r="C4231" s="22" t="s">
        <v>240</v>
      </c>
      <c r="D4231" s="24" t="n">
        <v>84</v>
      </c>
    </row>
    <row r="4232" customFormat="false" ht="15" hidden="false" customHeight="false" outlineLevel="0" collapsed="false">
      <c r="A4232" s="22" t="n">
        <v>71</v>
      </c>
      <c r="B4232" s="23" t="n">
        <v>45964</v>
      </c>
      <c r="C4232" s="22" t="s">
        <v>240</v>
      </c>
      <c r="D4232" s="24" t="n">
        <v>124</v>
      </c>
    </row>
    <row r="4233" customFormat="false" ht="15" hidden="false" customHeight="false" outlineLevel="0" collapsed="false">
      <c r="A4233" s="22" t="n">
        <v>72</v>
      </c>
      <c r="B4233" s="23" t="n">
        <v>45971</v>
      </c>
      <c r="C4233" s="22" t="s">
        <v>240</v>
      </c>
      <c r="D4233" s="24" t="n">
        <v>92</v>
      </c>
    </row>
    <row r="4234" customFormat="false" ht="15" hidden="false" customHeight="false" outlineLevel="0" collapsed="false">
      <c r="A4234" s="22" t="n">
        <v>73</v>
      </c>
      <c r="B4234" s="23" t="n">
        <v>45978</v>
      </c>
      <c r="C4234" s="22" t="s">
        <v>240</v>
      </c>
      <c r="D4234" s="24" t="n">
        <v>116</v>
      </c>
    </row>
    <row r="4235" customFormat="false" ht="15" hidden="false" customHeight="false" outlineLevel="0" collapsed="false">
      <c r="A4235" s="22" t="n">
        <v>74</v>
      </c>
      <c r="B4235" s="23" t="n">
        <v>45985</v>
      </c>
      <c r="C4235" s="22" t="s">
        <v>240</v>
      </c>
      <c r="D4235" s="24" t="n">
        <v>136</v>
      </c>
    </row>
    <row r="4236" customFormat="false" ht="15" hidden="false" customHeight="false" outlineLevel="0" collapsed="false">
      <c r="A4236" s="22" t="n">
        <v>75</v>
      </c>
      <c r="B4236" s="23" t="n">
        <v>45992</v>
      </c>
      <c r="C4236" s="22" t="s">
        <v>240</v>
      </c>
      <c r="D4236" s="24" t="n">
        <v>72</v>
      </c>
    </row>
    <row r="4237" customFormat="false" ht="15" hidden="false" customHeight="false" outlineLevel="0" collapsed="false">
      <c r="A4237" s="22" t="n">
        <v>76</v>
      </c>
      <c r="B4237" s="23" t="n">
        <v>45999</v>
      </c>
      <c r="C4237" s="22" t="s">
        <v>240</v>
      </c>
      <c r="D4237" s="24" t="n">
        <v>91</v>
      </c>
    </row>
    <row r="4238" customFormat="false" ht="15" hidden="false" customHeight="false" outlineLevel="0" collapsed="false">
      <c r="A4238" s="22" t="n">
        <v>77</v>
      </c>
      <c r="B4238" s="23" t="n">
        <v>46006</v>
      </c>
      <c r="C4238" s="22" t="s">
        <v>240</v>
      </c>
      <c r="D4238" s="24" t="n">
        <v>84</v>
      </c>
    </row>
    <row r="4239" customFormat="false" ht="15" hidden="false" customHeight="false" outlineLevel="0" collapsed="false">
      <c r="A4239" s="22" t="n">
        <v>78</v>
      </c>
      <c r="B4239" s="23" t="n">
        <v>46013</v>
      </c>
      <c r="C4239" s="22" t="s">
        <v>240</v>
      </c>
      <c r="D4239" s="24" t="n">
        <v>95</v>
      </c>
    </row>
    <row r="4240" customFormat="false" ht="15" hidden="false" customHeight="false" outlineLevel="0" collapsed="false">
      <c r="A4240" s="22" t="n">
        <v>79</v>
      </c>
      <c r="B4240" s="23" t="n">
        <v>46020</v>
      </c>
      <c r="C4240" s="22" t="s">
        <v>240</v>
      </c>
      <c r="D4240" s="24" t="n">
        <v>39</v>
      </c>
    </row>
    <row r="4241" customFormat="false" ht="15" hidden="false" customHeight="false" outlineLevel="0" collapsed="false">
      <c r="A4241" s="22" t="n">
        <v>80</v>
      </c>
      <c r="B4241" s="23" t="n">
        <v>46027</v>
      </c>
      <c r="C4241" s="22" t="s">
        <v>240</v>
      </c>
      <c r="D4241" s="24" t="n">
        <v>84</v>
      </c>
    </row>
    <row r="4242" customFormat="false" ht="15" hidden="false" customHeight="false" outlineLevel="0" collapsed="false">
      <c r="A4242" s="22" t="n">
        <v>81</v>
      </c>
      <c r="B4242" s="23" t="n">
        <v>46034</v>
      </c>
      <c r="C4242" s="22" t="s">
        <v>240</v>
      </c>
      <c r="D4242" s="24" t="n">
        <v>81</v>
      </c>
    </row>
    <row r="4243" customFormat="false" ht="15" hidden="false" customHeight="false" outlineLevel="0" collapsed="false">
      <c r="A4243" s="22" t="n">
        <v>82</v>
      </c>
      <c r="B4243" s="23" t="n">
        <v>46041</v>
      </c>
      <c r="C4243" s="22" t="s">
        <v>240</v>
      </c>
      <c r="D4243" s="24" t="n">
        <v>64</v>
      </c>
    </row>
    <row r="4244" customFormat="false" ht="15" hidden="false" customHeight="false" outlineLevel="0" collapsed="false">
      <c r="A4244" s="22" t="n">
        <v>83</v>
      </c>
      <c r="B4244" s="23" t="n">
        <v>46048</v>
      </c>
      <c r="C4244" s="22" t="s">
        <v>240</v>
      </c>
      <c r="D4244" s="24" t="n">
        <v>83</v>
      </c>
    </row>
    <row r="4245" customFormat="false" ht="15" hidden="false" customHeight="false" outlineLevel="0" collapsed="false">
      <c r="A4245" s="22" t="n">
        <v>84</v>
      </c>
      <c r="B4245" s="23" t="n">
        <v>46055</v>
      </c>
      <c r="C4245" s="22" t="s">
        <v>240</v>
      </c>
      <c r="D4245" s="24" t="n">
        <v>41</v>
      </c>
    </row>
    <row r="4246" customFormat="false" ht="15" hidden="false" customHeight="false" outlineLevel="0" collapsed="false">
      <c r="A4246" s="22" t="n">
        <v>85</v>
      </c>
      <c r="B4246" s="23" t="n">
        <v>46062</v>
      </c>
      <c r="C4246" s="22" t="s">
        <v>240</v>
      </c>
      <c r="D4246" s="24" t="n">
        <v>133</v>
      </c>
    </row>
    <row r="4247" customFormat="false" ht="15" hidden="false" customHeight="false" outlineLevel="0" collapsed="false">
      <c r="A4247" s="22" t="n">
        <v>86</v>
      </c>
      <c r="B4247" s="23" t="n">
        <v>46069</v>
      </c>
      <c r="C4247" s="22" t="s">
        <v>240</v>
      </c>
      <c r="D4247" s="24" t="n">
        <v>103</v>
      </c>
    </row>
    <row r="4248" customFormat="false" ht="15" hidden="false" customHeight="false" outlineLevel="0" collapsed="false">
      <c r="A4248" s="22" t="n">
        <v>87</v>
      </c>
      <c r="B4248" s="23" t="n">
        <v>46076</v>
      </c>
      <c r="C4248" s="22" t="s">
        <v>240</v>
      </c>
      <c r="D4248" s="24" t="n">
        <v>148</v>
      </c>
    </row>
    <row r="4249" customFormat="false" ht="15" hidden="false" customHeight="false" outlineLevel="0" collapsed="false">
      <c r="A4249" s="22" t="n">
        <v>88</v>
      </c>
      <c r="B4249" s="23" t="n">
        <v>46083</v>
      </c>
      <c r="C4249" s="22" t="s">
        <v>240</v>
      </c>
      <c r="D4249" s="24" t="n">
        <v>62</v>
      </c>
    </row>
    <row r="4250" customFormat="false" ht="15" hidden="false" customHeight="false" outlineLevel="0" collapsed="false">
      <c r="A4250" s="22" t="n">
        <v>89</v>
      </c>
      <c r="B4250" s="23" t="n">
        <v>46090</v>
      </c>
      <c r="C4250" s="22" t="s">
        <v>240</v>
      </c>
      <c r="D4250" s="24" t="n">
        <v>53</v>
      </c>
    </row>
    <row r="4251" customFormat="false" ht="15" hidden="false" customHeight="false" outlineLevel="0" collapsed="false">
      <c r="A4251" s="22" t="n">
        <v>90</v>
      </c>
      <c r="B4251" s="23" t="n">
        <v>46097</v>
      </c>
      <c r="C4251" s="22" t="s">
        <v>240</v>
      </c>
      <c r="D4251" s="24" t="n">
        <v>98</v>
      </c>
    </row>
    <row r="4252" customFormat="false" ht="15" hidden="false" customHeight="false" outlineLevel="0" collapsed="false">
      <c r="A4252" s="22" t="n">
        <v>91</v>
      </c>
      <c r="B4252" s="23" t="n">
        <v>46104</v>
      </c>
      <c r="C4252" s="22" t="s">
        <v>240</v>
      </c>
      <c r="D4252" s="24" t="n">
        <v>37</v>
      </c>
    </row>
    <row r="4253" customFormat="false" ht="15" hidden="false" customHeight="false" outlineLevel="0" collapsed="false">
      <c r="A4253" s="22" t="n">
        <v>92</v>
      </c>
      <c r="B4253" s="23" t="n">
        <v>46111</v>
      </c>
      <c r="C4253" s="22" t="s">
        <v>240</v>
      </c>
      <c r="D4253" s="24" t="n">
        <v>96</v>
      </c>
    </row>
    <row r="4254" customFormat="false" ht="15" hidden="false" customHeight="false" outlineLevel="0" collapsed="false">
      <c r="A4254" s="22" t="n">
        <v>93</v>
      </c>
      <c r="B4254" s="23" t="n">
        <v>46118</v>
      </c>
      <c r="C4254" s="22" t="s">
        <v>240</v>
      </c>
      <c r="D4254" s="24" t="n">
        <v>67</v>
      </c>
    </row>
    <row r="4255" customFormat="false" ht="15" hidden="false" customHeight="false" outlineLevel="0" collapsed="false">
      <c r="A4255" s="22" t="n">
        <v>94</v>
      </c>
      <c r="B4255" s="23" t="n">
        <v>46125</v>
      </c>
      <c r="C4255" s="22" t="s">
        <v>240</v>
      </c>
      <c r="D4255" s="24" t="n">
        <v>79</v>
      </c>
    </row>
    <row r="4256" customFormat="false" ht="15" hidden="false" customHeight="false" outlineLevel="0" collapsed="false">
      <c r="A4256" s="22" t="n">
        <v>95</v>
      </c>
      <c r="B4256" s="23" t="n">
        <v>46132</v>
      </c>
      <c r="C4256" s="22" t="s">
        <v>240</v>
      </c>
      <c r="D4256" s="24" t="n">
        <v>97</v>
      </c>
    </row>
    <row r="4257" customFormat="false" ht="15" hidden="false" customHeight="false" outlineLevel="0" collapsed="false">
      <c r="A4257" s="22" t="n">
        <v>96</v>
      </c>
      <c r="B4257" s="23" t="n">
        <v>46139</v>
      </c>
      <c r="C4257" s="22" t="s">
        <v>240</v>
      </c>
      <c r="D4257" s="24" t="n">
        <v>90</v>
      </c>
    </row>
    <row r="4258" customFormat="false" ht="15" hidden="false" customHeight="false" outlineLevel="0" collapsed="false">
      <c r="A4258" s="22" t="n">
        <v>97</v>
      </c>
      <c r="B4258" s="23" t="n">
        <v>46146</v>
      </c>
      <c r="C4258" s="22" t="s">
        <v>240</v>
      </c>
      <c r="D4258" s="24" t="n">
        <v>147</v>
      </c>
    </row>
    <row r="4259" customFormat="false" ht="15" hidden="false" customHeight="false" outlineLevel="0" collapsed="false">
      <c r="A4259" s="22" t="n">
        <v>98</v>
      </c>
      <c r="B4259" s="23" t="n">
        <v>46153</v>
      </c>
      <c r="C4259" s="22" t="s">
        <v>240</v>
      </c>
      <c r="D4259" s="24" t="n">
        <v>109</v>
      </c>
    </row>
    <row r="4260" customFormat="false" ht="15" hidden="false" customHeight="false" outlineLevel="0" collapsed="false">
      <c r="A4260" s="22" t="n">
        <v>99</v>
      </c>
      <c r="B4260" s="23" t="n">
        <v>46160</v>
      </c>
      <c r="C4260" s="22" t="s">
        <v>240</v>
      </c>
      <c r="D4260" s="24" t="n">
        <v>49</v>
      </c>
    </row>
    <row r="4261" customFormat="false" ht="15" hidden="false" customHeight="false" outlineLevel="0" collapsed="false">
      <c r="A4261" s="22" t="n">
        <v>100</v>
      </c>
      <c r="B4261" s="23" t="n">
        <v>46167</v>
      </c>
      <c r="C4261" s="22" t="s">
        <v>240</v>
      </c>
      <c r="D4261" s="24" t="n">
        <v>119</v>
      </c>
    </row>
    <row r="4262" customFormat="false" ht="15" hidden="false" customHeight="false" outlineLevel="0" collapsed="false">
      <c r="A4262" s="22" t="n">
        <v>101</v>
      </c>
      <c r="B4262" s="23" t="n">
        <v>46174</v>
      </c>
      <c r="C4262" s="22" t="s">
        <v>240</v>
      </c>
      <c r="D4262" s="24" t="n">
        <v>47</v>
      </c>
    </row>
    <row r="4263" customFormat="false" ht="15" hidden="false" customHeight="false" outlineLevel="0" collapsed="false">
      <c r="A4263" s="22" t="n">
        <v>102</v>
      </c>
      <c r="B4263" s="23" t="n">
        <v>46181</v>
      </c>
      <c r="C4263" s="22" t="s">
        <v>240</v>
      </c>
      <c r="D4263" s="24" t="n">
        <v>92</v>
      </c>
    </row>
    <row r="4264" customFormat="false" ht="15" hidden="false" customHeight="false" outlineLevel="0" collapsed="false">
      <c r="A4264" s="22" t="n">
        <v>103</v>
      </c>
      <c r="B4264" s="23" t="n">
        <v>46188</v>
      </c>
      <c r="C4264" s="22" t="s">
        <v>240</v>
      </c>
      <c r="D4264" s="24" t="n">
        <v>50</v>
      </c>
    </row>
    <row r="4265" customFormat="false" ht="15" hidden="false" customHeight="false" outlineLevel="0" collapsed="false">
      <c r="A4265" s="22" t="n">
        <v>104</v>
      </c>
      <c r="B4265" s="23" t="n">
        <v>46195</v>
      </c>
      <c r="C4265" s="22" t="s">
        <v>240</v>
      </c>
      <c r="D4265" s="24" t="n">
        <v>63</v>
      </c>
    </row>
    <row r="4266" customFormat="false" ht="15" hidden="false" customHeight="false" outlineLevel="0" collapsed="false">
      <c r="A4266" s="22" t="n">
        <v>1</v>
      </c>
      <c r="B4266" s="23" t="n">
        <v>45474</v>
      </c>
      <c r="C4266" s="22" t="s">
        <v>242</v>
      </c>
      <c r="D4266" s="24" t="n">
        <v>46</v>
      </c>
    </row>
    <row r="4267" customFormat="false" ht="15" hidden="false" customHeight="false" outlineLevel="0" collapsed="false">
      <c r="A4267" s="22" t="n">
        <v>2</v>
      </c>
      <c r="B4267" s="23" t="n">
        <v>45481</v>
      </c>
      <c r="C4267" s="22" t="s">
        <v>242</v>
      </c>
      <c r="D4267" s="24" t="n">
        <v>46</v>
      </c>
    </row>
    <row r="4268" customFormat="false" ht="15" hidden="false" customHeight="false" outlineLevel="0" collapsed="false">
      <c r="A4268" s="22" t="n">
        <v>3</v>
      </c>
      <c r="B4268" s="23" t="n">
        <v>45488</v>
      </c>
      <c r="C4268" s="22" t="s">
        <v>242</v>
      </c>
      <c r="D4268" s="24" t="n">
        <v>46</v>
      </c>
    </row>
    <row r="4269" customFormat="false" ht="15" hidden="false" customHeight="false" outlineLevel="0" collapsed="false">
      <c r="A4269" s="22" t="n">
        <v>4</v>
      </c>
      <c r="B4269" s="23" t="n">
        <v>45495</v>
      </c>
      <c r="C4269" s="22" t="s">
        <v>242</v>
      </c>
      <c r="D4269" s="24" t="n">
        <v>48</v>
      </c>
    </row>
    <row r="4270" customFormat="false" ht="15" hidden="false" customHeight="false" outlineLevel="0" collapsed="false">
      <c r="A4270" s="22" t="n">
        <v>5</v>
      </c>
      <c r="B4270" s="23" t="n">
        <v>45502</v>
      </c>
      <c r="C4270" s="22" t="s">
        <v>242</v>
      </c>
      <c r="D4270" s="24" t="n">
        <v>59</v>
      </c>
    </row>
    <row r="4271" customFormat="false" ht="15" hidden="false" customHeight="false" outlineLevel="0" collapsed="false">
      <c r="A4271" s="22" t="n">
        <v>6</v>
      </c>
      <c r="B4271" s="23" t="n">
        <v>45509</v>
      </c>
      <c r="C4271" s="22" t="s">
        <v>242</v>
      </c>
      <c r="D4271" s="24" t="n">
        <v>42</v>
      </c>
    </row>
    <row r="4272" customFormat="false" ht="15" hidden="false" customHeight="false" outlineLevel="0" collapsed="false">
      <c r="A4272" s="22" t="n">
        <v>7</v>
      </c>
      <c r="B4272" s="23" t="n">
        <v>45516</v>
      </c>
      <c r="C4272" s="22" t="s">
        <v>242</v>
      </c>
      <c r="D4272" s="24" t="n">
        <v>42</v>
      </c>
    </row>
    <row r="4273" customFormat="false" ht="15" hidden="false" customHeight="false" outlineLevel="0" collapsed="false">
      <c r="A4273" s="22" t="n">
        <v>8</v>
      </c>
      <c r="B4273" s="23" t="n">
        <v>45523</v>
      </c>
      <c r="C4273" s="22" t="s">
        <v>242</v>
      </c>
      <c r="D4273" s="24" t="n">
        <v>53</v>
      </c>
    </row>
    <row r="4274" customFormat="false" ht="15" hidden="false" customHeight="false" outlineLevel="0" collapsed="false">
      <c r="A4274" s="22" t="n">
        <v>9</v>
      </c>
      <c r="B4274" s="23" t="n">
        <v>45530</v>
      </c>
      <c r="C4274" s="22" t="s">
        <v>242</v>
      </c>
      <c r="D4274" s="24" t="n">
        <v>40</v>
      </c>
    </row>
    <row r="4275" customFormat="false" ht="15" hidden="false" customHeight="false" outlineLevel="0" collapsed="false">
      <c r="A4275" s="22" t="n">
        <v>10</v>
      </c>
      <c r="B4275" s="23" t="n">
        <v>45537</v>
      </c>
      <c r="C4275" s="22" t="s">
        <v>242</v>
      </c>
      <c r="D4275" s="24" t="n">
        <v>47</v>
      </c>
    </row>
    <row r="4276" customFormat="false" ht="15" hidden="false" customHeight="false" outlineLevel="0" collapsed="false">
      <c r="A4276" s="22" t="n">
        <v>11</v>
      </c>
      <c r="B4276" s="23" t="n">
        <v>45544</v>
      </c>
      <c r="C4276" s="22" t="s">
        <v>242</v>
      </c>
      <c r="D4276" s="24" t="n">
        <v>57</v>
      </c>
    </row>
    <row r="4277" customFormat="false" ht="15" hidden="false" customHeight="false" outlineLevel="0" collapsed="false">
      <c r="A4277" s="22" t="n">
        <v>12</v>
      </c>
      <c r="B4277" s="23" t="n">
        <v>45551</v>
      </c>
      <c r="C4277" s="22" t="s">
        <v>242</v>
      </c>
      <c r="D4277" s="24" t="n">
        <v>50</v>
      </c>
    </row>
    <row r="4278" customFormat="false" ht="15" hidden="false" customHeight="false" outlineLevel="0" collapsed="false">
      <c r="A4278" s="22" t="n">
        <v>13</v>
      </c>
      <c r="B4278" s="23" t="n">
        <v>45558</v>
      </c>
      <c r="C4278" s="22" t="s">
        <v>242</v>
      </c>
      <c r="D4278" s="24" t="n">
        <v>47</v>
      </c>
    </row>
    <row r="4279" customFormat="false" ht="15" hidden="false" customHeight="false" outlineLevel="0" collapsed="false">
      <c r="A4279" s="22" t="n">
        <v>14</v>
      </c>
      <c r="B4279" s="23" t="n">
        <v>45565</v>
      </c>
      <c r="C4279" s="22" t="s">
        <v>242</v>
      </c>
      <c r="D4279" s="24" t="n">
        <v>45</v>
      </c>
    </row>
    <row r="4280" customFormat="false" ht="15" hidden="false" customHeight="false" outlineLevel="0" collapsed="false">
      <c r="A4280" s="22" t="n">
        <v>15</v>
      </c>
      <c r="B4280" s="23" t="n">
        <v>45572</v>
      </c>
      <c r="C4280" s="22" t="s">
        <v>242</v>
      </c>
      <c r="D4280" s="24" t="n">
        <v>44</v>
      </c>
    </row>
    <row r="4281" customFormat="false" ht="15" hidden="false" customHeight="false" outlineLevel="0" collapsed="false">
      <c r="A4281" s="22" t="n">
        <v>16</v>
      </c>
      <c r="B4281" s="23" t="n">
        <v>45579</v>
      </c>
      <c r="C4281" s="22" t="s">
        <v>242</v>
      </c>
      <c r="D4281" s="24" t="n">
        <v>46</v>
      </c>
    </row>
    <row r="4282" customFormat="false" ht="15" hidden="false" customHeight="false" outlineLevel="0" collapsed="false">
      <c r="A4282" s="22" t="n">
        <v>17</v>
      </c>
      <c r="B4282" s="23" t="n">
        <v>45586</v>
      </c>
      <c r="C4282" s="22" t="s">
        <v>242</v>
      </c>
      <c r="D4282" s="24" t="n">
        <v>51</v>
      </c>
    </row>
    <row r="4283" customFormat="false" ht="15" hidden="false" customHeight="false" outlineLevel="0" collapsed="false">
      <c r="A4283" s="22" t="n">
        <v>18</v>
      </c>
      <c r="B4283" s="23" t="n">
        <v>45593</v>
      </c>
      <c r="C4283" s="22" t="s">
        <v>242</v>
      </c>
      <c r="D4283" s="24" t="n">
        <v>58</v>
      </c>
    </row>
    <row r="4284" customFormat="false" ht="15" hidden="false" customHeight="false" outlineLevel="0" collapsed="false">
      <c r="A4284" s="22" t="n">
        <v>19</v>
      </c>
      <c r="B4284" s="23" t="n">
        <v>45600</v>
      </c>
      <c r="C4284" s="22" t="s">
        <v>242</v>
      </c>
      <c r="D4284" s="24" t="n">
        <v>56</v>
      </c>
    </row>
    <row r="4285" customFormat="false" ht="15" hidden="false" customHeight="false" outlineLevel="0" collapsed="false">
      <c r="A4285" s="22" t="n">
        <v>20</v>
      </c>
      <c r="B4285" s="23" t="n">
        <v>45607</v>
      </c>
      <c r="C4285" s="22" t="s">
        <v>242</v>
      </c>
      <c r="D4285" s="24" t="n">
        <v>46</v>
      </c>
    </row>
    <row r="4286" customFormat="false" ht="15" hidden="false" customHeight="false" outlineLevel="0" collapsed="false">
      <c r="A4286" s="22" t="n">
        <v>21</v>
      </c>
      <c r="B4286" s="23" t="n">
        <v>45614</v>
      </c>
      <c r="C4286" s="22" t="s">
        <v>242</v>
      </c>
      <c r="D4286" s="24" t="n">
        <v>45</v>
      </c>
    </row>
    <row r="4287" customFormat="false" ht="15" hidden="false" customHeight="false" outlineLevel="0" collapsed="false">
      <c r="A4287" s="22" t="n">
        <v>22</v>
      </c>
      <c r="B4287" s="23" t="n">
        <v>45621</v>
      </c>
      <c r="C4287" s="22" t="s">
        <v>242</v>
      </c>
      <c r="D4287" s="24" t="n">
        <v>54</v>
      </c>
    </row>
    <row r="4288" customFormat="false" ht="15" hidden="false" customHeight="false" outlineLevel="0" collapsed="false">
      <c r="A4288" s="22" t="n">
        <v>23</v>
      </c>
      <c r="B4288" s="23" t="n">
        <v>45628</v>
      </c>
      <c r="C4288" s="22" t="s">
        <v>242</v>
      </c>
      <c r="D4288" s="24" t="n">
        <v>38</v>
      </c>
    </row>
    <row r="4289" customFormat="false" ht="15" hidden="false" customHeight="false" outlineLevel="0" collapsed="false">
      <c r="A4289" s="22" t="n">
        <v>24</v>
      </c>
      <c r="B4289" s="23" t="n">
        <v>45635</v>
      </c>
      <c r="C4289" s="22" t="s">
        <v>242</v>
      </c>
      <c r="D4289" s="24" t="n">
        <v>47</v>
      </c>
    </row>
    <row r="4290" customFormat="false" ht="15" hidden="false" customHeight="false" outlineLevel="0" collapsed="false">
      <c r="A4290" s="22" t="n">
        <v>25</v>
      </c>
      <c r="B4290" s="23" t="n">
        <v>45642</v>
      </c>
      <c r="C4290" s="22" t="s">
        <v>242</v>
      </c>
      <c r="D4290" s="24" t="n">
        <v>48</v>
      </c>
    </row>
    <row r="4291" customFormat="false" ht="15" hidden="false" customHeight="false" outlineLevel="0" collapsed="false">
      <c r="A4291" s="22" t="n">
        <v>26</v>
      </c>
      <c r="B4291" s="23" t="n">
        <v>45649</v>
      </c>
      <c r="C4291" s="22" t="s">
        <v>242</v>
      </c>
      <c r="D4291" s="24" t="n">
        <v>43</v>
      </c>
    </row>
    <row r="4292" customFormat="false" ht="15" hidden="false" customHeight="false" outlineLevel="0" collapsed="false">
      <c r="A4292" s="22" t="n">
        <v>27</v>
      </c>
      <c r="B4292" s="23" t="n">
        <v>45656</v>
      </c>
      <c r="C4292" s="22" t="s">
        <v>242</v>
      </c>
      <c r="D4292" s="24" t="n">
        <v>43</v>
      </c>
    </row>
    <row r="4293" customFormat="false" ht="15" hidden="false" customHeight="false" outlineLevel="0" collapsed="false">
      <c r="A4293" s="22" t="n">
        <v>28</v>
      </c>
      <c r="B4293" s="23" t="n">
        <v>45663</v>
      </c>
      <c r="C4293" s="22" t="s">
        <v>242</v>
      </c>
      <c r="D4293" s="24" t="n">
        <v>52</v>
      </c>
    </row>
    <row r="4294" customFormat="false" ht="15" hidden="false" customHeight="false" outlineLevel="0" collapsed="false">
      <c r="A4294" s="22" t="n">
        <v>29</v>
      </c>
      <c r="B4294" s="23" t="n">
        <v>45670</v>
      </c>
      <c r="C4294" s="22" t="s">
        <v>242</v>
      </c>
      <c r="D4294" s="24" t="n">
        <v>39</v>
      </c>
    </row>
    <row r="4295" customFormat="false" ht="15" hidden="false" customHeight="false" outlineLevel="0" collapsed="false">
      <c r="A4295" s="22" t="n">
        <v>30</v>
      </c>
      <c r="B4295" s="23" t="n">
        <v>45677</v>
      </c>
      <c r="C4295" s="22" t="s">
        <v>242</v>
      </c>
      <c r="D4295" s="24" t="n">
        <v>44</v>
      </c>
    </row>
    <row r="4296" customFormat="false" ht="15" hidden="false" customHeight="false" outlineLevel="0" collapsed="false">
      <c r="A4296" s="22" t="n">
        <v>31</v>
      </c>
      <c r="B4296" s="23" t="n">
        <v>45684</v>
      </c>
      <c r="C4296" s="22" t="s">
        <v>242</v>
      </c>
      <c r="D4296" s="24" t="n">
        <v>46</v>
      </c>
    </row>
    <row r="4297" customFormat="false" ht="15" hidden="false" customHeight="false" outlineLevel="0" collapsed="false">
      <c r="A4297" s="22" t="n">
        <v>32</v>
      </c>
      <c r="B4297" s="23" t="n">
        <v>45691</v>
      </c>
      <c r="C4297" s="22" t="s">
        <v>242</v>
      </c>
      <c r="D4297" s="24" t="n">
        <v>50</v>
      </c>
    </row>
    <row r="4298" customFormat="false" ht="15" hidden="false" customHeight="false" outlineLevel="0" collapsed="false">
      <c r="A4298" s="22" t="n">
        <v>33</v>
      </c>
      <c r="B4298" s="23" t="n">
        <v>45698</v>
      </c>
      <c r="C4298" s="22" t="s">
        <v>242</v>
      </c>
      <c r="D4298" s="24" t="n">
        <v>41</v>
      </c>
    </row>
    <row r="4299" customFormat="false" ht="15" hidden="false" customHeight="false" outlineLevel="0" collapsed="false">
      <c r="A4299" s="22" t="n">
        <v>34</v>
      </c>
      <c r="B4299" s="23" t="n">
        <v>45705</v>
      </c>
      <c r="C4299" s="22" t="s">
        <v>242</v>
      </c>
      <c r="D4299" s="24" t="n">
        <v>57</v>
      </c>
    </row>
    <row r="4300" customFormat="false" ht="15" hidden="false" customHeight="false" outlineLevel="0" collapsed="false">
      <c r="A4300" s="22" t="n">
        <v>35</v>
      </c>
      <c r="B4300" s="23" t="n">
        <v>45712</v>
      </c>
      <c r="C4300" s="22" t="s">
        <v>242</v>
      </c>
      <c r="D4300" s="24" t="n">
        <v>48</v>
      </c>
    </row>
    <row r="4301" customFormat="false" ht="15" hidden="false" customHeight="false" outlineLevel="0" collapsed="false">
      <c r="A4301" s="22" t="n">
        <v>36</v>
      </c>
      <c r="B4301" s="23" t="n">
        <v>45719</v>
      </c>
      <c r="C4301" s="22" t="s">
        <v>242</v>
      </c>
      <c r="D4301" s="24" t="n">
        <v>48</v>
      </c>
    </row>
    <row r="4302" customFormat="false" ht="15" hidden="false" customHeight="false" outlineLevel="0" collapsed="false">
      <c r="A4302" s="22" t="n">
        <v>37</v>
      </c>
      <c r="B4302" s="23" t="n">
        <v>45726</v>
      </c>
      <c r="C4302" s="22" t="s">
        <v>242</v>
      </c>
      <c r="D4302" s="24" t="n">
        <v>47</v>
      </c>
    </row>
    <row r="4303" customFormat="false" ht="15" hidden="false" customHeight="false" outlineLevel="0" collapsed="false">
      <c r="A4303" s="22" t="n">
        <v>38</v>
      </c>
      <c r="B4303" s="23" t="n">
        <v>45733</v>
      </c>
      <c r="C4303" s="22" t="s">
        <v>242</v>
      </c>
      <c r="D4303" s="24" t="n">
        <v>45</v>
      </c>
    </row>
    <row r="4304" customFormat="false" ht="15" hidden="false" customHeight="false" outlineLevel="0" collapsed="false">
      <c r="A4304" s="22" t="n">
        <v>39</v>
      </c>
      <c r="B4304" s="23" t="n">
        <v>45740</v>
      </c>
      <c r="C4304" s="22" t="s">
        <v>242</v>
      </c>
      <c r="D4304" s="24" t="n">
        <v>43</v>
      </c>
    </row>
    <row r="4305" customFormat="false" ht="15" hidden="false" customHeight="false" outlineLevel="0" collapsed="false">
      <c r="A4305" s="22" t="n">
        <v>40</v>
      </c>
      <c r="B4305" s="23" t="n">
        <v>45747</v>
      </c>
      <c r="C4305" s="22" t="s">
        <v>242</v>
      </c>
      <c r="D4305" s="24" t="n">
        <v>57</v>
      </c>
    </row>
    <row r="4306" customFormat="false" ht="15" hidden="false" customHeight="false" outlineLevel="0" collapsed="false">
      <c r="A4306" s="22" t="n">
        <v>41</v>
      </c>
      <c r="B4306" s="23" t="n">
        <v>45754</v>
      </c>
      <c r="C4306" s="22" t="s">
        <v>242</v>
      </c>
      <c r="D4306" s="24" t="n">
        <v>51</v>
      </c>
    </row>
    <row r="4307" customFormat="false" ht="15" hidden="false" customHeight="false" outlineLevel="0" collapsed="false">
      <c r="A4307" s="22" t="n">
        <v>42</v>
      </c>
      <c r="B4307" s="23" t="n">
        <v>45761</v>
      </c>
      <c r="C4307" s="22" t="s">
        <v>242</v>
      </c>
      <c r="D4307" s="24" t="n">
        <v>49</v>
      </c>
    </row>
    <row r="4308" customFormat="false" ht="15" hidden="false" customHeight="false" outlineLevel="0" collapsed="false">
      <c r="A4308" s="22" t="n">
        <v>43</v>
      </c>
      <c r="B4308" s="23" t="n">
        <v>45768</v>
      </c>
      <c r="C4308" s="22" t="s">
        <v>242</v>
      </c>
      <c r="D4308" s="24" t="n">
        <v>56</v>
      </c>
    </row>
    <row r="4309" customFormat="false" ht="15" hidden="false" customHeight="false" outlineLevel="0" collapsed="false">
      <c r="A4309" s="22" t="n">
        <v>44</v>
      </c>
      <c r="B4309" s="23" t="n">
        <v>45775</v>
      </c>
      <c r="C4309" s="22" t="s">
        <v>242</v>
      </c>
      <c r="D4309" s="24" t="n">
        <v>45</v>
      </c>
    </row>
    <row r="4310" customFormat="false" ht="15" hidden="false" customHeight="false" outlineLevel="0" collapsed="false">
      <c r="A4310" s="22" t="n">
        <v>45</v>
      </c>
      <c r="B4310" s="23" t="n">
        <v>45782</v>
      </c>
      <c r="C4310" s="22" t="s">
        <v>242</v>
      </c>
      <c r="D4310" s="24" t="n">
        <v>54</v>
      </c>
    </row>
    <row r="4311" customFormat="false" ht="15" hidden="false" customHeight="false" outlineLevel="0" collapsed="false">
      <c r="A4311" s="22" t="n">
        <v>46</v>
      </c>
      <c r="B4311" s="23" t="n">
        <v>45789</v>
      </c>
      <c r="C4311" s="22" t="s">
        <v>242</v>
      </c>
      <c r="D4311" s="24" t="n">
        <v>50</v>
      </c>
    </row>
    <row r="4312" customFormat="false" ht="15" hidden="false" customHeight="false" outlineLevel="0" collapsed="false">
      <c r="A4312" s="22" t="n">
        <v>47</v>
      </c>
      <c r="B4312" s="23" t="n">
        <v>45796</v>
      </c>
      <c r="C4312" s="22" t="s">
        <v>242</v>
      </c>
      <c r="D4312" s="24" t="n">
        <v>44</v>
      </c>
    </row>
    <row r="4313" customFormat="false" ht="15" hidden="false" customHeight="false" outlineLevel="0" collapsed="false">
      <c r="A4313" s="22" t="n">
        <v>48</v>
      </c>
      <c r="B4313" s="23" t="n">
        <v>45803</v>
      </c>
      <c r="C4313" s="22" t="s">
        <v>242</v>
      </c>
      <c r="D4313" s="24" t="n">
        <v>54</v>
      </c>
    </row>
    <row r="4314" customFormat="false" ht="15" hidden="false" customHeight="false" outlineLevel="0" collapsed="false">
      <c r="A4314" s="22" t="n">
        <v>49</v>
      </c>
      <c r="B4314" s="23" t="n">
        <v>45810</v>
      </c>
      <c r="C4314" s="22" t="s">
        <v>242</v>
      </c>
      <c r="D4314" s="24" t="n">
        <v>40</v>
      </c>
    </row>
    <row r="4315" customFormat="false" ht="15" hidden="false" customHeight="false" outlineLevel="0" collapsed="false">
      <c r="A4315" s="22" t="n">
        <v>50</v>
      </c>
      <c r="B4315" s="23" t="n">
        <v>45817</v>
      </c>
      <c r="C4315" s="22" t="s">
        <v>242</v>
      </c>
      <c r="D4315" s="24" t="n">
        <v>54</v>
      </c>
    </row>
    <row r="4316" customFormat="false" ht="15" hidden="false" customHeight="false" outlineLevel="0" collapsed="false">
      <c r="A4316" s="22" t="n">
        <v>51</v>
      </c>
      <c r="B4316" s="23" t="n">
        <v>45824</v>
      </c>
      <c r="C4316" s="22" t="s">
        <v>242</v>
      </c>
      <c r="D4316" s="24" t="n">
        <v>44</v>
      </c>
    </row>
    <row r="4317" customFormat="false" ht="15" hidden="false" customHeight="false" outlineLevel="0" collapsed="false">
      <c r="A4317" s="22" t="n">
        <v>52</v>
      </c>
      <c r="B4317" s="23" t="n">
        <v>45831</v>
      </c>
      <c r="C4317" s="22" t="s">
        <v>242</v>
      </c>
      <c r="D4317" s="24" t="n">
        <v>52</v>
      </c>
    </row>
    <row r="4318" customFormat="false" ht="15" hidden="false" customHeight="false" outlineLevel="0" collapsed="false">
      <c r="A4318" s="22" t="n">
        <v>53</v>
      </c>
      <c r="B4318" s="23" t="n">
        <v>45838</v>
      </c>
      <c r="C4318" s="22" t="s">
        <v>242</v>
      </c>
      <c r="D4318" s="24" t="n">
        <v>58</v>
      </c>
    </row>
    <row r="4319" customFormat="false" ht="15" hidden="false" customHeight="false" outlineLevel="0" collapsed="false">
      <c r="A4319" s="22" t="n">
        <v>54</v>
      </c>
      <c r="B4319" s="23" t="n">
        <v>45845</v>
      </c>
      <c r="C4319" s="22" t="s">
        <v>242</v>
      </c>
      <c r="D4319" s="24" t="n">
        <v>53</v>
      </c>
    </row>
    <row r="4320" customFormat="false" ht="15" hidden="false" customHeight="false" outlineLevel="0" collapsed="false">
      <c r="A4320" s="22" t="n">
        <v>55</v>
      </c>
      <c r="B4320" s="23" t="n">
        <v>45852</v>
      </c>
      <c r="C4320" s="22" t="s">
        <v>242</v>
      </c>
      <c r="D4320" s="24" t="n">
        <v>46</v>
      </c>
    </row>
    <row r="4321" customFormat="false" ht="15" hidden="false" customHeight="false" outlineLevel="0" collapsed="false">
      <c r="A4321" s="22" t="n">
        <v>56</v>
      </c>
      <c r="B4321" s="23" t="n">
        <v>45859</v>
      </c>
      <c r="C4321" s="22" t="s">
        <v>242</v>
      </c>
      <c r="D4321" s="24" t="n">
        <v>49</v>
      </c>
    </row>
    <row r="4322" customFormat="false" ht="15" hidden="false" customHeight="false" outlineLevel="0" collapsed="false">
      <c r="A4322" s="22" t="n">
        <v>57</v>
      </c>
      <c r="B4322" s="23" t="n">
        <v>45866</v>
      </c>
      <c r="C4322" s="22" t="s">
        <v>242</v>
      </c>
      <c r="D4322" s="24" t="n">
        <v>47</v>
      </c>
    </row>
    <row r="4323" customFormat="false" ht="15" hidden="false" customHeight="false" outlineLevel="0" collapsed="false">
      <c r="A4323" s="22" t="n">
        <v>58</v>
      </c>
      <c r="B4323" s="23" t="n">
        <v>45873</v>
      </c>
      <c r="C4323" s="22" t="s">
        <v>242</v>
      </c>
      <c r="D4323" s="24" t="n">
        <v>42</v>
      </c>
    </row>
    <row r="4324" customFormat="false" ht="15" hidden="false" customHeight="false" outlineLevel="0" collapsed="false">
      <c r="A4324" s="22" t="n">
        <v>59</v>
      </c>
      <c r="B4324" s="23" t="n">
        <v>45880</v>
      </c>
      <c r="C4324" s="22" t="s">
        <v>242</v>
      </c>
      <c r="D4324" s="24" t="n">
        <v>42</v>
      </c>
    </row>
    <row r="4325" customFormat="false" ht="15" hidden="false" customHeight="false" outlineLevel="0" collapsed="false">
      <c r="A4325" s="22" t="n">
        <v>60</v>
      </c>
      <c r="B4325" s="23" t="n">
        <v>45887</v>
      </c>
      <c r="C4325" s="22" t="s">
        <v>242</v>
      </c>
      <c r="D4325" s="24" t="n">
        <v>50</v>
      </c>
    </row>
    <row r="4326" customFormat="false" ht="15" hidden="false" customHeight="false" outlineLevel="0" collapsed="false">
      <c r="A4326" s="22" t="n">
        <v>61</v>
      </c>
      <c r="B4326" s="23" t="n">
        <v>45894</v>
      </c>
      <c r="C4326" s="22" t="s">
        <v>242</v>
      </c>
      <c r="D4326" s="24" t="n">
        <v>53</v>
      </c>
    </row>
    <row r="4327" customFormat="false" ht="15" hidden="false" customHeight="false" outlineLevel="0" collapsed="false">
      <c r="A4327" s="22" t="n">
        <v>62</v>
      </c>
      <c r="B4327" s="23" t="n">
        <v>45901</v>
      </c>
      <c r="C4327" s="22" t="s">
        <v>242</v>
      </c>
      <c r="D4327" s="24" t="n">
        <v>38</v>
      </c>
    </row>
    <row r="4328" customFormat="false" ht="15" hidden="false" customHeight="false" outlineLevel="0" collapsed="false">
      <c r="A4328" s="22" t="n">
        <v>63</v>
      </c>
      <c r="B4328" s="23" t="n">
        <v>45908</v>
      </c>
      <c r="C4328" s="22" t="s">
        <v>242</v>
      </c>
      <c r="D4328" s="24" t="n">
        <v>49</v>
      </c>
    </row>
    <row r="4329" customFormat="false" ht="15" hidden="false" customHeight="false" outlineLevel="0" collapsed="false">
      <c r="A4329" s="22" t="n">
        <v>64</v>
      </c>
      <c r="B4329" s="23" t="n">
        <v>45915</v>
      </c>
      <c r="C4329" s="22" t="s">
        <v>242</v>
      </c>
      <c r="D4329" s="24" t="n">
        <v>53</v>
      </c>
    </row>
    <row r="4330" customFormat="false" ht="15" hidden="false" customHeight="false" outlineLevel="0" collapsed="false">
      <c r="A4330" s="22" t="n">
        <v>65</v>
      </c>
      <c r="B4330" s="23" t="n">
        <v>45922</v>
      </c>
      <c r="C4330" s="22" t="s">
        <v>242</v>
      </c>
      <c r="D4330" s="24" t="n">
        <v>50</v>
      </c>
    </row>
    <row r="4331" customFormat="false" ht="15" hidden="false" customHeight="false" outlineLevel="0" collapsed="false">
      <c r="A4331" s="22" t="n">
        <v>66</v>
      </c>
      <c r="B4331" s="23" t="n">
        <v>45929</v>
      </c>
      <c r="C4331" s="22" t="s">
        <v>242</v>
      </c>
      <c r="D4331" s="24" t="n">
        <v>43</v>
      </c>
    </row>
    <row r="4332" customFormat="false" ht="15" hidden="false" customHeight="false" outlineLevel="0" collapsed="false">
      <c r="A4332" s="22" t="n">
        <v>67</v>
      </c>
      <c r="B4332" s="23" t="n">
        <v>45936</v>
      </c>
      <c r="C4332" s="22" t="s">
        <v>242</v>
      </c>
      <c r="D4332" s="24" t="n">
        <v>56</v>
      </c>
    </row>
    <row r="4333" customFormat="false" ht="15" hidden="false" customHeight="false" outlineLevel="0" collapsed="false">
      <c r="A4333" s="22" t="n">
        <v>68</v>
      </c>
      <c r="B4333" s="23" t="n">
        <v>45943</v>
      </c>
      <c r="C4333" s="22" t="s">
        <v>242</v>
      </c>
      <c r="D4333" s="24" t="n">
        <v>42</v>
      </c>
    </row>
    <row r="4334" customFormat="false" ht="15" hidden="false" customHeight="false" outlineLevel="0" collapsed="false">
      <c r="A4334" s="22" t="n">
        <v>69</v>
      </c>
      <c r="B4334" s="23" t="n">
        <v>45950</v>
      </c>
      <c r="C4334" s="22" t="s">
        <v>242</v>
      </c>
      <c r="D4334" s="24" t="n">
        <v>54</v>
      </c>
    </row>
    <row r="4335" customFormat="false" ht="15" hidden="false" customHeight="false" outlineLevel="0" collapsed="false">
      <c r="A4335" s="22" t="n">
        <v>70</v>
      </c>
      <c r="B4335" s="23" t="n">
        <v>45957</v>
      </c>
      <c r="C4335" s="22" t="s">
        <v>242</v>
      </c>
      <c r="D4335" s="24" t="n">
        <v>60</v>
      </c>
    </row>
    <row r="4336" customFormat="false" ht="15" hidden="false" customHeight="false" outlineLevel="0" collapsed="false">
      <c r="A4336" s="22" t="n">
        <v>71</v>
      </c>
      <c r="B4336" s="23" t="n">
        <v>45964</v>
      </c>
      <c r="C4336" s="22" t="s">
        <v>242</v>
      </c>
      <c r="D4336" s="24" t="n">
        <v>36</v>
      </c>
    </row>
    <row r="4337" customFormat="false" ht="15" hidden="false" customHeight="false" outlineLevel="0" collapsed="false">
      <c r="A4337" s="22" t="n">
        <v>72</v>
      </c>
      <c r="B4337" s="23" t="n">
        <v>45971</v>
      </c>
      <c r="C4337" s="22" t="s">
        <v>242</v>
      </c>
      <c r="D4337" s="24" t="n">
        <v>51</v>
      </c>
    </row>
    <row r="4338" customFormat="false" ht="15" hidden="false" customHeight="false" outlineLevel="0" collapsed="false">
      <c r="A4338" s="22" t="n">
        <v>73</v>
      </c>
      <c r="B4338" s="23" t="n">
        <v>45978</v>
      </c>
      <c r="C4338" s="22" t="s">
        <v>242</v>
      </c>
      <c r="D4338" s="24" t="n">
        <v>51</v>
      </c>
    </row>
    <row r="4339" customFormat="false" ht="15" hidden="false" customHeight="false" outlineLevel="0" collapsed="false">
      <c r="A4339" s="22" t="n">
        <v>74</v>
      </c>
      <c r="B4339" s="23" t="n">
        <v>45985</v>
      </c>
      <c r="C4339" s="22" t="s">
        <v>242</v>
      </c>
      <c r="D4339" s="24" t="n">
        <v>51</v>
      </c>
    </row>
    <row r="4340" customFormat="false" ht="15" hidden="false" customHeight="false" outlineLevel="0" collapsed="false">
      <c r="A4340" s="22" t="n">
        <v>75</v>
      </c>
      <c r="B4340" s="23" t="n">
        <v>45992</v>
      </c>
      <c r="C4340" s="22" t="s">
        <v>242</v>
      </c>
      <c r="D4340" s="24" t="n">
        <v>45</v>
      </c>
    </row>
    <row r="4341" customFormat="false" ht="15" hidden="false" customHeight="false" outlineLevel="0" collapsed="false">
      <c r="A4341" s="22" t="n">
        <v>76</v>
      </c>
      <c r="B4341" s="23" t="n">
        <v>45999</v>
      </c>
      <c r="C4341" s="22" t="s">
        <v>242</v>
      </c>
      <c r="D4341" s="24" t="n">
        <v>47</v>
      </c>
    </row>
    <row r="4342" customFormat="false" ht="15" hidden="false" customHeight="false" outlineLevel="0" collapsed="false">
      <c r="A4342" s="22" t="n">
        <v>77</v>
      </c>
      <c r="B4342" s="23" t="n">
        <v>46006</v>
      </c>
      <c r="C4342" s="22" t="s">
        <v>242</v>
      </c>
      <c r="D4342" s="24" t="n">
        <v>41</v>
      </c>
    </row>
    <row r="4343" customFormat="false" ht="15" hidden="false" customHeight="false" outlineLevel="0" collapsed="false">
      <c r="A4343" s="22" t="n">
        <v>78</v>
      </c>
      <c r="B4343" s="23" t="n">
        <v>46013</v>
      </c>
      <c r="C4343" s="22" t="s">
        <v>242</v>
      </c>
      <c r="D4343" s="24" t="n">
        <v>50</v>
      </c>
    </row>
    <row r="4344" customFormat="false" ht="15" hidden="false" customHeight="false" outlineLevel="0" collapsed="false">
      <c r="A4344" s="22" t="n">
        <v>79</v>
      </c>
      <c r="B4344" s="23" t="n">
        <v>46020</v>
      </c>
      <c r="C4344" s="22" t="s">
        <v>242</v>
      </c>
      <c r="D4344" s="24" t="n">
        <v>53</v>
      </c>
    </row>
    <row r="4345" customFormat="false" ht="15" hidden="false" customHeight="false" outlineLevel="0" collapsed="false">
      <c r="A4345" s="22" t="n">
        <v>80</v>
      </c>
      <c r="B4345" s="23" t="n">
        <v>46027</v>
      </c>
      <c r="C4345" s="22" t="s">
        <v>242</v>
      </c>
      <c r="D4345" s="24" t="n">
        <v>45</v>
      </c>
    </row>
    <row r="4346" customFormat="false" ht="15" hidden="false" customHeight="false" outlineLevel="0" collapsed="false">
      <c r="A4346" s="22" t="n">
        <v>81</v>
      </c>
      <c r="B4346" s="23" t="n">
        <v>46034</v>
      </c>
      <c r="C4346" s="22" t="s">
        <v>242</v>
      </c>
      <c r="D4346" s="24" t="n">
        <v>44</v>
      </c>
    </row>
    <row r="4347" customFormat="false" ht="15" hidden="false" customHeight="false" outlineLevel="0" collapsed="false">
      <c r="A4347" s="22" t="n">
        <v>82</v>
      </c>
      <c r="B4347" s="23" t="n">
        <v>46041</v>
      </c>
      <c r="C4347" s="22" t="s">
        <v>242</v>
      </c>
      <c r="D4347" s="24" t="n">
        <v>46</v>
      </c>
    </row>
    <row r="4348" customFormat="false" ht="15" hidden="false" customHeight="false" outlineLevel="0" collapsed="false">
      <c r="A4348" s="22" t="n">
        <v>83</v>
      </c>
      <c r="B4348" s="23" t="n">
        <v>46048</v>
      </c>
      <c r="C4348" s="22" t="s">
        <v>242</v>
      </c>
      <c r="D4348" s="24" t="n">
        <v>49</v>
      </c>
    </row>
    <row r="4349" customFormat="false" ht="15" hidden="false" customHeight="false" outlineLevel="0" collapsed="false">
      <c r="A4349" s="22" t="n">
        <v>84</v>
      </c>
      <c r="B4349" s="23" t="n">
        <v>46055</v>
      </c>
      <c r="C4349" s="22" t="s">
        <v>242</v>
      </c>
      <c r="D4349" s="24" t="n">
        <v>50</v>
      </c>
    </row>
    <row r="4350" customFormat="false" ht="15" hidden="false" customHeight="false" outlineLevel="0" collapsed="false">
      <c r="A4350" s="22" t="n">
        <v>85</v>
      </c>
      <c r="B4350" s="23" t="n">
        <v>46062</v>
      </c>
      <c r="C4350" s="22" t="s">
        <v>242</v>
      </c>
      <c r="D4350" s="24" t="n">
        <v>49</v>
      </c>
    </row>
    <row r="4351" customFormat="false" ht="15" hidden="false" customHeight="false" outlineLevel="0" collapsed="false">
      <c r="A4351" s="22" t="n">
        <v>86</v>
      </c>
      <c r="B4351" s="23" t="n">
        <v>46069</v>
      </c>
      <c r="C4351" s="22" t="s">
        <v>242</v>
      </c>
      <c r="D4351" s="24" t="n">
        <v>50</v>
      </c>
    </row>
    <row r="4352" customFormat="false" ht="15" hidden="false" customHeight="false" outlineLevel="0" collapsed="false">
      <c r="A4352" s="22" t="n">
        <v>87</v>
      </c>
      <c r="B4352" s="23" t="n">
        <v>46076</v>
      </c>
      <c r="C4352" s="22" t="s">
        <v>242</v>
      </c>
      <c r="D4352" s="24" t="n">
        <v>41</v>
      </c>
    </row>
    <row r="4353" customFormat="false" ht="15" hidden="false" customHeight="false" outlineLevel="0" collapsed="false">
      <c r="A4353" s="22" t="n">
        <v>88</v>
      </c>
      <c r="B4353" s="23" t="n">
        <v>46083</v>
      </c>
      <c r="C4353" s="22" t="s">
        <v>242</v>
      </c>
      <c r="D4353" s="24" t="n">
        <v>32</v>
      </c>
    </row>
    <row r="4354" customFormat="false" ht="15" hidden="false" customHeight="false" outlineLevel="0" collapsed="false">
      <c r="A4354" s="22" t="n">
        <v>89</v>
      </c>
      <c r="B4354" s="23" t="n">
        <v>46090</v>
      </c>
      <c r="C4354" s="22" t="s">
        <v>242</v>
      </c>
      <c r="D4354" s="24" t="n">
        <v>53</v>
      </c>
    </row>
    <row r="4355" customFormat="false" ht="15" hidden="false" customHeight="false" outlineLevel="0" collapsed="false">
      <c r="A4355" s="22" t="n">
        <v>90</v>
      </c>
      <c r="B4355" s="23" t="n">
        <v>46097</v>
      </c>
      <c r="C4355" s="22" t="s">
        <v>242</v>
      </c>
      <c r="D4355" s="24" t="n">
        <v>58</v>
      </c>
    </row>
    <row r="4356" customFormat="false" ht="15" hidden="false" customHeight="false" outlineLevel="0" collapsed="false">
      <c r="A4356" s="22" t="n">
        <v>91</v>
      </c>
      <c r="B4356" s="23" t="n">
        <v>46104</v>
      </c>
      <c r="C4356" s="22" t="s">
        <v>242</v>
      </c>
      <c r="D4356" s="24" t="n">
        <v>40</v>
      </c>
    </row>
    <row r="4357" customFormat="false" ht="15" hidden="false" customHeight="false" outlineLevel="0" collapsed="false">
      <c r="A4357" s="22" t="n">
        <v>92</v>
      </c>
      <c r="B4357" s="23" t="n">
        <v>46111</v>
      </c>
      <c r="C4357" s="22" t="s">
        <v>242</v>
      </c>
      <c r="D4357" s="24" t="n">
        <v>45</v>
      </c>
    </row>
    <row r="4358" customFormat="false" ht="15" hidden="false" customHeight="false" outlineLevel="0" collapsed="false">
      <c r="A4358" s="22" t="n">
        <v>93</v>
      </c>
      <c r="B4358" s="23" t="n">
        <v>46118</v>
      </c>
      <c r="C4358" s="22" t="s">
        <v>242</v>
      </c>
      <c r="D4358" s="24" t="n">
        <v>51</v>
      </c>
    </row>
    <row r="4359" customFormat="false" ht="15" hidden="false" customHeight="false" outlineLevel="0" collapsed="false">
      <c r="A4359" s="22" t="n">
        <v>94</v>
      </c>
      <c r="B4359" s="23" t="n">
        <v>46125</v>
      </c>
      <c r="C4359" s="22" t="s">
        <v>242</v>
      </c>
      <c r="D4359" s="24" t="n">
        <v>55</v>
      </c>
    </row>
    <row r="4360" customFormat="false" ht="15" hidden="false" customHeight="false" outlineLevel="0" collapsed="false">
      <c r="A4360" s="22" t="n">
        <v>95</v>
      </c>
      <c r="B4360" s="23" t="n">
        <v>46132</v>
      </c>
      <c r="C4360" s="22" t="s">
        <v>242</v>
      </c>
      <c r="D4360" s="24" t="n">
        <v>54</v>
      </c>
    </row>
    <row r="4361" customFormat="false" ht="15" hidden="false" customHeight="false" outlineLevel="0" collapsed="false">
      <c r="A4361" s="22" t="n">
        <v>96</v>
      </c>
      <c r="B4361" s="23" t="n">
        <v>46139</v>
      </c>
      <c r="C4361" s="22" t="s">
        <v>242</v>
      </c>
      <c r="D4361" s="24" t="n">
        <v>58</v>
      </c>
    </row>
    <row r="4362" customFormat="false" ht="15" hidden="false" customHeight="false" outlineLevel="0" collapsed="false">
      <c r="A4362" s="22" t="n">
        <v>97</v>
      </c>
      <c r="B4362" s="23" t="n">
        <v>46146</v>
      </c>
      <c r="C4362" s="22" t="s">
        <v>242</v>
      </c>
      <c r="D4362" s="24" t="n">
        <v>49</v>
      </c>
    </row>
    <row r="4363" customFormat="false" ht="15" hidden="false" customHeight="false" outlineLevel="0" collapsed="false">
      <c r="A4363" s="22" t="n">
        <v>98</v>
      </c>
      <c r="B4363" s="23" t="n">
        <v>46153</v>
      </c>
      <c r="C4363" s="22" t="s">
        <v>242</v>
      </c>
      <c r="D4363" s="24" t="n">
        <v>52</v>
      </c>
    </row>
    <row r="4364" customFormat="false" ht="15" hidden="false" customHeight="false" outlineLevel="0" collapsed="false">
      <c r="A4364" s="22" t="n">
        <v>99</v>
      </c>
      <c r="B4364" s="23" t="n">
        <v>46160</v>
      </c>
      <c r="C4364" s="22" t="s">
        <v>242</v>
      </c>
      <c r="D4364" s="24" t="n">
        <v>52</v>
      </c>
    </row>
    <row r="4365" customFormat="false" ht="15" hidden="false" customHeight="false" outlineLevel="0" collapsed="false">
      <c r="A4365" s="22" t="n">
        <v>100</v>
      </c>
      <c r="B4365" s="23" t="n">
        <v>46167</v>
      </c>
      <c r="C4365" s="22" t="s">
        <v>242</v>
      </c>
      <c r="D4365" s="24" t="n">
        <v>47</v>
      </c>
    </row>
    <row r="4366" customFormat="false" ht="15" hidden="false" customHeight="false" outlineLevel="0" collapsed="false">
      <c r="A4366" s="22" t="n">
        <v>101</v>
      </c>
      <c r="B4366" s="23" t="n">
        <v>46174</v>
      </c>
      <c r="C4366" s="22" t="s">
        <v>242</v>
      </c>
      <c r="D4366" s="24" t="n">
        <v>57</v>
      </c>
    </row>
    <row r="4367" customFormat="false" ht="15" hidden="false" customHeight="false" outlineLevel="0" collapsed="false">
      <c r="A4367" s="22" t="n">
        <v>102</v>
      </c>
      <c r="B4367" s="23" t="n">
        <v>46181</v>
      </c>
      <c r="C4367" s="22" t="s">
        <v>242</v>
      </c>
      <c r="D4367" s="24" t="n">
        <v>53</v>
      </c>
    </row>
    <row r="4368" customFormat="false" ht="15" hidden="false" customHeight="false" outlineLevel="0" collapsed="false">
      <c r="A4368" s="22" t="n">
        <v>103</v>
      </c>
      <c r="B4368" s="23" t="n">
        <v>46188</v>
      </c>
      <c r="C4368" s="22" t="s">
        <v>242</v>
      </c>
      <c r="D4368" s="24" t="n">
        <v>56</v>
      </c>
    </row>
    <row r="4369" customFormat="false" ht="15" hidden="false" customHeight="false" outlineLevel="0" collapsed="false">
      <c r="A4369" s="22" t="n">
        <v>104</v>
      </c>
      <c r="B4369" s="23" t="n">
        <v>46195</v>
      </c>
      <c r="C4369" s="22" t="s">
        <v>242</v>
      </c>
      <c r="D4369" s="24" t="n">
        <v>47</v>
      </c>
    </row>
    <row r="4370" customFormat="false" ht="15" hidden="false" customHeight="false" outlineLevel="0" collapsed="false">
      <c r="A4370" s="22" t="n">
        <v>1</v>
      </c>
      <c r="B4370" s="23" t="n">
        <v>45474</v>
      </c>
      <c r="C4370" s="22" t="s">
        <v>244</v>
      </c>
      <c r="D4370" s="24" t="n">
        <v>107</v>
      </c>
    </row>
    <row r="4371" customFormat="false" ht="15" hidden="false" customHeight="false" outlineLevel="0" collapsed="false">
      <c r="A4371" s="22" t="n">
        <v>2</v>
      </c>
      <c r="B4371" s="23" t="n">
        <v>45481</v>
      </c>
      <c r="C4371" s="22" t="s">
        <v>244</v>
      </c>
      <c r="D4371" s="24" t="n">
        <v>79</v>
      </c>
    </row>
    <row r="4372" customFormat="false" ht="15" hidden="false" customHeight="false" outlineLevel="0" collapsed="false">
      <c r="A4372" s="22" t="n">
        <v>3</v>
      </c>
      <c r="B4372" s="23" t="n">
        <v>45488</v>
      </c>
      <c r="C4372" s="22" t="s">
        <v>244</v>
      </c>
      <c r="D4372" s="24" t="n">
        <v>97</v>
      </c>
    </row>
    <row r="4373" customFormat="false" ht="15" hidden="false" customHeight="false" outlineLevel="0" collapsed="false">
      <c r="A4373" s="22" t="n">
        <v>4</v>
      </c>
      <c r="B4373" s="23" t="n">
        <v>45495</v>
      </c>
      <c r="C4373" s="22" t="s">
        <v>244</v>
      </c>
      <c r="D4373" s="24" t="n">
        <v>58</v>
      </c>
    </row>
    <row r="4374" customFormat="false" ht="15" hidden="false" customHeight="false" outlineLevel="0" collapsed="false">
      <c r="A4374" s="22" t="n">
        <v>5</v>
      </c>
      <c r="B4374" s="23" t="n">
        <v>45502</v>
      </c>
      <c r="C4374" s="22" t="s">
        <v>244</v>
      </c>
      <c r="D4374" s="24" t="n">
        <v>79</v>
      </c>
    </row>
    <row r="4375" customFormat="false" ht="15" hidden="false" customHeight="false" outlineLevel="0" collapsed="false">
      <c r="A4375" s="22" t="n">
        <v>6</v>
      </c>
      <c r="B4375" s="23" t="n">
        <v>45509</v>
      </c>
      <c r="C4375" s="22" t="s">
        <v>244</v>
      </c>
      <c r="D4375" s="24" t="n">
        <v>100</v>
      </c>
    </row>
    <row r="4376" customFormat="false" ht="15" hidden="false" customHeight="false" outlineLevel="0" collapsed="false">
      <c r="A4376" s="22" t="n">
        <v>7</v>
      </c>
      <c r="B4376" s="23" t="n">
        <v>45516</v>
      </c>
      <c r="C4376" s="22" t="s">
        <v>244</v>
      </c>
      <c r="D4376" s="24" t="n">
        <v>85</v>
      </c>
    </row>
    <row r="4377" customFormat="false" ht="15" hidden="false" customHeight="false" outlineLevel="0" collapsed="false">
      <c r="A4377" s="22" t="n">
        <v>8</v>
      </c>
      <c r="B4377" s="23" t="n">
        <v>45523</v>
      </c>
      <c r="C4377" s="22" t="s">
        <v>244</v>
      </c>
      <c r="D4377" s="24" t="n">
        <v>92</v>
      </c>
    </row>
    <row r="4378" customFormat="false" ht="15" hidden="false" customHeight="false" outlineLevel="0" collapsed="false">
      <c r="A4378" s="22" t="n">
        <v>9</v>
      </c>
      <c r="B4378" s="23" t="n">
        <v>45530</v>
      </c>
      <c r="C4378" s="22" t="s">
        <v>244</v>
      </c>
      <c r="D4378" s="24" t="n">
        <v>69</v>
      </c>
    </row>
    <row r="4379" customFormat="false" ht="15" hidden="false" customHeight="false" outlineLevel="0" collapsed="false">
      <c r="A4379" s="22" t="n">
        <v>10</v>
      </c>
      <c r="B4379" s="23" t="n">
        <v>45537</v>
      </c>
      <c r="C4379" s="22" t="s">
        <v>244</v>
      </c>
      <c r="D4379" s="24" t="n">
        <v>108</v>
      </c>
    </row>
    <row r="4380" customFormat="false" ht="15" hidden="false" customHeight="false" outlineLevel="0" collapsed="false">
      <c r="A4380" s="22" t="n">
        <v>11</v>
      </c>
      <c r="B4380" s="23" t="n">
        <v>45544</v>
      </c>
      <c r="C4380" s="22" t="s">
        <v>244</v>
      </c>
      <c r="D4380" s="24" t="n">
        <v>96</v>
      </c>
    </row>
    <row r="4381" customFormat="false" ht="15" hidden="false" customHeight="false" outlineLevel="0" collapsed="false">
      <c r="A4381" s="22" t="n">
        <v>12</v>
      </c>
      <c r="B4381" s="23" t="n">
        <v>45551</v>
      </c>
      <c r="C4381" s="22" t="s">
        <v>244</v>
      </c>
      <c r="D4381" s="24" t="n">
        <v>88</v>
      </c>
    </row>
    <row r="4382" customFormat="false" ht="15" hidden="false" customHeight="false" outlineLevel="0" collapsed="false">
      <c r="A4382" s="22" t="n">
        <v>13</v>
      </c>
      <c r="B4382" s="23" t="n">
        <v>45558</v>
      </c>
      <c r="C4382" s="22" t="s">
        <v>244</v>
      </c>
      <c r="D4382" s="24" t="n">
        <v>93</v>
      </c>
    </row>
    <row r="4383" customFormat="false" ht="15" hidden="false" customHeight="false" outlineLevel="0" collapsed="false">
      <c r="A4383" s="22" t="n">
        <v>14</v>
      </c>
      <c r="B4383" s="23" t="n">
        <v>45565</v>
      </c>
      <c r="C4383" s="22" t="s">
        <v>244</v>
      </c>
      <c r="D4383" s="24" t="n">
        <v>91</v>
      </c>
    </row>
    <row r="4384" customFormat="false" ht="15" hidden="false" customHeight="false" outlineLevel="0" collapsed="false">
      <c r="A4384" s="22" t="n">
        <v>15</v>
      </c>
      <c r="B4384" s="23" t="n">
        <v>45572</v>
      </c>
      <c r="C4384" s="22" t="s">
        <v>244</v>
      </c>
      <c r="D4384" s="24" t="n">
        <v>104</v>
      </c>
    </row>
    <row r="4385" customFormat="false" ht="15" hidden="false" customHeight="false" outlineLevel="0" collapsed="false">
      <c r="A4385" s="22" t="n">
        <v>16</v>
      </c>
      <c r="B4385" s="23" t="n">
        <v>45579</v>
      </c>
      <c r="C4385" s="22" t="s">
        <v>244</v>
      </c>
      <c r="D4385" s="24" t="n">
        <v>89</v>
      </c>
    </row>
    <row r="4386" customFormat="false" ht="15" hidden="false" customHeight="false" outlineLevel="0" collapsed="false">
      <c r="A4386" s="22" t="n">
        <v>17</v>
      </c>
      <c r="B4386" s="23" t="n">
        <v>45586</v>
      </c>
      <c r="C4386" s="22" t="s">
        <v>244</v>
      </c>
      <c r="D4386" s="24" t="n">
        <v>68</v>
      </c>
    </row>
    <row r="4387" customFormat="false" ht="15" hidden="false" customHeight="false" outlineLevel="0" collapsed="false">
      <c r="A4387" s="22" t="n">
        <v>18</v>
      </c>
      <c r="B4387" s="23" t="n">
        <v>45593</v>
      </c>
      <c r="C4387" s="22" t="s">
        <v>244</v>
      </c>
      <c r="D4387" s="24" t="n">
        <v>82</v>
      </c>
    </row>
    <row r="4388" customFormat="false" ht="15" hidden="false" customHeight="false" outlineLevel="0" collapsed="false">
      <c r="A4388" s="22" t="n">
        <v>19</v>
      </c>
      <c r="B4388" s="23" t="n">
        <v>45600</v>
      </c>
      <c r="C4388" s="22" t="s">
        <v>244</v>
      </c>
      <c r="D4388" s="24" t="n">
        <v>100</v>
      </c>
    </row>
    <row r="4389" customFormat="false" ht="15" hidden="false" customHeight="false" outlineLevel="0" collapsed="false">
      <c r="A4389" s="22" t="n">
        <v>20</v>
      </c>
      <c r="B4389" s="23" t="n">
        <v>45607</v>
      </c>
      <c r="C4389" s="22" t="s">
        <v>244</v>
      </c>
      <c r="D4389" s="24" t="n">
        <v>91</v>
      </c>
    </row>
    <row r="4390" customFormat="false" ht="15" hidden="false" customHeight="false" outlineLevel="0" collapsed="false">
      <c r="A4390" s="22" t="n">
        <v>21</v>
      </c>
      <c r="B4390" s="23" t="n">
        <v>45614</v>
      </c>
      <c r="C4390" s="22" t="s">
        <v>244</v>
      </c>
      <c r="D4390" s="24" t="n">
        <v>79</v>
      </c>
    </row>
    <row r="4391" customFormat="false" ht="15" hidden="false" customHeight="false" outlineLevel="0" collapsed="false">
      <c r="A4391" s="22" t="n">
        <v>22</v>
      </c>
      <c r="B4391" s="23" t="n">
        <v>45621</v>
      </c>
      <c r="C4391" s="22" t="s">
        <v>244</v>
      </c>
      <c r="D4391" s="24" t="n">
        <v>90</v>
      </c>
    </row>
    <row r="4392" customFormat="false" ht="15" hidden="false" customHeight="false" outlineLevel="0" collapsed="false">
      <c r="A4392" s="22" t="n">
        <v>23</v>
      </c>
      <c r="B4392" s="23" t="n">
        <v>45628</v>
      </c>
      <c r="C4392" s="22" t="s">
        <v>244</v>
      </c>
      <c r="D4392" s="24" t="n">
        <v>84</v>
      </c>
    </row>
    <row r="4393" customFormat="false" ht="15" hidden="false" customHeight="false" outlineLevel="0" collapsed="false">
      <c r="A4393" s="22" t="n">
        <v>24</v>
      </c>
      <c r="B4393" s="23" t="n">
        <v>45635</v>
      </c>
      <c r="C4393" s="22" t="s">
        <v>244</v>
      </c>
      <c r="D4393" s="24" t="n">
        <v>89</v>
      </c>
    </row>
    <row r="4394" customFormat="false" ht="15" hidden="false" customHeight="false" outlineLevel="0" collapsed="false">
      <c r="A4394" s="22" t="n">
        <v>25</v>
      </c>
      <c r="B4394" s="23" t="n">
        <v>45642</v>
      </c>
      <c r="C4394" s="22" t="s">
        <v>244</v>
      </c>
      <c r="D4394" s="24" t="n">
        <v>64</v>
      </c>
    </row>
    <row r="4395" customFormat="false" ht="15" hidden="false" customHeight="false" outlineLevel="0" collapsed="false">
      <c r="A4395" s="22" t="n">
        <v>26</v>
      </c>
      <c r="B4395" s="23" t="n">
        <v>45649</v>
      </c>
      <c r="C4395" s="22" t="s">
        <v>244</v>
      </c>
      <c r="D4395" s="24" t="n">
        <v>71</v>
      </c>
    </row>
    <row r="4396" customFormat="false" ht="15" hidden="false" customHeight="false" outlineLevel="0" collapsed="false">
      <c r="A4396" s="22" t="n">
        <v>27</v>
      </c>
      <c r="B4396" s="23" t="n">
        <v>45656</v>
      </c>
      <c r="C4396" s="22" t="s">
        <v>244</v>
      </c>
      <c r="D4396" s="24" t="n">
        <v>88</v>
      </c>
    </row>
    <row r="4397" customFormat="false" ht="15" hidden="false" customHeight="false" outlineLevel="0" collapsed="false">
      <c r="A4397" s="22" t="n">
        <v>28</v>
      </c>
      <c r="B4397" s="23" t="n">
        <v>45663</v>
      </c>
      <c r="C4397" s="22" t="s">
        <v>244</v>
      </c>
      <c r="D4397" s="24" t="n">
        <v>78</v>
      </c>
    </row>
    <row r="4398" customFormat="false" ht="15" hidden="false" customHeight="false" outlineLevel="0" collapsed="false">
      <c r="A4398" s="22" t="n">
        <v>29</v>
      </c>
      <c r="B4398" s="23" t="n">
        <v>45670</v>
      </c>
      <c r="C4398" s="22" t="s">
        <v>244</v>
      </c>
      <c r="D4398" s="24" t="n">
        <v>84</v>
      </c>
    </row>
    <row r="4399" customFormat="false" ht="15" hidden="false" customHeight="false" outlineLevel="0" collapsed="false">
      <c r="A4399" s="22" t="n">
        <v>30</v>
      </c>
      <c r="B4399" s="23" t="n">
        <v>45677</v>
      </c>
      <c r="C4399" s="22" t="s">
        <v>244</v>
      </c>
      <c r="D4399" s="24" t="n">
        <v>101</v>
      </c>
    </row>
    <row r="4400" customFormat="false" ht="15" hidden="false" customHeight="false" outlineLevel="0" collapsed="false">
      <c r="A4400" s="22" t="n">
        <v>31</v>
      </c>
      <c r="B4400" s="23" t="n">
        <v>45684</v>
      </c>
      <c r="C4400" s="22" t="s">
        <v>244</v>
      </c>
      <c r="D4400" s="24" t="n">
        <v>76</v>
      </c>
    </row>
    <row r="4401" customFormat="false" ht="15" hidden="false" customHeight="false" outlineLevel="0" collapsed="false">
      <c r="A4401" s="22" t="n">
        <v>32</v>
      </c>
      <c r="B4401" s="23" t="n">
        <v>45691</v>
      </c>
      <c r="C4401" s="22" t="s">
        <v>244</v>
      </c>
      <c r="D4401" s="24" t="n">
        <v>81</v>
      </c>
    </row>
    <row r="4402" customFormat="false" ht="15" hidden="false" customHeight="false" outlineLevel="0" collapsed="false">
      <c r="A4402" s="22" t="n">
        <v>33</v>
      </c>
      <c r="B4402" s="23" t="n">
        <v>45698</v>
      </c>
      <c r="C4402" s="22" t="s">
        <v>244</v>
      </c>
      <c r="D4402" s="24" t="n">
        <v>72</v>
      </c>
    </row>
    <row r="4403" customFormat="false" ht="15" hidden="false" customHeight="false" outlineLevel="0" collapsed="false">
      <c r="A4403" s="22" t="n">
        <v>34</v>
      </c>
      <c r="B4403" s="23" t="n">
        <v>45705</v>
      </c>
      <c r="C4403" s="22" t="s">
        <v>244</v>
      </c>
      <c r="D4403" s="24" t="n">
        <v>71</v>
      </c>
    </row>
    <row r="4404" customFormat="false" ht="15" hidden="false" customHeight="false" outlineLevel="0" collapsed="false">
      <c r="A4404" s="22" t="n">
        <v>35</v>
      </c>
      <c r="B4404" s="23" t="n">
        <v>45712</v>
      </c>
      <c r="C4404" s="22" t="s">
        <v>244</v>
      </c>
      <c r="D4404" s="24" t="n">
        <v>76</v>
      </c>
    </row>
    <row r="4405" customFormat="false" ht="15" hidden="false" customHeight="false" outlineLevel="0" collapsed="false">
      <c r="A4405" s="22" t="n">
        <v>36</v>
      </c>
      <c r="B4405" s="23" t="n">
        <v>45719</v>
      </c>
      <c r="C4405" s="22" t="s">
        <v>244</v>
      </c>
      <c r="D4405" s="24" t="n">
        <v>61</v>
      </c>
    </row>
    <row r="4406" customFormat="false" ht="15" hidden="false" customHeight="false" outlineLevel="0" collapsed="false">
      <c r="A4406" s="22" t="n">
        <v>37</v>
      </c>
      <c r="B4406" s="23" t="n">
        <v>45726</v>
      </c>
      <c r="C4406" s="22" t="s">
        <v>244</v>
      </c>
      <c r="D4406" s="24" t="n">
        <v>54</v>
      </c>
    </row>
    <row r="4407" customFormat="false" ht="15" hidden="false" customHeight="false" outlineLevel="0" collapsed="false">
      <c r="A4407" s="22" t="n">
        <v>38</v>
      </c>
      <c r="B4407" s="23" t="n">
        <v>45733</v>
      </c>
      <c r="C4407" s="22" t="s">
        <v>244</v>
      </c>
      <c r="D4407" s="24" t="n">
        <v>90</v>
      </c>
    </row>
    <row r="4408" customFormat="false" ht="15" hidden="false" customHeight="false" outlineLevel="0" collapsed="false">
      <c r="A4408" s="22" t="n">
        <v>39</v>
      </c>
      <c r="B4408" s="23" t="n">
        <v>45740</v>
      </c>
      <c r="C4408" s="22" t="s">
        <v>244</v>
      </c>
      <c r="D4408" s="24" t="n">
        <v>74</v>
      </c>
    </row>
    <row r="4409" customFormat="false" ht="15" hidden="false" customHeight="false" outlineLevel="0" collapsed="false">
      <c r="A4409" s="22" t="n">
        <v>40</v>
      </c>
      <c r="B4409" s="23" t="n">
        <v>45747</v>
      </c>
      <c r="C4409" s="22" t="s">
        <v>244</v>
      </c>
      <c r="D4409" s="24" t="n">
        <v>87</v>
      </c>
    </row>
    <row r="4410" customFormat="false" ht="15" hidden="false" customHeight="false" outlineLevel="0" collapsed="false">
      <c r="A4410" s="22" t="n">
        <v>41</v>
      </c>
      <c r="B4410" s="23" t="n">
        <v>45754</v>
      </c>
      <c r="C4410" s="22" t="s">
        <v>244</v>
      </c>
      <c r="D4410" s="24" t="n">
        <v>76</v>
      </c>
    </row>
    <row r="4411" customFormat="false" ht="15" hidden="false" customHeight="false" outlineLevel="0" collapsed="false">
      <c r="A4411" s="22" t="n">
        <v>42</v>
      </c>
      <c r="B4411" s="23" t="n">
        <v>45761</v>
      </c>
      <c r="C4411" s="22" t="s">
        <v>244</v>
      </c>
      <c r="D4411" s="24" t="n">
        <v>75</v>
      </c>
    </row>
    <row r="4412" customFormat="false" ht="15" hidden="false" customHeight="false" outlineLevel="0" collapsed="false">
      <c r="A4412" s="22" t="n">
        <v>43</v>
      </c>
      <c r="B4412" s="23" t="n">
        <v>45768</v>
      </c>
      <c r="C4412" s="22" t="s">
        <v>244</v>
      </c>
      <c r="D4412" s="24" t="n">
        <v>80</v>
      </c>
    </row>
    <row r="4413" customFormat="false" ht="15" hidden="false" customHeight="false" outlineLevel="0" collapsed="false">
      <c r="A4413" s="22" t="n">
        <v>44</v>
      </c>
      <c r="B4413" s="23" t="n">
        <v>45775</v>
      </c>
      <c r="C4413" s="22" t="s">
        <v>244</v>
      </c>
      <c r="D4413" s="24" t="n">
        <v>80</v>
      </c>
    </row>
    <row r="4414" customFormat="false" ht="15" hidden="false" customHeight="false" outlineLevel="0" collapsed="false">
      <c r="A4414" s="22" t="n">
        <v>45</v>
      </c>
      <c r="B4414" s="23" t="n">
        <v>45782</v>
      </c>
      <c r="C4414" s="22" t="s">
        <v>244</v>
      </c>
      <c r="D4414" s="24" t="n">
        <v>60</v>
      </c>
    </row>
    <row r="4415" customFormat="false" ht="15" hidden="false" customHeight="false" outlineLevel="0" collapsed="false">
      <c r="A4415" s="22" t="n">
        <v>46</v>
      </c>
      <c r="B4415" s="23" t="n">
        <v>45789</v>
      </c>
      <c r="C4415" s="22" t="s">
        <v>244</v>
      </c>
      <c r="D4415" s="24" t="n">
        <v>84</v>
      </c>
    </row>
    <row r="4416" customFormat="false" ht="15" hidden="false" customHeight="false" outlineLevel="0" collapsed="false">
      <c r="A4416" s="22" t="n">
        <v>47</v>
      </c>
      <c r="B4416" s="23" t="n">
        <v>45796</v>
      </c>
      <c r="C4416" s="22" t="s">
        <v>244</v>
      </c>
      <c r="D4416" s="24" t="n">
        <v>62</v>
      </c>
    </row>
    <row r="4417" customFormat="false" ht="15" hidden="false" customHeight="false" outlineLevel="0" collapsed="false">
      <c r="A4417" s="22" t="n">
        <v>48</v>
      </c>
      <c r="B4417" s="23" t="n">
        <v>45803</v>
      </c>
      <c r="C4417" s="22" t="s">
        <v>244</v>
      </c>
      <c r="D4417" s="24" t="n">
        <v>73</v>
      </c>
    </row>
    <row r="4418" customFormat="false" ht="15" hidden="false" customHeight="false" outlineLevel="0" collapsed="false">
      <c r="A4418" s="22" t="n">
        <v>49</v>
      </c>
      <c r="B4418" s="23" t="n">
        <v>45810</v>
      </c>
      <c r="C4418" s="22" t="s">
        <v>244</v>
      </c>
      <c r="D4418" s="24" t="n">
        <v>96</v>
      </c>
    </row>
    <row r="4419" customFormat="false" ht="15" hidden="false" customHeight="false" outlineLevel="0" collapsed="false">
      <c r="A4419" s="22" t="n">
        <v>50</v>
      </c>
      <c r="B4419" s="23" t="n">
        <v>45817</v>
      </c>
      <c r="C4419" s="22" t="s">
        <v>244</v>
      </c>
      <c r="D4419" s="24" t="n">
        <v>71</v>
      </c>
    </row>
    <row r="4420" customFormat="false" ht="15" hidden="false" customHeight="false" outlineLevel="0" collapsed="false">
      <c r="A4420" s="22" t="n">
        <v>51</v>
      </c>
      <c r="B4420" s="23" t="n">
        <v>45824</v>
      </c>
      <c r="C4420" s="22" t="s">
        <v>244</v>
      </c>
      <c r="D4420" s="24" t="n">
        <v>86</v>
      </c>
    </row>
    <row r="4421" customFormat="false" ht="15" hidden="false" customHeight="false" outlineLevel="0" collapsed="false">
      <c r="A4421" s="22" t="n">
        <v>52</v>
      </c>
      <c r="B4421" s="23" t="n">
        <v>45831</v>
      </c>
      <c r="C4421" s="22" t="s">
        <v>244</v>
      </c>
      <c r="D4421" s="24" t="n">
        <v>66</v>
      </c>
    </row>
    <row r="4422" customFormat="false" ht="15" hidden="false" customHeight="false" outlineLevel="0" collapsed="false">
      <c r="A4422" s="22" t="n">
        <v>53</v>
      </c>
      <c r="B4422" s="23" t="n">
        <v>45838</v>
      </c>
      <c r="C4422" s="22" t="s">
        <v>244</v>
      </c>
      <c r="D4422" s="24" t="n">
        <v>75</v>
      </c>
    </row>
    <row r="4423" customFormat="false" ht="15" hidden="false" customHeight="false" outlineLevel="0" collapsed="false">
      <c r="A4423" s="22" t="n">
        <v>54</v>
      </c>
      <c r="B4423" s="23" t="n">
        <v>45845</v>
      </c>
      <c r="C4423" s="22" t="s">
        <v>244</v>
      </c>
      <c r="D4423" s="24" t="n">
        <v>69</v>
      </c>
    </row>
    <row r="4424" customFormat="false" ht="15" hidden="false" customHeight="false" outlineLevel="0" collapsed="false">
      <c r="A4424" s="22" t="n">
        <v>55</v>
      </c>
      <c r="B4424" s="23" t="n">
        <v>45852</v>
      </c>
      <c r="C4424" s="22" t="s">
        <v>244</v>
      </c>
      <c r="D4424" s="24" t="n">
        <v>72</v>
      </c>
    </row>
    <row r="4425" customFormat="false" ht="15" hidden="false" customHeight="false" outlineLevel="0" collapsed="false">
      <c r="A4425" s="22" t="n">
        <v>56</v>
      </c>
      <c r="B4425" s="23" t="n">
        <v>45859</v>
      </c>
      <c r="C4425" s="22" t="s">
        <v>244</v>
      </c>
      <c r="D4425" s="24" t="n">
        <v>59</v>
      </c>
    </row>
    <row r="4426" customFormat="false" ht="15" hidden="false" customHeight="false" outlineLevel="0" collapsed="false">
      <c r="A4426" s="22" t="n">
        <v>57</v>
      </c>
      <c r="B4426" s="23" t="n">
        <v>45866</v>
      </c>
      <c r="C4426" s="22" t="s">
        <v>244</v>
      </c>
      <c r="D4426" s="24" t="n">
        <v>58</v>
      </c>
    </row>
    <row r="4427" customFormat="false" ht="15" hidden="false" customHeight="false" outlineLevel="0" collapsed="false">
      <c r="A4427" s="22" t="n">
        <v>58</v>
      </c>
      <c r="B4427" s="23" t="n">
        <v>45873</v>
      </c>
      <c r="C4427" s="22" t="s">
        <v>244</v>
      </c>
      <c r="D4427" s="24" t="n">
        <v>70</v>
      </c>
    </row>
    <row r="4428" customFormat="false" ht="15" hidden="false" customHeight="false" outlineLevel="0" collapsed="false">
      <c r="A4428" s="22" t="n">
        <v>59</v>
      </c>
      <c r="B4428" s="23" t="n">
        <v>45880</v>
      </c>
      <c r="C4428" s="22" t="s">
        <v>244</v>
      </c>
      <c r="D4428" s="24" t="n">
        <v>52</v>
      </c>
    </row>
    <row r="4429" customFormat="false" ht="15" hidden="false" customHeight="false" outlineLevel="0" collapsed="false">
      <c r="A4429" s="22" t="n">
        <v>60</v>
      </c>
      <c r="B4429" s="23" t="n">
        <v>45887</v>
      </c>
      <c r="C4429" s="22" t="s">
        <v>244</v>
      </c>
      <c r="D4429" s="24" t="n">
        <v>58</v>
      </c>
    </row>
    <row r="4430" customFormat="false" ht="15" hidden="false" customHeight="false" outlineLevel="0" collapsed="false">
      <c r="A4430" s="22" t="n">
        <v>61</v>
      </c>
      <c r="B4430" s="23" t="n">
        <v>45894</v>
      </c>
      <c r="C4430" s="22" t="s">
        <v>244</v>
      </c>
      <c r="D4430" s="24" t="n">
        <v>71</v>
      </c>
    </row>
    <row r="4431" customFormat="false" ht="15" hidden="false" customHeight="false" outlineLevel="0" collapsed="false">
      <c r="A4431" s="22" t="n">
        <v>62</v>
      </c>
      <c r="B4431" s="23" t="n">
        <v>45901</v>
      </c>
      <c r="C4431" s="22" t="s">
        <v>244</v>
      </c>
      <c r="D4431" s="24" t="n">
        <v>59</v>
      </c>
    </row>
    <row r="4432" customFormat="false" ht="15" hidden="false" customHeight="false" outlineLevel="0" collapsed="false">
      <c r="A4432" s="22" t="n">
        <v>63</v>
      </c>
      <c r="B4432" s="23" t="n">
        <v>45908</v>
      </c>
      <c r="C4432" s="22" t="s">
        <v>244</v>
      </c>
      <c r="D4432" s="24" t="n">
        <v>56</v>
      </c>
    </row>
    <row r="4433" customFormat="false" ht="15" hidden="false" customHeight="false" outlineLevel="0" collapsed="false">
      <c r="A4433" s="22" t="n">
        <v>64</v>
      </c>
      <c r="B4433" s="23" t="n">
        <v>45915</v>
      </c>
      <c r="C4433" s="22" t="s">
        <v>244</v>
      </c>
      <c r="D4433" s="24" t="n">
        <v>54</v>
      </c>
    </row>
    <row r="4434" customFormat="false" ht="15" hidden="false" customHeight="false" outlineLevel="0" collapsed="false">
      <c r="A4434" s="22" t="n">
        <v>65</v>
      </c>
      <c r="B4434" s="23" t="n">
        <v>45922</v>
      </c>
      <c r="C4434" s="22" t="s">
        <v>244</v>
      </c>
      <c r="D4434" s="24" t="n">
        <v>64</v>
      </c>
    </row>
    <row r="4435" customFormat="false" ht="15" hidden="false" customHeight="false" outlineLevel="0" collapsed="false">
      <c r="A4435" s="22" t="n">
        <v>66</v>
      </c>
      <c r="B4435" s="23" t="n">
        <v>45929</v>
      </c>
      <c r="C4435" s="22" t="s">
        <v>244</v>
      </c>
      <c r="D4435" s="24" t="n">
        <v>60</v>
      </c>
    </row>
    <row r="4436" customFormat="false" ht="15" hidden="false" customHeight="false" outlineLevel="0" collapsed="false">
      <c r="A4436" s="22" t="n">
        <v>67</v>
      </c>
      <c r="B4436" s="23" t="n">
        <v>45936</v>
      </c>
      <c r="C4436" s="22" t="s">
        <v>244</v>
      </c>
      <c r="D4436" s="24" t="n">
        <v>64</v>
      </c>
    </row>
    <row r="4437" customFormat="false" ht="15" hidden="false" customHeight="false" outlineLevel="0" collapsed="false">
      <c r="A4437" s="22" t="n">
        <v>68</v>
      </c>
      <c r="B4437" s="23" t="n">
        <v>45943</v>
      </c>
      <c r="C4437" s="22" t="s">
        <v>244</v>
      </c>
      <c r="D4437" s="24" t="n">
        <v>60</v>
      </c>
    </row>
    <row r="4438" customFormat="false" ht="15" hidden="false" customHeight="false" outlineLevel="0" collapsed="false">
      <c r="A4438" s="22" t="n">
        <v>69</v>
      </c>
      <c r="B4438" s="23" t="n">
        <v>45950</v>
      </c>
      <c r="C4438" s="22" t="s">
        <v>244</v>
      </c>
      <c r="D4438" s="24" t="n">
        <v>77</v>
      </c>
    </row>
    <row r="4439" customFormat="false" ht="15" hidden="false" customHeight="false" outlineLevel="0" collapsed="false">
      <c r="A4439" s="22" t="n">
        <v>70</v>
      </c>
      <c r="B4439" s="23" t="n">
        <v>45957</v>
      </c>
      <c r="C4439" s="22" t="s">
        <v>244</v>
      </c>
      <c r="D4439" s="24" t="n">
        <v>57</v>
      </c>
    </row>
    <row r="4440" customFormat="false" ht="15" hidden="false" customHeight="false" outlineLevel="0" collapsed="false">
      <c r="A4440" s="22" t="n">
        <v>71</v>
      </c>
      <c r="B4440" s="23" t="n">
        <v>45964</v>
      </c>
      <c r="C4440" s="22" t="s">
        <v>244</v>
      </c>
      <c r="D4440" s="24" t="n">
        <v>44</v>
      </c>
    </row>
    <row r="4441" customFormat="false" ht="15" hidden="false" customHeight="false" outlineLevel="0" collapsed="false">
      <c r="A4441" s="22" t="n">
        <v>72</v>
      </c>
      <c r="B4441" s="23" t="n">
        <v>45971</v>
      </c>
      <c r="C4441" s="22" t="s">
        <v>244</v>
      </c>
      <c r="D4441" s="24" t="n">
        <v>61</v>
      </c>
    </row>
    <row r="4442" customFormat="false" ht="15" hidden="false" customHeight="false" outlineLevel="0" collapsed="false">
      <c r="A4442" s="22" t="n">
        <v>73</v>
      </c>
      <c r="B4442" s="23" t="n">
        <v>45978</v>
      </c>
      <c r="C4442" s="22" t="s">
        <v>244</v>
      </c>
      <c r="D4442" s="24" t="n">
        <v>59</v>
      </c>
    </row>
    <row r="4443" customFormat="false" ht="15" hidden="false" customHeight="false" outlineLevel="0" collapsed="false">
      <c r="A4443" s="22" t="n">
        <v>74</v>
      </c>
      <c r="B4443" s="23" t="n">
        <v>45985</v>
      </c>
      <c r="C4443" s="22" t="s">
        <v>244</v>
      </c>
      <c r="D4443" s="24" t="n">
        <v>60</v>
      </c>
    </row>
    <row r="4444" customFormat="false" ht="15" hidden="false" customHeight="false" outlineLevel="0" collapsed="false">
      <c r="A4444" s="22" t="n">
        <v>75</v>
      </c>
      <c r="B4444" s="23" t="n">
        <v>45992</v>
      </c>
      <c r="C4444" s="22" t="s">
        <v>244</v>
      </c>
      <c r="D4444" s="24" t="n">
        <v>45</v>
      </c>
    </row>
    <row r="4445" customFormat="false" ht="15" hidden="false" customHeight="false" outlineLevel="0" collapsed="false">
      <c r="A4445" s="22" t="n">
        <v>76</v>
      </c>
      <c r="B4445" s="23" t="n">
        <v>45999</v>
      </c>
      <c r="C4445" s="22" t="s">
        <v>244</v>
      </c>
      <c r="D4445" s="24" t="n">
        <v>67</v>
      </c>
    </row>
    <row r="4446" customFormat="false" ht="15" hidden="false" customHeight="false" outlineLevel="0" collapsed="false">
      <c r="A4446" s="22" t="n">
        <v>77</v>
      </c>
      <c r="B4446" s="23" t="n">
        <v>46006</v>
      </c>
      <c r="C4446" s="22" t="s">
        <v>244</v>
      </c>
      <c r="D4446" s="24" t="n">
        <v>57</v>
      </c>
    </row>
    <row r="4447" customFormat="false" ht="15" hidden="false" customHeight="false" outlineLevel="0" collapsed="false">
      <c r="A4447" s="22" t="n">
        <v>78</v>
      </c>
      <c r="B4447" s="23" t="n">
        <v>46013</v>
      </c>
      <c r="C4447" s="22" t="s">
        <v>244</v>
      </c>
      <c r="D4447" s="24" t="n">
        <v>57</v>
      </c>
    </row>
    <row r="4448" customFormat="false" ht="15" hidden="false" customHeight="false" outlineLevel="0" collapsed="false">
      <c r="A4448" s="22" t="n">
        <v>79</v>
      </c>
      <c r="B4448" s="23" t="n">
        <v>46020</v>
      </c>
      <c r="C4448" s="22" t="s">
        <v>244</v>
      </c>
      <c r="D4448" s="24" t="n">
        <v>44</v>
      </c>
    </row>
    <row r="4449" customFormat="false" ht="15" hidden="false" customHeight="false" outlineLevel="0" collapsed="false">
      <c r="A4449" s="22" t="n">
        <v>80</v>
      </c>
      <c r="B4449" s="23" t="n">
        <v>46027</v>
      </c>
      <c r="C4449" s="22" t="s">
        <v>244</v>
      </c>
      <c r="D4449" s="24" t="n">
        <v>60</v>
      </c>
    </row>
    <row r="4450" customFormat="false" ht="15" hidden="false" customHeight="false" outlineLevel="0" collapsed="false">
      <c r="A4450" s="22" t="n">
        <v>81</v>
      </c>
      <c r="B4450" s="23" t="n">
        <v>46034</v>
      </c>
      <c r="C4450" s="22" t="s">
        <v>244</v>
      </c>
      <c r="D4450" s="24" t="n">
        <v>55</v>
      </c>
    </row>
    <row r="4451" customFormat="false" ht="15" hidden="false" customHeight="false" outlineLevel="0" collapsed="false">
      <c r="A4451" s="22" t="n">
        <v>82</v>
      </c>
      <c r="B4451" s="23" t="n">
        <v>46041</v>
      </c>
      <c r="C4451" s="22" t="s">
        <v>244</v>
      </c>
      <c r="D4451" s="24" t="n">
        <v>66</v>
      </c>
    </row>
    <row r="4452" customFormat="false" ht="15" hidden="false" customHeight="false" outlineLevel="0" collapsed="false">
      <c r="A4452" s="22" t="n">
        <v>83</v>
      </c>
      <c r="B4452" s="23" t="n">
        <v>46048</v>
      </c>
      <c r="C4452" s="22" t="s">
        <v>244</v>
      </c>
      <c r="D4452" s="24" t="n">
        <v>52</v>
      </c>
    </row>
    <row r="4453" customFormat="false" ht="15" hidden="false" customHeight="false" outlineLevel="0" collapsed="false">
      <c r="A4453" s="22" t="n">
        <v>84</v>
      </c>
      <c r="B4453" s="23" t="n">
        <v>46055</v>
      </c>
      <c r="C4453" s="22" t="s">
        <v>244</v>
      </c>
      <c r="D4453" s="24" t="n">
        <v>45</v>
      </c>
    </row>
    <row r="4454" customFormat="false" ht="15" hidden="false" customHeight="false" outlineLevel="0" collapsed="false">
      <c r="A4454" s="22" t="n">
        <v>85</v>
      </c>
      <c r="B4454" s="23" t="n">
        <v>46062</v>
      </c>
      <c r="C4454" s="22" t="s">
        <v>244</v>
      </c>
      <c r="D4454" s="24" t="n">
        <v>55</v>
      </c>
    </row>
    <row r="4455" customFormat="false" ht="15" hidden="false" customHeight="false" outlineLevel="0" collapsed="false">
      <c r="A4455" s="22" t="n">
        <v>86</v>
      </c>
      <c r="B4455" s="23" t="n">
        <v>46069</v>
      </c>
      <c r="C4455" s="22" t="s">
        <v>244</v>
      </c>
      <c r="D4455" s="24" t="n">
        <v>47</v>
      </c>
    </row>
    <row r="4456" customFormat="false" ht="15" hidden="false" customHeight="false" outlineLevel="0" collapsed="false">
      <c r="A4456" s="22" t="n">
        <v>87</v>
      </c>
      <c r="B4456" s="23" t="n">
        <v>46076</v>
      </c>
      <c r="C4456" s="22" t="s">
        <v>244</v>
      </c>
      <c r="D4456" s="24" t="n">
        <v>56</v>
      </c>
    </row>
    <row r="4457" customFormat="false" ht="15" hidden="false" customHeight="false" outlineLevel="0" collapsed="false">
      <c r="A4457" s="22" t="n">
        <v>88</v>
      </c>
      <c r="B4457" s="23" t="n">
        <v>46083</v>
      </c>
      <c r="C4457" s="22" t="s">
        <v>244</v>
      </c>
      <c r="D4457" s="24" t="n">
        <v>45</v>
      </c>
    </row>
    <row r="4458" customFormat="false" ht="15" hidden="false" customHeight="false" outlineLevel="0" collapsed="false">
      <c r="A4458" s="22" t="n">
        <v>89</v>
      </c>
      <c r="B4458" s="23" t="n">
        <v>46090</v>
      </c>
      <c r="C4458" s="22" t="s">
        <v>244</v>
      </c>
      <c r="D4458" s="24" t="n">
        <v>51</v>
      </c>
    </row>
    <row r="4459" customFormat="false" ht="15" hidden="false" customHeight="false" outlineLevel="0" collapsed="false">
      <c r="A4459" s="22" t="n">
        <v>90</v>
      </c>
      <c r="B4459" s="23" t="n">
        <v>46097</v>
      </c>
      <c r="C4459" s="22" t="s">
        <v>244</v>
      </c>
      <c r="D4459" s="24" t="n">
        <v>50</v>
      </c>
    </row>
    <row r="4460" customFormat="false" ht="15" hidden="false" customHeight="false" outlineLevel="0" collapsed="false">
      <c r="A4460" s="22" t="n">
        <v>91</v>
      </c>
      <c r="B4460" s="23" t="n">
        <v>46104</v>
      </c>
      <c r="C4460" s="22" t="s">
        <v>244</v>
      </c>
      <c r="D4460" s="24" t="n">
        <v>51</v>
      </c>
    </row>
    <row r="4461" customFormat="false" ht="15" hidden="false" customHeight="false" outlineLevel="0" collapsed="false">
      <c r="A4461" s="22" t="n">
        <v>92</v>
      </c>
      <c r="B4461" s="23" t="n">
        <v>46111</v>
      </c>
      <c r="C4461" s="22" t="s">
        <v>244</v>
      </c>
      <c r="D4461" s="24" t="n">
        <v>47</v>
      </c>
    </row>
    <row r="4462" customFormat="false" ht="15" hidden="false" customHeight="false" outlineLevel="0" collapsed="false">
      <c r="A4462" s="22" t="n">
        <v>93</v>
      </c>
      <c r="B4462" s="23" t="n">
        <v>46118</v>
      </c>
      <c r="C4462" s="22" t="s">
        <v>244</v>
      </c>
      <c r="D4462" s="24" t="n">
        <v>44</v>
      </c>
    </row>
    <row r="4463" customFormat="false" ht="15" hidden="false" customHeight="false" outlineLevel="0" collapsed="false">
      <c r="A4463" s="22" t="n">
        <v>94</v>
      </c>
      <c r="B4463" s="23" t="n">
        <v>46125</v>
      </c>
      <c r="C4463" s="22" t="s">
        <v>244</v>
      </c>
      <c r="D4463" s="24" t="n">
        <v>49</v>
      </c>
    </row>
    <row r="4464" customFormat="false" ht="15" hidden="false" customHeight="false" outlineLevel="0" collapsed="false">
      <c r="A4464" s="22" t="n">
        <v>95</v>
      </c>
      <c r="B4464" s="23" t="n">
        <v>46132</v>
      </c>
      <c r="C4464" s="22" t="s">
        <v>244</v>
      </c>
      <c r="D4464" s="24" t="n">
        <v>45</v>
      </c>
    </row>
    <row r="4465" customFormat="false" ht="15" hidden="false" customHeight="false" outlineLevel="0" collapsed="false">
      <c r="A4465" s="22" t="n">
        <v>96</v>
      </c>
      <c r="B4465" s="23" t="n">
        <v>46139</v>
      </c>
      <c r="C4465" s="22" t="s">
        <v>244</v>
      </c>
      <c r="D4465" s="24" t="n">
        <v>50</v>
      </c>
    </row>
    <row r="4466" customFormat="false" ht="15" hidden="false" customHeight="false" outlineLevel="0" collapsed="false">
      <c r="A4466" s="22" t="n">
        <v>97</v>
      </c>
      <c r="B4466" s="23" t="n">
        <v>46146</v>
      </c>
      <c r="C4466" s="22" t="s">
        <v>244</v>
      </c>
      <c r="D4466" s="24" t="n">
        <v>46</v>
      </c>
    </row>
    <row r="4467" customFormat="false" ht="15" hidden="false" customHeight="false" outlineLevel="0" collapsed="false">
      <c r="A4467" s="22" t="n">
        <v>98</v>
      </c>
      <c r="B4467" s="23" t="n">
        <v>46153</v>
      </c>
      <c r="C4467" s="22" t="s">
        <v>244</v>
      </c>
      <c r="D4467" s="24" t="n">
        <v>33</v>
      </c>
    </row>
    <row r="4468" customFormat="false" ht="15" hidden="false" customHeight="false" outlineLevel="0" collapsed="false">
      <c r="A4468" s="22" t="n">
        <v>99</v>
      </c>
      <c r="B4468" s="23" t="n">
        <v>46160</v>
      </c>
      <c r="C4468" s="22" t="s">
        <v>244</v>
      </c>
      <c r="D4468" s="24" t="n">
        <v>47</v>
      </c>
    </row>
    <row r="4469" customFormat="false" ht="15" hidden="false" customHeight="false" outlineLevel="0" collapsed="false">
      <c r="A4469" s="22" t="n">
        <v>100</v>
      </c>
      <c r="B4469" s="23" t="n">
        <v>46167</v>
      </c>
      <c r="C4469" s="22" t="s">
        <v>244</v>
      </c>
      <c r="D4469" s="24" t="n">
        <v>56</v>
      </c>
    </row>
    <row r="4470" customFormat="false" ht="15" hidden="false" customHeight="false" outlineLevel="0" collapsed="false">
      <c r="A4470" s="22" t="n">
        <v>101</v>
      </c>
      <c r="B4470" s="23" t="n">
        <v>46174</v>
      </c>
      <c r="C4470" s="22" t="s">
        <v>244</v>
      </c>
      <c r="D4470" s="24" t="n">
        <v>48</v>
      </c>
    </row>
    <row r="4471" customFormat="false" ht="15" hidden="false" customHeight="false" outlineLevel="0" collapsed="false">
      <c r="A4471" s="22" t="n">
        <v>102</v>
      </c>
      <c r="B4471" s="23" t="n">
        <v>46181</v>
      </c>
      <c r="C4471" s="22" t="s">
        <v>244</v>
      </c>
      <c r="D4471" s="24" t="n">
        <v>50</v>
      </c>
    </row>
    <row r="4472" customFormat="false" ht="15" hidden="false" customHeight="false" outlineLevel="0" collapsed="false">
      <c r="A4472" s="22" t="n">
        <v>103</v>
      </c>
      <c r="B4472" s="23" t="n">
        <v>46188</v>
      </c>
      <c r="C4472" s="22" t="s">
        <v>244</v>
      </c>
      <c r="D4472" s="24" t="n">
        <v>48</v>
      </c>
    </row>
    <row r="4473" customFormat="false" ht="15" hidden="false" customHeight="false" outlineLevel="0" collapsed="false">
      <c r="A4473" s="22" t="n">
        <v>104</v>
      </c>
      <c r="B4473" s="23" t="n">
        <v>46195</v>
      </c>
      <c r="C4473" s="22" t="s">
        <v>244</v>
      </c>
      <c r="D4473" s="24" t="n">
        <v>42</v>
      </c>
    </row>
    <row r="4474" customFormat="false" ht="15" hidden="false" customHeight="false" outlineLevel="0" collapsed="false">
      <c r="A4474" s="22" t="n">
        <v>1</v>
      </c>
      <c r="B4474" s="23" t="n">
        <v>45474</v>
      </c>
      <c r="C4474" s="22" t="s">
        <v>246</v>
      </c>
      <c r="D4474" s="24" t="n">
        <v>79</v>
      </c>
    </row>
    <row r="4475" customFormat="false" ht="15" hidden="false" customHeight="false" outlineLevel="0" collapsed="false">
      <c r="A4475" s="22" t="n">
        <v>2</v>
      </c>
      <c r="B4475" s="23" t="n">
        <v>45481</v>
      </c>
      <c r="C4475" s="22" t="s">
        <v>246</v>
      </c>
      <c r="D4475" s="24" t="n">
        <v>83</v>
      </c>
    </row>
    <row r="4476" customFormat="false" ht="15" hidden="false" customHeight="false" outlineLevel="0" collapsed="false">
      <c r="A4476" s="22" t="n">
        <v>3</v>
      </c>
      <c r="B4476" s="23" t="n">
        <v>45488</v>
      </c>
      <c r="C4476" s="22" t="s">
        <v>246</v>
      </c>
      <c r="D4476" s="24" t="n">
        <v>74</v>
      </c>
    </row>
    <row r="4477" customFormat="false" ht="15" hidden="false" customHeight="false" outlineLevel="0" collapsed="false">
      <c r="A4477" s="22" t="n">
        <v>4</v>
      </c>
      <c r="B4477" s="23" t="n">
        <v>45495</v>
      </c>
      <c r="C4477" s="22" t="s">
        <v>246</v>
      </c>
      <c r="D4477" s="24" t="n">
        <v>71</v>
      </c>
    </row>
    <row r="4478" customFormat="false" ht="15" hidden="false" customHeight="false" outlineLevel="0" collapsed="false">
      <c r="A4478" s="22" t="n">
        <v>5</v>
      </c>
      <c r="B4478" s="23" t="n">
        <v>45502</v>
      </c>
      <c r="C4478" s="22" t="s">
        <v>246</v>
      </c>
      <c r="D4478" s="24" t="n">
        <v>71</v>
      </c>
    </row>
    <row r="4479" customFormat="false" ht="15" hidden="false" customHeight="false" outlineLevel="0" collapsed="false">
      <c r="A4479" s="22" t="n">
        <v>6</v>
      </c>
      <c r="B4479" s="23" t="n">
        <v>45509</v>
      </c>
      <c r="C4479" s="22" t="s">
        <v>246</v>
      </c>
      <c r="D4479" s="24" t="n">
        <v>63</v>
      </c>
    </row>
    <row r="4480" customFormat="false" ht="15" hidden="false" customHeight="false" outlineLevel="0" collapsed="false">
      <c r="A4480" s="22" t="n">
        <v>7</v>
      </c>
      <c r="B4480" s="23" t="n">
        <v>45516</v>
      </c>
      <c r="C4480" s="22" t="s">
        <v>246</v>
      </c>
      <c r="D4480" s="24" t="n">
        <v>68</v>
      </c>
    </row>
    <row r="4481" customFormat="false" ht="15" hidden="false" customHeight="false" outlineLevel="0" collapsed="false">
      <c r="A4481" s="22" t="n">
        <v>8</v>
      </c>
      <c r="B4481" s="23" t="n">
        <v>45523</v>
      </c>
      <c r="C4481" s="22" t="s">
        <v>246</v>
      </c>
      <c r="D4481" s="24" t="n">
        <v>63</v>
      </c>
    </row>
    <row r="4482" customFormat="false" ht="15" hidden="false" customHeight="false" outlineLevel="0" collapsed="false">
      <c r="A4482" s="22" t="n">
        <v>9</v>
      </c>
      <c r="B4482" s="23" t="n">
        <v>45530</v>
      </c>
      <c r="C4482" s="22" t="s">
        <v>246</v>
      </c>
      <c r="D4482" s="24" t="n">
        <v>69</v>
      </c>
    </row>
    <row r="4483" customFormat="false" ht="15" hidden="false" customHeight="false" outlineLevel="0" collapsed="false">
      <c r="A4483" s="22" t="n">
        <v>10</v>
      </c>
      <c r="B4483" s="23" t="n">
        <v>45537</v>
      </c>
      <c r="C4483" s="22" t="s">
        <v>246</v>
      </c>
      <c r="D4483" s="24" t="n">
        <v>45</v>
      </c>
    </row>
    <row r="4484" customFormat="false" ht="15" hidden="false" customHeight="false" outlineLevel="0" collapsed="false">
      <c r="A4484" s="22" t="n">
        <v>11</v>
      </c>
      <c r="B4484" s="23" t="n">
        <v>45544</v>
      </c>
      <c r="C4484" s="22" t="s">
        <v>246</v>
      </c>
      <c r="D4484" s="24" t="n">
        <v>51</v>
      </c>
    </row>
    <row r="4485" customFormat="false" ht="15" hidden="false" customHeight="false" outlineLevel="0" collapsed="false">
      <c r="A4485" s="22" t="n">
        <v>12</v>
      </c>
      <c r="B4485" s="23" t="n">
        <v>45551</v>
      </c>
      <c r="C4485" s="22" t="s">
        <v>246</v>
      </c>
      <c r="D4485" s="24" t="n">
        <v>74</v>
      </c>
    </row>
    <row r="4486" customFormat="false" ht="15" hidden="false" customHeight="false" outlineLevel="0" collapsed="false">
      <c r="A4486" s="22" t="n">
        <v>13</v>
      </c>
      <c r="B4486" s="23" t="n">
        <v>45558</v>
      </c>
      <c r="C4486" s="22" t="s">
        <v>246</v>
      </c>
      <c r="D4486" s="24" t="n">
        <v>57</v>
      </c>
    </row>
    <row r="4487" customFormat="false" ht="15" hidden="false" customHeight="false" outlineLevel="0" collapsed="false">
      <c r="A4487" s="22" t="n">
        <v>14</v>
      </c>
      <c r="B4487" s="23" t="n">
        <v>45565</v>
      </c>
      <c r="C4487" s="22" t="s">
        <v>246</v>
      </c>
      <c r="D4487" s="24" t="n">
        <v>17</v>
      </c>
    </row>
    <row r="4488" customFormat="false" ht="15" hidden="false" customHeight="false" outlineLevel="0" collapsed="false">
      <c r="A4488" s="22" t="n">
        <v>15</v>
      </c>
      <c r="B4488" s="23" t="n">
        <v>45572</v>
      </c>
      <c r="C4488" s="22" t="s">
        <v>246</v>
      </c>
      <c r="D4488" s="24" t="n">
        <v>65</v>
      </c>
    </row>
    <row r="4489" customFormat="false" ht="15" hidden="false" customHeight="false" outlineLevel="0" collapsed="false">
      <c r="A4489" s="22" t="n">
        <v>16</v>
      </c>
      <c r="B4489" s="23" t="n">
        <v>45579</v>
      </c>
      <c r="C4489" s="22" t="s">
        <v>246</v>
      </c>
      <c r="D4489" s="24" t="n">
        <v>20</v>
      </c>
    </row>
    <row r="4490" customFormat="false" ht="15" hidden="false" customHeight="false" outlineLevel="0" collapsed="false">
      <c r="A4490" s="22" t="n">
        <v>17</v>
      </c>
      <c r="B4490" s="23" t="n">
        <v>45586</v>
      </c>
      <c r="C4490" s="22" t="s">
        <v>246</v>
      </c>
      <c r="D4490" s="24" t="n">
        <v>99</v>
      </c>
    </row>
    <row r="4491" customFormat="false" ht="15" hidden="false" customHeight="false" outlineLevel="0" collapsed="false">
      <c r="A4491" s="22" t="n">
        <v>18</v>
      </c>
      <c r="B4491" s="23" t="n">
        <v>45593</v>
      </c>
      <c r="C4491" s="22" t="s">
        <v>246</v>
      </c>
      <c r="D4491" s="24" t="n">
        <v>77</v>
      </c>
    </row>
    <row r="4492" customFormat="false" ht="15" hidden="false" customHeight="false" outlineLevel="0" collapsed="false">
      <c r="A4492" s="22" t="n">
        <v>19</v>
      </c>
      <c r="B4492" s="23" t="n">
        <v>45600</v>
      </c>
      <c r="C4492" s="22" t="s">
        <v>246</v>
      </c>
      <c r="D4492" s="24" t="n">
        <v>76</v>
      </c>
    </row>
    <row r="4493" customFormat="false" ht="15" hidden="false" customHeight="false" outlineLevel="0" collapsed="false">
      <c r="A4493" s="22" t="n">
        <v>20</v>
      </c>
      <c r="B4493" s="23" t="n">
        <v>45607</v>
      </c>
      <c r="C4493" s="22" t="s">
        <v>246</v>
      </c>
      <c r="D4493" s="24" t="n">
        <v>51</v>
      </c>
    </row>
    <row r="4494" customFormat="false" ht="15" hidden="false" customHeight="false" outlineLevel="0" collapsed="false">
      <c r="A4494" s="22" t="n">
        <v>21</v>
      </c>
      <c r="B4494" s="23" t="n">
        <v>45614</v>
      </c>
      <c r="C4494" s="22" t="s">
        <v>246</v>
      </c>
      <c r="D4494" s="24" t="n">
        <v>42</v>
      </c>
    </row>
    <row r="4495" customFormat="false" ht="15" hidden="false" customHeight="false" outlineLevel="0" collapsed="false">
      <c r="A4495" s="22" t="n">
        <v>22</v>
      </c>
      <c r="B4495" s="23" t="n">
        <v>45621</v>
      </c>
      <c r="C4495" s="22" t="s">
        <v>246</v>
      </c>
      <c r="D4495" s="24" t="n">
        <v>59</v>
      </c>
    </row>
    <row r="4496" customFormat="false" ht="15" hidden="false" customHeight="false" outlineLevel="0" collapsed="false">
      <c r="A4496" s="22" t="n">
        <v>23</v>
      </c>
      <c r="B4496" s="23" t="n">
        <v>45628</v>
      </c>
      <c r="C4496" s="22" t="s">
        <v>246</v>
      </c>
      <c r="D4496" s="24" t="n">
        <v>64</v>
      </c>
    </row>
    <row r="4497" customFormat="false" ht="15" hidden="false" customHeight="false" outlineLevel="0" collapsed="false">
      <c r="A4497" s="22" t="n">
        <v>24</v>
      </c>
      <c r="B4497" s="23" t="n">
        <v>45635</v>
      </c>
      <c r="C4497" s="22" t="s">
        <v>246</v>
      </c>
      <c r="D4497" s="24" t="n">
        <v>49</v>
      </c>
    </row>
    <row r="4498" customFormat="false" ht="15" hidden="false" customHeight="false" outlineLevel="0" collapsed="false">
      <c r="A4498" s="22" t="n">
        <v>25</v>
      </c>
      <c r="B4498" s="23" t="n">
        <v>45642</v>
      </c>
      <c r="C4498" s="22" t="s">
        <v>246</v>
      </c>
      <c r="D4498" s="24" t="n">
        <v>66</v>
      </c>
    </row>
    <row r="4499" customFormat="false" ht="15" hidden="false" customHeight="false" outlineLevel="0" collapsed="false">
      <c r="A4499" s="22" t="n">
        <v>26</v>
      </c>
      <c r="B4499" s="23" t="n">
        <v>45649</v>
      </c>
      <c r="C4499" s="22" t="s">
        <v>246</v>
      </c>
      <c r="D4499" s="24" t="n">
        <v>76</v>
      </c>
    </row>
    <row r="4500" customFormat="false" ht="15" hidden="false" customHeight="false" outlineLevel="0" collapsed="false">
      <c r="A4500" s="22" t="n">
        <v>27</v>
      </c>
      <c r="B4500" s="23" t="n">
        <v>45656</v>
      </c>
      <c r="C4500" s="22" t="s">
        <v>246</v>
      </c>
      <c r="D4500" s="24" t="n">
        <v>74</v>
      </c>
    </row>
    <row r="4501" customFormat="false" ht="15" hidden="false" customHeight="false" outlineLevel="0" collapsed="false">
      <c r="A4501" s="22" t="n">
        <v>28</v>
      </c>
      <c r="B4501" s="23" t="n">
        <v>45663</v>
      </c>
      <c r="C4501" s="22" t="s">
        <v>246</v>
      </c>
      <c r="D4501" s="24" t="n">
        <v>44</v>
      </c>
    </row>
    <row r="4502" customFormat="false" ht="15" hidden="false" customHeight="false" outlineLevel="0" collapsed="false">
      <c r="A4502" s="22" t="n">
        <v>29</v>
      </c>
      <c r="B4502" s="23" t="n">
        <v>45670</v>
      </c>
      <c r="C4502" s="22" t="s">
        <v>246</v>
      </c>
      <c r="D4502" s="24" t="n">
        <v>22</v>
      </c>
    </row>
    <row r="4503" customFormat="false" ht="15" hidden="false" customHeight="false" outlineLevel="0" collapsed="false">
      <c r="A4503" s="22" t="n">
        <v>30</v>
      </c>
      <c r="B4503" s="23" t="n">
        <v>45677</v>
      </c>
      <c r="C4503" s="22" t="s">
        <v>246</v>
      </c>
      <c r="D4503" s="24" t="n">
        <v>63</v>
      </c>
    </row>
    <row r="4504" customFormat="false" ht="15" hidden="false" customHeight="false" outlineLevel="0" collapsed="false">
      <c r="A4504" s="22" t="n">
        <v>31</v>
      </c>
      <c r="B4504" s="23" t="n">
        <v>45684</v>
      </c>
      <c r="C4504" s="22" t="s">
        <v>246</v>
      </c>
      <c r="D4504" s="24" t="n">
        <v>51</v>
      </c>
    </row>
    <row r="4505" customFormat="false" ht="15" hidden="false" customHeight="false" outlineLevel="0" collapsed="false">
      <c r="A4505" s="22" t="n">
        <v>32</v>
      </c>
      <c r="B4505" s="23" t="n">
        <v>45691</v>
      </c>
      <c r="C4505" s="22" t="s">
        <v>246</v>
      </c>
      <c r="D4505" s="24" t="n">
        <v>72</v>
      </c>
    </row>
    <row r="4506" customFormat="false" ht="15" hidden="false" customHeight="false" outlineLevel="0" collapsed="false">
      <c r="A4506" s="22" t="n">
        <v>33</v>
      </c>
      <c r="B4506" s="23" t="n">
        <v>45698</v>
      </c>
      <c r="C4506" s="22" t="s">
        <v>246</v>
      </c>
      <c r="D4506" s="24" t="n">
        <v>94</v>
      </c>
    </row>
    <row r="4507" customFormat="false" ht="15" hidden="false" customHeight="false" outlineLevel="0" collapsed="false">
      <c r="A4507" s="22" t="n">
        <v>34</v>
      </c>
      <c r="B4507" s="23" t="n">
        <v>45705</v>
      </c>
      <c r="C4507" s="22" t="s">
        <v>246</v>
      </c>
      <c r="D4507" s="24" t="n">
        <v>94</v>
      </c>
    </row>
    <row r="4508" customFormat="false" ht="15" hidden="false" customHeight="false" outlineLevel="0" collapsed="false">
      <c r="A4508" s="22" t="n">
        <v>35</v>
      </c>
      <c r="B4508" s="23" t="n">
        <v>45712</v>
      </c>
      <c r="C4508" s="22" t="s">
        <v>246</v>
      </c>
      <c r="D4508" s="24" t="n">
        <v>69</v>
      </c>
    </row>
    <row r="4509" customFormat="false" ht="15" hidden="false" customHeight="false" outlineLevel="0" collapsed="false">
      <c r="A4509" s="22" t="n">
        <v>36</v>
      </c>
      <c r="B4509" s="23" t="n">
        <v>45719</v>
      </c>
      <c r="C4509" s="22" t="s">
        <v>246</v>
      </c>
      <c r="D4509" s="24" t="n">
        <v>84</v>
      </c>
    </row>
    <row r="4510" customFormat="false" ht="15" hidden="false" customHeight="false" outlineLevel="0" collapsed="false">
      <c r="A4510" s="22" t="n">
        <v>37</v>
      </c>
      <c r="B4510" s="23" t="n">
        <v>45726</v>
      </c>
      <c r="C4510" s="22" t="s">
        <v>246</v>
      </c>
      <c r="D4510" s="24" t="n">
        <v>94</v>
      </c>
    </row>
    <row r="4511" customFormat="false" ht="15" hidden="false" customHeight="false" outlineLevel="0" collapsed="false">
      <c r="A4511" s="22" t="n">
        <v>38</v>
      </c>
      <c r="B4511" s="23" t="n">
        <v>45733</v>
      </c>
      <c r="C4511" s="22" t="s">
        <v>246</v>
      </c>
      <c r="D4511" s="24" t="n">
        <v>64</v>
      </c>
    </row>
    <row r="4512" customFormat="false" ht="15" hidden="false" customHeight="false" outlineLevel="0" collapsed="false">
      <c r="A4512" s="22" t="n">
        <v>39</v>
      </c>
      <c r="B4512" s="23" t="n">
        <v>45740</v>
      </c>
      <c r="C4512" s="22" t="s">
        <v>246</v>
      </c>
      <c r="D4512" s="24" t="n">
        <v>68</v>
      </c>
    </row>
    <row r="4513" customFormat="false" ht="15" hidden="false" customHeight="false" outlineLevel="0" collapsed="false">
      <c r="A4513" s="22" t="n">
        <v>40</v>
      </c>
      <c r="B4513" s="23" t="n">
        <v>45747</v>
      </c>
      <c r="C4513" s="22" t="s">
        <v>246</v>
      </c>
      <c r="D4513" s="24" t="n">
        <v>79</v>
      </c>
    </row>
    <row r="4514" customFormat="false" ht="15" hidden="false" customHeight="false" outlineLevel="0" collapsed="false">
      <c r="A4514" s="22" t="n">
        <v>41</v>
      </c>
      <c r="B4514" s="23" t="n">
        <v>45754</v>
      </c>
      <c r="C4514" s="22" t="s">
        <v>246</v>
      </c>
      <c r="D4514" s="24" t="n">
        <v>63</v>
      </c>
    </row>
    <row r="4515" customFormat="false" ht="15" hidden="false" customHeight="false" outlineLevel="0" collapsed="false">
      <c r="A4515" s="22" t="n">
        <v>42</v>
      </c>
      <c r="B4515" s="23" t="n">
        <v>45761</v>
      </c>
      <c r="C4515" s="22" t="s">
        <v>246</v>
      </c>
      <c r="D4515" s="24" t="n">
        <v>54</v>
      </c>
    </row>
    <row r="4516" customFormat="false" ht="15" hidden="false" customHeight="false" outlineLevel="0" collapsed="false">
      <c r="A4516" s="22" t="n">
        <v>43</v>
      </c>
      <c r="B4516" s="23" t="n">
        <v>45768</v>
      </c>
      <c r="C4516" s="22" t="s">
        <v>246</v>
      </c>
      <c r="D4516" s="24" t="n">
        <v>49</v>
      </c>
    </row>
    <row r="4517" customFormat="false" ht="15" hidden="false" customHeight="false" outlineLevel="0" collapsed="false">
      <c r="A4517" s="22" t="n">
        <v>44</v>
      </c>
      <c r="B4517" s="23" t="n">
        <v>45775</v>
      </c>
      <c r="C4517" s="22" t="s">
        <v>246</v>
      </c>
      <c r="D4517" s="24" t="n">
        <v>63</v>
      </c>
    </row>
    <row r="4518" customFormat="false" ht="15" hidden="false" customHeight="false" outlineLevel="0" collapsed="false">
      <c r="A4518" s="22" t="n">
        <v>45</v>
      </c>
      <c r="B4518" s="23" t="n">
        <v>45782</v>
      </c>
      <c r="C4518" s="22" t="s">
        <v>246</v>
      </c>
      <c r="D4518" s="24" t="n">
        <v>52</v>
      </c>
    </row>
    <row r="4519" customFormat="false" ht="15" hidden="false" customHeight="false" outlineLevel="0" collapsed="false">
      <c r="A4519" s="22" t="n">
        <v>46</v>
      </c>
      <c r="B4519" s="23" t="n">
        <v>45789</v>
      </c>
      <c r="C4519" s="22" t="s">
        <v>246</v>
      </c>
      <c r="D4519" s="24" t="n">
        <v>78</v>
      </c>
    </row>
    <row r="4520" customFormat="false" ht="15" hidden="false" customHeight="false" outlineLevel="0" collapsed="false">
      <c r="A4520" s="22" t="n">
        <v>47</v>
      </c>
      <c r="B4520" s="23" t="n">
        <v>45796</v>
      </c>
      <c r="C4520" s="22" t="s">
        <v>246</v>
      </c>
      <c r="D4520" s="24" t="n">
        <v>57</v>
      </c>
    </row>
    <row r="4521" customFormat="false" ht="15" hidden="false" customHeight="false" outlineLevel="0" collapsed="false">
      <c r="A4521" s="22" t="n">
        <v>48</v>
      </c>
      <c r="B4521" s="23" t="n">
        <v>45803</v>
      </c>
      <c r="C4521" s="22" t="s">
        <v>246</v>
      </c>
      <c r="D4521" s="24" t="n">
        <v>91</v>
      </c>
    </row>
    <row r="4522" customFormat="false" ht="15" hidden="false" customHeight="false" outlineLevel="0" collapsed="false">
      <c r="A4522" s="22" t="n">
        <v>49</v>
      </c>
      <c r="B4522" s="23" t="n">
        <v>45810</v>
      </c>
      <c r="C4522" s="22" t="s">
        <v>246</v>
      </c>
      <c r="D4522" s="24" t="n">
        <v>86</v>
      </c>
    </row>
    <row r="4523" customFormat="false" ht="15" hidden="false" customHeight="false" outlineLevel="0" collapsed="false">
      <c r="A4523" s="22" t="n">
        <v>50</v>
      </c>
      <c r="B4523" s="23" t="n">
        <v>45817</v>
      </c>
      <c r="C4523" s="22" t="s">
        <v>246</v>
      </c>
      <c r="D4523" s="24" t="n">
        <v>40</v>
      </c>
    </row>
    <row r="4524" customFormat="false" ht="15" hidden="false" customHeight="false" outlineLevel="0" collapsed="false">
      <c r="A4524" s="22" t="n">
        <v>51</v>
      </c>
      <c r="B4524" s="23" t="n">
        <v>45824</v>
      </c>
      <c r="C4524" s="22" t="s">
        <v>246</v>
      </c>
      <c r="D4524" s="24" t="n">
        <v>84</v>
      </c>
    </row>
    <row r="4525" customFormat="false" ht="15" hidden="false" customHeight="false" outlineLevel="0" collapsed="false">
      <c r="A4525" s="22" t="n">
        <v>52</v>
      </c>
      <c r="B4525" s="23" t="n">
        <v>45831</v>
      </c>
      <c r="C4525" s="22" t="s">
        <v>246</v>
      </c>
      <c r="D4525" s="24" t="n">
        <v>56</v>
      </c>
    </row>
    <row r="4526" customFormat="false" ht="15" hidden="false" customHeight="false" outlineLevel="0" collapsed="false">
      <c r="A4526" s="22" t="n">
        <v>53</v>
      </c>
      <c r="B4526" s="23" t="n">
        <v>45838</v>
      </c>
      <c r="C4526" s="22" t="s">
        <v>246</v>
      </c>
      <c r="D4526" s="24" t="n">
        <v>89</v>
      </c>
    </row>
    <row r="4527" customFormat="false" ht="15" hidden="false" customHeight="false" outlineLevel="0" collapsed="false">
      <c r="A4527" s="22" t="n">
        <v>54</v>
      </c>
      <c r="B4527" s="23" t="n">
        <v>45845</v>
      </c>
      <c r="C4527" s="22" t="s">
        <v>246</v>
      </c>
      <c r="D4527" s="24" t="n">
        <v>73</v>
      </c>
    </row>
    <row r="4528" customFormat="false" ht="15" hidden="false" customHeight="false" outlineLevel="0" collapsed="false">
      <c r="A4528" s="22" t="n">
        <v>55</v>
      </c>
      <c r="B4528" s="23" t="n">
        <v>45852</v>
      </c>
      <c r="C4528" s="22" t="s">
        <v>246</v>
      </c>
      <c r="D4528" s="24" t="n">
        <v>63</v>
      </c>
    </row>
    <row r="4529" customFormat="false" ht="15" hidden="false" customHeight="false" outlineLevel="0" collapsed="false">
      <c r="A4529" s="22" t="n">
        <v>56</v>
      </c>
      <c r="B4529" s="23" t="n">
        <v>45859</v>
      </c>
      <c r="C4529" s="22" t="s">
        <v>246</v>
      </c>
      <c r="D4529" s="24" t="n">
        <v>76</v>
      </c>
    </row>
    <row r="4530" customFormat="false" ht="15" hidden="false" customHeight="false" outlineLevel="0" collapsed="false">
      <c r="A4530" s="22" t="n">
        <v>57</v>
      </c>
      <c r="B4530" s="23" t="n">
        <v>45866</v>
      </c>
      <c r="C4530" s="22" t="s">
        <v>246</v>
      </c>
      <c r="D4530" s="24" t="n">
        <v>53</v>
      </c>
    </row>
    <row r="4531" customFormat="false" ht="15" hidden="false" customHeight="false" outlineLevel="0" collapsed="false">
      <c r="A4531" s="22" t="n">
        <v>58</v>
      </c>
      <c r="B4531" s="23" t="n">
        <v>45873</v>
      </c>
      <c r="C4531" s="22" t="s">
        <v>246</v>
      </c>
      <c r="D4531" s="24" t="n">
        <v>70</v>
      </c>
    </row>
    <row r="4532" customFormat="false" ht="15" hidden="false" customHeight="false" outlineLevel="0" collapsed="false">
      <c r="A4532" s="22" t="n">
        <v>59</v>
      </c>
      <c r="B4532" s="23" t="n">
        <v>45880</v>
      </c>
      <c r="C4532" s="22" t="s">
        <v>246</v>
      </c>
      <c r="D4532" s="24" t="n">
        <v>71</v>
      </c>
    </row>
    <row r="4533" customFormat="false" ht="15" hidden="false" customHeight="false" outlineLevel="0" collapsed="false">
      <c r="A4533" s="22" t="n">
        <v>60</v>
      </c>
      <c r="B4533" s="23" t="n">
        <v>45887</v>
      </c>
      <c r="C4533" s="22" t="s">
        <v>246</v>
      </c>
      <c r="D4533" s="24" t="n">
        <v>61</v>
      </c>
    </row>
    <row r="4534" customFormat="false" ht="15" hidden="false" customHeight="false" outlineLevel="0" collapsed="false">
      <c r="A4534" s="22" t="n">
        <v>61</v>
      </c>
      <c r="B4534" s="23" t="n">
        <v>45894</v>
      </c>
      <c r="C4534" s="22" t="s">
        <v>246</v>
      </c>
      <c r="D4534" s="24" t="n">
        <v>71</v>
      </c>
    </row>
    <row r="4535" customFormat="false" ht="15" hidden="false" customHeight="false" outlineLevel="0" collapsed="false">
      <c r="A4535" s="22" t="n">
        <v>62</v>
      </c>
      <c r="B4535" s="23" t="n">
        <v>45901</v>
      </c>
      <c r="C4535" s="22" t="s">
        <v>246</v>
      </c>
      <c r="D4535" s="24" t="n">
        <v>45</v>
      </c>
    </row>
    <row r="4536" customFormat="false" ht="15" hidden="false" customHeight="false" outlineLevel="0" collapsed="false">
      <c r="A4536" s="22" t="n">
        <v>63</v>
      </c>
      <c r="B4536" s="23" t="n">
        <v>45908</v>
      </c>
      <c r="C4536" s="22" t="s">
        <v>246</v>
      </c>
      <c r="D4536" s="24" t="n">
        <v>74</v>
      </c>
    </row>
    <row r="4537" customFormat="false" ht="15" hidden="false" customHeight="false" outlineLevel="0" collapsed="false">
      <c r="A4537" s="22" t="n">
        <v>64</v>
      </c>
      <c r="B4537" s="23" t="n">
        <v>45915</v>
      </c>
      <c r="C4537" s="22" t="s">
        <v>246</v>
      </c>
      <c r="D4537" s="24" t="n">
        <v>41</v>
      </c>
    </row>
    <row r="4538" customFormat="false" ht="15" hidden="false" customHeight="false" outlineLevel="0" collapsed="false">
      <c r="A4538" s="22" t="n">
        <v>65</v>
      </c>
      <c r="B4538" s="23" t="n">
        <v>45922</v>
      </c>
      <c r="C4538" s="22" t="s">
        <v>246</v>
      </c>
      <c r="D4538" s="24" t="n">
        <v>75</v>
      </c>
    </row>
    <row r="4539" customFormat="false" ht="15" hidden="false" customHeight="false" outlineLevel="0" collapsed="false">
      <c r="A4539" s="22" t="n">
        <v>66</v>
      </c>
      <c r="B4539" s="23" t="n">
        <v>45929</v>
      </c>
      <c r="C4539" s="22" t="s">
        <v>246</v>
      </c>
      <c r="D4539" s="24" t="n">
        <v>72</v>
      </c>
    </row>
    <row r="4540" customFormat="false" ht="15" hidden="false" customHeight="false" outlineLevel="0" collapsed="false">
      <c r="A4540" s="22" t="n">
        <v>67</v>
      </c>
      <c r="B4540" s="23" t="n">
        <v>45936</v>
      </c>
      <c r="C4540" s="22" t="s">
        <v>246</v>
      </c>
      <c r="D4540" s="24" t="n">
        <v>77</v>
      </c>
    </row>
    <row r="4541" customFormat="false" ht="15" hidden="false" customHeight="false" outlineLevel="0" collapsed="false">
      <c r="A4541" s="22" t="n">
        <v>68</v>
      </c>
      <c r="B4541" s="23" t="n">
        <v>45943</v>
      </c>
      <c r="C4541" s="22" t="s">
        <v>246</v>
      </c>
      <c r="D4541" s="24" t="n">
        <v>53</v>
      </c>
    </row>
    <row r="4542" customFormat="false" ht="15" hidden="false" customHeight="false" outlineLevel="0" collapsed="false">
      <c r="A4542" s="22" t="n">
        <v>69</v>
      </c>
      <c r="B4542" s="23" t="n">
        <v>45950</v>
      </c>
      <c r="C4542" s="22" t="s">
        <v>246</v>
      </c>
      <c r="D4542" s="24" t="n">
        <v>120</v>
      </c>
    </row>
    <row r="4543" customFormat="false" ht="15" hidden="false" customHeight="false" outlineLevel="0" collapsed="false">
      <c r="A4543" s="22" t="n">
        <v>70</v>
      </c>
      <c r="B4543" s="23" t="n">
        <v>45957</v>
      </c>
      <c r="C4543" s="22" t="s">
        <v>246</v>
      </c>
      <c r="D4543" s="24" t="n">
        <v>59</v>
      </c>
    </row>
    <row r="4544" customFormat="false" ht="15" hidden="false" customHeight="false" outlineLevel="0" collapsed="false">
      <c r="A4544" s="22" t="n">
        <v>71</v>
      </c>
      <c r="B4544" s="23" t="n">
        <v>45964</v>
      </c>
      <c r="C4544" s="22" t="s">
        <v>246</v>
      </c>
      <c r="D4544" s="24" t="n">
        <v>66</v>
      </c>
    </row>
    <row r="4545" customFormat="false" ht="15" hidden="false" customHeight="false" outlineLevel="0" collapsed="false">
      <c r="A4545" s="22" t="n">
        <v>72</v>
      </c>
      <c r="B4545" s="23" t="n">
        <v>45971</v>
      </c>
      <c r="C4545" s="22" t="s">
        <v>246</v>
      </c>
      <c r="D4545" s="24" t="n">
        <v>50</v>
      </c>
    </row>
    <row r="4546" customFormat="false" ht="15" hidden="false" customHeight="false" outlineLevel="0" collapsed="false">
      <c r="A4546" s="22" t="n">
        <v>73</v>
      </c>
      <c r="B4546" s="23" t="n">
        <v>45978</v>
      </c>
      <c r="C4546" s="22" t="s">
        <v>246</v>
      </c>
      <c r="D4546" s="24" t="n">
        <v>90</v>
      </c>
    </row>
    <row r="4547" customFormat="false" ht="15" hidden="false" customHeight="false" outlineLevel="0" collapsed="false">
      <c r="A4547" s="22" t="n">
        <v>74</v>
      </c>
      <c r="B4547" s="23" t="n">
        <v>45985</v>
      </c>
      <c r="C4547" s="22" t="s">
        <v>246</v>
      </c>
      <c r="D4547" s="24" t="n">
        <v>55</v>
      </c>
    </row>
    <row r="4548" customFormat="false" ht="15" hidden="false" customHeight="false" outlineLevel="0" collapsed="false">
      <c r="A4548" s="22" t="n">
        <v>75</v>
      </c>
      <c r="B4548" s="23" t="n">
        <v>45992</v>
      </c>
      <c r="C4548" s="22" t="s">
        <v>246</v>
      </c>
      <c r="D4548" s="24" t="n">
        <v>82</v>
      </c>
    </row>
    <row r="4549" customFormat="false" ht="15" hidden="false" customHeight="false" outlineLevel="0" collapsed="false">
      <c r="A4549" s="22" t="n">
        <v>76</v>
      </c>
      <c r="B4549" s="23" t="n">
        <v>45999</v>
      </c>
      <c r="C4549" s="22" t="s">
        <v>246</v>
      </c>
      <c r="D4549" s="24" t="n">
        <v>46</v>
      </c>
    </row>
    <row r="4550" customFormat="false" ht="15" hidden="false" customHeight="false" outlineLevel="0" collapsed="false">
      <c r="A4550" s="22" t="n">
        <v>77</v>
      </c>
      <c r="B4550" s="23" t="n">
        <v>46006</v>
      </c>
      <c r="C4550" s="22" t="s">
        <v>246</v>
      </c>
      <c r="D4550" s="24" t="n">
        <v>70</v>
      </c>
    </row>
    <row r="4551" customFormat="false" ht="15" hidden="false" customHeight="false" outlineLevel="0" collapsed="false">
      <c r="A4551" s="22" t="n">
        <v>78</v>
      </c>
      <c r="B4551" s="23" t="n">
        <v>46013</v>
      </c>
      <c r="C4551" s="22" t="s">
        <v>246</v>
      </c>
      <c r="D4551" s="24" t="n">
        <v>57</v>
      </c>
    </row>
    <row r="4552" customFormat="false" ht="15" hidden="false" customHeight="false" outlineLevel="0" collapsed="false">
      <c r="A4552" s="22" t="n">
        <v>79</v>
      </c>
      <c r="B4552" s="23" t="n">
        <v>46020</v>
      </c>
      <c r="C4552" s="22" t="s">
        <v>246</v>
      </c>
      <c r="D4552" s="24" t="n">
        <v>81</v>
      </c>
    </row>
    <row r="4553" customFormat="false" ht="15" hidden="false" customHeight="false" outlineLevel="0" collapsed="false">
      <c r="A4553" s="22" t="n">
        <v>80</v>
      </c>
      <c r="B4553" s="23" t="n">
        <v>46027</v>
      </c>
      <c r="C4553" s="22" t="s">
        <v>246</v>
      </c>
      <c r="D4553" s="24" t="n">
        <v>58</v>
      </c>
    </row>
    <row r="4554" customFormat="false" ht="15" hidden="false" customHeight="false" outlineLevel="0" collapsed="false">
      <c r="A4554" s="22" t="n">
        <v>81</v>
      </c>
      <c r="B4554" s="23" t="n">
        <v>46034</v>
      </c>
      <c r="C4554" s="22" t="s">
        <v>246</v>
      </c>
      <c r="D4554" s="24" t="n">
        <v>48</v>
      </c>
    </row>
    <row r="4555" customFormat="false" ht="15" hidden="false" customHeight="false" outlineLevel="0" collapsed="false">
      <c r="A4555" s="22" t="n">
        <v>82</v>
      </c>
      <c r="B4555" s="23" t="n">
        <v>46041</v>
      </c>
      <c r="C4555" s="22" t="s">
        <v>246</v>
      </c>
      <c r="D4555" s="24" t="n">
        <v>72</v>
      </c>
    </row>
    <row r="4556" customFormat="false" ht="15" hidden="false" customHeight="false" outlineLevel="0" collapsed="false">
      <c r="A4556" s="22" t="n">
        <v>83</v>
      </c>
      <c r="B4556" s="23" t="n">
        <v>46048</v>
      </c>
      <c r="C4556" s="22" t="s">
        <v>246</v>
      </c>
      <c r="D4556" s="24" t="n">
        <v>42</v>
      </c>
    </row>
    <row r="4557" customFormat="false" ht="15" hidden="false" customHeight="false" outlineLevel="0" collapsed="false">
      <c r="A4557" s="22" t="n">
        <v>84</v>
      </c>
      <c r="B4557" s="23" t="n">
        <v>46055</v>
      </c>
      <c r="C4557" s="22" t="s">
        <v>246</v>
      </c>
      <c r="D4557" s="24" t="n">
        <v>46</v>
      </c>
    </row>
    <row r="4558" customFormat="false" ht="15" hidden="false" customHeight="false" outlineLevel="0" collapsed="false">
      <c r="A4558" s="22" t="n">
        <v>85</v>
      </c>
      <c r="B4558" s="23" t="n">
        <v>46062</v>
      </c>
      <c r="C4558" s="22" t="s">
        <v>246</v>
      </c>
      <c r="D4558" s="24" t="n">
        <v>78</v>
      </c>
    </row>
    <row r="4559" customFormat="false" ht="15" hidden="false" customHeight="false" outlineLevel="0" collapsed="false">
      <c r="A4559" s="22" t="n">
        <v>86</v>
      </c>
      <c r="B4559" s="23" t="n">
        <v>46069</v>
      </c>
      <c r="C4559" s="22" t="s">
        <v>246</v>
      </c>
      <c r="D4559" s="24" t="n">
        <v>29</v>
      </c>
    </row>
    <row r="4560" customFormat="false" ht="15" hidden="false" customHeight="false" outlineLevel="0" collapsed="false">
      <c r="A4560" s="22" t="n">
        <v>87</v>
      </c>
      <c r="B4560" s="23" t="n">
        <v>46076</v>
      </c>
      <c r="C4560" s="22" t="s">
        <v>246</v>
      </c>
      <c r="D4560" s="24" t="n">
        <v>78</v>
      </c>
    </row>
    <row r="4561" customFormat="false" ht="15" hidden="false" customHeight="false" outlineLevel="0" collapsed="false">
      <c r="A4561" s="22" t="n">
        <v>88</v>
      </c>
      <c r="B4561" s="23" t="n">
        <v>46083</v>
      </c>
      <c r="C4561" s="22" t="s">
        <v>246</v>
      </c>
      <c r="D4561" s="24" t="n">
        <v>56</v>
      </c>
    </row>
    <row r="4562" customFormat="false" ht="15" hidden="false" customHeight="false" outlineLevel="0" collapsed="false">
      <c r="A4562" s="22" t="n">
        <v>89</v>
      </c>
      <c r="B4562" s="23" t="n">
        <v>46090</v>
      </c>
      <c r="C4562" s="22" t="s">
        <v>246</v>
      </c>
      <c r="D4562" s="24" t="n">
        <v>47</v>
      </c>
    </row>
    <row r="4563" customFormat="false" ht="15" hidden="false" customHeight="false" outlineLevel="0" collapsed="false">
      <c r="A4563" s="22" t="n">
        <v>90</v>
      </c>
      <c r="B4563" s="23" t="n">
        <v>46097</v>
      </c>
      <c r="C4563" s="22" t="s">
        <v>246</v>
      </c>
      <c r="D4563" s="24" t="n">
        <v>69</v>
      </c>
    </row>
    <row r="4564" customFormat="false" ht="15" hidden="false" customHeight="false" outlineLevel="0" collapsed="false">
      <c r="A4564" s="22" t="n">
        <v>91</v>
      </c>
      <c r="B4564" s="23" t="n">
        <v>46104</v>
      </c>
      <c r="C4564" s="22" t="s">
        <v>246</v>
      </c>
      <c r="D4564" s="24" t="n">
        <v>76</v>
      </c>
    </row>
    <row r="4565" customFormat="false" ht="15" hidden="false" customHeight="false" outlineLevel="0" collapsed="false">
      <c r="A4565" s="22" t="n">
        <v>92</v>
      </c>
      <c r="B4565" s="23" t="n">
        <v>46111</v>
      </c>
      <c r="C4565" s="22" t="s">
        <v>246</v>
      </c>
      <c r="D4565" s="24" t="n">
        <v>53</v>
      </c>
    </row>
    <row r="4566" customFormat="false" ht="15" hidden="false" customHeight="false" outlineLevel="0" collapsed="false">
      <c r="A4566" s="22" t="n">
        <v>93</v>
      </c>
      <c r="B4566" s="23" t="n">
        <v>46118</v>
      </c>
      <c r="C4566" s="22" t="s">
        <v>246</v>
      </c>
      <c r="D4566" s="24" t="n">
        <v>61</v>
      </c>
    </row>
    <row r="4567" customFormat="false" ht="15" hidden="false" customHeight="false" outlineLevel="0" collapsed="false">
      <c r="A4567" s="22" t="n">
        <v>94</v>
      </c>
      <c r="B4567" s="23" t="n">
        <v>46125</v>
      </c>
      <c r="C4567" s="22" t="s">
        <v>246</v>
      </c>
      <c r="D4567" s="24" t="n">
        <v>79</v>
      </c>
    </row>
    <row r="4568" customFormat="false" ht="15" hidden="false" customHeight="false" outlineLevel="0" collapsed="false">
      <c r="A4568" s="22" t="n">
        <v>95</v>
      </c>
      <c r="B4568" s="23" t="n">
        <v>46132</v>
      </c>
      <c r="C4568" s="22" t="s">
        <v>246</v>
      </c>
      <c r="D4568" s="24" t="n">
        <v>78</v>
      </c>
    </row>
    <row r="4569" customFormat="false" ht="15" hidden="false" customHeight="false" outlineLevel="0" collapsed="false">
      <c r="A4569" s="22" t="n">
        <v>96</v>
      </c>
      <c r="B4569" s="23" t="n">
        <v>46139</v>
      </c>
      <c r="C4569" s="22" t="s">
        <v>246</v>
      </c>
      <c r="D4569" s="24" t="n">
        <v>63</v>
      </c>
    </row>
    <row r="4570" customFormat="false" ht="15" hidden="false" customHeight="false" outlineLevel="0" collapsed="false">
      <c r="A4570" s="22" t="n">
        <v>97</v>
      </c>
      <c r="B4570" s="23" t="n">
        <v>46146</v>
      </c>
      <c r="C4570" s="22" t="s">
        <v>246</v>
      </c>
      <c r="D4570" s="24" t="n">
        <v>50</v>
      </c>
    </row>
    <row r="4571" customFormat="false" ht="15" hidden="false" customHeight="false" outlineLevel="0" collapsed="false">
      <c r="A4571" s="22" t="n">
        <v>98</v>
      </c>
      <c r="B4571" s="23" t="n">
        <v>46153</v>
      </c>
      <c r="C4571" s="22" t="s">
        <v>246</v>
      </c>
      <c r="D4571" s="24" t="n">
        <v>47</v>
      </c>
    </row>
    <row r="4572" customFormat="false" ht="15" hidden="false" customHeight="false" outlineLevel="0" collapsed="false">
      <c r="A4572" s="22" t="n">
        <v>99</v>
      </c>
      <c r="B4572" s="23" t="n">
        <v>46160</v>
      </c>
      <c r="C4572" s="22" t="s">
        <v>246</v>
      </c>
      <c r="D4572" s="24" t="n">
        <v>53</v>
      </c>
    </row>
    <row r="4573" customFormat="false" ht="15" hidden="false" customHeight="false" outlineLevel="0" collapsed="false">
      <c r="A4573" s="22" t="n">
        <v>100</v>
      </c>
      <c r="B4573" s="23" t="n">
        <v>46167</v>
      </c>
      <c r="C4573" s="22" t="s">
        <v>246</v>
      </c>
      <c r="D4573" s="24" t="n">
        <v>77</v>
      </c>
    </row>
    <row r="4574" customFormat="false" ht="15" hidden="false" customHeight="false" outlineLevel="0" collapsed="false">
      <c r="A4574" s="22" t="n">
        <v>101</v>
      </c>
      <c r="B4574" s="23" t="n">
        <v>46174</v>
      </c>
      <c r="C4574" s="22" t="s">
        <v>246</v>
      </c>
      <c r="D4574" s="24" t="n">
        <v>75</v>
      </c>
    </row>
    <row r="4575" customFormat="false" ht="15" hidden="false" customHeight="false" outlineLevel="0" collapsed="false">
      <c r="A4575" s="22" t="n">
        <v>102</v>
      </c>
      <c r="B4575" s="23" t="n">
        <v>46181</v>
      </c>
      <c r="C4575" s="22" t="s">
        <v>246</v>
      </c>
      <c r="D4575" s="24" t="n">
        <v>70</v>
      </c>
    </row>
    <row r="4576" customFormat="false" ht="15" hidden="false" customHeight="false" outlineLevel="0" collapsed="false">
      <c r="A4576" s="22" t="n">
        <v>103</v>
      </c>
      <c r="B4576" s="23" t="n">
        <v>46188</v>
      </c>
      <c r="C4576" s="22" t="s">
        <v>246</v>
      </c>
      <c r="D4576" s="24" t="n">
        <v>90</v>
      </c>
    </row>
    <row r="4577" customFormat="false" ht="15" hidden="false" customHeight="false" outlineLevel="0" collapsed="false">
      <c r="A4577" s="22" t="n">
        <v>104</v>
      </c>
      <c r="B4577" s="23" t="n">
        <v>46195</v>
      </c>
      <c r="C4577" s="22" t="s">
        <v>246</v>
      </c>
      <c r="D4577" s="24" t="n">
        <v>59</v>
      </c>
    </row>
    <row r="4578" customFormat="false" ht="15" hidden="false" customHeight="false" outlineLevel="0" collapsed="false">
      <c r="A4578" s="22" t="n">
        <v>1</v>
      </c>
      <c r="B4578" s="23" t="n">
        <v>45474</v>
      </c>
      <c r="C4578" s="22" t="s">
        <v>248</v>
      </c>
      <c r="D4578" s="24" t="n">
        <v>75</v>
      </c>
    </row>
    <row r="4579" customFormat="false" ht="15" hidden="false" customHeight="false" outlineLevel="0" collapsed="false">
      <c r="A4579" s="22" t="n">
        <v>2</v>
      </c>
      <c r="B4579" s="23" t="n">
        <v>45481</v>
      </c>
      <c r="C4579" s="22" t="s">
        <v>248</v>
      </c>
      <c r="D4579" s="24" t="n">
        <v>100</v>
      </c>
    </row>
    <row r="4580" customFormat="false" ht="15" hidden="false" customHeight="false" outlineLevel="0" collapsed="false">
      <c r="A4580" s="22" t="n">
        <v>3</v>
      </c>
      <c r="B4580" s="23" t="n">
        <v>45488</v>
      </c>
      <c r="C4580" s="22" t="s">
        <v>248</v>
      </c>
      <c r="D4580" s="24" t="n">
        <v>58</v>
      </c>
    </row>
    <row r="4581" customFormat="false" ht="15" hidden="false" customHeight="false" outlineLevel="0" collapsed="false">
      <c r="A4581" s="22" t="n">
        <v>4</v>
      </c>
      <c r="B4581" s="23" t="n">
        <v>45495</v>
      </c>
      <c r="C4581" s="22" t="s">
        <v>248</v>
      </c>
      <c r="D4581" s="24" t="n">
        <v>83</v>
      </c>
    </row>
    <row r="4582" customFormat="false" ht="15" hidden="false" customHeight="false" outlineLevel="0" collapsed="false">
      <c r="A4582" s="22" t="n">
        <v>5</v>
      </c>
      <c r="B4582" s="23" t="n">
        <v>45502</v>
      </c>
      <c r="C4582" s="22" t="s">
        <v>248</v>
      </c>
      <c r="D4582" s="24" t="n">
        <v>84</v>
      </c>
    </row>
    <row r="4583" customFormat="false" ht="15" hidden="false" customHeight="false" outlineLevel="0" collapsed="false">
      <c r="A4583" s="22" t="n">
        <v>6</v>
      </c>
      <c r="B4583" s="23" t="n">
        <v>45509</v>
      </c>
      <c r="C4583" s="22" t="s">
        <v>248</v>
      </c>
      <c r="D4583" s="24" t="n">
        <v>80</v>
      </c>
    </row>
    <row r="4584" customFormat="false" ht="15" hidden="false" customHeight="false" outlineLevel="0" collapsed="false">
      <c r="A4584" s="22" t="n">
        <v>7</v>
      </c>
      <c r="B4584" s="23" t="n">
        <v>45516</v>
      </c>
      <c r="C4584" s="22" t="s">
        <v>248</v>
      </c>
      <c r="D4584" s="24" t="n">
        <v>105</v>
      </c>
    </row>
    <row r="4585" customFormat="false" ht="15" hidden="false" customHeight="false" outlineLevel="0" collapsed="false">
      <c r="A4585" s="22" t="n">
        <v>8</v>
      </c>
      <c r="B4585" s="23" t="n">
        <v>45523</v>
      </c>
      <c r="C4585" s="22" t="s">
        <v>248</v>
      </c>
      <c r="D4585" s="24" t="n">
        <v>92</v>
      </c>
    </row>
    <row r="4586" customFormat="false" ht="15" hidden="false" customHeight="false" outlineLevel="0" collapsed="false">
      <c r="A4586" s="22" t="n">
        <v>9</v>
      </c>
      <c r="B4586" s="23" t="n">
        <v>45530</v>
      </c>
      <c r="C4586" s="22" t="s">
        <v>248</v>
      </c>
      <c r="D4586" s="24" t="n">
        <v>88</v>
      </c>
    </row>
    <row r="4587" customFormat="false" ht="15" hidden="false" customHeight="false" outlineLevel="0" collapsed="false">
      <c r="A4587" s="22" t="n">
        <v>10</v>
      </c>
      <c r="B4587" s="23" t="n">
        <v>45537</v>
      </c>
      <c r="C4587" s="22" t="s">
        <v>248</v>
      </c>
      <c r="D4587" s="24" t="n">
        <v>70</v>
      </c>
    </row>
    <row r="4588" customFormat="false" ht="15" hidden="false" customHeight="false" outlineLevel="0" collapsed="false">
      <c r="A4588" s="22" t="n">
        <v>11</v>
      </c>
      <c r="B4588" s="23" t="n">
        <v>45544</v>
      </c>
      <c r="C4588" s="22" t="s">
        <v>248</v>
      </c>
      <c r="D4588" s="24" t="n">
        <v>85</v>
      </c>
    </row>
    <row r="4589" customFormat="false" ht="15" hidden="false" customHeight="false" outlineLevel="0" collapsed="false">
      <c r="A4589" s="22" t="n">
        <v>12</v>
      </c>
      <c r="B4589" s="23" t="n">
        <v>45551</v>
      </c>
      <c r="C4589" s="22" t="s">
        <v>248</v>
      </c>
      <c r="D4589" s="24" t="n">
        <v>76</v>
      </c>
    </row>
    <row r="4590" customFormat="false" ht="15" hidden="false" customHeight="false" outlineLevel="0" collapsed="false">
      <c r="A4590" s="22" t="n">
        <v>13</v>
      </c>
      <c r="B4590" s="23" t="n">
        <v>45558</v>
      </c>
      <c r="C4590" s="22" t="s">
        <v>248</v>
      </c>
      <c r="D4590" s="24" t="n">
        <v>80</v>
      </c>
    </row>
    <row r="4591" customFormat="false" ht="15" hidden="false" customHeight="false" outlineLevel="0" collapsed="false">
      <c r="A4591" s="22" t="n">
        <v>14</v>
      </c>
      <c r="B4591" s="23" t="n">
        <v>45565</v>
      </c>
      <c r="C4591" s="22" t="s">
        <v>248</v>
      </c>
      <c r="D4591" s="24" t="n">
        <v>82</v>
      </c>
    </row>
    <row r="4592" customFormat="false" ht="15" hidden="false" customHeight="false" outlineLevel="0" collapsed="false">
      <c r="A4592" s="22" t="n">
        <v>15</v>
      </c>
      <c r="B4592" s="23" t="n">
        <v>45572</v>
      </c>
      <c r="C4592" s="22" t="s">
        <v>248</v>
      </c>
      <c r="D4592" s="24" t="n">
        <v>75</v>
      </c>
    </row>
    <row r="4593" customFormat="false" ht="15" hidden="false" customHeight="false" outlineLevel="0" collapsed="false">
      <c r="A4593" s="22" t="n">
        <v>16</v>
      </c>
      <c r="B4593" s="23" t="n">
        <v>45579</v>
      </c>
      <c r="C4593" s="22" t="s">
        <v>248</v>
      </c>
      <c r="D4593" s="24" t="n">
        <v>86</v>
      </c>
    </row>
    <row r="4594" customFormat="false" ht="15" hidden="false" customHeight="false" outlineLevel="0" collapsed="false">
      <c r="A4594" s="22" t="n">
        <v>17</v>
      </c>
      <c r="B4594" s="23" t="n">
        <v>45586</v>
      </c>
      <c r="C4594" s="22" t="s">
        <v>248</v>
      </c>
      <c r="D4594" s="24" t="n">
        <v>97</v>
      </c>
    </row>
    <row r="4595" customFormat="false" ht="15" hidden="false" customHeight="false" outlineLevel="0" collapsed="false">
      <c r="A4595" s="22" t="n">
        <v>18</v>
      </c>
      <c r="B4595" s="23" t="n">
        <v>45593</v>
      </c>
      <c r="C4595" s="22" t="s">
        <v>248</v>
      </c>
      <c r="D4595" s="24" t="n">
        <v>91</v>
      </c>
    </row>
    <row r="4596" customFormat="false" ht="15" hidden="false" customHeight="false" outlineLevel="0" collapsed="false">
      <c r="A4596" s="22" t="n">
        <v>19</v>
      </c>
      <c r="B4596" s="23" t="n">
        <v>45600</v>
      </c>
      <c r="C4596" s="22" t="s">
        <v>248</v>
      </c>
      <c r="D4596" s="24" t="n">
        <v>82</v>
      </c>
    </row>
    <row r="4597" customFormat="false" ht="15" hidden="false" customHeight="false" outlineLevel="0" collapsed="false">
      <c r="A4597" s="22" t="n">
        <v>20</v>
      </c>
      <c r="B4597" s="23" t="n">
        <v>45607</v>
      </c>
      <c r="C4597" s="22" t="s">
        <v>248</v>
      </c>
      <c r="D4597" s="24" t="n">
        <v>59</v>
      </c>
    </row>
    <row r="4598" customFormat="false" ht="15" hidden="false" customHeight="false" outlineLevel="0" collapsed="false">
      <c r="A4598" s="22" t="n">
        <v>21</v>
      </c>
      <c r="B4598" s="23" t="n">
        <v>45614</v>
      </c>
      <c r="C4598" s="22" t="s">
        <v>248</v>
      </c>
      <c r="D4598" s="24" t="n">
        <v>91</v>
      </c>
    </row>
    <row r="4599" customFormat="false" ht="15" hidden="false" customHeight="false" outlineLevel="0" collapsed="false">
      <c r="A4599" s="22" t="n">
        <v>22</v>
      </c>
      <c r="B4599" s="23" t="n">
        <v>45621</v>
      </c>
      <c r="C4599" s="22" t="s">
        <v>248</v>
      </c>
      <c r="D4599" s="24" t="n">
        <v>91</v>
      </c>
    </row>
    <row r="4600" customFormat="false" ht="15" hidden="false" customHeight="false" outlineLevel="0" collapsed="false">
      <c r="A4600" s="22" t="n">
        <v>23</v>
      </c>
      <c r="B4600" s="23" t="n">
        <v>45628</v>
      </c>
      <c r="C4600" s="22" t="s">
        <v>248</v>
      </c>
      <c r="D4600" s="24" t="n">
        <v>78</v>
      </c>
    </row>
    <row r="4601" customFormat="false" ht="15" hidden="false" customHeight="false" outlineLevel="0" collapsed="false">
      <c r="A4601" s="22" t="n">
        <v>24</v>
      </c>
      <c r="B4601" s="23" t="n">
        <v>45635</v>
      </c>
      <c r="C4601" s="22" t="s">
        <v>248</v>
      </c>
      <c r="D4601" s="24" t="n">
        <v>75</v>
      </c>
    </row>
    <row r="4602" customFormat="false" ht="15" hidden="false" customHeight="false" outlineLevel="0" collapsed="false">
      <c r="A4602" s="22" t="n">
        <v>25</v>
      </c>
      <c r="B4602" s="23" t="n">
        <v>45642</v>
      </c>
      <c r="C4602" s="22" t="s">
        <v>248</v>
      </c>
      <c r="D4602" s="24" t="n">
        <v>87</v>
      </c>
    </row>
    <row r="4603" customFormat="false" ht="15" hidden="false" customHeight="false" outlineLevel="0" collapsed="false">
      <c r="A4603" s="22" t="n">
        <v>26</v>
      </c>
      <c r="B4603" s="23" t="n">
        <v>45649</v>
      </c>
      <c r="C4603" s="22" t="s">
        <v>248</v>
      </c>
      <c r="D4603" s="24" t="n">
        <v>71</v>
      </c>
    </row>
    <row r="4604" customFormat="false" ht="15" hidden="false" customHeight="false" outlineLevel="0" collapsed="false">
      <c r="A4604" s="22" t="n">
        <v>27</v>
      </c>
      <c r="B4604" s="23" t="n">
        <v>45656</v>
      </c>
      <c r="C4604" s="22" t="s">
        <v>248</v>
      </c>
      <c r="D4604" s="24" t="n">
        <v>88</v>
      </c>
    </row>
    <row r="4605" customFormat="false" ht="15" hidden="false" customHeight="false" outlineLevel="0" collapsed="false">
      <c r="A4605" s="22" t="n">
        <v>28</v>
      </c>
      <c r="B4605" s="23" t="n">
        <v>45663</v>
      </c>
      <c r="C4605" s="22" t="s">
        <v>248</v>
      </c>
      <c r="D4605" s="24" t="n">
        <v>68</v>
      </c>
    </row>
    <row r="4606" customFormat="false" ht="15" hidden="false" customHeight="false" outlineLevel="0" collapsed="false">
      <c r="A4606" s="22" t="n">
        <v>29</v>
      </c>
      <c r="B4606" s="23" t="n">
        <v>45670</v>
      </c>
      <c r="C4606" s="22" t="s">
        <v>248</v>
      </c>
      <c r="D4606" s="24" t="n">
        <v>70</v>
      </c>
    </row>
    <row r="4607" customFormat="false" ht="15" hidden="false" customHeight="false" outlineLevel="0" collapsed="false">
      <c r="A4607" s="22" t="n">
        <v>30</v>
      </c>
      <c r="B4607" s="23" t="n">
        <v>45677</v>
      </c>
      <c r="C4607" s="22" t="s">
        <v>248</v>
      </c>
      <c r="D4607" s="24" t="n">
        <v>80</v>
      </c>
    </row>
    <row r="4608" customFormat="false" ht="15" hidden="false" customHeight="false" outlineLevel="0" collapsed="false">
      <c r="A4608" s="22" t="n">
        <v>31</v>
      </c>
      <c r="B4608" s="23" t="n">
        <v>45684</v>
      </c>
      <c r="C4608" s="22" t="s">
        <v>248</v>
      </c>
      <c r="D4608" s="24" t="n">
        <v>64</v>
      </c>
    </row>
    <row r="4609" customFormat="false" ht="15" hidden="false" customHeight="false" outlineLevel="0" collapsed="false">
      <c r="A4609" s="22" t="n">
        <v>32</v>
      </c>
      <c r="B4609" s="23" t="n">
        <v>45691</v>
      </c>
      <c r="C4609" s="22" t="s">
        <v>248</v>
      </c>
      <c r="D4609" s="24" t="n">
        <v>80</v>
      </c>
    </row>
    <row r="4610" customFormat="false" ht="15" hidden="false" customHeight="false" outlineLevel="0" collapsed="false">
      <c r="A4610" s="22" t="n">
        <v>33</v>
      </c>
      <c r="B4610" s="23" t="n">
        <v>45698</v>
      </c>
      <c r="C4610" s="22" t="s">
        <v>248</v>
      </c>
      <c r="D4610" s="24" t="n">
        <v>86</v>
      </c>
    </row>
    <row r="4611" customFormat="false" ht="15" hidden="false" customHeight="false" outlineLevel="0" collapsed="false">
      <c r="A4611" s="22" t="n">
        <v>34</v>
      </c>
      <c r="B4611" s="23" t="n">
        <v>45705</v>
      </c>
      <c r="C4611" s="22" t="s">
        <v>248</v>
      </c>
      <c r="D4611" s="24" t="n">
        <v>66</v>
      </c>
    </row>
    <row r="4612" customFormat="false" ht="15" hidden="false" customHeight="false" outlineLevel="0" collapsed="false">
      <c r="A4612" s="22" t="n">
        <v>35</v>
      </c>
      <c r="B4612" s="23" t="n">
        <v>45712</v>
      </c>
      <c r="C4612" s="22" t="s">
        <v>248</v>
      </c>
      <c r="D4612" s="24" t="n">
        <v>90</v>
      </c>
    </row>
    <row r="4613" customFormat="false" ht="15" hidden="false" customHeight="false" outlineLevel="0" collapsed="false">
      <c r="A4613" s="22" t="n">
        <v>36</v>
      </c>
      <c r="B4613" s="23" t="n">
        <v>45719</v>
      </c>
      <c r="C4613" s="22" t="s">
        <v>248</v>
      </c>
      <c r="D4613" s="24" t="n">
        <v>74</v>
      </c>
    </row>
    <row r="4614" customFormat="false" ht="15" hidden="false" customHeight="false" outlineLevel="0" collapsed="false">
      <c r="A4614" s="22" t="n">
        <v>37</v>
      </c>
      <c r="B4614" s="23" t="n">
        <v>45726</v>
      </c>
      <c r="C4614" s="22" t="s">
        <v>248</v>
      </c>
      <c r="D4614" s="24" t="n">
        <v>86</v>
      </c>
    </row>
    <row r="4615" customFormat="false" ht="15" hidden="false" customHeight="false" outlineLevel="0" collapsed="false">
      <c r="A4615" s="22" t="n">
        <v>38</v>
      </c>
      <c r="B4615" s="23" t="n">
        <v>45733</v>
      </c>
      <c r="C4615" s="22" t="s">
        <v>248</v>
      </c>
      <c r="D4615" s="24" t="n">
        <v>82</v>
      </c>
    </row>
    <row r="4616" customFormat="false" ht="15" hidden="false" customHeight="false" outlineLevel="0" collapsed="false">
      <c r="A4616" s="22" t="n">
        <v>39</v>
      </c>
      <c r="B4616" s="23" t="n">
        <v>45740</v>
      </c>
      <c r="C4616" s="22" t="s">
        <v>248</v>
      </c>
      <c r="D4616" s="24" t="n">
        <v>75</v>
      </c>
    </row>
    <row r="4617" customFormat="false" ht="15" hidden="false" customHeight="false" outlineLevel="0" collapsed="false">
      <c r="A4617" s="22" t="n">
        <v>40</v>
      </c>
      <c r="B4617" s="23" t="n">
        <v>45747</v>
      </c>
      <c r="C4617" s="22" t="s">
        <v>248</v>
      </c>
      <c r="D4617" s="24" t="n">
        <v>74</v>
      </c>
    </row>
    <row r="4618" customFormat="false" ht="15" hidden="false" customHeight="false" outlineLevel="0" collapsed="false">
      <c r="A4618" s="22" t="n">
        <v>41</v>
      </c>
      <c r="B4618" s="23" t="n">
        <v>45754</v>
      </c>
      <c r="C4618" s="22" t="s">
        <v>248</v>
      </c>
      <c r="D4618" s="24" t="n">
        <v>62</v>
      </c>
    </row>
    <row r="4619" customFormat="false" ht="15" hidden="false" customHeight="false" outlineLevel="0" collapsed="false">
      <c r="A4619" s="22" t="n">
        <v>42</v>
      </c>
      <c r="B4619" s="23" t="n">
        <v>45761</v>
      </c>
      <c r="C4619" s="22" t="s">
        <v>248</v>
      </c>
      <c r="D4619" s="24" t="n">
        <v>72</v>
      </c>
    </row>
    <row r="4620" customFormat="false" ht="15" hidden="false" customHeight="false" outlineLevel="0" collapsed="false">
      <c r="A4620" s="22" t="n">
        <v>43</v>
      </c>
      <c r="B4620" s="23" t="n">
        <v>45768</v>
      </c>
      <c r="C4620" s="22" t="s">
        <v>248</v>
      </c>
      <c r="D4620" s="24" t="n">
        <v>72</v>
      </c>
    </row>
    <row r="4621" customFormat="false" ht="15" hidden="false" customHeight="false" outlineLevel="0" collapsed="false">
      <c r="A4621" s="22" t="n">
        <v>44</v>
      </c>
      <c r="B4621" s="23" t="n">
        <v>45775</v>
      </c>
      <c r="C4621" s="22" t="s">
        <v>248</v>
      </c>
      <c r="D4621" s="24" t="n">
        <v>97</v>
      </c>
    </row>
    <row r="4622" customFormat="false" ht="15" hidden="false" customHeight="false" outlineLevel="0" collapsed="false">
      <c r="A4622" s="22" t="n">
        <v>45</v>
      </c>
      <c r="B4622" s="23" t="n">
        <v>45782</v>
      </c>
      <c r="C4622" s="22" t="s">
        <v>248</v>
      </c>
      <c r="D4622" s="24" t="n">
        <v>91</v>
      </c>
    </row>
    <row r="4623" customFormat="false" ht="15" hidden="false" customHeight="false" outlineLevel="0" collapsed="false">
      <c r="A4623" s="22" t="n">
        <v>46</v>
      </c>
      <c r="B4623" s="23" t="n">
        <v>45789</v>
      </c>
      <c r="C4623" s="22" t="s">
        <v>248</v>
      </c>
      <c r="D4623" s="24" t="n">
        <v>65</v>
      </c>
    </row>
    <row r="4624" customFormat="false" ht="15" hidden="false" customHeight="false" outlineLevel="0" collapsed="false">
      <c r="A4624" s="22" t="n">
        <v>47</v>
      </c>
      <c r="B4624" s="23" t="n">
        <v>45796</v>
      </c>
      <c r="C4624" s="22" t="s">
        <v>248</v>
      </c>
      <c r="D4624" s="24" t="n">
        <v>88</v>
      </c>
    </row>
    <row r="4625" customFormat="false" ht="15" hidden="false" customHeight="false" outlineLevel="0" collapsed="false">
      <c r="A4625" s="22" t="n">
        <v>48</v>
      </c>
      <c r="B4625" s="23" t="n">
        <v>45803</v>
      </c>
      <c r="C4625" s="22" t="s">
        <v>248</v>
      </c>
      <c r="D4625" s="24" t="n">
        <v>82</v>
      </c>
    </row>
    <row r="4626" customFormat="false" ht="15" hidden="false" customHeight="false" outlineLevel="0" collapsed="false">
      <c r="A4626" s="22" t="n">
        <v>49</v>
      </c>
      <c r="B4626" s="23" t="n">
        <v>45810</v>
      </c>
      <c r="C4626" s="22" t="s">
        <v>248</v>
      </c>
      <c r="D4626" s="24" t="n">
        <v>76</v>
      </c>
    </row>
    <row r="4627" customFormat="false" ht="15" hidden="false" customHeight="false" outlineLevel="0" collapsed="false">
      <c r="A4627" s="22" t="n">
        <v>50</v>
      </c>
      <c r="B4627" s="23" t="n">
        <v>45817</v>
      </c>
      <c r="C4627" s="22" t="s">
        <v>248</v>
      </c>
      <c r="D4627" s="24" t="n">
        <v>85</v>
      </c>
    </row>
    <row r="4628" customFormat="false" ht="15" hidden="false" customHeight="false" outlineLevel="0" collapsed="false">
      <c r="A4628" s="22" t="n">
        <v>51</v>
      </c>
      <c r="B4628" s="23" t="n">
        <v>45824</v>
      </c>
      <c r="C4628" s="22" t="s">
        <v>248</v>
      </c>
      <c r="D4628" s="24" t="n">
        <v>88</v>
      </c>
    </row>
    <row r="4629" customFormat="false" ht="15" hidden="false" customHeight="false" outlineLevel="0" collapsed="false">
      <c r="A4629" s="22" t="n">
        <v>52</v>
      </c>
      <c r="B4629" s="23" t="n">
        <v>45831</v>
      </c>
      <c r="C4629" s="22" t="s">
        <v>248</v>
      </c>
      <c r="D4629" s="24" t="n">
        <v>74</v>
      </c>
    </row>
    <row r="4630" customFormat="false" ht="15" hidden="false" customHeight="false" outlineLevel="0" collapsed="false">
      <c r="A4630" s="22" t="n">
        <v>53</v>
      </c>
      <c r="B4630" s="23" t="n">
        <v>45838</v>
      </c>
      <c r="C4630" s="22" t="s">
        <v>248</v>
      </c>
      <c r="D4630" s="24" t="n">
        <v>77</v>
      </c>
    </row>
    <row r="4631" customFormat="false" ht="15" hidden="false" customHeight="false" outlineLevel="0" collapsed="false">
      <c r="A4631" s="22" t="n">
        <v>54</v>
      </c>
      <c r="B4631" s="23" t="n">
        <v>45845</v>
      </c>
      <c r="C4631" s="22" t="s">
        <v>248</v>
      </c>
      <c r="D4631" s="24" t="n">
        <v>82</v>
      </c>
    </row>
    <row r="4632" customFormat="false" ht="15" hidden="false" customHeight="false" outlineLevel="0" collapsed="false">
      <c r="A4632" s="22" t="n">
        <v>55</v>
      </c>
      <c r="B4632" s="23" t="n">
        <v>45852</v>
      </c>
      <c r="C4632" s="22" t="s">
        <v>248</v>
      </c>
      <c r="D4632" s="24" t="n">
        <v>69</v>
      </c>
    </row>
    <row r="4633" customFormat="false" ht="15" hidden="false" customHeight="false" outlineLevel="0" collapsed="false">
      <c r="A4633" s="22" t="n">
        <v>56</v>
      </c>
      <c r="B4633" s="23" t="n">
        <v>45859</v>
      </c>
      <c r="C4633" s="22" t="s">
        <v>248</v>
      </c>
      <c r="D4633" s="24" t="n">
        <v>82</v>
      </c>
    </row>
    <row r="4634" customFormat="false" ht="15" hidden="false" customHeight="false" outlineLevel="0" collapsed="false">
      <c r="A4634" s="22" t="n">
        <v>57</v>
      </c>
      <c r="B4634" s="23" t="n">
        <v>45866</v>
      </c>
      <c r="C4634" s="22" t="s">
        <v>248</v>
      </c>
      <c r="D4634" s="24" t="n">
        <v>79</v>
      </c>
    </row>
    <row r="4635" customFormat="false" ht="15" hidden="false" customHeight="false" outlineLevel="0" collapsed="false">
      <c r="A4635" s="22" t="n">
        <v>58</v>
      </c>
      <c r="B4635" s="23" t="n">
        <v>45873</v>
      </c>
      <c r="C4635" s="22" t="s">
        <v>248</v>
      </c>
      <c r="D4635" s="24" t="n">
        <v>73</v>
      </c>
    </row>
    <row r="4636" customFormat="false" ht="15" hidden="false" customHeight="false" outlineLevel="0" collapsed="false">
      <c r="A4636" s="22" t="n">
        <v>59</v>
      </c>
      <c r="B4636" s="23" t="n">
        <v>45880</v>
      </c>
      <c r="C4636" s="22" t="s">
        <v>248</v>
      </c>
      <c r="D4636" s="24" t="n">
        <v>71</v>
      </c>
    </row>
    <row r="4637" customFormat="false" ht="15" hidden="false" customHeight="false" outlineLevel="0" collapsed="false">
      <c r="A4637" s="22" t="n">
        <v>60</v>
      </c>
      <c r="B4637" s="23" t="n">
        <v>45887</v>
      </c>
      <c r="C4637" s="22" t="s">
        <v>248</v>
      </c>
      <c r="D4637" s="24" t="n">
        <v>83</v>
      </c>
    </row>
    <row r="4638" customFormat="false" ht="15" hidden="false" customHeight="false" outlineLevel="0" collapsed="false">
      <c r="A4638" s="22" t="n">
        <v>61</v>
      </c>
      <c r="B4638" s="23" t="n">
        <v>45894</v>
      </c>
      <c r="C4638" s="22" t="s">
        <v>248</v>
      </c>
      <c r="D4638" s="24" t="n">
        <v>89</v>
      </c>
    </row>
    <row r="4639" customFormat="false" ht="15" hidden="false" customHeight="false" outlineLevel="0" collapsed="false">
      <c r="A4639" s="22" t="n">
        <v>62</v>
      </c>
      <c r="B4639" s="23" t="n">
        <v>45901</v>
      </c>
      <c r="C4639" s="22" t="s">
        <v>248</v>
      </c>
      <c r="D4639" s="24" t="n">
        <v>83</v>
      </c>
    </row>
    <row r="4640" customFormat="false" ht="15" hidden="false" customHeight="false" outlineLevel="0" collapsed="false">
      <c r="A4640" s="22" t="n">
        <v>63</v>
      </c>
      <c r="B4640" s="23" t="n">
        <v>45908</v>
      </c>
      <c r="C4640" s="22" t="s">
        <v>248</v>
      </c>
      <c r="D4640" s="24" t="n">
        <v>71</v>
      </c>
    </row>
    <row r="4641" customFormat="false" ht="15" hidden="false" customHeight="false" outlineLevel="0" collapsed="false">
      <c r="A4641" s="22" t="n">
        <v>64</v>
      </c>
      <c r="B4641" s="23" t="n">
        <v>45915</v>
      </c>
      <c r="C4641" s="22" t="s">
        <v>248</v>
      </c>
      <c r="D4641" s="24" t="n">
        <v>88</v>
      </c>
    </row>
    <row r="4642" customFormat="false" ht="15" hidden="false" customHeight="false" outlineLevel="0" collapsed="false">
      <c r="A4642" s="22" t="n">
        <v>65</v>
      </c>
      <c r="B4642" s="23" t="n">
        <v>45922</v>
      </c>
      <c r="C4642" s="22" t="s">
        <v>248</v>
      </c>
      <c r="D4642" s="24" t="n">
        <v>82</v>
      </c>
    </row>
    <row r="4643" customFormat="false" ht="15" hidden="false" customHeight="false" outlineLevel="0" collapsed="false">
      <c r="A4643" s="22" t="n">
        <v>66</v>
      </c>
      <c r="B4643" s="23" t="n">
        <v>45929</v>
      </c>
      <c r="C4643" s="22" t="s">
        <v>248</v>
      </c>
      <c r="D4643" s="24" t="n">
        <v>86</v>
      </c>
    </row>
    <row r="4644" customFormat="false" ht="15" hidden="false" customHeight="false" outlineLevel="0" collapsed="false">
      <c r="A4644" s="22" t="n">
        <v>67</v>
      </c>
      <c r="B4644" s="23" t="n">
        <v>45936</v>
      </c>
      <c r="C4644" s="22" t="s">
        <v>248</v>
      </c>
      <c r="D4644" s="24" t="n">
        <v>92</v>
      </c>
    </row>
    <row r="4645" customFormat="false" ht="15" hidden="false" customHeight="false" outlineLevel="0" collapsed="false">
      <c r="A4645" s="22" t="n">
        <v>68</v>
      </c>
      <c r="B4645" s="23" t="n">
        <v>45943</v>
      </c>
      <c r="C4645" s="22" t="s">
        <v>248</v>
      </c>
      <c r="D4645" s="24" t="n">
        <v>70</v>
      </c>
    </row>
    <row r="4646" customFormat="false" ht="15" hidden="false" customHeight="false" outlineLevel="0" collapsed="false">
      <c r="A4646" s="22" t="n">
        <v>69</v>
      </c>
      <c r="B4646" s="23" t="n">
        <v>45950</v>
      </c>
      <c r="C4646" s="22" t="s">
        <v>248</v>
      </c>
      <c r="D4646" s="24" t="n">
        <v>78</v>
      </c>
    </row>
    <row r="4647" customFormat="false" ht="15" hidden="false" customHeight="false" outlineLevel="0" collapsed="false">
      <c r="A4647" s="22" t="n">
        <v>70</v>
      </c>
      <c r="B4647" s="23" t="n">
        <v>45957</v>
      </c>
      <c r="C4647" s="22" t="s">
        <v>248</v>
      </c>
      <c r="D4647" s="24" t="n">
        <v>74</v>
      </c>
    </row>
    <row r="4648" customFormat="false" ht="15" hidden="false" customHeight="false" outlineLevel="0" collapsed="false">
      <c r="A4648" s="22" t="n">
        <v>71</v>
      </c>
      <c r="B4648" s="23" t="n">
        <v>45964</v>
      </c>
      <c r="C4648" s="22" t="s">
        <v>248</v>
      </c>
      <c r="D4648" s="24" t="n">
        <v>71</v>
      </c>
    </row>
    <row r="4649" customFormat="false" ht="15" hidden="false" customHeight="false" outlineLevel="0" collapsed="false">
      <c r="A4649" s="22" t="n">
        <v>72</v>
      </c>
      <c r="B4649" s="23" t="n">
        <v>45971</v>
      </c>
      <c r="C4649" s="22" t="s">
        <v>248</v>
      </c>
      <c r="D4649" s="24" t="n">
        <v>101</v>
      </c>
    </row>
    <row r="4650" customFormat="false" ht="15" hidden="false" customHeight="false" outlineLevel="0" collapsed="false">
      <c r="A4650" s="22" t="n">
        <v>73</v>
      </c>
      <c r="B4650" s="23" t="n">
        <v>45978</v>
      </c>
      <c r="C4650" s="22" t="s">
        <v>248</v>
      </c>
      <c r="D4650" s="24" t="n">
        <v>90</v>
      </c>
    </row>
    <row r="4651" customFormat="false" ht="15" hidden="false" customHeight="false" outlineLevel="0" collapsed="false">
      <c r="A4651" s="22" t="n">
        <v>74</v>
      </c>
      <c r="B4651" s="23" t="n">
        <v>45985</v>
      </c>
      <c r="C4651" s="22" t="s">
        <v>248</v>
      </c>
      <c r="D4651" s="24" t="n">
        <v>61</v>
      </c>
    </row>
    <row r="4652" customFormat="false" ht="15" hidden="false" customHeight="false" outlineLevel="0" collapsed="false">
      <c r="A4652" s="22" t="n">
        <v>75</v>
      </c>
      <c r="B4652" s="23" t="n">
        <v>45992</v>
      </c>
      <c r="C4652" s="22" t="s">
        <v>248</v>
      </c>
      <c r="D4652" s="24" t="n">
        <v>84</v>
      </c>
    </row>
    <row r="4653" customFormat="false" ht="15" hidden="false" customHeight="false" outlineLevel="0" collapsed="false">
      <c r="A4653" s="22" t="n">
        <v>76</v>
      </c>
      <c r="B4653" s="23" t="n">
        <v>45999</v>
      </c>
      <c r="C4653" s="22" t="s">
        <v>248</v>
      </c>
      <c r="D4653" s="24" t="n">
        <v>74</v>
      </c>
    </row>
    <row r="4654" customFormat="false" ht="15" hidden="false" customHeight="false" outlineLevel="0" collapsed="false">
      <c r="A4654" s="22" t="n">
        <v>77</v>
      </c>
      <c r="B4654" s="23" t="n">
        <v>46006</v>
      </c>
      <c r="C4654" s="22" t="s">
        <v>248</v>
      </c>
      <c r="D4654" s="24" t="n">
        <v>92</v>
      </c>
    </row>
    <row r="4655" customFormat="false" ht="15" hidden="false" customHeight="false" outlineLevel="0" collapsed="false">
      <c r="A4655" s="22" t="n">
        <v>78</v>
      </c>
      <c r="B4655" s="23" t="n">
        <v>46013</v>
      </c>
      <c r="C4655" s="22" t="s">
        <v>248</v>
      </c>
      <c r="D4655" s="24" t="n">
        <v>81</v>
      </c>
    </row>
    <row r="4656" customFormat="false" ht="15" hidden="false" customHeight="false" outlineLevel="0" collapsed="false">
      <c r="A4656" s="22" t="n">
        <v>79</v>
      </c>
      <c r="B4656" s="23" t="n">
        <v>46020</v>
      </c>
      <c r="C4656" s="22" t="s">
        <v>248</v>
      </c>
      <c r="D4656" s="24" t="n">
        <v>78</v>
      </c>
    </row>
    <row r="4657" customFormat="false" ht="15" hidden="false" customHeight="false" outlineLevel="0" collapsed="false">
      <c r="A4657" s="22" t="n">
        <v>80</v>
      </c>
      <c r="B4657" s="23" t="n">
        <v>46027</v>
      </c>
      <c r="C4657" s="22" t="s">
        <v>248</v>
      </c>
      <c r="D4657" s="24" t="n">
        <v>81</v>
      </c>
    </row>
    <row r="4658" customFormat="false" ht="15" hidden="false" customHeight="false" outlineLevel="0" collapsed="false">
      <c r="A4658" s="22" t="n">
        <v>81</v>
      </c>
      <c r="B4658" s="23" t="n">
        <v>46034</v>
      </c>
      <c r="C4658" s="22" t="s">
        <v>248</v>
      </c>
      <c r="D4658" s="24" t="n">
        <v>84</v>
      </c>
    </row>
    <row r="4659" customFormat="false" ht="15" hidden="false" customHeight="false" outlineLevel="0" collapsed="false">
      <c r="A4659" s="22" t="n">
        <v>82</v>
      </c>
      <c r="B4659" s="23" t="n">
        <v>46041</v>
      </c>
      <c r="C4659" s="22" t="s">
        <v>248</v>
      </c>
      <c r="D4659" s="24" t="n">
        <v>80</v>
      </c>
    </row>
    <row r="4660" customFormat="false" ht="15" hidden="false" customHeight="false" outlineLevel="0" collapsed="false">
      <c r="A4660" s="22" t="n">
        <v>83</v>
      </c>
      <c r="B4660" s="23" t="n">
        <v>46048</v>
      </c>
      <c r="C4660" s="22" t="s">
        <v>248</v>
      </c>
      <c r="D4660" s="24" t="n">
        <v>78</v>
      </c>
    </row>
    <row r="4661" customFormat="false" ht="15" hidden="false" customHeight="false" outlineLevel="0" collapsed="false">
      <c r="A4661" s="22" t="n">
        <v>84</v>
      </c>
      <c r="B4661" s="23" t="n">
        <v>46055</v>
      </c>
      <c r="C4661" s="22" t="s">
        <v>248</v>
      </c>
      <c r="D4661" s="24" t="n">
        <v>79</v>
      </c>
    </row>
    <row r="4662" customFormat="false" ht="15" hidden="false" customHeight="false" outlineLevel="0" collapsed="false">
      <c r="A4662" s="22" t="n">
        <v>85</v>
      </c>
      <c r="B4662" s="23" t="n">
        <v>46062</v>
      </c>
      <c r="C4662" s="22" t="s">
        <v>248</v>
      </c>
      <c r="D4662" s="24" t="n">
        <v>85</v>
      </c>
    </row>
    <row r="4663" customFormat="false" ht="15" hidden="false" customHeight="false" outlineLevel="0" collapsed="false">
      <c r="A4663" s="22" t="n">
        <v>86</v>
      </c>
      <c r="B4663" s="23" t="n">
        <v>46069</v>
      </c>
      <c r="C4663" s="22" t="s">
        <v>248</v>
      </c>
      <c r="D4663" s="24" t="n">
        <v>68</v>
      </c>
    </row>
    <row r="4664" customFormat="false" ht="15" hidden="false" customHeight="false" outlineLevel="0" collapsed="false">
      <c r="A4664" s="22" t="n">
        <v>87</v>
      </c>
      <c r="B4664" s="23" t="n">
        <v>46076</v>
      </c>
      <c r="C4664" s="22" t="s">
        <v>248</v>
      </c>
      <c r="D4664" s="24" t="n">
        <v>80</v>
      </c>
    </row>
    <row r="4665" customFormat="false" ht="15" hidden="false" customHeight="false" outlineLevel="0" collapsed="false">
      <c r="A4665" s="22" t="n">
        <v>88</v>
      </c>
      <c r="B4665" s="23" t="n">
        <v>46083</v>
      </c>
      <c r="C4665" s="22" t="s">
        <v>248</v>
      </c>
      <c r="D4665" s="24" t="n">
        <v>79</v>
      </c>
    </row>
    <row r="4666" customFormat="false" ht="15" hidden="false" customHeight="false" outlineLevel="0" collapsed="false">
      <c r="A4666" s="22" t="n">
        <v>89</v>
      </c>
      <c r="B4666" s="23" t="n">
        <v>46090</v>
      </c>
      <c r="C4666" s="22" t="s">
        <v>248</v>
      </c>
      <c r="D4666" s="24" t="n">
        <v>75</v>
      </c>
    </row>
    <row r="4667" customFormat="false" ht="15" hidden="false" customHeight="false" outlineLevel="0" collapsed="false">
      <c r="A4667" s="22" t="n">
        <v>90</v>
      </c>
      <c r="B4667" s="23" t="n">
        <v>46097</v>
      </c>
      <c r="C4667" s="22" t="s">
        <v>248</v>
      </c>
      <c r="D4667" s="24" t="n">
        <v>88</v>
      </c>
    </row>
    <row r="4668" customFormat="false" ht="15" hidden="false" customHeight="false" outlineLevel="0" collapsed="false">
      <c r="A4668" s="22" t="n">
        <v>91</v>
      </c>
      <c r="B4668" s="23" t="n">
        <v>46104</v>
      </c>
      <c r="C4668" s="22" t="s">
        <v>248</v>
      </c>
      <c r="D4668" s="24" t="n">
        <v>66</v>
      </c>
    </row>
    <row r="4669" customFormat="false" ht="15" hidden="false" customHeight="false" outlineLevel="0" collapsed="false">
      <c r="A4669" s="22" t="n">
        <v>92</v>
      </c>
      <c r="B4669" s="23" t="n">
        <v>46111</v>
      </c>
      <c r="C4669" s="22" t="s">
        <v>248</v>
      </c>
      <c r="D4669" s="24" t="n">
        <v>76</v>
      </c>
    </row>
    <row r="4670" customFormat="false" ht="15" hidden="false" customHeight="false" outlineLevel="0" collapsed="false">
      <c r="A4670" s="22" t="n">
        <v>93</v>
      </c>
      <c r="B4670" s="23" t="n">
        <v>46118</v>
      </c>
      <c r="C4670" s="22" t="s">
        <v>248</v>
      </c>
      <c r="D4670" s="24" t="n">
        <v>71</v>
      </c>
    </row>
    <row r="4671" customFormat="false" ht="15" hidden="false" customHeight="false" outlineLevel="0" collapsed="false">
      <c r="A4671" s="22" t="n">
        <v>94</v>
      </c>
      <c r="B4671" s="23" t="n">
        <v>46125</v>
      </c>
      <c r="C4671" s="22" t="s">
        <v>248</v>
      </c>
      <c r="D4671" s="24" t="n">
        <v>86</v>
      </c>
    </row>
    <row r="4672" customFormat="false" ht="15" hidden="false" customHeight="false" outlineLevel="0" collapsed="false">
      <c r="A4672" s="22" t="n">
        <v>95</v>
      </c>
      <c r="B4672" s="23" t="n">
        <v>46132</v>
      </c>
      <c r="C4672" s="22" t="s">
        <v>248</v>
      </c>
      <c r="D4672" s="24" t="n">
        <v>75</v>
      </c>
    </row>
    <row r="4673" customFormat="false" ht="15" hidden="false" customHeight="false" outlineLevel="0" collapsed="false">
      <c r="A4673" s="22" t="n">
        <v>96</v>
      </c>
      <c r="B4673" s="23" t="n">
        <v>46139</v>
      </c>
      <c r="C4673" s="22" t="s">
        <v>248</v>
      </c>
      <c r="D4673" s="24" t="n">
        <v>81</v>
      </c>
    </row>
    <row r="4674" customFormat="false" ht="15" hidden="false" customHeight="false" outlineLevel="0" collapsed="false">
      <c r="A4674" s="22" t="n">
        <v>97</v>
      </c>
      <c r="B4674" s="23" t="n">
        <v>46146</v>
      </c>
      <c r="C4674" s="22" t="s">
        <v>248</v>
      </c>
      <c r="D4674" s="24" t="n">
        <v>84</v>
      </c>
    </row>
    <row r="4675" customFormat="false" ht="15" hidden="false" customHeight="false" outlineLevel="0" collapsed="false">
      <c r="A4675" s="22" t="n">
        <v>98</v>
      </c>
      <c r="B4675" s="23" t="n">
        <v>46153</v>
      </c>
      <c r="C4675" s="22" t="s">
        <v>248</v>
      </c>
      <c r="D4675" s="24" t="n">
        <v>63</v>
      </c>
    </row>
    <row r="4676" customFormat="false" ht="15" hidden="false" customHeight="false" outlineLevel="0" collapsed="false">
      <c r="A4676" s="22" t="n">
        <v>99</v>
      </c>
      <c r="B4676" s="23" t="n">
        <v>46160</v>
      </c>
      <c r="C4676" s="22" t="s">
        <v>248</v>
      </c>
      <c r="D4676" s="24" t="n">
        <v>85</v>
      </c>
    </row>
    <row r="4677" customFormat="false" ht="15" hidden="false" customHeight="false" outlineLevel="0" collapsed="false">
      <c r="A4677" s="22" t="n">
        <v>100</v>
      </c>
      <c r="B4677" s="23" t="n">
        <v>46167</v>
      </c>
      <c r="C4677" s="22" t="s">
        <v>248</v>
      </c>
      <c r="D4677" s="24" t="n">
        <v>72</v>
      </c>
    </row>
    <row r="4678" customFormat="false" ht="15" hidden="false" customHeight="false" outlineLevel="0" collapsed="false">
      <c r="A4678" s="22" t="n">
        <v>101</v>
      </c>
      <c r="B4678" s="23" t="n">
        <v>46174</v>
      </c>
      <c r="C4678" s="22" t="s">
        <v>248</v>
      </c>
      <c r="D4678" s="24" t="n">
        <v>77</v>
      </c>
    </row>
    <row r="4679" customFormat="false" ht="15" hidden="false" customHeight="false" outlineLevel="0" collapsed="false">
      <c r="A4679" s="22" t="n">
        <v>102</v>
      </c>
      <c r="B4679" s="23" t="n">
        <v>46181</v>
      </c>
      <c r="C4679" s="22" t="s">
        <v>248</v>
      </c>
      <c r="D4679" s="24" t="n">
        <v>79</v>
      </c>
    </row>
    <row r="4680" customFormat="false" ht="15" hidden="false" customHeight="false" outlineLevel="0" collapsed="false">
      <c r="A4680" s="22" t="n">
        <v>103</v>
      </c>
      <c r="B4680" s="23" t="n">
        <v>46188</v>
      </c>
      <c r="C4680" s="22" t="s">
        <v>248</v>
      </c>
      <c r="D4680" s="24" t="n">
        <v>89</v>
      </c>
    </row>
    <row r="4681" customFormat="false" ht="15" hidden="false" customHeight="false" outlineLevel="0" collapsed="false">
      <c r="A4681" s="22" t="n">
        <v>104</v>
      </c>
      <c r="B4681" s="23" t="n">
        <v>46195</v>
      </c>
      <c r="C4681" s="22" t="s">
        <v>248</v>
      </c>
      <c r="D4681" s="24" t="n">
        <v>88</v>
      </c>
    </row>
    <row r="4682" customFormat="false" ht="15" hidden="false" customHeight="false" outlineLevel="0" collapsed="false">
      <c r="A4682" s="22" t="n">
        <v>1</v>
      </c>
      <c r="B4682" s="23" t="n">
        <v>45474</v>
      </c>
      <c r="C4682" s="22" t="s">
        <v>250</v>
      </c>
      <c r="D4682" s="24" t="n">
        <v>36</v>
      </c>
    </row>
    <row r="4683" customFormat="false" ht="15" hidden="false" customHeight="false" outlineLevel="0" collapsed="false">
      <c r="A4683" s="22" t="n">
        <v>2</v>
      </c>
      <c r="B4683" s="23" t="n">
        <v>45481</v>
      </c>
      <c r="C4683" s="22" t="s">
        <v>250</v>
      </c>
      <c r="D4683" s="24" t="n">
        <v>30</v>
      </c>
    </row>
    <row r="4684" customFormat="false" ht="15" hidden="false" customHeight="false" outlineLevel="0" collapsed="false">
      <c r="A4684" s="22" t="n">
        <v>3</v>
      </c>
      <c r="B4684" s="23" t="n">
        <v>45488</v>
      </c>
      <c r="C4684" s="22" t="s">
        <v>250</v>
      </c>
      <c r="D4684" s="24" t="n">
        <v>28</v>
      </c>
    </row>
    <row r="4685" customFormat="false" ht="15" hidden="false" customHeight="false" outlineLevel="0" collapsed="false">
      <c r="A4685" s="22" t="n">
        <v>4</v>
      </c>
      <c r="B4685" s="23" t="n">
        <v>45495</v>
      </c>
      <c r="C4685" s="22" t="s">
        <v>250</v>
      </c>
      <c r="D4685" s="24" t="n">
        <v>28</v>
      </c>
    </row>
    <row r="4686" customFormat="false" ht="15" hidden="false" customHeight="false" outlineLevel="0" collapsed="false">
      <c r="A4686" s="22" t="n">
        <v>5</v>
      </c>
      <c r="B4686" s="23" t="n">
        <v>45502</v>
      </c>
      <c r="C4686" s="22" t="s">
        <v>250</v>
      </c>
      <c r="D4686" s="24" t="n">
        <v>33</v>
      </c>
    </row>
    <row r="4687" customFormat="false" ht="15" hidden="false" customHeight="false" outlineLevel="0" collapsed="false">
      <c r="A4687" s="22" t="n">
        <v>6</v>
      </c>
      <c r="B4687" s="23" t="n">
        <v>45509</v>
      </c>
      <c r="C4687" s="22" t="s">
        <v>250</v>
      </c>
      <c r="D4687" s="24" t="n">
        <v>37</v>
      </c>
    </row>
    <row r="4688" customFormat="false" ht="15" hidden="false" customHeight="false" outlineLevel="0" collapsed="false">
      <c r="A4688" s="22" t="n">
        <v>7</v>
      </c>
      <c r="B4688" s="23" t="n">
        <v>45516</v>
      </c>
      <c r="C4688" s="22" t="s">
        <v>250</v>
      </c>
      <c r="D4688" s="24" t="n">
        <v>33</v>
      </c>
    </row>
    <row r="4689" customFormat="false" ht="15" hidden="false" customHeight="false" outlineLevel="0" collapsed="false">
      <c r="A4689" s="22" t="n">
        <v>8</v>
      </c>
      <c r="B4689" s="23" t="n">
        <v>45523</v>
      </c>
      <c r="C4689" s="22" t="s">
        <v>250</v>
      </c>
      <c r="D4689" s="24" t="n">
        <v>29</v>
      </c>
    </row>
    <row r="4690" customFormat="false" ht="15" hidden="false" customHeight="false" outlineLevel="0" collapsed="false">
      <c r="A4690" s="22" t="n">
        <v>9</v>
      </c>
      <c r="B4690" s="23" t="n">
        <v>45530</v>
      </c>
      <c r="C4690" s="22" t="s">
        <v>250</v>
      </c>
      <c r="D4690" s="24" t="n">
        <v>33</v>
      </c>
    </row>
    <row r="4691" customFormat="false" ht="15" hidden="false" customHeight="false" outlineLevel="0" collapsed="false">
      <c r="A4691" s="22" t="n">
        <v>10</v>
      </c>
      <c r="B4691" s="23" t="n">
        <v>45537</v>
      </c>
      <c r="C4691" s="22" t="s">
        <v>250</v>
      </c>
      <c r="D4691" s="24" t="n">
        <v>33</v>
      </c>
    </row>
    <row r="4692" customFormat="false" ht="15" hidden="false" customHeight="false" outlineLevel="0" collapsed="false">
      <c r="A4692" s="22" t="n">
        <v>11</v>
      </c>
      <c r="B4692" s="23" t="n">
        <v>45544</v>
      </c>
      <c r="C4692" s="22" t="s">
        <v>250</v>
      </c>
      <c r="D4692" s="24" t="n">
        <v>33</v>
      </c>
    </row>
    <row r="4693" customFormat="false" ht="15" hidden="false" customHeight="false" outlineLevel="0" collapsed="false">
      <c r="A4693" s="22" t="n">
        <v>12</v>
      </c>
      <c r="B4693" s="23" t="n">
        <v>45551</v>
      </c>
      <c r="C4693" s="22" t="s">
        <v>250</v>
      </c>
      <c r="D4693" s="24" t="n">
        <v>30</v>
      </c>
    </row>
    <row r="4694" customFormat="false" ht="15" hidden="false" customHeight="false" outlineLevel="0" collapsed="false">
      <c r="A4694" s="22" t="n">
        <v>13</v>
      </c>
      <c r="B4694" s="23" t="n">
        <v>45558</v>
      </c>
      <c r="C4694" s="22" t="s">
        <v>250</v>
      </c>
      <c r="D4694" s="24" t="n">
        <v>22</v>
      </c>
    </row>
    <row r="4695" customFormat="false" ht="15" hidden="false" customHeight="false" outlineLevel="0" collapsed="false">
      <c r="A4695" s="22" t="n">
        <v>14</v>
      </c>
      <c r="B4695" s="23" t="n">
        <v>45565</v>
      </c>
      <c r="C4695" s="22" t="s">
        <v>250</v>
      </c>
      <c r="D4695" s="24" t="n">
        <v>31</v>
      </c>
    </row>
    <row r="4696" customFormat="false" ht="15" hidden="false" customHeight="false" outlineLevel="0" collapsed="false">
      <c r="A4696" s="22" t="n">
        <v>15</v>
      </c>
      <c r="B4696" s="23" t="n">
        <v>45572</v>
      </c>
      <c r="C4696" s="22" t="s">
        <v>250</v>
      </c>
      <c r="D4696" s="24" t="n">
        <v>38</v>
      </c>
    </row>
    <row r="4697" customFormat="false" ht="15" hidden="false" customHeight="false" outlineLevel="0" collapsed="false">
      <c r="A4697" s="22" t="n">
        <v>16</v>
      </c>
      <c r="B4697" s="23" t="n">
        <v>45579</v>
      </c>
      <c r="C4697" s="22" t="s">
        <v>250</v>
      </c>
      <c r="D4697" s="24" t="n">
        <v>35</v>
      </c>
    </row>
    <row r="4698" customFormat="false" ht="15" hidden="false" customHeight="false" outlineLevel="0" collapsed="false">
      <c r="A4698" s="22" t="n">
        <v>17</v>
      </c>
      <c r="B4698" s="23" t="n">
        <v>45586</v>
      </c>
      <c r="C4698" s="22" t="s">
        <v>250</v>
      </c>
      <c r="D4698" s="24" t="n">
        <v>25</v>
      </c>
    </row>
    <row r="4699" customFormat="false" ht="15" hidden="false" customHeight="false" outlineLevel="0" collapsed="false">
      <c r="A4699" s="22" t="n">
        <v>18</v>
      </c>
      <c r="B4699" s="23" t="n">
        <v>45593</v>
      </c>
      <c r="C4699" s="22" t="s">
        <v>250</v>
      </c>
      <c r="D4699" s="24" t="n">
        <v>35</v>
      </c>
    </row>
    <row r="4700" customFormat="false" ht="15" hidden="false" customHeight="false" outlineLevel="0" collapsed="false">
      <c r="A4700" s="22" t="n">
        <v>19</v>
      </c>
      <c r="B4700" s="23" t="n">
        <v>45600</v>
      </c>
      <c r="C4700" s="22" t="s">
        <v>250</v>
      </c>
      <c r="D4700" s="24" t="n">
        <v>27</v>
      </c>
    </row>
    <row r="4701" customFormat="false" ht="15" hidden="false" customHeight="false" outlineLevel="0" collapsed="false">
      <c r="A4701" s="22" t="n">
        <v>20</v>
      </c>
      <c r="B4701" s="23" t="n">
        <v>45607</v>
      </c>
      <c r="C4701" s="22" t="s">
        <v>250</v>
      </c>
      <c r="D4701" s="24" t="n">
        <v>45</v>
      </c>
    </row>
    <row r="4702" customFormat="false" ht="15" hidden="false" customHeight="false" outlineLevel="0" collapsed="false">
      <c r="A4702" s="22" t="n">
        <v>21</v>
      </c>
      <c r="B4702" s="23" t="n">
        <v>45614</v>
      </c>
      <c r="C4702" s="22" t="s">
        <v>250</v>
      </c>
      <c r="D4702" s="24" t="n">
        <v>37</v>
      </c>
    </row>
    <row r="4703" customFormat="false" ht="15" hidden="false" customHeight="false" outlineLevel="0" collapsed="false">
      <c r="A4703" s="22" t="n">
        <v>22</v>
      </c>
      <c r="B4703" s="23" t="n">
        <v>45621</v>
      </c>
      <c r="C4703" s="22" t="s">
        <v>250</v>
      </c>
      <c r="D4703" s="24" t="n">
        <v>30</v>
      </c>
    </row>
    <row r="4704" customFormat="false" ht="15" hidden="false" customHeight="false" outlineLevel="0" collapsed="false">
      <c r="A4704" s="22" t="n">
        <v>23</v>
      </c>
      <c r="B4704" s="23" t="n">
        <v>45628</v>
      </c>
      <c r="C4704" s="22" t="s">
        <v>250</v>
      </c>
      <c r="D4704" s="24" t="n">
        <v>40</v>
      </c>
    </row>
    <row r="4705" customFormat="false" ht="15" hidden="false" customHeight="false" outlineLevel="0" collapsed="false">
      <c r="A4705" s="22" t="n">
        <v>24</v>
      </c>
      <c r="B4705" s="23" t="n">
        <v>45635</v>
      </c>
      <c r="C4705" s="22" t="s">
        <v>250</v>
      </c>
      <c r="D4705" s="24" t="n">
        <v>33</v>
      </c>
    </row>
    <row r="4706" customFormat="false" ht="15" hidden="false" customHeight="false" outlineLevel="0" collapsed="false">
      <c r="A4706" s="22" t="n">
        <v>25</v>
      </c>
      <c r="B4706" s="23" t="n">
        <v>45642</v>
      </c>
      <c r="C4706" s="22" t="s">
        <v>250</v>
      </c>
      <c r="D4706" s="24" t="n">
        <v>40</v>
      </c>
    </row>
    <row r="4707" customFormat="false" ht="15" hidden="false" customHeight="false" outlineLevel="0" collapsed="false">
      <c r="A4707" s="22" t="n">
        <v>26</v>
      </c>
      <c r="B4707" s="23" t="n">
        <v>45649</v>
      </c>
      <c r="C4707" s="22" t="s">
        <v>250</v>
      </c>
      <c r="D4707" s="24" t="n">
        <v>38</v>
      </c>
    </row>
    <row r="4708" customFormat="false" ht="15" hidden="false" customHeight="false" outlineLevel="0" collapsed="false">
      <c r="A4708" s="22" t="n">
        <v>27</v>
      </c>
      <c r="B4708" s="23" t="n">
        <v>45656</v>
      </c>
      <c r="C4708" s="22" t="s">
        <v>250</v>
      </c>
      <c r="D4708" s="24" t="n">
        <v>32</v>
      </c>
    </row>
    <row r="4709" customFormat="false" ht="15" hidden="false" customHeight="false" outlineLevel="0" collapsed="false">
      <c r="A4709" s="22" t="n">
        <v>28</v>
      </c>
      <c r="B4709" s="23" t="n">
        <v>45663</v>
      </c>
      <c r="C4709" s="22" t="s">
        <v>250</v>
      </c>
      <c r="D4709" s="24" t="n">
        <v>41</v>
      </c>
    </row>
    <row r="4710" customFormat="false" ht="15" hidden="false" customHeight="false" outlineLevel="0" collapsed="false">
      <c r="A4710" s="22" t="n">
        <v>29</v>
      </c>
      <c r="B4710" s="23" t="n">
        <v>45670</v>
      </c>
      <c r="C4710" s="22" t="s">
        <v>250</v>
      </c>
      <c r="D4710" s="24" t="n">
        <v>32</v>
      </c>
    </row>
    <row r="4711" customFormat="false" ht="15" hidden="false" customHeight="false" outlineLevel="0" collapsed="false">
      <c r="A4711" s="22" t="n">
        <v>30</v>
      </c>
      <c r="B4711" s="23" t="n">
        <v>45677</v>
      </c>
      <c r="C4711" s="22" t="s">
        <v>250</v>
      </c>
      <c r="D4711" s="24" t="n">
        <v>46</v>
      </c>
    </row>
    <row r="4712" customFormat="false" ht="15" hidden="false" customHeight="false" outlineLevel="0" collapsed="false">
      <c r="A4712" s="22" t="n">
        <v>31</v>
      </c>
      <c r="B4712" s="23" t="n">
        <v>45684</v>
      </c>
      <c r="C4712" s="22" t="s">
        <v>250</v>
      </c>
      <c r="D4712" s="24" t="n">
        <v>39</v>
      </c>
    </row>
    <row r="4713" customFormat="false" ht="15" hidden="false" customHeight="false" outlineLevel="0" collapsed="false">
      <c r="A4713" s="22" t="n">
        <v>32</v>
      </c>
      <c r="B4713" s="23" t="n">
        <v>45691</v>
      </c>
      <c r="C4713" s="22" t="s">
        <v>250</v>
      </c>
      <c r="D4713" s="24" t="n">
        <v>34</v>
      </c>
    </row>
    <row r="4714" customFormat="false" ht="15" hidden="false" customHeight="false" outlineLevel="0" collapsed="false">
      <c r="A4714" s="22" t="n">
        <v>33</v>
      </c>
      <c r="B4714" s="23" t="n">
        <v>45698</v>
      </c>
      <c r="C4714" s="22" t="s">
        <v>250</v>
      </c>
      <c r="D4714" s="24" t="n">
        <v>30</v>
      </c>
    </row>
    <row r="4715" customFormat="false" ht="15" hidden="false" customHeight="false" outlineLevel="0" collapsed="false">
      <c r="A4715" s="22" t="n">
        <v>34</v>
      </c>
      <c r="B4715" s="23" t="n">
        <v>45705</v>
      </c>
      <c r="C4715" s="22" t="s">
        <v>250</v>
      </c>
      <c r="D4715" s="24" t="n">
        <v>49</v>
      </c>
    </row>
    <row r="4716" customFormat="false" ht="15" hidden="false" customHeight="false" outlineLevel="0" collapsed="false">
      <c r="A4716" s="22" t="n">
        <v>35</v>
      </c>
      <c r="B4716" s="23" t="n">
        <v>45712</v>
      </c>
      <c r="C4716" s="22" t="s">
        <v>250</v>
      </c>
      <c r="D4716" s="24" t="n">
        <v>48</v>
      </c>
    </row>
    <row r="4717" customFormat="false" ht="15" hidden="false" customHeight="false" outlineLevel="0" collapsed="false">
      <c r="A4717" s="22" t="n">
        <v>36</v>
      </c>
      <c r="B4717" s="23" t="n">
        <v>45719</v>
      </c>
      <c r="C4717" s="22" t="s">
        <v>250</v>
      </c>
      <c r="D4717" s="24" t="n">
        <v>34</v>
      </c>
    </row>
    <row r="4718" customFormat="false" ht="15" hidden="false" customHeight="false" outlineLevel="0" collapsed="false">
      <c r="A4718" s="22" t="n">
        <v>37</v>
      </c>
      <c r="B4718" s="23" t="n">
        <v>45726</v>
      </c>
      <c r="C4718" s="22" t="s">
        <v>250</v>
      </c>
      <c r="D4718" s="24" t="n">
        <v>50</v>
      </c>
    </row>
    <row r="4719" customFormat="false" ht="15" hidden="false" customHeight="false" outlineLevel="0" collapsed="false">
      <c r="A4719" s="22" t="n">
        <v>38</v>
      </c>
      <c r="B4719" s="23" t="n">
        <v>45733</v>
      </c>
      <c r="C4719" s="22" t="s">
        <v>250</v>
      </c>
      <c r="D4719" s="24" t="n">
        <v>42</v>
      </c>
    </row>
    <row r="4720" customFormat="false" ht="15" hidden="false" customHeight="false" outlineLevel="0" collapsed="false">
      <c r="A4720" s="22" t="n">
        <v>39</v>
      </c>
      <c r="B4720" s="23" t="n">
        <v>45740</v>
      </c>
      <c r="C4720" s="22" t="s">
        <v>250</v>
      </c>
      <c r="D4720" s="24" t="n">
        <v>40</v>
      </c>
    </row>
    <row r="4721" customFormat="false" ht="15" hidden="false" customHeight="false" outlineLevel="0" collapsed="false">
      <c r="A4721" s="22" t="n">
        <v>40</v>
      </c>
      <c r="B4721" s="23" t="n">
        <v>45747</v>
      </c>
      <c r="C4721" s="22" t="s">
        <v>250</v>
      </c>
      <c r="D4721" s="24" t="n">
        <v>42</v>
      </c>
    </row>
    <row r="4722" customFormat="false" ht="15" hidden="false" customHeight="false" outlineLevel="0" collapsed="false">
      <c r="A4722" s="22" t="n">
        <v>41</v>
      </c>
      <c r="B4722" s="23" t="n">
        <v>45754</v>
      </c>
      <c r="C4722" s="22" t="s">
        <v>250</v>
      </c>
      <c r="D4722" s="24" t="n">
        <v>41</v>
      </c>
    </row>
    <row r="4723" customFormat="false" ht="15" hidden="false" customHeight="false" outlineLevel="0" collapsed="false">
      <c r="A4723" s="22" t="n">
        <v>42</v>
      </c>
      <c r="B4723" s="23" t="n">
        <v>45761</v>
      </c>
      <c r="C4723" s="22" t="s">
        <v>250</v>
      </c>
      <c r="D4723" s="24" t="n">
        <v>51</v>
      </c>
    </row>
    <row r="4724" customFormat="false" ht="15" hidden="false" customHeight="false" outlineLevel="0" collapsed="false">
      <c r="A4724" s="22" t="n">
        <v>43</v>
      </c>
      <c r="B4724" s="23" t="n">
        <v>45768</v>
      </c>
      <c r="C4724" s="22" t="s">
        <v>250</v>
      </c>
      <c r="D4724" s="24" t="n">
        <v>44</v>
      </c>
    </row>
    <row r="4725" customFormat="false" ht="15" hidden="false" customHeight="false" outlineLevel="0" collapsed="false">
      <c r="A4725" s="22" t="n">
        <v>44</v>
      </c>
      <c r="B4725" s="23" t="n">
        <v>45775</v>
      </c>
      <c r="C4725" s="22" t="s">
        <v>250</v>
      </c>
      <c r="D4725" s="24" t="n">
        <v>33</v>
      </c>
    </row>
    <row r="4726" customFormat="false" ht="15" hidden="false" customHeight="false" outlineLevel="0" collapsed="false">
      <c r="A4726" s="22" t="n">
        <v>45</v>
      </c>
      <c r="B4726" s="23" t="n">
        <v>45782</v>
      </c>
      <c r="C4726" s="22" t="s">
        <v>250</v>
      </c>
      <c r="D4726" s="24" t="n">
        <v>56</v>
      </c>
    </row>
    <row r="4727" customFormat="false" ht="15" hidden="false" customHeight="false" outlineLevel="0" collapsed="false">
      <c r="A4727" s="22" t="n">
        <v>46</v>
      </c>
      <c r="B4727" s="23" t="n">
        <v>45789</v>
      </c>
      <c r="C4727" s="22" t="s">
        <v>250</v>
      </c>
      <c r="D4727" s="24" t="n">
        <v>49</v>
      </c>
    </row>
    <row r="4728" customFormat="false" ht="15" hidden="false" customHeight="false" outlineLevel="0" collapsed="false">
      <c r="A4728" s="22" t="n">
        <v>47</v>
      </c>
      <c r="B4728" s="23" t="n">
        <v>45796</v>
      </c>
      <c r="C4728" s="22" t="s">
        <v>250</v>
      </c>
      <c r="D4728" s="24" t="n">
        <v>38</v>
      </c>
    </row>
    <row r="4729" customFormat="false" ht="15" hidden="false" customHeight="false" outlineLevel="0" collapsed="false">
      <c r="A4729" s="22" t="n">
        <v>48</v>
      </c>
      <c r="B4729" s="23" t="n">
        <v>45803</v>
      </c>
      <c r="C4729" s="22" t="s">
        <v>250</v>
      </c>
      <c r="D4729" s="24" t="n">
        <v>43</v>
      </c>
    </row>
    <row r="4730" customFormat="false" ht="15" hidden="false" customHeight="false" outlineLevel="0" collapsed="false">
      <c r="A4730" s="22" t="n">
        <v>49</v>
      </c>
      <c r="B4730" s="23" t="n">
        <v>45810</v>
      </c>
      <c r="C4730" s="22" t="s">
        <v>250</v>
      </c>
      <c r="D4730" s="24" t="n">
        <v>40</v>
      </c>
    </row>
    <row r="4731" customFormat="false" ht="15" hidden="false" customHeight="false" outlineLevel="0" collapsed="false">
      <c r="A4731" s="22" t="n">
        <v>50</v>
      </c>
      <c r="B4731" s="23" t="n">
        <v>45817</v>
      </c>
      <c r="C4731" s="22" t="s">
        <v>250</v>
      </c>
      <c r="D4731" s="24" t="n">
        <v>46</v>
      </c>
    </row>
    <row r="4732" customFormat="false" ht="15" hidden="false" customHeight="false" outlineLevel="0" collapsed="false">
      <c r="A4732" s="22" t="n">
        <v>51</v>
      </c>
      <c r="B4732" s="23" t="n">
        <v>45824</v>
      </c>
      <c r="C4732" s="22" t="s">
        <v>250</v>
      </c>
      <c r="D4732" s="24" t="n">
        <v>48</v>
      </c>
    </row>
    <row r="4733" customFormat="false" ht="15" hidden="false" customHeight="false" outlineLevel="0" collapsed="false">
      <c r="A4733" s="22" t="n">
        <v>52</v>
      </c>
      <c r="B4733" s="23" t="n">
        <v>45831</v>
      </c>
      <c r="C4733" s="22" t="s">
        <v>250</v>
      </c>
      <c r="D4733" s="24" t="n">
        <v>47</v>
      </c>
    </row>
    <row r="4734" customFormat="false" ht="15" hidden="false" customHeight="false" outlineLevel="0" collapsed="false">
      <c r="A4734" s="22" t="n">
        <v>53</v>
      </c>
      <c r="B4734" s="23" t="n">
        <v>45838</v>
      </c>
      <c r="C4734" s="22" t="s">
        <v>250</v>
      </c>
      <c r="D4734" s="24" t="n">
        <v>43</v>
      </c>
    </row>
    <row r="4735" customFormat="false" ht="15" hidden="false" customHeight="false" outlineLevel="0" collapsed="false">
      <c r="A4735" s="22" t="n">
        <v>54</v>
      </c>
      <c r="B4735" s="23" t="n">
        <v>45845</v>
      </c>
      <c r="C4735" s="22" t="s">
        <v>250</v>
      </c>
      <c r="D4735" s="24" t="n">
        <v>42</v>
      </c>
    </row>
    <row r="4736" customFormat="false" ht="15" hidden="false" customHeight="false" outlineLevel="0" collapsed="false">
      <c r="A4736" s="22" t="n">
        <v>55</v>
      </c>
      <c r="B4736" s="23" t="n">
        <v>45852</v>
      </c>
      <c r="C4736" s="22" t="s">
        <v>250</v>
      </c>
      <c r="D4736" s="24" t="n">
        <v>52</v>
      </c>
    </row>
    <row r="4737" customFormat="false" ht="15" hidden="false" customHeight="false" outlineLevel="0" collapsed="false">
      <c r="A4737" s="22" t="n">
        <v>56</v>
      </c>
      <c r="B4737" s="23" t="n">
        <v>45859</v>
      </c>
      <c r="C4737" s="22" t="s">
        <v>250</v>
      </c>
      <c r="D4737" s="24" t="n">
        <v>47</v>
      </c>
    </row>
    <row r="4738" customFormat="false" ht="15" hidden="false" customHeight="false" outlineLevel="0" collapsed="false">
      <c r="A4738" s="22" t="n">
        <v>57</v>
      </c>
      <c r="B4738" s="23" t="n">
        <v>45866</v>
      </c>
      <c r="C4738" s="22" t="s">
        <v>250</v>
      </c>
      <c r="D4738" s="24" t="n">
        <v>62</v>
      </c>
    </row>
    <row r="4739" customFormat="false" ht="15" hidden="false" customHeight="false" outlineLevel="0" collapsed="false">
      <c r="A4739" s="22" t="n">
        <v>58</v>
      </c>
      <c r="B4739" s="23" t="n">
        <v>45873</v>
      </c>
      <c r="C4739" s="22" t="s">
        <v>250</v>
      </c>
      <c r="D4739" s="24" t="n">
        <v>43</v>
      </c>
    </row>
    <row r="4740" customFormat="false" ht="15" hidden="false" customHeight="false" outlineLevel="0" collapsed="false">
      <c r="A4740" s="22" t="n">
        <v>59</v>
      </c>
      <c r="B4740" s="23" t="n">
        <v>45880</v>
      </c>
      <c r="C4740" s="22" t="s">
        <v>250</v>
      </c>
      <c r="D4740" s="24" t="n">
        <v>53</v>
      </c>
    </row>
    <row r="4741" customFormat="false" ht="15" hidden="false" customHeight="false" outlineLevel="0" collapsed="false">
      <c r="A4741" s="22" t="n">
        <v>60</v>
      </c>
      <c r="B4741" s="23" t="n">
        <v>45887</v>
      </c>
      <c r="C4741" s="22" t="s">
        <v>250</v>
      </c>
      <c r="D4741" s="24" t="n">
        <v>49</v>
      </c>
    </row>
    <row r="4742" customFormat="false" ht="15" hidden="false" customHeight="false" outlineLevel="0" collapsed="false">
      <c r="A4742" s="22" t="n">
        <v>61</v>
      </c>
      <c r="B4742" s="23" t="n">
        <v>45894</v>
      </c>
      <c r="C4742" s="22" t="s">
        <v>250</v>
      </c>
      <c r="D4742" s="24" t="n">
        <v>44</v>
      </c>
    </row>
    <row r="4743" customFormat="false" ht="15" hidden="false" customHeight="false" outlineLevel="0" collapsed="false">
      <c r="A4743" s="22" t="n">
        <v>62</v>
      </c>
      <c r="B4743" s="23" t="n">
        <v>45901</v>
      </c>
      <c r="C4743" s="22" t="s">
        <v>250</v>
      </c>
      <c r="D4743" s="24" t="n">
        <v>58</v>
      </c>
    </row>
    <row r="4744" customFormat="false" ht="15" hidden="false" customHeight="false" outlineLevel="0" collapsed="false">
      <c r="A4744" s="22" t="n">
        <v>63</v>
      </c>
      <c r="B4744" s="23" t="n">
        <v>45908</v>
      </c>
      <c r="C4744" s="22" t="s">
        <v>250</v>
      </c>
      <c r="D4744" s="24" t="n">
        <v>50</v>
      </c>
    </row>
    <row r="4745" customFormat="false" ht="15" hidden="false" customHeight="false" outlineLevel="0" collapsed="false">
      <c r="A4745" s="22" t="n">
        <v>64</v>
      </c>
      <c r="B4745" s="23" t="n">
        <v>45915</v>
      </c>
      <c r="C4745" s="22" t="s">
        <v>250</v>
      </c>
      <c r="D4745" s="24" t="n">
        <v>44</v>
      </c>
    </row>
    <row r="4746" customFormat="false" ht="15" hidden="false" customHeight="false" outlineLevel="0" collapsed="false">
      <c r="A4746" s="22" t="n">
        <v>65</v>
      </c>
      <c r="B4746" s="23" t="n">
        <v>45922</v>
      </c>
      <c r="C4746" s="22" t="s">
        <v>250</v>
      </c>
      <c r="D4746" s="24" t="n">
        <v>48</v>
      </c>
    </row>
    <row r="4747" customFormat="false" ht="15" hidden="false" customHeight="false" outlineLevel="0" collapsed="false">
      <c r="A4747" s="22" t="n">
        <v>66</v>
      </c>
      <c r="B4747" s="23" t="n">
        <v>45929</v>
      </c>
      <c r="C4747" s="22" t="s">
        <v>250</v>
      </c>
      <c r="D4747" s="24" t="n">
        <v>57</v>
      </c>
    </row>
    <row r="4748" customFormat="false" ht="15" hidden="false" customHeight="false" outlineLevel="0" collapsed="false">
      <c r="A4748" s="22" t="n">
        <v>67</v>
      </c>
      <c r="B4748" s="23" t="n">
        <v>45936</v>
      </c>
      <c r="C4748" s="22" t="s">
        <v>250</v>
      </c>
      <c r="D4748" s="24" t="n">
        <v>43</v>
      </c>
    </row>
    <row r="4749" customFormat="false" ht="15" hidden="false" customHeight="false" outlineLevel="0" collapsed="false">
      <c r="A4749" s="22" t="n">
        <v>68</v>
      </c>
      <c r="B4749" s="23" t="n">
        <v>45943</v>
      </c>
      <c r="C4749" s="22" t="s">
        <v>250</v>
      </c>
      <c r="D4749" s="24" t="n">
        <v>60</v>
      </c>
    </row>
    <row r="4750" customFormat="false" ht="15" hidden="false" customHeight="false" outlineLevel="0" collapsed="false">
      <c r="A4750" s="22" t="n">
        <v>69</v>
      </c>
      <c r="B4750" s="23" t="n">
        <v>45950</v>
      </c>
      <c r="C4750" s="22" t="s">
        <v>250</v>
      </c>
      <c r="D4750" s="24" t="n">
        <v>56</v>
      </c>
    </row>
    <row r="4751" customFormat="false" ht="15" hidden="false" customHeight="false" outlineLevel="0" collapsed="false">
      <c r="A4751" s="22" t="n">
        <v>70</v>
      </c>
      <c r="B4751" s="23" t="n">
        <v>45957</v>
      </c>
      <c r="C4751" s="22" t="s">
        <v>250</v>
      </c>
      <c r="D4751" s="24" t="n">
        <v>50</v>
      </c>
    </row>
    <row r="4752" customFormat="false" ht="15" hidden="false" customHeight="false" outlineLevel="0" collapsed="false">
      <c r="A4752" s="22" t="n">
        <v>71</v>
      </c>
      <c r="B4752" s="23" t="n">
        <v>45964</v>
      </c>
      <c r="C4752" s="22" t="s">
        <v>250</v>
      </c>
      <c r="D4752" s="24" t="n">
        <v>61</v>
      </c>
    </row>
    <row r="4753" customFormat="false" ht="15" hidden="false" customHeight="false" outlineLevel="0" collapsed="false">
      <c r="A4753" s="22" t="n">
        <v>72</v>
      </c>
      <c r="B4753" s="23" t="n">
        <v>45971</v>
      </c>
      <c r="C4753" s="22" t="s">
        <v>250</v>
      </c>
      <c r="D4753" s="24" t="n">
        <v>65</v>
      </c>
    </row>
    <row r="4754" customFormat="false" ht="15" hidden="false" customHeight="false" outlineLevel="0" collapsed="false">
      <c r="A4754" s="22" t="n">
        <v>73</v>
      </c>
      <c r="B4754" s="23" t="n">
        <v>45978</v>
      </c>
      <c r="C4754" s="22" t="s">
        <v>250</v>
      </c>
      <c r="D4754" s="24" t="n">
        <v>57</v>
      </c>
    </row>
    <row r="4755" customFormat="false" ht="15" hidden="false" customHeight="false" outlineLevel="0" collapsed="false">
      <c r="A4755" s="22" t="n">
        <v>74</v>
      </c>
      <c r="B4755" s="23" t="n">
        <v>45985</v>
      </c>
      <c r="C4755" s="22" t="s">
        <v>250</v>
      </c>
      <c r="D4755" s="24" t="n">
        <v>54</v>
      </c>
    </row>
    <row r="4756" customFormat="false" ht="15" hidden="false" customHeight="false" outlineLevel="0" collapsed="false">
      <c r="A4756" s="22" t="n">
        <v>75</v>
      </c>
      <c r="B4756" s="23" t="n">
        <v>45992</v>
      </c>
      <c r="C4756" s="22" t="s">
        <v>250</v>
      </c>
      <c r="D4756" s="24" t="n">
        <v>66</v>
      </c>
    </row>
    <row r="4757" customFormat="false" ht="15" hidden="false" customHeight="false" outlineLevel="0" collapsed="false">
      <c r="A4757" s="22" t="n">
        <v>76</v>
      </c>
      <c r="B4757" s="23" t="n">
        <v>45999</v>
      </c>
      <c r="C4757" s="22" t="s">
        <v>250</v>
      </c>
      <c r="D4757" s="24" t="n">
        <v>64</v>
      </c>
    </row>
    <row r="4758" customFormat="false" ht="15" hidden="false" customHeight="false" outlineLevel="0" collapsed="false">
      <c r="A4758" s="22" t="n">
        <v>77</v>
      </c>
      <c r="B4758" s="23" t="n">
        <v>46006</v>
      </c>
      <c r="C4758" s="22" t="s">
        <v>250</v>
      </c>
      <c r="D4758" s="24" t="n">
        <v>48</v>
      </c>
    </row>
    <row r="4759" customFormat="false" ht="15" hidden="false" customHeight="false" outlineLevel="0" collapsed="false">
      <c r="A4759" s="22" t="n">
        <v>78</v>
      </c>
      <c r="B4759" s="23" t="n">
        <v>46013</v>
      </c>
      <c r="C4759" s="22" t="s">
        <v>250</v>
      </c>
      <c r="D4759" s="24" t="n">
        <v>53</v>
      </c>
    </row>
    <row r="4760" customFormat="false" ht="15" hidden="false" customHeight="false" outlineLevel="0" collapsed="false">
      <c r="A4760" s="22" t="n">
        <v>79</v>
      </c>
      <c r="B4760" s="23" t="n">
        <v>46020</v>
      </c>
      <c r="C4760" s="22" t="s">
        <v>250</v>
      </c>
      <c r="D4760" s="24" t="n">
        <v>53</v>
      </c>
    </row>
    <row r="4761" customFormat="false" ht="15" hidden="false" customHeight="false" outlineLevel="0" collapsed="false">
      <c r="A4761" s="22" t="n">
        <v>80</v>
      </c>
      <c r="B4761" s="23" t="n">
        <v>46027</v>
      </c>
      <c r="C4761" s="22" t="s">
        <v>250</v>
      </c>
      <c r="D4761" s="24" t="n">
        <v>52</v>
      </c>
    </row>
    <row r="4762" customFormat="false" ht="15" hidden="false" customHeight="false" outlineLevel="0" collapsed="false">
      <c r="A4762" s="22" t="n">
        <v>81</v>
      </c>
      <c r="B4762" s="23" t="n">
        <v>46034</v>
      </c>
      <c r="C4762" s="22" t="s">
        <v>250</v>
      </c>
      <c r="D4762" s="24" t="n">
        <v>45</v>
      </c>
    </row>
    <row r="4763" customFormat="false" ht="15" hidden="false" customHeight="false" outlineLevel="0" collapsed="false">
      <c r="A4763" s="22" t="n">
        <v>82</v>
      </c>
      <c r="B4763" s="23" t="n">
        <v>46041</v>
      </c>
      <c r="C4763" s="22" t="s">
        <v>250</v>
      </c>
      <c r="D4763" s="24" t="n">
        <v>62</v>
      </c>
    </row>
    <row r="4764" customFormat="false" ht="15" hidden="false" customHeight="false" outlineLevel="0" collapsed="false">
      <c r="A4764" s="22" t="n">
        <v>83</v>
      </c>
      <c r="B4764" s="23" t="n">
        <v>46048</v>
      </c>
      <c r="C4764" s="22" t="s">
        <v>250</v>
      </c>
      <c r="D4764" s="24" t="n">
        <v>57</v>
      </c>
    </row>
    <row r="4765" customFormat="false" ht="15" hidden="false" customHeight="false" outlineLevel="0" collapsed="false">
      <c r="A4765" s="22" t="n">
        <v>84</v>
      </c>
      <c r="B4765" s="23" t="n">
        <v>46055</v>
      </c>
      <c r="C4765" s="22" t="s">
        <v>250</v>
      </c>
      <c r="D4765" s="24" t="n">
        <v>57</v>
      </c>
    </row>
    <row r="4766" customFormat="false" ht="15" hidden="false" customHeight="false" outlineLevel="0" collapsed="false">
      <c r="A4766" s="22" t="n">
        <v>85</v>
      </c>
      <c r="B4766" s="23" t="n">
        <v>46062</v>
      </c>
      <c r="C4766" s="22" t="s">
        <v>250</v>
      </c>
      <c r="D4766" s="24" t="n">
        <v>67</v>
      </c>
    </row>
    <row r="4767" customFormat="false" ht="15" hidden="false" customHeight="false" outlineLevel="0" collapsed="false">
      <c r="A4767" s="22" t="n">
        <v>86</v>
      </c>
      <c r="B4767" s="23" t="n">
        <v>46069</v>
      </c>
      <c r="C4767" s="22" t="s">
        <v>250</v>
      </c>
      <c r="D4767" s="24" t="n">
        <v>53</v>
      </c>
    </row>
    <row r="4768" customFormat="false" ht="15" hidden="false" customHeight="false" outlineLevel="0" collapsed="false">
      <c r="A4768" s="22" t="n">
        <v>87</v>
      </c>
      <c r="B4768" s="23" t="n">
        <v>46076</v>
      </c>
      <c r="C4768" s="22" t="s">
        <v>250</v>
      </c>
      <c r="D4768" s="24" t="n">
        <v>57</v>
      </c>
    </row>
    <row r="4769" customFormat="false" ht="15" hidden="false" customHeight="false" outlineLevel="0" collapsed="false">
      <c r="A4769" s="22" t="n">
        <v>88</v>
      </c>
      <c r="B4769" s="23" t="n">
        <v>46083</v>
      </c>
      <c r="C4769" s="22" t="s">
        <v>250</v>
      </c>
      <c r="D4769" s="24" t="n">
        <v>60</v>
      </c>
    </row>
    <row r="4770" customFormat="false" ht="15" hidden="false" customHeight="false" outlineLevel="0" collapsed="false">
      <c r="A4770" s="22" t="n">
        <v>89</v>
      </c>
      <c r="B4770" s="23" t="n">
        <v>46090</v>
      </c>
      <c r="C4770" s="22" t="s">
        <v>250</v>
      </c>
      <c r="D4770" s="24" t="n">
        <v>55</v>
      </c>
    </row>
    <row r="4771" customFormat="false" ht="15" hidden="false" customHeight="false" outlineLevel="0" collapsed="false">
      <c r="A4771" s="22" t="n">
        <v>90</v>
      </c>
      <c r="B4771" s="23" t="n">
        <v>46097</v>
      </c>
      <c r="C4771" s="22" t="s">
        <v>250</v>
      </c>
      <c r="D4771" s="24" t="n">
        <v>58</v>
      </c>
    </row>
    <row r="4772" customFormat="false" ht="15" hidden="false" customHeight="false" outlineLevel="0" collapsed="false">
      <c r="A4772" s="22" t="n">
        <v>91</v>
      </c>
      <c r="B4772" s="23" t="n">
        <v>46104</v>
      </c>
      <c r="C4772" s="22" t="s">
        <v>250</v>
      </c>
      <c r="D4772" s="24" t="n">
        <v>65</v>
      </c>
    </row>
    <row r="4773" customFormat="false" ht="15" hidden="false" customHeight="false" outlineLevel="0" collapsed="false">
      <c r="A4773" s="22" t="n">
        <v>92</v>
      </c>
      <c r="B4773" s="23" t="n">
        <v>46111</v>
      </c>
      <c r="C4773" s="22" t="s">
        <v>250</v>
      </c>
      <c r="D4773" s="24" t="n">
        <v>59</v>
      </c>
    </row>
    <row r="4774" customFormat="false" ht="15" hidden="false" customHeight="false" outlineLevel="0" collapsed="false">
      <c r="A4774" s="22" t="n">
        <v>93</v>
      </c>
      <c r="B4774" s="23" t="n">
        <v>46118</v>
      </c>
      <c r="C4774" s="22" t="s">
        <v>250</v>
      </c>
      <c r="D4774" s="24" t="n">
        <v>70</v>
      </c>
    </row>
    <row r="4775" customFormat="false" ht="15" hidden="false" customHeight="false" outlineLevel="0" collapsed="false">
      <c r="A4775" s="22" t="n">
        <v>94</v>
      </c>
      <c r="B4775" s="23" t="n">
        <v>46125</v>
      </c>
      <c r="C4775" s="22" t="s">
        <v>250</v>
      </c>
      <c r="D4775" s="24" t="n">
        <v>54</v>
      </c>
    </row>
    <row r="4776" customFormat="false" ht="15" hidden="false" customHeight="false" outlineLevel="0" collapsed="false">
      <c r="A4776" s="22" t="n">
        <v>95</v>
      </c>
      <c r="B4776" s="23" t="n">
        <v>46132</v>
      </c>
      <c r="C4776" s="22" t="s">
        <v>250</v>
      </c>
      <c r="D4776" s="24" t="n">
        <v>62</v>
      </c>
    </row>
    <row r="4777" customFormat="false" ht="15" hidden="false" customHeight="false" outlineLevel="0" collapsed="false">
      <c r="A4777" s="22" t="n">
        <v>96</v>
      </c>
      <c r="B4777" s="23" t="n">
        <v>46139</v>
      </c>
      <c r="C4777" s="22" t="s">
        <v>250</v>
      </c>
      <c r="D4777" s="24" t="n">
        <v>49</v>
      </c>
    </row>
    <row r="4778" customFormat="false" ht="15" hidden="false" customHeight="false" outlineLevel="0" collapsed="false">
      <c r="A4778" s="22" t="n">
        <v>97</v>
      </c>
      <c r="B4778" s="23" t="n">
        <v>46146</v>
      </c>
      <c r="C4778" s="22" t="s">
        <v>250</v>
      </c>
      <c r="D4778" s="24" t="n">
        <v>60</v>
      </c>
    </row>
    <row r="4779" customFormat="false" ht="15" hidden="false" customHeight="false" outlineLevel="0" collapsed="false">
      <c r="A4779" s="22" t="n">
        <v>98</v>
      </c>
      <c r="B4779" s="23" t="n">
        <v>46153</v>
      </c>
      <c r="C4779" s="22" t="s">
        <v>250</v>
      </c>
      <c r="D4779" s="24" t="n">
        <v>55</v>
      </c>
    </row>
    <row r="4780" customFormat="false" ht="15" hidden="false" customHeight="false" outlineLevel="0" collapsed="false">
      <c r="A4780" s="22" t="n">
        <v>99</v>
      </c>
      <c r="B4780" s="23" t="n">
        <v>46160</v>
      </c>
      <c r="C4780" s="22" t="s">
        <v>250</v>
      </c>
      <c r="D4780" s="24" t="n">
        <v>72</v>
      </c>
    </row>
    <row r="4781" customFormat="false" ht="15" hidden="false" customHeight="false" outlineLevel="0" collapsed="false">
      <c r="A4781" s="22" t="n">
        <v>100</v>
      </c>
      <c r="B4781" s="23" t="n">
        <v>46167</v>
      </c>
      <c r="C4781" s="22" t="s">
        <v>250</v>
      </c>
      <c r="D4781" s="24" t="n">
        <v>68</v>
      </c>
    </row>
    <row r="4782" customFormat="false" ht="15" hidden="false" customHeight="false" outlineLevel="0" collapsed="false">
      <c r="A4782" s="22" t="n">
        <v>101</v>
      </c>
      <c r="B4782" s="23" t="n">
        <v>46174</v>
      </c>
      <c r="C4782" s="22" t="s">
        <v>250</v>
      </c>
      <c r="D4782" s="24" t="n">
        <v>66</v>
      </c>
    </row>
    <row r="4783" customFormat="false" ht="15" hidden="false" customHeight="false" outlineLevel="0" collapsed="false">
      <c r="A4783" s="22" t="n">
        <v>102</v>
      </c>
      <c r="B4783" s="23" t="n">
        <v>46181</v>
      </c>
      <c r="C4783" s="22" t="s">
        <v>250</v>
      </c>
      <c r="D4783" s="24" t="n">
        <v>77</v>
      </c>
    </row>
    <row r="4784" customFormat="false" ht="15" hidden="false" customHeight="false" outlineLevel="0" collapsed="false">
      <c r="A4784" s="22" t="n">
        <v>103</v>
      </c>
      <c r="B4784" s="23" t="n">
        <v>46188</v>
      </c>
      <c r="C4784" s="22" t="s">
        <v>250</v>
      </c>
      <c r="D4784" s="24" t="n">
        <v>75</v>
      </c>
    </row>
    <row r="4785" customFormat="false" ht="15" hidden="false" customHeight="false" outlineLevel="0" collapsed="false">
      <c r="A4785" s="22" t="n">
        <v>104</v>
      </c>
      <c r="B4785" s="23" t="n">
        <v>46195</v>
      </c>
      <c r="C4785" s="22" t="s">
        <v>250</v>
      </c>
      <c r="D4785" s="24" t="n">
        <v>69</v>
      </c>
    </row>
    <row r="4786" customFormat="false" ht="15" hidden="false" customHeight="false" outlineLevel="0" collapsed="false">
      <c r="A4786" s="22" t="n">
        <v>1</v>
      </c>
      <c r="B4786" s="23" t="n">
        <v>45474</v>
      </c>
      <c r="C4786" s="22" t="s">
        <v>252</v>
      </c>
      <c r="D4786" s="24" t="n">
        <v>18</v>
      </c>
    </row>
    <row r="4787" customFormat="false" ht="15" hidden="false" customHeight="false" outlineLevel="0" collapsed="false">
      <c r="A4787" s="22" t="n">
        <v>2</v>
      </c>
      <c r="B4787" s="23" t="n">
        <v>45481</v>
      </c>
      <c r="C4787" s="22" t="s">
        <v>252</v>
      </c>
      <c r="D4787" s="24" t="n">
        <v>35</v>
      </c>
    </row>
    <row r="4788" customFormat="false" ht="15" hidden="false" customHeight="false" outlineLevel="0" collapsed="false">
      <c r="A4788" s="22" t="n">
        <v>3</v>
      </c>
      <c r="B4788" s="23" t="n">
        <v>45488</v>
      </c>
      <c r="C4788" s="22" t="s">
        <v>252</v>
      </c>
      <c r="D4788" s="24" t="n">
        <v>31</v>
      </c>
    </row>
    <row r="4789" customFormat="false" ht="15" hidden="false" customHeight="false" outlineLevel="0" collapsed="false">
      <c r="A4789" s="22" t="n">
        <v>4</v>
      </c>
      <c r="B4789" s="23" t="n">
        <v>45495</v>
      </c>
      <c r="C4789" s="22" t="s">
        <v>252</v>
      </c>
      <c r="D4789" s="24" t="n">
        <v>27</v>
      </c>
    </row>
    <row r="4790" customFormat="false" ht="15" hidden="false" customHeight="false" outlineLevel="0" collapsed="false">
      <c r="A4790" s="22" t="n">
        <v>5</v>
      </c>
      <c r="B4790" s="23" t="n">
        <v>45502</v>
      </c>
      <c r="C4790" s="22" t="s">
        <v>252</v>
      </c>
      <c r="D4790" s="24" t="n">
        <v>32</v>
      </c>
    </row>
    <row r="4791" customFormat="false" ht="15" hidden="false" customHeight="false" outlineLevel="0" collapsed="false">
      <c r="A4791" s="22" t="n">
        <v>6</v>
      </c>
      <c r="B4791" s="23" t="n">
        <v>45509</v>
      </c>
      <c r="C4791" s="22" t="s">
        <v>252</v>
      </c>
      <c r="D4791" s="24" t="n">
        <v>16</v>
      </c>
    </row>
    <row r="4792" customFormat="false" ht="15" hidden="false" customHeight="false" outlineLevel="0" collapsed="false">
      <c r="A4792" s="22" t="n">
        <v>7</v>
      </c>
      <c r="B4792" s="23" t="n">
        <v>45516</v>
      </c>
      <c r="C4792" s="22" t="s">
        <v>252</v>
      </c>
      <c r="D4792" s="24" t="n">
        <v>52</v>
      </c>
    </row>
    <row r="4793" customFormat="false" ht="15" hidden="false" customHeight="false" outlineLevel="0" collapsed="false">
      <c r="A4793" s="22" t="n">
        <v>8</v>
      </c>
      <c r="B4793" s="23" t="n">
        <v>45523</v>
      </c>
      <c r="C4793" s="22" t="s">
        <v>252</v>
      </c>
      <c r="D4793" s="24" t="n">
        <v>22</v>
      </c>
    </row>
    <row r="4794" customFormat="false" ht="15" hidden="false" customHeight="false" outlineLevel="0" collapsed="false">
      <c r="A4794" s="22" t="n">
        <v>9</v>
      </c>
      <c r="B4794" s="23" t="n">
        <v>45530</v>
      </c>
      <c r="C4794" s="22" t="s">
        <v>252</v>
      </c>
      <c r="D4794" s="24" t="n">
        <v>27</v>
      </c>
    </row>
    <row r="4795" customFormat="false" ht="15" hidden="false" customHeight="false" outlineLevel="0" collapsed="false">
      <c r="A4795" s="22" t="n">
        <v>10</v>
      </c>
      <c r="B4795" s="23" t="n">
        <v>45537</v>
      </c>
      <c r="C4795" s="22" t="s">
        <v>252</v>
      </c>
      <c r="D4795" s="24" t="n">
        <v>42</v>
      </c>
    </row>
    <row r="4796" customFormat="false" ht="15" hidden="false" customHeight="false" outlineLevel="0" collapsed="false">
      <c r="A4796" s="22" t="n">
        <v>11</v>
      </c>
      <c r="B4796" s="23" t="n">
        <v>45544</v>
      </c>
      <c r="C4796" s="22" t="s">
        <v>252</v>
      </c>
      <c r="D4796" s="24" t="n">
        <v>16</v>
      </c>
    </row>
    <row r="4797" customFormat="false" ht="15" hidden="false" customHeight="false" outlineLevel="0" collapsed="false">
      <c r="A4797" s="22" t="n">
        <v>12</v>
      </c>
      <c r="B4797" s="23" t="n">
        <v>45551</v>
      </c>
      <c r="C4797" s="22" t="s">
        <v>252</v>
      </c>
      <c r="D4797" s="24" t="n">
        <v>46</v>
      </c>
    </row>
    <row r="4798" customFormat="false" ht="15" hidden="false" customHeight="false" outlineLevel="0" collapsed="false">
      <c r="A4798" s="22" t="n">
        <v>13</v>
      </c>
      <c r="B4798" s="23" t="n">
        <v>45558</v>
      </c>
      <c r="C4798" s="22" t="s">
        <v>252</v>
      </c>
      <c r="D4798" s="24" t="n">
        <v>46</v>
      </c>
    </row>
    <row r="4799" customFormat="false" ht="15" hidden="false" customHeight="false" outlineLevel="0" collapsed="false">
      <c r="A4799" s="22" t="n">
        <v>14</v>
      </c>
      <c r="B4799" s="23" t="n">
        <v>45565</v>
      </c>
      <c r="C4799" s="22" t="s">
        <v>252</v>
      </c>
      <c r="D4799" s="24" t="n">
        <v>31</v>
      </c>
    </row>
    <row r="4800" customFormat="false" ht="15" hidden="false" customHeight="false" outlineLevel="0" collapsed="false">
      <c r="A4800" s="22" t="n">
        <v>15</v>
      </c>
      <c r="B4800" s="23" t="n">
        <v>45572</v>
      </c>
      <c r="C4800" s="22" t="s">
        <v>252</v>
      </c>
      <c r="D4800" s="24" t="n">
        <v>22</v>
      </c>
    </row>
    <row r="4801" customFormat="false" ht="15" hidden="false" customHeight="false" outlineLevel="0" collapsed="false">
      <c r="A4801" s="22" t="n">
        <v>16</v>
      </c>
      <c r="B4801" s="23" t="n">
        <v>45579</v>
      </c>
      <c r="C4801" s="22" t="s">
        <v>252</v>
      </c>
      <c r="D4801" s="24" t="n">
        <v>29</v>
      </c>
    </row>
    <row r="4802" customFormat="false" ht="15" hidden="false" customHeight="false" outlineLevel="0" collapsed="false">
      <c r="A4802" s="22" t="n">
        <v>17</v>
      </c>
      <c r="B4802" s="23" t="n">
        <v>45586</v>
      </c>
      <c r="C4802" s="22" t="s">
        <v>252</v>
      </c>
      <c r="D4802" s="24" t="n">
        <v>13</v>
      </c>
    </row>
    <row r="4803" customFormat="false" ht="15" hidden="false" customHeight="false" outlineLevel="0" collapsed="false">
      <c r="A4803" s="22" t="n">
        <v>18</v>
      </c>
      <c r="B4803" s="23" t="n">
        <v>45593</v>
      </c>
      <c r="C4803" s="22" t="s">
        <v>252</v>
      </c>
      <c r="D4803" s="24" t="n">
        <v>51</v>
      </c>
    </row>
    <row r="4804" customFormat="false" ht="15" hidden="false" customHeight="false" outlineLevel="0" collapsed="false">
      <c r="A4804" s="22" t="n">
        <v>19</v>
      </c>
      <c r="B4804" s="23" t="n">
        <v>45600</v>
      </c>
      <c r="C4804" s="22" t="s">
        <v>252</v>
      </c>
      <c r="D4804" s="24" t="n">
        <v>36</v>
      </c>
    </row>
    <row r="4805" customFormat="false" ht="15" hidden="false" customHeight="false" outlineLevel="0" collapsed="false">
      <c r="A4805" s="22" t="n">
        <v>20</v>
      </c>
      <c r="B4805" s="23" t="n">
        <v>45607</v>
      </c>
      <c r="C4805" s="22" t="s">
        <v>252</v>
      </c>
      <c r="D4805" s="24" t="n">
        <v>26</v>
      </c>
    </row>
    <row r="4806" customFormat="false" ht="15" hidden="false" customHeight="false" outlineLevel="0" collapsed="false">
      <c r="A4806" s="22" t="n">
        <v>21</v>
      </c>
      <c r="B4806" s="23" t="n">
        <v>45614</v>
      </c>
      <c r="C4806" s="22" t="s">
        <v>252</v>
      </c>
      <c r="D4806" s="24" t="n">
        <v>24</v>
      </c>
    </row>
    <row r="4807" customFormat="false" ht="15" hidden="false" customHeight="false" outlineLevel="0" collapsed="false">
      <c r="A4807" s="22" t="n">
        <v>22</v>
      </c>
      <c r="B4807" s="23" t="n">
        <v>45621</v>
      </c>
      <c r="C4807" s="22" t="s">
        <v>252</v>
      </c>
      <c r="D4807" s="24" t="n">
        <v>42</v>
      </c>
    </row>
    <row r="4808" customFormat="false" ht="15" hidden="false" customHeight="false" outlineLevel="0" collapsed="false">
      <c r="A4808" s="22" t="n">
        <v>23</v>
      </c>
      <c r="B4808" s="23" t="n">
        <v>45628</v>
      </c>
      <c r="C4808" s="22" t="s">
        <v>252</v>
      </c>
      <c r="D4808" s="24" t="n">
        <v>53</v>
      </c>
    </row>
    <row r="4809" customFormat="false" ht="15" hidden="false" customHeight="false" outlineLevel="0" collapsed="false">
      <c r="A4809" s="22" t="n">
        <v>24</v>
      </c>
      <c r="B4809" s="23" t="n">
        <v>45635</v>
      </c>
      <c r="C4809" s="22" t="s">
        <v>252</v>
      </c>
      <c r="D4809" s="24" t="n">
        <v>20</v>
      </c>
    </row>
    <row r="4810" customFormat="false" ht="15" hidden="false" customHeight="false" outlineLevel="0" collapsed="false">
      <c r="A4810" s="22" t="n">
        <v>25</v>
      </c>
      <c r="B4810" s="23" t="n">
        <v>45642</v>
      </c>
      <c r="C4810" s="22" t="s">
        <v>252</v>
      </c>
      <c r="D4810" s="24" t="n">
        <v>28</v>
      </c>
    </row>
    <row r="4811" customFormat="false" ht="15" hidden="false" customHeight="false" outlineLevel="0" collapsed="false">
      <c r="A4811" s="22" t="n">
        <v>26</v>
      </c>
      <c r="B4811" s="23" t="n">
        <v>45649</v>
      </c>
      <c r="C4811" s="22" t="s">
        <v>252</v>
      </c>
      <c r="D4811" s="24" t="n">
        <v>14</v>
      </c>
    </row>
    <row r="4812" customFormat="false" ht="15" hidden="false" customHeight="false" outlineLevel="0" collapsed="false">
      <c r="A4812" s="22" t="n">
        <v>27</v>
      </c>
      <c r="B4812" s="23" t="n">
        <v>45656</v>
      </c>
      <c r="C4812" s="22" t="s">
        <v>252</v>
      </c>
      <c r="D4812" s="24" t="n">
        <v>43</v>
      </c>
    </row>
    <row r="4813" customFormat="false" ht="15" hidden="false" customHeight="false" outlineLevel="0" collapsed="false">
      <c r="A4813" s="22" t="n">
        <v>28</v>
      </c>
      <c r="B4813" s="23" t="n">
        <v>45663</v>
      </c>
      <c r="C4813" s="22" t="s">
        <v>252</v>
      </c>
      <c r="D4813" s="24" t="n">
        <v>37</v>
      </c>
    </row>
    <row r="4814" customFormat="false" ht="15" hidden="false" customHeight="false" outlineLevel="0" collapsed="false">
      <c r="A4814" s="22" t="n">
        <v>29</v>
      </c>
      <c r="B4814" s="23" t="n">
        <v>45670</v>
      </c>
      <c r="C4814" s="22" t="s">
        <v>252</v>
      </c>
      <c r="D4814" s="24" t="n">
        <v>61</v>
      </c>
    </row>
    <row r="4815" customFormat="false" ht="15" hidden="false" customHeight="false" outlineLevel="0" collapsed="false">
      <c r="A4815" s="22" t="n">
        <v>30</v>
      </c>
      <c r="B4815" s="23" t="n">
        <v>45677</v>
      </c>
      <c r="C4815" s="22" t="s">
        <v>252</v>
      </c>
      <c r="D4815" s="24" t="n">
        <v>34</v>
      </c>
    </row>
    <row r="4816" customFormat="false" ht="15" hidden="false" customHeight="false" outlineLevel="0" collapsed="false">
      <c r="A4816" s="22" t="n">
        <v>31</v>
      </c>
      <c r="B4816" s="23" t="n">
        <v>45684</v>
      </c>
      <c r="C4816" s="22" t="s">
        <v>252</v>
      </c>
      <c r="D4816" s="24" t="n">
        <v>30</v>
      </c>
    </row>
    <row r="4817" customFormat="false" ht="15" hidden="false" customHeight="false" outlineLevel="0" collapsed="false">
      <c r="A4817" s="22" t="n">
        <v>32</v>
      </c>
      <c r="B4817" s="23" t="n">
        <v>45691</v>
      </c>
      <c r="C4817" s="22" t="s">
        <v>252</v>
      </c>
      <c r="D4817" s="24" t="n">
        <v>27</v>
      </c>
    </row>
    <row r="4818" customFormat="false" ht="15" hidden="false" customHeight="false" outlineLevel="0" collapsed="false">
      <c r="A4818" s="22" t="n">
        <v>33</v>
      </c>
      <c r="B4818" s="23" t="n">
        <v>45698</v>
      </c>
      <c r="C4818" s="22" t="s">
        <v>252</v>
      </c>
      <c r="D4818" s="24" t="n">
        <v>45</v>
      </c>
    </row>
    <row r="4819" customFormat="false" ht="15" hidden="false" customHeight="false" outlineLevel="0" collapsed="false">
      <c r="A4819" s="22" t="n">
        <v>34</v>
      </c>
      <c r="B4819" s="23" t="n">
        <v>45705</v>
      </c>
      <c r="C4819" s="22" t="s">
        <v>252</v>
      </c>
      <c r="D4819" s="24" t="n">
        <v>16</v>
      </c>
    </row>
    <row r="4820" customFormat="false" ht="15" hidden="false" customHeight="false" outlineLevel="0" collapsed="false">
      <c r="A4820" s="22" t="n">
        <v>35</v>
      </c>
      <c r="B4820" s="23" t="n">
        <v>45712</v>
      </c>
      <c r="C4820" s="22" t="s">
        <v>252</v>
      </c>
      <c r="D4820" s="24" t="n">
        <v>44</v>
      </c>
    </row>
    <row r="4821" customFormat="false" ht="15" hidden="false" customHeight="false" outlineLevel="0" collapsed="false">
      <c r="A4821" s="22" t="n">
        <v>36</v>
      </c>
      <c r="B4821" s="23" t="n">
        <v>45719</v>
      </c>
      <c r="C4821" s="22" t="s">
        <v>252</v>
      </c>
      <c r="D4821" s="24" t="n">
        <v>38</v>
      </c>
    </row>
    <row r="4822" customFormat="false" ht="15" hidden="false" customHeight="false" outlineLevel="0" collapsed="false">
      <c r="A4822" s="22" t="n">
        <v>37</v>
      </c>
      <c r="B4822" s="23" t="n">
        <v>45726</v>
      </c>
      <c r="C4822" s="22" t="s">
        <v>252</v>
      </c>
      <c r="D4822" s="24" t="n">
        <v>29</v>
      </c>
    </row>
    <row r="4823" customFormat="false" ht="15" hidden="false" customHeight="false" outlineLevel="0" collapsed="false">
      <c r="A4823" s="22" t="n">
        <v>38</v>
      </c>
      <c r="B4823" s="23" t="n">
        <v>45733</v>
      </c>
      <c r="C4823" s="22" t="s">
        <v>252</v>
      </c>
      <c r="D4823" s="24" t="n">
        <v>24</v>
      </c>
    </row>
    <row r="4824" customFormat="false" ht="15" hidden="false" customHeight="false" outlineLevel="0" collapsed="false">
      <c r="A4824" s="22" t="n">
        <v>39</v>
      </c>
      <c r="B4824" s="23" t="n">
        <v>45740</v>
      </c>
      <c r="C4824" s="22" t="s">
        <v>252</v>
      </c>
      <c r="D4824" s="24" t="n">
        <v>47</v>
      </c>
    </row>
    <row r="4825" customFormat="false" ht="15" hidden="false" customHeight="false" outlineLevel="0" collapsed="false">
      <c r="A4825" s="22" t="n">
        <v>40</v>
      </c>
      <c r="B4825" s="23" t="n">
        <v>45747</v>
      </c>
      <c r="C4825" s="22" t="s">
        <v>252</v>
      </c>
      <c r="D4825" s="24" t="n">
        <v>57</v>
      </c>
    </row>
    <row r="4826" customFormat="false" ht="15" hidden="false" customHeight="false" outlineLevel="0" collapsed="false">
      <c r="A4826" s="22" t="n">
        <v>41</v>
      </c>
      <c r="B4826" s="23" t="n">
        <v>45754</v>
      </c>
      <c r="C4826" s="22" t="s">
        <v>252</v>
      </c>
      <c r="D4826" s="24" t="n">
        <v>30</v>
      </c>
    </row>
    <row r="4827" customFormat="false" ht="15" hidden="false" customHeight="false" outlineLevel="0" collapsed="false">
      <c r="A4827" s="22" t="n">
        <v>42</v>
      </c>
      <c r="B4827" s="23" t="n">
        <v>45761</v>
      </c>
      <c r="C4827" s="22" t="s">
        <v>252</v>
      </c>
      <c r="D4827" s="24" t="n">
        <v>41</v>
      </c>
    </row>
    <row r="4828" customFormat="false" ht="15" hidden="false" customHeight="false" outlineLevel="0" collapsed="false">
      <c r="A4828" s="22" t="n">
        <v>43</v>
      </c>
      <c r="B4828" s="23" t="n">
        <v>45768</v>
      </c>
      <c r="C4828" s="22" t="s">
        <v>252</v>
      </c>
      <c r="D4828" s="24" t="n">
        <v>55</v>
      </c>
    </row>
    <row r="4829" customFormat="false" ht="15" hidden="false" customHeight="false" outlineLevel="0" collapsed="false">
      <c r="A4829" s="22" t="n">
        <v>44</v>
      </c>
      <c r="B4829" s="23" t="n">
        <v>45775</v>
      </c>
      <c r="C4829" s="22" t="s">
        <v>252</v>
      </c>
      <c r="D4829" s="24" t="n">
        <v>28</v>
      </c>
    </row>
    <row r="4830" customFormat="false" ht="15" hidden="false" customHeight="false" outlineLevel="0" collapsed="false">
      <c r="A4830" s="22" t="n">
        <v>45</v>
      </c>
      <c r="B4830" s="23" t="n">
        <v>45782</v>
      </c>
      <c r="C4830" s="22" t="s">
        <v>252</v>
      </c>
      <c r="D4830" s="24" t="n">
        <v>32</v>
      </c>
    </row>
    <row r="4831" customFormat="false" ht="15" hidden="false" customHeight="false" outlineLevel="0" collapsed="false">
      <c r="A4831" s="22" t="n">
        <v>46</v>
      </c>
      <c r="B4831" s="23" t="n">
        <v>45789</v>
      </c>
      <c r="C4831" s="22" t="s">
        <v>252</v>
      </c>
      <c r="D4831" s="24" t="n">
        <v>21</v>
      </c>
    </row>
    <row r="4832" customFormat="false" ht="15" hidden="false" customHeight="false" outlineLevel="0" collapsed="false">
      <c r="A4832" s="22" t="n">
        <v>47</v>
      </c>
      <c r="B4832" s="23" t="n">
        <v>45796</v>
      </c>
      <c r="C4832" s="22" t="s">
        <v>252</v>
      </c>
      <c r="D4832" s="24" t="n">
        <v>33</v>
      </c>
    </row>
    <row r="4833" customFormat="false" ht="15" hidden="false" customHeight="false" outlineLevel="0" collapsed="false">
      <c r="A4833" s="22" t="n">
        <v>48</v>
      </c>
      <c r="B4833" s="23" t="n">
        <v>45803</v>
      </c>
      <c r="C4833" s="22" t="s">
        <v>252</v>
      </c>
      <c r="D4833" s="24" t="n">
        <v>34</v>
      </c>
    </row>
    <row r="4834" customFormat="false" ht="15" hidden="false" customHeight="false" outlineLevel="0" collapsed="false">
      <c r="A4834" s="22" t="n">
        <v>49</v>
      </c>
      <c r="B4834" s="23" t="n">
        <v>45810</v>
      </c>
      <c r="C4834" s="22" t="s">
        <v>252</v>
      </c>
      <c r="D4834" s="24" t="n">
        <v>30</v>
      </c>
    </row>
    <row r="4835" customFormat="false" ht="15" hidden="false" customHeight="false" outlineLevel="0" collapsed="false">
      <c r="A4835" s="22" t="n">
        <v>50</v>
      </c>
      <c r="B4835" s="23" t="n">
        <v>45817</v>
      </c>
      <c r="C4835" s="22" t="s">
        <v>252</v>
      </c>
      <c r="D4835" s="24" t="n">
        <v>26</v>
      </c>
    </row>
    <row r="4836" customFormat="false" ht="15" hidden="false" customHeight="false" outlineLevel="0" collapsed="false">
      <c r="A4836" s="22" t="n">
        <v>51</v>
      </c>
      <c r="B4836" s="23" t="n">
        <v>45824</v>
      </c>
      <c r="C4836" s="22" t="s">
        <v>252</v>
      </c>
      <c r="D4836" s="24" t="n">
        <v>16</v>
      </c>
    </row>
    <row r="4837" customFormat="false" ht="15" hidden="false" customHeight="false" outlineLevel="0" collapsed="false">
      <c r="A4837" s="22" t="n">
        <v>52</v>
      </c>
      <c r="B4837" s="23" t="n">
        <v>45831</v>
      </c>
      <c r="C4837" s="22" t="s">
        <v>252</v>
      </c>
      <c r="D4837" s="24" t="n">
        <v>19</v>
      </c>
    </row>
    <row r="4838" customFormat="false" ht="15" hidden="false" customHeight="false" outlineLevel="0" collapsed="false">
      <c r="A4838" s="22" t="n">
        <v>53</v>
      </c>
      <c r="B4838" s="23" t="n">
        <v>45838</v>
      </c>
      <c r="C4838" s="22" t="s">
        <v>252</v>
      </c>
      <c r="D4838" s="24" t="n">
        <v>24</v>
      </c>
    </row>
    <row r="4839" customFormat="false" ht="15" hidden="false" customHeight="false" outlineLevel="0" collapsed="false">
      <c r="A4839" s="22" t="n">
        <v>54</v>
      </c>
      <c r="B4839" s="23" t="n">
        <v>45845</v>
      </c>
      <c r="C4839" s="22" t="s">
        <v>252</v>
      </c>
      <c r="D4839" s="24" t="n">
        <v>43</v>
      </c>
    </row>
    <row r="4840" customFormat="false" ht="15" hidden="false" customHeight="false" outlineLevel="0" collapsed="false">
      <c r="A4840" s="22" t="n">
        <v>55</v>
      </c>
      <c r="B4840" s="23" t="n">
        <v>45852</v>
      </c>
      <c r="C4840" s="22" t="s">
        <v>252</v>
      </c>
      <c r="D4840" s="24" t="n">
        <v>29</v>
      </c>
    </row>
    <row r="4841" customFormat="false" ht="15" hidden="false" customHeight="false" outlineLevel="0" collapsed="false">
      <c r="A4841" s="22" t="n">
        <v>56</v>
      </c>
      <c r="B4841" s="23" t="n">
        <v>45859</v>
      </c>
      <c r="C4841" s="22" t="s">
        <v>252</v>
      </c>
      <c r="D4841" s="24" t="n">
        <v>25</v>
      </c>
    </row>
    <row r="4842" customFormat="false" ht="15" hidden="false" customHeight="false" outlineLevel="0" collapsed="false">
      <c r="A4842" s="22" t="n">
        <v>57</v>
      </c>
      <c r="B4842" s="23" t="n">
        <v>45866</v>
      </c>
      <c r="C4842" s="22" t="s">
        <v>252</v>
      </c>
      <c r="D4842" s="24" t="n">
        <v>43</v>
      </c>
    </row>
    <row r="4843" customFormat="false" ht="15" hidden="false" customHeight="false" outlineLevel="0" collapsed="false">
      <c r="A4843" s="22" t="n">
        <v>58</v>
      </c>
      <c r="B4843" s="23" t="n">
        <v>45873</v>
      </c>
      <c r="C4843" s="22" t="s">
        <v>252</v>
      </c>
      <c r="D4843" s="24" t="n">
        <v>42</v>
      </c>
    </row>
    <row r="4844" customFormat="false" ht="15" hidden="false" customHeight="false" outlineLevel="0" collapsed="false">
      <c r="A4844" s="22" t="n">
        <v>59</v>
      </c>
      <c r="B4844" s="23" t="n">
        <v>45880</v>
      </c>
      <c r="C4844" s="22" t="s">
        <v>252</v>
      </c>
      <c r="D4844" s="24" t="n">
        <v>26</v>
      </c>
    </row>
    <row r="4845" customFormat="false" ht="15" hidden="false" customHeight="false" outlineLevel="0" collapsed="false">
      <c r="A4845" s="22" t="n">
        <v>60</v>
      </c>
      <c r="B4845" s="23" t="n">
        <v>45887</v>
      </c>
      <c r="C4845" s="22" t="s">
        <v>252</v>
      </c>
      <c r="D4845" s="24" t="n">
        <v>28</v>
      </c>
    </row>
    <row r="4846" customFormat="false" ht="15" hidden="false" customHeight="false" outlineLevel="0" collapsed="false">
      <c r="A4846" s="22" t="n">
        <v>61</v>
      </c>
      <c r="B4846" s="23" t="n">
        <v>45894</v>
      </c>
      <c r="C4846" s="22" t="s">
        <v>252</v>
      </c>
      <c r="D4846" s="24" t="n">
        <v>43</v>
      </c>
    </row>
    <row r="4847" customFormat="false" ht="15" hidden="false" customHeight="false" outlineLevel="0" collapsed="false">
      <c r="A4847" s="22" t="n">
        <v>62</v>
      </c>
      <c r="B4847" s="23" t="n">
        <v>45901</v>
      </c>
      <c r="C4847" s="22" t="s">
        <v>252</v>
      </c>
      <c r="D4847" s="24" t="n">
        <v>39</v>
      </c>
    </row>
    <row r="4848" customFormat="false" ht="15" hidden="false" customHeight="false" outlineLevel="0" collapsed="false">
      <c r="A4848" s="22" t="n">
        <v>63</v>
      </c>
      <c r="B4848" s="23" t="n">
        <v>45908</v>
      </c>
      <c r="C4848" s="22" t="s">
        <v>252</v>
      </c>
      <c r="D4848" s="24" t="n">
        <v>25</v>
      </c>
    </row>
    <row r="4849" customFormat="false" ht="15" hidden="false" customHeight="false" outlineLevel="0" collapsed="false">
      <c r="A4849" s="22" t="n">
        <v>64</v>
      </c>
      <c r="B4849" s="23" t="n">
        <v>45915</v>
      </c>
      <c r="C4849" s="22" t="s">
        <v>252</v>
      </c>
      <c r="D4849" s="24" t="n">
        <v>38</v>
      </c>
    </row>
    <row r="4850" customFormat="false" ht="15" hidden="false" customHeight="false" outlineLevel="0" collapsed="false">
      <c r="A4850" s="22" t="n">
        <v>65</v>
      </c>
      <c r="B4850" s="23" t="n">
        <v>45922</v>
      </c>
      <c r="C4850" s="22" t="s">
        <v>252</v>
      </c>
      <c r="D4850" s="24" t="n">
        <v>35</v>
      </c>
    </row>
    <row r="4851" customFormat="false" ht="15" hidden="false" customHeight="false" outlineLevel="0" collapsed="false">
      <c r="A4851" s="22" t="n">
        <v>66</v>
      </c>
      <c r="B4851" s="23" t="n">
        <v>45929</v>
      </c>
      <c r="C4851" s="22" t="s">
        <v>252</v>
      </c>
      <c r="D4851" s="24" t="n">
        <v>48</v>
      </c>
    </row>
    <row r="4852" customFormat="false" ht="15" hidden="false" customHeight="false" outlineLevel="0" collapsed="false">
      <c r="A4852" s="22" t="n">
        <v>67</v>
      </c>
      <c r="B4852" s="23" t="n">
        <v>45936</v>
      </c>
      <c r="C4852" s="22" t="s">
        <v>252</v>
      </c>
      <c r="D4852" s="24" t="n">
        <v>25</v>
      </c>
    </row>
    <row r="4853" customFormat="false" ht="15" hidden="false" customHeight="false" outlineLevel="0" collapsed="false">
      <c r="A4853" s="22" t="n">
        <v>68</v>
      </c>
      <c r="B4853" s="23" t="n">
        <v>45943</v>
      </c>
      <c r="C4853" s="22" t="s">
        <v>252</v>
      </c>
      <c r="D4853" s="24" t="n">
        <v>45</v>
      </c>
    </row>
    <row r="4854" customFormat="false" ht="15" hidden="false" customHeight="false" outlineLevel="0" collapsed="false">
      <c r="A4854" s="22" t="n">
        <v>69</v>
      </c>
      <c r="B4854" s="23" t="n">
        <v>45950</v>
      </c>
      <c r="C4854" s="22" t="s">
        <v>252</v>
      </c>
      <c r="D4854" s="24" t="n">
        <v>40</v>
      </c>
    </row>
    <row r="4855" customFormat="false" ht="15" hidden="false" customHeight="false" outlineLevel="0" collapsed="false">
      <c r="A4855" s="22" t="n">
        <v>70</v>
      </c>
      <c r="B4855" s="23" t="n">
        <v>45957</v>
      </c>
      <c r="C4855" s="22" t="s">
        <v>252</v>
      </c>
      <c r="D4855" s="24" t="n">
        <v>23</v>
      </c>
    </row>
    <row r="4856" customFormat="false" ht="15" hidden="false" customHeight="false" outlineLevel="0" collapsed="false">
      <c r="A4856" s="22" t="n">
        <v>71</v>
      </c>
      <c r="B4856" s="23" t="n">
        <v>45964</v>
      </c>
      <c r="C4856" s="22" t="s">
        <v>252</v>
      </c>
      <c r="D4856" s="24" t="n">
        <v>47</v>
      </c>
    </row>
    <row r="4857" customFormat="false" ht="15" hidden="false" customHeight="false" outlineLevel="0" collapsed="false">
      <c r="A4857" s="22" t="n">
        <v>72</v>
      </c>
      <c r="B4857" s="23" t="n">
        <v>45971</v>
      </c>
      <c r="C4857" s="22" t="s">
        <v>252</v>
      </c>
      <c r="D4857" s="24" t="n">
        <v>46</v>
      </c>
    </row>
    <row r="4858" customFormat="false" ht="15" hidden="false" customHeight="false" outlineLevel="0" collapsed="false">
      <c r="A4858" s="22" t="n">
        <v>73</v>
      </c>
      <c r="B4858" s="23" t="n">
        <v>45978</v>
      </c>
      <c r="C4858" s="22" t="s">
        <v>252</v>
      </c>
      <c r="D4858" s="24" t="n">
        <v>19</v>
      </c>
    </row>
    <row r="4859" customFormat="false" ht="15" hidden="false" customHeight="false" outlineLevel="0" collapsed="false">
      <c r="A4859" s="22" t="n">
        <v>74</v>
      </c>
      <c r="B4859" s="23" t="n">
        <v>45985</v>
      </c>
      <c r="C4859" s="22" t="s">
        <v>252</v>
      </c>
      <c r="D4859" s="24" t="n">
        <v>58</v>
      </c>
    </row>
    <row r="4860" customFormat="false" ht="15" hidden="false" customHeight="false" outlineLevel="0" collapsed="false">
      <c r="A4860" s="22" t="n">
        <v>75</v>
      </c>
      <c r="B4860" s="23" t="n">
        <v>45992</v>
      </c>
      <c r="C4860" s="22" t="s">
        <v>252</v>
      </c>
      <c r="D4860" s="24" t="n">
        <v>21</v>
      </c>
    </row>
    <row r="4861" customFormat="false" ht="15" hidden="false" customHeight="false" outlineLevel="0" collapsed="false">
      <c r="A4861" s="22" t="n">
        <v>76</v>
      </c>
      <c r="B4861" s="23" t="n">
        <v>45999</v>
      </c>
      <c r="C4861" s="22" t="s">
        <v>252</v>
      </c>
      <c r="D4861" s="24" t="n">
        <v>24</v>
      </c>
    </row>
    <row r="4862" customFormat="false" ht="15" hidden="false" customHeight="false" outlineLevel="0" collapsed="false">
      <c r="A4862" s="22" t="n">
        <v>77</v>
      </c>
      <c r="B4862" s="23" t="n">
        <v>46006</v>
      </c>
      <c r="C4862" s="22" t="s">
        <v>252</v>
      </c>
      <c r="D4862" s="24" t="n">
        <v>31</v>
      </c>
    </row>
    <row r="4863" customFormat="false" ht="15" hidden="false" customHeight="false" outlineLevel="0" collapsed="false">
      <c r="A4863" s="22" t="n">
        <v>78</v>
      </c>
      <c r="B4863" s="23" t="n">
        <v>46013</v>
      </c>
      <c r="C4863" s="22" t="s">
        <v>252</v>
      </c>
      <c r="D4863" s="24" t="n">
        <v>44</v>
      </c>
    </row>
    <row r="4864" customFormat="false" ht="15" hidden="false" customHeight="false" outlineLevel="0" collapsed="false">
      <c r="A4864" s="22" t="n">
        <v>79</v>
      </c>
      <c r="B4864" s="23" t="n">
        <v>46020</v>
      </c>
      <c r="C4864" s="22" t="s">
        <v>252</v>
      </c>
      <c r="D4864" s="24" t="n">
        <v>42</v>
      </c>
    </row>
    <row r="4865" customFormat="false" ht="15" hidden="false" customHeight="false" outlineLevel="0" collapsed="false">
      <c r="A4865" s="22" t="n">
        <v>80</v>
      </c>
      <c r="B4865" s="23" t="n">
        <v>46027</v>
      </c>
      <c r="C4865" s="22" t="s">
        <v>252</v>
      </c>
      <c r="D4865" s="24" t="n">
        <v>34</v>
      </c>
    </row>
    <row r="4866" customFormat="false" ht="15" hidden="false" customHeight="false" outlineLevel="0" collapsed="false">
      <c r="A4866" s="22" t="n">
        <v>81</v>
      </c>
      <c r="B4866" s="23" t="n">
        <v>46034</v>
      </c>
      <c r="C4866" s="22" t="s">
        <v>252</v>
      </c>
      <c r="D4866" s="24" t="n">
        <v>51</v>
      </c>
    </row>
    <row r="4867" customFormat="false" ht="15" hidden="false" customHeight="false" outlineLevel="0" collapsed="false">
      <c r="A4867" s="22" t="n">
        <v>82</v>
      </c>
      <c r="B4867" s="23" t="n">
        <v>46041</v>
      </c>
      <c r="C4867" s="22" t="s">
        <v>252</v>
      </c>
      <c r="D4867" s="24" t="n">
        <v>40</v>
      </c>
    </row>
    <row r="4868" customFormat="false" ht="15" hidden="false" customHeight="false" outlineLevel="0" collapsed="false">
      <c r="A4868" s="22" t="n">
        <v>83</v>
      </c>
      <c r="B4868" s="23" t="n">
        <v>46048</v>
      </c>
      <c r="C4868" s="22" t="s">
        <v>252</v>
      </c>
      <c r="D4868" s="24" t="n">
        <v>52</v>
      </c>
    </row>
    <row r="4869" customFormat="false" ht="15" hidden="false" customHeight="false" outlineLevel="0" collapsed="false">
      <c r="A4869" s="22" t="n">
        <v>84</v>
      </c>
      <c r="B4869" s="23" t="n">
        <v>46055</v>
      </c>
      <c r="C4869" s="22" t="s">
        <v>252</v>
      </c>
      <c r="D4869" s="24" t="n">
        <v>68</v>
      </c>
    </row>
    <row r="4870" customFormat="false" ht="15" hidden="false" customHeight="false" outlineLevel="0" collapsed="false">
      <c r="A4870" s="22" t="n">
        <v>85</v>
      </c>
      <c r="B4870" s="23" t="n">
        <v>46062</v>
      </c>
      <c r="C4870" s="22" t="s">
        <v>252</v>
      </c>
      <c r="D4870" s="24" t="n">
        <v>37</v>
      </c>
    </row>
    <row r="4871" customFormat="false" ht="15" hidden="false" customHeight="false" outlineLevel="0" collapsed="false">
      <c r="A4871" s="22" t="n">
        <v>86</v>
      </c>
      <c r="B4871" s="23" t="n">
        <v>46069</v>
      </c>
      <c r="C4871" s="22" t="s">
        <v>252</v>
      </c>
      <c r="D4871" s="24" t="n">
        <v>4</v>
      </c>
    </row>
    <row r="4872" customFormat="false" ht="15" hidden="false" customHeight="false" outlineLevel="0" collapsed="false">
      <c r="A4872" s="22" t="n">
        <v>87</v>
      </c>
      <c r="B4872" s="23" t="n">
        <v>46076</v>
      </c>
      <c r="C4872" s="22" t="s">
        <v>252</v>
      </c>
      <c r="D4872" s="24" t="n">
        <v>30</v>
      </c>
    </row>
    <row r="4873" customFormat="false" ht="15" hidden="false" customHeight="false" outlineLevel="0" collapsed="false">
      <c r="A4873" s="22" t="n">
        <v>88</v>
      </c>
      <c r="B4873" s="23" t="n">
        <v>46083</v>
      </c>
      <c r="C4873" s="22" t="s">
        <v>252</v>
      </c>
      <c r="D4873" s="24" t="n">
        <v>22</v>
      </c>
    </row>
    <row r="4874" customFormat="false" ht="15" hidden="false" customHeight="false" outlineLevel="0" collapsed="false">
      <c r="A4874" s="22" t="n">
        <v>89</v>
      </c>
      <c r="B4874" s="23" t="n">
        <v>46090</v>
      </c>
      <c r="C4874" s="22" t="s">
        <v>252</v>
      </c>
      <c r="D4874" s="24" t="n">
        <v>36</v>
      </c>
    </row>
    <row r="4875" customFormat="false" ht="15" hidden="false" customHeight="false" outlineLevel="0" collapsed="false">
      <c r="A4875" s="22" t="n">
        <v>90</v>
      </c>
      <c r="B4875" s="23" t="n">
        <v>46097</v>
      </c>
      <c r="C4875" s="22" t="s">
        <v>252</v>
      </c>
      <c r="D4875" s="24" t="n">
        <v>36</v>
      </c>
    </row>
    <row r="4876" customFormat="false" ht="15" hidden="false" customHeight="false" outlineLevel="0" collapsed="false">
      <c r="A4876" s="22" t="n">
        <v>91</v>
      </c>
      <c r="B4876" s="23" t="n">
        <v>46104</v>
      </c>
      <c r="C4876" s="22" t="s">
        <v>252</v>
      </c>
      <c r="D4876" s="24" t="n">
        <v>20</v>
      </c>
    </row>
    <row r="4877" customFormat="false" ht="15" hidden="false" customHeight="false" outlineLevel="0" collapsed="false">
      <c r="A4877" s="22" t="n">
        <v>92</v>
      </c>
      <c r="B4877" s="23" t="n">
        <v>46111</v>
      </c>
      <c r="C4877" s="22" t="s">
        <v>252</v>
      </c>
      <c r="D4877" s="24" t="n">
        <v>21</v>
      </c>
    </row>
    <row r="4878" customFormat="false" ht="15" hidden="false" customHeight="false" outlineLevel="0" collapsed="false">
      <c r="A4878" s="22" t="n">
        <v>93</v>
      </c>
      <c r="B4878" s="23" t="n">
        <v>46118</v>
      </c>
      <c r="C4878" s="22" t="s">
        <v>252</v>
      </c>
      <c r="D4878" s="24" t="n">
        <v>32</v>
      </c>
    </row>
    <row r="4879" customFormat="false" ht="15" hidden="false" customHeight="false" outlineLevel="0" collapsed="false">
      <c r="A4879" s="22" t="n">
        <v>94</v>
      </c>
      <c r="B4879" s="23" t="n">
        <v>46125</v>
      </c>
      <c r="C4879" s="22" t="s">
        <v>252</v>
      </c>
      <c r="D4879" s="24" t="n">
        <v>33</v>
      </c>
    </row>
    <row r="4880" customFormat="false" ht="15" hidden="false" customHeight="false" outlineLevel="0" collapsed="false">
      <c r="A4880" s="22" t="n">
        <v>95</v>
      </c>
      <c r="B4880" s="23" t="n">
        <v>46132</v>
      </c>
      <c r="C4880" s="22" t="s">
        <v>252</v>
      </c>
      <c r="D4880" s="24" t="n">
        <v>4</v>
      </c>
    </row>
    <row r="4881" customFormat="false" ht="15" hidden="false" customHeight="false" outlineLevel="0" collapsed="false">
      <c r="A4881" s="22" t="n">
        <v>96</v>
      </c>
      <c r="B4881" s="23" t="n">
        <v>46139</v>
      </c>
      <c r="C4881" s="22" t="s">
        <v>252</v>
      </c>
      <c r="D4881" s="24" t="n">
        <v>47</v>
      </c>
    </row>
    <row r="4882" customFormat="false" ht="15" hidden="false" customHeight="false" outlineLevel="0" collapsed="false">
      <c r="A4882" s="22" t="n">
        <v>97</v>
      </c>
      <c r="B4882" s="23" t="n">
        <v>46146</v>
      </c>
      <c r="C4882" s="22" t="s">
        <v>252</v>
      </c>
      <c r="D4882" s="24" t="n">
        <v>35</v>
      </c>
    </row>
    <row r="4883" customFormat="false" ht="15" hidden="false" customHeight="false" outlineLevel="0" collapsed="false">
      <c r="A4883" s="22" t="n">
        <v>98</v>
      </c>
      <c r="B4883" s="23" t="n">
        <v>46153</v>
      </c>
      <c r="C4883" s="22" t="s">
        <v>252</v>
      </c>
      <c r="D4883" s="24" t="n">
        <v>35</v>
      </c>
    </row>
    <row r="4884" customFormat="false" ht="15" hidden="false" customHeight="false" outlineLevel="0" collapsed="false">
      <c r="A4884" s="22" t="n">
        <v>99</v>
      </c>
      <c r="B4884" s="23" t="n">
        <v>46160</v>
      </c>
      <c r="C4884" s="22" t="s">
        <v>252</v>
      </c>
      <c r="D4884" s="24" t="n">
        <v>39</v>
      </c>
    </row>
    <row r="4885" customFormat="false" ht="15" hidden="false" customHeight="false" outlineLevel="0" collapsed="false">
      <c r="A4885" s="22" t="n">
        <v>100</v>
      </c>
      <c r="B4885" s="23" t="n">
        <v>46167</v>
      </c>
      <c r="C4885" s="22" t="s">
        <v>252</v>
      </c>
      <c r="D4885" s="24" t="n">
        <v>23</v>
      </c>
    </row>
    <row r="4886" customFormat="false" ht="15" hidden="false" customHeight="false" outlineLevel="0" collapsed="false">
      <c r="A4886" s="22" t="n">
        <v>101</v>
      </c>
      <c r="B4886" s="23" t="n">
        <v>46174</v>
      </c>
      <c r="C4886" s="22" t="s">
        <v>252</v>
      </c>
      <c r="D4886" s="24" t="n">
        <v>34</v>
      </c>
    </row>
    <row r="4887" customFormat="false" ht="15" hidden="false" customHeight="false" outlineLevel="0" collapsed="false">
      <c r="A4887" s="22" t="n">
        <v>102</v>
      </c>
      <c r="B4887" s="23" t="n">
        <v>46181</v>
      </c>
      <c r="C4887" s="22" t="s">
        <v>252</v>
      </c>
      <c r="D4887" s="24" t="n">
        <v>47</v>
      </c>
    </row>
    <row r="4888" customFormat="false" ht="15" hidden="false" customHeight="false" outlineLevel="0" collapsed="false">
      <c r="A4888" s="22" t="n">
        <v>103</v>
      </c>
      <c r="B4888" s="23" t="n">
        <v>46188</v>
      </c>
      <c r="C4888" s="22" t="s">
        <v>252</v>
      </c>
      <c r="D4888" s="24" t="n">
        <v>48</v>
      </c>
    </row>
    <row r="4889" customFormat="false" ht="15" hidden="false" customHeight="false" outlineLevel="0" collapsed="false">
      <c r="A4889" s="22" t="n">
        <v>104</v>
      </c>
      <c r="B4889" s="23" t="n">
        <v>46195</v>
      </c>
      <c r="C4889" s="22" t="s">
        <v>252</v>
      </c>
      <c r="D4889" s="24" t="n">
        <v>41</v>
      </c>
    </row>
    <row r="4890" customFormat="false" ht="15" hidden="false" customHeight="false" outlineLevel="0" collapsed="false">
      <c r="A4890" s="22" t="n">
        <v>1</v>
      </c>
      <c r="B4890" s="23" t="n">
        <v>45474</v>
      </c>
      <c r="C4890" s="22" t="s">
        <v>254</v>
      </c>
      <c r="D4890" s="24" t="n">
        <v>37</v>
      </c>
    </row>
    <row r="4891" customFormat="false" ht="15" hidden="false" customHeight="false" outlineLevel="0" collapsed="false">
      <c r="A4891" s="22" t="n">
        <v>2</v>
      </c>
      <c r="B4891" s="23" t="n">
        <v>45481</v>
      </c>
      <c r="C4891" s="22" t="s">
        <v>254</v>
      </c>
      <c r="D4891" s="24" t="n">
        <v>45</v>
      </c>
    </row>
    <row r="4892" customFormat="false" ht="15" hidden="false" customHeight="false" outlineLevel="0" collapsed="false">
      <c r="A4892" s="22" t="n">
        <v>3</v>
      </c>
      <c r="B4892" s="23" t="n">
        <v>45488</v>
      </c>
      <c r="C4892" s="22" t="s">
        <v>254</v>
      </c>
      <c r="D4892" s="24" t="n">
        <v>42</v>
      </c>
    </row>
    <row r="4893" customFormat="false" ht="15" hidden="false" customHeight="false" outlineLevel="0" collapsed="false">
      <c r="A4893" s="22" t="n">
        <v>4</v>
      </c>
      <c r="B4893" s="23" t="n">
        <v>45495</v>
      </c>
      <c r="C4893" s="22" t="s">
        <v>254</v>
      </c>
      <c r="D4893" s="24" t="n">
        <v>38</v>
      </c>
    </row>
    <row r="4894" customFormat="false" ht="15" hidden="false" customHeight="false" outlineLevel="0" collapsed="false">
      <c r="A4894" s="22" t="n">
        <v>5</v>
      </c>
      <c r="B4894" s="23" t="n">
        <v>45502</v>
      </c>
      <c r="C4894" s="22" t="s">
        <v>254</v>
      </c>
      <c r="D4894" s="24" t="n">
        <v>31</v>
      </c>
    </row>
    <row r="4895" customFormat="false" ht="15" hidden="false" customHeight="false" outlineLevel="0" collapsed="false">
      <c r="A4895" s="22" t="n">
        <v>6</v>
      </c>
      <c r="B4895" s="23" t="n">
        <v>45509</v>
      </c>
      <c r="C4895" s="22" t="s">
        <v>254</v>
      </c>
      <c r="D4895" s="24" t="n">
        <v>37</v>
      </c>
    </row>
    <row r="4896" customFormat="false" ht="15" hidden="false" customHeight="false" outlineLevel="0" collapsed="false">
      <c r="A4896" s="22" t="n">
        <v>7</v>
      </c>
      <c r="B4896" s="23" t="n">
        <v>45516</v>
      </c>
      <c r="C4896" s="22" t="s">
        <v>254</v>
      </c>
      <c r="D4896" s="24" t="n">
        <v>32</v>
      </c>
    </row>
    <row r="4897" customFormat="false" ht="15" hidden="false" customHeight="false" outlineLevel="0" collapsed="false">
      <c r="A4897" s="22" t="n">
        <v>8</v>
      </c>
      <c r="B4897" s="23" t="n">
        <v>45523</v>
      </c>
      <c r="C4897" s="22" t="s">
        <v>254</v>
      </c>
      <c r="D4897" s="24" t="n">
        <v>45</v>
      </c>
    </row>
    <row r="4898" customFormat="false" ht="15" hidden="false" customHeight="false" outlineLevel="0" collapsed="false">
      <c r="A4898" s="22" t="n">
        <v>9</v>
      </c>
      <c r="B4898" s="23" t="n">
        <v>45530</v>
      </c>
      <c r="C4898" s="22" t="s">
        <v>254</v>
      </c>
      <c r="D4898" s="24" t="n">
        <v>41</v>
      </c>
    </row>
    <row r="4899" customFormat="false" ht="15" hidden="false" customHeight="false" outlineLevel="0" collapsed="false">
      <c r="A4899" s="22" t="n">
        <v>10</v>
      </c>
      <c r="B4899" s="23" t="n">
        <v>45537</v>
      </c>
      <c r="C4899" s="22" t="s">
        <v>254</v>
      </c>
      <c r="D4899" s="24" t="n">
        <v>37</v>
      </c>
    </row>
    <row r="4900" customFormat="false" ht="15" hidden="false" customHeight="false" outlineLevel="0" collapsed="false">
      <c r="A4900" s="22" t="n">
        <v>11</v>
      </c>
      <c r="B4900" s="23" t="n">
        <v>45544</v>
      </c>
      <c r="C4900" s="22" t="s">
        <v>254</v>
      </c>
      <c r="D4900" s="24" t="n">
        <v>39</v>
      </c>
    </row>
    <row r="4901" customFormat="false" ht="15" hidden="false" customHeight="false" outlineLevel="0" collapsed="false">
      <c r="A4901" s="22" t="n">
        <v>12</v>
      </c>
      <c r="B4901" s="23" t="n">
        <v>45551</v>
      </c>
      <c r="C4901" s="22" t="s">
        <v>254</v>
      </c>
      <c r="D4901" s="24" t="n">
        <v>50</v>
      </c>
    </row>
    <row r="4902" customFormat="false" ht="15" hidden="false" customHeight="false" outlineLevel="0" collapsed="false">
      <c r="A4902" s="22" t="n">
        <v>13</v>
      </c>
      <c r="B4902" s="23" t="n">
        <v>45558</v>
      </c>
      <c r="C4902" s="22" t="s">
        <v>254</v>
      </c>
      <c r="D4902" s="24" t="n">
        <v>45</v>
      </c>
    </row>
    <row r="4903" customFormat="false" ht="15" hidden="false" customHeight="false" outlineLevel="0" collapsed="false">
      <c r="A4903" s="22" t="n">
        <v>14</v>
      </c>
      <c r="B4903" s="23" t="n">
        <v>45565</v>
      </c>
      <c r="C4903" s="22" t="s">
        <v>254</v>
      </c>
      <c r="D4903" s="24" t="n">
        <v>35</v>
      </c>
    </row>
    <row r="4904" customFormat="false" ht="15" hidden="false" customHeight="false" outlineLevel="0" collapsed="false">
      <c r="A4904" s="22" t="n">
        <v>15</v>
      </c>
      <c r="B4904" s="23" t="n">
        <v>45572</v>
      </c>
      <c r="C4904" s="22" t="s">
        <v>254</v>
      </c>
      <c r="D4904" s="24" t="n">
        <v>39</v>
      </c>
    </row>
    <row r="4905" customFormat="false" ht="15" hidden="false" customHeight="false" outlineLevel="0" collapsed="false">
      <c r="A4905" s="22" t="n">
        <v>16</v>
      </c>
      <c r="B4905" s="23" t="n">
        <v>45579</v>
      </c>
      <c r="C4905" s="22" t="s">
        <v>254</v>
      </c>
      <c r="D4905" s="24" t="n">
        <v>35</v>
      </c>
    </row>
    <row r="4906" customFormat="false" ht="15" hidden="false" customHeight="false" outlineLevel="0" collapsed="false">
      <c r="A4906" s="22" t="n">
        <v>17</v>
      </c>
      <c r="B4906" s="23" t="n">
        <v>45586</v>
      </c>
      <c r="C4906" s="22" t="s">
        <v>254</v>
      </c>
      <c r="D4906" s="24" t="n">
        <v>33</v>
      </c>
    </row>
    <row r="4907" customFormat="false" ht="15" hidden="false" customHeight="false" outlineLevel="0" collapsed="false">
      <c r="A4907" s="22" t="n">
        <v>18</v>
      </c>
      <c r="B4907" s="23" t="n">
        <v>45593</v>
      </c>
      <c r="C4907" s="22" t="s">
        <v>254</v>
      </c>
      <c r="D4907" s="24" t="n">
        <v>41</v>
      </c>
    </row>
    <row r="4908" customFormat="false" ht="15" hidden="false" customHeight="false" outlineLevel="0" collapsed="false">
      <c r="A4908" s="22" t="n">
        <v>19</v>
      </c>
      <c r="B4908" s="23" t="n">
        <v>45600</v>
      </c>
      <c r="C4908" s="22" t="s">
        <v>254</v>
      </c>
      <c r="D4908" s="24" t="n">
        <v>50</v>
      </c>
    </row>
    <row r="4909" customFormat="false" ht="15" hidden="false" customHeight="false" outlineLevel="0" collapsed="false">
      <c r="A4909" s="22" t="n">
        <v>20</v>
      </c>
      <c r="B4909" s="23" t="n">
        <v>45607</v>
      </c>
      <c r="C4909" s="22" t="s">
        <v>254</v>
      </c>
      <c r="D4909" s="24" t="n">
        <v>46</v>
      </c>
    </row>
    <row r="4910" customFormat="false" ht="15" hidden="false" customHeight="false" outlineLevel="0" collapsed="false">
      <c r="A4910" s="22" t="n">
        <v>21</v>
      </c>
      <c r="B4910" s="23" t="n">
        <v>45614</v>
      </c>
      <c r="C4910" s="22" t="s">
        <v>254</v>
      </c>
      <c r="D4910" s="24" t="n">
        <v>40</v>
      </c>
    </row>
    <row r="4911" customFormat="false" ht="15" hidden="false" customHeight="false" outlineLevel="0" collapsed="false">
      <c r="A4911" s="22" t="n">
        <v>22</v>
      </c>
      <c r="B4911" s="23" t="n">
        <v>45621</v>
      </c>
      <c r="C4911" s="22" t="s">
        <v>254</v>
      </c>
      <c r="D4911" s="24" t="n">
        <v>39</v>
      </c>
    </row>
    <row r="4912" customFormat="false" ht="15" hidden="false" customHeight="false" outlineLevel="0" collapsed="false">
      <c r="A4912" s="22" t="n">
        <v>23</v>
      </c>
      <c r="B4912" s="23" t="n">
        <v>45628</v>
      </c>
      <c r="C4912" s="22" t="s">
        <v>254</v>
      </c>
      <c r="D4912" s="24" t="n">
        <v>41</v>
      </c>
    </row>
    <row r="4913" customFormat="false" ht="15" hidden="false" customHeight="false" outlineLevel="0" collapsed="false">
      <c r="A4913" s="22" t="n">
        <v>24</v>
      </c>
      <c r="B4913" s="23" t="n">
        <v>45635</v>
      </c>
      <c r="C4913" s="22" t="s">
        <v>254</v>
      </c>
      <c r="D4913" s="24" t="n">
        <v>44</v>
      </c>
    </row>
    <row r="4914" customFormat="false" ht="15" hidden="false" customHeight="false" outlineLevel="0" collapsed="false">
      <c r="A4914" s="22" t="n">
        <v>25</v>
      </c>
      <c r="B4914" s="23" t="n">
        <v>45642</v>
      </c>
      <c r="C4914" s="22" t="s">
        <v>254</v>
      </c>
      <c r="D4914" s="24" t="n">
        <v>34</v>
      </c>
    </row>
    <row r="4915" customFormat="false" ht="15" hidden="false" customHeight="false" outlineLevel="0" collapsed="false">
      <c r="A4915" s="22" t="n">
        <v>26</v>
      </c>
      <c r="B4915" s="23" t="n">
        <v>45649</v>
      </c>
      <c r="C4915" s="22" t="s">
        <v>254</v>
      </c>
      <c r="D4915" s="24" t="n">
        <v>33</v>
      </c>
    </row>
    <row r="4916" customFormat="false" ht="15" hidden="false" customHeight="false" outlineLevel="0" collapsed="false">
      <c r="A4916" s="22" t="n">
        <v>27</v>
      </c>
      <c r="B4916" s="23" t="n">
        <v>45656</v>
      </c>
      <c r="C4916" s="22" t="s">
        <v>254</v>
      </c>
      <c r="D4916" s="24" t="n">
        <v>48</v>
      </c>
    </row>
    <row r="4917" customFormat="false" ht="15" hidden="false" customHeight="false" outlineLevel="0" collapsed="false">
      <c r="A4917" s="22" t="n">
        <v>28</v>
      </c>
      <c r="B4917" s="23" t="n">
        <v>45663</v>
      </c>
      <c r="C4917" s="22" t="s">
        <v>254</v>
      </c>
      <c r="D4917" s="24" t="n">
        <v>41</v>
      </c>
    </row>
    <row r="4918" customFormat="false" ht="15" hidden="false" customHeight="false" outlineLevel="0" collapsed="false">
      <c r="A4918" s="22" t="n">
        <v>29</v>
      </c>
      <c r="B4918" s="23" t="n">
        <v>45670</v>
      </c>
      <c r="C4918" s="22" t="s">
        <v>254</v>
      </c>
      <c r="D4918" s="24" t="n">
        <v>46</v>
      </c>
    </row>
    <row r="4919" customFormat="false" ht="15" hidden="false" customHeight="false" outlineLevel="0" collapsed="false">
      <c r="A4919" s="22" t="n">
        <v>30</v>
      </c>
      <c r="B4919" s="23" t="n">
        <v>45677</v>
      </c>
      <c r="C4919" s="22" t="s">
        <v>254</v>
      </c>
      <c r="D4919" s="24" t="n">
        <v>41</v>
      </c>
    </row>
    <row r="4920" customFormat="false" ht="15" hidden="false" customHeight="false" outlineLevel="0" collapsed="false">
      <c r="A4920" s="22" t="n">
        <v>31</v>
      </c>
      <c r="B4920" s="23" t="n">
        <v>45684</v>
      </c>
      <c r="C4920" s="22" t="s">
        <v>254</v>
      </c>
      <c r="D4920" s="24" t="n">
        <v>46</v>
      </c>
    </row>
    <row r="4921" customFormat="false" ht="15" hidden="false" customHeight="false" outlineLevel="0" collapsed="false">
      <c r="A4921" s="22" t="n">
        <v>32</v>
      </c>
      <c r="B4921" s="23" t="n">
        <v>45691</v>
      </c>
      <c r="C4921" s="22" t="s">
        <v>254</v>
      </c>
      <c r="D4921" s="24" t="n">
        <v>38</v>
      </c>
    </row>
    <row r="4922" customFormat="false" ht="15" hidden="false" customHeight="false" outlineLevel="0" collapsed="false">
      <c r="A4922" s="22" t="n">
        <v>33</v>
      </c>
      <c r="B4922" s="23" t="n">
        <v>45698</v>
      </c>
      <c r="C4922" s="22" t="s">
        <v>254</v>
      </c>
      <c r="D4922" s="24" t="n">
        <v>42</v>
      </c>
    </row>
    <row r="4923" customFormat="false" ht="15" hidden="false" customHeight="false" outlineLevel="0" collapsed="false">
      <c r="A4923" s="22" t="n">
        <v>34</v>
      </c>
      <c r="B4923" s="23" t="n">
        <v>45705</v>
      </c>
      <c r="C4923" s="22" t="s">
        <v>254</v>
      </c>
      <c r="D4923" s="24" t="n">
        <v>46</v>
      </c>
    </row>
    <row r="4924" customFormat="false" ht="15" hidden="false" customHeight="false" outlineLevel="0" collapsed="false">
      <c r="A4924" s="22" t="n">
        <v>35</v>
      </c>
      <c r="B4924" s="23" t="n">
        <v>45712</v>
      </c>
      <c r="C4924" s="22" t="s">
        <v>254</v>
      </c>
      <c r="D4924" s="24" t="n">
        <v>44</v>
      </c>
    </row>
    <row r="4925" customFormat="false" ht="15" hidden="false" customHeight="false" outlineLevel="0" collapsed="false">
      <c r="A4925" s="22" t="n">
        <v>36</v>
      </c>
      <c r="B4925" s="23" t="n">
        <v>45719</v>
      </c>
      <c r="C4925" s="22" t="s">
        <v>254</v>
      </c>
      <c r="D4925" s="24" t="n">
        <v>38</v>
      </c>
    </row>
    <row r="4926" customFormat="false" ht="15" hidden="false" customHeight="false" outlineLevel="0" collapsed="false">
      <c r="A4926" s="22" t="n">
        <v>37</v>
      </c>
      <c r="B4926" s="23" t="n">
        <v>45726</v>
      </c>
      <c r="C4926" s="22" t="s">
        <v>254</v>
      </c>
      <c r="D4926" s="24" t="n">
        <v>44</v>
      </c>
    </row>
    <row r="4927" customFormat="false" ht="15" hidden="false" customHeight="false" outlineLevel="0" collapsed="false">
      <c r="A4927" s="22" t="n">
        <v>38</v>
      </c>
      <c r="B4927" s="23" t="n">
        <v>45733</v>
      </c>
      <c r="C4927" s="22" t="s">
        <v>254</v>
      </c>
      <c r="D4927" s="24" t="n">
        <v>37</v>
      </c>
    </row>
    <row r="4928" customFormat="false" ht="15" hidden="false" customHeight="false" outlineLevel="0" collapsed="false">
      <c r="A4928" s="22" t="n">
        <v>39</v>
      </c>
      <c r="B4928" s="23" t="n">
        <v>45740</v>
      </c>
      <c r="C4928" s="22" t="s">
        <v>254</v>
      </c>
      <c r="D4928" s="24" t="n">
        <v>34</v>
      </c>
    </row>
    <row r="4929" customFormat="false" ht="15" hidden="false" customHeight="false" outlineLevel="0" collapsed="false">
      <c r="A4929" s="22" t="n">
        <v>40</v>
      </c>
      <c r="B4929" s="23" t="n">
        <v>45747</v>
      </c>
      <c r="C4929" s="22" t="s">
        <v>254</v>
      </c>
      <c r="D4929" s="24" t="n">
        <v>42</v>
      </c>
    </row>
    <row r="4930" customFormat="false" ht="15" hidden="false" customHeight="false" outlineLevel="0" collapsed="false">
      <c r="A4930" s="22" t="n">
        <v>41</v>
      </c>
      <c r="B4930" s="23" t="n">
        <v>45754</v>
      </c>
      <c r="C4930" s="22" t="s">
        <v>254</v>
      </c>
      <c r="D4930" s="24" t="n">
        <v>46</v>
      </c>
    </row>
    <row r="4931" customFormat="false" ht="15" hidden="false" customHeight="false" outlineLevel="0" collapsed="false">
      <c r="A4931" s="22" t="n">
        <v>42</v>
      </c>
      <c r="B4931" s="23" t="n">
        <v>45761</v>
      </c>
      <c r="C4931" s="22" t="s">
        <v>254</v>
      </c>
      <c r="D4931" s="24" t="n">
        <v>43</v>
      </c>
    </row>
    <row r="4932" customFormat="false" ht="15" hidden="false" customHeight="false" outlineLevel="0" collapsed="false">
      <c r="A4932" s="22" t="n">
        <v>43</v>
      </c>
      <c r="B4932" s="23" t="n">
        <v>45768</v>
      </c>
      <c r="C4932" s="22" t="s">
        <v>254</v>
      </c>
      <c r="D4932" s="24" t="n">
        <v>35</v>
      </c>
    </row>
    <row r="4933" customFormat="false" ht="15" hidden="false" customHeight="false" outlineLevel="0" collapsed="false">
      <c r="A4933" s="22" t="n">
        <v>44</v>
      </c>
      <c r="B4933" s="23" t="n">
        <v>45775</v>
      </c>
      <c r="C4933" s="22" t="s">
        <v>254</v>
      </c>
      <c r="D4933" s="24" t="n">
        <v>43</v>
      </c>
    </row>
    <row r="4934" customFormat="false" ht="15" hidden="false" customHeight="false" outlineLevel="0" collapsed="false">
      <c r="A4934" s="22" t="n">
        <v>45</v>
      </c>
      <c r="B4934" s="23" t="n">
        <v>45782</v>
      </c>
      <c r="C4934" s="22" t="s">
        <v>254</v>
      </c>
      <c r="D4934" s="24" t="n">
        <v>43</v>
      </c>
    </row>
    <row r="4935" customFormat="false" ht="15" hidden="false" customHeight="false" outlineLevel="0" collapsed="false">
      <c r="A4935" s="22" t="n">
        <v>46</v>
      </c>
      <c r="B4935" s="23" t="n">
        <v>45789</v>
      </c>
      <c r="C4935" s="22" t="s">
        <v>254</v>
      </c>
      <c r="D4935" s="24" t="n">
        <v>38</v>
      </c>
    </row>
    <row r="4936" customFormat="false" ht="15" hidden="false" customHeight="false" outlineLevel="0" collapsed="false">
      <c r="A4936" s="22" t="n">
        <v>47</v>
      </c>
      <c r="B4936" s="23" t="n">
        <v>45796</v>
      </c>
      <c r="C4936" s="22" t="s">
        <v>254</v>
      </c>
      <c r="D4936" s="24" t="n">
        <v>30</v>
      </c>
    </row>
    <row r="4937" customFormat="false" ht="15" hidden="false" customHeight="false" outlineLevel="0" collapsed="false">
      <c r="A4937" s="22" t="n">
        <v>48</v>
      </c>
      <c r="B4937" s="23" t="n">
        <v>45803</v>
      </c>
      <c r="C4937" s="22" t="s">
        <v>254</v>
      </c>
      <c r="D4937" s="24" t="n">
        <v>44</v>
      </c>
    </row>
    <row r="4938" customFormat="false" ht="15" hidden="false" customHeight="false" outlineLevel="0" collapsed="false">
      <c r="A4938" s="22" t="n">
        <v>49</v>
      </c>
      <c r="B4938" s="23" t="n">
        <v>45810</v>
      </c>
      <c r="C4938" s="22" t="s">
        <v>254</v>
      </c>
      <c r="D4938" s="24" t="n">
        <v>44</v>
      </c>
    </row>
    <row r="4939" customFormat="false" ht="15" hidden="false" customHeight="false" outlineLevel="0" collapsed="false">
      <c r="A4939" s="22" t="n">
        <v>50</v>
      </c>
      <c r="B4939" s="23" t="n">
        <v>45817</v>
      </c>
      <c r="C4939" s="22" t="s">
        <v>254</v>
      </c>
      <c r="D4939" s="24" t="n">
        <v>42</v>
      </c>
    </row>
    <row r="4940" customFormat="false" ht="15" hidden="false" customHeight="false" outlineLevel="0" collapsed="false">
      <c r="A4940" s="22" t="n">
        <v>51</v>
      </c>
      <c r="B4940" s="23" t="n">
        <v>45824</v>
      </c>
      <c r="C4940" s="22" t="s">
        <v>254</v>
      </c>
      <c r="D4940" s="24" t="n">
        <v>33</v>
      </c>
    </row>
    <row r="4941" customFormat="false" ht="15" hidden="false" customHeight="false" outlineLevel="0" collapsed="false">
      <c r="A4941" s="22" t="n">
        <v>52</v>
      </c>
      <c r="B4941" s="23" t="n">
        <v>45831</v>
      </c>
      <c r="C4941" s="22" t="s">
        <v>254</v>
      </c>
      <c r="D4941" s="24" t="n">
        <v>34</v>
      </c>
    </row>
    <row r="4942" customFormat="false" ht="15" hidden="false" customHeight="false" outlineLevel="0" collapsed="false">
      <c r="A4942" s="22" t="n">
        <v>53</v>
      </c>
      <c r="B4942" s="23" t="n">
        <v>45838</v>
      </c>
      <c r="C4942" s="22" t="s">
        <v>254</v>
      </c>
      <c r="D4942" s="24" t="n">
        <v>44</v>
      </c>
    </row>
    <row r="4943" customFormat="false" ht="15" hidden="false" customHeight="false" outlineLevel="0" collapsed="false">
      <c r="A4943" s="22" t="n">
        <v>54</v>
      </c>
      <c r="B4943" s="23" t="n">
        <v>45845</v>
      </c>
      <c r="C4943" s="22" t="s">
        <v>254</v>
      </c>
      <c r="D4943" s="24" t="n">
        <v>43</v>
      </c>
    </row>
    <row r="4944" customFormat="false" ht="15" hidden="false" customHeight="false" outlineLevel="0" collapsed="false">
      <c r="A4944" s="22" t="n">
        <v>55</v>
      </c>
      <c r="B4944" s="23" t="n">
        <v>45852</v>
      </c>
      <c r="C4944" s="22" t="s">
        <v>254</v>
      </c>
      <c r="D4944" s="24" t="n">
        <v>42</v>
      </c>
    </row>
    <row r="4945" customFormat="false" ht="15" hidden="false" customHeight="false" outlineLevel="0" collapsed="false">
      <c r="A4945" s="22" t="n">
        <v>56</v>
      </c>
      <c r="B4945" s="23" t="n">
        <v>45859</v>
      </c>
      <c r="C4945" s="22" t="s">
        <v>254</v>
      </c>
      <c r="D4945" s="24" t="n">
        <v>39</v>
      </c>
    </row>
    <row r="4946" customFormat="false" ht="15" hidden="false" customHeight="false" outlineLevel="0" collapsed="false">
      <c r="A4946" s="22" t="n">
        <v>57</v>
      </c>
      <c r="B4946" s="23" t="n">
        <v>45866</v>
      </c>
      <c r="C4946" s="22" t="s">
        <v>254</v>
      </c>
      <c r="D4946" s="24" t="n">
        <v>42</v>
      </c>
    </row>
    <row r="4947" customFormat="false" ht="15" hidden="false" customHeight="false" outlineLevel="0" collapsed="false">
      <c r="A4947" s="22" t="n">
        <v>58</v>
      </c>
      <c r="B4947" s="23" t="n">
        <v>45873</v>
      </c>
      <c r="C4947" s="22" t="s">
        <v>254</v>
      </c>
      <c r="D4947" s="24" t="n">
        <v>38</v>
      </c>
    </row>
    <row r="4948" customFormat="false" ht="15" hidden="false" customHeight="false" outlineLevel="0" collapsed="false">
      <c r="A4948" s="22" t="n">
        <v>59</v>
      </c>
      <c r="B4948" s="23" t="n">
        <v>45880</v>
      </c>
      <c r="C4948" s="22" t="s">
        <v>254</v>
      </c>
      <c r="D4948" s="24" t="n">
        <v>39</v>
      </c>
    </row>
    <row r="4949" customFormat="false" ht="15" hidden="false" customHeight="false" outlineLevel="0" collapsed="false">
      <c r="A4949" s="22" t="n">
        <v>60</v>
      </c>
      <c r="B4949" s="23" t="n">
        <v>45887</v>
      </c>
      <c r="C4949" s="22" t="s">
        <v>254</v>
      </c>
      <c r="D4949" s="24" t="n">
        <v>36</v>
      </c>
    </row>
    <row r="4950" customFormat="false" ht="15" hidden="false" customHeight="false" outlineLevel="0" collapsed="false">
      <c r="A4950" s="22" t="n">
        <v>61</v>
      </c>
      <c r="B4950" s="23" t="n">
        <v>45894</v>
      </c>
      <c r="C4950" s="22" t="s">
        <v>254</v>
      </c>
      <c r="D4950" s="24" t="n">
        <v>41</v>
      </c>
    </row>
    <row r="4951" customFormat="false" ht="15" hidden="false" customHeight="false" outlineLevel="0" collapsed="false">
      <c r="A4951" s="22" t="n">
        <v>62</v>
      </c>
      <c r="B4951" s="23" t="n">
        <v>45901</v>
      </c>
      <c r="C4951" s="22" t="s">
        <v>254</v>
      </c>
      <c r="D4951" s="24" t="n">
        <v>38</v>
      </c>
    </row>
    <row r="4952" customFormat="false" ht="15" hidden="false" customHeight="false" outlineLevel="0" collapsed="false">
      <c r="A4952" s="22" t="n">
        <v>63</v>
      </c>
      <c r="B4952" s="23" t="n">
        <v>45908</v>
      </c>
      <c r="C4952" s="22" t="s">
        <v>254</v>
      </c>
      <c r="D4952" s="24" t="n">
        <v>44</v>
      </c>
    </row>
    <row r="4953" customFormat="false" ht="15" hidden="false" customHeight="false" outlineLevel="0" collapsed="false">
      <c r="A4953" s="22" t="n">
        <v>64</v>
      </c>
      <c r="B4953" s="23" t="n">
        <v>45915</v>
      </c>
      <c r="C4953" s="22" t="s">
        <v>254</v>
      </c>
      <c r="D4953" s="24" t="n">
        <v>43</v>
      </c>
    </row>
    <row r="4954" customFormat="false" ht="15" hidden="false" customHeight="false" outlineLevel="0" collapsed="false">
      <c r="A4954" s="22" t="n">
        <v>65</v>
      </c>
      <c r="B4954" s="23" t="n">
        <v>45922</v>
      </c>
      <c r="C4954" s="22" t="s">
        <v>254</v>
      </c>
      <c r="D4954" s="24" t="n">
        <v>37</v>
      </c>
    </row>
    <row r="4955" customFormat="false" ht="15" hidden="false" customHeight="false" outlineLevel="0" collapsed="false">
      <c r="A4955" s="22" t="n">
        <v>66</v>
      </c>
      <c r="B4955" s="23" t="n">
        <v>45929</v>
      </c>
      <c r="C4955" s="22" t="s">
        <v>254</v>
      </c>
      <c r="D4955" s="24" t="n">
        <v>47</v>
      </c>
    </row>
    <row r="4956" customFormat="false" ht="15" hidden="false" customHeight="false" outlineLevel="0" collapsed="false">
      <c r="A4956" s="22" t="n">
        <v>67</v>
      </c>
      <c r="B4956" s="23" t="n">
        <v>45936</v>
      </c>
      <c r="C4956" s="22" t="s">
        <v>254</v>
      </c>
      <c r="D4956" s="24" t="n">
        <v>35</v>
      </c>
    </row>
    <row r="4957" customFormat="false" ht="15" hidden="false" customHeight="false" outlineLevel="0" collapsed="false">
      <c r="A4957" s="22" t="n">
        <v>68</v>
      </c>
      <c r="B4957" s="23" t="n">
        <v>45943</v>
      </c>
      <c r="C4957" s="22" t="s">
        <v>254</v>
      </c>
      <c r="D4957" s="24" t="n">
        <v>42</v>
      </c>
    </row>
    <row r="4958" customFormat="false" ht="15" hidden="false" customHeight="false" outlineLevel="0" collapsed="false">
      <c r="A4958" s="22" t="n">
        <v>69</v>
      </c>
      <c r="B4958" s="23" t="n">
        <v>45950</v>
      </c>
      <c r="C4958" s="22" t="s">
        <v>254</v>
      </c>
      <c r="D4958" s="24" t="n">
        <v>44</v>
      </c>
    </row>
    <row r="4959" customFormat="false" ht="15" hidden="false" customHeight="false" outlineLevel="0" collapsed="false">
      <c r="A4959" s="22" t="n">
        <v>70</v>
      </c>
      <c r="B4959" s="23" t="n">
        <v>45957</v>
      </c>
      <c r="C4959" s="22" t="s">
        <v>254</v>
      </c>
      <c r="D4959" s="24" t="n">
        <v>45</v>
      </c>
    </row>
    <row r="4960" customFormat="false" ht="15" hidden="false" customHeight="false" outlineLevel="0" collapsed="false">
      <c r="A4960" s="22" t="n">
        <v>71</v>
      </c>
      <c r="B4960" s="23" t="n">
        <v>45964</v>
      </c>
      <c r="C4960" s="22" t="s">
        <v>254</v>
      </c>
      <c r="D4960" s="24" t="n">
        <v>31</v>
      </c>
    </row>
    <row r="4961" customFormat="false" ht="15" hidden="false" customHeight="false" outlineLevel="0" collapsed="false">
      <c r="A4961" s="22" t="n">
        <v>72</v>
      </c>
      <c r="B4961" s="23" t="n">
        <v>45971</v>
      </c>
      <c r="C4961" s="22" t="s">
        <v>254</v>
      </c>
      <c r="D4961" s="24" t="n">
        <v>44</v>
      </c>
    </row>
    <row r="4962" customFormat="false" ht="15" hidden="false" customHeight="false" outlineLevel="0" collapsed="false">
      <c r="A4962" s="22" t="n">
        <v>73</v>
      </c>
      <c r="B4962" s="23" t="n">
        <v>45978</v>
      </c>
      <c r="C4962" s="22" t="s">
        <v>254</v>
      </c>
      <c r="D4962" s="24" t="n">
        <v>45</v>
      </c>
    </row>
    <row r="4963" customFormat="false" ht="15" hidden="false" customHeight="false" outlineLevel="0" collapsed="false">
      <c r="A4963" s="22" t="n">
        <v>74</v>
      </c>
      <c r="B4963" s="23" t="n">
        <v>45985</v>
      </c>
      <c r="C4963" s="22" t="s">
        <v>254</v>
      </c>
      <c r="D4963" s="24" t="n">
        <v>46</v>
      </c>
    </row>
    <row r="4964" customFormat="false" ht="15" hidden="false" customHeight="false" outlineLevel="0" collapsed="false">
      <c r="A4964" s="22" t="n">
        <v>75</v>
      </c>
      <c r="B4964" s="23" t="n">
        <v>45992</v>
      </c>
      <c r="C4964" s="22" t="s">
        <v>254</v>
      </c>
      <c r="D4964" s="24" t="n">
        <v>31</v>
      </c>
    </row>
    <row r="4965" customFormat="false" ht="15" hidden="false" customHeight="false" outlineLevel="0" collapsed="false">
      <c r="A4965" s="22" t="n">
        <v>76</v>
      </c>
      <c r="B4965" s="23" t="n">
        <v>45999</v>
      </c>
      <c r="C4965" s="22" t="s">
        <v>254</v>
      </c>
      <c r="D4965" s="24" t="n">
        <v>37</v>
      </c>
    </row>
    <row r="4966" customFormat="false" ht="15" hidden="false" customHeight="false" outlineLevel="0" collapsed="false">
      <c r="A4966" s="22" t="n">
        <v>77</v>
      </c>
      <c r="B4966" s="23" t="n">
        <v>46006</v>
      </c>
      <c r="C4966" s="22" t="s">
        <v>254</v>
      </c>
      <c r="D4966" s="24" t="n">
        <v>40</v>
      </c>
    </row>
    <row r="4967" customFormat="false" ht="15" hidden="false" customHeight="false" outlineLevel="0" collapsed="false">
      <c r="A4967" s="22" t="n">
        <v>78</v>
      </c>
      <c r="B4967" s="23" t="n">
        <v>46013</v>
      </c>
      <c r="C4967" s="22" t="s">
        <v>254</v>
      </c>
      <c r="D4967" s="24" t="n">
        <v>38</v>
      </c>
    </row>
    <row r="4968" customFormat="false" ht="15" hidden="false" customHeight="false" outlineLevel="0" collapsed="false">
      <c r="A4968" s="22" t="n">
        <v>79</v>
      </c>
      <c r="B4968" s="23" t="n">
        <v>46020</v>
      </c>
      <c r="C4968" s="22" t="s">
        <v>254</v>
      </c>
      <c r="D4968" s="24" t="n">
        <v>45</v>
      </c>
    </row>
    <row r="4969" customFormat="false" ht="15" hidden="false" customHeight="false" outlineLevel="0" collapsed="false">
      <c r="A4969" s="22" t="n">
        <v>80</v>
      </c>
      <c r="B4969" s="23" t="n">
        <v>46027</v>
      </c>
      <c r="C4969" s="22" t="s">
        <v>254</v>
      </c>
      <c r="D4969" s="24" t="n">
        <v>37</v>
      </c>
    </row>
    <row r="4970" customFormat="false" ht="15" hidden="false" customHeight="false" outlineLevel="0" collapsed="false">
      <c r="A4970" s="22" t="n">
        <v>81</v>
      </c>
      <c r="B4970" s="23" t="n">
        <v>46034</v>
      </c>
      <c r="C4970" s="22" t="s">
        <v>254</v>
      </c>
      <c r="D4970" s="24" t="n">
        <v>45</v>
      </c>
    </row>
    <row r="4971" customFormat="false" ht="15" hidden="false" customHeight="false" outlineLevel="0" collapsed="false">
      <c r="A4971" s="22" t="n">
        <v>82</v>
      </c>
      <c r="B4971" s="23" t="n">
        <v>46041</v>
      </c>
      <c r="C4971" s="22" t="s">
        <v>254</v>
      </c>
      <c r="D4971" s="24" t="n">
        <v>42</v>
      </c>
    </row>
    <row r="4972" customFormat="false" ht="15" hidden="false" customHeight="false" outlineLevel="0" collapsed="false">
      <c r="A4972" s="22" t="n">
        <v>83</v>
      </c>
      <c r="B4972" s="23" t="n">
        <v>46048</v>
      </c>
      <c r="C4972" s="22" t="s">
        <v>254</v>
      </c>
      <c r="D4972" s="24" t="n">
        <v>34</v>
      </c>
    </row>
    <row r="4973" customFormat="false" ht="15" hidden="false" customHeight="false" outlineLevel="0" collapsed="false">
      <c r="A4973" s="22" t="n">
        <v>84</v>
      </c>
      <c r="B4973" s="23" t="n">
        <v>46055</v>
      </c>
      <c r="C4973" s="22" t="s">
        <v>254</v>
      </c>
      <c r="D4973" s="24" t="n">
        <v>36</v>
      </c>
    </row>
    <row r="4974" customFormat="false" ht="15" hidden="false" customHeight="false" outlineLevel="0" collapsed="false">
      <c r="A4974" s="22" t="n">
        <v>85</v>
      </c>
      <c r="B4974" s="23" t="n">
        <v>46062</v>
      </c>
      <c r="C4974" s="22" t="s">
        <v>254</v>
      </c>
      <c r="D4974" s="24" t="n">
        <v>38</v>
      </c>
    </row>
    <row r="4975" customFormat="false" ht="15" hidden="false" customHeight="false" outlineLevel="0" collapsed="false">
      <c r="A4975" s="22" t="n">
        <v>86</v>
      </c>
      <c r="B4975" s="23" t="n">
        <v>46069</v>
      </c>
      <c r="C4975" s="22" t="s">
        <v>254</v>
      </c>
      <c r="D4975" s="24" t="n">
        <v>40</v>
      </c>
    </row>
    <row r="4976" customFormat="false" ht="15" hidden="false" customHeight="false" outlineLevel="0" collapsed="false">
      <c r="A4976" s="22" t="n">
        <v>87</v>
      </c>
      <c r="B4976" s="23" t="n">
        <v>46076</v>
      </c>
      <c r="C4976" s="22" t="s">
        <v>254</v>
      </c>
      <c r="D4976" s="24" t="n">
        <v>44</v>
      </c>
    </row>
    <row r="4977" customFormat="false" ht="15" hidden="false" customHeight="false" outlineLevel="0" collapsed="false">
      <c r="A4977" s="22" t="n">
        <v>88</v>
      </c>
      <c r="B4977" s="23" t="n">
        <v>46083</v>
      </c>
      <c r="C4977" s="22" t="s">
        <v>254</v>
      </c>
      <c r="D4977" s="24" t="n">
        <v>39</v>
      </c>
    </row>
    <row r="4978" customFormat="false" ht="15" hidden="false" customHeight="false" outlineLevel="0" collapsed="false">
      <c r="A4978" s="22" t="n">
        <v>89</v>
      </c>
      <c r="B4978" s="23" t="n">
        <v>46090</v>
      </c>
      <c r="C4978" s="22" t="s">
        <v>254</v>
      </c>
      <c r="D4978" s="24" t="n">
        <v>44</v>
      </c>
    </row>
    <row r="4979" customFormat="false" ht="15" hidden="false" customHeight="false" outlineLevel="0" collapsed="false">
      <c r="A4979" s="22" t="n">
        <v>90</v>
      </c>
      <c r="B4979" s="23" t="n">
        <v>46097</v>
      </c>
      <c r="C4979" s="22" t="s">
        <v>254</v>
      </c>
      <c r="D4979" s="24" t="n">
        <v>34</v>
      </c>
    </row>
    <row r="4980" customFormat="false" ht="15" hidden="false" customHeight="false" outlineLevel="0" collapsed="false">
      <c r="A4980" s="22" t="n">
        <v>91</v>
      </c>
      <c r="B4980" s="23" t="n">
        <v>46104</v>
      </c>
      <c r="C4980" s="22" t="s">
        <v>254</v>
      </c>
      <c r="D4980" s="24" t="n">
        <v>28</v>
      </c>
    </row>
    <row r="4981" customFormat="false" ht="15" hidden="false" customHeight="false" outlineLevel="0" collapsed="false">
      <c r="A4981" s="22" t="n">
        <v>92</v>
      </c>
      <c r="B4981" s="23" t="n">
        <v>46111</v>
      </c>
      <c r="C4981" s="22" t="s">
        <v>254</v>
      </c>
      <c r="D4981" s="24" t="n">
        <v>39</v>
      </c>
    </row>
    <row r="4982" customFormat="false" ht="15" hidden="false" customHeight="false" outlineLevel="0" collapsed="false">
      <c r="A4982" s="22" t="n">
        <v>93</v>
      </c>
      <c r="B4982" s="23" t="n">
        <v>46118</v>
      </c>
      <c r="C4982" s="22" t="s">
        <v>254</v>
      </c>
      <c r="D4982" s="24" t="n">
        <v>42</v>
      </c>
    </row>
    <row r="4983" customFormat="false" ht="15" hidden="false" customHeight="false" outlineLevel="0" collapsed="false">
      <c r="A4983" s="22" t="n">
        <v>94</v>
      </c>
      <c r="B4983" s="23" t="n">
        <v>46125</v>
      </c>
      <c r="C4983" s="22" t="s">
        <v>254</v>
      </c>
      <c r="D4983" s="24" t="n">
        <v>39</v>
      </c>
    </row>
    <row r="4984" customFormat="false" ht="15" hidden="false" customHeight="false" outlineLevel="0" collapsed="false">
      <c r="A4984" s="22" t="n">
        <v>95</v>
      </c>
      <c r="B4984" s="23" t="n">
        <v>46132</v>
      </c>
      <c r="C4984" s="22" t="s">
        <v>254</v>
      </c>
      <c r="D4984" s="24" t="n">
        <v>36</v>
      </c>
    </row>
    <row r="4985" customFormat="false" ht="15" hidden="false" customHeight="false" outlineLevel="0" collapsed="false">
      <c r="A4985" s="22" t="n">
        <v>96</v>
      </c>
      <c r="B4985" s="23" t="n">
        <v>46139</v>
      </c>
      <c r="C4985" s="22" t="s">
        <v>254</v>
      </c>
      <c r="D4985" s="24" t="n">
        <v>42</v>
      </c>
    </row>
    <row r="4986" customFormat="false" ht="15" hidden="false" customHeight="false" outlineLevel="0" collapsed="false">
      <c r="A4986" s="22" t="n">
        <v>97</v>
      </c>
      <c r="B4986" s="23" t="n">
        <v>46146</v>
      </c>
      <c r="C4986" s="22" t="s">
        <v>254</v>
      </c>
      <c r="D4986" s="24" t="n">
        <v>48</v>
      </c>
    </row>
    <row r="4987" customFormat="false" ht="15" hidden="false" customHeight="false" outlineLevel="0" collapsed="false">
      <c r="A4987" s="22" t="n">
        <v>98</v>
      </c>
      <c r="B4987" s="23" t="n">
        <v>46153</v>
      </c>
      <c r="C4987" s="22" t="s">
        <v>254</v>
      </c>
      <c r="D4987" s="24" t="n">
        <v>40</v>
      </c>
    </row>
    <row r="4988" customFormat="false" ht="15" hidden="false" customHeight="false" outlineLevel="0" collapsed="false">
      <c r="A4988" s="22" t="n">
        <v>99</v>
      </c>
      <c r="B4988" s="23" t="n">
        <v>46160</v>
      </c>
      <c r="C4988" s="22" t="s">
        <v>254</v>
      </c>
      <c r="D4988" s="24" t="n">
        <v>37</v>
      </c>
    </row>
    <row r="4989" customFormat="false" ht="15" hidden="false" customHeight="false" outlineLevel="0" collapsed="false">
      <c r="A4989" s="22" t="n">
        <v>100</v>
      </c>
      <c r="B4989" s="23" t="n">
        <v>46167</v>
      </c>
      <c r="C4989" s="22" t="s">
        <v>254</v>
      </c>
      <c r="D4989" s="24" t="n">
        <v>37</v>
      </c>
    </row>
    <row r="4990" customFormat="false" ht="15" hidden="false" customHeight="false" outlineLevel="0" collapsed="false">
      <c r="A4990" s="22" t="n">
        <v>101</v>
      </c>
      <c r="B4990" s="23" t="n">
        <v>46174</v>
      </c>
      <c r="C4990" s="22" t="s">
        <v>254</v>
      </c>
      <c r="D4990" s="24" t="n">
        <v>48</v>
      </c>
    </row>
    <row r="4991" customFormat="false" ht="15" hidden="false" customHeight="false" outlineLevel="0" collapsed="false">
      <c r="A4991" s="22" t="n">
        <v>102</v>
      </c>
      <c r="B4991" s="23" t="n">
        <v>46181</v>
      </c>
      <c r="C4991" s="22" t="s">
        <v>254</v>
      </c>
      <c r="D4991" s="24" t="n">
        <v>40</v>
      </c>
    </row>
    <row r="4992" customFormat="false" ht="15" hidden="false" customHeight="false" outlineLevel="0" collapsed="false">
      <c r="A4992" s="22" t="n">
        <v>103</v>
      </c>
      <c r="B4992" s="23" t="n">
        <v>46188</v>
      </c>
      <c r="C4992" s="22" t="s">
        <v>254</v>
      </c>
      <c r="D4992" s="24" t="n">
        <v>42</v>
      </c>
    </row>
    <row r="4993" customFormat="false" ht="15" hidden="false" customHeight="false" outlineLevel="0" collapsed="false">
      <c r="A4993" s="22" t="n">
        <v>104</v>
      </c>
      <c r="B4993" s="23" t="n">
        <v>46195</v>
      </c>
      <c r="C4993" s="22" t="s">
        <v>254</v>
      </c>
      <c r="D4993" s="24" t="n">
        <v>45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A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51"/>
    <col collapsed="false" customWidth="true" hidden="false" outlineLevel="0" max="2" min="2" style="0" width="26"/>
    <col collapsed="false" customWidth="true" hidden="false" outlineLevel="0" max="30" min="3" style="0" width="10.51"/>
    <col collapsed="false" customWidth="true" hidden="false" outlineLevel="0" max="31" min="31" style="0" width="12"/>
    <col collapsed="false" customWidth="true" hidden="false" outlineLevel="0" max="53" min="32" style="0" width="10.51"/>
  </cols>
  <sheetData>
    <row r="1" customFormat="false" ht="18.55" hidden="false" customHeight="false" outlineLevel="0" collapsed="false">
      <c r="A1" s="1" t="s">
        <v>259</v>
      </c>
    </row>
    <row r="2" customFormat="false" ht="15" hidden="false" customHeight="false" outlineLevel="0" collapsed="false">
      <c r="A2" s="2" t="s">
        <v>260</v>
      </c>
    </row>
    <row r="3" customFormat="false" ht="15" hidden="false" customHeight="false" outlineLevel="0" collapsed="false">
      <c r="A3" s="13" t="s">
        <v>261</v>
      </c>
      <c r="E3" s="25" t="n">
        <f aca="false">SUM(AJ7:AJ54)/SUM(H7:H54)</f>
        <v>0.142208038034692</v>
      </c>
    </row>
    <row r="5" customFormat="false" ht="15" hidden="false" customHeight="false" outlineLevel="0" collapsed="false">
      <c r="A5" s="4" t="s">
        <v>262</v>
      </c>
      <c r="B5" s="4"/>
      <c r="C5" s="4"/>
      <c r="D5" s="4"/>
      <c r="E5" s="4"/>
      <c r="F5" s="4"/>
      <c r="G5" s="4"/>
      <c r="H5" s="4" t="s">
        <v>263</v>
      </c>
      <c r="I5" s="4"/>
      <c r="J5" s="4"/>
      <c r="K5" s="4"/>
      <c r="L5" s="4"/>
      <c r="M5" s="4"/>
      <c r="N5" s="4"/>
      <c r="O5" s="4"/>
      <c r="P5" s="4"/>
      <c r="Q5" s="4"/>
      <c r="R5" s="4"/>
      <c r="S5" s="4"/>
      <c r="T5" s="4"/>
      <c r="U5" s="4"/>
      <c r="V5" s="4"/>
      <c r="W5" s="4"/>
      <c r="X5" s="4"/>
      <c r="Y5" s="4"/>
      <c r="Z5" s="4"/>
      <c r="AA5" s="4"/>
      <c r="AB5" s="4"/>
      <c r="AC5" s="4"/>
      <c r="AD5" s="4"/>
      <c r="AE5" s="4"/>
      <c r="AF5" s="4"/>
      <c r="AG5" s="4"/>
      <c r="AH5" s="4"/>
      <c r="AI5" s="4"/>
      <c r="AJ5" s="4"/>
      <c r="AK5" s="4" t="s">
        <v>264</v>
      </c>
      <c r="AL5" s="4"/>
      <c r="AM5" s="4"/>
      <c r="AN5" s="4"/>
      <c r="AO5" s="4"/>
      <c r="AP5" s="4"/>
      <c r="AQ5" s="4"/>
      <c r="AR5" s="4"/>
      <c r="AS5" s="4"/>
      <c r="AT5" s="4"/>
      <c r="AU5" s="4"/>
      <c r="AV5" s="4"/>
      <c r="AW5" s="4"/>
      <c r="AX5" s="4"/>
      <c r="AY5" s="4"/>
      <c r="AZ5" s="4"/>
      <c r="BA5" s="4"/>
    </row>
    <row r="6" customFormat="false" ht="57.75" hidden="false" customHeight="true" outlineLevel="0" collapsed="false">
      <c r="A6" s="6" t="s">
        <v>139</v>
      </c>
      <c r="B6" s="6" t="s">
        <v>265</v>
      </c>
      <c r="C6" s="6" t="s">
        <v>266</v>
      </c>
      <c r="D6" s="6" t="s">
        <v>267</v>
      </c>
      <c r="E6" s="6" t="s">
        <v>268</v>
      </c>
      <c r="F6" s="6" t="s">
        <v>269</v>
      </c>
      <c r="G6" s="6" t="s">
        <v>270</v>
      </c>
      <c r="H6" s="6" t="s">
        <v>271</v>
      </c>
      <c r="I6" s="6" t="s">
        <v>272</v>
      </c>
      <c r="J6" s="6" t="s">
        <v>273</v>
      </c>
      <c r="K6" s="6" t="s">
        <v>274</v>
      </c>
      <c r="L6" s="6" t="s">
        <v>275</v>
      </c>
      <c r="M6" s="6" t="s">
        <v>276</v>
      </c>
      <c r="N6" s="6" t="s">
        <v>277</v>
      </c>
      <c r="O6" s="6" t="s">
        <v>278</v>
      </c>
      <c r="P6" s="6" t="s">
        <v>279</v>
      </c>
      <c r="Q6" s="6" t="s">
        <v>280</v>
      </c>
      <c r="R6" s="6" t="s">
        <v>281</v>
      </c>
      <c r="S6" s="6" t="s">
        <v>282</v>
      </c>
      <c r="T6" s="6" t="s">
        <v>283</v>
      </c>
      <c r="U6" s="6" t="s">
        <v>284</v>
      </c>
      <c r="V6" s="6" t="s">
        <v>285</v>
      </c>
      <c r="W6" s="6" t="s">
        <v>286</v>
      </c>
      <c r="X6" s="6" t="s">
        <v>287</v>
      </c>
      <c r="Y6" s="6" t="s">
        <v>288</v>
      </c>
      <c r="Z6" s="6" t="s">
        <v>289</v>
      </c>
      <c r="AA6" s="6" t="s">
        <v>290</v>
      </c>
      <c r="AB6" s="6" t="s">
        <v>291</v>
      </c>
      <c r="AC6" s="6" t="s">
        <v>292</v>
      </c>
      <c r="AD6" s="6" t="s">
        <v>293</v>
      </c>
      <c r="AE6" s="6" t="s">
        <v>294</v>
      </c>
      <c r="AF6" s="6" t="s">
        <v>295</v>
      </c>
      <c r="AG6" s="6" t="s">
        <v>296</v>
      </c>
      <c r="AH6" s="6" t="s">
        <v>297</v>
      </c>
      <c r="AI6" s="6" t="s">
        <v>298</v>
      </c>
      <c r="AJ6" s="6" t="s">
        <v>299</v>
      </c>
      <c r="AK6" s="6" t="s">
        <v>300</v>
      </c>
      <c r="AL6" s="6" t="s">
        <v>301</v>
      </c>
      <c r="AM6" s="6" t="s">
        <v>302</v>
      </c>
      <c r="AN6" s="6" t="s">
        <v>303</v>
      </c>
      <c r="AO6" s="6" t="s">
        <v>304</v>
      </c>
      <c r="AP6" s="6" t="s">
        <v>305</v>
      </c>
      <c r="AQ6" s="6" t="s">
        <v>306</v>
      </c>
      <c r="AR6" s="6" t="s">
        <v>307</v>
      </c>
      <c r="AS6" s="6" t="s">
        <v>308</v>
      </c>
      <c r="AT6" s="6" t="s">
        <v>309</v>
      </c>
      <c r="AU6" s="6" t="s">
        <v>310</v>
      </c>
      <c r="AV6" s="6" t="s">
        <v>311</v>
      </c>
      <c r="AW6" s="6" t="s">
        <v>312</v>
      </c>
      <c r="AX6" s="6" t="s">
        <v>313</v>
      </c>
      <c r="AY6" s="6" t="s">
        <v>314</v>
      </c>
      <c r="AZ6" s="6" t="s">
        <v>315</v>
      </c>
      <c r="BA6" s="6" t="s">
        <v>316</v>
      </c>
    </row>
    <row r="7" customFormat="false" ht="15" hidden="false" customHeight="false" outlineLevel="0" collapsed="false">
      <c r="A7" s="11" t="str">
        <f aca="false">Inputs!B40</f>
        <v>KIT-001</v>
      </c>
      <c r="B7" s="11" t="str">
        <f aca="false">Inputs!C40</f>
        <v>Chef's Knife 20cm</v>
      </c>
      <c r="C7" s="10" t="n">
        <f aca="false">MATCH(A7,Demand_History!$C:$C,0)</f>
        <v>2</v>
      </c>
      <c r="D7" s="10" t="n">
        <f aca="false">C7+Weeks_History-1</f>
        <v>105</v>
      </c>
      <c r="E7" s="10" t="n">
        <f aca="false">C7+Eval_Start_Week-1</f>
        <v>54</v>
      </c>
      <c r="F7" s="10" t="n">
        <f aca="false">C7+Cal_Start_Week-1</f>
        <v>38</v>
      </c>
      <c r="G7" s="10" t="n">
        <f aca="false">C7+Cal_End_Week-1</f>
        <v>89</v>
      </c>
      <c r="H7" s="19" t="n">
        <f aca="false">SUM(INDEX(Forecast_Walkforward!$C:$C,$E7):INDEX(Forecast_Walkforward!$C:$C,$D7))</f>
        <v>3104</v>
      </c>
      <c r="I7" s="26" t="n">
        <f aca="false">SUM(INDEX(Forecast_Walkforward!$L:$L,$E7):INDEX(Forecast_Walkforward!$L:$L,$D7))/$H7</f>
        <v>0.13659793814433</v>
      </c>
      <c r="J7" s="26" t="n">
        <f aca="false">SUM(INDEX(Forecast_Walkforward!$M:$M,$E7):INDEX(Forecast_Walkforward!$M:$M,$D7))/$H7</f>
        <v>0.106475515463918</v>
      </c>
      <c r="K7" s="26" t="n">
        <f aca="false">SUM(INDEX(Forecast_Walkforward!$N:$N,$E7):INDEX(Forecast_Walkforward!$N:$N,$D7))/$H7</f>
        <v>0.0964884020618557</v>
      </c>
      <c r="L7" s="26" t="n">
        <f aca="false">SUM(INDEX(Forecast_Walkforward!$O:$O,$E7):INDEX(Forecast_Walkforward!$O:$O,$D7))/$H7</f>
        <v>0.102470899154949</v>
      </c>
      <c r="M7" s="27" t="n">
        <f aca="false">SUM(INDEX(Forecast_Walkforward!$H:$H,$E7):INDEX(Forecast_Walkforward!$H:$H,$D7))/$H7</f>
        <v>0.00257731958762887</v>
      </c>
      <c r="N7" s="27" t="n">
        <f aca="false">SUM(INDEX(Forecast_Walkforward!$I:$I,$E7):INDEX(Forecast_Walkforward!$I:$I,$D7))/$H7</f>
        <v>-0.00128865979381443</v>
      </c>
      <c r="O7" s="27" t="n">
        <f aca="false">SUM(INDEX(Forecast_Walkforward!$J:$J,$E7):INDEX(Forecast_Walkforward!$J:$J,$D7))/$H7</f>
        <v>0.00338273195876289</v>
      </c>
      <c r="P7" s="27" t="n">
        <f aca="false">SUM(INDEX(Forecast_Walkforward!$K:$K,$E7):INDEX(Forecast_Walkforward!$K:$K,$D7))/$H7</f>
        <v>0.00104994499378116</v>
      </c>
      <c r="Q7" s="28" t="n">
        <f aca="false">_xlfn.STDEV.S(INDEX(Forecast_Walkforward!$H:$H,$E7):INDEX(Forecast_Walkforward!$H:$H,$D7))</f>
        <v>9.92004232949661</v>
      </c>
      <c r="R7" s="28" t="n">
        <f aca="false">_xlfn.STDEV.S(INDEX(Forecast_Walkforward!$I:$I,$E7):INDEX(Forecast_Walkforward!$I:$I,$D7))</f>
        <v>8.07023981917916</v>
      </c>
      <c r="S7" s="28" t="n">
        <f aca="false">_xlfn.STDEV.S(INDEX(Forecast_Walkforward!$J:$J,$E7):INDEX(Forecast_Walkforward!$J:$J,$D7))</f>
        <v>7.61050751662683</v>
      </c>
      <c r="T7" s="28" t="n">
        <f aca="false">_xlfn.STDEV.S(INDEX(Forecast_Walkforward!$K:$K,$E7):INDEX(Forecast_Walkforward!$K:$K,$D7))</f>
        <v>7.72512444374877</v>
      </c>
      <c r="U7" s="28" t="n">
        <f aca="false">INDEX(Forecast_Walkforward!$C:$C,$D7)</f>
        <v>53</v>
      </c>
      <c r="V7" s="28" t="n">
        <f aca="false">AVERAGE(INDEX(Forecast_Walkforward!$C:$C,$D7-3):INDEX(Forecast_Walkforward!$C:$C,$D7))</f>
        <v>61.25</v>
      </c>
      <c r="W7" s="28" t="n">
        <f aca="false">AVERAGE(INDEX(Forecast_Walkforward!$C:$C,$D7-7):INDEX(Forecast_Walkforward!$C:$C,$D7))</f>
        <v>57.125</v>
      </c>
      <c r="X7" s="28" t="n">
        <f aca="false">SES_Alpha*INDEX(Forecast_Walkforward!$C:$C,$D7)+(1-SES_Alpha)*INDEX(Forecast_Walkforward!$G:$G,$D7)</f>
        <v>59.7189872305796</v>
      </c>
      <c r="Y7" s="26" t="n">
        <f aca="false">MIN(I7:L7)</f>
        <v>0.0964884020618557</v>
      </c>
      <c r="Z7" s="29" t="b">
        <f aca="false">I7&lt;=$Y7+WAPE_Tol</f>
        <v>0</v>
      </c>
      <c r="AA7" s="29" t="b">
        <f aca="false">J7&lt;=$Y7+WAPE_Tol</f>
        <v>1</v>
      </c>
      <c r="AB7" s="29" t="b">
        <f aca="false">K7&lt;=$Y7+WAPE_Tol</f>
        <v>1</v>
      </c>
      <c r="AC7" s="29" t="b">
        <f aca="false">L7&lt;=$Y7+WAPE_Tol</f>
        <v>1</v>
      </c>
      <c r="AD7" s="19" t="n">
        <f aca="false">MATCH(TRUE(),Z7:AC7,0)</f>
        <v>2</v>
      </c>
      <c r="AE7" s="12" t="str">
        <f aca="false">CHOOSE(AD7,"Naive","MA4","MA8","SES")</f>
        <v>MA4</v>
      </c>
      <c r="AF7" s="30" t="n">
        <f aca="false">INDEX(U7:X7,AD7)</f>
        <v>61.25</v>
      </c>
      <c r="AG7" s="26" t="n">
        <f aca="false">INDEX(I7:L7,AD7)</f>
        <v>0.106475515463918</v>
      </c>
      <c r="AH7" s="27" t="n">
        <f aca="false">INDEX(M7:P7,AD7)</f>
        <v>-0.00128865979381443</v>
      </c>
      <c r="AI7" s="28" t="n">
        <f aca="false">INDEX(Q7:T7,AD7)</f>
        <v>8.07023981917916</v>
      </c>
      <c r="AJ7" s="19" t="n">
        <f aca="false">AG7*H7</f>
        <v>330.5</v>
      </c>
      <c r="AK7" s="19" t="n">
        <f aca="false">SUM(INDEX(Forecast_Walkforward!$C:$C,$F7):INDEX(Forecast_Walkforward!$C:$C,$G7))</f>
        <v>3127</v>
      </c>
      <c r="AL7" s="26" t="n">
        <f aca="false">SUM(INDEX(Forecast_Walkforward!$L:$L,$F7):INDEX(Forecast_Walkforward!$L:$L,$G7))/$AK7</f>
        <v>0.137192196993924</v>
      </c>
      <c r="AM7" s="26" t="n">
        <f aca="false">SUM(INDEX(Forecast_Walkforward!$M:$M,$F7):INDEX(Forecast_Walkforward!$M:$M,$G7))/$AK7</f>
        <v>0.100895426926767</v>
      </c>
      <c r="AN7" s="26" t="n">
        <f aca="false">SUM(INDEX(Forecast_Walkforward!$N:$N,$F7):INDEX(Forecast_Walkforward!$N:$N,$G7))/$AK7</f>
        <v>0.0940997761432683</v>
      </c>
      <c r="AO7" s="26" t="n">
        <f aca="false">SUM(INDEX(Forecast_Walkforward!$O:$O,$F7):INDEX(Forecast_Walkforward!$O:$O,$G7))/$AK7</f>
        <v>0.0989863627264961</v>
      </c>
      <c r="AP7" s="28" t="n">
        <f aca="false">_xlfn.STDEV.S(INDEX(Forecast_Walkforward!$H:$H,$F7):INDEX(Forecast_Walkforward!$H:$H,$G7))</f>
        <v>10.1009049368354</v>
      </c>
      <c r="AQ7" s="28" t="n">
        <f aca="false">_xlfn.STDEV.S(INDEX(Forecast_Walkforward!$I:$I,$F7):INDEX(Forecast_Walkforward!$I:$I,$G7))</f>
        <v>7.74462178977558</v>
      </c>
      <c r="AR7" s="28" t="n">
        <f aca="false">_xlfn.STDEV.S(INDEX(Forecast_Walkforward!$J:$J,$F7):INDEX(Forecast_Walkforward!$J:$J,$G7))</f>
        <v>7.27097689551294</v>
      </c>
      <c r="AS7" s="28" t="n">
        <f aca="false">_xlfn.STDEV.S(INDEX(Forecast_Walkforward!$K:$K,$F7):INDEX(Forecast_Walkforward!$K:$K,$G7))</f>
        <v>7.58777946179923</v>
      </c>
      <c r="AT7" s="26" t="n">
        <f aca="false">MIN(AL7:AO7)</f>
        <v>0.0940997761432683</v>
      </c>
      <c r="AU7" s="29" t="b">
        <f aca="false">AL7&lt;=$AT7+WAPE_Tol</f>
        <v>0</v>
      </c>
      <c r="AV7" s="29" t="b">
        <f aca="false">AM7&lt;=$AT7+WAPE_Tol</f>
        <v>1</v>
      </c>
      <c r="AW7" s="29" t="b">
        <f aca="false">AN7&lt;=$AT7+WAPE_Tol</f>
        <v>1</v>
      </c>
      <c r="AX7" s="29" t="b">
        <f aca="false">AO7&lt;=$AT7+WAPE_Tol</f>
        <v>1</v>
      </c>
      <c r="AY7" s="19" t="n">
        <f aca="false">MATCH(TRUE(),AU7:AX7,0)</f>
        <v>2</v>
      </c>
      <c r="AZ7" s="10" t="str">
        <f aca="false">CHOOSE(AY7,"Naive","MA4","MA8","SES")</f>
        <v>MA4</v>
      </c>
      <c r="BA7" s="28" t="n">
        <f aca="false">INDEX(AP7:AS7,AY7)</f>
        <v>7.74462178977558</v>
      </c>
    </row>
    <row r="8" customFormat="false" ht="15" hidden="false" customHeight="false" outlineLevel="0" collapsed="false">
      <c r="A8" s="11" t="str">
        <f aca="false">Inputs!B41</f>
        <v>KIT-002</v>
      </c>
      <c r="B8" s="11" t="str">
        <f aca="false">Inputs!C41</f>
        <v>Non-Stick Frying Pan 28cm</v>
      </c>
      <c r="C8" s="10" t="n">
        <f aca="false">MATCH(A8,Demand_History!$C:$C,0)</f>
        <v>106</v>
      </c>
      <c r="D8" s="10" t="n">
        <f aca="false">C8+Weeks_History-1</f>
        <v>209</v>
      </c>
      <c r="E8" s="10" t="n">
        <f aca="false">C8+Eval_Start_Week-1</f>
        <v>158</v>
      </c>
      <c r="F8" s="10" t="n">
        <f aca="false">C8+Cal_Start_Week-1</f>
        <v>142</v>
      </c>
      <c r="G8" s="10" t="n">
        <f aca="false">C8+Cal_End_Week-1</f>
        <v>193</v>
      </c>
      <c r="H8" s="19" t="n">
        <f aca="false">SUM(INDEX(Forecast_Walkforward!$C:$C,$E8):INDEX(Forecast_Walkforward!$C:$C,$D8))</f>
        <v>2383</v>
      </c>
      <c r="I8" s="26" t="n">
        <f aca="false">SUM(INDEX(Forecast_Walkforward!$L:$L,$E8):INDEX(Forecast_Walkforward!$L:$L,$D8))/$H8</f>
        <v>0.354595048258498</v>
      </c>
      <c r="J8" s="26" t="n">
        <f aca="false">SUM(INDEX(Forecast_Walkforward!$M:$M,$E8):INDEX(Forecast_Walkforward!$M:$M,$D8))/$H8</f>
        <v>0.272765421737306</v>
      </c>
      <c r="K8" s="26" t="n">
        <f aca="false">SUM(INDEX(Forecast_Walkforward!$N:$N,$E8):INDEX(Forecast_Walkforward!$N:$N,$D8))/$H8</f>
        <v>0.267782207301721</v>
      </c>
      <c r="L8" s="26" t="n">
        <f aca="false">SUM(INDEX(Forecast_Walkforward!$O:$O,$E8):INDEX(Forecast_Walkforward!$O:$O,$D8))/$H8</f>
        <v>0.275053414743421</v>
      </c>
      <c r="M8" s="27" t="n">
        <f aca="false">SUM(INDEX(Forecast_Walkforward!$H:$H,$E8):INDEX(Forecast_Walkforward!$H:$H,$D8))/$H8</f>
        <v>0.00125891733109526</v>
      </c>
      <c r="N8" s="27" t="n">
        <f aca="false">SUM(INDEX(Forecast_Walkforward!$I:$I,$E8):INDEX(Forecast_Walkforward!$I:$I,$D8))/$H8</f>
        <v>-0.00356693243810323</v>
      </c>
      <c r="O8" s="27" t="n">
        <f aca="false">SUM(INDEX(Forecast_Walkforward!$J:$J,$E8):INDEX(Forecast_Walkforward!$J:$J,$D8))/$H8</f>
        <v>-0.0150545530843475</v>
      </c>
      <c r="P8" s="27" t="n">
        <f aca="false">SUM(INDEX(Forecast_Walkforward!$K:$K,$E8):INDEX(Forecast_Walkforward!$K:$K,$D8))/$H8</f>
        <v>-0.00928353412934667</v>
      </c>
      <c r="Q8" s="28" t="n">
        <f aca="false">_xlfn.STDEV.S(INDEX(Forecast_Walkforward!$H:$H,$E8):INDEX(Forecast_Walkforward!$H:$H,$D8))</f>
        <v>20.8650316920754</v>
      </c>
      <c r="R8" s="28" t="n">
        <f aca="false">_xlfn.STDEV.S(INDEX(Forecast_Walkforward!$I:$I,$E8):INDEX(Forecast_Walkforward!$I:$I,$D8))</f>
        <v>16.126330665219</v>
      </c>
      <c r="S8" s="28" t="n">
        <f aca="false">_xlfn.STDEV.S(INDEX(Forecast_Walkforward!$J:$J,$E8):INDEX(Forecast_Walkforward!$J:$J,$D8))</f>
        <v>15.2503714673622</v>
      </c>
      <c r="T8" s="28" t="n">
        <f aca="false">_xlfn.STDEV.S(INDEX(Forecast_Walkforward!$K:$K,$E8):INDEX(Forecast_Walkforward!$K:$K,$D8))</f>
        <v>15.8134582106438</v>
      </c>
      <c r="U8" s="28" t="n">
        <f aca="false">INDEX(Forecast_Walkforward!$C:$C,$D8)</f>
        <v>30</v>
      </c>
      <c r="V8" s="28" t="n">
        <f aca="false">AVERAGE(INDEX(Forecast_Walkforward!$C:$C,$D8-3):INDEX(Forecast_Walkforward!$C:$C,$D8))</f>
        <v>33.5</v>
      </c>
      <c r="W8" s="28" t="n">
        <f aca="false">AVERAGE(INDEX(Forecast_Walkforward!$C:$C,$D8-7):INDEX(Forecast_Walkforward!$C:$C,$D8))</f>
        <v>48.375</v>
      </c>
      <c r="X8" s="28" t="n">
        <f aca="false">SES_Alpha*INDEX(Forecast_Walkforward!$C:$C,$D8)+(1-SES_Alpha)*INDEX(Forecast_Walkforward!$G:$G,$D8)</f>
        <v>41.513412765685</v>
      </c>
      <c r="Y8" s="26" t="n">
        <f aca="false">MIN(I8:L8)</f>
        <v>0.267782207301721</v>
      </c>
      <c r="Z8" s="29" t="b">
        <f aca="false">I8&lt;=$Y8+WAPE_Tol</f>
        <v>0</v>
      </c>
      <c r="AA8" s="29" t="b">
        <f aca="false">J8&lt;=$Y8+WAPE_Tol</f>
        <v>1</v>
      </c>
      <c r="AB8" s="29" t="b">
        <f aca="false">K8&lt;=$Y8+WAPE_Tol</f>
        <v>1</v>
      </c>
      <c r="AC8" s="29" t="b">
        <f aca="false">L8&lt;=$Y8+WAPE_Tol</f>
        <v>1</v>
      </c>
      <c r="AD8" s="19" t="n">
        <f aca="false">MATCH(TRUE(),Z8:AC8,0)</f>
        <v>2</v>
      </c>
      <c r="AE8" s="12" t="str">
        <f aca="false">CHOOSE(AD8,"Naive","MA4","MA8","SES")</f>
        <v>MA4</v>
      </c>
      <c r="AF8" s="30" t="n">
        <f aca="false">INDEX(U8:X8,AD8)</f>
        <v>33.5</v>
      </c>
      <c r="AG8" s="26" t="n">
        <f aca="false">INDEX(I8:L8,AD8)</f>
        <v>0.272765421737306</v>
      </c>
      <c r="AH8" s="27" t="n">
        <f aca="false">INDEX(M8:P8,AD8)</f>
        <v>-0.00356693243810323</v>
      </c>
      <c r="AI8" s="28" t="n">
        <f aca="false">INDEX(Q8:T8,AD8)</f>
        <v>16.126330665219</v>
      </c>
      <c r="AJ8" s="19" t="n">
        <f aca="false">AG8*H8</f>
        <v>650</v>
      </c>
      <c r="AK8" s="19" t="n">
        <f aca="false">SUM(INDEX(Forecast_Walkforward!$C:$C,$F8):INDEX(Forecast_Walkforward!$C:$C,$G8))</f>
        <v>2220</v>
      </c>
      <c r="AL8" s="26" t="n">
        <f aca="false">SUM(INDEX(Forecast_Walkforward!$L:$L,$F8):INDEX(Forecast_Walkforward!$L:$L,$G8))/$AK8</f>
        <v>0.333333333333333</v>
      </c>
      <c r="AM8" s="26" t="n">
        <f aca="false">SUM(INDEX(Forecast_Walkforward!$M:$M,$F8):INDEX(Forecast_Walkforward!$M:$M,$G8))/$AK8</f>
        <v>0.252364864864865</v>
      </c>
      <c r="AN8" s="26" t="n">
        <f aca="false">SUM(INDEX(Forecast_Walkforward!$N:$N,$F8):INDEX(Forecast_Walkforward!$N:$N,$G8))/$AK8</f>
        <v>0.244650900900901</v>
      </c>
      <c r="AO8" s="26" t="n">
        <f aca="false">SUM(INDEX(Forecast_Walkforward!$O:$O,$F8):INDEX(Forecast_Walkforward!$O:$O,$G8))/$AK8</f>
        <v>0.246785697235924</v>
      </c>
      <c r="AP8" s="28" t="n">
        <f aca="false">_xlfn.STDEV.S(INDEX(Forecast_Walkforward!$H:$H,$F8):INDEX(Forecast_Walkforward!$H:$H,$G8))</f>
        <v>18.2795866497157</v>
      </c>
      <c r="AQ8" s="28" t="n">
        <f aca="false">_xlfn.STDEV.S(INDEX(Forecast_Walkforward!$I:$I,$F8):INDEX(Forecast_Walkforward!$I:$I,$G8))</f>
        <v>14.1229943583346</v>
      </c>
      <c r="AR8" s="28" t="n">
        <f aca="false">_xlfn.STDEV.S(INDEX(Forecast_Walkforward!$J:$J,$F8):INDEX(Forecast_Walkforward!$J:$J,$G8))</f>
        <v>13.2963104987421</v>
      </c>
      <c r="AS8" s="28" t="n">
        <f aca="false">_xlfn.STDEV.S(INDEX(Forecast_Walkforward!$K:$K,$F8):INDEX(Forecast_Walkforward!$K:$K,$G8))</f>
        <v>13.7836206821345</v>
      </c>
      <c r="AT8" s="26" t="n">
        <f aca="false">MIN(AL8:AO8)</f>
        <v>0.244650900900901</v>
      </c>
      <c r="AU8" s="29" t="b">
        <f aca="false">AL8&lt;=$AT8+WAPE_Tol</f>
        <v>0</v>
      </c>
      <c r="AV8" s="29" t="b">
        <f aca="false">AM8&lt;=$AT8+WAPE_Tol</f>
        <v>1</v>
      </c>
      <c r="AW8" s="29" t="b">
        <f aca="false">AN8&lt;=$AT8+WAPE_Tol</f>
        <v>1</v>
      </c>
      <c r="AX8" s="29" t="b">
        <f aca="false">AO8&lt;=$AT8+WAPE_Tol</f>
        <v>1</v>
      </c>
      <c r="AY8" s="19" t="n">
        <f aca="false">MATCH(TRUE(),AU8:AX8,0)</f>
        <v>2</v>
      </c>
      <c r="AZ8" s="10" t="str">
        <f aca="false">CHOOSE(AY8,"Naive","MA4","MA8","SES")</f>
        <v>MA4</v>
      </c>
      <c r="BA8" s="28" t="n">
        <f aca="false">INDEX(AP8:AS8,AY8)</f>
        <v>14.1229943583346</v>
      </c>
    </row>
    <row r="9" customFormat="false" ht="15" hidden="false" customHeight="false" outlineLevel="0" collapsed="false">
      <c r="A9" s="11" t="str">
        <f aca="false">Inputs!B42</f>
        <v>KIT-003</v>
      </c>
      <c r="B9" s="11" t="str">
        <f aca="false">Inputs!C42</f>
        <v>Glass Food Storage Set 5pc</v>
      </c>
      <c r="C9" s="10" t="n">
        <f aca="false">MATCH(A9,Demand_History!$C:$C,0)</f>
        <v>210</v>
      </c>
      <c r="D9" s="10" t="n">
        <f aca="false">C9+Weeks_History-1</f>
        <v>313</v>
      </c>
      <c r="E9" s="10" t="n">
        <f aca="false">C9+Eval_Start_Week-1</f>
        <v>262</v>
      </c>
      <c r="F9" s="10" t="n">
        <f aca="false">C9+Cal_Start_Week-1</f>
        <v>246</v>
      </c>
      <c r="G9" s="10" t="n">
        <f aca="false">C9+Cal_End_Week-1</f>
        <v>297</v>
      </c>
      <c r="H9" s="19" t="n">
        <f aca="false">SUM(INDEX(Forecast_Walkforward!$C:$C,$E9):INDEX(Forecast_Walkforward!$C:$C,$D9))</f>
        <v>4472</v>
      </c>
      <c r="I9" s="26" t="n">
        <f aca="false">SUM(INDEX(Forecast_Walkforward!$L:$L,$E9):INDEX(Forecast_Walkforward!$L:$L,$D9))/$H9</f>
        <v>0.135286225402504</v>
      </c>
      <c r="J9" s="26" t="n">
        <f aca="false">SUM(INDEX(Forecast_Walkforward!$M:$M,$E9):INDEX(Forecast_Walkforward!$M:$M,$D9))/$H9</f>
        <v>0.115105098389982</v>
      </c>
      <c r="K9" s="26" t="n">
        <f aca="false">SUM(INDEX(Forecast_Walkforward!$N:$N,$E9):INDEX(Forecast_Walkforward!$N:$N,$D9))/$H9</f>
        <v>0.103365384615385</v>
      </c>
      <c r="L9" s="26" t="n">
        <f aca="false">SUM(INDEX(Forecast_Walkforward!$O:$O,$E9):INDEX(Forecast_Walkforward!$O:$O,$D9))/$H9</f>
        <v>0.107356828055604</v>
      </c>
      <c r="M9" s="27" t="n">
        <f aca="false">SUM(INDEX(Forecast_Walkforward!$H:$H,$E9):INDEX(Forecast_Walkforward!$H:$H,$D9))/$H9</f>
        <v>-0.00335420393559928</v>
      </c>
      <c r="N9" s="27" t="n">
        <f aca="false">SUM(INDEX(Forecast_Walkforward!$I:$I,$E9):INDEX(Forecast_Walkforward!$I:$I,$D9))/$H9</f>
        <v>-0.0126900715563506</v>
      </c>
      <c r="O9" s="27" t="n">
        <f aca="false">SUM(INDEX(Forecast_Walkforward!$J:$J,$E9):INDEX(Forecast_Walkforward!$J:$J,$D9))/$H9</f>
        <v>-0.0229762969588551</v>
      </c>
      <c r="P9" s="27" t="n">
        <f aca="false">SUM(INDEX(Forecast_Walkforward!$K:$K,$E9):INDEX(Forecast_Walkforward!$K:$K,$D9))/$H9</f>
        <v>-0.0171374074241755</v>
      </c>
      <c r="Q9" s="28" t="n">
        <f aca="false">_xlfn.STDEV.S(INDEX(Forecast_Walkforward!$H:$H,$E9):INDEX(Forecast_Walkforward!$H:$H,$D9))</f>
        <v>15.3639973077647</v>
      </c>
      <c r="R9" s="28" t="n">
        <f aca="false">_xlfn.STDEV.S(INDEX(Forecast_Walkforward!$I:$I,$E9):INDEX(Forecast_Walkforward!$I:$I,$D9))</f>
        <v>12.6254517339251</v>
      </c>
      <c r="S9" s="28" t="n">
        <f aca="false">_xlfn.STDEV.S(INDEX(Forecast_Walkforward!$J:$J,$E9):INDEX(Forecast_Walkforward!$J:$J,$D9))</f>
        <v>11.354526351423</v>
      </c>
      <c r="T9" s="28" t="n">
        <f aca="false">_xlfn.STDEV.S(INDEX(Forecast_Walkforward!$K:$K,$E9):INDEX(Forecast_Walkforward!$K:$K,$D9))</f>
        <v>11.8932023504587</v>
      </c>
      <c r="U9" s="28" t="n">
        <f aca="false">INDEX(Forecast_Walkforward!$C:$C,$D9)</f>
        <v>95</v>
      </c>
      <c r="V9" s="28" t="n">
        <f aca="false">AVERAGE(INDEX(Forecast_Walkforward!$C:$C,$D9-3):INDEX(Forecast_Walkforward!$C:$C,$D9))</f>
        <v>98</v>
      </c>
      <c r="W9" s="28" t="n">
        <f aca="false">AVERAGE(INDEX(Forecast_Walkforward!$C:$C,$D9-7):INDEX(Forecast_Walkforward!$C:$C,$D9))</f>
        <v>95.125</v>
      </c>
      <c r="X9" s="28" t="n">
        <f aca="false">SES_Alpha*INDEX(Forecast_Walkforward!$C:$C,$D9)+(1-SES_Alpha)*INDEX(Forecast_Walkforward!$G:$G,$D9)</f>
        <v>95.6603032717847</v>
      </c>
      <c r="Y9" s="26" t="n">
        <f aca="false">MIN(I9:L9)</f>
        <v>0.103365384615385</v>
      </c>
      <c r="Z9" s="29" t="b">
        <f aca="false">I9&lt;=$Y9+WAPE_Tol</f>
        <v>0</v>
      </c>
      <c r="AA9" s="29" t="b">
        <f aca="false">J9&lt;=$Y9+WAPE_Tol</f>
        <v>0</v>
      </c>
      <c r="AB9" s="29" t="b">
        <f aca="false">K9&lt;=$Y9+WAPE_Tol</f>
        <v>1</v>
      </c>
      <c r="AC9" s="29" t="b">
        <f aca="false">L9&lt;=$Y9+WAPE_Tol</f>
        <v>1</v>
      </c>
      <c r="AD9" s="19" t="n">
        <f aca="false">MATCH(TRUE(),Z9:AC9,0)</f>
        <v>3</v>
      </c>
      <c r="AE9" s="12" t="str">
        <f aca="false">CHOOSE(AD9,"Naive","MA4","MA8","SES")</f>
        <v>MA8</v>
      </c>
      <c r="AF9" s="30" t="n">
        <f aca="false">INDEX(U9:X9,AD9)</f>
        <v>95.125</v>
      </c>
      <c r="AG9" s="26" t="n">
        <f aca="false">INDEX(I9:L9,AD9)</f>
        <v>0.103365384615385</v>
      </c>
      <c r="AH9" s="27" t="n">
        <f aca="false">INDEX(M9:P9,AD9)</f>
        <v>-0.0229762969588551</v>
      </c>
      <c r="AI9" s="28" t="n">
        <f aca="false">INDEX(Q9:T9,AD9)</f>
        <v>11.354526351423</v>
      </c>
      <c r="AJ9" s="19" t="n">
        <f aca="false">AG9*H9</f>
        <v>462.25</v>
      </c>
      <c r="AK9" s="19" t="n">
        <f aca="false">SUM(INDEX(Forecast_Walkforward!$C:$C,$F9):INDEX(Forecast_Walkforward!$C:$C,$G9))</f>
        <v>3961</v>
      </c>
      <c r="AL9" s="26" t="n">
        <f aca="false">SUM(INDEX(Forecast_Walkforward!$L:$L,$F9):INDEX(Forecast_Walkforward!$L:$L,$G9))/$AK9</f>
        <v>0.155768745266347</v>
      </c>
      <c r="AM9" s="26" t="n">
        <f aca="false">SUM(INDEX(Forecast_Walkforward!$M:$M,$F9):INDEX(Forecast_Walkforward!$M:$M,$G9))/$AK9</f>
        <v>0.131532441302701</v>
      </c>
      <c r="AN9" s="26" t="n">
        <f aca="false">SUM(INDEX(Forecast_Walkforward!$N:$N,$F9):INDEX(Forecast_Walkforward!$N:$N,$G9))/$AK9</f>
        <v>0.124147942438778</v>
      </c>
      <c r="AO9" s="26" t="n">
        <f aca="false">SUM(INDEX(Forecast_Walkforward!$O:$O,$F9):INDEX(Forecast_Walkforward!$O:$O,$G9))/$AK9</f>
        <v>0.124722708074053</v>
      </c>
      <c r="AP9" s="28" t="n">
        <f aca="false">_xlfn.STDEV.S(INDEX(Forecast_Walkforward!$H:$H,$F9):INDEX(Forecast_Walkforward!$H:$H,$G9))</f>
        <v>15.4689759094219</v>
      </c>
      <c r="AQ9" s="28" t="n">
        <f aca="false">_xlfn.STDEV.S(INDEX(Forecast_Walkforward!$I:$I,$F9):INDEX(Forecast_Walkforward!$I:$I,$G9))</f>
        <v>12.7446015247293</v>
      </c>
      <c r="AR9" s="28" t="n">
        <f aca="false">_xlfn.STDEV.S(INDEX(Forecast_Walkforward!$J:$J,$F9):INDEX(Forecast_Walkforward!$J:$J,$G9))</f>
        <v>11.9987489135408</v>
      </c>
      <c r="AS9" s="28" t="n">
        <f aca="false">_xlfn.STDEV.S(INDEX(Forecast_Walkforward!$K:$K,$F9):INDEX(Forecast_Walkforward!$K:$K,$G9))</f>
        <v>12.2467290978964</v>
      </c>
      <c r="AT9" s="26" t="n">
        <f aca="false">MIN(AL9:AO9)</f>
        <v>0.124147942438778</v>
      </c>
      <c r="AU9" s="29" t="b">
        <f aca="false">AL9&lt;=$AT9+WAPE_Tol</f>
        <v>0</v>
      </c>
      <c r="AV9" s="29" t="b">
        <f aca="false">AM9&lt;=$AT9+WAPE_Tol</f>
        <v>1</v>
      </c>
      <c r="AW9" s="29" t="b">
        <f aca="false">AN9&lt;=$AT9+WAPE_Tol</f>
        <v>1</v>
      </c>
      <c r="AX9" s="29" t="b">
        <f aca="false">AO9&lt;=$AT9+WAPE_Tol</f>
        <v>1</v>
      </c>
      <c r="AY9" s="19" t="n">
        <f aca="false">MATCH(TRUE(),AU9:AX9,0)</f>
        <v>2</v>
      </c>
      <c r="AZ9" s="10" t="str">
        <f aca="false">CHOOSE(AY9,"Naive","MA4","MA8","SES")</f>
        <v>MA4</v>
      </c>
      <c r="BA9" s="28" t="n">
        <f aca="false">INDEX(AP9:AS9,AY9)</f>
        <v>12.7446015247293</v>
      </c>
    </row>
    <row r="10" customFormat="false" ht="15" hidden="false" customHeight="false" outlineLevel="0" collapsed="false">
      <c r="A10" s="11" t="str">
        <f aca="false">Inputs!B43</f>
        <v>KIT-004</v>
      </c>
      <c r="B10" s="11" t="str">
        <f aca="false">Inputs!C43</f>
        <v>Bamboo Cutting Board</v>
      </c>
      <c r="C10" s="10" t="n">
        <f aca="false">MATCH(A10,Demand_History!$C:$C,0)</f>
        <v>314</v>
      </c>
      <c r="D10" s="10" t="n">
        <f aca="false">C10+Weeks_History-1</f>
        <v>417</v>
      </c>
      <c r="E10" s="10" t="n">
        <f aca="false">C10+Eval_Start_Week-1</f>
        <v>366</v>
      </c>
      <c r="F10" s="10" t="n">
        <f aca="false">C10+Cal_Start_Week-1</f>
        <v>350</v>
      </c>
      <c r="G10" s="10" t="n">
        <f aca="false">C10+Cal_End_Week-1</f>
        <v>401</v>
      </c>
      <c r="H10" s="19" t="n">
        <f aca="false">SUM(INDEX(Forecast_Walkforward!$C:$C,$E10):INDEX(Forecast_Walkforward!$C:$C,$D10))</f>
        <v>4668</v>
      </c>
      <c r="I10" s="26" t="n">
        <f aca="false">SUM(INDEX(Forecast_Walkforward!$L:$L,$E10):INDEX(Forecast_Walkforward!$L:$L,$D10))/$H10</f>
        <v>0.122536418166238</v>
      </c>
      <c r="J10" s="26" t="n">
        <f aca="false">SUM(INDEX(Forecast_Walkforward!$M:$M,$E10):INDEX(Forecast_Walkforward!$M:$M,$D10))/$H10</f>
        <v>0.106898029134533</v>
      </c>
      <c r="K10" s="26" t="n">
        <f aca="false">SUM(INDEX(Forecast_Walkforward!$N:$N,$E10):INDEX(Forecast_Walkforward!$N:$N,$D10))/$H10</f>
        <v>0.0973382604970009</v>
      </c>
      <c r="L10" s="26" t="n">
        <f aca="false">SUM(INDEX(Forecast_Walkforward!$O:$O,$E10):INDEX(Forecast_Walkforward!$O:$O,$D10))/$H10</f>
        <v>0.100601726689262</v>
      </c>
      <c r="M10" s="27" t="n">
        <f aca="false">SUM(INDEX(Forecast_Walkforward!$H:$H,$E10):INDEX(Forecast_Walkforward!$H:$H,$D10))/$H10</f>
        <v>-0.00728363324764353</v>
      </c>
      <c r="N10" s="27" t="n">
        <f aca="false">SUM(INDEX(Forecast_Walkforward!$I:$I,$E10):INDEX(Forecast_Walkforward!$I:$I,$D10))/$H10</f>
        <v>-0.00996143958868895</v>
      </c>
      <c r="O10" s="27" t="n">
        <f aca="false">SUM(INDEX(Forecast_Walkforward!$J:$J,$E10):INDEX(Forecast_Walkforward!$J:$J,$D10))/$H10</f>
        <v>-0.00886353898886033</v>
      </c>
      <c r="P10" s="27" t="n">
        <f aca="false">SUM(INDEX(Forecast_Walkforward!$K:$K,$E10):INDEX(Forecast_Walkforward!$K:$K,$D10))/$H10</f>
        <v>-0.00877570217649609</v>
      </c>
      <c r="Q10" s="28" t="n">
        <f aca="false">_xlfn.STDEV.S(INDEX(Forecast_Walkforward!$H:$H,$E10):INDEX(Forecast_Walkforward!$H:$H,$D10))</f>
        <v>13.8463340025149</v>
      </c>
      <c r="R10" s="28" t="n">
        <f aca="false">_xlfn.STDEV.S(INDEX(Forecast_Walkforward!$I:$I,$E10):INDEX(Forecast_Walkforward!$I:$I,$D10))</f>
        <v>11.4679162587739</v>
      </c>
      <c r="S10" s="28" t="n">
        <f aca="false">_xlfn.STDEV.S(INDEX(Forecast_Walkforward!$J:$J,$E10):INDEX(Forecast_Walkforward!$J:$J,$D10))</f>
        <v>10.5076719417825</v>
      </c>
      <c r="T10" s="28" t="n">
        <f aca="false">_xlfn.STDEV.S(INDEX(Forecast_Walkforward!$K:$K,$E10):INDEX(Forecast_Walkforward!$K:$K,$D10))</f>
        <v>10.8976457032004</v>
      </c>
      <c r="U10" s="28" t="n">
        <f aca="false">INDEX(Forecast_Walkforward!$C:$C,$D10)</f>
        <v>105</v>
      </c>
      <c r="V10" s="28" t="n">
        <f aca="false">AVERAGE(INDEX(Forecast_Walkforward!$C:$C,$D10-3):INDEX(Forecast_Walkforward!$C:$C,$D10))</f>
        <v>96.5</v>
      </c>
      <c r="W10" s="28" t="n">
        <f aca="false">AVERAGE(INDEX(Forecast_Walkforward!$C:$C,$D10-7):INDEX(Forecast_Walkforward!$C:$C,$D10))</f>
        <v>94.75</v>
      </c>
      <c r="X10" s="28" t="n">
        <f aca="false">SES_Alpha*INDEX(Forecast_Walkforward!$C:$C,$D10)+(1-SES_Alpha)*INDEX(Forecast_Walkforward!$G:$G,$D10)</f>
        <v>96.6939176764453</v>
      </c>
      <c r="Y10" s="26" t="n">
        <f aca="false">MIN(I10:L10)</f>
        <v>0.0973382604970009</v>
      </c>
      <c r="Z10" s="29" t="b">
        <f aca="false">I10&lt;=$Y10+WAPE_Tol</f>
        <v>0</v>
      </c>
      <c r="AA10" s="29" t="b">
        <f aca="false">J10&lt;=$Y10+WAPE_Tol</f>
        <v>1</v>
      </c>
      <c r="AB10" s="29" t="b">
        <f aca="false">K10&lt;=$Y10+WAPE_Tol</f>
        <v>1</v>
      </c>
      <c r="AC10" s="29" t="b">
        <f aca="false">L10&lt;=$Y10+WAPE_Tol</f>
        <v>1</v>
      </c>
      <c r="AD10" s="19" t="n">
        <f aca="false">MATCH(TRUE(),Z10:AC10,0)</f>
        <v>2</v>
      </c>
      <c r="AE10" s="12" t="str">
        <f aca="false">CHOOSE(AD10,"Naive","MA4","MA8","SES")</f>
        <v>MA4</v>
      </c>
      <c r="AF10" s="30" t="n">
        <f aca="false">INDEX(U10:X10,AD10)</f>
        <v>96.5</v>
      </c>
      <c r="AG10" s="26" t="n">
        <f aca="false">INDEX(I10:L10,AD10)</f>
        <v>0.106898029134533</v>
      </c>
      <c r="AH10" s="27" t="n">
        <f aca="false">INDEX(M10:P10,AD10)</f>
        <v>-0.00996143958868895</v>
      </c>
      <c r="AI10" s="28" t="n">
        <f aca="false">INDEX(Q10:T10,AD10)</f>
        <v>11.4679162587739</v>
      </c>
      <c r="AJ10" s="19" t="n">
        <f aca="false">AG10*H10</f>
        <v>499</v>
      </c>
      <c r="AK10" s="19" t="n">
        <f aca="false">SUM(INDEX(Forecast_Walkforward!$C:$C,$F10):INDEX(Forecast_Walkforward!$C:$C,$G10))</f>
        <v>4630</v>
      </c>
      <c r="AL10" s="26" t="n">
        <f aca="false">SUM(INDEX(Forecast_Walkforward!$L:$L,$F10):INDEX(Forecast_Walkforward!$L:$L,$G10))/$AK10</f>
        <v>0.101943844492441</v>
      </c>
      <c r="AM10" s="26" t="n">
        <f aca="false">SUM(INDEX(Forecast_Walkforward!$M:$M,$F10):INDEX(Forecast_Walkforward!$M:$M,$G10))/$AK10</f>
        <v>0.0922786177105832</v>
      </c>
      <c r="AN10" s="26" t="n">
        <f aca="false">SUM(INDEX(Forecast_Walkforward!$N:$N,$F10):INDEX(Forecast_Walkforward!$N:$N,$G10))/$AK10</f>
        <v>0.0833693304535637</v>
      </c>
      <c r="AO10" s="26" t="n">
        <f aca="false">SUM(INDEX(Forecast_Walkforward!$O:$O,$F10):INDEX(Forecast_Walkforward!$O:$O,$G10))/$AK10</f>
        <v>0.0845383989359977</v>
      </c>
      <c r="AP10" s="28" t="n">
        <f aca="false">_xlfn.STDEV.S(INDEX(Forecast_Walkforward!$H:$H,$F10):INDEX(Forecast_Walkforward!$H:$H,$G10))</f>
        <v>11.4683642505024</v>
      </c>
      <c r="AQ10" s="28" t="n">
        <f aca="false">_xlfn.STDEV.S(INDEX(Forecast_Walkforward!$I:$I,$F10):INDEX(Forecast_Walkforward!$I:$I,$G10))</f>
        <v>10.55274205214</v>
      </c>
      <c r="AR10" s="28" t="n">
        <f aca="false">_xlfn.STDEV.S(INDEX(Forecast_Walkforward!$J:$J,$F10):INDEX(Forecast_Walkforward!$J:$J,$G10))</f>
        <v>9.64722781553783</v>
      </c>
      <c r="AS10" s="28" t="n">
        <f aca="false">_xlfn.STDEV.S(INDEX(Forecast_Walkforward!$K:$K,$F10):INDEX(Forecast_Walkforward!$K:$K,$G10))</f>
        <v>9.69698714435558</v>
      </c>
      <c r="AT10" s="26" t="n">
        <f aca="false">MIN(AL10:AO10)</f>
        <v>0.0833693304535637</v>
      </c>
      <c r="AU10" s="29" t="b">
        <f aca="false">AL10&lt;=$AT10+WAPE_Tol</f>
        <v>0</v>
      </c>
      <c r="AV10" s="29" t="b">
        <f aca="false">AM10&lt;=$AT10+WAPE_Tol</f>
        <v>1</v>
      </c>
      <c r="AW10" s="29" t="b">
        <f aca="false">AN10&lt;=$AT10+WAPE_Tol</f>
        <v>1</v>
      </c>
      <c r="AX10" s="29" t="b">
        <f aca="false">AO10&lt;=$AT10+WAPE_Tol</f>
        <v>1</v>
      </c>
      <c r="AY10" s="19" t="n">
        <f aca="false">MATCH(TRUE(),AU10:AX10,0)</f>
        <v>2</v>
      </c>
      <c r="AZ10" s="10" t="str">
        <f aca="false">CHOOSE(AY10,"Naive","MA4","MA8","SES")</f>
        <v>MA4</v>
      </c>
      <c r="BA10" s="28" t="n">
        <f aca="false">INDEX(AP10:AS10,AY10)</f>
        <v>10.55274205214</v>
      </c>
    </row>
    <row r="11" customFormat="false" ht="15" hidden="false" customHeight="false" outlineLevel="0" collapsed="false">
      <c r="A11" s="11" t="str">
        <f aca="false">Inputs!B44</f>
        <v>KIT-005</v>
      </c>
      <c r="B11" s="11" t="str">
        <f aca="false">Inputs!C44</f>
        <v>Stainless Saucepan 2L</v>
      </c>
      <c r="C11" s="10" t="n">
        <f aca="false">MATCH(A11,Demand_History!$C:$C,0)</f>
        <v>418</v>
      </c>
      <c r="D11" s="10" t="n">
        <f aca="false">C11+Weeks_History-1</f>
        <v>521</v>
      </c>
      <c r="E11" s="10" t="n">
        <f aca="false">C11+Eval_Start_Week-1</f>
        <v>470</v>
      </c>
      <c r="F11" s="10" t="n">
        <f aca="false">C11+Cal_Start_Week-1</f>
        <v>454</v>
      </c>
      <c r="G11" s="10" t="n">
        <f aca="false">C11+Cal_End_Week-1</f>
        <v>505</v>
      </c>
      <c r="H11" s="19" t="n">
        <f aca="false">SUM(INDEX(Forecast_Walkforward!$C:$C,$E11):INDEX(Forecast_Walkforward!$C:$C,$D11))</f>
        <v>1441</v>
      </c>
      <c r="I11" s="26" t="n">
        <f aca="false">SUM(INDEX(Forecast_Walkforward!$L:$L,$E11):INDEX(Forecast_Walkforward!$L:$L,$D11))/$H11</f>
        <v>0.170714781401804</v>
      </c>
      <c r="J11" s="26" t="n">
        <f aca="false">SUM(INDEX(Forecast_Walkforward!$M:$M,$E11):INDEX(Forecast_Walkforward!$M:$M,$D11))/$H11</f>
        <v>0.150763358778626</v>
      </c>
      <c r="K11" s="26" t="n">
        <f aca="false">SUM(INDEX(Forecast_Walkforward!$N:$N,$E11):INDEX(Forecast_Walkforward!$N:$N,$D11))/$H11</f>
        <v>0.138619014573213</v>
      </c>
      <c r="L11" s="26" t="n">
        <f aca="false">SUM(INDEX(Forecast_Walkforward!$O:$O,$E11):INDEX(Forecast_Walkforward!$O:$O,$D11))/$H11</f>
        <v>0.140149101628141</v>
      </c>
      <c r="M11" s="27" t="n">
        <f aca="false">SUM(INDEX(Forecast_Walkforward!$H:$H,$E11):INDEX(Forecast_Walkforward!$H:$H,$D11))/$H11</f>
        <v>0.00555170020818876</v>
      </c>
      <c r="N11" s="27" t="n">
        <f aca="false">SUM(INDEX(Forecast_Walkforward!$I:$I,$E11):INDEX(Forecast_Walkforward!$I:$I,$D11))/$H11</f>
        <v>0.0185634975711312</v>
      </c>
      <c r="O11" s="27" t="n">
        <f aca="false">SUM(INDEX(Forecast_Walkforward!$J:$J,$E11):INDEX(Forecast_Walkforward!$J:$J,$D11))/$H11</f>
        <v>0.0315752949340736</v>
      </c>
      <c r="P11" s="27" t="n">
        <f aca="false">SUM(INDEX(Forecast_Walkforward!$K:$K,$E11):INDEX(Forecast_Walkforward!$K:$K,$D11))/$H11</f>
        <v>0.023456008517774</v>
      </c>
      <c r="Q11" s="28" t="n">
        <f aca="false">_xlfn.STDEV.S(INDEX(Forecast_Walkforward!$H:$H,$E11):INDEX(Forecast_Walkforward!$H:$H,$D11))</f>
        <v>6.32884654913784</v>
      </c>
      <c r="R11" s="28" t="n">
        <f aca="false">_xlfn.STDEV.S(INDEX(Forecast_Walkforward!$I:$I,$E11):INDEX(Forecast_Walkforward!$I:$I,$D11))</f>
        <v>5.02186724645581</v>
      </c>
      <c r="S11" s="28" t="n">
        <f aca="false">_xlfn.STDEV.S(INDEX(Forecast_Walkforward!$J:$J,$E11):INDEX(Forecast_Walkforward!$J:$J,$D11))</f>
        <v>4.67556487098031</v>
      </c>
      <c r="T11" s="28" t="n">
        <f aca="false">_xlfn.STDEV.S(INDEX(Forecast_Walkforward!$K:$K,$E11):INDEX(Forecast_Walkforward!$K:$K,$D11))</f>
        <v>4.80403580806738</v>
      </c>
      <c r="U11" s="28" t="n">
        <f aca="false">INDEX(Forecast_Walkforward!$C:$C,$D11)</f>
        <v>23</v>
      </c>
      <c r="V11" s="28" t="n">
        <f aca="false">AVERAGE(INDEX(Forecast_Walkforward!$C:$C,$D11-3):INDEX(Forecast_Walkforward!$C:$C,$D11))</f>
        <v>22</v>
      </c>
      <c r="W11" s="28" t="n">
        <f aca="false">AVERAGE(INDEX(Forecast_Walkforward!$C:$C,$D11-7):INDEX(Forecast_Walkforward!$C:$C,$D11))</f>
        <v>23.875</v>
      </c>
      <c r="X11" s="28" t="n">
        <f aca="false">SES_Alpha*INDEX(Forecast_Walkforward!$C:$C,$D11)+(1-SES_Alpha)*INDEX(Forecast_Walkforward!$G:$G,$D11)</f>
        <v>22.6162769461282</v>
      </c>
      <c r="Y11" s="26" t="n">
        <f aca="false">MIN(I11:L11)</f>
        <v>0.138619014573213</v>
      </c>
      <c r="Z11" s="29" t="b">
        <f aca="false">I11&lt;=$Y11+WAPE_Tol</f>
        <v>0</v>
      </c>
      <c r="AA11" s="29" t="b">
        <f aca="false">J11&lt;=$Y11+WAPE_Tol</f>
        <v>0</v>
      </c>
      <c r="AB11" s="29" t="b">
        <f aca="false">K11&lt;=$Y11+WAPE_Tol</f>
        <v>1</v>
      </c>
      <c r="AC11" s="29" t="b">
        <f aca="false">L11&lt;=$Y11+WAPE_Tol</f>
        <v>1</v>
      </c>
      <c r="AD11" s="19" t="n">
        <f aca="false">MATCH(TRUE(),Z11:AC11,0)</f>
        <v>3</v>
      </c>
      <c r="AE11" s="12" t="str">
        <f aca="false">CHOOSE(AD11,"Naive","MA4","MA8","SES")</f>
        <v>MA8</v>
      </c>
      <c r="AF11" s="30" t="n">
        <f aca="false">INDEX(U11:X11,AD11)</f>
        <v>23.875</v>
      </c>
      <c r="AG11" s="26" t="n">
        <f aca="false">INDEX(I11:L11,AD11)</f>
        <v>0.138619014573213</v>
      </c>
      <c r="AH11" s="27" t="n">
        <f aca="false">INDEX(M11:P11,AD11)</f>
        <v>0.0315752949340736</v>
      </c>
      <c r="AI11" s="28" t="n">
        <f aca="false">INDEX(Q11:T11,AD11)</f>
        <v>4.67556487098031</v>
      </c>
      <c r="AJ11" s="19" t="n">
        <f aca="false">AG11*H11</f>
        <v>199.75</v>
      </c>
      <c r="AK11" s="19" t="n">
        <f aca="false">SUM(INDEX(Forecast_Walkforward!$C:$C,$F11):INDEX(Forecast_Walkforward!$C:$C,$G11))</f>
        <v>1611</v>
      </c>
      <c r="AL11" s="26" t="n">
        <f aca="false">SUM(INDEX(Forecast_Walkforward!$L:$L,$F11):INDEX(Forecast_Walkforward!$L:$L,$G11))/$AK11</f>
        <v>0.19056486654252</v>
      </c>
      <c r="AM11" s="26" t="n">
        <f aca="false">SUM(INDEX(Forecast_Walkforward!$M:$M,$F11):INDEX(Forecast_Walkforward!$M:$M,$G11))/$AK11</f>
        <v>0.148355058969584</v>
      </c>
      <c r="AN11" s="26" t="n">
        <f aca="false">SUM(INDEX(Forecast_Walkforward!$N:$N,$F11):INDEX(Forecast_Walkforward!$N:$N,$G11))/$AK11</f>
        <v>0.139664804469274</v>
      </c>
      <c r="AO11" s="26" t="n">
        <f aca="false">SUM(INDEX(Forecast_Walkforward!$O:$O,$F11):INDEX(Forecast_Walkforward!$O:$O,$G11))/$AK11</f>
        <v>0.145678082458516</v>
      </c>
      <c r="AP11" s="28" t="n">
        <f aca="false">_xlfn.STDEV.S(INDEX(Forecast_Walkforward!$H:$H,$F11):INDEX(Forecast_Walkforward!$H:$H,$G11))</f>
        <v>7.31460140165945</v>
      </c>
      <c r="AQ11" s="28" t="n">
        <f aca="false">_xlfn.STDEV.S(INDEX(Forecast_Walkforward!$I:$I,$F11):INDEX(Forecast_Walkforward!$I:$I,$G11))</f>
        <v>5.38069912529246</v>
      </c>
      <c r="AR11" s="28" t="n">
        <f aca="false">_xlfn.STDEV.S(INDEX(Forecast_Walkforward!$J:$J,$F11):INDEX(Forecast_Walkforward!$J:$J,$G11))</f>
        <v>5.12079297951644</v>
      </c>
      <c r="AS11" s="28" t="n">
        <f aca="false">_xlfn.STDEV.S(INDEX(Forecast_Walkforward!$K:$K,$F11):INDEX(Forecast_Walkforward!$K:$K,$G11))</f>
        <v>5.34374867738497</v>
      </c>
      <c r="AT11" s="26" t="n">
        <f aca="false">MIN(AL11:AO11)</f>
        <v>0.139664804469274</v>
      </c>
      <c r="AU11" s="29" t="b">
        <f aca="false">AL11&lt;=$AT11+WAPE_Tol</f>
        <v>0</v>
      </c>
      <c r="AV11" s="29" t="b">
        <f aca="false">AM11&lt;=$AT11+WAPE_Tol</f>
        <v>1</v>
      </c>
      <c r="AW11" s="29" t="b">
        <f aca="false">AN11&lt;=$AT11+WAPE_Tol</f>
        <v>1</v>
      </c>
      <c r="AX11" s="29" t="b">
        <f aca="false">AO11&lt;=$AT11+WAPE_Tol</f>
        <v>1</v>
      </c>
      <c r="AY11" s="19" t="n">
        <f aca="false">MATCH(TRUE(),AU11:AX11,0)</f>
        <v>2</v>
      </c>
      <c r="AZ11" s="10" t="str">
        <f aca="false">CHOOSE(AY11,"Naive","MA4","MA8","SES")</f>
        <v>MA4</v>
      </c>
      <c r="BA11" s="28" t="n">
        <f aca="false">INDEX(AP11:AS11,AY11)</f>
        <v>5.38069912529246</v>
      </c>
    </row>
    <row r="12" customFormat="false" ht="15" hidden="false" customHeight="false" outlineLevel="0" collapsed="false">
      <c r="A12" s="11" t="str">
        <f aca="false">Inputs!B45</f>
        <v>KIT-006</v>
      </c>
      <c r="B12" s="11" t="str">
        <f aca="false">Inputs!C45</f>
        <v>Silicone Utensil Set</v>
      </c>
      <c r="C12" s="10" t="n">
        <f aca="false">MATCH(A12,Demand_History!$C:$C,0)</f>
        <v>522</v>
      </c>
      <c r="D12" s="10" t="n">
        <f aca="false">C12+Weeks_History-1</f>
        <v>625</v>
      </c>
      <c r="E12" s="10" t="n">
        <f aca="false">C12+Eval_Start_Week-1</f>
        <v>574</v>
      </c>
      <c r="F12" s="10" t="n">
        <f aca="false">C12+Cal_Start_Week-1</f>
        <v>558</v>
      </c>
      <c r="G12" s="10" t="n">
        <f aca="false">C12+Cal_End_Week-1</f>
        <v>609</v>
      </c>
      <c r="H12" s="19" t="n">
        <f aca="false">SUM(INDEX(Forecast_Walkforward!$C:$C,$E12):INDEX(Forecast_Walkforward!$C:$C,$D12))</f>
        <v>2910</v>
      </c>
      <c r="I12" s="26" t="n">
        <f aca="false">SUM(INDEX(Forecast_Walkforward!$L:$L,$E12):INDEX(Forecast_Walkforward!$L:$L,$D12))/$H12</f>
        <v>0.322680412371134</v>
      </c>
      <c r="J12" s="26" t="n">
        <f aca="false">SUM(INDEX(Forecast_Walkforward!$M:$M,$E12):INDEX(Forecast_Walkforward!$M:$M,$D12))/$H12</f>
        <v>0.302491408934708</v>
      </c>
      <c r="K12" s="26" t="n">
        <f aca="false">SUM(INDEX(Forecast_Walkforward!$N:$N,$E12):INDEX(Forecast_Walkforward!$N:$N,$D12))/$H12</f>
        <v>0.270790378006873</v>
      </c>
      <c r="L12" s="26" t="n">
        <f aca="false">SUM(INDEX(Forecast_Walkforward!$O:$O,$E12):INDEX(Forecast_Walkforward!$O:$O,$D12))/$H12</f>
        <v>0.283766768941936</v>
      </c>
      <c r="M12" s="27" t="n">
        <f aca="false">SUM(INDEX(Forecast_Walkforward!$H:$H,$E12):INDEX(Forecast_Walkforward!$H:$H,$D12))/$H12</f>
        <v>-0.0230240549828179</v>
      </c>
      <c r="N12" s="27" t="n">
        <f aca="false">SUM(INDEX(Forecast_Walkforward!$I:$I,$E12):INDEX(Forecast_Walkforward!$I:$I,$D12))/$H12</f>
        <v>-0.0332474226804124</v>
      </c>
      <c r="O12" s="27" t="n">
        <f aca="false">SUM(INDEX(Forecast_Walkforward!$J:$J,$E12):INDEX(Forecast_Walkforward!$J:$J,$D12))/$H12</f>
        <v>-0.0412371134020619</v>
      </c>
      <c r="P12" s="27" t="n">
        <f aca="false">SUM(INDEX(Forecast_Walkforward!$K:$K,$E12):INDEX(Forecast_Walkforward!$K:$K,$D12))/$H12</f>
        <v>-0.0349349515761391</v>
      </c>
      <c r="Q12" s="28" t="n">
        <f aca="false">_xlfn.STDEV.S(INDEX(Forecast_Walkforward!$H:$H,$E12):INDEX(Forecast_Walkforward!$H:$H,$D12))</f>
        <v>22.7624876638198</v>
      </c>
      <c r="R12" s="28" t="n">
        <f aca="false">_xlfn.STDEV.S(INDEX(Forecast_Walkforward!$I:$I,$E12):INDEX(Forecast_Walkforward!$I:$I,$D12))</f>
        <v>20.7798576504835</v>
      </c>
      <c r="S12" s="28" t="n">
        <f aca="false">_xlfn.STDEV.S(INDEX(Forecast_Walkforward!$J:$J,$E12):INDEX(Forecast_Walkforward!$J:$J,$D12))</f>
        <v>19.8379998661101</v>
      </c>
      <c r="T12" s="28" t="n">
        <f aca="false">_xlfn.STDEV.S(INDEX(Forecast_Walkforward!$K:$K,$E12):INDEX(Forecast_Walkforward!$K:$K,$D12))</f>
        <v>19.768279139169</v>
      </c>
      <c r="U12" s="28" t="n">
        <f aca="false">INDEX(Forecast_Walkforward!$C:$C,$D12)</f>
        <v>93</v>
      </c>
      <c r="V12" s="28" t="n">
        <f aca="false">AVERAGE(INDEX(Forecast_Walkforward!$C:$C,$D12-3):INDEX(Forecast_Walkforward!$C:$C,$D12))</f>
        <v>66</v>
      </c>
      <c r="W12" s="28" t="n">
        <f aca="false">AVERAGE(INDEX(Forecast_Walkforward!$C:$C,$D12-7):INDEX(Forecast_Walkforward!$C:$C,$D12))</f>
        <v>66.625</v>
      </c>
      <c r="X12" s="28" t="n">
        <f aca="false">SES_Alpha*INDEX(Forecast_Walkforward!$C:$C,$D12)+(1-SES_Alpha)*INDEX(Forecast_Walkforward!$G:$G,$D12)</f>
        <v>71.5308459466324</v>
      </c>
      <c r="Y12" s="26" t="n">
        <f aca="false">MIN(I12:L12)</f>
        <v>0.270790378006873</v>
      </c>
      <c r="Z12" s="29" t="b">
        <f aca="false">I12&lt;=$Y12+WAPE_Tol</f>
        <v>0</v>
      </c>
      <c r="AA12" s="29" t="b">
        <f aca="false">J12&lt;=$Y12+WAPE_Tol</f>
        <v>0</v>
      </c>
      <c r="AB12" s="29" t="b">
        <f aca="false">K12&lt;=$Y12+WAPE_Tol</f>
        <v>1</v>
      </c>
      <c r="AC12" s="29" t="b">
        <f aca="false">L12&lt;=$Y12+WAPE_Tol</f>
        <v>0</v>
      </c>
      <c r="AD12" s="19" t="n">
        <f aca="false">MATCH(TRUE(),Z12:AC12,0)</f>
        <v>3</v>
      </c>
      <c r="AE12" s="12" t="str">
        <f aca="false">CHOOSE(AD12,"Naive","MA4","MA8","SES")</f>
        <v>MA8</v>
      </c>
      <c r="AF12" s="30" t="n">
        <f aca="false">INDEX(U12:X12,AD12)</f>
        <v>66.625</v>
      </c>
      <c r="AG12" s="26" t="n">
        <f aca="false">INDEX(I12:L12,AD12)</f>
        <v>0.270790378006873</v>
      </c>
      <c r="AH12" s="27" t="n">
        <f aca="false">INDEX(M12:P12,AD12)</f>
        <v>-0.0412371134020619</v>
      </c>
      <c r="AI12" s="28" t="n">
        <f aca="false">INDEX(Q12:T12,AD12)</f>
        <v>19.8379998661101</v>
      </c>
      <c r="AJ12" s="19" t="n">
        <f aca="false">AG12*H12</f>
        <v>788</v>
      </c>
      <c r="AK12" s="19" t="n">
        <f aca="false">SUM(INDEX(Forecast_Walkforward!$C:$C,$F12):INDEX(Forecast_Walkforward!$C:$C,$G12))</f>
        <v>2761</v>
      </c>
      <c r="AL12" s="26" t="n">
        <f aca="false">SUM(INDEX(Forecast_Walkforward!$L:$L,$F12):INDEX(Forecast_Walkforward!$L:$L,$G12))/$AK12</f>
        <v>0.372328866352771</v>
      </c>
      <c r="AM12" s="26" t="n">
        <f aca="false">SUM(INDEX(Forecast_Walkforward!$M:$M,$F12):INDEX(Forecast_Walkforward!$M:$M,$G12))/$AK12</f>
        <v>0.324610648315828</v>
      </c>
      <c r="AN12" s="26" t="n">
        <f aca="false">SUM(INDEX(Forecast_Walkforward!$N:$N,$F12):INDEX(Forecast_Walkforward!$N:$N,$G12))/$AK12</f>
        <v>0.289840637450199</v>
      </c>
      <c r="AO12" s="26" t="n">
        <f aca="false">SUM(INDEX(Forecast_Walkforward!$O:$O,$F12):INDEX(Forecast_Walkforward!$O:$O,$G12))/$AK12</f>
        <v>0.304857688034839</v>
      </c>
      <c r="AP12" s="28" t="n">
        <f aca="false">_xlfn.STDEV.S(INDEX(Forecast_Walkforward!$H:$H,$F12):INDEX(Forecast_Walkforward!$H:$H,$G12))</f>
        <v>24.4018642810781</v>
      </c>
      <c r="AQ12" s="28" t="n">
        <f aca="false">_xlfn.STDEV.S(INDEX(Forecast_Walkforward!$I:$I,$F12):INDEX(Forecast_Walkforward!$I:$I,$G12))</f>
        <v>20.920301320797</v>
      </c>
      <c r="AR12" s="28" t="n">
        <f aca="false">_xlfn.STDEV.S(INDEX(Forecast_Walkforward!$J:$J,$F12):INDEX(Forecast_Walkforward!$J:$J,$G12))</f>
        <v>20.3297488835493</v>
      </c>
      <c r="AS12" s="28" t="n">
        <f aca="false">_xlfn.STDEV.S(INDEX(Forecast_Walkforward!$K:$K,$F12):INDEX(Forecast_Walkforward!$K:$K,$G12))</f>
        <v>20.2119070695467</v>
      </c>
      <c r="AT12" s="26" t="n">
        <f aca="false">MIN(AL12:AO12)</f>
        <v>0.289840637450199</v>
      </c>
      <c r="AU12" s="29" t="b">
        <f aca="false">AL12&lt;=$AT12+WAPE_Tol</f>
        <v>0</v>
      </c>
      <c r="AV12" s="29" t="b">
        <f aca="false">AM12&lt;=$AT12+WAPE_Tol</f>
        <v>0</v>
      </c>
      <c r="AW12" s="29" t="b">
        <f aca="false">AN12&lt;=$AT12+WAPE_Tol</f>
        <v>1</v>
      </c>
      <c r="AX12" s="29" t="b">
        <f aca="false">AO12&lt;=$AT12+WAPE_Tol</f>
        <v>0</v>
      </c>
      <c r="AY12" s="19" t="n">
        <f aca="false">MATCH(TRUE(),AU12:AX12,0)</f>
        <v>3</v>
      </c>
      <c r="AZ12" s="10" t="str">
        <f aca="false">CHOOSE(AY12,"Naive","MA4","MA8","SES")</f>
        <v>MA8</v>
      </c>
      <c r="BA12" s="28" t="n">
        <f aca="false">INDEX(AP12:AS12,AY12)</f>
        <v>20.3297488835493</v>
      </c>
    </row>
    <row r="13" customFormat="false" ht="15" hidden="false" customHeight="false" outlineLevel="0" collapsed="false">
      <c r="A13" s="11" t="str">
        <f aca="false">Inputs!B46</f>
        <v>KIT-007</v>
      </c>
      <c r="B13" s="11" t="str">
        <f aca="false">Inputs!C46</f>
        <v>Cast Iron Casserole 5L</v>
      </c>
      <c r="C13" s="10" t="n">
        <f aca="false">MATCH(A13,Demand_History!$C:$C,0)</f>
        <v>626</v>
      </c>
      <c r="D13" s="10" t="n">
        <f aca="false">C13+Weeks_History-1</f>
        <v>729</v>
      </c>
      <c r="E13" s="10" t="n">
        <f aca="false">C13+Eval_Start_Week-1</f>
        <v>678</v>
      </c>
      <c r="F13" s="10" t="n">
        <f aca="false">C13+Cal_Start_Week-1</f>
        <v>662</v>
      </c>
      <c r="G13" s="10" t="n">
        <f aca="false">C13+Cal_End_Week-1</f>
        <v>713</v>
      </c>
      <c r="H13" s="19" t="n">
        <f aca="false">SUM(INDEX(Forecast_Walkforward!$C:$C,$E13):INDEX(Forecast_Walkforward!$C:$C,$D13))</f>
        <v>386</v>
      </c>
      <c r="I13" s="26" t="n">
        <f aca="false">SUM(INDEX(Forecast_Walkforward!$L:$L,$E13):INDEX(Forecast_Walkforward!$L:$L,$D13))/$H13</f>
        <v>0.417098445595855</v>
      </c>
      <c r="J13" s="26" t="n">
        <f aca="false">SUM(INDEX(Forecast_Walkforward!$M:$M,$E13):INDEX(Forecast_Walkforward!$M:$M,$D13))/$H13</f>
        <v>0.312823834196891</v>
      </c>
      <c r="K13" s="26" t="n">
        <f aca="false">SUM(INDEX(Forecast_Walkforward!$N:$N,$E13):INDEX(Forecast_Walkforward!$N:$N,$D13))/$H13</f>
        <v>0.293717616580311</v>
      </c>
      <c r="L13" s="26" t="n">
        <f aca="false">SUM(INDEX(Forecast_Walkforward!$O:$O,$E13):INDEX(Forecast_Walkforward!$O:$O,$D13))/$H13</f>
        <v>0.30741070562854</v>
      </c>
      <c r="M13" s="27" t="n">
        <f aca="false">SUM(INDEX(Forecast_Walkforward!$H:$H,$E13):INDEX(Forecast_Walkforward!$H:$H,$D13))/$H13</f>
        <v>-0.0129533678756477</v>
      </c>
      <c r="N13" s="27" t="n">
        <f aca="false">SUM(INDEX(Forecast_Walkforward!$I:$I,$E13):INDEX(Forecast_Walkforward!$I:$I,$D13))/$H13</f>
        <v>-0.0187823834196891</v>
      </c>
      <c r="O13" s="27" t="n">
        <f aca="false">SUM(INDEX(Forecast_Walkforward!$J:$J,$E13):INDEX(Forecast_Walkforward!$J:$J,$D13))/$H13</f>
        <v>-0.0281735751295337</v>
      </c>
      <c r="P13" s="27" t="n">
        <f aca="false">SUM(INDEX(Forecast_Walkforward!$K:$K,$E13):INDEX(Forecast_Walkforward!$K:$K,$D13))/$H13</f>
        <v>-0.0233082870296391</v>
      </c>
      <c r="Q13" s="28" t="n">
        <f aca="false">_xlfn.STDEV.S(INDEX(Forecast_Walkforward!$H:$H,$E13):INDEX(Forecast_Walkforward!$H:$H,$D13))</f>
        <v>3.97176118086524</v>
      </c>
      <c r="R13" s="28" t="n">
        <f aca="false">_xlfn.STDEV.S(INDEX(Forecast_Walkforward!$I:$I,$E13):INDEX(Forecast_Walkforward!$I:$I,$D13))</f>
        <v>2.98255280410271</v>
      </c>
      <c r="S13" s="28" t="n">
        <f aca="false">_xlfn.STDEV.S(INDEX(Forecast_Walkforward!$J:$J,$E13):INDEX(Forecast_Walkforward!$J:$J,$D13))</f>
        <v>2.82525388780247</v>
      </c>
      <c r="T13" s="28" t="n">
        <f aca="false">_xlfn.STDEV.S(INDEX(Forecast_Walkforward!$K:$K,$E13):INDEX(Forecast_Walkforward!$K:$K,$D13))</f>
        <v>2.93963253421382</v>
      </c>
      <c r="U13" s="28" t="n">
        <f aca="false">INDEX(Forecast_Walkforward!$C:$C,$D13)</f>
        <v>9</v>
      </c>
      <c r="V13" s="28" t="n">
        <f aca="false">AVERAGE(INDEX(Forecast_Walkforward!$C:$C,$D13-3):INDEX(Forecast_Walkforward!$C:$C,$D13))</f>
        <v>8.5</v>
      </c>
      <c r="W13" s="28" t="n">
        <f aca="false">AVERAGE(INDEX(Forecast_Walkforward!$C:$C,$D13-7):INDEX(Forecast_Walkforward!$C:$C,$D13))</f>
        <v>8.875</v>
      </c>
      <c r="X13" s="28" t="n">
        <f aca="false">SES_Alpha*INDEX(Forecast_Walkforward!$C:$C,$D13)+(1-SES_Alpha)*INDEX(Forecast_Walkforward!$G:$G,$D13)</f>
        <v>8.78880963160801</v>
      </c>
      <c r="Y13" s="26" t="n">
        <f aca="false">MIN(I13:L13)</f>
        <v>0.293717616580311</v>
      </c>
      <c r="Z13" s="29" t="b">
        <f aca="false">I13&lt;=$Y13+WAPE_Tol</f>
        <v>0</v>
      </c>
      <c r="AA13" s="29" t="b">
        <f aca="false">J13&lt;=$Y13+WAPE_Tol</f>
        <v>0</v>
      </c>
      <c r="AB13" s="29" t="b">
        <f aca="false">K13&lt;=$Y13+WAPE_Tol</f>
        <v>1</v>
      </c>
      <c r="AC13" s="29" t="b">
        <f aca="false">L13&lt;=$Y13+WAPE_Tol</f>
        <v>0</v>
      </c>
      <c r="AD13" s="19" t="n">
        <f aca="false">MATCH(TRUE(),Z13:AC13,0)</f>
        <v>3</v>
      </c>
      <c r="AE13" s="12" t="str">
        <f aca="false">CHOOSE(AD13,"Naive","MA4","MA8","SES")</f>
        <v>MA8</v>
      </c>
      <c r="AF13" s="30" t="n">
        <f aca="false">INDEX(U13:X13,AD13)</f>
        <v>8.875</v>
      </c>
      <c r="AG13" s="26" t="n">
        <f aca="false">INDEX(I13:L13,AD13)</f>
        <v>0.293717616580311</v>
      </c>
      <c r="AH13" s="27" t="n">
        <f aca="false">INDEX(M13:P13,AD13)</f>
        <v>-0.0281735751295337</v>
      </c>
      <c r="AI13" s="28" t="n">
        <f aca="false">INDEX(Q13:T13,AD13)</f>
        <v>2.82525388780247</v>
      </c>
      <c r="AJ13" s="19" t="n">
        <f aca="false">AG13*H13</f>
        <v>113.375</v>
      </c>
      <c r="AK13" s="19" t="n">
        <f aca="false">SUM(INDEX(Forecast_Walkforward!$C:$C,$F13):INDEX(Forecast_Walkforward!$C:$C,$G13))</f>
        <v>360</v>
      </c>
      <c r="AL13" s="26" t="n">
        <f aca="false">SUM(INDEX(Forecast_Walkforward!$L:$L,$F13):INDEX(Forecast_Walkforward!$L:$L,$G13))/$AK13</f>
        <v>0.480555555555556</v>
      </c>
      <c r="AM13" s="26" t="n">
        <f aca="false">SUM(INDEX(Forecast_Walkforward!$M:$M,$F13):INDEX(Forecast_Walkforward!$M:$M,$G13))/$AK13</f>
        <v>0.369444444444444</v>
      </c>
      <c r="AN13" s="26" t="n">
        <f aca="false">SUM(INDEX(Forecast_Walkforward!$N:$N,$F13):INDEX(Forecast_Walkforward!$N:$N,$G13))/$AK13</f>
        <v>0.347569444444444</v>
      </c>
      <c r="AO13" s="26" t="n">
        <f aca="false">SUM(INDEX(Forecast_Walkforward!$O:$O,$F13):INDEX(Forecast_Walkforward!$O:$O,$G13))/$AK13</f>
        <v>0.365922686156405</v>
      </c>
      <c r="AP13" s="28" t="n">
        <f aca="false">_xlfn.STDEV.S(INDEX(Forecast_Walkforward!$H:$H,$F13):INDEX(Forecast_Walkforward!$H:$H,$G13))</f>
        <v>4.1467699909045</v>
      </c>
      <c r="AQ13" s="28" t="n">
        <f aca="false">_xlfn.STDEV.S(INDEX(Forecast_Walkforward!$I:$I,$F13):INDEX(Forecast_Walkforward!$I:$I,$G13))</f>
        <v>3.10908087081002</v>
      </c>
      <c r="AR13" s="28" t="n">
        <f aca="false">_xlfn.STDEV.S(INDEX(Forecast_Walkforward!$J:$J,$F13):INDEX(Forecast_Walkforward!$J:$J,$G13))</f>
        <v>2.9568714788282</v>
      </c>
      <c r="AS13" s="28" t="n">
        <f aca="false">_xlfn.STDEV.S(INDEX(Forecast_Walkforward!$K:$K,$F13):INDEX(Forecast_Walkforward!$K:$K,$G13))</f>
        <v>3.09302700269097</v>
      </c>
      <c r="AT13" s="26" t="n">
        <f aca="false">MIN(AL13:AO13)</f>
        <v>0.347569444444444</v>
      </c>
      <c r="AU13" s="29" t="b">
        <f aca="false">AL13&lt;=$AT13+WAPE_Tol</f>
        <v>0</v>
      </c>
      <c r="AV13" s="29" t="b">
        <f aca="false">AM13&lt;=$AT13+WAPE_Tol</f>
        <v>0</v>
      </c>
      <c r="AW13" s="29" t="b">
        <f aca="false">AN13&lt;=$AT13+WAPE_Tol</f>
        <v>1</v>
      </c>
      <c r="AX13" s="29" t="b">
        <f aca="false">AO13&lt;=$AT13+WAPE_Tol</f>
        <v>0</v>
      </c>
      <c r="AY13" s="19" t="n">
        <f aca="false">MATCH(TRUE(),AU13:AX13,0)</f>
        <v>3</v>
      </c>
      <c r="AZ13" s="10" t="str">
        <f aca="false">CHOOSE(AY13,"Naive","MA4","MA8","SES")</f>
        <v>MA8</v>
      </c>
      <c r="BA13" s="28" t="n">
        <f aca="false">INDEX(AP13:AS13,AY13)</f>
        <v>2.9568714788282</v>
      </c>
    </row>
    <row r="14" customFormat="false" ht="15" hidden="false" customHeight="false" outlineLevel="0" collapsed="false">
      <c r="A14" s="11" t="str">
        <f aca="false">Inputs!B47</f>
        <v>KIT-008</v>
      </c>
      <c r="B14" s="11" t="str">
        <f aca="false">Inputs!C47</f>
        <v>Espresso Cup Set 6pc</v>
      </c>
      <c r="C14" s="10" t="n">
        <f aca="false">MATCH(A14,Demand_History!$C:$C,0)</f>
        <v>730</v>
      </c>
      <c r="D14" s="10" t="n">
        <f aca="false">C14+Weeks_History-1</f>
        <v>833</v>
      </c>
      <c r="E14" s="10" t="n">
        <f aca="false">C14+Eval_Start_Week-1</f>
        <v>782</v>
      </c>
      <c r="F14" s="10" t="n">
        <f aca="false">C14+Cal_Start_Week-1</f>
        <v>766</v>
      </c>
      <c r="G14" s="10" t="n">
        <f aca="false">C14+Cal_End_Week-1</f>
        <v>817</v>
      </c>
      <c r="H14" s="19" t="n">
        <f aca="false">SUM(INDEX(Forecast_Walkforward!$C:$C,$E14):INDEX(Forecast_Walkforward!$C:$C,$D14))</f>
        <v>2125</v>
      </c>
      <c r="I14" s="26" t="n">
        <f aca="false">SUM(INDEX(Forecast_Walkforward!$L:$L,$E14):INDEX(Forecast_Walkforward!$L:$L,$D14))/$H14</f>
        <v>0.101647058823529</v>
      </c>
      <c r="J14" s="26" t="n">
        <f aca="false">SUM(INDEX(Forecast_Walkforward!$M:$M,$E14):INDEX(Forecast_Walkforward!$M:$M,$D14))/$H14</f>
        <v>0.0874117647058824</v>
      </c>
      <c r="K14" s="26" t="n">
        <f aca="false">SUM(INDEX(Forecast_Walkforward!$N:$N,$E14):INDEX(Forecast_Walkforward!$N:$N,$D14))/$H14</f>
        <v>0.0872352941176471</v>
      </c>
      <c r="L14" s="26" t="n">
        <f aca="false">SUM(INDEX(Forecast_Walkforward!$O:$O,$E14):INDEX(Forecast_Walkforward!$O:$O,$D14))/$H14</f>
        <v>0.0820914863252001</v>
      </c>
      <c r="M14" s="27" t="n">
        <f aca="false">SUM(INDEX(Forecast_Walkforward!$H:$H,$E14):INDEX(Forecast_Walkforward!$H:$H,$D14))/$H14</f>
        <v>0</v>
      </c>
      <c r="N14" s="27" t="n">
        <f aca="false">SUM(INDEX(Forecast_Walkforward!$I:$I,$E14):INDEX(Forecast_Walkforward!$I:$I,$D14))/$H14</f>
        <v>-0.000117647058823529</v>
      </c>
      <c r="O14" s="27" t="n">
        <f aca="false">SUM(INDEX(Forecast_Walkforward!$J:$J,$E14):INDEX(Forecast_Walkforward!$J:$J,$D14))/$H14</f>
        <v>-0.00452941176470588</v>
      </c>
      <c r="P14" s="27" t="n">
        <f aca="false">SUM(INDEX(Forecast_Walkforward!$K:$K,$E14):INDEX(Forecast_Walkforward!$K:$K,$D14))/$H14</f>
        <v>-0.00163596565484606</v>
      </c>
      <c r="Q14" s="28" t="n">
        <f aca="false">_xlfn.STDEV.S(INDEX(Forecast_Walkforward!$H:$H,$E14):INDEX(Forecast_Walkforward!$H:$H,$D14))</f>
        <v>5.50935034069087</v>
      </c>
      <c r="R14" s="28" t="n">
        <f aca="false">_xlfn.STDEV.S(INDEX(Forecast_Walkforward!$I:$I,$E14):INDEX(Forecast_Walkforward!$I:$I,$D14))</f>
        <v>4.6122945208005</v>
      </c>
      <c r="S14" s="28" t="n">
        <f aca="false">_xlfn.STDEV.S(INDEX(Forecast_Walkforward!$J:$J,$E14):INDEX(Forecast_Walkforward!$J:$J,$D14))</f>
        <v>4.50425251033373</v>
      </c>
      <c r="T14" s="28" t="n">
        <f aca="false">_xlfn.STDEV.S(INDEX(Forecast_Walkforward!$K:$K,$E14):INDEX(Forecast_Walkforward!$K:$K,$D14))</f>
        <v>4.41916184622352</v>
      </c>
      <c r="U14" s="28" t="n">
        <f aca="false">INDEX(Forecast_Walkforward!$C:$C,$D14)</f>
        <v>40</v>
      </c>
      <c r="V14" s="28" t="n">
        <f aca="false">AVERAGE(INDEX(Forecast_Walkforward!$C:$C,$D14-3):INDEX(Forecast_Walkforward!$C:$C,$D14))</f>
        <v>41.5</v>
      </c>
      <c r="W14" s="28" t="n">
        <f aca="false">AVERAGE(INDEX(Forecast_Walkforward!$C:$C,$D14-7):INDEX(Forecast_Walkforward!$C:$C,$D14))</f>
        <v>41.5</v>
      </c>
      <c r="X14" s="28" t="n">
        <f aca="false">SES_Alpha*INDEX(Forecast_Walkforward!$C:$C,$D14)+(1-SES_Alpha)*INDEX(Forecast_Walkforward!$G:$G,$D14)</f>
        <v>40.8995186173639</v>
      </c>
      <c r="Y14" s="26" t="n">
        <f aca="false">MIN(I14:L14)</f>
        <v>0.0820914863252001</v>
      </c>
      <c r="Z14" s="29" t="b">
        <f aca="false">I14&lt;=$Y14+WAPE_Tol</f>
        <v>0</v>
      </c>
      <c r="AA14" s="29" t="b">
        <f aca="false">J14&lt;=$Y14+WAPE_Tol</f>
        <v>1</v>
      </c>
      <c r="AB14" s="29" t="b">
        <f aca="false">K14&lt;=$Y14+WAPE_Tol</f>
        <v>1</v>
      </c>
      <c r="AC14" s="29" t="b">
        <f aca="false">L14&lt;=$Y14+WAPE_Tol</f>
        <v>1</v>
      </c>
      <c r="AD14" s="19" t="n">
        <f aca="false">MATCH(TRUE(),Z14:AC14,0)</f>
        <v>2</v>
      </c>
      <c r="AE14" s="12" t="str">
        <f aca="false">CHOOSE(AD14,"Naive","MA4","MA8","SES")</f>
        <v>MA4</v>
      </c>
      <c r="AF14" s="30" t="n">
        <f aca="false">INDEX(U14:X14,AD14)</f>
        <v>41.5</v>
      </c>
      <c r="AG14" s="26" t="n">
        <f aca="false">INDEX(I14:L14,AD14)</f>
        <v>0.0874117647058824</v>
      </c>
      <c r="AH14" s="27" t="n">
        <f aca="false">INDEX(M14:P14,AD14)</f>
        <v>-0.000117647058823529</v>
      </c>
      <c r="AI14" s="28" t="n">
        <f aca="false">INDEX(Q14:T14,AD14)</f>
        <v>4.6122945208005</v>
      </c>
      <c r="AJ14" s="19" t="n">
        <f aca="false">AG14*H14</f>
        <v>185.75</v>
      </c>
      <c r="AK14" s="19" t="n">
        <f aca="false">SUM(INDEX(Forecast_Walkforward!$C:$C,$F14):INDEX(Forecast_Walkforward!$C:$C,$G14))</f>
        <v>2115</v>
      </c>
      <c r="AL14" s="26" t="n">
        <f aca="false">SUM(INDEX(Forecast_Walkforward!$L:$L,$F14):INDEX(Forecast_Walkforward!$L:$L,$G14))/$AK14</f>
        <v>0.115839243498818</v>
      </c>
      <c r="AM14" s="26" t="n">
        <f aca="false">SUM(INDEX(Forecast_Walkforward!$M:$M,$F14):INDEX(Forecast_Walkforward!$M:$M,$G14))/$AK14</f>
        <v>0.0955082742316785</v>
      </c>
      <c r="AN14" s="26" t="n">
        <f aca="false">SUM(INDEX(Forecast_Walkforward!$N:$N,$F14):INDEX(Forecast_Walkforward!$N:$N,$G14))/$AK14</f>
        <v>0.0889479905437352</v>
      </c>
      <c r="AO14" s="26" t="n">
        <f aca="false">SUM(INDEX(Forecast_Walkforward!$O:$O,$F14):INDEX(Forecast_Walkforward!$O:$O,$G14))/$AK14</f>
        <v>0.0886676614725181</v>
      </c>
      <c r="AP14" s="28" t="n">
        <f aca="false">_xlfn.STDEV.S(INDEX(Forecast_Walkforward!$H:$H,$F14):INDEX(Forecast_Walkforward!$H:$H,$G14))</f>
        <v>5.97187349175351</v>
      </c>
      <c r="AQ14" s="28" t="n">
        <f aca="false">_xlfn.STDEV.S(INDEX(Forecast_Walkforward!$I:$I,$F14):INDEX(Forecast_Walkforward!$I:$I,$G14))</f>
        <v>4.93574856291523</v>
      </c>
      <c r="AR14" s="28" t="n">
        <f aca="false">_xlfn.STDEV.S(INDEX(Forecast_Walkforward!$J:$J,$F14):INDEX(Forecast_Walkforward!$J:$J,$G14))</f>
        <v>4.65324968247633</v>
      </c>
      <c r="AS14" s="28" t="n">
        <f aca="false">_xlfn.STDEV.S(INDEX(Forecast_Walkforward!$K:$K,$F14):INDEX(Forecast_Walkforward!$K:$K,$G14))</f>
        <v>4.66958417114222</v>
      </c>
      <c r="AT14" s="26" t="n">
        <f aca="false">MIN(AL14:AO14)</f>
        <v>0.0886676614725181</v>
      </c>
      <c r="AU14" s="29" t="b">
        <f aca="false">AL14&lt;=$AT14+WAPE_Tol</f>
        <v>0</v>
      </c>
      <c r="AV14" s="29" t="b">
        <f aca="false">AM14&lt;=$AT14+WAPE_Tol</f>
        <v>1</v>
      </c>
      <c r="AW14" s="29" t="b">
        <f aca="false">AN14&lt;=$AT14+WAPE_Tol</f>
        <v>1</v>
      </c>
      <c r="AX14" s="29" t="b">
        <f aca="false">AO14&lt;=$AT14+WAPE_Tol</f>
        <v>1</v>
      </c>
      <c r="AY14" s="19" t="n">
        <f aca="false">MATCH(TRUE(),AU14:AX14,0)</f>
        <v>2</v>
      </c>
      <c r="AZ14" s="10" t="str">
        <f aca="false">CHOOSE(AY14,"Naive","MA4","MA8","SES")</f>
        <v>MA4</v>
      </c>
      <c r="BA14" s="28" t="n">
        <f aca="false">INDEX(AP14:AS14,AY14)</f>
        <v>4.93574856291523</v>
      </c>
    </row>
    <row r="15" customFormat="false" ht="15" hidden="false" customHeight="false" outlineLevel="0" collapsed="false">
      <c r="A15" s="11" t="str">
        <f aca="false">Inputs!B48</f>
        <v>KIT-009</v>
      </c>
      <c r="B15" s="11" t="str">
        <f aca="false">Inputs!C48</f>
        <v>Digital Kitchen Scale</v>
      </c>
      <c r="C15" s="10" t="n">
        <f aca="false">MATCH(A15,Demand_History!$C:$C,0)</f>
        <v>834</v>
      </c>
      <c r="D15" s="10" t="n">
        <f aca="false">C15+Weeks_History-1</f>
        <v>937</v>
      </c>
      <c r="E15" s="10" t="n">
        <f aca="false">C15+Eval_Start_Week-1</f>
        <v>886</v>
      </c>
      <c r="F15" s="10" t="n">
        <f aca="false">C15+Cal_Start_Week-1</f>
        <v>870</v>
      </c>
      <c r="G15" s="10" t="n">
        <f aca="false">C15+Cal_End_Week-1</f>
        <v>921</v>
      </c>
      <c r="H15" s="19" t="n">
        <f aca="false">SUM(INDEX(Forecast_Walkforward!$C:$C,$E15):INDEX(Forecast_Walkforward!$C:$C,$D15))</f>
        <v>1845</v>
      </c>
      <c r="I15" s="26" t="n">
        <f aca="false">SUM(INDEX(Forecast_Walkforward!$L:$L,$E15):INDEX(Forecast_Walkforward!$L:$L,$D15))/$H15</f>
        <v>0.149051490514905</v>
      </c>
      <c r="J15" s="26" t="n">
        <f aca="false">SUM(INDEX(Forecast_Walkforward!$M:$M,$E15):INDEX(Forecast_Walkforward!$M:$M,$D15))/$H15</f>
        <v>0.109214092140921</v>
      </c>
      <c r="K15" s="26" t="n">
        <f aca="false">SUM(INDEX(Forecast_Walkforward!$N:$N,$E15):INDEX(Forecast_Walkforward!$N:$N,$D15))/$H15</f>
        <v>0.111246612466125</v>
      </c>
      <c r="L15" s="26" t="n">
        <f aca="false">SUM(INDEX(Forecast_Walkforward!$O:$O,$E15):INDEX(Forecast_Walkforward!$O:$O,$D15))/$H15</f>
        <v>0.108246378246456</v>
      </c>
      <c r="M15" s="27" t="n">
        <f aca="false">SUM(INDEX(Forecast_Walkforward!$H:$H,$E15):INDEX(Forecast_Walkforward!$H:$H,$D15))/$H15</f>
        <v>-0.00704607046070461</v>
      </c>
      <c r="N15" s="27" t="n">
        <f aca="false">SUM(INDEX(Forecast_Walkforward!$I:$I,$E15):INDEX(Forecast_Walkforward!$I:$I,$D15))/$H15</f>
        <v>-0.0159891598915989</v>
      </c>
      <c r="O15" s="27" t="n">
        <f aca="false">SUM(INDEX(Forecast_Walkforward!$J:$J,$E15):INDEX(Forecast_Walkforward!$J:$J,$D15))/$H15</f>
        <v>-0.0302168021680217</v>
      </c>
      <c r="P15" s="27" t="n">
        <f aca="false">SUM(INDEX(Forecast_Walkforward!$K:$K,$E15):INDEX(Forecast_Walkforward!$K:$K,$D15))/$H15</f>
        <v>-0.0217424562177581</v>
      </c>
      <c r="Q15" s="28" t="n">
        <f aca="false">_xlfn.STDEV.S(INDEX(Forecast_Walkforward!$H:$H,$E15):INDEX(Forecast_Walkforward!$H:$H,$D15))</f>
        <v>6.43786287764601</v>
      </c>
      <c r="R15" s="28" t="n">
        <f aca="false">_xlfn.STDEV.S(INDEX(Forecast_Walkforward!$I:$I,$E15):INDEX(Forecast_Walkforward!$I:$I,$D15))</f>
        <v>4.85351989327843</v>
      </c>
      <c r="S15" s="28" t="n">
        <f aca="false">_xlfn.STDEV.S(INDEX(Forecast_Walkforward!$J:$J,$E15):INDEX(Forecast_Walkforward!$J:$J,$D15))</f>
        <v>5.1089446116834</v>
      </c>
      <c r="T15" s="28" t="n">
        <f aca="false">_xlfn.STDEV.S(INDEX(Forecast_Walkforward!$K:$K,$E15):INDEX(Forecast_Walkforward!$K:$K,$D15))</f>
        <v>4.94731415979095</v>
      </c>
      <c r="U15" s="28" t="n">
        <f aca="false">INDEX(Forecast_Walkforward!$C:$C,$D15)</f>
        <v>36</v>
      </c>
      <c r="V15" s="28" t="n">
        <f aca="false">AVERAGE(INDEX(Forecast_Walkforward!$C:$C,$D15-3):INDEX(Forecast_Walkforward!$C:$C,$D15))</f>
        <v>39.5</v>
      </c>
      <c r="W15" s="28" t="n">
        <f aca="false">AVERAGE(INDEX(Forecast_Walkforward!$C:$C,$D15-7):INDEX(Forecast_Walkforward!$C:$C,$D15))</f>
        <v>41.25</v>
      </c>
      <c r="X15" s="28" t="n">
        <f aca="false">SES_Alpha*INDEX(Forecast_Walkforward!$C:$C,$D15)+(1-SES_Alpha)*INDEX(Forecast_Walkforward!$G:$G,$D15)</f>
        <v>39.7155929999356</v>
      </c>
      <c r="Y15" s="26" t="n">
        <f aca="false">MIN(I15:L15)</f>
        <v>0.108246378246456</v>
      </c>
      <c r="Z15" s="29" t="b">
        <f aca="false">I15&lt;=$Y15+WAPE_Tol</f>
        <v>0</v>
      </c>
      <c r="AA15" s="29" t="b">
        <f aca="false">J15&lt;=$Y15+WAPE_Tol</f>
        <v>1</v>
      </c>
      <c r="AB15" s="29" t="b">
        <f aca="false">K15&lt;=$Y15+WAPE_Tol</f>
        <v>1</v>
      </c>
      <c r="AC15" s="29" t="b">
        <f aca="false">L15&lt;=$Y15+WAPE_Tol</f>
        <v>1</v>
      </c>
      <c r="AD15" s="19" t="n">
        <f aca="false">MATCH(TRUE(),Z15:AC15,0)</f>
        <v>2</v>
      </c>
      <c r="AE15" s="12" t="str">
        <f aca="false">CHOOSE(AD15,"Naive","MA4","MA8","SES")</f>
        <v>MA4</v>
      </c>
      <c r="AF15" s="30" t="n">
        <f aca="false">INDEX(U15:X15,AD15)</f>
        <v>39.5</v>
      </c>
      <c r="AG15" s="26" t="n">
        <f aca="false">INDEX(I15:L15,AD15)</f>
        <v>0.109214092140921</v>
      </c>
      <c r="AH15" s="27" t="n">
        <f aca="false">INDEX(M15:P15,AD15)</f>
        <v>-0.0159891598915989</v>
      </c>
      <c r="AI15" s="28" t="n">
        <f aca="false">INDEX(Q15:T15,AD15)</f>
        <v>4.85351989327843</v>
      </c>
      <c r="AJ15" s="19" t="n">
        <f aca="false">AG15*H15</f>
        <v>201.5</v>
      </c>
      <c r="AK15" s="19" t="n">
        <f aca="false">SUM(INDEX(Forecast_Walkforward!$C:$C,$F15):INDEX(Forecast_Walkforward!$C:$C,$G15))</f>
        <v>1693</v>
      </c>
      <c r="AL15" s="26" t="n">
        <f aca="false">SUM(INDEX(Forecast_Walkforward!$L:$L,$F15):INDEX(Forecast_Walkforward!$L:$L,$G15))/$AK15</f>
        <v>0.154164205552274</v>
      </c>
      <c r="AM15" s="26" t="n">
        <f aca="false">SUM(INDEX(Forecast_Walkforward!$M:$M,$F15):INDEX(Forecast_Walkforward!$M:$M,$G15))/$AK15</f>
        <v>0.113112817483757</v>
      </c>
      <c r="AN15" s="26" t="n">
        <f aca="false">SUM(INDEX(Forecast_Walkforward!$N:$N,$F15):INDEX(Forecast_Walkforward!$N:$N,$G15))/$AK15</f>
        <v>0.114884819846426</v>
      </c>
      <c r="AO15" s="26" t="n">
        <f aca="false">SUM(INDEX(Forecast_Walkforward!$O:$O,$F15):INDEX(Forecast_Walkforward!$O:$O,$G15))/$AK15</f>
        <v>0.116437724659556</v>
      </c>
      <c r="AP15" s="28" t="n">
        <f aca="false">_xlfn.STDEV.S(INDEX(Forecast_Walkforward!$H:$H,$F15):INDEX(Forecast_Walkforward!$H:$H,$G15))</f>
        <v>6.28565245998076</v>
      </c>
      <c r="AQ15" s="28" t="n">
        <f aca="false">_xlfn.STDEV.S(INDEX(Forecast_Walkforward!$I:$I,$F15):INDEX(Forecast_Walkforward!$I:$I,$G15))</f>
        <v>4.69442361980382</v>
      </c>
      <c r="AR15" s="28" t="n">
        <f aca="false">_xlfn.STDEV.S(INDEX(Forecast_Walkforward!$J:$J,$F15):INDEX(Forecast_Walkforward!$J:$J,$G15))</f>
        <v>4.86125610284378</v>
      </c>
      <c r="AS15" s="28" t="n">
        <f aca="false">_xlfn.STDEV.S(INDEX(Forecast_Walkforward!$K:$K,$F15):INDEX(Forecast_Walkforward!$K:$K,$G15))</f>
        <v>4.85054298368719</v>
      </c>
      <c r="AT15" s="26" t="n">
        <f aca="false">MIN(AL15:AO15)</f>
        <v>0.113112817483757</v>
      </c>
      <c r="AU15" s="29" t="b">
        <f aca="false">AL15&lt;=$AT15+WAPE_Tol</f>
        <v>0</v>
      </c>
      <c r="AV15" s="29" t="b">
        <f aca="false">AM15&lt;=$AT15+WAPE_Tol</f>
        <v>1</v>
      </c>
      <c r="AW15" s="29" t="b">
        <f aca="false">AN15&lt;=$AT15+WAPE_Tol</f>
        <v>1</v>
      </c>
      <c r="AX15" s="29" t="b">
        <f aca="false">AO15&lt;=$AT15+WAPE_Tol</f>
        <v>1</v>
      </c>
      <c r="AY15" s="19" t="n">
        <f aca="false">MATCH(TRUE(),AU15:AX15,0)</f>
        <v>2</v>
      </c>
      <c r="AZ15" s="10" t="str">
        <f aca="false">CHOOSE(AY15,"Naive","MA4","MA8","SES")</f>
        <v>MA4</v>
      </c>
      <c r="BA15" s="28" t="n">
        <f aca="false">INDEX(AP15:AS15,AY15)</f>
        <v>4.69442361980382</v>
      </c>
    </row>
    <row r="16" customFormat="false" ht="15" hidden="false" customHeight="false" outlineLevel="0" collapsed="false">
      <c r="A16" s="11" t="str">
        <f aca="false">Inputs!B49</f>
        <v>KIT-010</v>
      </c>
      <c r="B16" s="11" t="str">
        <f aca="false">Inputs!C49</f>
        <v>Measuring Jug 1L</v>
      </c>
      <c r="C16" s="10" t="n">
        <f aca="false">MATCH(A16,Demand_History!$C:$C,0)</f>
        <v>938</v>
      </c>
      <c r="D16" s="10" t="n">
        <f aca="false">C16+Weeks_History-1</f>
        <v>1041</v>
      </c>
      <c r="E16" s="10" t="n">
        <f aca="false">C16+Eval_Start_Week-1</f>
        <v>990</v>
      </c>
      <c r="F16" s="10" t="n">
        <f aca="false">C16+Cal_Start_Week-1</f>
        <v>974</v>
      </c>
      <c r="G16" s="10" t="n">
        <f aca="false">C16+Cal_End_Week-1</f>
        <v>1025</v>
      </c>
      <c r="H16" s="19" t="n">
        <f aca="false">SUM(INDEX(Forecast_Walkforward!$C:$C,$E16):INDEX(Forecast_Walkforward!$C:$C,$D16))</f>
        <v>5105</v>
      </c>
      <c r="I16" s="26" t="n">
        <f aca="false">SUM(INDEX(Forecast_Walkforward!$L:$L,$E16):INDEX(Forecast_Walkforward!$L:$L,$D16))/$H16</f>
        <v>0.126934378060725</v>
      </c>
      <c r="J16" s="26" t="n">
        <f aca="false">SUM(INDEX(Forecast_Walkforward!$M:$M,$E16):INDEX(Forecast_Walkforward!$M:$M,$D16))/$H16</f>
        <v>0.0895690499510284</v>
      </c>
      <c r="K16" s="26" t="n">
        <f aca="false">SUM(INDEX(Forecast_Walkforward!$N:$N,$E16):INDEX(Forecast_Walkforward!$N:$N,$D16))/$H16</f>
        <v>0.0870470127326151</v>
      </c>
      <c r="L16" s="26" t="n">
        <f aca="false">SUM(INDEX(Forecast_Walkforward!$O:$O,$E16):INDEX(Forecast_Walkforward!$O:$O,$D16))/$H16</f>
        <v>0.0903437133324524</v>
      </c>
      <c r="M16" s="27" t="n">
        <f aca="false">SUM(INDEX(Forecast_Walkforward!$H:$H,$E16):INDEX(Forecast_Walkforward!$H:$H,$D16))/$H16</f>
        <v>0.000783545543584721</v>
      </c>
      <c r="N16" s="27" t="n">
        <f aca="false">SUM(INDEX(Forecast_Walkforward!$I:$I,$E16):INDEX(Forecast_Walkforward!$I:$I,$D16))/$H16</f>
        <v>-0.00200783545543585</v>
      </c>
      <c r="O16" s="27" t="n">
        <f aca="false">SUM(INDEX(Forecast_Walkforward!$J:$J,$E16):INDEX(Forecast_Walkforward!$J:$J,$D16))/$H16</f>
        <v>-0.00497061704211557</v>
      </c>
      <c r="P16" s="27" t="n">
        <f aca="false">SUM(INDEX(Forecast_Walkforward!$K:$K,$E16):INDEX(Forecast_Walkforward!$K:$K,$D16))/$H16</f>
        <v>-0.00232748870493687</v>
      </c>
      <c r="Q16" s="28" t="n">
        <f aca="false">_xlfn.STDEV.S(INDEX(Forecast_Walkforward!$H:$H,$E16):INDEX(Forecast_Walkforward!$H:$H,$D16))</f>
        <v>15.299424766639</v>
      </c>
      <c r="R16" s="28" t="n">
        <f aca="false">_xlfn.STDEV.S(INDEX(Forecast_Walkforward!$I:$I,$E16):INDEX(Forecast_Walkforward!$I:$I,$D16))</f>
        <v>10.3753498096546</v>
      </c>
      <c r="S16" s="28" t="n">
        <f aca="false">_xlfn.STDEV.S(INDEX(Forecast_Walkforward!$J:$J,$E16):INDEX(Forecast_Walkforward!$J:$J,$D16))</f>
        <v>10.2241502000581</v>
      </c>
      <c r="T16" s="28" t="n">
        <f aca="false">_xlfn.STDEV.S(INDEX(Forecast_Walkforward!$K:$K,$E16):INDEX(Forecast_Walkforward!$K:$K,$D16))</f>
        <v>10.6162251156651</v>
      </c>
      <c r="U16" s="28" t="n">
        <f aca="false">INDEX(Forecast_Walkforward!$C:$C,$D16)</f>
        <v>91</v>
      </c>
      <c r="V16" s="28" t="n">
        <f aca="false">AVERAGE(INDEX(Forecast_Walkforward!$C:$C,$D16-3):INDEX(Forecast_Walkforward!$C:$C,$D16))</f>
        <v>101</v>
      </c>
      <c r="W16" s="28" t="n">
        <f aca="false">AVERAGE(INDEX(Forecast_Walkforward!$C:$C,$D16-7):INDEX(Forecast_Walkforward!$C:$C,$D16))</f>
        <v>99.25</v>
      </c>
      <c r="X16" s="28" t="n">
        <f aca="false">SES_Alpha*INDEX(Forecast_Walkforward!$C:$C,$D16)+(1-SES_Alpha)*INDEX(Forecast_Walkforward!$G:$G,$D16)</f>
        <v>97.9330943785488</v>
      </c>
      <c r="Y16" s="26" t="n">
        <f aca="false">MIN(I16:L16)</f>
        <v>0.0870470127326151</v>
      </c>
      <c r="Z16" s="29" t="b">
        <f aca="false">I16&lt;=$Y16+WAPE_Tol</f>
        <v>0</v>
      </c>
      <c r="AA16" s="29" t="b">
        <f aca="false">J16&lt;=$Y16+WAPE_Tol</f>
        <v>1</v>
      </c>
      <c r="AB16" s="29" t="b">
        <f aca="false">K16&lt;=$Y16+WAPE_Tol</f>
        <v>1</v>
      </c>
      <c r="AC16" s="29" t="b">
        <f aca="false">L16&lt;=$Y16+WAPE_Tol</f>
        <v>1</v>
      </c>
      <c r="AD16" s="19" t="n">
        <f aca="false">MATCH(TRUE(),Z16:AC16,0)</f>
        <v>2</v>
      </c>
      <c r="AE16" s="12" t="str">
        <f aca="false">CHOOSE(AD16,"Naive","MA4","MA8","SES")</f>
        <v>MA4</v>
      </c>
      <c r="AF16" s="30" t="n">
        <f aca="false">INDEX(U16:X16,AD16)</f>
        <v>101</v>
      </c>
      <c r="AG16" s="26" t="n">
        <f aca="false">INDEX(I16:L16,AD16)</f>
        <v>0.0895690499510284</v>
      </c>
      <c r="AH16" s="27" t="n">
        <f aca="false">INDEX(M16:P16,AD16)</f>
        <v>-0.00200783545543585</v>
      </c>
      <c r="AI16" s="28" t="n">
        <f aca="false">INDEX(Q16:T16,AD16)</f>
        <v>10.3753498096546</v>
      </c>
      <c r="AJ16" s="19" t="n">
        <f aca="false">AG16*H16</f>
        <v>457.25</v>
      </c>
      <c r="AK16" s="19" t="n">
        <f aca="false">SUM(INDEX(Forecast_Walkforward!$C:$C,$F16):INDEX(Forecast_Walkforward!$C:$C,$G16))</f>
        <v>5102</v>
      </c>
      <c r="AL16" s="26" t="n">
        <f aca="false">SUM(INDEX(Forecast_Walkforward!$L:$L,$F16):INDEX(Forecast_Walkforward!$L:$L,$G16))/$AK16</f>
        <v>0.106232849862799</v>
      </c>
      <c r="AM16" s="26" t="n">
        <f aca="false">SUM(INDEX(Forecast_Walkforward!$M:$M,$F16):INDEX(Forecast_Walkforward!$M:$M,$G16))/$AK16</f>
        <v>0.0886907095256762</v>
      </c>
      <c r="AN16" s="26" t="n">
        <f aca="false">SUM(INDEX(Forecast_Walkforward!$N:$N,$F16):INDEX(Forecast_Walkforward!$N:$N,$G16))/$AK16</f>
        <v>0.081953155625245</v>
      </c>
      <c r="AO16" s="26" t="n">
        <f aca="false">SUM(INDEX(Forecast_Walkforward!$O:$O,$F16):INDEX(Forecast_Walkforward!$O:$O,$G16))/$AK16</f>
        <v>0.0840696449069998</v>
      </c>
      <c r="AP16" s="28" t="n">
        <f aca="false">_xlfn.STDEV.S(INDEX(Forecast_Walkforward!$H:$H,$F16):INDEX(Forecast_Walkforward!$H:$H,$G16))</f>
        <v>13.2851883411917</v>
      </c>
      <c r="AQ16" s="28" t="n">
        <f aca="false">_xlfn.STDEV.S(INDEX(Forecast_Walkforward!$I:$I,$F16):INDEX(Forecast_Walkforward!$I:$I,$G16))</f>
        <v>10.0669515906658</v>
      </c>
      <c r="AR16" s="28" t="n">
        <f aca="false">_xlfn.STDEV.S(INDEX(Forecast_Walkforward!$J:$J,$F16):INDEX(Forecast_Walkforward!$J:$J,$G16))</f>
        <v>9.7424637671651</v>
      </c>
      <c r="AS16" s="28" t="n">
        <f aca="false">_xlfn.STDEV.S(INDEX(Forecast_Walkforward!$K:$K,$F16):INDEX(Forecast_Walkforward!$K:$K,$G16))</f>
        <v>9.76339677506214</v>
      </c>
      <c r="AT16" s="26" t="n">
        <f aca="false">MIN(AL16:AO16)</f>
        <v>0.081953155625245</v>
      </c>
      <c r="AU16" s="29" t="b">
        <f aca="false">AL16&lt;=$AT16+WAPE_Tol</f>
        <v>0</v>
      </c>
      <c r="AV16" s="29" t="b">
        <f aca="false">AM16&lt;=$AT16+WAPE_Tol</f>
        <v>1</v>
      </c>
      <c r="AW16" s="29" t="b">
        <f aca="false">AN16&lt;=$AT16+WAPE_Tol</f>
        <v>1</v>
      </c>
      <c r="AX16" s="29" t="b">
        <f aca="false">AO16&lt;=$AT16+WAPE_Tol</f>
        <v>1</v>
      </c>
      <c r="AY16" s="19" t="n">
        <f aca="false">MATCH(TRUE(),AU16:AX16,0)</f>
        <v>2</v>
      </c>
      <c r="AZ16" s="10" t="str">
        <f aca="false">CHOOSE(AY16,"Naive","MA4","MA8","SES")</f>
        <v>MA4</v>
      </c>
      <c r="BA16" s="28" t="n">
        <f aca="false">INDEX(AP16:AS16,AY16)</f>
        <v>10.0669515906658</v>
      </c>
    </row>
    <row r="17" customFormat="false" ht="15" hidden="false" customHeight="false" outlineLevel="0" collapsed="false">
      <c r="A17" s="11" t="str">
        <f aca="false">Inputs!B50</f>
        <v>BTH-001</v>
      </c>
      <c r="B17" s="11" t="str">
        <f aca="false">Inputs!C50</f>
        <v>Bath Towel 70x140 Grey</v>
      </c>
      <c r="C17" s="10" t="n">
        <f aca="false">MATCH(A17,Demand_History!$C:$C,0)</f>
        <v>1042</v>
      </c>
      <c r="D17" s="10" t="n">
        <f aca="false">C17+Weeks_History-1</f>
        <v>1145</v>
      </c>
      <c r="E17" s="10" t="n">
        <f aca="false">C17+Eval_Start_Week-1</f>
        <v>1094</v>
      </c>
      <c r="F17" s="10" t="n">
        <f aca="false">C17+Cal_Start_Week-1</f>
        <v>1078</v>
      </c>
      <c r="G17" s="10" t="n">
        <f aca="false">C17+Cal_End_Week-1</f>
        <v>1129</v>
      </c>
      <c r="H17" s="19" t="n">
        <f aca="false">SUM(INDEX(Forecast_Walkforward!$C:$C,$E17):INDEX(Forecast_Walkforward!$C:$C,$D17))</f>
        <v>6085</v>
      </c>
      <c r="I17" s="26" t="n">
        <f aca="false">SUM(INDEX(Forecast_Walkforward!$L:$L,$E17):INDEX(Forecast_Walkforward!$L:$L,$D17))/$H17</f>
        <v>0.189975349219392</v>
      </c>
      <c r="J17" s="26" t="n">
        <f aca="false">SUM(INDEX(Forecast_Walkforward!$M:$M,$E17):INDEX(Forecast_Walkforward!$M:$M,$D17))/$H17</f>
        <v>0.133237469186524</v>
      </c>
      <c r="K17" s="26" t="n">
        <f aca="false">SUM(INDEX(Forecast_Walkforward!$N:$N,$E17):INDEX(Forecast_Walkforward!$N:$N,$D17))/$H17</f>
        <v>0.12481511914544</v>
      </c>
      <c r="L17" s="26" t="n">
        <f aca="false">SUM(INDEX(Forecast_Walkforward!$O:$O,$E17):INDEX(Forecast_Walkforward!$O:$O,$D17))/$H17</f>
        <v>0.134008522955941</v>
      </c>
      <c r="M17" s="27" t="n">
        <f aca="false">SUM(INDEX(Forecast_Walkforward!$H:$H,$E17):INDEX(Forecast_Walkforward!$H:$H,$D17))/$H17</f>
        <v>0.00197206244864421</v>
      </c>
      <c r="N17" s="27" t="n">
        <f aca="false">SUM(INDEX(Forecast_Walkforward!$I:$I,$E17):INDEX(Forecast_Walkforward!$I:$I,$D17))/$H17</f>
        <v>0.00225965488907149</v>
      </c>
      <c r="O17" s="27" t="n">
        <f aca="false">SUM(INDEX(Forecast_Walkforward!$J:$J,$E17):INDEX(Forecast_Walkforward!$J:$J,$D17))/$H17</f>
        <v>0.00225965488907149</v>
      </c>
      <c r="P17" s="27" t="n">
        <f aca="false">SUM(INDEX(Forecast_Walkforward!$K:$K,$E17):INDEX(Forecast_Walkforward!$K:$K,$D17))/$H17</f>
        <v>0.00241154624164473</v>
      </c>
      <c r="Q17" s="28" t="n">
        <f aca="false">_xlfn.STDEV.S(INDEX(Forecast_Walkforward!$H:$H,$E17):INDEX(Forecast_Walkforward!$H:$H,$D17))</f>
        <v>27.1189213914547</v>
      </c>
      <c r="R17" s="28" t="n">
        <f aca="false">_xlfn.STDEV.S(INDEX(Forecast_Walkforward!$I:$I,$E17):INDEX(Forecast_Walkforward!$I:$I,$D17))</f>
        <v>18.698157968777</v>
      </c>
      <c r="S17" s="28" t="n">
        <f aca="false">_xlfn.STDEV.S(INDEX(Forecast_Walkforward!$J:$J,$E17):INDEX(Forecast_Walkforward!$J:$J,$D17))</f>
        <v>17.8489484134095</v>
      </c>
      <c r="T17" s="28" t="n">
        <f aca="false">_xlfn.STDEV.S(INDEX(Forecast_Walkforward!$K:$K,$E17):INDEX(Forecast_Walkforward!$K:$K,$D17))</f>
        <v>18.7527508142276</v>
      </c>
      <c r="U17" s="28" t="n">
        <f aca="false">INDEX(Forecast_Walkforward!$C:$C,$D17)</f>
        <v>103</v>
      </c>
      <c r="V17" s="28" t="n">
        <f aca="false">AVERAGE(INDEX(Forecast_Walkforward!$C:$C,$D17-3):INDEX(Forecast_Walkforward!$C:$C,$D17))</f>
        <v>106</v>
      </c>
      <c r="W17" s="28" t="n">
        <f aca="false">AVERAGE(INDEX(Forecast_Walkforward!$C:$C,$D17-7):INDEX(Forecast_Walkforward!$C:$C,$D17))</f>
        <v>109.75</v>
      </c>
      <c r="X17" s="28" t="n">
        <f aca="false">SES_Alpha*INDEX(Forecast_Walkforward!$C:$C,$D17)+(1-SES_Alpha)*INDEX(Forecast_Walkforward!$G:$G,$D17)</f>
        <v>109.235135108968</v>
      </c>
      <c r="Y17" s="26" t="n">
        <f aca="false">MIN(I17:L17)</f>
        <v>0.12481511914544</v>
      </c>
      <c r="Z17" s="29" t="b">
        <f aca="false">I17&lt;=$Y17+WAPE_Tol</f>
        <v>0</v>
      </c>
      <c r="AA17" s="29" t="b">
        <f aca="false">J17&lt;=$Y17+WAPE_Tol</f>
        <v>1</v>
      </c>
      <c r="AB17" s="29" t="b">
        <f aca="false">K17&lt;=$Y17+WAPE_Tol</f>
        <v>1</v>
      </c>
      <c r="AC17" s="29" t="b">
        <f aca="false">L17&lt;=$Y17+WAPE_Tol</f>
        <v>1</v>
      </c>
      <c r="AD17" s="19" t="n">
        <f aca="false">MATCH(TRUE(),Z17:AC17,0)</f>
        <v>2</v>
      </c>
      <c r="AE17" s="12" t="str">
        <f aca="false">CHOOSE(AD17,"Naive","MA4","MA8","SES")</f>
        <v>MA4</v>
      </c>
      <c r="AF17" s="30" t="n">
        <f aca="false">INDEX(U17:X17,AD17)</f>
        <v>106</v>
      </c>
      <c r="AG17" s="26" t="n">
        <f aca="false">INDEX(I17:L17,AD17)</f>
        <v>0.133237469186524</v>
      </c>
      <c r="AH17" s="27" t="n">
        <f aca="false">INDEX(M17:P17,AD17)</f>
        <v>0.00225965488907149</v>
      </c>
      <c r="AI17" s="28" t="n">
        <f aca="false">INDEX(Q17:T17,AD17)</f>
        <v>18.698157968777</v>
      </c>
      <c r="AJ17" s="19" t="n">
        <f aca="false">AG17*H17</f>
        <v>810.75</v>
      </c>
      <c r="AK17" s="19" t="n">
        <f aca="false">SUM(INDEX(Forecast_Walkforward!$C:$C,$F17):INDEX(Forecast_Walkforward!$C:$C,$G17))</f>
        <v>6213</v>
      </c>
      <c r="AL17" s="26" t="n">
        <f aca="false">SUM(INDEX(Forecast_Walkforward!$L:$L,$F17):INDEX(Forecast_Walkforward!$L:$L,$G17))/$AK17</f>
        <v>0.196684371479157</v>
      </c>
      <c r="AM17" s="26" t="n">
        <f aca="false">SUM(INDEX(Forecast_Walkforward!$M:$M,$F17):INDEX(Forecast_Walkforward!$M:$M,$G17))/$AK17</f>
        <v>0.144133268952197</v>
      </c>
      <c r="AN17" s="26" t="n">
        <f aca="false">SUM(INDEX(Forecast_Walkforward!$N:$N,$F17):INDEX(Forecast_Walkforward!$N:$N,$G17))/$AK17</f>
        <v>0.133872525350072</v>
      </c>
      <c r="AO17" s="26" t="n">
        <f aca="false">SUM(INDEX(Forecast_Walkforward!$O:$O,$F17):INDEX(Forecast_Walkforward!$O:$O,$G17))/$AK17</f>
        <v>0.143034683715882</v>
      </c>
      <c r="AP17" s="28" t="n">
        <f aca="false">_xlfn.STDEV.S(INDEX(Forecast_Walkforward!$H:$H,$F17):INDEX(Forecast_Walkforward!$H:$H,$G17))</f>
        <v>28.3686941086449</v>
      </c>
      <c r="AQ17" s="28" t="n">
        <f aca="false">_xlfn.STDEV.S(INDEX(Forecast_Walkforward!$I:$I,$F17):INDEX(Forecast_Walkforward!$I:$I,$G17))</f>
        <v>20.1051253004903</v>
      </c>
      <c r="AR17" s="28" t="n">
        <f aca="false">_xlfn.STDEV.S(INDEX(Forecast_Walkforward!$J:$J,$F17):INDEX(Forecast_Walkforward!$J:$J,$G17))</f>
        <v>18.9151138723887</v>
      </c>
      <c r="AS17" s="28" t="n">
        <f aca="false">_xlfn.STDEV.S(INDEX(Forecast_Walkforward!$K:$K,$F17):INDEX(Forecast_Walkforward!$K:$K,$G17))</f>
        <v>20.0045155750264</v>
      </c>
      <c r="AT17" s="26" t="n">
        <f aca="false">MIN(AL17:AO17)</f>
        <v>0.133872525350072</v>
      </c>
      <c r="AU17" s="29" t="b">
        <f aca="false">AL17&lt;=$AT17+WAPE_Tol</f>
        <v>0</v>
      </c>
      <c r="AV17" s="29" t="b">
        <f aca="false">AM17&lt;=$AT17+WAPE_Tol</f>
        <v>0</v>
      </c>
      <c r="AW17" s="29" t="b">
        <f aca="false">AN17&lt;=$AT17+WAPE_Tol</f>
        <v>1</v>
      </c>
      <c r="AX17" s="29" t="b">
        <f aca="false">AO17&lt;=$AT17+WAPE_Tol</f>
        <v>1</v>
      </c>
      <c r="AY17" s="19" t="n">
        <f aca="false">MATCH(TRUE(),AU17:AX17,0)</f>
        <v>3</v>
      </c>
      <c r="AZ17" s="10" t="str">
        <f aca="false">CHOOSE(AY17,"Naive","MA4","MA8","SES")</f>
        <v>MA8</v>
      </c>
      <c r="BA17" s="28" t="n">
        <f aca="false">INDEX(AP17:AS17,AY17)</f>
        <v>18.9151138723887</v>
      </c>
    </row>
    <row r="18" customFormat="false" ht="15" hidden="false" customHeight="false" outlineLevel="0" collapsed="false">
      <c r="A18" s="11" t="str">
        <f aca="false">Inputs!B51</f>
        <v>BTH-002</v>
      </c>
      <c r="B18" s="11" t="str">
        <f aca="false">Inputs!C51</f>
        <v>Hand Towel 50x100 White</v>
      </c>
      <c r="C18" s="10" t="n">
        <f aca="false">MATCH(A18,Demand_History!$C:$C,0)</f>
        <v>1146</v>
      </c>
      <c r="D18" s="10" t="n">
        <f aca="false">C18+Weeks_History-1</f>
        <v>1249</v>
      </c>
      <c r="E18" s="10" t="n">
        <f aca="false">C18+Eval_Start_Week-1</f>
        <v>1198</v>
      </c>
      <c r="F18" s="10" t="n">
        <f aca="false">C18+Cal_Start_Week-1</f>
        <v>1182</v>
      </c>
      <c r="G18" s="10" t="n">
        <f aca="false">C18+Cal_End_Week-1</f>
        <v>1233</v>
      </c>
      <c r="H18" s="19" t="n">
        <f aca="false">SUM(INDEX(Forecast_Walkforward!$C:$C,$E18):INDEX(Forecast_Walkforward!$C:$C,$D18))</f>
        <v>7872</v>
      </c>
      <c r="I18" s="26" t="n">
        <f aca="false">SUM(INDEX(Forecast_Walkforward!$L:$L,$E18):INDEX(Forecast_Walkforward!$L:$L,$D18))/$H18</f>
        <v>0.100863821138211</v>
      </c>
      <c r="J18" s="26" t="n">
        <f aca="false">SUM(INDEX(Forecast_Walkforward!$M:$M,$E18):INDEX(Forecast_Walkforward!$M:$M,$D18))/$H18</f>
        <v>0.0709159044715447</v>
      </c>
      <c r="K18" s="26" t="n">
        <f aca="false">SUM(INDEX(Forecast_Walkforward!$N:$N,$E18):INDEX(Forecast_Walkforward!$N:$N,$D18))/$H18</f>
        <v>0.0702966209349594</v>
      </c>
      <c r="L18" s="26" t="n">
        <f aca="false">SUM(INDEX(Forecast_Walkforward!$O:$O,$E18):INDEX(Forecast_Walkforward!$O:$O,$D18))/$H18</f>
        <v>0.0724047023811084</v>
      </c>
      <c r="M18" s="27" t="n">
        <f aca="false">SUM(INDEX(Forecast_Walkforward!$H:$H,$E18):INDEX(Forecast_Walkforward!$H:$H,$D18))/$H18</f>
        <v>0.00177845528455285</v>
      </c>
      <c r="N18" s="27" t="n">
        <f aca="false">SUM(INDEX(Forecast_Walkforward!$I:$I,$E18):INDEX(Forecast_Walkforward!$I:$I,$D18))/$H18</f>
        <v>0.00390625</v>
      </c>
      <c r="O18" s="27" t="n">
        <f aca="false">SUM(INDEX(Forecast_Walkforward!$J:$J,$E18):INDEX(Forecast_Walkforward!$J:$J,$D18))/$H18</f>
        <v>0.00665332825203252</v>
      </c>
      <c r="P18" s="27" t="n">
        <f aca="false">SUM(INDEX(Forecast_Walkforward!$K:$K,$E18):INDEX(Forecast_Walkforward!$K:$K,$D18))/$H18</f>
        <v>0.00471722702076705</v>
      </c>
      <c r="Q18" s="28" t="n">
        <f aca="false">_xlfn.STDEV.S(INDEX(Forecast_Walkforward!$H:$H,$E18):INDEX(Forecast_Walkforward!$H:$H,$D18))</f>
        <v>19.9814770937401</v>
      </c>
      <c r="R18" s="28" t="n">
        <f aca="false">_xlfn.STDEV.S(INDEX(Forecast_Walkforward!$I:$I,$E18):INDEX(Forecast_Walkforward!$I:$I,$D18))</f>
        <v>14.0634964872344</v>
      </c>
      <c r="S18" s="28" t="n">
        <f aca="false">_xlfn.STDEV.S(INDEX(Forecast_Walkforward!$J:$J,$E18):INDEX(Forecast_Walkforward!$J:$J,$D18))</f>
        <v>13.8726131461738</v>
      </c>
      <c r="T18" s="28" t="n">
        <f aca="false">_xlfn.STDEV.S(INDEX(Forecast_Walkforward!$K:$K,$E18):INDEX(Forecast_Walkforward!$K:$K,$D18))</f>
        <v>14.3886410438527</v>
      </c>
      <c r="U18" s="28" t="n">
        <f aca="false">INDEX(Forecast_Walkforward!$C:$C,$D18)</f>
        <v>148</v>
      </c>
      <c r="V18" s="28" t="n">
        <f aca="false">AVERAGE(INDEX(Forecast_Walkforward!$C:$C,$D18-3):INDEX(Forecast_Walkforward!$C:$C,$D18))</f>
        <v>146.25</v>
      </c>
      <c r="W18" s="28" t="n">
        <f aca="false">AVERAGE(INDEX(Forecast_Walkforward!$C:$C,$D18-7):INDEX(Forecast_Walkforward!$C:$C,$D18))</f>
        <v>148.125</v>
      </c>
      <c r="X18" s="28" t="n">
        <f aca="false">SES_Alpha*INDEX(Forecast_Walkforward!$C:$C,$D18)+(1-SES_Alpha)*INDEX(Forecast_Walkforward!$G:$G,$D18)</f>
        <v>145.851581813962</v>
      </c>
      <c r="Y18" s="26" t="n">
        <f aca="false">MIN(I18:L18)</f>
        <v>0.0702966209349594</v>
      </c>
      <c r="Z18" s="29" t="b">
        <f aca="false">I18&lt;=$Y18+WAPE_Tol</f>
        <v>0</v>
      </c>
      <c r="AA18" s="29" t="b">
        <f aca="false">J18&lt;=$Y18+WAPE_Tol</f>
        <v>1</v>
      </c>
      <c r="AB18" s="29" t="b">
        <f aca="false">K18&lt;=$Y18+WAPE_Tol</f>
        <v>1</v>
      </c>
      <c r="AC18" s="29" t="b">
        <f aca="false">L18&lt;=$Y18+WAPE_Tol</f>
        <v>1</v>
      </c>
      <c r="AD18" s="19" t="n">
        <f aca="false">MATCH(TRUE(),Z18:AC18,0)</f>
        <v>2</v>
      </c>
      <c r="AE18" s="12" t="str">
        <f aca="false">CHOOSE(AD18,"Naive","MA4","MA8","SES")</f>
        <v>MA4</v>
      </c>
      <c r="AF18" s="30" t="n">
        <f aca="false">INDEX(U18:X18,AD18)</f>
        <v>146.25</v>
      </c>
      <c r="AG18" s="26" t="n">
        <f aca="false">INDEX(I18:L18,AD18)</f>
        <v>0.0709159044715447</v>
      </c>
      <c r="AH18" s="27" t="n">
        <f aca="false">INDEX(M18:P18,AD18)</f>
        <v>0.00390625</v>
      </c>
      <c r="AI18" s="28" t="n">
        <f aca="false">INDEX(Q18:T18,AD18)</f>
        <v>14.0634964872344</v>
      </c>
      <c r="AJ18" s="19" t="n">
        <f aca="false">AG18*H18</f>
        <v>558.25</v>
      </c>
      <c r="AK18" s="19" t="n">
        <f aca="false">SUM(INDEX(Forecast_Walkforward!$C:$C,$F18):INDEX(Forecast_Walkforward!$C:$C,$G18))</f>
        <v>7961</v>
      </c>
      <c r="AL18" s="26" t="n">
        <f aca="false">SUM(INDEX(Forecast_Walkforward!$L:$L,$F18):INDEX(Forecast_Walkforward!$L:$L,$G18))/$AK18</f>
        <v>0.106896118578068</v>
      </c>
      <c r="AM18" s="26" t="n">
        <f aca="false">SUM(INDEX(Forecast_Walkforward!$M:$M,$F18):INDEX(Forecast_Walkforward!$M:$M,$G18))/$AK18</f>
        <v>0.0754930285140058</v>
      </c>
      <c r="AN18" s="26" t="n">
        <f aca="false">SUM(INDEX(Forecast_Walkforward!$N:$N,$F18):INDEX(Forecast_Walkforward!$N:$N,$G18))/$AK18</f>
        <v>0.0773929154628816</v>
      </c>
      <c r="AO18" s="26" t="n">
        <f aca="false">SUM(INDEX(Forecast_Walkforward!$O:$O,$F18):INDEX(Forecast_Walkforward!$O:$O,$G18))/$AK18</f>
        <v>0.0776467620704258</v>
      </c>
      <c r="AP18" s="28" t="n">
        <f aca="false">_xlfn.STDEV.S(INDEX(Forecast_Walkforward!$H:$H,$F18):INDEX(Forecast_Walkforward!$H:$H,$G18))</f>
        <v>20.9350338195485</v>
      </c>
      <c r="AQ18" s="28" t="n">
        <f aca="false">_xlfn.STDEV.S(INDEX(Forecast_Walkforward!$I:$I,$F18):INDEX(Forecast_Walkforward!$I:$I,$G18))</f>
        <v>14.7888704790207</v>
      </c>
      <c r="AR18" s="28" t="n">
        <f aca="false">_xlfn.STDEV.S(INDEX(Forecast_Walkforward!$J:$J,$F18):INDEX(Forecast_Walkforward!$J:$J,$G18))</f>
        <v>15.0016344870545</v>
      </c>
      <c r="AS18" s="28" t="n">
        <f aca="false">_xlfn.STDEV.S(INDEX(Forecast_Walkforward!$K:$K,$F18):INDEX(Forecast_Walkforward!$K:$K,$G18))</f>
        <v>15.2113683313476</v>
      </c>
      <c r="AT18" s="26" t="n">
        <f aca="false">MIN(AL18:AO18)</f>
        <v>0.0754930285140058</v>
      </c>
      <c r="AU18" s="29" t="b">
        <f aca="false">AL18&lt;=$AT18+WAPE_Tol</f>
        <v>0</v>
      </c>
      <c r="AV18" s="29" t="b">
        <f aca="false">AM18&lt;=$AT18+WAPE_Tol</f>
        <v>1</v>
      </c>
      <c r="AW18" s="29" t="b">
        <f aca="false">AN18&lt;=$AT18+WAPE_Tol</f>
        <v>1</v>
      </c>
      <c r="AX18" s="29" t="b">
        <f aca="false">AO18&lt;=$AT18+WAPE_Tol</f>
        <v>1</v>
      </c>
      <c r="AY18" s="19" t="n">
        <f aca="false">MATCH(TRUE(),AU18:AX18,0)</f>
        <v>2</v>
      </c>
      <c r="AZ18" s="10" t="str">
        <f aca="false">CHOOSE(AY18,"Naive","MA4","MA8","SES")</f>
        <v>MA4</v>
      </c>
      <c r="BA18" s="28" t="n">
        <f aca="false">INDEX(AP18:AS18,AY18)</f>
        <v>14.7888704790207</v>
      </c>
    </row>
    <row r="19" customFormat="false" ht="15" hidden="false" customHeight="false" outlineLevel="0" collapsed="false">
      <c r="A19" s="11" t="str">
        <f aca="false">Inputs!B52</f>
        <v>BTH-003</v>
      </c>
      <c r="B19" s="11" t="str">
        <f aca="false">Inputs!C52</f>
        <v>Cotton Bath Mat</v>
      </c>
      <c r="C19" s="10" t="n">
        <f aca="false">MATCH(A19,Demand_History!$C:$C,0)</f>
        <v>1250</v>
      </c>
      <c r="D19" s="10" t="n">
        <f aca="false">C19+Weeks_History-1</f>
        <v>1353</v>
      </c>
      <c r="E19" s="10" t="n">
        <f aca="false">C19+Eval_Start_Week-1</f>
        <v>1302</v>
      </c>
      <c r="F19" s="10" t="n">
        <f aca="false">C19+Cal_Start_Week-1</f>
        <v>1286</v>
      </c>
      <c r="G19" s="10" t="n">
        <f aca="false">C19+Cal_End_Week-1</f>
        <v>1337</v>
      </c>
      <c r="H19" s="19" t="n">
        <f aca="false">SUM(INDEX(Forecast_Walkforward!$C:$C,$E19):INDEX(Forecast_Walkforward!$C:$C,$D19))</f>
        <v>2569</v>
      </c>
      <c r="I19" s="26" t="n">
        <f aca="false">SUM(INDEX(Forecast_Walkforward!$L:$L,$E19):INDEX(Forecast_Walkforward!$L:$L,$D19))/$H19</f>
        <v>0.35033086804204</v>
      </c>
      <c r="J19" s="26" t="n">
        <f aca="false">SUM(INDEX(Forecast_Walkforward!$M:$M,$E19):INDEX(Forecast_Walkforward!$M:$M,$D19))/$H19</f>
        <v>0.284546516154146</v>
      </c>
      <c r="K19" s="26" t="n">
        <f aca="false">SUM(INDEX(Forecast_Walkforward!$N:$N,$E19):INDEX(Forecast_Walkforward!$N:$N,$D19))/$H19</f>
        <v>0.264353834176723</v>
      </c>
      <c r="L19" s="26" t="n">
        <f aca="false">SUM(INDEX(Forecast_Walkforward!$O:$O,$E19):INDEX(Forecast_Walkforward!$O:$O,$D19))/$H19</f>
        <v>0.272342315306946</v>
      </c>
      <c r="M19" s="27" t="n">
        <f aca="false">SUM(INDEX(Forecast_Walkforward!$H:$H,$E19):INDEX(Forecast_Walkforward!$H:$H,$D19))/$H19</f>
        <v>-0.00544959128065395</v>
      </c>
      <c r="N19" s="27" t="n">
        <f aca="false">SUM(INDEX(Forecast_Walkforward!$I:$I,$E19):INDEX(Forecast_Walkforward!$I:$I,$D19))/$H19</f>
        <v>-0.0212144803425457</v>
      </c>
      <c r="O19" s="27" t="n">
        <f aca="false">SUM(INDEX(Forecast_Walkforward!$J:$J,$E19):INDEX(Forecast_Walkforward!$J:$J,$D19))/$H19</f>
        <v>-0.0308972362787077</v>
      </c>
      <c r="P19" s="27" t="n">
        <f aca="false">SUM(INDEX(Forecast_Walkforward!$K:$K,$E19):INDEX(Forecast_Walkforward!$K:$K,$D19))/$H19</f>
        <v>-0.0214664810654713</v>
      </c>
      <c r="Q19" s="28" t="n">
        <f aca="false">_xlfn.STDEV.S(INDEX(Forecast_Walkforward!$H:$H,$E19):INDEX(Forecast_Walkforward!$H:$H,$D19))</f>
        <v>21.0500015226262</v>
      </c>
      <c r="R19" s="28" t="n">
        <f aca="false">_xlfn.STDEV.S(INDEX(Forecast_Walkforward!$I:$I,$E19):INDEX(Forecast_Walkforward!$I:$I,$D19))</f>
        <v>16.9896189801892</v>
      </c>
      <c r="S19" s="28" t="n">
        <f aca="false">_xlfn.STDEV.S(INDEX(Forecast_Walkforward!$J:$J,$E19):INDEX(Forecast_Walkforward!$J:$J,$D19))</f>
        <v>16.0795421825538</v>
      </c>
      <c r="T19" s="28" t="n">
        <f aca="false">_xlfn.STDEV.S(INDEX(Forecast_Walkforward!$K:$K,$E19):INDEX(Forecast_Walkforward!$K:$K,$D19))</f>
        <v>16.5418256294623</v>
      </c>
      <c r="U19" s="28" t="n">
        <f aca="false">INDEX(Forecast_Walkforward!$C:$C,$D19)</f>
        <v>58</v>
      </c>
      <c r="V19" s="28" t="n">
        <f aca="false">AVERAGE(INDEX(Forecast_Walkforward!$C:$C,$D19-3):INDEX(Forecast_Walkforward!$C:$C,$D19))</f>
        <v>64.5</v>
      </c>
      <c r="W19" s="28" t="n">
        <f aca="false">AVERAGE(INDEX(Forecast_Walkforward!$C:$C,$D19-7):INDEX(Forecast_Walkforward!$C:$C,$D19))</f>
        <v>54.625</v>
      </c>
      <c r="X19" s="28" t="n">
        <f aca="false">SES_Alpha*INDEX(Forecast_Walkforward!$C:$C,$D19)+(1-SES_Alpha)*INDEX(Forecast_Walkforward!$G:$G,$D19)</f>
        <v>58.1630356600093</v>
      </c>
      <c r="Y19" s="26" t="n">
        <f aca="false">MIN(I19:L19)</f>
        <v>0.264353834176723</v>
      </c>
      <c r="Z19" s="29" t="b">
        <f aca="false">I19&lt;=$Y19+WAPE_Tol</f>
        <v>0</v>
      </c>
      <c r="AA19" s="29" t="b">
        <f aca="false">J19&lt;=$Y19+WAPE_Tol</f>
        <v>0</v>
      </c>
      <c r="AB19" s="29" t="b">
        <f aca="false">K19&lt;=$Y19+WAPE_Tol</f>
        <v>1</v>
      </c>
      <c r="AC19" s="29" t="b">
        <f aca="false">L19&lt;=$Y19+WAPE_Tol</f>
        <v>1</v>
      </c>
      <c r="AD19" s="19" t="n">
        <f aca="false">MATCH(TRUE(),Z19:AC19,0)</f>
        <v>3</v>
      </c>
      <c r="AE19" s="12" t="str">
        <f aca="false">CHOOSE(AD19,"Naive","MA4","MA8","SES")</f>
        <v>MA8</v>
      </c>
      <c r="AF19" s="30" t="n">
        <f aca="false">INDEX(U19:X19,AD19)</f>
        <v>54.625</v>
      </c>
      <c r="AG19" s="26" t="n">
        <f aca="false">INDEX(I19:L19,AD19)</f>
        <v>0.264353834176723</v>
      </c>
      <c r="AH19" s="27" t="n">
        <f aca="false">INDEX(M19:P19,AD19)</f>
        <v>-0.0308972362787077</v>
      </c>
      <c r="AI19" s="28" t="n">
        <f aca="false">INDEX(Q19:T19,AD19)</f>
        <v>16.0795421825538</v>
      </c>
      <c r="AJ19" s="19" t="n">
        <f aca="false">AG19*H19</f>
        <v>679.125</v>
      </c>
      <c r="AK19" s="19" t="n">
        <f aca="false">SUM(INDEX(Forecast_Walkforward!$C:$C,$F19):INDEX(Forecast_Walkforward!$C:$C,$G19))</f>
        <v>2514</v>
      </c>
      <c r="AL19" s="26" t="n">
        <f aca="false">SUM(INDEX(Forecast_Walkforward!$L:$L,$F19):INDEX(Forecast_Walkforward!$L:$L,$G19))/$AK19</f>
        <v>0.36793953858393</v>
      </c>
      <c r="AM19" s="26" t="n">
        <f aca="false">SUM(INDEX(Forecast_Walkforward!$M:$M,$F19):INDEX(Forecast_Walkforward!$M:$M,$G19))/$AK19</f>
        <v>0.309765314240255</v>
      </c>
      <c r="AN19" s="26" t="n">
        <f aca="false">SUM(INDEX(Forecast_Walkforward!$N:$N,$F19):INDEX(Forecast_Walkforward!$N:$N,$G19))/$AK19</f>
        <v>0.278540175019889</v>
      </c>
      <c r="AO19" s="26" t="n">
        <f aca="false">SUM(INDEX(Forecast_Walkforward!$O:$O,$F19):INDEX(Forecast_Walkforward!$O:$O,$G19))/$AK19</f>
        <v>0.296463659282558</v>
      </c>
      <c r="AP19" s="28" t="n">
        <f aca="false">_xlfn.STDEV.S(INDEX(Forecast_Walkforward!$H:$H,$F19):INDEX(Forecast_Walkforward!$H:$H,$G19))</f>
        <v>21.1838447651669</v>
      </c>
      <c r="AQ19" s="28" t="n">
        <f aca="false">_xlfn.STDEV.S(INDEX(Forecast_Walkforward!$I:$I,$F19):INDEX(Forecast_Walkforward!$I:$I,$G19))</f>
        <v>18.2436138075402</v>
      </c>
      <c r="AR19" s="28" t="n">
        <f aca="false">_xlfn.STDEV.S(INDEX(Forecast_Walkforward!$J:$J,$F19):INDEX(Forecast_Walkforward!$J:$J,$G19))</f>
        <v>16.6647833117642</v>
      </c>
      <c r="AS19" s="28" t="n">
        <f aca="false">_xlfn.STDEV.S(INDEX(Forecast_Walkforward!$K:$K,$F19):INDEX(Forecast_Walkforward!$K:$K,$G19))</f>
        <v>17.5447811796389</v>
      </c>
      <c r="AT19" s="26" t="n">
        <f aca="false">MIN(AL19:AO19)</f>
        <v>0.278540175019889</v>
      </c>
      <c r="AU19" s="29" t="b">
        <f aca="false">AL19&lt;=$AT19+WAPE_Tol</f>
        <v>0</v>
      </c>
      <c r="AV19" s="29" t="b">
        <f aca="false">AM19&lt;=$AT19+WAPE_Tol</f>
        <v>0</v>
      </c>
      <c r="AW19" s="29" t="b">
        <f aca="false">AN19&lt;=$AT19+WAPE_Tol</f>
        <v>1</v>
      </c>
      <c r="AX19" s="29" t="b">
        <f aca="false">AO19&lt;=$AT19+WAPE_Tol</f>
        <v>0</v>
      </c>
      <c r="AY19" s="19" t="n">
        <f aca="false">MATCH(TRUE(),AU19:AX19,0)</f>
        <v>3</v>
      </c>
      <c r="AZ19" s="10" t="str">
        <f aca="false">CHOOSE(AY19,"Naive","MA4","MA8","SES")</f>
        <v>MA8</v>
      </c>
      <c r="BA19" s="28" t="n">
        <f aca="false">INDEX(AP19:AS19,AY19)</f>
        <v>16.6647833117642</v>
      </c>
    </row>
    <row r="20" customFormat="false" ht="15" hidden="false" customHeight="false" outlineLevel="0" collapsed="false">
      <c r="A20" s="11" t="str">
        <f aca="false">Inputs!B53</f>
        <v>BTH-004</v>
      </c>
      <c r="B20" s="11" t="str">
        <f aca="false">Inputs!C53</f>
        <v>Waterproof Shower Curtain</v>
      </c>
      <c r="C20" s="10" t="n">
        <f aca="false">MATCH(A20,Demand_History!$C:$C,0)</f>
        <v>1354</v>
      </c>
      <c r="D20" s="10" t="n">
        <f aca="false">C20+Weeks_History-1</f>
        <v>1457</v>
      </c>
      <c r="E20" s="10" t="n">
        <f aca="false">C20+Eval_Start_Week-1</f>
        <v>1406</v>
      </c>
      <c r="F20" s="10" t="n">
        <f aca="false">C20+Cal_Start_Week-1</f>
        <v>1390</v>
      </c>
      <c r="G20" s="10" t="n">
        <f aca="false">C20+Cal_End_Week-1</f>
        <v>1441</v>
      </c>
      <c r="H20" s="19" t="n">
        <f aca="false">SUM(INDEX(Forecast_Walkforward!$C:$C,$E20):INDEX(Forecast_Walkforward!$C:$C,$D20))</f>
        <v>1747</v>
      </c>
      <c r="I20" s="26" t="n">
        <f aca="false">SUM(INDEX(Forecast_Walkforward!$L:$L,$E20):INDEX(Forecast_Walkforward!$L:$L,$D20))/$H20</f>
        <v>0.161991986262164</v>
      </c>
      <c r="J20" s="26" t="n">
        <f aca="false">SUM(INDEX(Forecast_Walkforward!$M:$M,$E20):INDEX(Forecast_Walkforward!$M:$M,$D20))/$H20</f>
        <v>0.124928448769319</v>
      </c>
      <c r="K20" s="26" t="n">
        <f aca="false">SUM(INDEX(Forecast_Walkforward!$N:$N,$E20):INDEX(Forecast_Walkforward!$N:$N,$D20))/$H20</f>
        <v>0.109831139095592</v>
      </c>
      <c r="L20" s="26" t="n">
        <f aca="false">SUM(INDEX(Forecast_Walkforward!$O:$O,$E20):INDEX(Forecast_Walkforward!$O:$O,$D20))/$H20</f>
        <v>0.116305898350757</v>
      </c>
      <c r="M20" s="27" t="n">
        <f aca="false">SUM(INDEX(Forecast_Walkforward!$H:$H,$E20):INDEX(Forecast_Walkforward!$H:$H,$D20))/$H20</f>
        <v>0.00515168860904408</v>
      </c>
      <c r="N20" s="27" t="n">
        <f aca="false">SUM(INDEX(Forecast_Walkforward!$I:$I,$E20):INDEX(Forecast_Walkforward!$I:$I,$D20))/$H20</f>
        <v>0.0176016027475673</v>
      </c>
      <c r="O20" s="27" t="n">
        <f aca="false">SUM(INDEX(Forecast_Walkforward!$J:$J,$E20):INDEX(Forecast_Walkforward!$J:$J,$D20))/$H20</f>
        <v>0.0357040641099027</v>
      </c>
      <c r="P20" s="27" t="n">
        <f aca="false">SUM(INDEX(Forecast_Walkforward!$K:$K,$E20):INDEX(Forecast_Walkforward!$K:$K,$D20))/$H20</f>
        <v>0.0254330113235456</v>
      </c>
      <c r="Q20" s="28" t="n">
        <f aca="false">_xlfn.STDEV.S(INDEX(Forecast_Walkforward!$H:$H,$E20):INDEX(Forecast_Walkforward!$H:$H,$D20))</f>
        <v>7.02299068702538</v>
      </c>
      <c r="R20" s="28" t="n">
        <f aca="false">_xlfn.STDEV.S(INDEX(Forecast_Walkforward!$I:$I,$E20):INDEX(Forecast_Walkforward!$I:$I,$D20))</f>
        <v>5.35184338000493</v>
      </c>
      <c r="S20" s="28" t="n">
        <f aca="false">_xlfn.STDEV.S(INDEX(Forecast_Walkforward!$J:$J,$E20):INDEX(Forecast_Walkforward!$J:$J,$D20))</f>
        <v>4.71375877863434</v>
      </c>
      <c r="T20" s="28" t="n">
        <f aca="false">_xlfn.STDEV.S(INDEX(Forecast_Walkforward!$K:$K,$E20):INDEX(Forecast_Walkforward!$K:$K,$D20))</f>
        <v>5.07547561615734</v>
      </c>
      <c r="U20" s="28" t="n">
        <f aca="false">INDEX(Forecast_Walkforward!$C:$C,$D20)</f>
        <v>29</v>
      </c>
      <c r="V20" s="28" t="n">
        <f aca="false">AVERAGE(INDEX(Forecast_Walkforward!$C:$C,$D20-3):INDEX(Forecast_Walkforward!$C:$C,$D20))</f>
        <v>29.5</v>
      </c>
      <c r="W20" s="28" t="n">
        <f aca="false">AVERAGE(INDEX(Forecast_Walkforward!$C:$C,$D20-7):INDEX(Forecast_Walkforward!$C:$C,$D20))</f>
        <v>28.625</v>
      </c>
      <c r="X20" s="28" t="n">
        <f aca="false">SES_Alpha*INDEX(Forecast_Walkforward!$C:$C,$D20)+(1-SES_Alpha)*INDEX(Forecast_Walkforward!$G:$G,$D20)</f>
        <v>29.1704979419313</v>
      </c>
      <c r="Y20" s="26" t="n">
        <f aca="false">MIN(I20:L20)</f>
        <v>0.109831139095592</v>
      </c>
      <c r="Z20" s="29" t="b">
        <f aca="false">I20&lt;=$Y20+WAPE_Tol</f>
        <v>0</v>
      </c>
      <c r="AA20" s="29" t="b">
        <f aca="false">J20&lt;=$Y20+WAPE_Tol</f>
        <v>0</v>
      </c>
      <c r="AB20" s="29" t="b">
        <f aca="false">K20&lt;=$Y20+WAPE_Tol</f>
        <v>1</v>
      </c>
      <c r="AC20" s="29" t="b">
        <f aca="false">L20&lt;=$Y20+WAPE_Tol</f>
        <v>1</v>
      </c>
      <c r="AD20" s="19" t="n">
        <f aca="false">MATCH(TRUE(),Z20:AC20,0)</f>
        <v>3</v>
      </c>
      <c r="AE20" s="12" t="str">
        <f aca="false">CHOOSE(AD20,"Naive","MA4","MA8","SES")</f>
        <v>MA8</v>
      </c>
      <c r="AF20" s="30" t="n">
        <f aca="false">INDEX(U20:X20,AD20)</f>
        <v>28.625</v>
      </c>
      <c r="AG20" s="26" t="n">
        <f aca="false">INDEX(I20:L20,AD20)</f>
        <v>0.109831139095592</v>
      </c>
      <c r="AH20" s="27" t="n">
        <f aca="false">INDEX(M20:P20,AD20)</f>
        <v>0.0357040641099027</v>
      </c>
      <c r="AI20" s="28" t="n">
        <f aca="false">INDEX(Q20:T20,AD20)</f>
        <v>4.71375877863434</v>
      </c>
      <c r="AJ20" s="19" t="n">
        <f aca="false">AG20*H20</f>
        <v>191.875</v>
      </c>
      <c r="AK20" s="19" t="n">
        <f aca="false">SUM(INDEX(Forecast_Walkforward!$C:$C,$F20):INDEX(Forecast_Walkforward!$C:$C,$G20))</f>
        <v>1974</v>
      </c>
      <c r="AL20" s="26" t="n">
        <f aca="false">SUM(INDEX(Forecast_Walkforward!$L:$L,$F20):INDEX(Forecast_Walkforward!$L:$L,$G20))/$AK20</f>
        <v>0.185916919959473</v>
      </c>
      <c r="AM20" s="26" t="n">
        <f aca="false">SUM(INDEX(Forecast_Walkforward!$M:$M,$F20):INDEX(Forecast_Walkforward!$M:$M,$G20))/$AK20</f>
        <v>0.134371833839919</v>
      </c>
      <c r="AN20" s="26" t="n">
        <f aca="false">SUM(INDEX(Forecast_Walkforward!$N:$N,$F20):INDEX(Forecast_Walkforward!$N:$N,$G20))/$AK20</f>
        <v>0.122847011144883</v>
      </c>
      <c r="AO20" s="26" t="n">
        <f aca="false">SUM(INDEX(Forecast_Walkforward!$O:$O,$F20):INDEX(Forecast_Walkforward!$O:$O,$G20))/$AK20</f>
        <v>0.130836210029839</v>
      </c>
      <c r="AP20" s="28" t="n">
        <f aca="false">_xlfn.STDEV.S(INDEX(Forecast_Walkforward!$H:$H,$F20):INDEX(Forecast_Walkforward!$H:$H,$G20))</f>
        <v>8.7050504575838</v>
      </c>
      <c r="AQ20" s="28" t="n">
        <f aca="false">_xlfn.STDEV.S(INDEX(Forecast_Walkforward!$I:$I,$F20):INDEX(Forecast_Walkforward!$I:$I,$G20))</f>
        <v>6.48225875328151</v>
      </c>
      <c r="AR20" s="28" t="n">
        <f aca="false">_xlfn.STDEV.S(INDEX(Forecast_Walkforward!$J:$J,$F20):INDEX(Forecast_Walkforward!$J:$J,$G20))</f>
        <v>6.01853440716728</v>
      </c>
      <c r="AS20" s="28" t="n">
        <f aca="false">_xlfn.STDEV.S(INDEX(Forecast_Walkforward!$K:$K,$F20):INDEX(Forecast_Walkforward!$K:$K,$G20))</f>
        <v>6.28520983555146</v>
      </c>
      <c r="AT20" s="26" t="n">
        <f aca="false">MIN(AL20:AO20)</f>
        <v>0.122847011144883</v>
      </c>
      <c r="AU20" s="29" t="b">
        <f aca="false">AL20&lt;=$AT20+WAPE_Tol</f>
        <v>0</v>
      </c>
      <c r="AV20" s="29" t="b">
        <f aca="false">AM20&lt;=$AT20+WAPE_Tol</f>
        <v>0</v>
      </c>
      <c r="AW20" s="29" t="b">
        <f aca="false">AN20&lt;=$AT20+WAPE_Tol</f>
        <v>1</v>
      </c>
      <c r="AX20" s="29" t="b">
        <f aca="false">AO20&lt;=$AT20+WAPE_Tol</f>
        <v>1</v>
      </c>
      <c r="AY20" s="19" t="n">
        <f aca="false">MATCH(TRUE(),AU20:AX20,0)</f>
        <v>3</v>
      </c>
      <c r="AZ20" s="10" t="str">
        <f aca="false">CHOOSE(AY20,"Naive","MA4","MA8","SES")</f>
        <v>MA8</v>
      </c>
      <c r="BA20" s="28" t="n">
        <f aca="false">INDEX(AP20:AS20,AY20)</f>
        <v>6.01853440716728</v>
      </c>
    </row>
    <row r="21" customFormat="false" ht="15" hidden="false" customHeight="false" outlineLevel="0" collapsed="false">
      <c r="A21" s="11" t="str">
        <f aca="false">Inputs!B54</f>
        <v>BTH-005</v>
      </c>
      <c r="B21" s="11" t="str">
        <f aca="false">Inputs!C54</f>
        <v>Waffle Bathrobe M</v>
      </c>
      <c r="C21" s="10" t="n">
        <f aca="false">MATCH(A21,Demand_History!$C:$C,0)</f>
        <v>1458</v>
      </c>
      <c r="D21" s="10" t="n">
        <f aca="false">C21+Weeks_History-1</f>
        <v>1561</v>
      </c>
      <c r="E21" s="10" t="n">
        <f aca="false">C21+Eval_Start_Week-1</f>
        <v>1510</v>
      </c>
      <c r="F21" s="10" t="n">
        <f aca="false">C21+Cal_Start_Week-1</f>
        <v>1494</v>
      </c>
      <c r="G21" s="10" t="n">
        <f aca="false">C21+Cal_End_Week-1</f>
        <v>1545</v>
      </c>
      <c r="H21" s="19" t="n">
        <f aca="false">SUM(INDEX(Forecast_Walkforward!$C:$C,$E21):INDEX(Forecast_Walkforward!$C:$C,$D21))</f>
        <v>1068</v>
      </c>
      <c r="I21" s="26" t="n">
        <f aca="false">SUM(INDEX(Forecast_Walkforward!$L:$L,$E21):INDEX(Forecast_Walkforward!$L:$L,$D21))/$H21</f>
        <v>0.371722846441948</v>
      </c>
      <c r="J21" s="26" t="n">
        <f aca="false">SUM(INDEX(Forecast_Walkforward!$M:$M,$E21):INDEX(Forecast_Walkforward!$M:$M,$D21))/$H21</f>
        <v>0.292134831460674</v>
      </c>
      <c r="K21" s="26" t="n">
        <f aca="false">SUM(INDEX(Forecast_Walkforward!$N:$N,$E21):INDEX(Forecast_Walkforward!$N:$N,$D21))/$H21</f>
        <v>0.278558052434457</v>
      </c>
      <c r="L21" s="26" t="n">
        <f aca="false">SUM(INDEX(Forecast_Walkforward!$O:$O,$E21):INDEX(Forecast_Walkforward!$O:$O,$D21))/$H21</f>
        <v>0.2853762182756</v>
      </c>
      <c r="M21" s="27" t="n">
        <f aca="false">SUM(INDEX(Forecast_Walkforward!$H:$H,$E21):INDEX(Forecast_Walkforward!$H:$H,$D21))/$H21</f>
        <v>0.00468164794007491</v>
      </c>
      <c r="N21" s="27" t="n">
        <f aca="false">SUM(INDEX(Forecast_Walkforward!$I:$I,$E21):INDEX(Forecast_Walkforward!$I:$I,$D21))/$H21</f>
        <v>0.00187265917602996</v>
      </c>
      <c r="O21" s="27" t="n">
        <f aca="false">SUM(INDEX(Forecast_Walkforward!$J:$J,$E21):INDEX(Forecast_Walkforward!$J:$J,$D21))/$H21</f>
        <v>0.00585205992509363</v>
      </c>
      <c r="P21" s="27" t="n">
        <f aca="false">SUM(INDEX(Forecast_Walkforward!$K:$K,$E21):INDEX(Forecast_Walkforward!$K:$K,$D21))/$H21</f>
        <v>0.00243029765480241</v>
      </c>
      <c r="Q21" s="28" t="n">
        <f aca="false">_xlfn.STDEV.S(INDEX(Forecast_Walkforward!$H:$H,$E21):INDEX(Forecast_Walkforward!$H:$H,$D21))</f>
        <v>9.86628168707991</v>
      </c>
      <c r="R21" s="28" t="n">
        <f aca="false">_xlfn.STDEV.S(INDEX(Forecast_Walkforward!$I:$I,$E21):INDEX(Forecast_Walkforward!$I:$I,$D21))</f>
        <v>7.6799306534388</v>
      </c>
      <c r="S21" s="28" t="n">
        <f aca="false">_xlfn.STDEV.S(INDEX(Forecast_Walkforward!$J:$J,$E21):INDEX(Forecast_Walkforward!$J:$J,$D21))</f>
        <v>6.96898598424241</v>
      </c>
      <c r="T21" s="28" t="n">
        <f aca="false">_xlfn.STDEV.S(INDEX(Forecast_Walkforward!$K:$K,$E21):INDEX(Forecast_Walkforward!$K:$K,$D21))</f>
        <v>7.39106802560329</v>
      </c>
      <c r="U21" s="28" t="n">
        <f aca="false">INDEX(Forecast_Walkforward!$C:$C,$D21)</f>
        <v>14</v>
      </c>
      <c r="V21" s="28" t="n">
        <f aca="false">AVERAGE(INDEX(Forecast_Walkforward!$C:$C,$D21-3):INDEX(Forecast_Walkforward!$C:$C,$D21))</f>
        <v>17.25</v>
      </c>
      <c r="W21" s="28" t="n">
        <f aca="false">AVERAGE(INDEX(Forecast_Walkforward!$C:$C,$D21-7):INDEX(Forecast_Walkforward!$C:$C,$D21))</f>
        <v>19.75</v>
      </c>
      <c r="X21" s="28" t="n">
        <f aca="false">SES_Alpha*INDEX(Forecast_Walkforward!$C:$C,$D21)+(1-SES_Alpha)*INDEX(Forecast_Walkforward!$G:$G,$D21)</f>
        <v>18.0883964115785</v>
      </c>
      <c r="Y21" s="26" t="n">
        <f aca="false">MIN(I21:L21)</f>
        <v>0.278558052434457</v>
      </c>
      <c r="Z21" s="29" t="b">
        <f aca="false">I21&lt;=$Y21+WAPE_Tol</f>
        <v>0</v>
      </c>
      <c r="AA21" s="29" t="b">
        <f aca="false">J21&lt;=$Y21+WAPE_Tol</f>
        <v>0</v>
      </c>
      <c r="AB21" s="29" t="b">
        <f aca="false">K21&lt;=$Y21+WAPE_Tol</f>
        <v>1</v>
      </c>
      <c r="AC21" s="29" t="b">
        <f aca="false">L21&lt;=$Y21+WAPE_Tol</f>
        <v>1</v>
      </c>
      <c r="AD21" s="19" t="n">
        <f aca="false">MATCH(TRUE(),Z21:AC21,0)</f>
        <v>3</v>
      </c>
      <c r="AE21" s="12" t="str">
        <f aca="false">CHOOSE(AD21,"Naive","MA4","MA8","SES")</f>
        <v>MA8</v>
      </c>
      <c r="AF21" s="30" t="n">
        <f aca="false">INDEX(U21:X21,AD21)</f>
        <v>19.75</v>
      </c>
      <c r="AG21" s="26" t="n">
        <f aca="false">INDEX(I21:L21,AD21)</f>
        <v>0.278558052434457</v>
      </c>
      <c r="AH21" s="27" t="n">
        <f aca="false">INDEX(M21:P21,AD21)</f>
        <v>0.00585205992509363</v>
      </c>
      <c r="AI21" s="28" t="n">
        <f aca="false">INDEX(Q21:T21,AD21)</f>
        <v>6.96898598424241</v>
      </c>
      <c r="AJ21" s="19" t="n">
        <f aca="false">AG21*H21</f>
        <v>297.5</v>
      </c>
      <c r="AK21" s="19" t="n">
        <f aca="false">SUM(INDEX(Forecast_Walkforward!$C:$C,$F21):INDEX(Forecast_Walkforward!$C:$C,$G21))</f>
        <v>1019</v>
      </c>
      <c r="AL21" s="26" t="n">
        <f aca="false">SUM(INDEX(Forecast_Walkforward!$L:$L,$F21):INDEX(Forecast_Walkforward!$L:$L,$G21))/$AK21</f>
        <v>0.397448478900883</v>
      </c>
      <c r="AM21" s="26" t="n">
        <f aca="false">SUM(INDEX(Forecast_Walkforward!$M:$M,$F21):INDEX(Forecast_Walkforward!$M:$M,$G21))/$AK21</f>
        <v>0.320412168792934</v>
      </c>
      <c r="AN21" s="26" t="n">
        <f aca="false">SUM(INDEX(Forecast_Walkforward!$N:$N,$F21):INDEX(Forecast_Walkforward!$N:$N,$G21))/$AK21</f>
        <v>0.296736997055937</v>
      </c>
      <c r="AO21" s="26" t="n">
        <f aca="false">SUM(INDEX(Forecast_Walkforward!$O:$O,$F21):INDEX(Forecast_Walkforward!$O:$O,$G21))/$AK21</f>
        <v>0.306566957298309</v>
      </c>
      <c r="AP21" s="28" t="n">
        <f aca="false">_xlfn.STDEV.S(INDEX(Forecast_Walkforward!$H:$H,$F21):INDEX(Forecast_Walkforward!$H:$H,$G21))</f>
        <v>10.1322142054875</v>
      </c>
      <c r="AQ21" s="28" t="n">
        <f aca="false">_xlfn.STDEV.S(INDEX(Forecast_Walkforward!$I:$I,$F21):INDEX(Forecast_Walkforward!$I:$I,$G21))</f>
        <v>8.17702193850582</v>
      </c>
      <c r="AR21" s="28" t="n">
        <f aca="false">_xlfn.STDEV.S(INDEX(Forecast_Walkforward!$J:$J,$F21):INDEX(Forecast_Walkforward!$J:$J,$G21))</f>
        <v>7.29315824541637</v>
      </c>
      <c r="AS21" s="28" t="n">
        <f aca="false">_xlfn.STDEV.S(INDEX(Forecast_Walkforward!$K:$K,$F21):INDEX(Forecast_Walkforward!$K:$K,$G21))</f>
        <v>7.73169587469786</v>
      </c>
      <c r="AT21" s="26" t="n">
        <f aca="false">MIN(AL21:AO21)</f>
        <v>0.296736997055937</v>
      </c>
      <c r="AU21" s="29" t="b">
        <f aca="false">AL21&lt;=$AT21+WAPE_Tol</f>
        <v>0</v>
      </c>
      <c r="AV21" s="29" t="b">
        <f aca="false">AM21&lt;=$AT21+WAPE_Tol</f>
        <v>0</v>
      </c>
      <c r="AW21" s="29" t="b">
        <f aca="false">AN21&lt;=$AT21+WAPE_Tol</f>
        <v>1</v>
      </c>
      <c r="AX21" s="29" t="b">
        <f aca="false">AO21&lt;=$AT21+WAPE_Tol</f>
        <v>1</v>
      </c>
      <c r="AY21" s="19" t="n">
        <f aca="false">MATCH(TRUE(),AU21:AX21,0)</f>
        <v>3</v>
      </c>
      <c r="AZ21" s="10" t="str">
        <f aca="false">CHOOSE(AY21,"Naive","MA4","MA8","SES")</f>
        <v>MA8</v>
      </c>
      <c r="BA21" s="28" t="n">
        <f aca="false">INDEX(AP21:AS21,AY21)</f>
        <v>7.29315824541637</v>
      </c>
    </row>
    <row r="22" customFormat="false" ht="15" hidden="false" customHeight="false" outlineLevel="0" collapsed="false">
      <c r="A22" s="11" t="str">
        <f aca="false">Inputs!B55</f>
        <v>BTH-006</v>
      </c>
      <c r="B22" s="11" t="str">
        <f aca="false">Inputs!C55</f>
        <v>Ceramic Toothbrush Holder</v>
      </c>
      <c r="C22" s="10" t="n">
        <f aca="false">MATCH(A22,Demand_History!$C:$C,0)</f>
        <v>1562</v>
      </c>
      <c r="D22" s="10" t="n">
        <f aca="false">C22+Weeks_History-1</f>
        <v>1665</v>
      </c>
      <c r="E22" s="10" t="n">
        <f aca="false">C22+Eval_Start_Week-1</f>
        <v>1614</v>
      </c>
      <c r="F22" s="10" t="n">
        <f aca="false">C22+Cal_Start_Week-1</f>
        <v>1598</v>
      </c>
      <c r="G22" s="10" t="n">
        <f aca="false">C22+Cal_End_Week-1</f>
        <v>1649</v>
      </c>
      <c r="H22" s="19" t="n">
        <f aca="false">SUM(INDEX(Forecast_Walkforward!$C:$C,$E22):INDEX(Forecast_Walkforward!$C:$C,$D22))</f>
        <v>1832</v>
      </c>
      <c r="I22" s="26" t="n">
        <f aca="false">SUM(INDEX(Forecast_Walkforward!$L:$L,$E22):INDEX(Forecast_Walkforward!$L:$L,$D22))/$H22</f>
        <v>0.0960698689956332</v>
      </c>
      <c r="J22" s="26" t="n">
        <f aca="false">SUM(INDEX(Forecast_Walkforward!$M:$M,$E22):INDEX(Forecast_Walkforward!$M:$M,$D22))/$H22</f>
        <v>0.099617903930131</v>
      </c>
      <c r="K22" s="26" t="n">
        <f aca="false">SUM(INDEX(Forecast_Walkforward!$N:$N,$E22):INDEX(Forecast_Walkforward!$N:$N,$D22))/$H22</f>
        <v>0.089792576419214</v>
      </c>
      <c r="L22" s="26" t="n">
        <f aca="false">SUM(INDEX(Forecast_Walkforward!$O:$O,$E22):INDEX(Forecast_Walkforward!$O:$O,$D22))/$H22</f>
        <v>0.0890361991301579</v>
      </c>
      <c r="M22" s="27" t="n">
        <f aca="false">SUM(INDEX(Forecast_Walkforward!$H:$H,$E22):INDEX(Forecast_Walkforward!$H:$H,$D22))/$H22</f>
        <v>0</v>
      </c>
      <c r="N22" s="27" t="n">
        <f aca="false">SUM(INDEX(Forecast_Walkforward!$I:$I,$E22):INDEX(Forecast_Walkforward!$I:$I,$D22))/$H22</f>
        <v>-0.00655021834061135</v>
      </c>
      <c r="O22" s="27" t="n">
        <f aca="false">SUM(INDEX(Forecast_Walkforward!$J:$J,$E22):INDEX(Forecast_Walkforward!$J:$J,$D22))/$H22</f>
        <v>-0.0085971615720524</v>
      </c>
      <c r="P22" s="27" t="n">
        <f aca="false">SUM(INDEX(Forecast_Walkforward!$K:$K,$E22):INDEX(Forecast_Walkforward!$K:$K,$D22))/$H22</f>
        <v>-0.0063382294597162</v>
      </c>
      <c r="Q22" s="28" t="n">
        <f aca="false">_xlfn.STDEV.S(INDEX(Forecast_Walkforward!$H:$H,$E22):INDEX(Forecast_Walkforward!$H:$H,$D22))</f>
        <v>4.51576758289719</v>
      </c>
      <c r="R22" s="28" t="n">
        <f aca="false">_xlfn.STDEV.S(INDEX(Forecast_Walkforward!$I:$I,$E22):INDEX(Forecast_Walkforward!$I:$I,$D22))</f>
        <v>4.61876133388886</v>
      </c>
      <c r="S22" s="28" t="n">
        <f aca="false">_xlfn.STDEV.S(INDEX(Forecast_Walkforward!$J:$J,$E22):INDEX(Forecast_Walkforward!$J:$J,$D22))</f>
        <v>4.16217989950424</v>
      </c>
      <c r="T22" s="28" t="n">
        <f aca="false">_xlfn.STDEV.S(INDEX(Forecast_Walkforward!$K:$K,$E22):INDEX(Forecast_Walkforward!$K:$K,$D22))</f>
        <v>4.1128266101476</v>
      </c>
      <c r="U22" s="28" t="n">
        <f aca="false">INDEX(Forecast_Walkforward!$C:$C,$D22)</f>
        <v>36</v>
      </c>
      <c r="V22" s="28" t="n">
        <f aca="false">AVERAGE(INDEX(Forecast_Walkforward!$C:$C,$D22-3):INDEX(Forecast_Walkforward!$C:$C,$D22))</f>
        <v>37.25</v>
      </c>
      <c r="W22" s="28" t="n">
        <f aca="false">AVERAGE(INDEX(Forecast_Walkforward!$C:$C,$D22-7):INDEX(Forecast_Walkforward!$C:$C,$D22))</f>
        <v>33.75</v>
      </c>
      <c r="X22" s="28" t="n">
        <f aca="false">SES_Alpha*INDEX(Forecast_Walkforward!$C:$C,$D22)+(1-SES_Alpha)*INDEX(Forecast_Walkforward!$G:$G,$D22)</f>
        <v>35.813439713034</v>
      </c>
      <c r="Y22" s="26" t="n">
        <f aca="false">MIN(I22:L22)</f>
        <v>0.0890361991301579</v>
      </c>
      <c r="Z22" s="29" t="b">
        <f aca="false">I22&lt;=$Y22+WAPE_Tol</f>
        <v>1</v>
      </c>
      <c r="AA22" s="29" t="b">
        <f aca="false">J22&lt;=$Y22+WAPE_Tol</f>
        <v>0</v>
      </c>
      <c r="AB22" s="29" t="b">
        <f aca="false">K22&lt;=$Y22+WAPE_Tol</f>
        <v>1</v>
      </c>
      <c r="AC22" s="29" t="b">
        <f aca="false">L22&lt;=$Y22+WAPE_Tol</f>
        <v>1</v>
      </c>
      <c r="AD22" s="19" t="n">
        <f aca="false">MATCH(TRUE(),Z22:AC22,0)</f>
        <v>1</v>
      </c>
      <c r="AE22" s="12" t="str">
        <f aca="false">CHOOSE(AD22,"Naive","MA4","MA8","SES")</f>
        <v>Naive</v>
      </c>
      <c r="AF22" s="30" t="n">
        <f aca="false">INDEX(U22:X22,AD22)</f>
        <v>36</v>
      </c>
      <c r="AG22" s="26" t="n">
        <f aca="false">INDEX(I22:L22,AD22)</f>
        <v>0.0960698689956332</v>
      </c>
      <c r="AH22" s="27" t="n">
        <f aca="false">INDEX(M22:P22,AD22)</f>
        <v>0</v>
      </c>
      <c r="AI22" s="28" t="n">
        <f aca="false">INDEX(Q22:T22,AD22)</f>
        <v>4.51576758289719</v>
      </c>
      <c r="AJ22" s="19" t="n">
        <f aca="false">AG22*H22</f>
        <v>176</v>
      </c>
      <c r="AK22" s="19" t="n">
        <f aca="false">SUM(INDEX(Forecast_Walkforward!$C:$C,$F22):INDEX(Forecast_Walkforward!$C:$C,$G22))</f>
        <v>1810</v>
      </c>
      <c r="AL22" s="26" t="n">
        <f aca="false">SUM(INDEX(Forecast_Walkforward!$L:$L,$F22):INDEX(Forecast_Walkforward!$L:$L,$G22))/$AK22</f>
        <v>0.104972375690608</v>
      </c>
      <c r="AM22" s="26" t="n">
        <f aca="false">SUM(INDEX(Forecast_Walkforward!$M:$M,$F22):INDEX(Forecast_Walkforward!$M:$M,$G22))/$AK22</f>
        <v>0.0878453038674033</v>
      </c>
      <c r="AN22" s="26" t="n">
        <f aca="false">SUM(INDEX(Forecast_Walkforward!$N:$N,$F22):INDEX(Forecast_Walkforward!$N:$N,$G22))/$AK22</f>
        <v>0.081767955801105</v>
      </c>
      <c r="AO22" s="26" t="n">
        <f aca="false">SUM(INDEX(Forecast_Walkforward!$O:$O,$F22):INDEX(Forecast_Walkforward!$O:$O,$G22))/$AK22</f>
        <v>0.0834008344884529</v>
      </c>
      <c r="AP22" s="28" t="n">
        <f aca="false">_xlfn.STDEV.S(INDEX(Forecast_Walkforward!$H:$H,$F22):INDEX(Forecast_Walkforward!$H:$H,$G22))</f>
        <v>4.81983083009863</v>
      </c>
      <c r="AQ22" s="28" t="n">
        <f aca="false">_xlfn.STDEV.S(INDEX(Forecast_Walkforward!$I:$I,$F22):INDEX(Forecast_Walkforward!$I:$I,$G22))</f>
        <v>3.914720642318</v>
      </c>
      <c r="AR22" s="28" t="n">
        <f aca="false">_xlfn.STDEV.S(INDEX(Forecast_Walkforward!$J:$J,$F22):INDEX(Forecast_Walkforward!$J:$J,$G22))</f>
        <v>3.63694267187314</v>
      </c>
      <c r="AS22" s="28" t="n">
        <f aca="false">_xlfn.STDEV.S(INDEX(Forecast_Walkforward!$K:$K,$F22):INDEX(Forecast_Walkforward!$K:$K,$G22))</f>
        <v>3.71544994022529</v>
      </c>
      <c r="AT22" s="26" t="n">
        <f aca="false">MIN(AL22:AO22)</f>
        <v>0.081767955801105</v>
      </c>
      <c r="AU22" s="29" t="b">
        <f aca="false">AL22&lt;=$AT22+WAPE_Tol</f>
        <v>0</v>
      </c>
      <c r="AV22" s="29" t="b">
        <f aca="false">AM22&lt;=$AT22+WAPE_Tol</f>
        <v>1</v>
      </c>
      <c r="AW22" s="29" t="b">
        <f aca="false">AN22&lt;=$AT22+WAPE_Tol</f>
        <v>1</v>
      </c>
      <c r="AX22" s="29" t="b">
        <f aca="false">AO22&lt;=$AT22+WAPE_Tol</f>
        <v>1</v>
      </c>
      <c r="AY22" s="19" t="n">
        <f aca="false">MATCH(TRUE(),AU22:AX22,0)</f>
        <v>2</v>
      </c>
      <c r="AZ22" s="10" t="str">
        <f aca="false">CHOOSE(AY22,"Naive","MA4","MA8","SES")</f>
        <v>MA4</v>
      </c>
      <c r="BA22" s="28" t="n">
        <f aca="false">INDEX(AP22:AS22,AY22)</f>
        <v>3.914720642318</v>
      </c>
    </row>
    <row r="23" customFormat="false" ht="15" hidden="false" customHeight="false" outlineLevel="0" collapsed="false">
      <c r="A23" s="11" t="str">
        <f aca="false">Inputs!B56</f>
        <v>BTH-007</v>
      </c>
      <c r="B23" s="11" t="str">
        <f aca="false">Inputs!C56</f>
        <v>Glass Soap Dispenser</v>
      </c>
      <c r="C23" s="10" t="n">
        <f aca="false">MATCH(A23,Demand_History!$C:$C,0)</f>
        <v>1666</v>
      </c>
      <c r="D23" s="10" t="n">
        <f aca="false">C23+Weeks_History-1</f>
        <v>1769</v>
      </c>
      <c r="E23" s="10" t="n">
        <f aca="false">C23+Eval_Start_Week-1</f>
        <v>1718</v>
      </c>
      <c r="F23" s="10" t="n">
        <f aca="false">C23+Cal_Start_Week-1</f>
        <v>1702</v>
      </c>
      <c r="G23" s="10" t="n">
        <f aca="false">C23+Cal_End_Week-1</f>
        <v>1753</v>
      </c>
      <c r="H23" s="19" t="n">
        <f aca="false">SUM(INDEX(Forecast_Walkforward!$C:$C,$E23):INDEX(Forecast_Walkforward!$C:$C,$D23))</f>
        <v>2839</v>
      </c>
      <c r="I23" s="26" t="n">
        <f aca="false">SUM(INDEX(Forecast_Walkforward!$L:$L,$E23):INDEX(Forecast_Walkforward!$L:$L,$D23))/$H23</f>
        <v>0.134554420570623</v>
      </c>
      <c r="J23" s="26" t="n">
        <f aca="false">SUM(INDEX(Forecast_Walkforward!$M:$M,$E23):INDEX(Forecast_Walkforward!$M:$M,$D23))/$H23</f>
        <v>0.11491722437478</v>
      </c>
      <c r="K23" s="26" t="n">
        <f aca="false">SUM(INDEX(Forecast_Walkforward!$N:$N,$E23):INDEX(Forecast_Walkforward!$N:$N,$D23))/$H23</f>
        <v>0.123326875660444</v>
      </c>
      <c r="L23" s="26" t="n">
        <f aca="false">SUM(INDEX(Forecast_Walkforward!$O:$O,$E23):INDEX(Forecast_Walkforward!$O:$O,$D23))/$H23</f>
        <v>0.111675350652493</v>
      </c>
      <c r="M23" s="27" t="n">
        <f aca="false">SUM(INDEX(Forecast_Walkforward!$H:$H,$E23):INDEX(Forecast_Walkforward!$H:$H,$D23))/$H23</f>
        <v>-0.00845368087354702</v>
      </c>
      <c r="N23" s="27" t="n">
        <f aca="false">SUM(INDEX(Forecast_Walkforward!$I:$I,$E23):INDEX(Forecast_Walkforward!$I:$I,$D23))/$H23</f>
        <v>-0.00836562169778091</v>
      </c>
      <c r="O23" s="27" t="n">
        <f aca="false">SUM(INDEX(Forecast_Walkforward!$J:$J,$E23):INDEX(Forecast_Walkforward!$J:$J,$D23))/$H23</f>
        <v>-0.0158066220500176</v>
      </c>
      <c r="P23" s="27" t="n">
        <f aca="false">SUM(INDEX(Forecast_Walkforward!$K:$K,$E23):INDEX(Forecast_Walkforward!$K:$K,$D23))/$H23</f>
        <v>-0.0131930879957046</v>
      </c>
      <c r="Q23" s="28" t="n">
        <f aca="false">_xlfn.STDEV.S(INDEX(Forecast_Walkforward!$H:$H,$E23):INDEX(Forecast_Walkforward!$H:$H,$D23))</f>
        <v>9.53725725867241</v>
      </c>
      <c r="R23" s="28" t="n">
        <f aca="false">_xlfn.STDEV.S(INDEX(Forecast_Walkforward!$I:$I,$E23):INDEX(Forecast_Walkforward!$I:$I,$D23))</f>
        <v>8.20131522717578</v>
      </c>
      <c r="S23" s="28" t="n">
        <f aca="false">_xlfn.STDEV.S(INDEX(Forecast_Walkforward!$J:$J,$E23):INDEX(Forecast_Walkforward!$J:$J,$D23))</f>
        <v>8.46587945581599</v>
      </c>
      <c r="T23" s="28" t="n">
        <f aca="false">_xlfn.STDEV.S(INDEX(Forecast_Walkforward!$K:$K,$E23):INDEX(Forecast_Walkforward!$K:$K,$D23))</f>
        <v>7.87880663560942</v>
      </c>
      <c r="U23" s="28" t="n">
        <f aca="false">INDEX(Forecast_Walkforward!$C:$C,$D23)</f>
        <v>68</v>
      </c>
      <c r="V23" s="28" t="n">
        <f aca="false">AVERAGE(INDEX(Forecast_Walkforward!$C:$C,$D23-3):INDEX(Forecast_Walkforward!$C:$C,$D23))</f>
        <v>58</v>
      </c>
      <c r="W23" s="28" t="n">
        <f aca="false">AVERAGE(INDEX(Forecast_Walkforward!$C:$C,$D23-7):INDEX(Forecast_Walkforward!$C:$C,$D23))</f>
        <v>56.5</v>
      </c>
      <c r="X23" s="28" t="n">
        <f aca="false">SES_Alpha*INDEX(Forecast_Walkforward!$C:$C,$D23)+(1-SES_Alpha)*INDEX(Forecast_Walkforward!$G:$G,$D23)</f>
        <v>58.9034927474851</v>
      </c>
      <c r="Y23" s="26" t="n">
        <f aca="false">MIN(I23:L23)</f>
        <v>0.111675350652493</v>
      </c>
      <c r="Z23" s="29" t="b">
        <f aca="false">I23&lt;=$Y23+WAPE_Tol</f>
        <v>0</v>
      </c>
      <c r="AA23" s="29" t="b">
        <f aca="false">J23&lt;=$Y23+WAPE_Tol</f>
        <v>1</v>
      </c>
      <c r="AB23" s="29" t="b">
        <f aca="false">K23&lt;=$Y23+WAPE_Tol</f>
        <v>0</v>
      </c>
      <c r="AC23" s="29" t="b">
        <f aca="false">L23&lt;=$Y23+WAPE_Tol</f>
        <v>1</v>
      </c>
      <c r="AD23" s="19" t="n">
        <f aca="false">MATCH(TRUE(),Z23:AC23,0)</f>
        <v>2</v>
      </c>
      <c r="AE23" s="12" t="str">
        <f aca="false">CHOOSE(AD23,"Naive","MA4","MA8","SES")</f>
        <v>MA4</v>
      </c>
      <c r="AF23" s="30" t="n">
        <f aca="false">INDEX(U23:X23,AD23)</f>
        <v>58</v>
      </c>
      <c r="AG23" s="26" t="n">
        <f aca="false">INDEX(I23:L23,AD23)</f>
        <v>0.11491722437478</v>
      </c>
      <c r="AH23" s="27" t="n">
        <f aca="false">INDEX(M23:P23,AD23)</f>
        <v>-0.00836562169778091</v>
      </c>
      <c r="AI23" s="28" t="n">
        <f aca="false">INDEX(Q23:T23,AD23)</f>
        <v>8.20131522717578</v>
      </c>
      <c r="AJ23" s="19" t="n">
        <f aca="false">AG23*H23</f>
        <v>326.25</v>
      </c>
      <c r="AK23" s="19" t="n">
        <f aca="false">SUM(INDEX(Forecast_Walkforward!$C:$C,$F23):INDEX(Forecast_Walkforward!$C:$C,$G23))</f>
        <v>2570</v>
      </c>
      <c r="AL23" s="26" t="n">
        <f aca="false">SUM(INDEX(Forecast_Walkforward!$L:$L,$F23):INDEX(Forecast_Walkforward!$L:$L,$G23))/$AK23</f>
        <v>0.13307392996109</v>
      </c>
      <c r="AM23" s="26" t="n">
        <f aca="false">SUM(INDEX(Forecast_Walkforward!$M:$M,$F23):INDEX(Forecast_Walkforward!$M:$M,$G23))/$AK23</f>
        <v>0.107198443579767</v>
      </c>
      <c r="AN23" s="26" t="n">
        <f aca="false">SUM(INDEX(Forecast_Walkforward!$N:$N,$F23):INDEX(Forecast_Walkforward!$N:$N,$G23))/$AK23</f>
        <v>0.114105058365759</v>
      </c>
      <c r="AO23" s="26" t="n">
        <f aca="false">SUM(INDEX(Forecast_Walkforward!$O:$O,$F23):INDEX(Forecast_Walkforward!$O:$O,$G23))/$AK23</f>
        <v>0.106358596364999</v>
      </c>
      <c r="AP23" s="28" t="n">
        <f aca="false">_xlfn.STDEV.S(INDEX(Forecast_Walkforward!$H:$H,$F23):INDEX(Forecast_Walkforward!$H:$H,$G23))</f>
        <v>8.36073924867375</v>
      </c>
      <c r="AQ23" s="28" t="n">
        <f aca="false">_xlfn.STDEV.S(INDEX(Forecast_Walkforward!$I:$I,$F23):INDEX(Forecast_Walkforward!$I:$I,$G23))</f>
        <v>7.24376910174508</v>
      </c>
      <c r="AR23" s="28" t="n">
        <f aca="false">_xlfn.STDEV.S(INDEX(Forecast_Walkforward!$J:$J,$F23):INDEX(Forecast_Walkforward!$J:$J,$G23))</f>
        <v>7.34173127399441</v>
      </c>
      <c r="AS23" s="28" t="n">
        <f aca="false">_xlfn.STDEV.S(INDEX(Forecast_Walkforward!$K:$K,$F23):INDEX(Forecast_Walkforward!$K:$K,$G23))</f>
        <v>6.97945535097308</v>
      </c>
      <c r="AT23" s="26" t="n">
        <f aca="false">MIN(AL23:AO23)</f>
        <v>0.106358596364999</v>
      </c>
      <c r="AU23" s="29" t="b">
        <f aca="false">AL23&lt;=$AT23+WAPE_Tol</f>
        <v>0</v>
      </c>
      <c r="AV23" s="29" t="b">
        <f aca="false">AM23&lt;=$AT23+WAPE_Tol</f>
        <v>1</v>
      </c>
      <c r="AW23" s="29" t="b">
        <f aca="false">AN23&lt;=$AT23+WAPE_Tol</f>
        <v>1</v>
      </c>
      <c r="AX23" s="29" t="b">
        <f aca="false">AO23&lt;=$AT23+WAPE_Tol</f>
        <v>1</v>
      </c>
      <c r="AY23" s="19" t="n">
        <f aca="false">MATCH(TRUE(),AU23:AX23,0)</f>
        <v>2</v>
      </c>
      <c r="AZ23" s="10" t="str">
        <f aca="false">CHOOSE(AY23,"Naive","MA4","MA8","SES")</f>
        <v>MA4</v>
      </c>
      <c r="BA23" s="28" t="n">
        <f aca="false">INDEX(AP23:AS23,AY23)</f>
        <v>7.24376910174508</v>
      </c>
    </row>
    <row r="24" customFormat="false" ht="15" hidden="false" customHeight="false" outlineLevel="0" collapsed="false">
      <c r="A24" s="11" t="str">
        <f aca="false">Inputs!B57</f>
        <v>BTH-008</v>
      </c>
      <c r="B24" s="11" t="str">
        <f aca="false">Inputs!C57</f>
        <v>Chrome Towel Rail</v>
      </c>
      <c r="C24" s="10" t="n">
        <f aca="false">MATCH(A24,Demand_History!$C:$C,0)</f>
        <v>1770</v>
      </c>
      <c r="D24" s="10" t="n">
        <f aca="false">C24+Weeks_History-1</f>
        <v>1873</v>
      </c>
      <c r="E24" s="10" t="n">
        <f aca="false">C24+Eval_Start_Week-1</f>
        <v>1822</v>
      </c>
      <c r="F24" s="10" t="n">
        <f aca="false">C24+Cal_Start_Week-1</f>
        <v>1806</v>
      </c>
      <c r="G24" s="10" t="n">
        <f aca="false">C24+Cal_End_Week-1</f>
        <v>1857</v>
      </c>
      <c r="H24" s="19" t="n">
        <f aca="false">SUM(INDEX(Forecast_Walkforward!$C:$C,$E24):INDEX(Forecast_Walkforward!$C:$C,$D24))</f>
        <v>313</v>
      </c>
      <c r="I24" s="26" t="n">
        <f aca="false">SUM(INDEX(Forecast_Walkforward!$L:$L,$E24):INDEX(Forecast_Walkforward!$L:$L,$D24))/$H24</f>
        <v>0.335463258785943</v>
      </c>
      <c r="J24" s="26" t="n">
        <f aca="false">SUM(INDEX(Forecast_Walkforward!$M:$M,$E24):INDEX(Forecast_Walkforward!$M:$M,$D24))/$H24</f>
        <v>0.320287539936102</v>
      </c>
      <c r="K24" s="26" t="n">
        <f aca="false">SUM(INDEX(Forecast_Walkforward!$N:$N,$E24):INDEX(Forecast_Walkforward!$N:$N,$D24))/$H24</f>
        <v>0.297523961661342</v>
      </c>
      <c r="L24" s="26" t="n">
        <f aca="false">SUM(INDEX(Forecast_Walkforward!$O:$O,$E24):INDEX(Forecast_Walkforward!$O:$O,$D24))/$H24</f>
        <v>0.302809335134387</v>
      </c>
      <c r="M24" s="27" t="n">
        <f aca="false">SUM(INDEX(Forecast_Walkforward!$H:$H,$E24):INDEX(Forecast_Walkforward!$H:$H,$D24))/$H24</f>
        <v>0.00319488817891374</v>
      </c>
      <c r="N24" s="27" t="n">
        <f aca="false">SUM(INDEX(Forecast_Walkforward!$I:$I,$E24):INDEX(Forecast_Walkforward!$I:$I,$D24))/$H24</f>
        <v>-0.00559105431309904</v>
      </c>
      <c r="O24" s="27" t="n">
        <f aca="false">SUM(INDEX(Forecast_Walkforward!$J:$J,$E24):INDEX(Forecast_Walkforward!$J:$J,$D24))/$H24</f>
        <v>-0.0155750798722045</v>
      </c>
      <c r="P24" s="27" t="n">
        <f aca="false">SUM(INDEX(Forecast_Walkforward!$K:$K,$E24):INDEX(Forecast_Walkforward!$K:$K,$D24))/$H24</f>
        <v>-0.0080969580123228</v>
      </c>
      <c r="Q24" s="28" t="n">
        <f aca="false">_xlfn.STDEV.S(INDEX(Forecast_Walkforward!$H:$H,$E24):INDEX(Forecast_Walkforward!$H:$H,$D24))</f>
        <v>2.63825837245312</v>
      </c>
      <c r="R24" s="28" t="n">
        <f aca="false">_xlfn.STDEV.S(INDEX(Forecast_Walkforward!$I:$I,$E24):INDEX(Forecast_Walkforward!$I:$I,$D24))</f>
        <v>2.44349318326276</v>
      </c>
      <c r="S24" s="28" t="n">
        <f aca="false">_xlfn.STDEV.S(INDEX(Forecast_Walkforward!$J:$J,$E24):INDEX(Forecast_Walkforward!$J:$J,$D24))</f>
        <v>2.18700974898533</v>
      </c>
      <c r="T24" s="28" t="n">
        <f aca="false">_xlfn.STDEV.S(INDEX(Forecast_Walkforward!$K:$K,$E24):INDEX(Forecast_Walkforward!$K:$K,$D24))</f>
        <v>2.25673484515998</v>
      </c>
      <c r="U24" s="28" t="n">
        <f aca="false">INDEX(Forecast_Walkforward!$C:$C,$D24)</f>
        <v>5</v>
      </c>
      <c r="V24" s="28" t="n">
        <f aca="false">AVERAGE(INDEX(Forecast_Walkforward!$C:$C,$D24-3):INDEX(Forecast_Walkforward!$C:$C,$D24))</f>
        <v>5.25</v>
      </c>
      <c r="W24" s="28" t="n">
        <f aca="false">AVERAGE(INDEX(Forecast_Walkforward!$C:$C,$D24-7):INDEX(Forecast_Walkforward!$C:$C,$D24))</f>
        <v>6.5</v>
      </c>
      <c r="X24" s="28" t="n">
        <f aca="false">SES_Alpha*INDEX(Forecast_Walkforward!$C:$C,$D24)+(1-SES_Alpha)*INDEX(Forecast_Walkforward!$G:$G,$D24)</f>
        <v>5.78587160361754</v>
      </c>
      <c r="Y24" s="26" t="n">
        <f aca="false">MIN(I24:L24)</f>
        <v>0.297523961661342</v>
      </c>
      <c r="Z24" s="29" t="b">
        <f aca="false">I24&lt;=$Y24+WAPE_Tol</f>
        <v>0</v>
      </c>
      <c r="AA24" s="29" t="b">
        <f aca="false">J24&lt;=$Y24+WAPE_Tol</f>
        <v>0</v>
      </c>
      <c r="AB24" s="29" t="b">
        <f aca="false">K24&lt;=$Y24+WAPE_Tol</f>
        <v>1</v>
      </c>
      <c r="AC24" s="29" t="b">
        <f aca="false">L24&lt;=$Y24+WAPE_Tol</f>
        <v>1</v>
      </c>
      <c r="AD24" s="19" t="n">
        <f aca="false">MATCH(TRUE(),Z24:AC24,0)</f>
        <v>3</v>
      </c>
      <c r="AE24" s="12" t="str">
        <f aca="false">CHOOSE(AD24,"Naive","MA4","MA8","SES")</f>
        <v>MA8</v>
      </c>
      <c r="AF24" s="30" t="n">
        <f aca="false">INDEX(U24:X24,AD24)</f>
        <v>6.5</v>
      </c>
      <c r="AG24" s="26" t="n">
        <f aca="false">INDEX(I24:L24,AD24)</f>
        <v>0.297523961661342</v>
      </c>
      <c r="AH24" s="27" t="n">
        <f aca="false">INDEX(M24:P24,AD24)</f>
        <v>-0.0155750798722045</v>
      </c>
      <c r="AI24" s="28" t="n">
        <f aca="false">INDEX(Q24:T24,AD24)</f>
        <v>2.18700974898533</v>
      </c>
      <c r="AJ24" s="19" t="n">
        <f aca="false">AG24*H24</f>
        <v>93.125</v>
      </c>
      <c r="AK24" s="19" t="n">
        <f aca="false">SUM(INDEX(Forecast_Walkforward!$C:$C,$F24):INDEX(Forecast_Walkforward!$C:$C,$G24))</f>
        <v>302</v>
      </c>
      <c r="AL24" s="26" t="n">
        <f aca="false">SUM(INDEX(Forecast_Walkforward!$L:$L,$F24):INDEX(Forecast_Walkforward!$L:$L,$G24))/$AK24</f>
        <v>0.397350993377483</v>
      </c>
      <c r="AM24" s="26" t="n">
        <f aca="false">SUM(INDEX(Forecast_Walkforward!$M:$M,$F24):INDEX(Forecast_Walkforward!$M:$M,$G24))/$AK24</f>
        <v>0.325331125827815</v>
      </c>
      <c r="AN24" s="26" t="n">
        <f aca="false">SUM(INDEX(Forecast_Walkforward!$N:$N,$F24):INDEX(Forecast_Walkforward!$N:$N,$G24))/$AK24</f>
        <v>0.328228476821192</v>
      </c>
      <c r="AO24" s="26" t="n">
        <f aca="false">SUM(INDEX(Forecast_Walkforward!$O:$O,$F24):INDEX(Forecast_Walkforward!$O:$O,$G24))/$AK24</f>
        <v>0.329821733848084</v>
      </c>
      <c r="AP24" s="28" t="n">
        <f aca="false">_xlfn.STDEV.S(INDEX(Forecast_Walkforward!$H:$H,$F24):INDEX(Forecast_Walkforward!$H:$H,$G24))</f>
        <v>3.11639463730846</v>
      </c>
      <c r="AQ24" s="28" t="n">
        <f aca="false">_xlfn.STDEV.S(INDEX(Forecast_Walkforward!$I:$I,$F24):INDEX(Forecast_Walkforward!$I:$I,$G24))</f>
        <v>2.49495626206612</v>
      </c>
      <c r="AR24" s="28" t="n">
        <f aca="false">_xlfn.STDEV.S(INDEX(Forecast_Walkforward!$J:$J,$F24):INDEX(Forecast_Walkforward!$J:$J,$G24))</f>
        <v>2.39129595260734</v>
      </c>
      <c r="AS24" s="28" t="n">
        <f aca="false">_xlfn.STDEV.S(INDEX(Forecast_Walkforward!$K:$K,$F24):INDEX(Forecast_Walkforward!$K:$K,$G24))</f>
        <v>2.4473789214079</v>
      </c>
      <c r="AT24" s="26" t="n">
        <f aca="false">MIN(AL24:AO24)</f>
        <v>0.325331125827815</v>
      </c>
      <c r="AU24" s="29" t="b">
        <f aca="false">AL24&lt;=$AT24+WAPE_Tol</f>
        <v>0</v>
      </c>
      <c r="AV24" s="29" t="b">
        <f aca="false">AM24&lt;=$AT24+WAPE_Tol</f>
        <v>1</v>
      </c>
      <c r="AW24" s="29" t="b">
        <f aca="false">AN24&lt;=$AT24+WAPE_Tol</f>
        <v>1</v>
      </c>
      <c r="AX24" s="29" t="b">
        <f aca="false">AO24&lt;=$AT24+WAPE_Tol</f>
        <v>1</v>
      </c>
      <c r="AY24" s="19" t="n">
        <f aca="false">MATCH(TRUE(),AU24:AX24,0)</f>
        <v>2</v>
      </c>
      <c r="AZ24" s="10" t="str">
        <f aca="false">CHOOSE(AY24,"Naive","MA4","MA8","SES")</f>
        <v>MA4</v>
      </c>
      <c r="BA24" s="28" t="n">
        <f aca="false">INDEX(AP24:AS24,AY24)</f>
        <v>2.49495626206612</v>
      </c>
    </row>
    <row r="25" customFormat="false" ht="15" hidden="false" customHeight="false" outlineLevel="0" collapsed="false">
      <c r="A25" s="11" t="str">
        <f aca="false">Inputs!B58</f>
        <v>BTH-009</v>
      </c>
      <c r="B25" s="11" t="str">
        <f aca="false">Inputs!C58</f>
        <v>Woven Laundry Basket</v>
      </c>
      <c r="C25" s="10" t="n">
        <f aca="false">MATCH(A25,Demand_History!$C:$C,0)</f>
        <v>1874</v>
      </c>
      <c r="D25" s="10" t="n">
        <f aca="false">C25+Weeks_History-1</f>
        <v>1977</v>
      </c>
      <c r="E25" s="10" t="n">
        <f aca="false">C25+Eval_Start_Week-1</f>
        <v>1926</v>
      </c>
      <c r="F25" s="10" t="n">
        <f aca="false">C25+Cal_Start_Week-1</f>
        <v>1910</v>
      </c>
      <c r="G25" s="10" t="n">
        <f aca="false">C25+Cal_End_Week-1</f>
        <v>1961</v>
      </c>
      <c r="H25" s="19" t="n">
        <f aca="false">SUM(INDEX(Forecast_Walkforward!$C:$C,$E25):INDEX(Forecast_Walkforward!$C:$C,$D25))</f>
        <v>1540</v>
      </c>
      <c r="I25" s="26" t="n">
        <f aca="false">SUM(INDEX(Forecast_Walkforward!$L:$L,$E25):INDEX(Forecast_Walkforward!$L:$L,$D25))/$H25</f>
        <v>0.398051948051948</v>
      </c>
      <c r="J25" s="26" t="n">
        <f aca="false">SUM(INDEX(Forecast_Walkforward!$M:$M,$E25):INDEX(Forecast_Walkforward!$M:$M,$D25))/$H25</f>
        <v>0.326785714285714</v>
      </c>
      <c r="K25" s="26" t="n">
        <f aca="false">SUM(INDEX(Forecast_Walkforward!$N:$N,$E25):INDEX(Forecast_Walkforward!$N:$N,$D25))/$H25</f>
        <v>0.300081168831169</v>
      </c>
      <c r="L25" s="26" t="n">
        <f aca="false">SUM(INDEX(Forecast_Walkforward!$O:$O,$E25):INDEX(Forecast_Walkforward!$O:$O,$D25))/$H25</f>
        <v>0.310486660038245</v>
      </c>
      <c r="M25" s="27" t="n">
        <f aca="false">SUM(INDEX(Forecast_Walkforward!$H:$H,$E25):INDEX(Forecast_Walkforward!$H:$H,$D25))/$H25</f>
        <v>0.00324675324675325</v>
      </c>
      <c r="N25" s="27" t="n">
        <f aca="false">SUM(INDEX(Forecast_Walkforward!$I:$I,$E25):INDEX(Forecast_Walkforward!$I:$I,$D25))/$H25</f>
        <v>-0.00178571428571429</v>
      </c>
      <c r="O25" s="27" t="n">
        <f aca="false">SUM(INDEX(Forecast_Walkforward!$J:$J,$E25):INDEX(Forecast_Walkforward!$J:$J,$D25))/$H25</f>
        <v>-0.00543831168831169</v>
      </c>
      <c r="P25" s="27" t="n">
        <f aca="false">SUM(INDEX(Forecast_Walkforward!$K:$K,$E25):INDEX(Forecast_Walkforward!$K:$K,$D25))/$H25</f>
        <v>-0.00248804384100135</v>
      </c>
      <c r="Q25" s="28" t="n">
        <f aca="false">_xlfn.STDEV.S(INDEX(Forecast_Walkforward!$H:$H,$E25):INDEX(Forecast_Walkforward!$H:$H,$D25))</f>
        <v>13.7431046744727</v>
      </c>
      <c r="R25" s="28" t="n">
        <f aca="false">_xlfn.STDEV.S(INDEX(Forecast_Walkforward!$I:$I,$E25):INDEX(Forecast_Walkforward!$I:$I,$D25))</f>
        <v>11.5396095928351</v>
      </c>
      <c r="S25" s="28" t="n">
        <f aca="false">_xlfn.STDEV.S(INDEX(Forecast_Walkforward!$J:$J,$E25):INDEX(Forecast_Walkforward!$J:$J,$D25))</f>
        <v>10.7869672334093</v>
      </c>
      <c r="T25" s="28" t="n">
        <f aca="false">_xlfn.STDEV.S(INDEX(Forecast_Walkforward!$K:$K,$E25):INDEX(Forecast_Walkforward!$K:$K,$D25))</f>
        <v>10.9850588377451</v>
      </c>
      <c r="U25" s="28" t="n">
        <f aca="false">INDEX(Forecast_Walkforward!$C:$C,$D25)</f>
        <v>23</v>
      </c>
      <c r="V25" s="28" t="n">
        <f aca="false">AVERAGE(INDEX(Forecast_Walkforward!$C:$C,$D25-3):INDEX(Forecast_Walkforward!$C:$C,$D25))</f>
        <v>26</v>
      </c>
      <c r="W25" s="28" t="n">
        <f aca="false">AVERAGE(INDEX(Forecast_Walkforward!$C:$C,$D25-7):INDEX(Forecast_Walkforward!$C:$C,$D25))</f>
        <v>29.125</v>
      </c>
      <c r="X25" s="28" t="n">
        <f aca="false">SES_Alpha*INDEX(Forecast_Walkforward!$C:$C,$D25)+(1-SES_Alpha)*INDEX(Forecast_Walkforward!$G:$G,$D25)</f>
        <v>27.1240100808009</v>
      </c>
      <c r="Y25" s="26" t="n">
        <f aca="false">MIN(I25:L25)</f>
        <v>0.300081168831169</v>
      </c>
      <c r="Z25" s="29" t="b">
        <f aca="false">I25&lt;=$Y25+WAPE_Tol</f>
        <v>0</v>
      </c>
      <c r="AA25" s="29" t="b">
        <f aca="false">J25&lt;=$Y25+WAPE_Tol</f>
        <v>0</v>
      </c>
      <c r="AB25" s="29" t="b">
        <f aca="false">K25&lt;=$Y25+WAPE_Tol</f>
        <v>1</v>
      </c>
      <c r="AC25" s="29" t="b">
        <f aca="false">L25&lt;=$Y25+WAPE_Tol</f>
        <v>0</v>
      </c>
      <c r="AD25" s="19" t="n">
        <f aca="false">MATCH(TRUE(),Z25:AC25,0)</f>
        <v>3</v>
      </c>
      <c r="AE25" s="12" t="str">
        <f aca="false">CHOOSE(AD25,"Naive","MA4","MA8","SES")</f>
        <v>MA8</v>
      </c>
      <c r="AF25" s="30" t="n">
        <f aca="false">INDEX(U25:X25,AD25)</f>
        <v>29.125</v>
      </c>
      <c r="AG25" s="26" t="n">
        <f aca="false">INDEX(I25:L25,AD25)</f>
        <v>0.300081168831169</v>
      </c>
      <c r="AH25" s="27" t="n">
        <f aca="false">INDEX(M25:P25,AD25)</f>
        <v>-0.00543831168831169</v>
      </c>
      <c r="AI25" s="28" t="n">
        <f aca="false">INDEX(Q25:T25,AD25)</f>
        <v>10.7869672334093</v>
      </c>
      <c r="AJ25" s="19" t="n">
        <f aca="false">AG25*H25</f>
        <v>462.125</v>
      </c>
      <c r="AK25" s="19" t="n">
        <f aca="false">SUM(INDEX(Forecast_Walkforward!$C:$C,$F25):INDEX(Forecast_Walkforward!$C:$C,$G25))</f>
        <v>1530</v>
      </c>
      <c r="AL25" s="26" t="n">
        <f aca="false">SUM(INDEX(Forecast_Walkforward!$L:$L,$F25):INDEX(Forecast_Walkforward!$L:$L,$G25))/$AK25</f>
        <v>0.381045751633987</v>
      </c>
      <c r="AM25" s="26" t="n">
        <f aca="false">SUM(INDEX(Forecast_Walkforward!$M:$M,$F25):INDEX(Forecast_Walkforward!$M:$M,$G25))/$AK25</f>
        <v>0.33202614379085</v>
      </c>
      <c r="AN25" s="26" t="n">
        <f aca="false">SUM(INDEX(Forecast_Walkforward!$N:$N,$F25):INDEX(Forecast_Walkforward!$N:$N,$G25))/$AK25</f>
        <v>0.291584967320261</v>
      </c>
      <c r="AO25" s="26" t="n">
        <f aca="false">SUM(INDEX(Forecast_Walkforward!$O:$O,$F25):INDEX(Forecast_Walkforward!$O:$O,$G25))/$AK25</f>
        <v>0.311938229011016</v>
      </c>
      <c r="AP25" s="28" t="n">
        <f aca="false">_xlfn.STDEV.S(INDEX(Forecast_Walkforward!$H:$H,$F25):INDEX(Forecast_Walkforward!$H:$H,$G25))</f>
        <v>13.3137535346913</v>
      </c>
      <c r="AQ25" s="28" t="n">
        <f aca="false">_xlfn.STDEV.S(INDEX(Forecast_Walkforward!$I:$I,$F25):INDEX(Forecast_Walkforward!$I:$I,$G25))</f>
        <v>11.3003064935276</v>
      </c>
      <c r="AR25" s="28" t="n">
        <f aca="false">_xlfn.STDEV.S(INDEX(Forecast_Walkforward!$J:$J,$F25):INDEX(Forecast_Walkforward!$J:$J,$G25))</f>
        <v>10.4821712076205</v>
      </c>
      <c r="AS25" s="28" t="n">
        <f aca="false">_xlfn.STDEV.S(INDEX(Forecast_Walkforward!$K:$K,$F25):INDEX(Forecast_Walkforward!$K:$K,$G25))</f>
        <v>10.7443564892821</v>
      </c>
      <c r="AT25" s="26" t="n">
        <f aca="false">MIN(AL25:AO25)</f>
        <v>0.291584967320261</v>
      </c>
      <c r="AU25" s="29" t="b">
        <f aca="false">AL25&lt;=$AT25+WAPE_Tol</f>
        <v>0</v>
      </c>
      <c r="AV25" s="29" t="b">
        <f aca="false">AM25&lt;=$AT25+WAPE_Tol</f>
        <v>0</v>
      </c>
      <c r="AW25" s="29" t="b">
        <f aca="false">AN25&lt;=$AT25+WAPE_Tol</f>
        <v>1</v>
      </c>
      <c r="AX25" s="29" t="b">
        <f aca="false">AO25&lt;=$AT25+WAPE_Tol</f>
        <v>0</v>
      </c>
      <c r="AY25" s="19" t="n">
        <f aca="false">MATCH(TRUE(),AU25:AX25,0)</f>
        <v>3</v>
      </c>
      <c r="AZ25" s="10" t="str">
        <f aca="false">CHOOSE(AY25,"Naive","MA4","MA8","SES")</f>
        <v>MA8</v>
      </c>
      <c r="BA25" s="28" t="n">
        <f aca="false">INDEX(AP25:AS25,AY25)</f>
        <v>10.4821712076205</v>
      </c>
    </row>
    <row r="26" customFormat="false" ht="15" hidden="false" customHeight="false" outlineLevel="0" collapsed="false">
      <c r="A26" s="11" t="str">
        <f aca="false">Inputs!B59</f>
        <v>BTH-010</v>
      </c>
      <c r="B26" s="11" t="str">
        <f aca="false">Inputs!C59</f>
        <v>Microfibre Hair Towel</v>
      </c>
      <c r="C26" s="10" t="n">
        <f aca="false">MATCH(A26,Demand_History!$C:$C,0)</f>
        <v>1978</v>
      </c>
      <c r="D26" s="10" t="n">
        <f aca="false">C26+Weeks_History-1</f>
        <v>2081</v>
      </c>
      <c r="E26" s="10" t="n">
        <f aca="false">C26+Eval_Start_Week-1</f>
        <v>2030</v>
      </c>
      <c r="F26" s="10" t="n">
        <f aca="false">C26+Cal_Start_Week-1</f>
        <v>2014</v>
      </c>
      <c r="G26" s="10" t="n">
        <f aca="false">C26+Cal_End_Week-1</f>
        <v>2065</v>
      </c>
      <c r="H26" s="19" t="n">
        <f aca="false">SUM(INDEX(Forecast_Walkforward!$C:$C,$E26):INDEX(Forecast_Walkforward!$C:$C,$D26))</f>
        <v>3870</v>
      </c>
      <c r="I26" s="26" t="n">
        <f aca="false">SUM(INDEX(Forecast_Walkforward!$L:$L,$E26):INDEX(Forecast_Walkforward!$L:$L,$D26))/$H26</f>
        <v>0.15297157622739</v>
      </c>
      <c r="J26" s="26" t="n">
        <f aca="false">SUM(INDEX(Forecast_Walkforward!$M:$M,$E26):INDEX(Forecast_Walkforward!$M:$M,$D26))/$H26</f>
        <v>0.106589147286822</v>
      </c>
      <c r="K26" s="26" t="n">
        <f aca="false">SUM(INDEX(Forecast_Walkforward!$N:$N,$E26):INDEX(Forecast_Walkforward!$N:$N,$D26))/$H26</f>
        <v>0.0995801033591731</v>
      </c>
      <c r="L26" s="26" t="n">
        <f aca="false">SUM(INDEX(Forecast_Walkforward!$O:$O,$E26):INDEX(Forecast_Walkforward!$O:$O,$D26))/$H26</f>
        <v>0.105350505240026</v>
      </c>
      <c r="M26" s="27" t="n">
        <f aca="false">SUM(INDEX(Forecast_Walkforward!$H:$H,$E26):INDEX(Forecast_Walkforward!$H:$H,$D26))/$H26</f>
        <v>-0.0118863049095607</v>
      </c>
      <c r="N26" s="27" t="n">
        <f aca="false">SUM(INDEX(Forecast_Walkforward!$I:$I,$E26):INDEX(Forecast_Walkforward!$I:$I,$D26))/$H26</f>
        <v>-0.0131782945736434</v>
      </c>
      <c r="O26" s="27" t="n">
        <f aca="false">SUM(INDEX(Forecast_Walkforward!$J:$J,$E26):INDEX(Forecast_Walkforward!$J:$J,$D26))/$H26</f>
        <v>-0.0220607235142119</v>
      </c>
      <c r="P26" s="27" t="n">
        <f aca="false">SUM(INDEX(Forecast_Walkforward!$K:$K,$E26):INDEX(Forecast_Walkforward!$K:$K,$D26))/$H26</f>
        <v>-0.0182366183013241</v>
      </c>
      <c r="Q26" s="28" t="n">
        <f aca="false">_xlfn.STDEV.S(INDEX(Forecast_Walkforward!$H:$H,$E26):INDEX(Forecast_Walkforward!$H:$H,$D26))</f>
        <v>14.1013889541919</v>
      </c>
      <c r="R26" s="28" t="n">
        <f aca="false">_xlfn.STDEV.S(INDEX(Forecast_Walkforward!$I:$I,$E26):INDEX(Forecast_Walkforward!$I:$I,$D26))</f>
        <v>10.0749454036673</v>
      </c>
      <c r="S26" s="28" t="n">
        <f aca="false">_xlfn.STDEV.S(INDEX(Forecast_Walkforward!$J:$J,$E26):INDEX(Forecast_Walkforward!$J:$J,$D26))</f>
        <v>9.6346885553033</v>
      </c>
      <c r="T26" s="28" t="n">
        <f aca="false">_xlfn.STDEV.S(INDEX(Forecast_Walkforward!$K:$K,$E26):INDEX(Forecast_Walkforward!$K:$K,$D26))</f>
        <v>10.1169421114201</v>
      </c>
      <c r="U26" s="28" t="n">
        <f aca="false">INDEX(Forecast_Walkforward!$C:$C,$D26)</f>
        <v>98</v>
      </c>
      <c r="V26" s="28" t="n">
        <f aca="false">AVERAGE(INDEX(Forecast_Walkforward!$C:$C,$D26-3):INDEX(Forecast_Walkforward!$C:$C,$D26))</f>
        <v>77.5</v>
      </c>
      <c r="W26" s="28" t="n">
        <f aca="false">AVERAGE(INDEX(Forecast_Walkforward!$C:$C,$D26-7):INDEX(Forecast_Walkforward!$C:$C,$D26))</f>
        <v>81</v>
      </c>
      <c r="X26" s="28" t="n">
        <f aca="false">SES_Alpha*INDEX(Forecast_Walkforward!$C:$C,$D26)+(1-SES_Alpha)*INDEX(Forecast_Walkforward!$G:$G,$D26)</f>
        <v>82.6233565361429</v>
      </c>
      <c r="Y26" s="26" t="n">
        <f aca="false">MIN(I26:L26)</f>
        <v>0.0995801033591731</v>
      </c>
      <c r="Z26" s="29" t="b">
        <f aca="false">I26&lt;=$Y26+WAPE_Tol</f>
        <v>0</v>
      </c>
      <c r="AA26" s="29" t="b">
        <f aca="false">J26&lt;=$Y26+WAPE_Tol</f>
        <v>1</v>
      </c>
      <c r="AB26" s="29" t="b">
        <f aca="false">K26&lt;=$Y26+WAPE_Tol</f>
        <v>1</v>
      </c>
      <c r="AC26" s="29" t="b">
        <f aca="false">L26&lt;=$Y26+WAPE_Tol</f>
        <v>1</v>
      </c>
      <c r="AD26" s="19" t="n">
        <f aca="false">MATCH(TRUE(),Z26:AC26,0)</f>
        <v>2</v>
      </c>
      <c r="AE26" s="12" t="str">
        <f aca="false">CHOOSE(AD26,"Naive","MA4","MA8","SES")</f>
        <v>MA4</v>
      </c>
      <c r="AF26" s="30" t="n">
        <f aca="false">INDEX(U26:X26,AD26)</f>
        <v>77.5</v>
      </c>
      <c r="AG26" s="26" t="n">
        <f aca="false">INDEX(I26:L26,AD26)</f>
        <v>0.106589147286822</v>
      </c>
      <c r="AH26" s="27" t="n">
        <f aca="false">INDEX(M26:P26,AD26)</f>
        <v>-0.0131782945736434</v>
      </c>
      <c r="AI26" s="28" t="n">
        <f aca="false">INDEX(Q26:T26,AD26)</f>
        <v>10.0749454036673</v>
      </c>
      <c r="AJ26" s="19" t="n">
        <f aca="false">AG26*H26</f>
        <v>412.5</v>
      </c>
      <c r="AK26" s="19" t="n">
        <f aca="false">SUM(INDEX(Forecast_Walkforward!$C:$C,$F26):INDEX(Forecast_Walkforward!$C:$C,$G26))</f>
        <v>3490</v>
      </c>
      <c r="AL26" s="26" t="n">
        <f aca="false">SUM(INDEX(Forecast_Walkforward!$L:$L,$F26):INDEX(Forecast_Walkforward!$L:$L,$G26))/$AK26</f>
        <v>0.148137535816619</v>
      </c>
      <c r="AM26" s="26" t="n">
        <f aca="false">SUM(INDEX(Forecast_Walkforward!$M:$M,$F26):INDEX(Forecast_Walkforward!$M:$M,$G26))/$AK26</f>
        <v>0.110100286532951</v>
      </c>
      <c r="AN26" s="26" t="n">
        <f aca="false">SUM(INDEX(Forecast_Walkforward!$N:$N,$F26):INDEX(Forecast_Walkforward!$N:$N,$G26))/$AK26</f>
        <v>0.105515759312321</v>
      </c>
      <c r="AO26" s="26" t="n">
        <f aca="false">SUM(INDEX(Forecast_Walkforward!$O:$O,$F26):INDEX(Forecast_Walkforward!$O:$O,$G26))/$AK26</f>
        <v>0.106372014564661</v>
      </c>
      <c r="AP26" s="28" t="n">
        <f aca="false">_xlfn.STDEV.S(INDEX(Forecast_Walkforward!$H:$H,$F26):INDEX(Forecast_Walkforward!$H:$H,$G26))</f>
        <v>12.635673959479</v>
      </c>
      <c r="AQ26" s="28" t="n">
        <f aca="false">_xlfn.STDEV.S(INDEX(Forecast_Walkforward!$I:$I,$F26):INDEX(Forecast_Walkforward!$I:$I,$G26))</f>
        <v>9.38876064011997</v>
      </c>
      <c r="AR26" s="28" t="n">
        <f aca="false">_xlfn.STDEV.S(INDEX(Forecast_Walkforward!$J:$J,$F26):INDEX(Forecast_Walkforward!$J:$J,$G26))</f>
        <v>9.070883091537</v>
      </c>
      <c r="AS26" s="28" t="n">
        <f aca="false">_xlfn.STDEV.S(INDEX(Forecast_Walkforward!$K:$K,$F26):INDEX(Forecast_Walkforward!$K:$K,$G26))</f>
        <v>9.32314724270973</v>
      </c>
      <c r="AT26" s="26" t="n">
        <f aca="false">MIN(AL26:AO26)</f>
        <v>0.105515759312321</v>
      </c>
      <c r="AU26" s="29" t="b">
        <f aca="false">AL26&lt;=$AT26+WAPE_Tol</f>
        <v>0</v>
      </c>
      <c r="AV26" s="29" t="b">
        <f aca="false">AM26&lt;=$AT26+WAPE_Tol</f>
        <v>1</v>
      </c>
      <c r="AW26" s="29" t="b">
        <f aca="false">AN26&lt;=$AT26+WAPE_Tol</f>
        <v>1</v>
      </c>
      <c r="AX26" s="29" t="b">
        <f aca="false">AO26&lt;=$AT26+WAPE_Tol</f>
        <v>1</v>
      </c>
      <c r="AY26" s="19" t="n">
        <f aca="false">MATCH(TRUE(),AU26:AX26,0)</f>
        <v>2</v>
      </c>
      <c r="AZ26" s="10" t="str">
        <f aca="false">CHOOSE(AY26,"Naive","MA4","MA8","SES")</f>
        <v>MA4</v>
      </c>
      <c r="BA26" s="28" t="n">
        <f aca="false">INDEX(AP26:AS26,AY26)</f>
        <v>9.38876064011997</v>
      </c>
    </row>
    <row r="27" customFormat="false" ht="15" hidden="false" customHeight="false" outlineLevel="0" collapsed="false">
      <c r="A27" s="11" t="str">
        <f aca="false">Inputs!B60</f>
        <v>BED-001</v>
      </c>
      <c r="B27" s="11" t="str">
        <f aca="false">Inputs!C60</f>
        <v>All-Season Duvet 135x200</v>
      </c>
      <c r="C27" s="10" t="n">
        <f aca="false">MATCH(A27,Demand_History!$C:$C,0)</f>
        <v>2082</v>
      </c>
      <c r="D27" s="10" t="n">
        <f aca="false">C27+Weeks_History-1</f>
        <v>2185</v>
      </c>
      <c r="E27" s="10" t="n">
        <f aca="false">C27+Eval_Start_Week-1</f>
        <v>2134</v>
      </c>
      <c r="F27" s="10" t="n">
        <f aca="false">C27+Cal_Start_Week-1</f>
        <v>2118</v>
      </c>
      <c r="G27" s="10" t="n">
        <f aca="false">C27+Cal_End_Week-1</f>
        <v>2169</v>
      </c>
      <c r="H27" s="19" t="n">
        <f aca="false">SUM(INDEX(Forecast_Walkforward!$C:$C,$E27):INDEX(Forecast_Walkforward!$C:$C,$D27))</f>
        <v>2069</v>
      </c>
      <c r="I27" s="26" t="n">
        <f aca="false">SUM(INDEX(Forecast_Walkforward!$L:$L,$E27):INDEX(Forecast_Walkforward!$L:$L,$D27))/$H27</f>
        <v>0.116964717254712</v>
      </c>
      <c r="J27" s="26" t="n">
        <f aca="false">SUM(INDEX(Forecast_Walkforward!$M:$M,$E27):INDEX(Forecast_Walkforward!$M:$M,$D27))/$H27</f>
        <v>0.097510874818753</v>
      </c>
      <c r="K27" s="26" t="n">
        <f aca="false">SUM(INDEX(Forecast_Walkforward!$N:$N,$E27):INDEX(Forecast_Walkforward!$N:$N,$D27))/$H27</f>
        <v>0.097450459159014</v>
      </c>
      <c r="L27" s="26" t="n">
        <f aca="false">SUM(INDEX(Forecast_Walkforward!$O:$O,$E27):INDEX(Forecast_Walkforward!$O:$O,$D27))/$H27</f>
        <v>0.0941188107819941</v>
      </c>
      <c r="M27" s="27" t="n">
        <f aca="false">SUM(INDEX(Forecast_Walkforward!$H:$H,$E27):INDEX(Forecast_Walkforward!$H:$H,$D27))/$H27</f>
        <v>-0.00289995166747221</v>
      </c>
      <c r="N27" s="27" t="n">
        <f aca="false">SUM(INDEX(Forecast_Walkforward!$I:$I,$E27):INDEX(Forecast_Walkforward!$I:$I,$D27))/$H27</f>
        <v>-0.00108748187530208</v>
      </c>
      <c r="O27" s="27" t="n">
        <f aca="false">SUM(INDEX(Forecast_Walkforward!$J:$J,$E27):INDEX(Forecast_Walkforward!$J:$J,$D27))/$H27</f>
        <v>-0.0013895601739971</v>
      </c>
      <c r="P27" s="27" t="n">
        <f aca="false">SUM(INDEX(Forecast_Walkforward!$K:$K,$E27):INDEX(Forecast_Walkforward!$K:$K,$D27))/$H27</f>
        <v>-0.0017791674218361</v>
      </c>
      <c r="Q27" s="28" t="n">
        <f aca="false">_xlfn.STDEV.S(INDEX(Forecast_Walkforward!$H:$H,$E27):INDEX(Forecast_Walkforward!$H:$H,$D27))</f>
        <v>5.79605628652978</v>
      </c>
      <c r="R27" s="28" t="n">
        <f aca="false">_xlfn.STDEV.S(INDEX(Forecast_Walkforward!$I:$I,$E27):INDEX(Forecast_Walkforward!$I:$I,$D27))</f>
        <v>4.99748003994242</v>
      </c>
      <c r="S27" s="28" t="n">
        <f aca="false">_xlfn.STDEV.S(INDEX(Forecast_Walkforward!$J:$J,$E27):INDEX(Forecast_Walkforward!$J:$J,$D27))</f>
        <v>5.02002201126546</v>
      </c>
      <c r="T27" s="28" t="n">
        <f aca="false">_xlfn.STDEV.S(INDEX(Forecast_Walkforward!$K:$K,$E27):INDEX(Forecast_Walkforward!$K:$K,$D27))</f>
        <v>4.75445818397427</v>
      </c>
      <c r="U27" s="28" t="n">
        <f aca="false">INDEX(Forecast_Walkforward!$C:$C,$D27)</f>
        <v>38</v>
      </c>
      <c r="V27" s="28" t="n">
        <f aca="false">AVERAGE(INDEX(Forecast_Walkforward!$C:$C,$D27-3):INDEX(Forecast_Walkforward!$C:$C,$D27))</f>
        <v>38</v>
      </c>
      <c r="W27" s="28" t="n">
        <f aca="false">AVERAGE(INDEX(Forecast_Walkforward!$C:$C,$D27-7):INDEX(Forecast_Walkforward!$C:$C,$D27))</f>
        <v>39.625</v>
      </c>
      <c r="X27" s="28" t="n">
        <f aca="false">SES_Alpha*INDEX(Forecast_Walkforward!$C:$C,$D27)+(1-SES_Alpha)*INDEX(Forecast_Walkforward!$G:$G,$D27)</f>
        <v>39.0011390990349</v>
      </c>
      <c r="Y27" s="26" t="n">
        <f aca="false">MIN(I27:L27)</f>
        <v>0.0941188107819941</v>
      </c>
      <c r="Z27" s="29" t="b">
        <f aca="false">I27&lt;=$Y27+WAPE_Tol</f>
        <v>0</v>
      </c>
      <c r="AA27" s="29" t="b">
        <f aca="false">J27&lt;=$Y27+WAPE_Tol</f>
        <v>1</v>
      </c>
      <c r="AB27" s="29" t="b">
        <f aca="false">K27&lt;=$Y27+WAPE_Tol</f>
        <v>1</v>
      </c>
      <c r="AC27" s="29" t="b">
        <f aca="false">L27&lt;=$Y27+WAPE_Tol</f>
        <v>1</v>
      </c>
      <c r="AD27" s="19" t="n">
        <f aca="false">MATCH(TRUE(),Z27:AC27,0)</f>
        <v>2</v>
      </c>
      <c r="AE27" s="12" t="str">
        <f aca="false">CHOOSE(AD27,"Naive","MA4","MA8","SES")</f>
        <v>MA4</v>
      </c>
      <c r="AF27" s="30" t="n">
        <f aca="false">INDEX(U27:X27,AD27)</f>
        <v>38</v>
      </c>
      <c r="AG27" s="26" t="n">
        <f aca="false">INDEX(I27:L27,AD27)</f>
        <v>0.097510874818753</v>
      </c>
      <c r="AH27" s="27" t="n">
        <f aca="false">INDEX(M27:P27,AD27)</f>
        <v>-0.00108748187530208</v>
      </c>
      <c r="AI27" s="28" t="n">
        <f aca="false">INDEX(Q27:T27,AD27)</f>
        <v>4.99748003994242</v>
      </c>
      <c r="AJ27" s="19" t="n">
        <f aca="false">AG27*H27</f>
        <v>201.75</v>
      </c>
      <c r="AK27" s="19" t="n">
        <f aca="false">SUM(INDEX(Forecast_Walkforward!$C:$C,$F27):INDEX(Forecast_Walkforward!$C:$C,$G27))</f>
        <v>2095</v>
      </c>
      <c r="AL27" s="26" t="n">
        <f aca="false">SUM(INDEX(Forecast_Walkforward!$L:$L,$F27):INDEX(Forecast_Walkforward!$L:$L,$G27))/$AK27</f>
        <v>0.144630071599045</v>
      </c>
      <c r="AM27" s="26" t="n">
        <f aca="false">SUM(INDEX(Forecast_Walkforward!$M:$M,$F27):INDEX(Forecast_Walkforward!$M:$M,$G27))/$AK27</f>
        <v>0.113961813842482</v>
      </c>
      <c r="AN27" s="26" t="n">
        <f aca="false">SUM(INDEX(Forecast_Walkforward!$N:$N,$F27):INDEX(Forecast_Walkforward!$N:$N,$G27))/$AK27</f>
        <v>0.11563245823389</v>
      </c>
      <c r="AO27" s="26" t="n">
        <f aca="false">SUM(INDEX(Forecast_Walkforward!$O:$O,$F27):INDEX(Forecast_Walkforward!$O:$O,$G27))/$AK27</f>
        <v>0.116887955247322</v>
      </c>
      <c r="AP27" s="28" t="n">
        <f aca="false">_xlfn.STDEV.S(INDEX(Forecast_Walkforward!$H:$H,$F27):INDEX(Forecast_Walkforward!$H:$H,$G27))</f>
        <v>7.66382168998781</v>
      </c>
      <c r="AQ27" s="28" t="n">
        <f aca="false">_xlfn.STDEV.S(INDEX(Forecast_Walkforward!$I:$I,$F27):INDEX(Forecast_Walkforward!$I:$I,$G27))</f>
        <v>5.8761150702016</v>
      </c>
      <c r="AR27" s="28" t="n">
        <f aca="false">_xlfn.STDEV.S(INDEX(Forecast_Walkforward!$J:$J,$F27):INDEX(Forecast_Walkforward!$J:$J,$G27))</f>
        <v>5.98381505474154</v>
      </c>
      <c r="AS27" s="28" t="n">
        <f aca="false">_xlfn.STDEV.S(INDEX(Forecast_Walkforward!$K:$K,$F27):INDEX(Forecast_Walkforward!$K:$K,$G27))</f>
        <v>6.05110418146147</v>
      </c>
      <c r="AT27" s="26" t="n">
        <f aca="false">MIN(AL27:AO27)</f>
        <v>0.113961813842482</v>
      </c>
      <c r="AU27" s="29" t="b">
        <f aca="false">AL27&lt;=$AT27+WAPE_Tol</f>
        <v>0</v>
      </c>
      <c r="AV27" s="29" t="b">
        <f aca="false">AM27&lt;=$AT27+WAPE_Tol</f>
        <v>1</v>
      </c>
      <c r="AW27" s="29" t="b">
        <f aca="false">AN27&lt;=$AT27+WAPE_Tol</f>
        <v>1</v>
      </c>
      <c r="AX27" s="29" t="b">
        <f aca="false">AO27&lt;=$AT27+WAPE_Tol</f>
        <v>1</v>
      </c>
      <c r="AY27" s="19" t="n">
        <f aca="false">MATCH(TRUE(),AU27:AX27,0)</f>
        <v>2</v>
      </c>
      <c r="AZ27" s="10" t="str">
        <f aca="false">CHOOSE(AY27,"Naive","MA4","MA8","SES")</f>
        <v>MA4</v>
      </c>
      <c r="BA27" s="28" t="n">
        <f aca="false">INDEX(AP27:AS27,AY27)</f>
        <v>5.8761150702016</v>
      </c>
    </row>
    <row r="28" customFormat="false" ht="15" hidden="false" customHeight="false" outlineLevel="0" collapsed="false">
      <c r="A28" s="11" t="str">
        <f aca="false">Inputs!B61</f>
        <v>BED-002</v>
      </c>
      <c r="B28" s="11" t="str">
        <f aca="false">Inputs!C61</f>
        <v>Pillow 80x80 Medium</v>
      </c>
      <c r="C28" s="10" t="n">
        <f aca="false">MATCH(A28,Demand_History!$C:$C,0)</f>
        <v>2186</v>
      </c>
      <c r="D28" s="10" t="n">
        <f aca="false">C28+Weeks_History-1</f>
        <v>2289</v>
      </c>
      <c r="E28" s="10" t="n">
        <f aca="false">C28+Eval_Start_Week-1</f>
        <v>2238</v>
      </c>
      <c r="F28" s="10" t="n">
        <f aca="false">C28+Cal_Start_Week-1</f>
        <v>2222</v>
      </c>
      <c r="G28" s="10" t="n">
        <f aca="false">C28+Cal_End_Week-1</f>
        <v>2273</v>
      </c>
      <c r="H28" s="19" t="n">
        <f aca="false">SUM(INDEX(Forecast_Walkforward!$C:$C,$E28):INDEX(Forecast_Walkforward!$C:$C,$D28))</f>
        <v>4439</v>
      </c>
      <c r="I28" s="26" t="n">
        <f aca="false">SUM(INDEX(Forecast_Walkforward!$L:$L,$E28):INDEX(Forecast_Walkforward!$L:$L,$D28))/$H28</f>
        <v>0.150259067357513</v>
      </c>
      <c r="J28" s="26" t="n">
        <f aca="false">SUM(INDEX(Forecast_Walkforward!$M:$M,$E28):INDEX(Forecast_Walkforward!$M:$M,$D28))/$H28</f>
        <v>0.119734174363595</v>
      </c>
      <c r="K28" s="26" t="n">
        <f aca="false">SUM(INDEX(Forecast_Walkforward!$N:$N,$E28):INDEX(Forecast_Walkforward!$N:$N,$D28))/$H28</f>
        <v>0.105513629195765</v>
      </c>
      <c r="L28" s="26" t="n">
        <f aca="false">SUM(INDEX(Forecast_Walkforward!$O:$O,$E28):INDEX(Forecast_Walkforward!$O:$O,$D28))/$H28</f>
        <v>0.113524524046771</v>
      </c>
      <c r="M28" s="27" t="n">
        <f aca="false">SUM(INDEX(Forecast_Walkforward!$H:$H,$E28):INDEX(Forecast_Walkforward!$H:$H,$D28))/$H28</f>
        <v>0.000225275963054742</v>
      </c>
      <c r="N28" s="27" t="n">
        <f aca="false">SUM(INDEX(Forecast_Walkforward!$I:$I,$E28):INDEX(Forecast_Walkforward!$I:$I,$D28))/$H28</f>
        <v>0.00180220770443794</v>
      </c>
      <c r="O28" s="27" t="n">
        <f aca="false">SUM(INDEX(Forecast_Walkforward!$J:$J,$E28):INDEX(Forecast_Walkforward!$J:$J,$D28))/$H28</f>
        <v>0.00374521288578509</v>
      </c>
      <c r="P28" s="27" t="n">
        <f aca="false">SUM(INDEX(Forecast_Walkforward!$K:$K,$E28):INDEX(Forecast_Walkforward!$K:$K,$D28))/$H28</f>
        <v>0.00179152895026894</v>
      </c>
      <c r="Q28" s="28" t="n">
        <f aca="false">_xlfn.STDEV.S(INDEX(Forecast_Walkforward!$H:$H,$E28):INDEX(Forecast_Walkforward!$H:$H,$D28))</f>
        <v>16.7653826171264</v>
      </c>
      <c r="R28" s="28" t="n">
        <f aca="false">_xlfn.STDEV.S(INDEX(Forecast_Walkforward!$I:$I,$E28):INDEX(Forecast_Walkforward!$I:$I,$D28))</f>
        <v>13.3540727655217</v>
      </c>
      <c r="S28" s="28" t="n">
        <f aca="false">_xlfn.STDEV.S(INDEX(Forecast_Walkforward!$J:$J,$E28):INDEX(Forecast_Walkforward!$J:$J,$D28))</f>
        <v>12.6661364729128</v>
      </c>
      <c r="T28" s="28" t="n">
        <f aca="false">_xlfn.STDEV.S(INDEX(Forecast_Walkforward!$K:$K,$E28):INDEX(Forecast_Walkforward!$K:$K,$D28))</f>
        <v>13.0333565297071</v>
      </c>
      <c r="U28" s="28" t="n">
        <f aca="false">INDEX(Forecast_Walkforward!$C:$C,$D28)</f>
        <v>76</v>
      </c>
      <c r="V28" s="28" t="n">
        <f aca="false">AVERAGE(INDEX(Forecast_Walkforward!$C:$C,$D28-3):INDEX(Forecast_Walkforward!$C:$C,$D28))</f>
        <v>75.5</v>
      </c>
      <c r="W28" s="28" t="n">
        <f aca="false">AVERAGE(INDEX(Forecast_Walkforward!$C:$C,$D28-7):INDEX(Forecast_Walkforward!$C:$C,$D28))</f>
        <v>78.625</v>
      </c>
      <c r="X28" s="28" t="n">
        <f aca="false">SES_Alpha*INDEX(Forecast_Walkforward!$C:$C,$D28)+(1-SES_Alpha)*INDEX(Forecast_Walkforward!$G:$G,$D28)</f>
        <v>77.5472446277452</v>
      </c>
      <c r="Y28" s="26" t="n">
        <f aca="false">MIN(I28:L28)</f>
        <v>0.105513629195765</v>
      </c>
      <c r="Z28" s="29" t="b">
        <f aca="false">I28&lt;=$Y28+WAPE_Tol</f>
        <v>0</v>
      </c>
      <c r="AA28" s="29" t="b">
        <f aca="false">J28&lt;=$Y28+WAPE_Tol</f>
        <v>0</v>
      </c>
      <c r="AB28" s="29" t="b">
        <f aca="false">K28&lt;=$Y28+WAPE_Tol</f>
        <v>1</v>
      </c>
      <c r="AC28" s="29" t="b">
        <f aca="false">L28&lt;=$Y28+WAPE_Tol</f>
        <v>1</v>
      </c>
      <c r="AD28" s="19" t="n">
        <f aca="false">MATCH(TRUE(),Z28:AC28,0)</f>
        <v>3</v>
      </c>
      <c r="AE28" s="12" t="str">
        <f aca="false">CHOOSE(AD28,"Naive","MA4","MA8","SES")</f>
        <v>MA8</v>
      </c>
      <c r="AF28" s="30" t="n">
        <f aca="false">INDEX(U28:X28,AD28)</f>
        <v>78.625</v>
      </c>
      <c r="AG28" s="26" t="n">
        <f aca="false">INDEX(I28:L28,AD28)</f>
        <v>0.105513629195765</v>
      </c>
      <c r="AH28" s="27" t="n">
        <f aca="false">INDEX(M28:P28,AD28)</f>
        <v>0.00374521288578509</v>
      </c>
      <c r="AI28" s="28" t="n">
        <f aca="false">INDEX(Q28:T28,AD28)</f>
        <v>12.6661364729128</v>
      </c>
      <c r="AJ28" s="19" t="n">
        <f aca="false">AG28*H28</f>
        <v>468.375</v>
      </c>
      <c r="AK28" s="19" t="n">
        <f aca="false">SUM(INDEX(Forecast_Walkforward!$C:$C,$F28):INDEX(Forecast_Walkforward!$C:$C,$G28))</f>
        <v>4383</v>
      </c>
      <c r="AL28" s="26" t="n">
        <f aca="false">SUM(INDEX(Forecast_Walkforward!$L:$L,$F28):INDEX(Forecast_Walkforward!$L:$L,$G28))/$AK28</f>
        <v>0.140543007072781</v>
      </c>
      <c r="AM28" s="26" t="n">
        <f aca="false">SUM(INDEX(Forecast_Walkforward!$M:$M,$F28):INDEX(Forecast_Walkforward!$M:$M,$G28))/$AK28</f>
        <v>0.115217887291809</v>
      </c>
      <c r="AN28" s="26" t="n">
        <f aca="false">SUM(INDEX(Forecast_Walkforward!$N:$N,$F28):INDEX(Forecast_Walkforward!$N:$N,$G28))/$AK28</f>
        <v>0.0981063198722336</v>
      </c>
      <c r="AO28" s="26" t="n">
        <f aca="false">SUM(INDEX(Forecast_Walkforward!$O:$O,$F28):INDEX(Forecast_Walkforward!$O:$O,$G28))/$AK28</f>
        <v>0.107350588795414</v>
      </c>
      <c r="AP28" s="28" t="n">
        <f aca="false">_xlfn.STDEV.S(INDEX(Forecast_Walkforward!$H:$H,$F28):INDEX(Forecast_Walkforward!$H:$H,$G28))</f>
        <v>14.8323969741913</v>
      </c>
      <c r="AQ28" s="28" t="n">
        <f aca="false">_xlfn.STDEV.S(INDEX(Forecast_Walkforward!$I:$I,$F28):INDEX(Forecast_Walkforward!$I:$I,$G28))</f>
        <v>12.2785627545837</v>
      </c>
      <c r="AR28" s="28" t="n">
        <f aca="false">_xlfn.STDEV.S(INDEX(Forecast_Walkforward!$J:$J,$F28):INDEX(Forecast_Walkforward!$J:$J,$G28))</f>
        <v>11.2736177429242</v>
      </c>
      <c r="AS28" s="28" t="n">
        <f aca="false">_xlfn.STDEV.S(INDEX(Forecast_Walkforward!$K:$K,$F28):INDEX(Forecast_Walkforward!$K:$K,$G28))</f>
        <v>11.8982791700383</v>
      </c>
      <c r="AT28" s="26" t="n">
        <f aca="false">MIN(AL28:AO28)</f>
        <v>0.0981063198722336</v>
      </c>
      <c r="AU28" s="29" t="b">
        <f aca="false">AL28&lt;=$AT28+WAPE_Tol</f>
        <v>0</v>
      </c>
      <c r="AV28" s="29" t="b">
        <f aca="false">AM28&lt;=$AT28+WAPE_Tol</f>
        <v>0</v>
      </c>
      <c r="AW28" s="29" t="b">
        <f aca="false">AN28&lt;=$AT28+WAPE_Tol</f>
        <v>1</v>
      </c>
      <c r="AX28" s="29" t="b">
        <f aca="false">AO28&lt;=$AT28+WAPE_Tol</f>
        <v>1</v>
      </c>
      <c r="AY28" s="19" t="n">
        <f aca="false">MATCH(TRUE(),AU28:AX28,0)</f>
        <v>3</v>
      </c>
      <c r="AZ28" s="10" t="str">
        <f aca="false">CHOOSE(AY28,"Naive","MA4","MA8","SES")</f>
        <v>MA8</v>
      </c>
      <c r="BA28" s="28" t="n">
        <f aca="false">INDEX(AP28:AS28,AY28)</f>
        <v>11.2736177429242</v>
      </c>
    </row>
    <row r="29" customFormat="false" ht="15" hidden="false" customHeight="false" outlineLevel="0" collapsed="false">
      <c r="A29" s="11" t="str">
        <f aca="false">Inputs!B62</f>
        <v>BED-003</v>
      </c>
      <c r="B29" s="11" t="str">
        <f aca="false">Inputs!C62</f>
        <v>Cotton Bed Linen Set Grey</v>
      </c>
      <c r="C29" s="10" t="n">
        <f aca="false">MATCH(A29,Demand_History!$C:$C,0)</f>
        <v>2290</v>
      </c>
      <c r="D29" s="10" t="n">
        <f aca="false">C29+Weeks_History-1</f>
        <v>2393</v>
      </c>
      <c r="E29" s="10" t="n">
        <f aca="false">C29+Eval_Start_Week-1</f>
        <v>2342</v>
      </c>
      <c r="F29" s="10" t="n">
        <f aca="false">C29+Cal_Start_Week-1</f>
        <v>2326</v>
      </c>
      <c r="G29" s="10" t="n">
        <f aca="false">C29+Cal_End_Week-1</f>
        <v>2377</v>
      </c>
      <c r="H29" s="19" t="n">
        <f aca="false">SUM(INDEX(Forecast_Walkforward!$C:$C,$E29):INDEX(Forecast_Walkforward!$C:$C,$D29))</f>
        <v>2745</v>
      </c>
      <c r="I29" s="26" t="n">
        <f aca="false">SUM(INDEX(Forecast_Walkforward!$L:$L,$E29):INDEX(Forecast_Walkforward!$L:$L,$D29))/$H29</f>
        <v>0.437887067395264</v>
      </c>
      <c r="J29" s="26" t="n">
        <f aca="false">SUM(INDEX(Forecast_Walkforward!$M:$M,$E29):INDEX(Forecast_Walkforward!$M:$M,$D29))/$H29</f>
        <v>0.376138433515483</v>
      </c>
      <c r="K29" s="26" t="n">
        <f aca="false">SUM(INDEX(Forecast_Walkforward!$N:$N,$E29):INDEX(Forecast_Walkforward!$N:$N,$D29))/$H29</f>
        <v>0.350865209471767</v>
      </c>
      <c r="L29" s="26" t="n">
        <f aca="false">SUM(INDEX(Forecast_Walkforward!$O:$O,$E29):INDEX(Forecast_Walkforward!$O:$O,$D29))/$H29</f>
        <v>0.351402761352809</v>
      </c>
      <c r="M29" s="27" t="n">
        <f aca="false">SUM(INDEX(Forecast_Walkforward!$H:$H,$E29):INDEX(Forecast_Walkforward!$H:$H,$D29))/$H29</f>
        <v>-0.010200364298725</v>
      </c>
      <c r="N29" s="27" t="n">
        <f aca="false">SUM(INDEX(Forecast_Walkforward!$I:$I,$E29):INDEX(Forecast_Walkforward!$I:$I,$D29))/$H29</f>
        <v>0.000910746812386157</v>
      </c>
      <c r="O29" s="27" t="n">
        <f aca="false">SUM(INDEX(Forecast_Walkforward!$J:$J,$E29):INDEX(Forecast_Walkforward!$J:$J,$D29))/$H29</f>
        <v>-0.00314207650273224</v>
      </c>
      <c r="P29" s="27" t="n">
        <f aca="false">SUM(INDEX(Forecast_Walkforward!$K:$K,$E29):INDEX(Forecast_Walkforward!$K:$K,$D29))/$H29</f>
        <v>-0.0032437275534847</v>
      </c>
      <c r="Q29" s="28" t="n">
        <f aca="false">_xlfn.STDEV.S(INDEX(Forecast_Walkforward!$H:$H,$E29):INDEX(Forecast_Walkforward!$H:$H,$D29))</f>
        <v>27.8831325345569</v>
      </c>
      <c r="R29" s="28" t="n">
        <f aca="false">_xlfn.STDEV.S(INDEX(Forecast_Walkforward!$I:$I,$E29):INDEX(Forecast_Walkforward!$I:$I,$D29))</f>
        <v>23.4067318151953</v>
      </c>
      <c r="S29" s="28" t="n">
        <f aca="false">_xlfn.STDEV.S(INDEX(Forecast_Walkforward!$J:$J,$E29):INDEX(Forecast_Walkforward!$J:$J,$D29))</f>
        <v>22.0817432070015</v>
      </c>
      <c r="T29" s="28" t="n">
        <f aca="false">_xlfn.STDEV.S(INDEX(Forecast_Walkforward!$K:$K,$E29):INDEX(Forecast_Walkforward!$K:$K,$D29))</f>
        <v>22.0855069546656</v>
      </c>
      <c r="U29" s="28" t="n">
        <f aca="false">INDEX(Forecast_Walkforward!$C:$C,$D29)</f>
        <v>62</v>
      </c>
      <c r="V29" s="28" t="n">
        <f aca="false">AVERAGE(INDEX(Forecast_Walkforward!$C:$C,$D29-3):INDEX(Forecast_Walkforward!$C:$C,$D29))</f>
        <v>49</v>
      </c>
      <c r="W29" s="28" t="n">
        <f aca="false">AVERAGE(INDEX(Forecast_Walkforward!$C:$C,$D29-7):INDEX(Forecast_Walkforward!$C:$C,$D29))</f>
        <v>57.625</v>
      </c>
      <c r="X29" s="28" t="n">
        <f aca="false">SES_Alpha*INDEX(Forecast_Walkforward!$C:$C,$D29)+(1-SES_Alpha)*INDEX(Forecast_Walkforward!$G:$G,$D29)</f>
        <v>53.1885812578398</v>
      </c>
      <c r="Y29" s="26" t="n">
        <f aca="false">MIN(I29:L29)</f>
        <v>0.350865209471767</v>
      </c>
      <c r="Z29" s="29" t="b">
        <f aca="false">I29&lt;=$Y29+WAPE_Tol</f>
        <v>0</v>
      </c>
      <c r="AA29" s="29" t="b">
        <f aca="false">J29&lt;=$Y29+WAPE_Tol</f>
        <v>0</v>
      </c>
      <c r="AB29" s="29" t="b">
        <f aca="false">K29&lt;=$Y29+WAPE_Tol</f>
        <v>1</v>
      </c>
      <c r="AC29" s="29" t="b">
        <f aca="false">L29&lt;=$Y29+WAPE_Tol</f>
        <v>1</v>
      </c>
      <c r="AD29" s="19" t="n">
        <f aca="false">MATCH(TRUE(),Z29:AC29,0)</f>
        <v>3</v>
      </c>
      <c r="AE29" s="12" t="str">
        <f aca="false">CHOOSE(AD29,"Naive","MA4","MA8","SES")</f>
        <v>MA8</v>
      </c>
      <c r="AF29" s="30" t="n">
        <f aca="false">INDEX(U29:X29,AD29)</f>
        <v>57.625</v>
      </c>
      <c r="AG29" s="26" t="n">
        <f aca="false">INDEX(I29:L29,AD29)</f>
        <v>0.350865209471767</v>
      </c>
      <c r="AH29" s="27" t="n">
        <f aca="false">INDEX(M29:P29,AD29)</f>
        <v>-0.00314207650273224</v>
      </c>
      <c r="AI29" s="28" t="n">
        <f aca="false">INDEX(Q29:T29,AD29)</f>
        <v>22.0817432070015</v>
      </c>
      <c r="AJ29" s="19" t="n">
        <f aca="false">AG29*H29</f>
        <v>963.125</v>
      </c>
      <c r="AK29" s="19" t="n">
        <f aca="false">SUM(INDEX(Forecast_Walkforward!$C:$C,$F29):INDEX(Forecast_Walkforward!$C:$C,$G29))</f>
        <v>2654</v>
      </c>
      <c r="AL29" s="26" t="n">
        <f aca="false">SUM(INDEX(Forecast_Walkforward!$L:$L,$F29):INDEX(Forecast_Walkforward!$L:$L,$G29))/$AK29</f>
        <v>0.513187641296157</v>
      </c>
      <c r="AM29" s="26" t="n">
        <f aca="false">SUM(INDEX(Forecast_Walkforward!$M:$M,$F29):INDEX(Forecast_Walkforward!$M:$M,$G29))/$AK29</f>
        <v>0.41767143933685</v>
      </c>
      <c r="AN29" s="26" t="n">
        <f aca="false">SUM(INDEX(Forecast_Walkforward!$N:$N,$F29):INDEX(Forecast_Walkforward!$N:$N,$G29))/$AK29</f>
        <v>0.383995855312736</v>
      </c>
      <c r="AO29" s="26" t="n">
        <f aca="false">SUM(INDEX(Forecast_Walkforward!$O:$O,$F29):INDEX(Forecast_Walkforward!$O:$O,$G29))/$AK29</f>
        <v>0.39485511926139</v>
      </c>
      <c r="AP29" s="28" t="n">
        <f aca="false">_xlfn.STDEV.S(INDEX(Forecast_Walkforward!$H:$H,$F29):INDEX(Forecast_Walkforward!$H:$H,$G29))</f>
        <v>31.5187224400576</v>
      </c>
      <c r="AQ29" s="28" t="n">
        <f aca="false">_xlfn.STDEV.S(INDEX(Forecast_Walkforward!$I:$I,$F29):INDEX(Forecast_Walkforward!$I:$I,$G29))</f>
        <v>25.5903763992129</v>
      </c>
      <c r="AR29" s="28" t="n">
        <f aca="false">_xlfn.STDEV.S(INDEX(Forecast_Walkforward!$J:$J,$F29):INDEX(Forecast_Walkforward!$J:$J,$G29))</f>
        <v>23.8478558540747</v>
      </c>
      <c r="AS29" s="28" t="n">
        <f aca="false">_xlfn.STDEV.S(INDEX(Forecast_Walkforward!$K:$K,$F29):INDEX(Forecast_Walkforward!$K:$K,$G29))</f>
        <v>24.2567817878896</v>
      </c>
      <c r="AT29" s="26" t="n">
        <f aca="false">MIN(AL29:AO29)</f>
        <v>0.383995855312736</v>
      </c>
      <c r="AU29" s="29" t="b">
        <f aca="false">AL29&lt;=$AT29+WAPE_Tol</f>
        <v>0</v>
      </c>
      <c r="AV29" s="29" t="b">
        <f aca="false">AM29&lt;=$AT29+WAPE_Tol</f>
        <v>0</v>
      </c>
      <c r="AW29" s="29" t="b">
        <f aca="false">AN29&lt;=$AT29+WAPE_Tol</f>
        <v>1</v>
      </c>
      <c r="AX29" s="29" t="b">
        <f aca="false">AO29&lt;=$AT29+WAPE_Tol</f>
        <v>0</v>
      </c>
      <c r="AY29" s="19" t="n">
        <f aca="false">MATCH(TRUE(),AU29:AX29,0)</f>
        <v>3</v>
      </c>
      <c r="AZ29" s="10" t="str">
        <f aca="false">CHOOSE(AY29,"Naive","MA4","MA8","SES")</f>
        <v>MA8</v>
      </c>
      <c r="BA29" s="28" t="n">
        <f aca="false">INDEX(AP29:AS29,AY29)</f>
        <v>23.8478558540747</v>
      </c>
    </row>
    <row r="30" customFormat="false" ht="15" hidden="false" customHeight="false" outlineLevel="0" collapsed="false">
      <c r="A30" s="11" t="str">
        <f aca="false">Inputs!B63</f>
        <v>BED-004</v>
      </c>
      <c r="B30" s="11" t="str">
        <f aca="false">Inputs!C63</f>
        <v>Fitted Sheet 180x200</v>
      </c>
      <c r="C30" s="10" t="n">
        <f aca="false">MATCH(A30,Demand_History!$C:$C,0)</f>
        <v>2394</v>
      </c>
      <c r="D30" s="10" t="n">
        <f aca="false">C30+Weeks_History-1</f>
        <v>2497</v>
      </c>
      <c r="E30" s="10" t="n">
        <f aca="false">C30+Eval_Start_Week-1</f>
        <v>2446</v>
      </c>
      <c r="F30" s="10" t="n">
        <f aca="false">C30+Cal_Start_Week-1</f>
        <v>2430</v>
      </c>
      <c r="G30" s="10" t="n">
        <f aca="false">C30+Cal_End_Week-1</f>
        <v>2481</v>
      </c>
      <c r="H30" s="19" t="n">
        <f aca="false">SUM(INDEX(Forecast_Walkforward!$C:$C,$E30):INDEX(Forecast_Walkforward!$C:$C,$D30))</f>
        <v>3461</v>
      </c>
      <c r="I30" s="26" t="n">
        <f aca="false">SUM(INDEX(Forecast_Walkforward!$L:$L,$E30):INDEX(Forecast_Walkforward!$L:$L,$D30))/$H30</f>
        <v>0.157180005778677</v>
      </c>
      <c r="J30" s="26" t="n">
        <f aca="false">SUM(INDEX(Forecast_Walkforward!$M:$M,$E30):INDEX(Forecast_Walkforward!$M:$M,$D30))/$H30</f>
        <v>0.123158046807281</v>
      </c>
      <c r="K30" s="26" t="n">
        <f aca="false">SUM(INDEX(Forecast_Walkforward!$N:$N,$E30):INDEX(Forecast_Walkforward!$N:$N,$D30))/$H30</f>
        <v>0.113514880092459</v>
      </c>
      <c r="L30" s="26" t="n">
        <f aca="false">SUM(INDEX(Forecast_Walkforward!$O:$O,$E30):INDEX(Forecast_Walkforward!$O:$O,$D30))/$H30</f>
        <v>0.117698706162912</v>
      </c>
      <c r="M30" s="27" t="n">
        <f aca="false">SUM(INDEX(Forecast_Walkforward!$H:$H,$E30):INDEX(Forecast_Walkforward!$H:$H,$D30))/$H30</f>
        <v>-0.00288933834151979</v>
      </c>
      <c r="N30" s="27" t="n">
        <f aca="false">SUM(INDEX(Forecast_Walkforward!$I:$I,$E30):INDEX(Forecast_Walkforward!$I:$I,$D30))/$H30</f>
        <v>-0.013363189829529</v>
      </c>
      <c r="O30" s="27" t="n">
        <f aca="false">SUM(INDEX(Forecast_Walkforward!$J:$J,$E30):INDEX(Forecast_Walkforward!$J:$J,$D30))/$H30</f>
        <v>-0.0258234614273331</v>
      </c>
      <c r="P30" s="27" t="n">
        <f aca="false">SUM(INDEX(Forecast_Walkforward!$K:$K,$E30):INDEX(Forecast_Walkforward!$K:$K,$D30))/$H30</f>
        <v>-0.0187686617192285</v>
      </c>
      <c r="Q30" s="28" t="n">
        <f aca="false">_xlfn.STDEV.S(INDEX(Forecast_Walkforward!$H:$H,$E30):INDEX(Forecast_Walkforward!$H:$H,$D30))</f>
        <v>13.6008051398617</v>
      </c>
      <c r="R30" s="28" t="n">
        <f aca="false">_xlfn.STDEV.S(INDEX(Forecast_Walkforward!$I:$I,$E30):INDEX(Forecast_Walkforward!$I:$I,$D30))</f>
        <v>10.5788835938395</v>
      </c>
      <c r="S30" s="28" t="n">
        <f aca="false">_xlfn.STDEV.S(INDEX(Forecast_Walkforward!$J:$J,$E30):INDEX(Forecast_Walkforward!$J:$J,$D30))</f>
        <v>9.61150617009858</v>
      </c>
      <c r="T30" s="28" t="n">
        <f aca="false">_xlfn.STDEV.S(INDEX(Forecast_Walkforward!$K:$K,$E30):INDEX(Forecast_Walkforward!$K:$K,$D30))</f>
        <v>10.2220900612817</v>
      </c>
      <c r="U30" s="28" t="n">
        <f aca="false">INDEX(Forecast_Walkforward!$C:$C,$D30)</f>
        <v>73</v>
      </c>
      <c r="V30" s="28" t="n">
        <f aca="false">AVERAGE(INDEX(Forecast_Walkforward!$C:$C,$D30-3):INDEX(Forecast_Walkforward!$C:$C,$D30))</f>
        <v>81.25</v>
      </c>
      <c r="W30" s="28" t="n">
        <f aca="false">AVERAGE(INDEX(Forecast_Walkforward!$C:$C,$D30-7):INDEX(Forecast_Walkforward!$C:$C,$D30))</f>
        <v>77.375</v>
      </c>
      <c r="X30" s="28" t="n">
        <f aca="false">SES_Alpha*INDEX(Forecast_Walkforward!$C:$C,$D30)+(1-SES_Alpha)*INDEX(Forecast_Walkforward!$G:$G,$D30)</f>
        <v>78.9938607508602</v>
      </c>
      <c r="Y30" s="26" t="n">
        <f aca="false">MIN(I30:L30)</f>
        <v>0.113514880092459</v>
      </c>
      <c r="Z30" s="29" t="b">
        <f aca="false">I30&lt;=$Y30+WAPE_Tol</f>
        <v>0</v>
      </c>
      <c r="AA30" s="29" t="b">
        <f aca="false">J30&lt;=$Y30+WAPE_Tol</f>
        <v>1</v>
      </c>
      <c r="AB30" s="29" t="b">
        <f aca="false">K30&lt;=$Y30+WAPE_Tol</f>
        <v>1</v>
      </c>
      <c r="AC30" s="29" t="b">
        <f aca="false">L30&lt;=$Y30+WAPE_Tol</f>
        <v>1</v>
      </c>
      <c r="AD30" s="19" t="n">
        <f aca="false">MATCH(TRUE(),Z30:AC30,0)</f>
        <v>2</v>
      </c>
      <c r="AE30" s="12" t="str">
        <f aca="false">CHOOSE(AD30,"Naive","MA4","MA8","SES")</f>
        <v>MA4</v>
      </c>
      <c r="AF30" s="30" t="n">
        <f aca="false">INDEX(U30:X30,AD30)</f>
        <v>81.25</v>
      </c>
      <c r="AG30" s="26" t="n">
        <f aca="false">INDEX(I30:L30,AD30)</f>
        <v>0.123158046807281</v>
      </c>
      <c r="AH30" s="27" t="n">
        <f aca="false">INDEX(M30:P30,AD30)</f>
        <v>-0.013363189829529</v>
      </c>
      <c r="AI30" s="28" t="n">
        <f aca="false">INDEX(Q30:T30,AD30)</f>
        <v>10.5788835938395</v>
      </c>
      <c r="AJ30" s="19" t="n">
        <f aca="false">AG30*H30</f>
        <v>426.25</v>
      </c>
      <c r="AK30" s="19" t="n">
        <f aca="false">SUM(INDEX(Forecast_Walkforward!$C:$C,$F30):INDEX(Forecast_Walkforward!$C:$C,$G30))</f>
        <v>3085</v>
      </c>
      <c r="AL30" s="26" t="n">
        <f aca="false">SUM(INDEX(Forecast_Walkforward!$L:$L,$F30):INDEX(Forecast_Walkforward!$L:$L,$G30))/$AK30</f>
        <v>0.155267423014587</v>
      </c>
      <c r="AM30" s="26" t="n">
        <f aca="false">SUM(INDEX(Forecast_Walkforward!$M:$M,$F30):INDEX(Forecast_Walkforward!$M:$M,$G30))/$AK30</f>
        <v>0.132658022690438</v>
      </c>
      <c r="AN30" s="26" t="n">
        <f aca="false">SUM(INDEX(Forecast_Walkforward!$N:$N,$F30):INDEX(Forecast_Walkforward!$N:$N,$G30))/$AK30</f>
        <v>0.120988654781199</v>
      </c>
      <c r="AO30" s="26" t="n">
        <f aca="false">SUM(INDEX(Forecast_Walkforward!$O:$O,$F30):INDEX(Forecast_Walkforward!$O:$O,$G30))/$AK30</f>
        <v>0.124184979281853</v>
      </c>
      <c r="AP30" s="28" t="n">
        <f aca="false">_xlfn.STDEV.S(INDEX(Forecast_Walkforward!$H:$H,$F30):INDEX(Forecast_Walkforward!$H:$H,$G30))</f>
        <v>11.6448675894778</v>
      </c>
      <c r="AQ30" s="28" t="n">
        <f aca="false">_xlfn.STDEV.S(INDEX(Forecast_Walkforward!$I:$I,$F30):INDEX(Forecast_Walkforward!$I:$I,$G30))</f>
        <v>9.53161539924662</v>
      </c>
      <c r="AR30" s="28" t="n">
        <f aca="false">_xlfn.STDEV.S(INDEX(Forecast_Walkforward!$J:$J,$F30):INDEX(Forecast_Walkforward!$J:$J,$G30))</f>
        <v>8.83544122733832</v>
      </c>
      <c r="AS30" s="28" t="n">
        <f aca="false">_xlfn.STDEV.S(INDEX(Forecast_Walkforward!$K:$K,$F30):INDEX(Forecast_Walkforward!$K:$K,$G30))</f>
        <v>9.13251353860897</v>
      </c>
      <c r="AT30" s="26" t="n">
        <f aca="false">MIN(AL30:AO30)</f>
        <v>0.120988654781199</v>
      </c>
      <c r="AU30" s="29" t="b">
        <f aca="false">AL30&lt;=$AT30+WAPE_Tol</f>
        <v>0</v>
      </c>
      <c r="AV30" s="29" t="b">
        <f aca="false">AM30&lt;=$AT30+WAPE_Tol</f>
        <v>0</v>
      </c>
      <c r="AW30" s="29" t="b">
        <f aca="false">AN30&lt;=$AT30+WAPE_Tol</f>
        <v>1</v>
      </c>
      <c r="AX30" s="29" t="b">
        <f aca="false">AO30&lt;=$AT30+WAPE_Tol</f>
        <v>1</v>
      </c>
      <c r="AY30" s="19" t="n">
        <f aca="false">MATCH(TRUE(),AU30:AX30,0)</f>
        <v>3</v>
      </c>
      <c r="AZ30" s="10" t="str">
        <f aca="false">CHOOSE(AY30,"Naive","MA4","MA8","SES")</f>
        <v>MA8</v>
      </c>
      <c r="BA30" s="28" t="n">
        <f aca="false">INDEX(AP30:AS30,AY30)</f>
        <v>8.83544122733832</v>
      </c>
    </row>
    <row r="31" customFormat="false" ht="15" hidden="false" customHeight="false" outlineLevel="0" collapsed="false">
      <c r="A31" s="11" t="str">
        <f aca="false">Inputs!B64</f>
        <v>BED-005</v>
      </c>
      <c r="B31" s="11" t="str">
        <f aca="false">Inputs!C64</f>
        <v>Weighted Blanket 7kg</v>
      </c>
      <c r="C31" s="10" t="n">
        <f aca="false">MATCH(A31,Demand_History!$C:$C,0)</f>
        <v>2498</v>
      </c>
      <c r="D31" s="10" t="n">
        <f aca="false">C31+Weeks_History-1</f>
        <v>2601</v>
      </c>
      <c r="E31" s="10" t="n">
        <f aca="false">C31+Eval_Start_Week-1</f>
        <v>2550</v>
      </c>
      <c r="F31" s="10" t="n">
        <f aca="false">C31+Cal_Start_Week-1</f>
        <v>2534</v>
      </c>
      <c r="G31" s="10" t="n">
        <f aca="false">C31+Cal_End_Week-1</f>
        <v>2585</v>
      </c>
      <c r="H31" s="19" t="n">
        <f aca="false">SUM(INDEX(Forecast_Walkforward!$C:$C,$E31):INDEX(Forecast_Walkforward!$C:$C,$D31))</f>
        <v>778</v>
      </c>
      <c r="I31" s="26" t="n">
        <f aca="false">SUM(INDEX(Forecast_Walkforward!$L:$L,$E31):INDEX(Forecast_Walkforward!$L:$L,$D31))/$H31</f>
        <v>0.179948586118252</v>
      </c>
      <c r="J31" s="26" t="n">
        <f aca="false">SUM(INDEX(Forecast_Walkforward!$M:$M,$E31):INDEX(Forecast_Walkforward!$M:$M,$D31))/$H31</f>
        <v>0.133354755784062</v>
      </c>
      <c r="K31" s="26" t="n">
        <f aca="false">SUM(INDEX(Forecast_Walkforward!$N:$N,$E31):INDEX(Forecast_Walkforward!$N:$N,$D31))/$H31</f>
        <v>0.132230077120823</v>
      </c>
      <c r="L31" s="26" t="n">
        <f aca="false">SUM(INDEX(Forecast_Walkforward!$O:$O,$E31):INDEX(Forecast_Walkforward!$O:$O,$D31))/$H31</f>
        <v>0.133713582411416</v>
      </c>
      <c r="M31" s="27" t="n">
        <f aca="false">SUM(INDEX(Forecast_Walkforward!$H:$H,$E31):INDEX(Forecast_Walkforward!$H:$H,$D31))/$H31</f>
        <v>0.0051413881748072</v>
      </c>
      <c r="N31" s="27" t="n">
        <f aca="false">SUM(INDEX(Forecast_Walkforward!$I:$I,$E31):INDEX(Forecast_Walkforward!$I:$I,$D31))/$H31</f>
        <v>0.0196015424164524</v>
      </c>
      <c r="O31" s="27" t="n">
        <f aca="false">SUM(INDEX(Forecast_Walkforward!$J:$J,$E31):INDEX(Forecast_Walkforward!$J:$J,$D31))/$H31</f>
        <v>0.0364717223650386</v>
      </c>
      <c r="P31" s="27" t="n">
        <f aca="false">SUM(INDEX(Forecast_Walkforward!$K:$K,$E31):INDEX(Forecast_Walkforward!$K:$K,$D31))/$H31</f>
        <v>0.0268970193076469</v>
      </c>
      <c r="Q31" s="28" t="n">
        <f aca="false">_xlfn.STDEV.S(INDEX(Forecast_Walkforward!$H:$H,$E31):INDEX(Forecast_Walkforward!$H:$H,$D31))</f>
        <v>3.2469965237646</v>
      </c>
      <c r="R31" s="28" t="n">
        <f aca="false">_xlfn.STDEV.S(INDEX(Forecast_Walkforward!$I:$I,$E31):INDEX(Forecast_Walkforward!$I:$I,$D31))</f>
        <v>2.39828428964054</v>
      </c>
      <c r="S31" s="28" t="n">
        <f aca="false">_xlfn.STDEV.S(INDEX(Forecast_Walkforward!$J:$J,$E31):INDEX(Forecast_Walkforward!$J:$J,$D31))</f>
        <v>2.26100641933643</v>
      </c>
      <c r="T31" s="28" t="n">
        <f aca="false">_xlfn.STDEV.S(INDEX(Forecast_Walkforward!$K:$K,$E31):INDEX(Forecast_Walkforward!$K:$K,$D31))</f>
        <v>2.33693792187304</v>
      </c>
      <c r="U31" s="28" t="n">
        <f aca="false">INDEX(Forecast_Walkforward!$C:$C,$D31)</f>
        <v>13</v>
      </c>
      <c r="V31" s="28" t="n">
        <f aca="false">AVERAGE(INDEX(Forecast_Walkforward!$C:$C,$D31-3):INDEX(Forecast_Walkforward!$C:$C,$D31))</f>
        <v>11.75</v>
      </c>
      <c r="W31" s="28" t="n">
        <f aca="false">AVERAGE(INDEX(Forecast_Walkforward!$C:$C,$D31-7):INDEX(Forecast_Walkforward!$C:$C,$D31))</f>
        <v>11.25</v>
      </c>
      <c r="X31" s="28" t="n">
        <f aca="false">SES_Alpha*INDEX(Forecast_Walkforward!$C:$C,$D31)+(1-SES_Alpha)*INDEX(Forecast_Walkforward!$G:$G,$D31)</f>
        <v>11.7804672783527</v>
      </c>
      <c r="Y31" s="26" t="n">
        <f aca="false">MIN(I31:L31)</f>
        <v>0.132230077120823</v>
      </c>
      <c r="Z31" s="29" t="b">
        <f aca="false">I31&lt;=$Y31+WAPE_Tol</f>
        <v>0</v>
      </c>
      <c r="AA31" s="29" t="b">
        <f aca="false">J31&lt;=$Y31+WAPE_Tol</f>
        <v>1</v>
      </c>
      <c r="AB31" s="29" t="b">
        <f aca="false">K31&lt;=$Y31+WAPE_Tol</f>
        <v>1</v>
      </c>
      <c r="AC31" s="29" t="b">
        <f aca="false">L31&lt;=$Y31+WAPE_Tol</f>
        <v>1</v>
      </c>
      <c r="AD31" s="19" t="n">
        <f aca="false">MATCH(TRUE(),Z31:AC31,0)</f>
        <v>2</v>
      </c>
      <c r="AE31" s="12" t="str">
        <f aca="false">CHOOSE(AD31,"Naive","MA4","MA8","SES")</f>
        <v>MA4</v>
      </c>
      <c r="AF31" s="30" t="n">
        <f aca="false">INDEX(U31:X31,AD31)</f>
        <v>11.75</v>
      </c>
      <c r="AG31" s="26" t="n">
        <f aca="false">INDEX(I31:L31,AD31)</f>
        <v>0.133354755784062</v>
      </c>
      <c r="AH31" s="27" t="n">
        <f aca="false">INDEX(M31:P31,AD31)</f>
        <v>0.0196015424164524</v>
      </c>
      <c r="AI31" s="28" t="n">
        <f aca="false">INDEX(Q31:T31,AD31)</f>
        <v>2.39828428964054</v>
      </c>
      <c r="AJ31" s="19" t="n">
        <f aca="false">AG31*H31</f>
        <v>103.75</v>
      </c>
      <c r="AK31" s="19" t="n">
        <f aca="false">SUM(INDEX(Forecast_Walkforward!$C:$C,$F31):INDEX(Forecast_Walkforward!$C:$C,$G31))</f>
        <v>893</v>
      </c>
      <c r="AL31" s="26" t="n">
        <f aca="false">SUM(INDEX(Forecast_Walkforward!$L:$L,$F31):INDEX(Forecast_Walkforward!$L:$L,$G31))/$AK31</f>
        <v>0.163493840985442</v>
      </c>
      <c r="AM31" s="26" t="n">
        <f aca="false">SUM(INDEX(Forecast_Walkforward!$M:$M,$F31):INDEX(Forecast_Walkforward!$M:$M,$G31))/$AK31</f>
        <v>0.125979843225084</v>
      </c>
      <c r="AN31" s="26" t="n">
        <f aca="false">SUM(INDEX(Forecast_Walkforward!$N:$N,$F31):INDEX(Forecast_Walkforward!$N:$N,$G31))/$AK31</f>
        <v>0.135498320268757</v>
      </c>
      <c r="AO31" s="26" t="n">
        <f aca="false">SUM(INDEX(Forecast_Walkforward!$O:$O,$F31):INDEX(Forecast_Walkforward!$O:$O,$G31))/$AK31</f>
        <v>0.127423159533848</v>
      </c>
      <c r="AP31" s="28" t="n">
        <f aca="false">_xlfn.STDEV.S(INDEX(Forecast_Walkforward!$H:$H,$F31):INDEX(Forecast_Walkforward!$H:$H,$G31))</f>
        <v>3.45188867794823</v>
      </c>
      <c r="AQ31" s="28" t="n">
        <f aca="false">_xlfn.STDEV.S(INDEX(Forecast_Walkforward!$I:$I,$F31):INDEX(Forecast_Walkforward!$I:$I,$G31))</f>
        <v>2.72266338859614</v>
      </c>
      <c r="AR31" s="28" t="n">
        <f aca="false">_xlfn.STDEV.S(INDEX(Forecast_Walkforward!$J:$J,$F31):INDEX(Forecast_Walkforward!$J:$J,$G31))</f>
        <v>2.71796350294081</v>
      </c>
      <c r="AS31" s="28" t="n">
        <f aca="false">_xlfn.STDEV.S(INDEX(Forecast_Walkforward!$K:$K,$F31):INDEX(Forecast_Walkforward!$K:$K,$G31))</f>
        <v>2.63129126749909</v>
      </c>
      <c r="AT31" s="26" t="n">
        <f aca="false">MIN(AL31:AO31)</f>
        <v>0.125979843225084</v>
      </c>
      <c r="AU31" s="29" t="b">
        <f aca="false">AL31&lt;=$AT31+WAPE_Tol</f>
        <v>0</v>
      </c>
      <c r="AV31" s="29" t="b">
        <f aca="false">AM31&lt;=$AT31+WAPE_Tol</f>
        <v>1</v>
      </c>
      <c r="AW31" s="29" t="b">
        <f aca="false">AN31&lt;=$AT31+WAPE_Tol</f>
        <v>1</v>
      </c>
      <c r="AX31" s="29" t="b">
        <f aca="false">AO31&lt;=$AT31+WAPE_Tol</f>
        <v>1</v>
      </c>
      <c r="AY31" s="19" t="n">
        <f aca="false">MATCH(TRUE(),AU31:AX31,0)</f>
        <v>2</v>
      </c>
      <c r="AZ31" s="10" t="str">
        <f aca="false">CHOOSE(AY31,"Naive","MA4","MA8","SES")</f>
        <v>MA4</v>
      </c>
      <c r="BA31" s="28" t="n">
        <f aca="false">INDEX(AP31:AS31,AY31)</f>
        <v>2.72266338859614</v>
      </c>
    </row>
    <row r="32" customFormat="false" ht="15" hidden="false" customHeight="false" outlineLevel="0" collapsed="false">
      <c r="A32" s="11" t="str">
        <f aca="false">Inputs!B65</f>
        <v>BED-006</v>
      </c>
      <c r="B32" s="11" t="str">
        <f aca="false">Inputs!C65</f>
        <v>Mattress Protector 160x200</v>
      </c>
      <c r="C32" s="10" t="n">
        <f aca="false">MATCH(A32,Demand_History!$C:$C,0)</f>
        <v>2602</v>
      </c>
      <c r="D32" s="10" t="n">
        <f aca="false">C32+Weeks_History-1</f>
        <v>2705</v>
      </c>
      <c r="E32" s="10" t="n">
        <f aca="false">C32+Eval_Start_Week-1</f>
        <v>2654</v>
      </c>
      <c r="F32" s="10" t="n">
        <f aca="false">C32+Cal_Start_Week-1</f>
        <v>2638</v>
      </c>
      <c r="G32" s="10" t="n">
        <f aca="false">C32+Cal_End_Week-1</f>
        <v>2689</v>
      </c>
      <c r="H32" s="19" t="n">
        <f aca="false">SUM(INDEX(Forecast_Walkforward!$C:$C,$E32):INDEX(Forecast_Walkforward!$C:$C,$D32))</f>
        <v>1550</v>
      </c>
      <c r="I32" s="26" t="n">
        <f aca="false">SUM(INDEX(Forecast_Walkforward!$L:$L,$E32):INDEX(Forecast_Walkforward!$L:$L,$D32))/$H32</f>
        <v>0.135483870967742</v>
      </c>
      <c r="J32" s="26" t="n">
        <f aca="false">SUM(INDEX(Forecast_Walkforward!$M:$M,$E32):INDEX(Forecast_Walkforward!$M:$M,$D32))/$H32</f>
        <v>0.110161290322581</v>
      </c>
      <c r="K32" s="26" t="n">
        <f aca="false">SUM(INDEX(Forecast_Walkforward!$N:$N,$E32):INDEX(Forecast_Walkforward!$N:$N,$D32))/$H32</f>
        <v>0.1025</v>
      </c>
      <c r="L32" s="26" t="n">
        <f aca="false">SUM(INDEX(Forecast_Walkforward!$O:$O,$E32):INDEX(Forecast_Walkforward!$O:$O,$D32))/$H32</f>
        <v>0.106177455198576</v>
      </c>
      <c r="M32" s="27" t="n">
        <f aca="false">SUM(INDEX(Forecast_Walkforward!$H:$H,$E32):INDEX(Forecast_Walkforward!$H:$H,$D32))/$H32</f>
        <v>-0.00645161290322581</v>
      </c>
      <c r="N32" s="27" t="n">
        <f aca="false">SUM(INDEX(Forecast_Walkforward!$I:$I,$E32):INDEX(Forecast_Walkforward!$I:$I,$D32))/$H32</f>
        <v>-0.005</v>
      </c>
      <c r="O32" s="27" t="n">
        <f aca="false">SUM(INDEX(Forecast_Walkforward!$J:$J,$E32):INDEX(Forecast_Walkforward!$J:$J,$D32))/$H32</f>
        <v>0.000403225806451613</v>
      </c>
      <c r="P32" s="27" t="n">
        <f aca="false">SUM(INDEX(Forecast_Walkforward!$K:$K,$E32):INDEX(Forecast_Walkforward!$K:$K,$D32))/$H32</f>
        <v>-0.00283980755963176</v>
      </c>
      <c r="Q32" s="28" t="n">
        <f aca="false">_xlfn.STDEV.S(INDEX(Forecast_Walkforward!$H:$H,$E32):INDEX(Forecast_Walkforward!$H:$H,$D32))</f>
        <v>4.94296275978745</v>
      </c>
      <c r="R32" s="28" t="n">
        <f aca="false">_xlfn.STDEV.S(INDEX(Forecast_Walkforward!$I:$I,$E32):INDEX(Forecast_Walkforward!$I:$I,$D32))</f>
        <v>3.93957410837193</v>
      </c>
      <c r="S32" s="28" t="n">
        <f aca="false">_xlfn.STDEV.S(INDEX(Forecast_Walkforward!$J:$J,$E32):INDEX(Forecast_Walkforward!$J:$J,$D32))</f>
        <v>3.6328312649534</v>
      </c>
      <c r="T32" s="28" t="n">
        <f aca="false">_xlfn.STDEV.S(INDEX(Forecast_Walkforward!$K:$K,$E32):INDEX(Forecast_Walkforward!$K:$K,$D32))</f>
        <v>3.77893130422159</v>
      </c>
      <c r="U32" s="28" t="n">
        <f aca="false">INDEX(Forecast_Walkforward!$C:$C,$D32)</f>
        <v>34</v>
      </c>
      <c r="V32" s="28" t="n">
        <f aca="false">AVERAGE(INDEX(Forecast_Walkforward!$C:$C,$D32-3):INDEX(Forecast_Walkforward!$C:$C,$D32))</f>
        <v>31.5</v>
      </c>
      <c r="W32" s="28" t="n">
        <f aca="false">AVERAGE(INDEX(Forecast_Walkforward!$C:$C,$D32-7):INDEX(Forecast_Walkforward!$C:$C,$D32))</f>
        <v>29.25</v>
      </c>
      <c r="X32" s="28" t="n">
        <f aca="false">SES_Alpha*INDEX(Forecast_Walkforward!$C:$C,$D32)+(1-SES_Alpha)*INDEX(Forecast_Walkforward!$G:$G,$D32)</f>
        <v>30.7415432703371</v>
      </c>
      <c r="Y32" s="26" t="n">
        <f aca="false">MIN(I32:L32)</f>
        <v>0.1025</v>
      </c>
      <c r="Z32" s="29" t="b">
        <f aca="false">I32&lt;=$Y32+WAPE_Tol</f>
        <v>0</v>
      </c>
      <c r="AA32" s="29" t="b">
        <f aca="false">J32&lt;=$Y32+WAPE_Tol</f>
        <v>1</v>
      </c>
      <c r="AB32" s="29" t="b">
        <f aca="false">K32&lt;=$Y32+WAPE_Tol</f>
        <v>1</v>
      </c>
      <c r="AC32" s="29" t="b">
        <f aca="false">L32&lt;=$Y32+WAPE_Tol</f>
        <v>1</v>
      </c>
      <c r="AD32" s="19" t="n">
        <f aca="false">MATCH(TRUE(),Z32:AC32,0)</f>
        <v>2</v>
      </c>
      <c r="AE32" s="12" t="str">
        <f aca="false">CHOOSE(AD32,"Naive","MA4","MA8","SES")</f>
        <v>MA4</v>
      </c>
      <c r="AF32" s="30" t="n">
        <f aca="false">INDEX(U32:X32,AD32)</f>
        <v>31.5</v>
      </c>
      <c r="AG32" s="26" t="n">
        <f aca="false">INDEX(I32:L32,AD32)</f>
        <v>0.110161290322581</v>
      </c>
      <c r="AH32" s="27" t="n">
        <f aca="false">INDEX(M32:P32,AD32)</f>
        <v>-0.005</v>
      </c>
      <c r="AI32" s="28" t="n">
        <f aca="false">INDEX(Q32:T32,AD32)</f>
        <v>3.93957410837193</v>
      </c>
      <c r="AJ32" s="19" t="n">
        <f aca="false">AG32*H32</f>
        <v>170.75</v>
      </c>
      <c r="AK32" s="19" t="n">
        <f aca="false">SUM(INDEX(Forecast_Walkforward!$C:$C,$F32):INDEX(Forecast_Walkforward!$C:$C,$G32))</f>
        <v>1560</v>
      </c>
      <c r="AL32" s="26" t="n">
        <f aca="false">SUM(INDEX(Forecast_Walkforward!$L:$L,$F32):INDEX(Forecast_Walkforward!$L:$L,$G32))/$AK32</f>
        <v>0.147435897435897</v>
      </c>
      <c r="AM32" s="26" t="n">
        <f aca="false">SUM(INDEX(Forecast_Walkforward!$M:$M,$F32):INDEX(Forecast_Walkforward!$M:$M,$G32))/$AK32</f>
        <v>0.117307692307692</v>
      </c>
      <c r="AN32" s="26" t="n">
        <f aca="false">SUM(INDEX(Forecast_Walkforward!$N:$N,$F32):INDEX(Forecast_Walkforward!$N:$N,$G32))/$AK32</f>
        <v>0.114182692307692</v>
      </c>
      <c r="AO32" s="26" t="n">
        <f aca="false">SUM(INDEX(Forecast_Walkforward!$O:$O,$F32):INDEX(Forecast_Walkforward!$O:$O,$G32))/$AK32</f>
        <v>0.11695052866343</v>
      </c>
      <c r="AP32" s="28" t="n">
        <f aca="false">_xlfn.STDEV.S(INDEX(Forecast_Walkforward!$H:$H,$F32):INDEX(Forecast_Walkforward!$H:$H,$G32))</f>
        <v>5.32828758299692</v>
      </c>
      <c r="AQ32" s="28" t="n">
        <f aca="false">_xlfn.STDEV.S(INDEX(Forecast_Walkforward!$I:$I,$F32):INDEX(Forecast_Walkforward!$I:$I,$G32))</f>
        <v>4.20503451041556</v>
      </c>
      <c r="AR32" s="28" t="n">
        <f aca="false">_xlfn.STDEV.S(INDEX(Forecast_Walkforward!$J:$J,$F32):INDEX(Forecast_Walkforward!$J:$J,$G32))</f>
        <v>4.07822834186256</v>
      </c>
      <c r="AS32" s="28" t="n">
        <f aca="false">_xlfn.STDEV.S(INDEX(Forecast_Walkforward!$K:$K,$F32):INDEX(Forecast_Walkforward!$K:$K,$G32))</f>
        <v>4.1835502919423</v>
      </c>
      <c r="AT32" s="26" t="n">
        <f aca="false">MIN(AL32:AO32)</f>
        <v>0.114182692307692</v>
      </c>
      <c r="AU32" s="29" t="b">
        <f aca="false">AL32&lt;=$AT32+WAPE_Tol</f>
        <v>0</v>
      </c>
      <c r="AV32" s="29" t="b">
        <f aca="false">AM32&lt;=$AT32+WAPE_Tol</f>
        <v>1</v>
      </c>
      <c r="AW32" s="29" t="b">
        <f aca="false">AN32&lt;=$AT32+WAPE_Tol</f>
        <v>1</v>
      </c>
      <c r="AX32" s="29" t="b">
        <f aca="false">AO32&lt;=$AT32+WAPE_Tol</f>
        <v>1</v>
      </c>
      <c r="AY32" s="19" t="n">
        <f aca="false">MATCH(TRUE(),AU32:AX32,0)</f>
        <v>2</v>
      </c>
      <c r="AZ32" s="10" t="str">
        <f aca="false">CHOOSE(AY32,"Naive","MA4","MA8","SES")</f>
        <v>MA4</v>
      </c>
      <c r="BA32" s="28" t="n">
        <f aca="false">INDEX(AP32:AS32,AY32)</f>
        <v>4.20503451041556</v>
      </c>
    </row>
    <row r="33" customFormat="false" ht="15" hidden="false" customHeight="false" outlineLevel="0" collapsed="false">
      <c r="A33" s="11" t="str">
        <f aca="false">Inputs!B66</f>
        <v>BED-007</v>
      </c>
      <c r="B33" s="11" t="str">
        <f aca="false">Inputs!C66</f>
        <v>Linen Throw Blanket</v>
      </c>
      <c r="C33" s="10" t="n">
        <f aca="false">MATCH(A33,Demand_History!$C:$C,0)</f>
        <v>2706</v>
      </c>
      <c r="D33" s="10" t="n">
        <f aca="false">C33+Weeks_History-1</f>
        <v>2809</v>
      </c>
      <c r="E33" s="10" t="n">
        <f aca="false">C33+Eval_Start_Week-1</f>
        <v>2758</v>
      </c>
      <c r="F33" s="10" t="n">
        <f aca="false">C33+Cal_Start_Week-1</f>
        <v>2742</v>
      </c>
      <c r="G33" s="10" t="n">
        <f aca="false">C33+Cal_End_Week-1</f>
        <v>2793</v>
      </c>
      <c r="H33" s="19" t="n">
        <f aca="false">SUM(INDEX(Forecast_Walkforward!$C:$C,$E33):INDEX(Forecast_Walkforward!$C:$C,$D33))</f>
        <v>1424</v>
      </c>
      <c r="I33" s="26" t="n">
        <f aca="false">SUM(INDEX(Forecast_Walkforward!$L:$L,$E33):INDEX(Forecast_Walkforward!$L:$L,$D33))/$H33</f>
        <v>0.300561797752809</v>
      </c>
      <c r="J33" s="26" t="n">
        <f aca="false">SUM(INDEX(Forecast_Walkforward!$M:$M,$E33):INDEX(Forecast_Walkforward!$M:$M,$D33))/$H33</f>
        <v>0.243855337078652</v>
      </c>
      <c r="K33" s="26" t="n">
        <f aca="false">SUM(INDEX(Forecast_Walkforward!$N:$N,$E33):INDEX(Forecast_Walkforward!$N:$N,$D33))/$H33</f>
        <v>0.229810393258427</v>
      </c>
      <c r="L33" s="26" t="n">
        <f aca="false">SUM(INDEX(Forecast_Walkforward!$O:$O,$E33):INDEX(Forecast_Walkforward!$O:$O,$D33))/$H33</f>
        <v>0.230244589709088</v>
      </c>
      <c r="M33" s="27" t="n">
        <f aca="false">SUM(INDEX(Forecast_Walkforward!$H:$H,$E33):INDEX(Forecast_Walkforward!$H:$H,$D33))/$H33</f>
        <v>-0.0126404494382022</v>
      </c>
      <c r="N33" s="27" t="n">
        <f aca="false">SUM(INDEX(Forecast_Walkforward!$I:$I,$E33):INDEX(Forecast_Walkforward!$I:$I,$D33))/$H33</f>
        <v>-0.0205407303370787</v>
      </c>
      <c r="O33" s="27" t="n">
        <f aca="false">SUM(INDEX(Forecast_Walkforward!$J:$J,$E33):INDEX(Forecast_Walkforward!$J:$J,$D33))/$H33</f>
        <v>-0.0233497191011236</v>
      </c>
      <c r="P33" s="27" t="n">
        <f aca="false">SUM(INDEX(Forecast_Walkforward!$K:$K,$E33):INDEX(Forecast_Walkforward!$K:$K,$D33))/$H33</f>
        <v>-0.0202442977353993</v>
      </c>
      <c r="Q33" s="28" t="n">
        <f aca="false">_xlfn.STDEV.S(INDEX(Forecast_Walkforward!$H:$H,$E33):INDEX(Forecast_Walkforward!$H:$H,$D33))</f>
        <v>10.0115318124036</v>
      </c>
      <c r="R33" s="28" t="n">
        <f aca="false">_xlfn.STDEV.S(INDEX(Forecast_Walkforward!$I:$I,$E33):INDEX(Forecast_Walkforward!$I:$I,$D33))</f>
        <v>8.46024077787434</v>
      </c>
      <c r="S33" s="28" t="n">
        <f aca="false">_xlfn.STDEV.S(INDEX(Forecast_Walkforward!$J:$J,$E33):INDEX(Forecast_Walkforward!$J:$J,$D33))</f>
        <v>7.96636825599001</v>
      </c>
      <c r="T33" s="28" t="n">
        <f aca="false">_xlfn.STDEV.S(INDEX(Forecast_Walkforward!$K:$K,$E33):INDEX(Forecast_Walkforward!$K:$K,$D33))</f>
        <v>7.94398760481488</v>
      </c>
      <c r="U33" s="28" t="n">
        <f aca="false">INDEX(Forecast_Walkforward!$C:$C,$D33)</f>
        <v>38</v>
      </c>
      <c r="V33" s="28" t="n">
        <f aca="false">AVERAGE(INDEX(Forecast_Walkforward!$C:$C,$D33-3):INDEX(Forecast_Walkforward!$C:$C,$D33))</f>
        <v>32.75</v>
      </c>
      <c r="W33" s="28" t="n">
        <f aca="false">AVERAGE(INDEX(Forecast_Walkforward!$C:$C,$D33-7):INDEX(Forecast_Walkforward!$C:$C,$D33))</f>
        <v>28.875</v>
      </c>
      <c r="X33" s="28" t="n">
        <f aca="false">SES_Alpha*INDEX(Forecast_Walkforward!$C:$C,$D33)+(1-SES_Alpha)*INDEX(Forecast_Walkforward!$G:$G,$D33)</f>
        <v>31.7846861846628</v>
      </c>
      <c r="Y33" s="26" t="n">
        <f aca="false">MIN(I33:L33)</f>
        <v>0.229810393258427</v>
      </c>
      <c r="Z33" s="29" t="b">
        <f aca="false">I33&lt;=$Y33+WAPE_Tol</f>
        <v>0</v>
      </c>
      <c r="AA33" s="29" t="b">
        <f aca="false">J33&lt;=$Y33+WAPE_Tol</f>
        <v>0</v>
      </c>
      <c r="AB33" s="29" t="b">
        <f aca="false">K33&lt;=$Y33+WAPE_Tol</f>
        <v>1</v>
      </c>
      <c r="AC33" s="29" t="b">
        <f aca="false">L33&lt;=$Y33+WAPE_Tol</f>
        <v>1</v>
      </c>
      <c r="AD33" s="19" t="n">
        <f aca="false">MATCH(TRUE(),Z33:AC33,0)</f>
        <v>3</v>
      </c>
      <c r="AE33" s="12" t="str">
        <f aca="false">CHOOSE(AD33,"Naive","MA4","MA8","SES")</f>
        <v>MA8</v>
      </c>
      <c r="AF33" s="30" t="n">
        <f aca="false">INDEX(U33:X33,AD33)</f>
        <v>28.875</v>
      </c>
      <c r="AG33" s="26" t="n">
        <f aca="false">INDEX(I33:L33,AD33)</f>
        <v>0.229810393258427</v>
      </c>
      <c r="AH33" s="27" t="n">
        <f aca="false">INDEX(M33:P33,AD33)</f>
        <v>-0.0233497191011236</v>
      </c>
      <c r="AI33" s="28" t="n">
        <f aca="false">INDEX(Q33:T33,AD33)</f>
        <v>7.96636825599001</v>
      </c>
      <c r="AJ33" s="19" t="n">
        <f aca="false">AG33*H33</f>
        <v>327.25</v>
      </c>
      <c r="AK33" s="19" t="n">
        <f aca="false">SUM(INDEX(Forecast_Walkforward!$C:$C,$F33):INDEX(Forecast_Walkforward!$C:$C,$G33))</f>
        <v>1402</v>
      </c>
      <c r="AL33" s="26" t="n">
        <f aca="false">SUM(INDEX(Forecast_Walkforward!$L:$L,$F33):INDEX(Forecast_Walkforward!$L:$L,$G33))/$AK33</f>
        <v>0.323109843081312</v>
      </c>
      <c r="AM33" s="26" t="n">
        <f aca="false">SUM(INDEX(Forecast_Walkforward!$M:$M,$F33):INDEX(Forecast_Walkforward!$M:$M,$G33))/$AK33</f>
        <v>0.273537803138374</v>
      </c>
      <c r="AN33" s="26" t="n">
        <f aca="false">SUM(INDEX(Forecast_Walkforward!$N:$N,$F33):INDEX(Forecast_Walkforward!$N:$N,$G33))/$AK33</f>
        <v>0.257667617689016</v>
      </c>
      <c r="AO33" s="26" t="n">
        <f aca="false">SUM(INDEX(Forecast_Walkforward!$O:$O,$F33):INDEX(Forecast_Walkforward!$O:$O,$G33))/$AK33</f>
        <v>0.256005981625455</v>
      </c>
      <c r="AP33" s="28" t="n">
        <f aca="false">_xlfn.STDEV.S(INDEX(Forecast_Walkforward!$H:$H,$F33):INDEX(Forecast_Walkforward!$H:$H,$G33))</f>
        <v>10.7922064220906</v>
      </c>
      <c r="AQ33" s="28" t="n">
        <f aca="false">_xlfn.STDEV.S(INDEX(Forecast_Walkforward!$I:$I,$F33):INDEX(Forecast_Walkforward!$I:$I,$G33))</f>
        <v>9.28074666568913</v>
      </c>
      <c r="AR33" s="28" t="n">
        <f aca="false">_xlfn.STDEV.S(INDEX(Forecast_Walkforward!$J:$J,$F33):INDEX(Forecast_Walkforward!$J:$J,$G33))</f>
        <v>8.65609217543476</v>
      </c>
      <c r="AS33" s="28" t="n">
        <f aca="false">_xlfn.STDEV.S(INDEX(Forecast_Walkforward!$K:$K,$F33):INDEX(Forecast_Walkforward!$K:$K,$G33))</f>
        <v>8.70248431499982</v>
      </c>
      <c r="AT33" s="26" t="n">
        <f aca="false">MIN(AL33:AO33)</f>
        <v>0.256005981625455</v>
      </c>
      <c r="AU33" s="29" t="b">
        <f aca="false">AL33&lt;=$AT33+WAPE_Tol</f>
        <v>0</v>
      </c>
      <c r="AV33" s="29" t="b">
        <f aca="false">AM33&lt;=$AT33+WAPE_Tol</f>
        <v>0</v>
      </c>
      <c r="AW33" s="29" t="b">
        <f aca="false">AN33&lt;=$AT33+WAPE_Tol</f>
        <v>1</v>
      </c>
      <c r="AX33" s="29" t="b">
        <f aca="false">AO33&lt;=$AT33+WAPE_Tol</f>
        <v>1</v>
      </c>
      <c r="AY33" s="19" t="n">
        <f aca="false">MATCH(TRUE(),AU33:AX33,0)</f>
        <v>3</v>
      </c>
      <c r="AZ33" s="10" t="str">
        <f aca="false">CHOOSE(AY33,"Naive","MA4","MA8","SES")</f>
        <v>MA8</v>
      </c>
      <c r="BA33" s="28" t="n">
        <f aca="false">INDEX(AP33:AS33,AY33)</f>
        <v>8.65609217543476</v>
      </c>
    </row>
    <row r="34" customFormat="false" ht="15" hidden="false" customHeight="false" outlineLevel="0" collapsed="false">
      <c r="A34" s="11" t="str">
        <f aca="false">Inputs!B67</f>
        <v>BED-008</v>
      </c>
      <c r="B34" s="11" t="str">
        <f aca="false">Inputs!C67</f>
        <v>Silk Pillowcase</v>
      </c>
      <c r="C34" s="10" t="n">
        <f aca="false">MATCH(A34,Demand_History!$C:$C,0)</f>
        <v>2810</v>
      </c>
      <c r="D34" s="10" t="n">
        <f aca="false">C34+Weeks_History-1</f>
        <v>2913</v>
      </c>
      <c r="E34" s="10" t="n">
        <f aca="false">C34+Eval_Start_Week-1</f>
        <v>2862</v>
      </c>
      <c r="F34" s="10" t="n">
        <f aca="false">C34+Cal_Start_Week-1</f>
        <v>2846</v>
      </c>
      <c r="G34" s="10" t="n">
        <f aca="false">C34+Cal_End_Week-1</f>
        <v>2897</v>
      </c>
      <c r="H34" s="19" t="n">
        <f aca="false">SUM(INDEX(Forecast_Walkforward!$C:$C,$E34):INDEX(Forecast_Walkforward!$C:$C,$D34))</f>
        <v>430</v>
      </c>
      <c r="I34" s="26" t="n">
        <f aca="false">SUM(INDEX(Forecast_Walkforward!$L:$L,$E34):INDEX(Forecast_Walkforward!$L:$L,$D34))/$H34</f>
        <v>0.383720930232558</v>
      </c>
      <c r="J34" s="26" t="n">
        <f aca="false">SUM(INDEX(Forecast_Walkforward!$M:$M,$E34):INDEX(Forecast_Walkforward!$M:$M,$D34))/$H34</f>
        <v>0.287209302325581</v>
      </c>
      <c r="K34" s="26" t="n">
        <f aca="false">SUM(INDEX(Forecast_Walkforward!$N:$N,$E34):INDEX(Forecast_Walkforward!$N:$N,$D34))/$H34</f>
        <v>0.302325581395349</v>
      </c>
      <c r="L34" s="26" t="n">
        <f aca="false">SUM(INDEX(Forecast_Walkforward!$O:$O,$E34):INDEX(Forecast_Walkforward!$O:$O,$D34))/$H34</f>
        <v>0.288977158157829</v>
      </c>
      <c r="M34" s="27" t="n">
        <f aca="false">SUM(INDEX(Forecast_Walkforward!$H:$H,$E34):INDEX(Forecast_Walkforward!$H:$H,$D34))/$H34</f>
        <v>-0.00232558139534884</v>
      </c>
      <c r="N34" s="27" t="n">
        <f aca="false">SUM(INDEX(Forecast_Walkforward!$I:$I,$E34):INDEX(Forecast_Walkforward!$I:$I,$D34))/$H34</f>
        <v>-0.0104651162790698</v>
      </c>
      <c r="O34" s="27" t="n">
        <f aca="false">SUM(INDEX(Forecast_Walkforward!$J:$J,$E34):INDEX(Forecast_Walkforward!$J:$J,$D34))/$H34</f>
        <v>-0.00697674418604651</v>
      </c>
      <c r="P34" s="27" t="n">
        <f aca="false">SUM(INDEX(Forecast_Walkforward!$K:$K,$E34):INDEX(Forecast_Walkforward!$K:$K,$D34))/$H34</f>
        <v>-0.0062757174234448</v>
      </c>
      <c r="Q34" s="28" t="n">
        <f aca="false">_xlfn.STDEV.S(INDEX(Forecast_Walkforward!$H:$H,$E34):INDEX(Forecast_Walkforward!$H:$H,$D34))</f>
        <v>3.8931331432654</v>
      </c>
      <c r="R34" s="28" t="n">
        <f aca="false">_xlfn.STDEV.S(INDEX(Forecast_Walkforward!$I:$I,$E34):INDEX(Forecast_Walkforward!$I:$I,$D34))</f>
        <v>3.01787347843229</v>
      </c>
      <c r="S34" s="28" t="n">
        <f aca="false">_xlfn.STDEV.S(INDEX(Forecast_Walkforward!$J:$J,$E34):INDEX(Forecast_Walkforward!$J:$J,$D34))</f>
        <v>3.06510858674976</v>
      </c>
      <c r="T34" s="28" t="n">
        <f aca="false">_xlfn.STDEV.S(INDEX(Forecast_Walkforward!$K:$K,$E34):INDEX(Forecast_Walkforward!$K:$K,$D34))</f>
        <v>2.99455977959144</v>
      </c>
      <c r="U34" s="28" t="n">
        <f aca="false">INDEX(Forecast_Walkforward!$C:$C,$D34)</f>
        <v>7</v>
      </c>
      <c r="V34" s="28" t="n">
        <f aca="false">AVERAGE(INDEX(Forecast_Walkforward!$C:$C,$D34-3):INDEX(Forecast_Walkforward!$C:$C,$D34))</f>
        <v>6.75</v>
      </c>
      <c r="W34" s="28" t="n">
        <f aca="false">AVERAGE(INDEX(Forecast_Walkforward!$C:$C,$D34-7):INDEX(Forecast_Walkforward!$C:$C,$D34))</f>
        <v>6.875</v>
      </c>
      <c r="X34" s="28" t="n">
        <f aca="false">SES_Alpha*INDEX(Forecast_Walkforward!$C:$C,$D34)+(1-SES_Alpha)*INDEX(Forecast_Walkforward!$G:$G,$D34)</f>
        <v>7.37657515967591</v>
      </c>
      <c r="Y34" s="26" t="n">
        <f aca="false">MIN(I34:L34)</f>
        <v>0.287209302325581</v>
      </c>
      <c r="Z34" s="29" t="b">
        <f aca="false">I34&lt;=$Y34+WAPE_Tol</f>
        <v>0</v>
      </c>
      <c r="AA34" s="29" t="b">
        <f aca="false">J34&lt;=$Y34+WAPE_Tol</f>
        <v>1</v>
      </c>
      <c r="AB34" s="29" t="b">
        <f aca="false">K34&lt;=$Y34+WAPE_Tol</f>
        <v>0</v>
      </c>
      <c r="AC34" s="29" t="b">
        <f aca="false">L34&lt;=$Y34+WAPE_Tol</f>
        <v>1</v>
      </c>
      <c r="AD34" s="19" t="n">
        <f aca="false">MATCH(TRUE(),Z34:AC34,0)</f>
        <v>2</v>
      </c>
      <c r="AE34" s="12" t="str">
        <f aca="false">CHOOSE(AD34,"Naive","MA4","MA8","SES")</f>
        <v>MA4</v>
      </c>
      <c r="AF34" s="30" t="n">
        <f aca="false">INDEX(U34:X34,AD34)</f>
        <v>6.75</v>
      </c>
      <c r="AG34" s="26" t="n">
        <f aca="false">INDEX(I34:L34,AD34)</f>
        <v>0.287209302325581</v>
      </c>
      <c r="AH34" s="27" t="n">
        <f aca="false">INDEX(M34:P34,AD34)</f>
        <v>-0.0104651162790698</v>
      </c>
      <c r="AI34" s="28" t="n">
        <f aca="false">INDEX(Q34:T34,AD34)</f>
        <v>3.01787347843229</v>
      </c>
      <c r="AJ34" s="19" t="n">
        <f aca="false">AG34*H34</f>
        <v>123.5</v>
      </c>
      <c r="AK34" s="19" t="n">
        <f aca="false">SUM(INDEX(Forecast_Walkforward!$C:$C,$F34):INDEX(Forecast_Walkforward!$C:$C,$G34))</f>
        <v>439</v>
      </c>
      <c r="AL34" s="26" t="n">
        <f aca="false">SUM(INDEX(Forecast_Walkforward!$L:$L,$F34):INDEX(Forecast_Walkforward!$L:$L,$G34))/$AK34</f>
        <v>0.400911161731207</v>
      </c>
      <c r="AM34" s="26" t="n">
        <f aca="false">SUM(INDEX(Forecast_Walkforward!$M:$M,$F34):INDEX(Forecast_Walkforward!$M:$M,$G34))/$AK34</f>
        <v>0.321753986332574</v>
      </c>
      <c r="AN34" s="26" t="n">
        <f aca="false">SUM(INDEX(Forecast_Walkforward!$N:$N,$F34):INDEX(Forecast_Walkforward!$N:$N,$G34))/$AK34</f>
        <v>0.35250569476082</v>
      </c>
      <c r="AO34" s="26" t="n">
        <f aca="false">SUM(INDEX(Forecast_Walkforward!$O:$O,$F34):INDEX(Forecast_Walkforward!$O:$O,$G34))/$AK34</f>
        <v>0.323363752855138</v>
      </c>
      <c r="AP34" s="28" t="n">
        <f aca="false">_xlfn.STDEV.S(INDEX(Forecast_Walkforward!$H:$H,$F34):INDEX(Forecast_Walkforward!$H:$H,$G34))</f>
        <v>4.11431668809716</v>
      </c>
      <c r="AQ34" s="28" t="n">
        <f aca="false">_xlfn.STDEV.S(INDEX(Forecast_Walkforward!$I:$I,$F34):INDEX(Forecast_Walkforward!$I:$I,$G34))</f>
        <v>3.33036373189581</v>
      </c>
      <c r="AR34" s="28" t="n">
        <f aca="false">_xlfn.STDEV.S(INDEX(Forecast_Walkforward!$J:$J,$F34):INDEX(Forecast_Walkforward!$J:$J,$G34))</f>
        <v>3.5842583603818</v>
      </c>
      <c r="AS34" s="28" t="n">
        <f aca="false">_xlfn.STDEV.S(INDEX(Forecast_Walkforward!$K:$K,$F34):INDEX(Forecast_Walkforward!$K:$K,$G34))</f>
        <v>3.33849856652815</v>
      </c>
      <c r="AT34" s="26" t="n">
        <f aca="false">MIN(AL34:AO34)</f>
        <v>0.321753986332574</v>
      </c>
      <c r="AU34" s="29" t="b">
        <f aca="false">AL34&lt;=$AT34+WAPE_Tol</f>
        <v>0</v>
      </c>
      <c r="AV34" s="29" t="b">
        <f aca="false">AM34&lt;=$AT34+WAPE_Tol</f>
        <v>1</v>
      </c>
      <c r="AW34" s="29" t="b">
        <f aca="false">AN34&lt;=$AT34+WAPE_Tol</f>
        <v>0</v>
      </c>
      <c r="AX34" s="29" t="b">
        <f aca="false">AO34&lt;=$AT34+WAPE_Tol</f>
        <v>1</v>
      </c>
      <c r="AY34" s="19" t="n">
        <f aca="false">MATCH(TRUE(),AU34:AX34,0)</f>
        <v>2</v>
      </c>
      <c r="AZ34" s="10" t="str">
        <f aca="false">CHOOSE(AY34,"Naive","MA4","MA8","SES")</f>
        <v>MA4</v>
      </c>
      <c r="BA34" s="28" t="n">
        <f aca="false">INDEX(AP34:AS34,AY34)</f>
        <v>3.33036373189581</v>
      </c>
    </row>
    <row r="35" customFormat="false" ht="15" hidden="false" customHeight="false" outlineLevel="0" collapsed="false">
      <c r="A35" s="11" t="str">
        <f aca="false">Inputs!B68</f>
        <v>BED-009</v>
      </c>
      <c r="B35" s="11" t="str">
        <f aca="false">Inputs!C68</f>
        <v>Kids Bedding Set Stars</v>
      </c>
      <c r="C35" s="10" t="n">
        <f aca="false">MATCH(A35,Demand_History!$C:$C,0)</f>
        <v>2914</v>
      </c>
      <c r="D35" s="10" t="n">
        <f aca="false">C35+Weeks_History-1</f>
        <v>3017</v>
      </c>
      <c r="E35" s="10" t="n">
        <f aca="false">C35+Eval_Start_Week-1</f>
        <v>2966</v>
      </c>
      <c r="F35" s="10" t="n">
        <f aca="false">C35+Cal_Start_Week-1</f>
        <v>2950</v>
      </c>
      <c r="G35" s="10" t="n">
        <f aca="false">C35+Cal_End_Week-1</f>
        <v>3001</v>
      </c>
      <c r="H35" s="19" t="n">
        <f aca="false">SUM(INDEX(Forecast_Walkforward!$C:$C,$E35):INDEX(Forecast_Walkforward!$C:$C,$D35))</f>
        <v>929</v>
      </c>
      <c r="I35" s="26" t="n">
        <f aca="false">SUM(INDEX(Forecast_Walkforward!$L:$L,$E35):INDEX(Forecast_Walkforward!$L:$L,$D35))/$H35</f>
        <v>0.199138858988159</v>
      </c>
      <c r="J35" s="26" t="n">
        <f aca="false">SUM(INDEX(Forecast_Walkforward!$M:$M,$E35):INDEX(Forecast_Walkforward!$M:$M,$D35))/$H35</f>
        <v>0.13778256189451</v>
      </c>
      <c r="K35" s="26" t="n">
        <f aca="false">SUM(INDEX(Forecast_Walkforward!$N:$N,$E35):INDEX(Forecast_Walkforward!$N:$N,$D35))/$H35</f>
        <v>0.136706135629709</v>
      </c>
      <c r="L35" s="26" t="n">
        <f aca="false">SUM(INDEX(Forecast_Walkforward!$O:$O,$E35):INDEX(Forecast_Walkforward!$O:$O,$D35))/$H35</f>
        <v>0.135349906707842</v>
      </c>
      <c r="M35" s="27" t="n">
        <f aca="false">SUM(INDEX(Forecast_Walkforward!$H:$H,$E35):INDEX(Forecast_Walkforward!$H:$H,$D35))/$H35</f>
        <v>0.00968783638320775</v>
      </c>
      <c r="N35" s="27" t="n">
        <f aca="false">SUM(INDEX(Forecast_Walkforward!$I:$I,$E35):INDEX(Forecast_Walkforward!$I:$I,$D35))/$H35</f>
        <v>0.0258342303552207</v>
      </c>
      <c r="O35" s="27" t="n">
        <f aca="false">SUM(INDEX(Forecast_Walkforward!$J:$J,$E35):INDEX(Forecast_Walkforward!$J:$J,$D35))/$H35</f>
        <v>0.0406350914962325</v>
      </c>
      <c r="P35" s="27" t="n">
        <f aca="false">SUM(INDEX(Forecast_Walkforward!$K:$K,$E35):INDEX(Forecast_Walkforward!$K:$K,$D35))/$H35</f>
        <v>0.0311279046642582</v>
      </c>
      <c r="Q35" s="28" t="n">
        <f aca="false">_xlfn.STDEV.S(INDEX(Forecast_Walkforward!$H:$H,$E35):INDEX(Forecast_Walkforward!$H:$H,$D35))</f>
        <v>4.36887904071493</v>
      </c>
      <c r="R35" s="28" t="n">
        <f aca="false">_xlfn.STDEV.S(INDEX(Forecast_Walkforward!$I:$I,$E35):INDEX(Forecast_Walkforward!$I:$I,$D35))</f>
        <v>3.14961272727696</v>
      </c>
      <c r="S35" s="28" t="n">
        <f aca="false">_xlfn.STDEV.S(INDEX(Forecast_Walkforward!$J:$J,$E35):INDEX(Forecast_Walkforward!$J:$J,$D35))</f>
        <v>3.02461698084975</v>
      </c>
      <c r="T35" s="28" t="n">
        <f aca="false">_xlfn.STDEV.S(INDEX(Forecast_Walkforward!$K:$K,$E35):INDEX(Forecast_Walkforward!$K:$K,$D35))</f>
        <v>3.09313192659162</v>
      </c>
      <c r="U35" s="28" t="n">
        <f aca="false">INDEX(Forecast_Walkforward!$C:$C,$D35)</f>
        <v>12</v>
      </c>
      <c r="V35" s="28" t="n">
        <f aca="false">AVERAGE(INDEX(Forecast_Walkforward!$C:$C,$D35-3):INDEX(Forecast_Walkforward!$C:$C,$D35))</f>
        <v>12.75</v>
      </c>
      <c r="W35" s="28" t="n">
        <f aca="false">AVERAGE(INDEX(Forecast_Walkforward!$C:$C,$D35-7):INDEX(Forecast_Walkforward!$C:$C,$D35))</f>
        <v>13.75</v>
      </c>
      <c r="X35" s="28" t="n">
        <f aca="false">SES_Alpha*INDEX(Forecast_Walkforward!$C:$C,$D35)+(1-SES_Alpha)*INDEX(Forecast_Walkforward!$G:$G,$D35)</f>
        <v>13.1434548685305</v>
      </c>
      <c r="Y35" s="26" t="n">
        <f aca="false">MIN(I35:L35)</f>
        <v>0.135349906707842</v>
      </c>
      <c r="Z35" s="29" t="b">
        <f aca="false">I35&lt;=$Y35+WAPE_Tol</f>
        <v>0</v>
      </c>
      <c r="AA35" s="29" t="b">
        <f aca="false">J35&lt;=$Y35+WAPE_Tol</f>
        <v>1</v>
      </c>
      <c r="AB35" s="29" t="b">
        <f aca="false">K35&lt;=$Y35+WAPE_Tol</f>
        <v>1</v>
      </c>
      <c r="AC35" s="29" t="b">
        <f aca="false">L35&lt;=$Y35+WAPE_Tol</f>
        <v>1</v>
      </c>
      <c r="AD35" s="19" t="n">
        <f aca="false">MATCH(TRUE(),Z35:AC35,0)</f>
        <v>2</v>
      </c>
      <c r="AE35" s="12" t="str">
        <f aca="false">CHOOSE(AD35,"Naive","MA4","MA8","SES")</f>
        <v>MA4</v>
      </c>
      <c r="AF35" s="30" t="n">
        <f aca="false">INDEX(U35:X35,AD35)</f>
        <v>12.75</v>
      </c>
      <c r="AG35" s="26" t="n">
        <f aca="false">INDEX(I35:L35,AD35)</f>
        <v>0.13778256189451</v>
      </c>
      <c r="AH35" s="27" t="n">
        <f aca="false">INDEX(M35:P35,AD35)</f>
        <v>0.0258342303552207</v>
      </c>
      <c r="AI35" s="28" t="n">
        <f aca="false">INDEX(Q35:T35,AD35)</f>
        <v>3.14961272727696</v>
      </c>
      <c r="AJ35" s="19" t="n">
        <f aca="false">AG35*H35</f>
        <v>128</v>
      </c>
      <c r="AK35" s="19" t="n">
        <f aca="false">SUM(INDEX(Forecast_Walkforward!$C:$C,$F35):INDEX(Forecast_Walkforward!$C:$C,$G35))</f>
        <v>1061</v>
      </c>
      <c r="AL35" s="26" t="n">
        <f aca="false">SUM(INDEX(Forecast_Walkforward!$L:$L,$F35):INDEX(Forecast_Walkforward!$L:$L,$G35))/$AK35</f>
        <v>0.172478793590952</v>
      </c>
      <c r="AM35" s="26" t="n">
        <f aca="false">SUM(INDEX(Forecast_Walkforward!$M:$M,$F35):INDEX(Forecast_Walkforward!$M:$M,$G35))/$AK35</f>
        <v>0.132186616399623</v>
      </c>
      <c r="AN35" s="26" t="n">
        <f aca="false">SUM(INDEX(Forecast_Walkforward!$N:$N,$F35):INDEX(Forecast_Walkforward!$N:$N,$G35))/$AK35</f>
        <v>0.128534401508011</v>
      </c>
      <c r="AO35" s="26" t="n">
        <f aca="false">SUM(INDEX(Forecast_Walkforward!$O:$O,$F35):INDEX(Forecast_Walkforward!$O:$O,$G35))/$AK35</f>
        <v>0.131059705816055</v>
      </c>
      <c r="AP35" s="28" t="n">
        <f aca="false">_xlfn.STDEV.S(INDEX(Forecast_Walkforward!$H:$H,$F35):INDEX(Forecast_Walkforward!$H:$H,$G35))</f>
        <v>4.47091320165265</v>
      </c>
      <c r="AQ35" s="28" t="n">
        <f aca="false">_xlfn.STDEV.S(INDEX(Forecast_Walkforward!$I:$I,$F35):INDEX(Forecast_Walkforward!$I:$I,$G35))</f>
        <v>3.29893759464978</v>
      </c>
      <c r="AR35" s="28" t="n">
        <f aca="false">_xlfn.STDEV.S(INDEX(Forecast_Walkforward!$J:$J,$F35):INDEX(Forecast_Walkforward!$J:$J,$G35))</f>
        <v>3.04232163292689</v>
      </c>
      <c r="AS35" s="28" t="n">
        <f aca="false">_xlfn.STDEV.S(INDEX(Forecast_Walkforward!$K:$K,$F35):INDEX(Forecast_Walkforward!$K:$K,$G35))</f>
        <v>3.21062176439269</v>
      </c>
      <c r="AT35" s="26" t="n">
        <f aca="false">MIN(AL35:AO35)</f>
        <v>0.128534401508011</v>
      </c>
      <c r="AU35" s="29" t="b">
        <f aca="false">AL35&lt;=$AT35+WAPE_Tol</f>
        <v>0</v>
      </c>
      <c r="AV35" s="29" t="b">
        <f aca="false">AM35&lt;=$AT35+WAPE_Tol</f>
        <v>1</v>
      </c>
      <c r="AW35" s="29" t="b">
        <f aca="false">AN35&lt;=$AT35+WAPE_Tol</f>
        <v>1</v>
      </c>
      <c r="AX35" s="29" t="b">
        <f aca="false">AO35&lt;=$AT35+WAPE_Tol</f>
        <v>1</v>
      </c>
      <c r="AY35" s="19" t="n">
        <f aca="false">MATCH(TRUE(),AU35:AX35,0)</f>
        <v>2</v>
      </c>
      <c r="AZ35" s="10" t="str">
        <f aca="false">CHOOSE(AY35,"Naive","MA4","MA8","SES")</f>
        <v>MA4</v>
      </c>
      <c r="BA35" s="28" t="n">
        <f aca="false">INDEX(AP35:AS35,AY35)</f>
        <v>3.29893759464978</v>
      </c>
    </row>
    <row r="36" customFormat="false" ht="15" hidden="false" customHeight="false" outlineLevel="0" collapsed="false">
      <c r="A36" s="11" t="str">
        <f aca="false">Inputs!B69</f>
        <v>ELE-001</v>
      </c>
      <c r="B36" s="11" t="str">
        <f aca="false">Inputs!C69</f>
        <v>Dimmable LED Desk Lamp</v>
      </c>
      <c r="C36" s="10" t="n">
        <f aca="false">MATCH(A36,Demand_History!$C:$C,0)</f>
        <v>3018</v>
      </c>
      <c r="D36" s="10" t="n">
        <f aca="false">C36+Weeks_History-1</f>
        <v>3121</v>
      </c>
      <c r="E36" s="10" t="n">
        <f aca="false">C36+Eval_Start_Week-1</f>
        <v>3070</v>
      </c>
      <c r="F36" s="10" t="n">
        <f aca="false">C36+Cal_Start_Week-1</f>
        <v>3054</v>
      </c>
      <c r="G36" s="10" t="n">
        <f aca="false">C36+Cal_End_Week-1</f>
        <v>3105</v>
      </c>
      <c r="H36" s="19" t="n">
        <f aca="false">SUM(INDEX(Forecast_Walkforward!$C:$C,$E36):INDEX(Forecast_Walkforward!$C:$C,$D36))</f>
        <v>1838</v>
      </c>
      <c r="I36" s="26" t="n">
        <f aca="false">SUM(INDEX(Forecast_Walkforward!$L:$L,$E36):INDEX(Forecast_Walkforward!$L:$L,$D36))/$H36</f>
        <v>0.168661588683351</v>
      </c>
      <c r="J36" s="26" t="n">
        <f aca="false">SUM(INDEX(Forecast_Walkforward!$M:$M,$E36):INDEX(Forecast_Walkforward!$M:$M,$D36))/$H36</f>
        <v>0.131936887921654</v>
      </c>
      <c r="K36" s="26" t="n">
        <f aca="false">SUM(INDEX(Forecast_Walkforward!$N:$N,$E36):INDEX(Forecast_Walkforward!$N:$N,$D36))/$H36</f>
        <v>0.123503808487486</v>
      </c>
      <c r="L36" s="26" t="n">
        <f aca="false">SUM(INDEX(Forecast_Walkforward!$O:$O,$E36):INDEX(Forecast_Walkforward!$O:$O,$D36))/$H36</f>
        <v>0.12475863975769</v>
      </c>
      <c r="M36" s="27" t="n">
        <f aca="false">SUM(INDEX(Forecast_Walkforward!$H:$H,$E36):INDEX(Forecast_Walkforward!$H:$H,$D36))/$H36</f>
        <v>0.00108813928182807</v>
      </c>
      <c r="N36" s="27" t="n">
        <f aca="false">SUM(INDEX(Forecast_Walkforward!$I:$I,$E36):INDEX(Forecast_Walkforward!$I:$I,$D36))/$H36</f>
        <v>0.000272034820457019</v>
      </c>
      <c r="O36" s="27" t="n">
        <f aca="false">SUM(INDEX(Forecast_Walkforward!$J:$J,$E36):INDEX(Forecast_Walkforward!$J:$J,$D36))/$H36</f>
        <v>0.00217627856365615</v>
      </c>
      <c r="P36" s="27" t="n">
        <f aca="false">SUM(INDEX(Forecast_Walkforward!$K:$K,$E36):INDEX(Forecast_Walkforward!$K:$K,$D36))/$H36</f>
        <v>0.00146978743098649</v>
      </c>
      <c r="Q36" s="28" t="n">
        <f aca="false">_xlfn.STDEV.S(INDEX(Forecast_Walkforward!$H:$H,$E36):INDEX(Forecast_Walkforward!$H:$H,$D36))</f>
        <v>7.56400541901471</v>
      </c>
      <c r="R36" s="28" t="n">
        <f aca="false">_xlfn.STDEV.S(INDEX(Forecast_Walkforward!$I:$I,$E36):INDEX(Forecast_Walkforward!$I:$I,$D36))</f>
        <v>5.99631454182188</v>
      </c>
      <c r="S36" s="28" t="n">
        <f aca="false">_xlfn.STDEV.S(INDEX(Forecast_Walkforward!$J:$J,$E36):INDEX(Forecast_Walkforward!$J:$J,$D36))</f>
        <v>5.36328259099123</v>
      </c>
      <c r="T36" s="28" t="n">
        <f aca="false">_xlfn.STDEV.S(INDEX(Forecast_Walkforward!$K:$K,$E36):INDEX(Forecast_Walkforward!$K:$K,$D36))</f>
        <v>5.60842982532341</v>
      </c>
      <c r="U36" s="28" t="n">
        <f aca="false">INDEX(Forecast_Walkforward!$C:$C,$D36)</f>
        <v>35</v>
      </c>
      <c r="V36" s="28" t="n">
        <f aca="false">AVERAGE(INDEX(Forecast_Walkforward!$C:$C,$D36-3):INDEX(Forecast_Walkforward!$C:$C,$D36))</f>
        <v>33.25</v>
      </c>
      <c r="W36" s="28" t="n">
        <f aca="false">AVERAGE(INDEX(Forecast_Walkforward!$C:$C,$D36-7):INDEX(Forecast_Walkforward!$C:$C,$D36))</f>
        <v>34.125</v>
      </c>
      <c r="X36" s="28" t="n">
        <f aca="false">SES_Alpha*INDEX(Forecast_Walkforward!$C:$C,$D36)+(1-SES_Alpha)*INDEX(Forecast_Walkforward!$G:$G,$D36)</f>
        <v>33.8620570881816</v>
      </c>
      <c r="Y36" s="26" t="n">
        <f aca="false">MIN(I36:L36)</f>
        <v>0.123503808487486</v>
      </c>
      <c r="Z36" s="29" t="b">
        <f aca="false">I36&lt;=$Y36+WAPE_Tol</f>
        <v>0</v>
      </c>
      <c r="AA36" s="29" t="b">
        <f aca="false">J36&lt;=$Y36+WAPE_Tol</f>
        <v>1</v>
      </c>
      <c r="AB36" s="29" t="b">
        <f aca="false">K36&lt;=$Y36+WAPE_Tol</f>
        <v>1</v>
      </c>
      <c r="AC36" s="29" t="b">
        <f aca="false">L36&lt;=$Y36+WAPE_Tol</f>
        <v>1</v>
      </c>
      <c r="AD36" s="19" t="n">
        <f aca="false">MATCH(TRUE(),Z36:AC36,0)</f>
        <v>2</v>
      </c>
      <c r="AE36" s="12" t="str">
        <f aca="false">CHOOSE(AD36,"Naive","MA4","MA8","SES")</f>
        <v>MA4</v>
      </c>
      <c r="AF36" s="30" t="n">
        <f aca="false">INDEX(U36:X36,AD36)</f>
        <v>33.25</v>
      </c>
      <c r="AG36" s="26" t="n">
        <f aca="false">INDEX(I36:L36,AD36)</f>
        <v>0.131936887921654</v>
      </c>
      <c r="AH36" s="27" t="n">
        <f aca="false">INDEX(M36:P36,AD36)</f>
        <v>0.000272034820457019</v>
      </c>
      <c r="AI36" s="28" t="n">
        <f aca="false">INDEX(Q36:T36,AD36)</f>
        <v>5.99631454182188</v>
      </c>
      <c r="AJ36" s="19" t="n">
        <f aca="false">AG36*H36</f>
        <v>242.5</v>
      </c>
      <c r="AK36" s="19" t="n">
        <f aca="false">SUM(INDEX(Forecast_Walkforward!$C:$C,$F36):INDEX(Forecast_Walkforward!$C:$C,$G36))</f>
        <v>1864</v>
      </c>
      <c r="AL36" s="26" t="n">
        <f aca="false">SUM(INDEX(Forecast_Walkforward!$L:$L,$F36):INDEX(Forecast_Walkforward!$L:$L,$G36))/$AK36</f>
        <v>0.141630901287554</v>
      </c>
      <c r="AM36" s="26" t="n">
        <f aca="false">SUM(INDEX(Forecast_Walkforward!$M:$M,$F36):INDEX(Forecast_Walkforward!$M:$M,$G36))/$AK36</f>
        <v>0.123524678111588</v>
      </c>
      <c r="AN36" s="26" t="n">
        <f aca="false">SUM(INDEX(Forecast_Walkforward!$N:$N,$F36):INDEX(Forecast_Walkforward!$N:$N,$G36))/$AK36</f>
        <v>0.119635193133047</v>
      </c>
      <c r="AO36" s="26" t="n">
        <f aca="false">SUM(INDEX(Forecast_Walkforward!$O:$O,$F36):INDEX(Forecast_Walkforward!$O:$O,$G36))/$AK36</f>
        <v>0.118266478758408</v>
      </c>
      <c r="AP36" s="28" t="n">
        <f aca="false">_xlfn.STDEV.S(INDEX(Forecast_Walkforward!$H:$H,$F36):INDEX(Forecast_Walkforward!$H:$H,$G36))</f>
        <v>6.30090132172083</v>
      </c>
      <c r="AQ36" s="28" t="n">
        <f aca="false">_xlfn.STDEV.S(INDEX(Forecast_Walkforward!$I:$I,$F36):INDEX(Forecast_Walkforward!$I:$I,$G36))</f>
        <v>5.326418529503</v>
      </c>
      <c r="AR36" s="28" t="n">
        <f aca="false">_xlfn.STDEV.S(INDEX(Forecast_Walkforward!$J:$J,$F36):INDEX(Forecast_Walkforward!$J:$J,$G36))</f>
        <v>5.14027173178825</v>
      </c>
      <c r="AS36" s="28" t="n">
        <f aca="false">_xlfn.STDEV.S(INDEX(Forecast_Walkforward!$K:$K,$F36):INDEX(Forecast_Walkforward!$K:$K,$G36))</f>
        <v>5.08762231869719</v>
      </c>
      <c r="AT36" s="26" t="n">
        <f aca="false">MIN(AL36:AO36)</f>
        <v>0.118266478758408</v>
      </c>
      <c r="AU36" s="29" t="b">
        <f aca="false">AL36&lt;=$AT36+WAPE_Tol</f>
        <v>0</v>
      </c>
      <c r="AV36" s="29" t="b">
        <f aca="false">AM36&lt;=$AT36+WAPE_Tol</f>
        <v>1</v>
      </c>
      <c r="AW36" s="29" t="b">
        <f aca="false">AN36&lt;=$AT36+WAPE_Tol</f>
        <v>1</v>
      </c>
      <c r="AX36" s="29" t="b">
        <f aca="false">AO36&lt;=$AT36+WAPE_Tol</f>
        <v>1</v>
      </c>
      <c r="AY36" s="19" t="n">
        <f aca="false">MATCH(TRUE(),AU36:AX36,0)</f>
        <v>2</v>
      </c>
      <c r="AZ36" s="10" t="str">
        <f aca="false">CHOOSE(AY36,"Naive","MA4","MA8","SES")</f>
        <v>MA4</v>
      </c>
      <c r="BA36" s="28" t="n">
        <f aca="false">INDEX(AP36:AS36,AY36)</f>
        <v>5.326418529503</v>
      </c>
    </row>
    <row r="37" customFormat="false" ht="15" hidden="false" customHeight="false" outlineLevel="0" collapsed="false">
      <c r="A37" s="11" t="str">
        <f aca="false">Inputs!B70</f>
        <v>ELE-002</v>
      </c>
      <c r="B37" s="11" t="str">
        <f aca="false">Inputs!C70</f>
        <v>Electric Kettle 1.7L</v>
      </c>
      <c r="C37" s="10" t="n">
        <f aca="false">MATCH(A37,Demand_History!$C:$C,0)</f>
        <v>3122</v>
      </c>
      <c r="D37" s="10" t="n">
        <f aca="false">C37+Weeks_History-1</f>
        <v>3225</v>
      </c>
      <c r="E37" s="10" t="n">
        <f aca="false">C37+Eval_Start_Week-1</f>
        <v>3174</v>
      </c>
      <c r="F37" s="10" t="n">
        <f aca="false">C37+Cal_Start_Week-1</f>
        <v>3158</v>
      </c>
      <c r="G37" s="10" t="n">
        <f aca="false">C37+Cal_End_Week-1</f>
        <v>3209</v>
      </c>
      <c r="H37" s="19" t="n">
        <f aca="false">SUM(INDEX(Forecast_Walkforward!$C:$C,$E37):INDEX(Forecast_Walkforward!$C:$C,$D37))</f>
        <v>1948</v>
      </c>
      <c r="I37" s="26" t="n">
        <f aca="false">SUM(INDEX(Forecast_Walkforward!$L:$L,$E37):INDEX(Forecast_Walkforward!$L:$L,$D37))/$H37</f>
        <v>0.377310061601643</v>
      </c>
      <c r="J37" s="26" t="n">
        <f aca="false">SUM(INDEX(Forecast_Walkforward!$M:$M,$E37):INDEX(Forecast_Walkforward!$M:$M,$D37))/$H37</f>
        <v>0.286832648870637</v>
      </c>
      <c r="K37" s="26" t="n">
        <f aca="false">SUM(INDEX(Forecast_Walkforward!$N:$N,$E37):INDEX(Forecast_Walkforward!$N:$N,$D37))/$H37</f>
        <v>0.282020020533881</v>
      </c>
      <c r="L37" s="26" t="n">
        <f aca="false">SUM(INDEX(Forecast_Walkforward!$O:$O,$E37):INDEX(Forecast_Walkforward!$O:$O,$D37))/$H37</f>
        <v>0.292660679839777</v>
      </c>
      <c r="M37" s="27" t="n">
        <f aca="false">SUM(INDEX(Forecast_Walkforward!$H:$H,$E37):INDEX(Forecast_Walkforward!$H:$H,$D37))/$H37</f>
        <v>-0.00770020533880903</v>
      </c>
      <c r="N37" s="27" t="n">
        <f aca="false">SUM(INDEX(Forecast_Walkforward!$I:$I,$E37):INDEX(Forecast_Walkforward!$I:$I,$D37))/$H37</f>
        <v>0.0121919917864476</v>
      </c>
      <c r="O37" s="27" t="n">
        <f aca="false">SUM(INDEX(Forecast_Walkforward!$J:$J,$E37):INDEX(Forecast_Walkforward!$J:$J,$D37))/$H37</f>
        <v>0.0163629363449692</v>
      </c>
      <c r="P37" s="27" t="n">
        <f aca="false">SUM(INDEX(Forecast_Walkforward!$K:$K,$E37):INDEX(Forecast_Walkforward!$K:$K,$D37))/$H37</f>
        <v>0.0104515922553717</v>
      </c>
      <c r="Q37" s="28" t="n">
        <f aca="false">_xlfn.STDEV.S(INDEX(Forecast_Walkforward!$H:$H,$E37):INDEX(Forecast_Walkforward!$H:$H,$D37))</f>
        <v>17.5625900748081</v>
      </c>
      <c r="R37" s="28" t="n">
        <f aca="false">_xlfn.STDEV.S(INDEX(Forecast_Walkforward!$I:$I,$E37):INDEX(Forecast_Walkforward!$I:$I,$D37))</f>
        <v>13.2060147795414</v>
      </c>
      <c r="S37" s="28" t="n">
        <f aca="false">_xlfn.STDEV.S(INDEX(Forecast_Walkforward!$J:$J,$E37):INDEX(Forecast_Walkforward!$J:$J,$D37))</f>
        <v>12.76679160563</v>
      </c>
      <c r="T37" s="28" t="n">
        <f aca="false">_xlfn.STDEV.S(INDEX(Forecast_Walkforward!$K:$K,$E37):INDEX(Forecast_Walkforward!$K:$K,$D37))</f>
        <v>13.4258721610293</v>
      </c>
      <c r="U37" s="28" t="n">
        <f aca="false">INDEX(Forecast_Walkforward!$C:$C,$D37)</f>
        <v>43</v>
      </c>
      <c r="V37" s="28" t="n">
        <f aca="false">AVERAGE(INDEX(Forecast_Walkforward!$C:$C,$D37-3):INDEX(Forecast_Walkforward!$C:$C,$D37))</f>
        <v>36.5</v>
      </c>
      <c r="W37" s="28" t="n">
        <f aca="false">AVERAGE(INDEX(Forecast_Walkforward!$C:$C,$D37-7):INDEX(Forecast_Walkforward!$C:$C,$D37))</f>
        <v>41.875</v>
      </c>
      <c r="X37" s="28" t="n">
        <f aca="false">SES_Alpha*INDEX(Forecast_Walkforward!$C:$C,$D37)+(1-SES_Alpha)*INDEX(Forecast_Walkforward!$G:$G,$D37)</f>
        <v>38.8768100516912</v>
      </c>
      <c r="Y37" s="26" t="n">
        <f aca="false">MIN(I37:L37)</f>
        <v>0.282020020533881</v>
      </c>
      <c r="Z37" s="29" t="b">
        <f aca="false">I37&lt;=$Y37+WAPE_Tol</f>
        <v>0</v>
      </c>
      <c r="AA37" s="29" t="b">
        <f aca="false">J37&lt;=$Y37+WAPE_Tol</f>
        <v>1</v>
      </c>
      <c r="AB37" s="29" t="b">
        <f aca="false">K37&lt;=$Y37+WAPE_Tol</f>
        <v>1</v>
      </c>
      <c r="AC37" s="29" t="b">
        <f aca="false">L37&lt;=$Y37+WAPE_Tol</f>
        <v>0</v>
      </c>
      <c r="AD37" s="19" t="n">
        <f aca="false">MATCH(TRUE(),Z37:AC37,0)</f>
        <v>2</v>
      </c>
      <c r="AE37" s="12" t="str">
        <f aca="false">CHOOSE(AD37,"Naive","MA4","MA8","SES")</f>
        <v>MA4</v>
      </c>
      <c r="AF37" s="30" t="n">
        <f aca="false">INDEX(U37:X37,AD37)</f>
        <v>36.5</v>
      </c>
      <c r="AG37" s="26" t="n">
        <f aca="false">INDEX(I37:L37,AD37)</f>
        <v>0.286832648870637</v>
      </c>
      <c r="AH37" s="27" t="n">
        <f aca="false">INDEX(M37:P37,AD37)</f>
        <v>0.0121919917864476</v>
      </c>
      <c r="AI37" s="28" t="n">
        <f aca="false">INDEX(Q37:T37,AD37)</f>
        <v>13.2060147795414</v>
      </c>
      <c r="AJ37" s="19" t="n">
        <f aca="false">AG37*H37</f>
        <v>558.75</v>
      </c>
      <c r="AK37" s="19" t="n">
        <f aca="false">SUM(INDEX(Forecast_Walkforward!$C:$C,$F37):INDEX(Forecast_Walkforward!$C:$C,$G37))</f>
        <v>2021</v>
      </c>
      <c r="AL37" s="26" t="n">
        <f aca="false">SUM(INDEX(Forecast_Walkforward!$L:$L,$F37):INDEX(Forecast_Walkforward!$L:$L,$G37))/$AK37</f>
        <v>0.34735279564572</v>
      </c>
      <c r="AM37" s="26" t="n">
        <f aca="false">SUM(INDEX(Forecast_Walkforward!$M:$M,$F37):INDEX(Forecast_Walkforward!$M:$M,$G37))/$AK37</f>
        <v>0.290821375556655</v>
      </c>
      <c r="AN37" s="26" t="n">
        <f aca="false">SUM(INDEX(Forecast_Walkforward!$N:$N,$F37):INDEX(Forecast_Walkforward!$N:$N,$G37))/$AK37</f>
        <v>0.273255813953488</v>
      </c>
      <c r="AO37" s="26" t="n">
        <f aca="false">SUM(INDEX(Forecast_Walkforward!$O:$O,$F37):INDEX(Forecast_Walkforward!$O:$O,$G37))/$AK37</f>
        <v>0.283757233228575</v>
      </c>
      <c r="AP37" s="28" t="n">
        <f aca="false">_xlfn.STDEV.S(INDEX(Forecast_Walkforward!$H:$H,$F37):INDEX(Forecast_Walkforward!$H:$H,$G37))</f>
        <v>17.1431291725885</v>
      </c>
      <c r="AQ37" s="28" t="n">
        <f aca="false">_xlfn.STDEV.S(INDEX(Forecast_Walkforward!$I:$I,$F37):INDEX(Forecast_Walkforward!$I:$I,$G37))</f>
        <v>13.5767494268695</v>
      </c>
      <c r="AR37" s="28" t="n">
        <f aca="false">_xlfn.STDEV.S(INDEX(Forecast_Walkforward!$J:$J,$F37):INDEX(Forecast_Walkforward!$J:$J,$G37))</f>
        <v>12.6643689742457</v>
      </c>
      <c r="AS37" s="28" t="n">
        <f aca="false">_xlfn.STDEV.S(INDEX(Forecast_Walkforward!$K:$K,$F37):INDEX(Forecast_Walkforward!$K:$K,$G37))</f>
        <v>13.3214627181695</v>
      </c>
      <c r="AT37" s="26" t="n">
        <f aca="false">MIN(AL37:AO37)</f>
        <v>0.273255813953488</v>
      </c>
      <c r="AU37" s="29" t="b">
        <f aca="false">AL37&lt;=$AT37+WAPE_Tol</f>
        <v>0</v>
      </c>
      <c r="AV37" s="29" t="b">
        <f aca="false">AM37&lt;=$AT37+WAPE_Tol</f>
        <v>0</v>
      </c>
      <c r="AW37" s="29" t="b">
        <f aca="false">AN37&lt;=$AT37+WAPE_Tol</f>
        <v>1</v>
      </c>
      <c r="AX37" s="29" t="b">
        <f aca="false">AO37&lt;=$AT37+WAPE_Tol</f>
        <v>0</v>
      </c>
      <c r="AY37" s="19" t="n">
        <f aca="false">MATCH(TRUE(),AU37:AX37,0)</f>
        <v>3</v>
      </c>
      <c r="AZ37" s="10" t="str">
        <f aca="false">CHOOSE(AY37,"Naive","MA4","MA8","SES")</f>
        <v>MA8</v>
      </c>
      <c r="BA37" s="28" t="n">
        <f aca="false">INDEX(AP37:AS37,AY37)</f>
        <v>12.6643689742457</v>
      </c>
    </row>
    <row r="38" customFormat="false" ht="15" hidden="false" customHeight="false" outlineLevel="0" collapsed="false">
      <c r="A38" s="11" t="str">
        <f aca="false">Inputs!B71</f>
        <v>ELE-003</v>
      </c>
      <c r="B38" s="11" t="str">
        <f aca="false">Inputs!C71</f>
        <v>Hand Blender 800W</v>
      </c>
      <c r="C38" s="10" t="n">
        <f aca="false">MATCH(A38,Demand_History!$C:$C,0)</f>
        <v>3226</v>
      </c>
      <c r="D38" s="10" t="n">
        <f aca="false">C38+Weeks_History-1</f>
        <v>3329</v>
      </c>
      <c r="E38" s="10" t="n">
        <f aca="false">C38+Eval_Start_Week-1</f>
        <v>3278</v>
      </c>
      <c r="F38" s="10" t="n">
        <f aca="false">C38+Cal_Start_Week-1</f>
        <v>3262</v>
      </c>
      <c r="G38" s="10" t="n">
        <f aca="false">C38+Cal_End_Week-1</f>
        <v>3313</v>
      </c>
      <c r="H38" s="19" t="n">
        <f aca="false">SUM(INDEX(Forecast_Walkforward!$C:$C,$E38):INDEX(Forecast_Walkforward!$C:$C,$D38))</f>
        <v>1723</v>
      </c>
      <c r="I38" s="26" t="n">
        <f aca="false">SUM(INDEX(Forecast_Walkforward!$L:$L,$E38):INDEX(Forecast_Walkforward!$L:$L,$D38))/$H38</f>
        <v>0.179918746372606</v>
      </c>
      <c r="J38" s="26" t="n">
        <f aca="false">SUM(INDEX(Forecast_Walkforward!$M:$M,$E38):INDEX(Forecast_Walkforward!$M:$M,$D38))/$H38</f>
        <v>0.144225188624492</v>
      </c>
      <c r="K38" s="26" t="n">
        <f aca="false">SUM(INDEX(Forecast_Walkforward!$N:$N,$E38):INDEX(Forecast_Walkforward!$N:$N,$D38))/$H38</f>
        <v>0.136752756819501</v>
      </c>
      <c r="L38" s="26" t="n">
        <f aca="false">SUM(INDEX(Forecast_Walkforward!$O:$O,$E38):INDEX(Forecast_Walkforward!$O:$O,$D38))/$H38</f>
        <v>0.140909809672417</v>
      </c>
      <c r="M38" s="27" t="n">
        <f aca="false">SUM(INDEX(Forecast_Walkforward!$H:$H,$E38):INDEX(Forecast_Walkforward!$H:$H,$D38))/$H38</f>
        <v>-0.00812536273940801</v>
      </c>
      <c r="N38" s="27" t="n">
        <f aca="false">SUM(INDEX(Forecast_Walkforward!$I:$I,$E38):INDEX(Forecast_Walkforward!$I:$I,$D38))/$H38</f>
        <v>-0.0130586186883343</v>
      </c>
      <c r="O38" s="27" t="n">
        <f aca="false">SUM(INDEX(Forecast_Walkforward!$J:$J,$E38):INDEX(Forecast_Walkforward!$J:$J,$D38))/$H38</f>
        <v>-0.0206761462565293</v>
      </c>
      <c r="P38" s="27" t="n">
        <f aca="false">SUM(INDEX(Forecast_Walkforward!$K:$K,$E38):INDEX(Forecast_Walkforward!$K:$K,$D38))/$H38</f>
        <v>-0.0165917616346956</v>
      </c>
      <c r="Q38" s="28" t="n">
        <f aca="false">_xlfn.STDEV.S(INDEX(Forecast_Walkforward!$H:$H,$E38):INDEX(Forecast_Walkforward!$H:$H,$D38))</f>
        <v>7.52542197270492</v>
      </c>
      <c r="R38" s="28" t="n">
        <f aca="false">_xlfn.STDEV.S(INDEX(Forecast_Walkforward!$I:$I,$E38):INDEX(Forecast_Walkforward!$I:$I,$D38))</f>
        <v>5.7571599464117</v>
      </c>
      <c r="S38" s="28" t="n">
        <f aca="false">_xlfn.STDEV.S(INDEX(Forecast_Walkforward!$J:$J,$E38):INDEX(Forecast_Walkforward!$J:$J,$D38))</f>
        <v>5.28301305614111</v>
      </c>
      <c r="T38" s="28" t="n">
        <f aca="false">_xlfn.STDEV.S(INDEX(Forecast_Walkforward!$K:$K,$E38):INDEX(Forecast_Walkforward!$K:$K,$D38))</f>
        <v>5.55840980285936</v>
      </c>
      <c r="U38" s="28" t="n">
        <f aca="false">INDEX(Forecast_Walkforward!$C:$C,$D38)</f>
        <v>43</v>
      </c>
      <c r="V38" s="28" t="n">
        <f aca="false">AVERAGE(INDEX(Forecast_Walkforward!$C:$C,$D38-3):INDEX(Forecast_Walkforward!$C:$C,$D38))</f>
        <v>36.5</v>
      </c>
      <c r="W38" s="28" t="n">
        <f aca="false">AVERAGE(INDEX(Forecast_Walkforward!$C:$C,$D38-7):INDEX(Forecast_Walkforward!$C:$C,$D38))</f>
        <v>35.5</v>
      </c>
      <c r="X38" s="28" t="n">
        <f aca="false">SES_Alpha*INDEX(Forecast_Walkforward!$C:$C,$D38)+(1-SES_Alpha)*INDEX(Forecast_Walkforward!$G:$G,$D38)</f>
        <v>36.6522230247049</v>
      </c>
      <c r="Y38" s="26" t="n">
        <f aca="false">MIN(I38:L38)</f>
        <v>0.136752756819501</v>
      </c>
      <c r="Z38" s="29" t="b">
        <f aca="false">I38&lt;=$Y38+WAPE_Tol</f>
        <v>0</v>
      </c>
      <c r="AA38" s="29" t="b">
        <f aca="false">J38&lt;=$Y38+WAPE_Tol</f>
        <v>1</v>
      </c>
      <c r="AB38" s="29" t="b">
        <f aca="false">K38&lt;=$Y38+WAPE_Tol</f>
        <v>1</v>
      </c>
      <c r="AC38" s="29" t="b">
        <f aca="false">L38&lt;=$Y38+WAPE_Tol</f>
        <v>1</v>
      </c>
      <c r="AD38" s="19" t="n">
        <f aca="false">MATCH(TRUE(),Z38:AC38,0)</f>
        <v>2</v>
      </c>
      <c r="AE38" s="12" t="str">
        <f aca="false">CHOOSE(AD38,"Naive","MA4","MA8","SES")</f>
        <v>MA4</v>
      </c>
      <c r="AF38" s="30" t="n">
        <f aca="false">INDEX(U38:X38,AD38)</f>
        <v>36.5</v>
      </c>
      <c r="AG38" s="26" t="n">
        <f aca="false">INDEX(I38:L38,AD38)</f>
        <v>0.144225188624492</v>
      </c>
      <c r="AH38" s="27" t="n">
        <f aca="false">INDEX(M38:P38,AD38)</f>
        <v>-0.0130586186883343</v>
      </c>
      <c r="AI38" s="28" t="n">
        <f aca="false">INDEX(Q38:T38,AD38)</f>
        <v>5.7571599464117</v>
      </c>
      <c r="AJ38" s="19" t="n">
        <f aca="false">AG38*H38</f>
        <v>248.5</v>
      </c>
      <c r="AK38" s="19" t="n">
        <f aca="false">SUM(INDEX(Forecast_Walkforward!$C:$C,$F38):INDEX(Forecast_Walkforward!$C:$C,$G38))</f>
        <v>1580</v>
      </c>
      <c r="AL38" s="26" t="n">
        <f aca="false">SUM(INDEX(Forecast_Walkforward!$L:$L,$F38):INDEX(Forecast_Walkforward!$L:$L,$G38))/$AK38</f>
        <v>0.174050632911392</v>
      </c>
      <c r="AM38" s="26" t="n">
        <f aca="false">SUM(INDEX(Forecast_Walkforward!$M:$M,$F38):INDEX(Forecast_Walkforward!$M:$M,$G38))/$AK38</f>
        <v>0.154430379746835</v>
      </c>
      <c r="AN38" s="26" t="n">
        <f aca="false">SUM(INDEX(Forecast_Walkforward!$N:$N,$F38):INDEX(Forecast_Walkforward!$N:$N,$G38))/$AK38</f>
        <v>0.144620253164557</v>
      </c>
      <c r="AO38" s="26" t="n">
        <f aca="false">SUM(INDEX(Forecast_Walkforward!$O:$O,$F38):INDEX(Forecast_Walkforward!$O:$O,$G38))/$AK38</f>
        <v>0.147193684079985</v>
      </c>
      <c r="AP38" s="28" t="n">
        <f aca="false">_xlfn.STDEV.S(INDEX(Forecast_Walkforward!$H:$H,$F38):INDEX(Forecast_Walkforward!$H:$H,$G38))</f>
        <v>6.77373487545061</v>
      </c>
      <c r="AQ38" s="28" t="n">
        <f aca="false">_xlfn.STDEV.S(INDEX(Forecast_Walkforward!$I:$I,$F38):INDEX(Forecast_Walkforward!$I:$I,$G38))</f>
        <v>5.52245860279711</v>
      </c>
      <c r="AR38" s="28" t="n">
        <f aca="false">_xlfn.STDEV.S(INDEX(Forecast_Walkforward!$J:$J,$F38):INDEX(Forecast_Walkforward!$J:$J,$G38))</f>
        <v>5.05674810104934</v>
      </c>
      <c r="AS38" s="28" t="n">
        <f aca="false">_xlfn.STDEV.S(INDEX(Forecast_Walkforward!$K:$K,$F38):INDEX(Forecast_Walkforward!$K:$K,$G38))</f>
        <v>5.23517086564336</v>
      </c>
      <c r="AT38" s="26" t="n">
        <f aca="false">MIN(AL38:AO38)</f>
        <v>0.144620253164557</v>
      </c>
      <c r="AU38" s="29" t="b">
        <f aca="false">AL38&lt;=$AT38+WAPE_Tol</f>
        <v>0</v>
      </c>
      <c r="AV38" s="29" t="b">
        <f aca="false">AM38&lt;=$AT38+WAPE_Tol</f>
        <v>1</v>
      </c>
      <c r="AW38" s="29" t="b">
        <f aca="false">AN38&lt;=$AT38+WAPE_Tol</f>
        <v>1</v>
      </c>
      <c r="AX38" s="29" t="b">
        <f aca="false">AO38&lt;=$AT38+WAPE_Tol</f>
        <v>1</v>
      </c>
      <c r="AY38" s="19" t="n">
        <f aca="false">MATCH(TRUE(),AU38:AX38,0)</f>
        <v>2</v>
      </c>
      <c r="AZ38" s="10" t="str">
        <f aca="false">CHOOSE(AY38,"Naive","MA4","MA8","SES")</f>
        <v>MA4</v>
      </c>
      <c r="BA38" s="28" t="n">
        <f aca="false">INDEX(AP38:AS38,AY38)</f>
        <v>5.52245860279711</v>
      </c>
    </row>
    <row r="39" customFormat="false" ht="15" hidden="false" customHeight="false" outlineLevel="0" collapsed="false">
      <c r="A39" s="11" t="str">
        <f aca="false">Inputs!B72</f>
        <v>ELE-004</v>
      </c>
      <c r="B39" s="11" t="str">
        <f aca="false">Inputs!C72</f>
        <v>Smart Plug 2-Pack</v>
      </c>
      <c r="C39" s="10" t="n">
        <f aca="false">MATCH(A39,Demand_History!$C:$C,0)</f>
        <v>3330</v>
      </c>
      <c r="D39" s="10" t="n">
        <f aca="false">C39+Weeks_History-1</f>
        <v>3433</v>
      </c>
      <c r="E39" s="10" t="n">
        <f aca="false">C39+Eval_Start_Week-1</f>
        <v>3382</v>
      </c>
      <c r="F39" s="10" t="n">
        <f aca="false">C39+Cal_Start_Week-1</f>
        <v>3366</v>
      </c>
      <c r="G39" s="10" t="n">
        <f aca="false">C39+Cal_End_Week-1</f>
        <v>3417</v>
      </c>
      <c r="H39" s="19" t="n">
        <f aca="false">SUM(INDEX(Forecast_Walkforward!$C:$C,$E39):INDEX(Forecast_Walkforward!$C:$C,$D39))</f>
        <v>5777</v>
      </c>
      <c r="I39" s="26" t="n">
        <f aca="false">SUM(INDEX(Forecast_Walkforward!$L:$L,$E39):INDEX(Forecast_Walkforward!$L:$L,$D39))/$H39</f>
        <v>0.149904794876233</v>
      </c>
      <c r="J39" s="26" t="n">
        <f aca="false">SUM(INDEX(Forecast_Walkforward!$M:$M,$E39):INDEX(Forecast_Walkforward!$M:$M,$D39))/$H39</f>
        <v>0.122381859096417</v>
      </c>
      <c r="K39" s="26" t="n">
        <f aca="false">SUM(INDEX(Forecast_Walkforward!$N:$N,$E39):INDEX(Forecast_Walkforward!$N:$N,$D39))/$H39</f>
        <v>0.109637355028562</v>
      </c>
      <c r="L39" s="26" t="n">
        <f aca="false">SUM(INDEX(Forecast_Walkforward!$O:$O,$E39):INDEX(Forecast_Walkforward!$O:$O,$D39))/$H39</f>
        <v>0.119524586944356</v>
      </c>
      <c r="M39" s="27" t="n">
        <f aca="false">SUM(INDEX(Forecast_Walkforward!$H:$H,$E39):INDEX(Forecast_Walkforward!$H:$H,$D39))/$H39</f>
        <v>-0.00173100225030293</v>
      </c>
      <c r="N39" s="27" t="n">
        <f aca="false">SUM(INDEX(Forecast_Walkforward!$I:$I,$E39):INDEX(Forecast_Walkforward!$I:$I,$D39))/$H39</f>
        <v>-0.0135018175523628</v>
      </c>
      <c r="O39" s="27" t="n">
        <f aca="false">SUM(INDEX(Forecast_Walkforward!$J:$J,$E39):INDEX(Forecast_Walkforward!$J:$J,$D39))/$H39</f>
        <v>-0.023519993075991</v>
      </c>
      <c r="P39" s="27" t="n">
        <f aca="false">SUM(INDEX(Forecast_Walkforward!$K:$K,$E39):INDEX(Forecast_Walkforward!$K:$K,$D39))/$H39</f>
        <v>-0.0175146663131421</v>
      </c>
      <c r="Q39" s="28" t="n">
        <f aca="false">_xlfn.STDEV.S(INDEX(Forecast_Walkforward!$H:$H,$E39):INDEX(Forecast_Walkforward!$H:$H,$D39))</f>
        <v>20.6578461204173</v>
      </c>
      <c r="R39" s="28" t="n">
        <f aca="false">_xlfn.STDEV.S(INDEX(Forecast_Walkforward!$I:$I,$E39):INDEX(Forecast_Walkforward!$I:$I,$D39))</f>
        <v>17.0265075921139</v>
      </c>
      <c r="S39" s="28" t="n">
        <f aca="false">_xlfn.STDEV.S(INDEX(Forecast_Walkforward!$J:$J,$E39):INDEX(Forecast_Walkforward!$J:$J,$D39))</f>
        <v>15.434580072656</v>
      </c>
      <c r="T39" s="28" t="n">
        <f aca="false">_xlfn.STDEV.S(INDEX(Forecast_Walkforward!$K:$K,$E39):INDEX(Forecast_Walkforward!$K:$K,$D39))</f>
        <v>16.3879037319144</v>
      </c>
      <c r="U39" s="28" t="n">
        <f aca="false">INDEX(Forecast_Walkforward!$C:$C,$D39)</f>
        <v>100</v>
      </c>
      <c r="V39" s="28" t="n">
        <f aca="false">AVERAGE(INDEX(Forecast_Walkforward!$C:$C,$D39-3):INDEX(Forecast_Walkforward!$C:$C,$D39))</f>
        <v>118</v>
      </c>
      <c r="W39" s="28" t="n">
        <f aca="false">AVERAGE(INDEX(Forecast_Walkforward!$C:$C,$D39-7):INDEX(Forecast_Walkforward!$C:$C,$D39))</f>
        <v>121</v>
      </c>
      <c r="X39" s="28" t="n">
        <f aca="false">SES_Alpha*INDEX(Forecast_Walkforward!$C:$C,$D39)+(1-SES_Alpha)*INDEX(Forecast_Walkforward!$G:$G,$D39)</f>
        <v>117.17117488321</v>
      </c>
      <c r="Y39" s="26" t="n">
        <f aca="false">MIN(I39:L39)</f>
        <v>0.109637355028562</v>
      </c>
      <c r="Z39" s="29" t="b">
        <f aca="false">I39&lt;=$Y39+WAPE_Tol</f>
        <v>0</v>
      </c>
      <c r="AA39" s="29" t="b">
        <f aca="false">J39&lt;=$Y39+WAPE_Tol</f>
        <v>0</v>
      </c>
      <c r="AB39" s="29" t="b">
        <f aca="false">K39&lt;=$Y39+WAPE_Tol</f>
        <v>1</v>
      </c>
      <c r="AC39" s="29" t="b">
        <f aca="false">L39&lt;=$Y39+WAPE_Tol</f>
        <v>1</v>
      </c>
      <c r="AD39" s="19" t="n">
        <f aca="false">MATCH(TRUE(),Z39:AC39,0)</f>
        <v>3</v>
      </c>
      <c r="AE39" s="12" t="str">
        <f aca="false">CHOOSE(AD39,"Naive","MA4","MA8","SES")</f>
        <v>MA8</v>
      </c>
      <c r="AF39" s="30" t="n">
        <f aca="false">INDEX(U39:X39,AD39)</f>
        <v>121</v>
      </c>
      <c r="AG39" s="26" t="n">
        <f aca="false">INDEX(I39:L39,AD39)</f>
        <v>0.109637355028562</v>
      </c>
      <c r="AH39" s="27" t="n">
        <f aca="false">INDEX(M39:P39,AD39)</f>
        <v>-0.023519993075991</v>
      </c>
      <c r="AI39" s="28" t="n">
        <f aca="false">INDEX(Q39:T39,AD39)</f>
        <v>15.434580072656</v>
      </c>
      <c r="AJ39" s="19" t="n">
        <f aca="false">AG39*H39</f>
        <v>633.375</v>
      </c>
      <c r="AK39" s="19" t="n">
        <f aca="false">SUM(INDEX(Forecast_Walkforward!$C:$C,$F39):INDEX(Forecast_Walkforward!$C:$C,$G39))</f>
        <v>5264</v>
      </c>
      <c r="AL39" s="26" t="n">
        <f aca="false">SUM(INDEX(Forecast_Walkforward!$L:$L,$F39):INDEX(Forecast_Walkforward!$L:$L,$G39))/$AK39</f>
        <v>0.162234042553192</v>
      </c>
      <c r="AM39" s="26" t="n">
        <f aca="false">SUM(INDEX(Forecast_Walkforward!$M:$M,$F39):INDEX(Forecast_Walkforward!$M:$M,$G39))/$AK39</f>
        <v>0.125332446808511</v>
      </c>
      <c r="AN39" s="26" t="n">
        <f aca="false">SUM(INDEX(Forecast_Walkforward!$N:$N,$F39):INDEX(Forecast_Walkforward!$N:$N,$G39))/$AK39</f>
        <v>0.112675721884498</v>
      </c>
      <c r="AO39" s="26" t="n">
        <f aca="false">SUM(INDEX(Forecast_Walkforward!$O:$O,$F39):INDEX(Forecast_Walkforward!$O:$O,$G39))/$AK39</f>
        <v>0.123443519736519</v>
      </c>
      <c r="AP39" s="28" t="n">
        <f aca="false">_xlfn.STDEV.S(INDEX(Forecast_Walkforward!$H:$H,$F39):INDEX(Forecast_Walkforward!$H:$H,$G39))</f>
        <v>19.9734741138081</v>
      </c>
      <c r="AQ39" s="28" t="n">
        <f aca="false">_xlfn.STDEV.S(INDEX(Forecast_Walkforward!$I:$I,$F39):INDEX(Forecast_Walkforward!$I:$I,$G39))</f>
        <v>16.1964361140928</v>
      </c>
      <c r="AR39" s="28" t="n">
        <f aca="false">_xlfn.STDEV.S(INDEX(Forecast_Walkforward!$J:$J,$F39):INDEX(Forecast_Walkforward!$J:$J,$G39))</f>
        <v>14.4082144231642</v>
      </c>
      <c r="AS39" s="28" t="n">
        <f aca="false">_xlfn.STDEV.S(INDEX(Forecast_Walkforward!$K:$K,$F39):INDEX(Forecast_Walkforward!$K:$K,$G39))</f>
        <v>15.7017461338212</v>
      </c>
      <c r="AT39" s="26" t="n">
        <f aca="false">MIN(AL39:AO39)</f>
        <v>0.112675721884498</v>
      </c>
      <c r="AU39" s="29" t="b">
        <f aca="false">AL39&lt;=$AT39+WAPE_Tol</f>
        <v>0</v>
      </c>
      <c r="AV39" s="29" t="b">
        <f aca="false">AM39&lt;=$AT39+WAPE_Tol</f>
        <v>0</v>
      </c>
      <c r="AW39" s="29" t="b">
        <f aca="false">AN39&lt;=$AT39+WAPE_Tol</f>
        <v>1</v>
      </c>
      <c r="AX39" s="29" t="b">
        <f aca="false">AO39&lt;=$AT39+WAPE_Tol</f>
        <v>0</v>
      </c>
      <c r="AY39" s="19" t="n">
        <f aca="false">MATCH(TRUE(),AU39:AX39,0)</f>
        <v>3</v>
      </c>
      <c r="AZ39" s="10" t="str">
        <f aca="false">CHOOSE(AY39,"Naive","MA4","MA8","SES")</f>
        <v>MA8</v>
      </c>
      <c r="BA39" s="28" t="n">
        <f aca="false">INDEX(AP39:AS39,AY39)</f>
        <v>14.4082144231642</v>
      </c>
    </row>
    <row r="40" customFormat="false" ht="15" hidden="false" customHeight="false" outlineLevel="0" collapsed="false">
      <c r="A40" s="11" t="str">
        <f aca="false">Inputs!B73</f>
        <v>ELE-005</v>
      </c>
      <c r="B40" s="11" t="str">
        <f aca="false">Inputs!C73</f>
        <v>Mini Bluetooth Speaker</v>
      </c>
      <c r="C40" s="10" t="n">
        <f aca="false">MATCH(A40,Demand_History!$C:$C,0)</f>
        <v>3434</v>
      </c>
      <c r="D40" s="10" t="n">
        <f aca="false">C40+Weeks_History-1</f>
        <v>3537</v>
      </c>
      <c r="E40" s="10" t="n">
        <f aca="false">C40+Eval_Start_Week-1</f>
        <v>3486</v>
      </c>
      <c r="F40" s="10" t="n">
        <f aca="false">C40+Cal_Start_Week-1</f>
        <v>3470</v>
      </c>
      <c r="G40" s="10" t="n">
        <f aca="false">C40+Cal_End_Week-1</f>
        <v>3521</v>
      </c>
      <c r="H40" s="19" t="n">
        <f aca="false">SUM(INDEX(Forecast_Walkforward!$C:$C,$E40):INDEX(Forecast_Walkforward!$C:$C,$D40))</f>
        <v>1918</v>
      </c>
      <c r="I40" s="26" t="n">
        <f aca="false">SUM(INDEX(Forecast_Walkforward!$L:$L,$E40):INDEX(Forecast_Walkforward!$L:$L,$D40))/$H40</f>
        <v>0.129822732012513</v>
      </c>
      <c r="J40" s="26" t="n">
        <f aca="false">SUM(INDEX(Forecast_Walkforward!$M:$M,$E40):INDEX(Forecast_Walkforward!$M:$M,$D40))/$H40</f>
        <v>0.115875912408759</v>
      </c>
      <c r="K40" s="26" t="n">
        <f aca="false">SUM(INDEX(Forecast_Walkforward!$N:$N,$E40):INDEX(Forecast_Walkforward!$N:$N,$D40))/$H40</f>
        <v>0.112291449426486</v>
      </c>
      <c r="L40" s="26" t="n">
        <f aca="false">SUM(INDEX(Forecast_Walkforward!$O:$O,$E40):INDEX(Forecast_Walkforward!$O:$O,$D40))/$H40</f>
        <v>0.111341721448037</v>
      </c>
      <c r="M40" s="27" t="n">
        <f aca="false">SUM(INDEX(Forecast_Walkforward!$H:$H,$E40):INDEX(Forecast_Walkforward!$H:$H,$D40))/$H40</f>
        <v>0.00364963503649635</v>
      </c>
      <c r="N40" s="27" t="n">
        <f aca="false">SUM(INDEX(Forecast_Walkforward!$I:$I,$E40):INDEX(Forecast_Walkforward!$I:$I,$D40))/$H40</f>
        <v>0.0175964546402503</v>
      </c>
      <c r="O40" s="27" t="n">
        <f aca="false">SUM(INDEX(Forecast_Walkforward!$J:$J,$E40):INDEX(Forecast_Walkforward!$J:$J,$D40))/$H40</f>
        <v>0.0323905109489051</v>
      </c>
      <c r="P40" s="27" t="n">
        <f aca="false">SUM(INDEX(Forecast_Walkforward!$K:$K,$E40):INDEX(Forecast_Walkforward!$K:$K,$D40))/$H40</f>
        <v>0.0234642513363113</v>
      </c>
      <c r="Q40" s="28" t="n">
        <f aca="false">_xlfn.STDEV.S(INDEX(Forecast_Walkforward!$H:$H,$E40):INDEX(Forecast_Walkforward!$H:$H,$D40))</f>
        <v>6.00662655691766</v>
      </c>
      <c r="R40" s="28" t="n">
        <f aca="false">_xlfn.STDEV.S(INDEX(Forecast_Walkforward!$I:$I,$E40):INDEX(Forecast_Walkforward!$I:$I,$D40))</f>
        <v>4.97844855730251</v>
      </c>
      <c r="S40" s="28" t="n">
        <f aca="false">_xlfn.STDEV.S(INDEX(Forecast_Walkforward!$J:$J,$E40):INDEX(Forecast_Walkforward!$J:$J,$D40))</f>
        <v>5.00057677197474</v>
      </c>
      <c r="T40" s="28" t="n">
        <f aca="false">_xlfn.STDEV.S(INDEX(Forecast_Walkforward!$K:$K,$E40):INDEX(Forecast_Walkforward!$K:$K,$D40))</f>
        <v>4.85445028142419</v>
      </c>
      <c r="U40" s="28" t="n">
        <f aca="false">INDEX(Forecast_Walkforward!$C:$C,$D40)</f>
        <v>30</v>
      </c>
      <c r="V40" s="28" t="n">
        <f aca="false">AVERAGE(INDEX(Forecast_Walkforward!$C:$C,$D40-3):INDEX(Forecast_Walkforward!$C:$C,$D40))</f>
        <v>26.75</v>
      </c>
      <c r="W40" s="28" t="n">
        <f aca="false">AVERAGE(INDEX(Forecast_Walkforward!$C:$C,$D40-7):INDEX(Forecast_Walkforward!$C:$C,$D40))</f>
        <v>29</v>
      </c>
      <c r="X40" s="28" t="n">
        <f aca="false">SES_Alpha*INDEX(Forecast_Walkforward!$C:$C,$D40)+(1-SES_Alpha)*INDEX(Forecast_Walkforward!$G:$G,$D40)</f>
        <v>27.9060662262492</v>
      </c>
      <c r="Y40" s="26" t="n">
        <f aca="false">MIN(I40:L40)</f>
        <v>0.111341721448037</v>
      </c>
      <c r="Z40" s="29" t="b">
        <f aca="false">I40&lt;=$Y40+WAPE_Tol</f>
        <v>0</v>
      </c>
      <c r="AA40" s="29" t="b">
        <f aca="false">J40&lt;=$Y40+WAPE_Tol</f>
        <v>1</v>
      </c>
      <c r="AB40" s="29" t="b">
        <f aca="false">K40&lt;=$Y40+WAPE_Tol</f>
        <v>1</v>
      </c>
      <c r="AC40" s="29" t="b">
        <f aca="false">L40&lt;=$Y40+WAPE_Tol</f>
        <v>1</v>
      </c>
      <c r="AD40" s="19" t="n">
        <f aca="false">MATCH(TRUE(),Z40:AC40,0)</f>
        <v>2</v>
      </c>
      <c r="AE40" s="12" t="str">
        <f aca="false">CHOOSE(AD40,"Naive","MA4","MA8","SES")</f>
        <v>MA4</v>
      </c>
      <c r="AF40" s="30" t="n">
        <f aca="false">INDEX(U40:X40,AD40)</f>
        <v>26.75</v>
      </c>
      <c r="AG40" s="26" t="n">
        <f aca="false">INDEX(I40:L40,AD40)</f>
        <v>0.115875912408759</v>
      </c>
      <c r="AH40" s="27" t="n">
        <f aca="false">INDEX(M40:P40,AD40)</f>
        <v>0.0175964546402503</v>
      </c>
      <c r="AI40" s="28" t="n">
        <f aca="false">INDEX(Q40:T40,AD40)</f>
        <v>4.97844855730251</v>
      </c>
      <c r="AJ40" s="19" t="n">
        <f aca="false">AG40*H40</f>
        <v>222.25</v>
      </c>
      <c r="AK40" s="19" t="n">
        <f aca="false">SUM(INDEX(Forecast_Walkforward!$C:$C,$F40):INDEX(Forecast_Walkforward!$C:$C,$G40))</f>
        <v>2146</v>
      </c>
      <c r="AL40" s="26" t="n">
        <f aca="false">SUM(INDEX(Forecast_Walkforward!$L:$L,$F40):INDEX(Forecast_Walkforward!$L:$L,$G40))/$AK40</f>
        <v>0.125349487418453</v>
      </c>
      <c r="AM40" s="26" t="n">
        <f aca="false">SUM(INDEX(Forecast_Walkforward!$M:$M,$F40):INDEX(Forecast_Walkforward!$M:$M,$G40))/$AK40</f>
        <v>0.103215284249767</v>
      </c>
      <c r="AN40" s="26" t="n">
        <f aca="false">SUM(INDEX(Forecast_Walkforward!$N:$N,$F40):INDEX(Forecast_Walkforward!$N:$N,$G40))/$AK40</f>
        <v>0.106651910531221</v>
      </c>
      <c r="AO40" s="26" t="n">
        <f aca="false">SUM(INDEX(Forecast_Walkforward!$O:$O,$F40):INDEX(Forecast_Walkforward!$O:$O,$G40))/$AK40</f>
        <v>0.104035099519462</v>
      </c>
      <c r="AP40" s="28" t="n">
        <f aca="false">_xlfn.STDEV.S(INDEX(Forecast_Walkforward!$H:$H,$F40):INDEX(Forecast_Walkforward!$H:$H,$G40))</f>
        <v>6.44043949860126</v>
      </c>
      <c r="AQ40" s="28" t="n">
        <f aca="false">_xlfn.STDEV.S(INDEX(Forecast_Walkforward!$I:$I,$F40):INDEX(Forecast_Walkforward!$I:$I,$G40))</f>
        <v>5.24319029739728</v>
      </c>
      <c r="AR40" s="28" t="n">
        <f aca="false">_xlfn.STDEV.S(INDEX(Forecast_Walkforward!$J:$J,$F40):INDEX(Forecast_Walkforward!$J:$J,$G40))</f>
        <v>5.19653055577653</v>
      </c>
      <c r="AS40" s="28" t="n">
        <f aca="false">_xlfn.STDEV.S(INDEX(Forecast_Walkforward!$K:$K,$F40):INDEX(Forecast_Walkforward!$K:$K,$G40))</f>
        <v>5.11405349122768</v>
      </c>
      <c r="AT40" s="26" t="n">
        <f aca="false">MIN(AL40:AO40)</f>
        <v>0.103215284249767</v>
      </c>
      <c r="AU40" s="29" t="b">
        <f aca="false">AL40&lt;=$AT40+WAPE_Tol</f>
        <v>0</v>
      </c>
      <c r="AV40" s="29" t="b">
        <f aca="false">AM40&lt;=$AT40+WAPE_Tol</f>
        <v>1</v>
      </c>
      <c r="AW40" s="29" t="b">
        <f aca="false">AN40&lt;=$AT40+WAPE_Tol</f>
        <v>1</v>
      </c>
      <c r="AX40" s="29" t="b">
        <f aca="false">AO40&lt;=$AT40+WAPE_Tol</f>
        <v>1</v>
      </c>
      <c r="AY40" s="19" t="n">
        <f aca="false">MATCH(TRUE(),AU40:AX40,0)</f>
        <v>2</v>
      </c>
      <c r="AZ40" s="10" t="str">
        <f aca="false">CHOOSE(AY40,"Naive","MA4","MA8","SES")</f>
        <v>MA4</v>
      </c>
      <c r="BA40" s="28" t="n">
        <f aca="false">INDEX(AP40:AS40,AY40)</f>
        <v>5.24319029739728</v>
      </c>
    </row>
    <row r="41" customFormat="false" ht="15" hidden="false" customHeight="false" outlineLevel="0" collapsed="false">
      <c r="A41" s="11" t="str">
        <f aca="false">Inputs!B74</f>
        <v>ELE-006</v>
      </c>
      <c r="B41" s="11" t="str">
        <f aca="false">Inputs!C74</f>
        <v>USB-C Charging Hub</v>
      </c>
      <c r="C41" s="10" t="n">
        <f aca="false">MATCH(A41,Demand_History!$C:$C,0)</f>
        <v>3538</v>
      </c>
      <c r="D41" s="10" t="n">
        <f aca="false">C41+Weeks_History-1</f>
        <v>3641</v>
      </c>
      <c r="E41" s="10" t="n">
        <f aca="false">C41+Eval_Start_Week-1</f>
        <v>3590</v>
      </c>
      <c r="F41" s="10" t="n">
        <f aca="false">C41+Cal_Start_Week-1</f>
        <v>3574</v>
      </c>
      <c r="G41" s="10" t="n">
        <f aca="false">C41+Cal_End_Week-1</f>
        <v>3625</v>
      </c>
      <c r="H41" s="19" t="n">
        <f aca="false">SUM(INDEX(Forecast_Walkforward!$C:$C,$E41):INDEX(Forecast_Walkforward!$C:$C,$D41))</f>
        <v>3290</v>
      </c>
      <c r="I41" s="26" t="n">
        <f aca="false">SUM(INDEX(Forecast_Walkforward!$L:$L,$E41):INDEX(Forecast_Walkforward!$L:$L,$D41))/$H41</f>
        <v>0.100607902735562</v>
      </c>
      <c r="J41" s="26" t="n">
        <f aca="false">SUM(INDEX(Forecast_Walkforward!$M:$M,$E41):INDEX(Forecast_Walkforward!$M:$M,$D41))/$H41</f>
        <v>0.0860942249240122</v>
      </c>
      <c r="K41" s="26" t="n">
        <f aca="false">SUM(INDEX(Forecast_Walkforward!$N:$N,$E41):INDEX(Forecast_Walkforward!$N:$N,$D41))/$H41</f>
        <v>0.0941489361702128</v>
      </c>
      <c r="L41" s="26" t="n">
        <f aca="false">SUM(INDEX(Forecast_Walkforward!$O:$O,$E41):INDEX(Forecast_Walkforward!$O:$O,$D41))/$H41</f>
        <v>0.0862394502118493</v>
      </c>
      <c r="M41" s="27" t="n">
        <f aca="false">SUM(INDEX(Forecast_Walkforward!$H:$H,$E41):INDEX(Forecast_Walkforward!$H:$H,$D41))/$H41</f>
        <v>0.000303951367781155</v>
      </c>
      <c r="N41" s="27" t="n">
        <f aca="false">SUM(INDEX(Forecast_Walkforward!$I:$I,$E41):INDEX(Forecast_Walkforward!$I:$I,$D41))/$H41</f>
        <v>0.000379939209726444</v>
      </c>
      <c r="O41" s="27" t="n">
        <f aca="false">SUM(INDEX(Forecast_Walkforward!$J:$J,$E41):INDEX(Forecast_Walkforward!$J:$J,$D41))/$H41</f>
        <v>-0.00129179331306991</v>
      </c>
      <c r="P41" s="27" t="n">
        <f aca="false">SUM(INDEX(Forecast_Walkforward!$K:$K,$E41):INDEX(Forecast_Walkforward!$K:$K,$D41))/$H41</f>
        <v>-7.57441152276014E-005</v>
      </c>
      <c r="Q41" s="28" t="n">
        <f aca="false">_xlfn.STDEV.S(INDEX(Forecast_Walkforward!$H:$H,$E41):INDEX(Forecast_Walkforward!$H:$H,$D41))</f>
        <v>8.05006487518709</v>
      </c>
      <c r="R41" s="28" t="n">
        <f aca="false">_xlfn.STDEV.S(INDEX(Forecast_Walkforward!$I:$I,$E41):INDEX(Forecast_Walkforward!$I:$I,$D41))</f>
        <v>6.77007899847192</v>
      </c>
      <c r="S41" s="28" t="n">
        <f aca="false">_xlfn.STDEV.S(INDEX(Forecast_Walkforward!$J:$J,$E41):INDEX(Forecast_Walkforward!$J:$J,$D41))</f>
        <v>7.00095776953407</v>
      </c>
      <c r="T41" s="28" t="n">
        <f aca="false">_xlfn.STDEV.S(INDEX(Forecast_Walkforward!$K:$K,$E41):INDEX(Forecast_Walkforward!$K:$K,$D41))</f>
        <v>6.64985945825628</v>
      </c>
      <c r="U41" s="28" t="n">
        <f aca="false">INDEX(Forecast_Walkforward!$C:$C,$D41)</f>
        <v>59</v>
      </c>
      <c r="V41" s="28" t="n">
        <f aca="false">AVERAGE(INDEX(Forecast_Walkforward!$C:$C,$D41-3):INDEX(Forecast_Walkforward!$C:$C,$D41))</f>
        <v>60.75</v>
      </c>
      <c r="W41" s="28" t="n">
        <f aca="false">AVERAGE(INDEX(Forecast_Walkforward!$C:$C,$D41-7):INDEX(Forecast_Walkforward!$C:$C,$D41))</f>
        <v>59.75</v>
      </c>
      <c r="X41" s="28" t="n">
        <f aca="false">SES_Alpha*INDEX(Forecast_Walkforward!$C:$C,$D41)+(1-SES_Alpha)*INDEX(Forecast_Walkforward!$G:$G,$D41)</f>
        <v>59.7494795292876</v>
      </c>
      <c r="Y41" s="26" t="n">
        <f aca="false">MIN(I41:L41)</f>
        <v>0.0860942249240122</v>
      </c>
      <c r="Z41" s="29" t="b">
        <f aca="false">I41&lt;=$Y41+WAPE_Tol</f>
        <v>0</v>
      </c>
      <c r="AA41" s="29" t="b">
        <f aca="false">J41&lt;=$Y41+WAPE_Tol</f>
        <v>1</v>
      </c>
      <c r="AB41" s="29" t="b">
        <f aca="false">K41&lt;=$Y41+WAPE_Tol</f>
        <v>1</v>
      </c>
      <c r="AC41" s="29" t="b">
        <f aca="false">L41&lt;=$Y41+WAPE_Tol</f>
        <v>1</v>
      </c>
      <c r="AD41" s="19" t="n">
        <f aca="false">MATCH(TRUE(),Z41:AC41,0)</f>
        <v>2</v>
      </c>
      <c r="AE41" s="12" t="str">
        <f aca="false">CHOOSE(AD41,"Naive","MA4","MA8","SES")</f>
        <v>MA4</v>
      </c>
      <c r="AF41" s="30" t="n">
        <f aca="false">INDEX(U41:X41,AD41)</f>
        <v>60.75</v>
      </c>
      <c r="AG41" s="26" t="n">
        <f aca="false">INDEX(I41:L41,AD41)</f>
        <v>0.0860942249240122</v>
      </c>
      <c r="AH41" s="27" t="n">
        <f aca="false">INDEX(M41:P41,AD41)</f>
        <v>0.000379939209726444</v>
      </c>
      <c r="AI41" s="28" t="n">
        <f aca="false">INDEX(Q41:T41,AD41)</f>
        <v>6.77007899847192</v>
      </c>
      <c r="AJ41" s="19" t="n">
        <f aca="false">AG41*H41</f>
        <v>283.25</v>
      </c>
      <c r="AK41" s="19" t="n">
        <f aca="false">SUM(INDEX(Forecast_Walkforward!$C:$C,$F41):INDEX(Forecast_Walkforward!$C:$C,$G41))</f>
        <v>3305</v>
      </c>
      <c r="AL41" s="26" t="n">
        <f aca="false">SUM(INDEX(Forecast_Walkforward!$L:$L,$F41):INDEX(Forecast_Walkforward!$L:$L,$G41))/$AK41</f>
        <v>0.118608169440242</v>
      </c>
      <c r="AM41" s="26" t="n">
        <f aca="false">SUM(INDEX(Forecast_Walkforward!$M:$M,$F41):INDEX(Forecast_Walkforward!$M:$M,$G41))/$AK41</f>
        <v>0.091981845688351</v>
      </c>
      <c r="AN41" s="26" t="n">
        <f aca="false">SUM(INDEX(Forecast_Walkforward!$N:$N,$F41):INDEX(Forecast_Walkforward!$N:$N,$G41))/$AK41</f>
        <v>0.0929273827534039</v>
      </c>
      <c r="AO41" s="26" t="n">
        <f aca="false">SUM(INDEX(Forecast_Walkforward!$O:$O,$F41):INDEX(Forecast_Walkforward!$O:$O,$G41))/$AK41</f>
        <v>0.0927274838159213</v>
      </c>
      <c r="AP41" s="28" t="n">
        <f aca="false">_xlfn.STDEV.S(INDEX(Forecast_Walkforward!$H:$H,$F41):INDEX(Forecast_Walkforward!$H:$H,$G41))</f>
        <v>9.15024581591688</v>
      </c>
      <c r="AQ41" s="28" t="n">
        <f aca="false">_xlfn.STDEV.S(INDEX(Forecast_Walkforward!$I:$I,$F41):INDEX(Forecast_Walkforward!$I:$I,$G41))</f>
        <v>7.19619735765053</v>
      </c>
      <c r="AR41" s="28" t="n">
        <f aca="false">_xlfn.STDEV.S(INDEX(Forecast_Walkforward!$J:$J,$F41):INDEX(Forecast_Walkforward!$J:$J,$G41))</f>
        <v>7.10790822283875</v>
      </c>
      <c r="AS41" s="28" t="n">
        <f aca="false">_xlfn.STDEV.S(INDEX(Forecast_Walkforward!$K:$K,$F41):INDEX(Forecast_Walkforward!$K:$K,$G41))</f>
        <v>7.16438452192203</v>
      </c>
      <c r="AT41" s="26" t="n">
        <f aca="false">MIN(AL41:AO41)</f>
        <v>0.091981845688351</v>
      </c>
      <c r="AU41" s="29" t="b">
        <f aca="false">AL41&lt;=$AT41+WAPE_Tol</f>
        <v>0</v>
      </c>
      <c r="AV41" s="29" t="b">
        <f aca="false">AM41&lt;=$AT41+WAPE_Tol</f>
        <v>1</v>
      </c>
      <c r="AW41" s="29" t="b">
        <f aca="false">AN41&lt;=$AT41+WAPE_Tol</f>
        <v>1</v>
      </c>
      <c r="AX41" s="29" t="b">
        <f aca="false">AO41&lt;=$AT41+WAPE_Tol</f>
        <v>1</v>
      </c>
      <c r="AY41" s="19" t="n">
        <f aca="false">MATCH(TRUE(),AU41:AX41,0)</f>
        <v>2</v>
      </c>
      <c r="AZ41" s="10" t="str">
        <f aca="false">CHOOSE(AY41,"Naive","MA4","MA8","SES")</f>
        <v>MA4</v>
      </c>
      <c r="BA41" s="28" t="n">
        <f aca="false">INDEX(AP41:AS41,AY41)</f>
        <v>7.19619735765053</v>
      </c>
    </row>
    <row r="42" customFormat="false" ht="15" hidden="false" customHeight="false" outlineLevel="0" collapsed="false">
      <c r="A42" s="11" t="str">
        <f aca="false">Inputs!B75</f>
        <v>ELE-007</v>
      </c>
      <c r="B42" s="11" t="str">
        <f aca="false">Inputs!C75</f>
        <v>Compact Air Purifier</v>
      </c>
      <c r="C42" s="10" t="n">
        <f aca="false">MATCH(A42,Demand_History!$C:$C,0)</f>
        <v>3642</v>
      </c>
      <c r="D42" s="10" t="n">
        <f aca="false">C42+Weeks_History-1</f>
        <v>3745</v>
      </c>
      <c r="E42" s="10" t="n">
        <f aca="false">C42+Eval_Start_Week-1</f>
        <v>3694</v>
      </c>
      <c r="F42" s="10" t="n">
        <f aca="false">C42+Cal_Start_Week-1</f>
        <v>3678</v>
      </c>
      <c r="G42" s="10" t="n">
        <f aca="false">C42+Cal_End_Week-1</f>
        <v>3729</v>
      </c>
      <c r="H42" s="19" t="n">
        <f aca="false">SUM(INDEX(Forecast_Walkforward!$C:$C,$E42):INDEX(Forecast_Walkforward!$C:$C,$D42))</f>
        <v>417</v>
      </c>
      <c r="I42" s="26" t="n">
        <f aca="false">SUM(INDEX(Forecast_Walkforward!$L:$L,$E42):INDEX(Forecast_Walkforward!$L:$L,$D42))/$H42</f>
        <v>0.37410071942446</v>
      </c>
      <c r="J42" s="26" t="n">
        <f aca="false">SUM(INDEX(Forecast_Walkforward!$M:$M,$E42):INDEX(Forecast_Walkforward!$M:$M,$D42))/$H42</f>
        <v>0.297362110311751</v>
      </c>
      <c r="K42" s="26" t="n">
        <f aca="false">SUM(INDEX(Forecast_Walkforward!$N:$N,$E42):INDEX(Forecast_Walkforward!$N:$N,$D42))/$H42</f>
        <v>0.267685851318945</v>
      </c>
      <c r="L42" s="26" t="n">
        <f aca="false">SUM(INDEX(Forecast_Walkforward!$O:$O,$E42):INDEX(Forecast_Walkforward!$O:$O,$D42))/$H42</f>
        <v>0.290014699681147</v>
      </c>
      <c r="M42" s="27" t="n">
        <f aca="false">SUM(INDEX(Forecast_Walkforward!$H:$H,$E42):INDEX(Forecast_Walkforward!$H:$H,$D42))/$H42</f>
        <v>0.00479616306954436</v>
      </c>
      <c r="N42" s="27" t="n">
        <f aca="false">SUM(INDEX(Forecast_Walkforward!$I:$I,$E42):INDEX(Forecast_Walkforward!$I:$I,$D42))/$H42</f>
        <v>-0.00839328537170264</v>
      </c>
      <c r="O42" s="27" t="n">
        <f aca="false">SUM(INDEX(Forecast_Walkforward!$J:$J,$E42):INDEX(Forecast_Walkforward!$J:$J,$D42))/$H42</f>
        <v>-0.0152877697841727</v>
      </c>
      <c r="P42" s="27" t="n">
        <f aca="false">SUM(INDEX(Forecast_Walkforward!$K:$K,$E42):INDEX(Forecast_Walkforward!$K:$K,$D42))/$H42</f>
        <v>-0.0102745406359759</v>
      </c>
      <c r="Q42" s="28" t="n">
        <f aca="false">_xlfn.STDEV.S(INDEX(Forecast_Walkforward!$H:$H,$E42):INDEX(Forecast_Walkforward!$H:$H,$D42))</f>
        <v>3.57530494222021</v>
      </c>
      <c r="R42" s="28" t="n">
        <f aca="false">_xlfn.STDEV.S(INDEX(Forecast_Walkforward!$I:$I,$E42):INDEX(Forecast_Walkforward!$I:$I,$D42))</f>
        <v>2.91131808662473</v>
      </c>
      <c r="S42" s="28" t="n">
        <f aca="false">_xlfn.STDEV.S(INDEX(Forecast_Walkforward!$J:$J,$E42):INDEX(Forecast_Walkforward!$J:$J,$D42))</f>
        <v>2.65159154766928</v>
      </c>
      <c r="T42" s="28" t="n">
        <f aca="false">_xlfn.STDEV.S(INDEX(Forecast_Walkforward!$K:$K,$E42):INDEX(Forecast_Walkforward!$K:$K,$D42))</f>
        <v>2.7821834230362</v>
      </c>
      <c r="U42" s="28" t="n">
        <f aca="false">INDEX(Forecast_Walkforward!$C:$C,$D42)</f>
        <v>3</v>
      </c>
      <c r="V42" s="28" t="n">
        <f aca="false">AVERAGE(INDEX(Forecast_Walkforward!$C:$C,$D42-3):INDEX(Forecast_Walkforward!$C:$C,$D42))</f>
        <v>7.75</v>
      </c>
      <c r="W42" s="28" t="n">
        <f aca="false">AVERAGE(INDEX(Forecast_Walkforward!$C:$C,$D42-7):INDEX(Forecast_Walkforward!$C:$C,$D42))</f>
        <v>7.625</v>
      </c>
      <c r="X42" s="28" t="n">
        <f aca="false">SES_Alpha*INDEX(Forecast_Walkforward!$C:$C,$D42)+(1-SES_Alpha)*INDEX(Forecast_Walkforward!$G:$G,$D42)</f>
        <v>7.11676252633159</v>
      </c>
      <c r="Y42" s="26" t="n">
        <f aca="false">MIN(I42:L42)</f>
        <v>0.267685851318945</v>
      </c>
      <c r="Z42" s="29" t="b">
        <f aca="false">I42&lt;=$Y42+WAPE_Tol</f>
        <v>0</v>
      </c>
      <c r="AA42" s="29" t="b">
        <f aca="false">J42&lt;=$Y42+WAPE_Tol</f>
        <v>0</v>
      </c>
      <c r="AB42" s="29" t="b">
        <f aca="false">K42&lt;=$Y42+WAPE_Tol</f>
        <v>1</v>
      </c>
      <c r="AC42" s="29" t="b">
        <f aca="false">L42&lt;=$Y42+WAPE_Tol</f>
        <v>0</v>
      </c>
      <c r="AD42" s="19" t="n">
        <f aca="false">MATCH(TRUE(),Z42:AC42,0)</f>
        <v>3</v>
      </c>
      <c r="AE42" s="12" t="str">
        <f aca="false">CHOOSE(AD42,"Naive","MA4","MA8","SES")</f>
        <v>MA8</v>
      </c>
      <c r="AF42" s="30" t="n">
        <f aca="false">INDEX(U42:X42,AD42)</f>
        <v>7.625</v>
      </c>
      <c r="AG42" s="26" t="n">
        <f aca="false">INDEX(I42:L42,AD42)</f>
        <v>0.267685851318945</v>
      </c>
      <c r="AH42" s="27" t="n">
        <f aca="false">INDEX(M42:P42,AD42)</f>
        <v>-0.0152877697841727</v>
      </c>
      <c r="AI42" s="28" t="n">
        <f aca="false">INDEX(Q42:T42,AD42)</f>
        <v>2.65159154766928</v>
      </c>
      <c r="AJ42" s="19" t="n">
        <f aca="false">AG42*H42</f>
        <v>111.625</v>
      </c>
      <c r="AK42" s="19" t="n">
        <f aca="false">SUM(INDEX(Forecast_Walkforward!$C:$C,$F42):INDEX(Forecast_Walkforward!$C:$C,$G42))</f>
        <v>391</v>
      </c>
      <c r="AL42" s="26" t="n">
        <f aca="false">SUM(INDEX(Forecast_Walkforward!$L:$L,$F42):INDEX(Forecast_Walkforward!$L:$L,$G42))/$AK42</f>
        <v>0.381074168797954</v>
      </c>
      <c r="AM42" s="26" t="n">
        <f aca="false">SUM(INDEX(Forecast_Walkforward!$M:$M,$F42):INDEX(Forecast_Walkforward!$M:$M,$G42))/$AK42</f>
        <v>0.299872122762148</v>
      </c>
      <c r="AN42" s="26" t="n">
        <f aca="false">SUM(INDEX(Forecast_Walkforward!$N:$N,$F42):INDEX(Forecast_Walkforward!$N:$N,$G42))/$AK42</f>
        <v>0.271419437340153</v>
      </c>
      <c r="AO42" s="26" t="n">
        <f aca="false">SUM(INDEX(Forecast_Walkforward!$O:$O,$F42):INDEX(Forecast_Walkforward!$O:$O,$G42))/$AK42</f>
        <v>0.294995168326887</v>
      </c>
      <c r="AP42" s="28" t="n">
        <f aca="false">_xlfn.STDEV.S(INDEX(Forecast_Walkforward!$H:$H,$F42):INDEX(Forecast_Walkforward!$H:$H,$G42))</f>
        <v>3.48380220851504</v>
      </c>
      <c r="AQ42" s="28" t="n">
        <f aca="false">_xlfn.STDEV.S(INDEX(Forecast_Walkforward!$I:$I,$F42):INDEX(Forecast_Walkforward!$I:$I,$G42))</f>
        <v>2.84541966754722</v>
      </c>
      <c r="AR42" s="28" t="n">
        <f aca="false">_xlfn.STDEV.S(INDEX(Forecast_Walkforward!$J:$J,$F42):INDEX(Forecast_Walkforward!$J:$J,$G42))</f>
        <v>2.56799846020767</v>
      </c>
      <c r="AS42" s="28" t="n">
        <f aca="false">_xlfn.STDEV.S(INDEX(Forecast_Walkforward!$K:$K,$F42):INDEX(Forecast_Walkforward!$K:$K,$G42))</f>
        <v>2.71660504033146</v>
      </c>
      <c r="AT42" s="26" t="n">
        <f aca="false">MIN(AL42:AO42)</f>
        <v>0.271419437340153</v>
      </c>
      <c r="AU42" s="29" t="b">
        <f aca="false">AL42&lt;=$AT42+WAPE_Tol</f>
        <v>0</v>
      </c>
      <c r="AV42" s="29" t="b">
        <f aca="false">AM42&lt;=$AT42+WAPE_Tol</f>
        <v>0</v>
      </c>
      <c r="AW42" s="29" t="b">
        <f aca="false">AN42&lt;=$AT42+WAPE_Tol</f>
        <v>1</v>
      </c>
      <c r="AX42" s="29" t="b">
        <f aca="false">AO42&lt;=$AT42+WAPE_Tol</f>
        <v>0</v>
      </c>
      <c r="AY42" s="19" t="n">
        <f aca="false">MATCH(TRUE(),AU42:AX42,0)</f>
        <v>3</v>
      </c>
      <c r="AZ42" s="10" t="str">
        <f aca="false">CHOOSE(AY42,"Naive","MA4","MA8","SES")</f>
        <v>MA8</v>
      </c>
      <c r="BA42" s="28" t="n">
        <f aca="false">INDEX(AP42:AS42,AY42)</f>
        <v>2.56799846020767</v>
      </c>
    </row>
    <row r="43" customFormat="false" ht="15" hidden="false" customHeight="false" outlineLevel="0" collapsed="false">
      <c r="A43" s="11" t="str">
        <f aca="false">Inputs!B76</f>
        <v>ELE-008</v>
      </c>
      <c r="B43" s="11" t="str">
        <f aca="false">Inputs!C76</f>
        <v>Burr Coffee Grinder</v>
      </c>
      <c r="C43" s="10" t="n">
        <f aca="false">MATCH(A43,Demand_History!$C:$C,0)</f>
        <v>3746</v>
      </c>
      <c r="D43" s="10" t="n">
        <f aca="false">C43+Weeks_History-1</f>
        <v>3849</v>
      </c>
      <c r="E43" s="10" t="n">
        <f aca="false">C43+Eval_Start_Week-1</f>
        <v>3798</v>
      </c>
      <c r="F43" s="10" t="n">
        <f aca="false">C43+Cal_Start_Week-1</f>
        <v>3782</v>
      </c>
      <c r="G43" s="10" t="n">
        <f aca="false">C43+Cal_End_Week-1</f>
        <v>3833</v>
      </c>
      <c r="H43" s="19" t="n">
        <f aca="false">SUM(INDEX(Forecast_Walkforward!$C:$C,$E43):INDEX(Forecast_Walkforward!$C:$C,$D43))</f>
        <v>722</v>
      </c>
      <c r="I43" s="26" t="n">
        <f aca="false">SUM(INDEX(Forecast_Walkforward!$L:$L,$E43):INDEX(Forecast_Walkforward!$L:$L,$D43))/$H43</f>
        <v>0.429362880886427</v>
      </c>
      <c r="J43" s="26" t="n">
        <f aca="false">SUM(INDEX(Forecast_Walkforward!$M:$M,$E43):INDEX(Forecast_Walkforward!$M:$M,$D43))/$H43</f>
        <v>0.315789473684211</v>
      </c>
      <c r="K43" s="26" t="n">
        <f aca="false">SUM(INDEX(Forecast_Walkforward!$N:$N,$E43):INDEX(Forecast_Walkforward!$N:$N,$D43))/$H43</f>
        <v>0.310941828254848</v>
      </c>
      <c r="L43" s="26" t="n">
        <f aca="false">SUM(INDEX(Forecast_Walkforward!$O:$O,$E43):INDEX(Forecast_Walkforward!$O:$O,$D43))/$H43</f>
        <v>0.315345380519541</v>
      </c>
      <c r="M43" s="27" t="n">
        <f aca="false">SUM(INDEX(Forecast_Walkforward!$H:$H,$E43):INDEX(Forecast_Walkforward!$H:$H,$D43))/$H43</f>
        <v>-0.0110803324099723</v>
      </c>
      <c r="N43" s="27" t="n">
        <f aca="false">SUM(INDEX(Forecast_Walkforward!$I:$I,$E43):INDEX(Forecast_Walkforward!$I:$I,$D43))/$H43</f>
        <v>0.00415512465373961</v>
      </c>
      <c r="O43" s="27" t="n">
        <f aca="false">SUM(INDEX(Forecast_Walkforward!$J:$J,$E43):INDEX(Forecast_Walkforward!$J:$J,$D43))/$H43</f>
        <v>0.0214681440443213</v>
      </c>
      <c r="P43" s="27" t="n">
        <f aca="false">SUM(INDEX(Forecast_Walkforward!$K:$K,$E43):INDEX(Forecast_Walkforward!$K:$K,$D43))/$H43</f>
        <v>0.0099698323484419</v>
      </c>
      <c r="Q43" s="28" t="n">
        <f aca="false">_xlfn.STDEV.S(INDEX(Forecast_Walkforward!$H:$H,$E43):INDEX(Forecast_Walkforward!$H:$H,$D43))</f>
        <v>8.14425002357218</v>
      </c>
      <c r="R43" s="28" t="n">
        <f aca="false">_xlfn.STDEV.S(INDEX(Forecast_Walkforward!$I:$I,$E43):INDEX(Forecast_Walkforward!$I:$I,$D43))</f>
        <v>5.99644816942222</v>
      </c>
      <c r="S43" s="28" t="n">
        <f aca="false">_xlfn.STDEV.S(INDEX(Forecast_Walkforward!$J:$J,$E43):INDEX(Forecast_Walkforward!$J:$J,$D43))</f>
        <v>5.81053776947</v>
      </c>
      <c r="T43" s="28" t="n">
        <f aca="false">_xlfn.STDEV.S(INDEX(Forecast_Walkforward!$K:$K,$E43):INDEX(Forecast_Walkforward!$K:$K,$D43))</f>
        <v>5.96238931932935</v>
      </c>
      <c r="U43" s="28" t="n">
        <f aca="false">INDEX(Forecast_Walkforward!$C:$C,$D43)</f>
        <v>24</v>
      </c>
      <c r="V43" s="28" t="n">
        <f aca="false">AVERAGE(INDEX(Forecast_Walkforward!$C:$C,$D43-3):INDEX(Forecast_Walkforward!$C:$C,$D43))</f>
        <v>16.25</v>
      </c>
      <c r="W43" s="28" t="n">
        <f aca="false">AVERAGE(INDEX(Forecast_Walkforward!$C:$C,$D43-7):INDEX(Forecast_Walkforward!$C:$C,$D43))</f>
        <v>15.5</v>
      </c>
      <c r="X43" s="28" t="n">
        <f aca="false">SES_Alpha*INDEX(Forecast_Walkforward!$C:$C,$D43)+(1-SES_Alpha)*INDEX(Forecast_Walkforward!$G:$G,$D43)</f>
        <v>16.6019307525076</v>
      </c>
      <c r="Y43" s="26" t="n">
        <f aca="false">MIN(I43:L43)</f>
        <v>0.310941828254848</v>
      </c>
      <c r="Z43" s="29" t="b">
        <f aca="false">I43&lt;=$Y43+WAPE_Tol</f>
        <v>0</v>
      </c>
      <c r="AA43" s="29" t="b">
        <f aca="false">J43&lt;=$Y43+WAPE_Tol</f>
        <v>1</v>
      </c>
      <c r="AB43" s="29" t="b">
        <f aca="false">K43&lt;=$Y43+WAPE_Tol</f>
        <v>1</v>
      </c>
      <c r="AC43" s="29" t="b">
        <f aca="false">L43&lt;=$Y43+WAPE_Tol</f>
        <v>1</v>
      </c>
      <c r="AD43" s="19" t="n">
        <f aca="false">MATCH(TRUE(),Z43:AC43,0)</f>
        <v>2</v>
      </c>
      <c r="AE43" s="12" t="str">
        <f aca="false">CHOOSE(AD43,"Naive","MA4","MA8","SES")</f>
        <v>MA4</v>
      </c>
      <c r="AF43" s="30" t="n">
        <f aca="false">INDEX(U43:X43,AD43)</f>
        <v>16.25</v>
      </c>
      <c r="AG43" s="26" t="n">
        <f aca="false">INDEX(I43:L43,AD43)</f>
        <v>0.315789473684211</v>
      </c>
      <c r="AH43" s="27" t="n">
        <f aca="false">INDEX(M43:P43,AD43)</f>
        <v>0.00415512465373961</v>
      </c>
      <c r="AI43" s="28" t="n">
        <f aca="false">INDEX(Q43:T43,AD43)</f>
        <v>5.99644816942222</v>
      </c>
      <c r="AJ43" s="19" t="n">
        <f aca="false">AG43*H43</f>
        <v>228</v>
      </c>
      <c r="AK43" s="19" t="n">
        <f aca="false">SUM(INDEX(Forecast_Walkforward!$C:$C,$F43):INDEX(Forecast_Walkforward!$C:$C,$G43))</f>
        <v>752</v>
      </c>
      <c r="AL43" s="26" t="n">
        <f aca="false">SUM(INDEX(Forecast_Walkforward!$L:$L,$F43):INDEX(Forecast_Walkforward!$L:$L,$G43))/$AK43</f>
        <v>0.514627659574468</v>
      </c>
      <c r="AM43" s="26" t="n">
        <f aca="false">SUM(INDEX(Forecast_Walkforward!$M:$M,$F43):INDEX(Forecast_Walkforward!$M:$M,$G43))/$AK43</f>
        <v>0.366688829787234</v>
      </c>
      <c r="AN43" s="26" t="n">
        <f aca="false">SUM(INDEX(Forecast_Walkforward!$N:$N,$F43):INDEX(Forecast_Walkforward!$N:$N,$G43))/$AK43</f>
        <v>0.35654920212766</v>
      </c>
      <c r="AO43" s="26" t="n">
        <f aca="false">SUM(INDEX(Forecast_Walkforward!$O:$O,$F43):INDEX(Forecast_Walkforward!$O:$O,$G43))/$AK43</f>
        <v>0.361685314626252</v>
      </c>
      <c r="AP43" s="28" t="n">
        <f aca="false">_xlfn.STDEV.S(INDEX(Forecast_Walkforward!$H:$H,$F43):INDEX(Forecast_Walkforward!$H:$H,$G43))</f>
        <v>9.85159487436565</v>
      </c>
      <c r="AQ43" s="28" t="n">
        <f aca="false">_xlfn.STDEV.S(INDEX(Forecast_Walkforward!$I:$I,$F43):INDEX(Forecast_Walkforward!$I:$I,$G43))</f>
        <v>7.51817023435223</v>
      </c>
      <c r="AR43" s="28" t="n">
        <f aca="false">_xlfn.STDEV.S(INDEX(Forecast_Walkforward!$J:$J,$F43):INDEX(Forecast_Walkforward!$J:$J,$G43))</f>
        <v>7.13573810117017</v>
      </c>
      <c r="AS43" s="28" t="n">
        <f aca="false">_xlfn.STDEV.S(INDEX(Forecast_Walkforward!$K:$K,$F43):INDEX(Forecast_Walkforward!$K:$K,$G43))</f>
        <v>7.27976604459029</v>
      </c>
      <c r="AT43" s="26" t="n">
        <f aca="false">MIN(AL43:AO43)</f>
        <v>0.35654920212766</v>
      </c>
      <c r="AU43" s="29" t="b">
        <f aca="false">AL43&lt;=$AT43+WAPE_Tol</f>
        <v>0</v>
      </c>
      <c r="AV43" s="29" t="b">
        <f aca="false">AM43&lt;=$AT43+WAPE_Tol</f>
        <v>0</v>
      </c>
      <c r="AW43" s="29" t="b">
        <f aca="false">AN43&lt;=$AT43+WAPE_Tol</f>
        <v>1</v>
      </c>
      <c r="AX43" s="29" t="b">
        <f aca="false">AO43&lt;=$AT43+WAPE_Tol</f>
        <v>1</v>
      </c>
      <c r="AY43" s="19" t="n">
        <f aca="false">MATCH(TRUE(),AU43:AX43,0)</f>
        <v>3</v>
      </c>
      <c r="AZ43" s="10" t="str">
        <f aca="false">CHOOSE(AY43,"Naive","MA4","MA8","SES")</f>
        <v>MA8</v>
      </c>
      <c r="BA43" s="28" t="n">
        <f aca="false">INDEX(AP43:AS43,AY43)</f>
        <v>7.13573810117017</v>
      </c>
    </row>
    <row r="44" customFormat="false" ht="15" hidden="false" customHeight="false" outlineLevel="0" collapsed="false">
      <c r="A44" s="11" t="str">
        <f aca="false">Inputs!B77</f>
        <v>CLN-001</v>
      </c>
      <c r="B44" s="11" t="str">
        <f aca="false">Inputs!C77</f>
        <v>Dishwasher Tabs 60pc</v>
      </c>
      <c r="C44" s="10" t="n">
        <f aca="false">MATCH(A44,Demand_History!$C:$C,0)</f>
        <v>3850</v>
      </c>
      <c r="D44" s="10" t="n">
        <f aca="false">C44+Weeks_History-1</f>
        <v>3953</v>
      </c>
      <c r="E44" s="10" t="n">
        <f aca="false">C44+Eval_Start_Week-1</f>
        <v>3902</v>
      </c>
      <c r="F44" s="10" t="n">
        <f aca="false">C44+Cal_Start_Week-1</f>
        <v>3886</v>
      </c>
      <c r="G44" s="10" t="n">
        <f aca="false">C44+Cal_End_Week-1</f>
        <v>3937</v>
      </c>
      <c r="H44" s="19" t="n">
        <f aca="false">SUM(INDEX(Forecast_Walkforward!$C:$C,$E44):INDEX(Forecast_Walkforward!$C:$C,$D44))</f>
        <v>11359</v>
      </c>
      <c r="I44" s="26" t="n">
        <f aca="false">SUM(INDEX(Forecast_Walkforward!$L:$L,$E44):INDEX(Forecast_Walkforward!$L:$L,$D44))/$H44</f>
        <v>0.106435425653667</v>
      </c>
      <c r="J44" s="26" t="n">
        <f aca="false">SUM(INDEX(Forecast_Walkforward!$M:$M,$E44):INDEX(Forecast_Walkforward!$M:$M,$D44))/$H44</f>
        <v>0.090787041112774</v>
      </c>
      <c r="K44" s="26" t="n">
        <f aca="false">SUM(INDEX(Forecast_Walkforward!$N:$N,$E44):INDEX(Forecast_Walkforward!$N:$N,$D44))/$H44</f>
        <v>0.0813451888370455</v>
      </c>
      <c r="L44" s="26" t="n">
        <f aca="false">SUM(INDEX(Forecast_Walkforward!$O:$O,$E44):INDEX(Forecast_Walkforward!$O:$O,$D44))/$H44</f>
        <v>0.0853549230677447</v>
      </c>
      <c r="M44" s="27" t="n">
        <f aca="false">SUM(INDEX(Forecast_Walkforward!$H:$H,$E44):INDEX(Forecast_Walkforward!$H:$H,$D44))/$H44</f>
        <v>0.00149661061713179</v>
      </c>
      <c r="N44" s="27" t="n">
        <f aca="false">SUM(INDEX(Forecast_Walkforward!$I:$I,$E44):INDEX(Forecast_Walkforward!$I:$I,$D44))/$H44</f>
        <v>0.00173870939343252</v>
      </c>
      <c r="O44" s="27" t="n">
        <f aca="false">SUM(INDEX(Forecast_Walkforward!$J:$J,$E44):INDEX(Forecast_Walkforward!$J:$J,$D44))/$H44</f>
        <v>0.00347741878686504</v>
      </c>
      <c r="P44" s="27" t="n">
        <f aca="false">SUM(INDEX(Forecast_Walkforward!$K:$K,$E44):INDEX(Forecast_Walkforward!$K:$K,$D44))/$H44</f>
        <v>0.00269456736570928</v>
      </c>
      <c r="Q44" s="28" t="n">
        <f aca="false">_xlfn.STDEV.S(INDEX(Forecast_Walkforward!$H:$H,$E44):INDEX(Forecast_Walkforward!$H:$H,$D44))</f>
        <v>29.5984373950596</v>
      </c>
      <c r="R44" s="28" t="n">
        <f aca="false">_xlfn.STDEV.S(INDEX(Forecast_Walkforward!$I:$I,$E44):INDEX(Forecast_Walkforward!$I:$I,$D44))</f>
        <v>22.6541825329629</v>
      </c>
      <c r="S44" s="28" t="n">
        <f aca="false">_xlfn.STDEV.S(INDEX(Forecast_Walkforward!$J:$J,$E44):INDEX(Forecast_Walkforward!$J:$J,$D44))</f>
        <v>21.0090702598307</v>
      </c>
      <c r="T44" s="28" t="n">
        <f aca="false">_xlfn.STDEV.S(INDEX(Forecast_Walkforward!$K:$K,$E44):INDEX(Forecast_Walkforward!$K:$K,$D44))</f>
        <v>22.0790564830931</v>
      </c>
      <c r="U44" s="28" t="n">
        <f aca="false">INDEX(Forecast_Walkforward!$C:$C,$D44)</f>
        <v>187</v>
      </c>
      <c r="V44" s="28" t="n">
        <f aca="false">AVERAGE(INDEX(Forecast_Walkforward!$C:$C,$D44-3):INDEX(Forecast_Walkforward!$C:$C,$D44))</f>
        <v>216.5</v>
      </c>
      <c r="W44" s="28" t="n">
        <f aca="false">AVERAGE(INDEX(Forecast_Walkforward!$C:$C,$D44-7):INDEX(Forecast_Walkforward!$C:$C,$D44))</f>
        <v>211.625</v>
      </c>
      <c r="X44" s="28" t="n">
        <f aca="false">SES_Alpha*INDEX(Forecast_Walkforward!$C:$C,$D44)+(1-SES_Alpha)*INDEX(Forecast_Walkforward!$G:$G,$D44)</f>
        <v>208.422631021746</v>
      </c>
      <c r="Y44" s="26" t="n">
        <f aca="false">MIN(I44:L44)</f>
        <v>0.0813451888370455</v>
      </c>
      <c r="Z44" s="29" t="b">
        <f aca="false">I44&lt;=$Y44+WAPE_Tol</f>
        <v>0</v>
      </c>
      <c r="AA44" s="29" t="b">
        <f aca="false">J44&lt;=$Y44+WAPE_Tol</f>
        <v>1</v>
      </c>
      <c r="AB44" s="29" t="b">
        <f aca="false">K44&lt;=$Y44+WAPE_Tol</f>
        <v>1</v>
      </c>
      <c r="AC44" s="29" t="b">
        <f aca="false">L44&lt;=$Y44+WAPE_Tol</f>
        <v>1</v>
      </c>
      <c r="AD44" s="19" t="n">
        <f aca="false">MATCH(TRUE(),Z44:AC44,0)</f>
        <v>2</v>
      </c>
      <c r="AE44" s="12" t="str">
        <f aca="false">CHOOSE(AD44,"Naive","MA4","MA8","SES")</f>
        <v>MA4</v>
      </c>
      <c r="AF44" s="30" t="n">
        <f aca="false">INDEX(U44:X44,AD44)</f>
        <v>216.5</v>
      </c>
      <c r="AG44" s="26" t="n">
        <f aca="false">INDEX(I44:L44,AD44)</f>
        <v>0.090787041112774</v>
      </c>
      <c r="AH44" s="27" t="n">
        <f aca="false">INDEX(M44:P44,AD44)</f>
        <v>0.00173870939343252</v>
      </c>
      <c r="AI44" s="28" t="n">
        <f aca="false">INDEX(Q44:T44,AD44)</f>
        <v>22.6541825329629</v>
      </c>
      <c r="AJ44" s="19" t="n">
        <f aca="false">AG44*H44</f>
        <v>1031.25</v>
      </c>
      <c r="AK44" s="19" t="n">
        <f aca="false">SUM(INDEX(Forecast_Walkforward!$C:$C,$F44):INDEX(Forecast_Walkforward!$C:$C,$G44))</f>
        <v>11499</v>
      </c>
      <c r="AL44" s="26" t="n">
        <f aca="false">SUM(INDEX(Forecast_Walkforward!$L:$L,$F44):INDEX(Forecast_Walkforward!$L:$L,$G44))/$AK44</f>
        <v>0.100617444995217</v>
      </c>
      <c r="AM44" s="26" t="n">
        <f aca="false">SUM(INDEX(Forecast_Walkforward!$M:$M,$F44):INDEX(Forecast_Walkforward!$M:$M,$G44))/$AK44</f>
        <v>0.0884424732585442</v>
      </c>
      <c r="AN44" s="26" t="n">
        <f aca="false">SUM(INDEX(Forecast_Walkforward!$N:$N,$F44):INDEX(Forecast_Walkforward!$N:$N,$G44))/$AK44</f>
        <v>0.0823549873902078</v>
      </c>
      <c r="AO44" s="26" t="n">
        <f aca="false">SUM(INDEX(Forecast_Walkforward!$O:$O,$F44):INDEX(Forecast_Walkforward!$O:$O,$G44))/$AK44</f>
        <v>0.0833616114234088</v>
      </c>
      <c r="AP44" s="28" t="n">
        <f aca="false">_xlfn.STDEV.S(INDEX(Forecast_Walkforward!$H:$H,$F44):INDEX(Forecast_Walkforward!$H:$H,$G44))</f>
        <v>28.0743666060666</v>
      </c>
      <c r="AQ44" s="28" t="n">
        <f aca="false">_xlfn.STDEV.S(INDEX(Forecast_Walkforward!$I:$I,$F44):INDEX(Forecast_Walkforward!$I:$I,$G44))</f>
        <v>22.4673992914191</v>
      </c>
      <c r="AR44" s="28" t="n">
        <f aca="false">_xlfn.STDEV.S(INDEX(Forecast_Walkforward!$J:$J,$F44):INDEX(Forecast_Walkforward!$J:$J,$G44))</f>
        <v>21.6787419941627</v>
      </c>
      <c r="AS44" s="28" t="n">
        <f aca="false">_xlfn.STDEV.S(INDEX(Forecast_Walkforward!$K:$K,$F44):INDEX(Forecast_Walkforward!$K:$K,$G44))</f>
        <v>22.1881813430757</v>
      </c>
      <c r="AT44" s="26" t="n">
        <f aca="false">MIN(AL44:AO44)</f>
        <v>0.0823549873902078</v>
      </c>
      <c r="AU44" s="29" t="b">
        <f aca="false">AL44&lt;=$AT44+WAPE_Tol</f>
        <v>0</v>
      </c>
      <c r="AV44" s="29" t="b">
        <f aca="false">AM44&lt;=$AT44+WAPE_Tol</f>
        <v>1</v>
      </c>
      <c r="AW44" s="29" t="b">
        <f aca="false">AN44&lt;=$AT44+WAPE_Tol</f>
        <v>1</v>
      </c>
      <c r="AX44" s="29" t="b">
        <f aca="false">AO44&lt;=$AT44+WAPE_Tol</f>
        <v>1</v>
      </c>
      <c r="AY44" s="19" t="n">
        <f aca="false">MATCH(TRUE(),AU44:AX44,0)</f>
        <v>2</v>
      </c>
      <c r="AZ44" s="10" t="str">
        <f aca="false">CHOOSE(AY44,"Naive","MA4","MA8","SES")</f>
        <v>MA4</v>
      </c>
      <c r="BA44" s="28" t="n">
        <f aca="false">INDEX(AP44:AS44,AY44)</f>
        <v>22.4673992914191</v>
      </c>
    </row>
    <row r="45" customFormat="false" ht="15" hidden="false" customHeight="false" outlineLevel="0" collapsed="false">
      <c r="A45" s="11" t="str">
        <f aca="false">Inputs!B78</f>
        <v>CLN-002</v>
      </c>
      <c r="B45" s="11" t="str">
        <f aca="false">Inputs!C78</f>
        <v>Microfibre Cloths 10-Pack</v>
      </c>
      <c r="C45" s="10" t="n">
        <f aca="false">MATCH(A45,Demand_History!$C:$C,0)</f>
        <v>3954</v>
      </c>
      <c r="D45" s="10" t="n">
        <f aca="false">C45+Weeks_History-1</f>
        <v>4057</v>
      </c>
      <c r="E45" s="10" t="n">
        <f aca="false">C45+Eval_Start_Week-1</f>
        <v>4006</v>
      </c>
      <c r="F45" s="10" t="n">
        <f aca="false">C45+Cal_Start_Week-1</f>
        <v>3990</v>
      </c>
      <c r="G45" s="10" t="n">
        <f aca="false">C45+Cal_End_Week-1</f>
        <v>4041</v>
      </c>
      <c r="H45" s="19" t="n">
        <f aca="false">SUM(INDEX(Forecast_Walkforward!$C:$C,$E45):INDEX(Forecast_Walkforward!$C:$C,$D45))</f>
        <v>8351</v>
      </c>
      <c r="I45" s="26" t="n">
        <f aca="false">SUM(INDEX(Forecast_Walkforward!$L:$L,$E45):INDEX(Forecast_Walkforward!$L:$L,$D45))/$H45</f>
        <v>0.158184648545084</v>
      </c>
      <c r="J45" s="26" t="n">
        <f aca="false">SUM(INDEX(Forecast_Walkforward!$M:$M,$E45):INDEX(Forecast_Walkforward!$M:$M,$D45))/$H45</f>
        <v>0.13779786851874</v>
      </c>
      <c r="K45" s="26" t="n">
        <f aca="false">SUM(INDEX(Forecast_Walkforward!$N:$N,$E45):INDEX(Forecast_Walkforward!$N:$N,$D45))/$H45</f>
        <v>0.129954496467489</v>
      </c>
      <c r="L45" s="26" t="n">
        <f aca="false">SUM(INDEX(Forecast_Walkforward!$O:$O,$E45):INDEX(Forecast_Walkforward!$O:$O,$D45))/$H45</f>
        <v>0.134926684940559</v>
      </c>
      <c r="M45" s="27" t="n">
        <f aca="false">SUM(INDEX(Forecast_Walkforward!$H:$H,$E45):INDEX(Forecast_Walkforward!$H:$H,$D45))/$H45</f>
        <v>-0.00898096036402826</v>
      </c>
      <c r="N45" s="27" t="n">
        <f aca="false">SUM(INDEX(Forecast_Walkforward!$I:$I,$E45):INDEX(Forecast_Walkforward!$I:$I,$D45))/$H45</f>
        <v>-0.0142198539097114</v>
      </c>
      <c r="O45" s="27" t="n">
        <f aca="false">SUM(INDEX(Forecast_Walkforward!$J:$J,$E45):INDEX(Forecast_Walkforward!$J:$J,$D45))/$H45</f>
        <v>-0.0144294096515387</v>
      </c>
      <c r="P45" s="27" t="n">
        <f aca="false">SUM(INDEX(Forecast_Walkforward!$K:$K,$E45):INDEX(Forecast_Walkforward!$K:$K,$D45))/$H45</f>
        <v>-0.0135235961880401</v>
      </c>
      <c r="Q45" s="28" t="n">
        <f aca="false">_xlfn.STDEV.S(INDEX(Forecast_Walkforward!$H:$H,$E45):INDEX(Forecast_Walkforward!$H:$H,$D45))</f>
        <v>32.8558428632779</v>
      </c>
      <c r="R45" s="28" t="n">
        <f aca="false">_xlfn.STDEV.S(INDEX(Forecast_Walkforward!$I:$I,$E45):INDEX(Forecast_Walkforward!$I:$I,$D45))</f>
        <v>27.5996425118114</v>
      </c>
      <c r="S45" s="28" t="n">
        <f aca="false">_xlfn.STDEV.S(INDEX(Forecast_Walkforward!$J:$J,$E45):INDEX(Forecast_Walkforward!$J:$J,$D45))</f>
        <v>26.5071723268668</v>
      </c>
      <c r="T45" s="28" t="n">
        <f aca="false">_xlfn.STDEV.S(INDEX(Forecast_Walkforward!$K:$K,$E45):INDEX(Forecast_Walkforward!$K:$K,$D45))</f>
        <v>27.039529496637</v>
      </c>
      <c r="U45" s="28" t="n">
        <f aca="false">INDEX(Forecast_Walkforward!$C:$C,$D45)</f>
        <v>223</v>
      </c>
      <c r="V45" s="28" t="n">
        <f aca="false">AVERAGE(INDEX(Forecast_Walkforward!$C:$C,$D45-3):INDEX(Forecast_Walkforward!$C:$C,$D45))</f>
        <v>179.75</v>
      </c>
      <c r="W45" s="28" t="n">
        <f aca="false">AVERAGE(INDEX(Forecast_Walkforward!$C:$C,$D45-7):INDEX(Forecast_Walkforward!$C:$C,$D45))</f>
        <v>171.625</v>
      </c>
      <c r="X45" s="28" t="n">
        <f aca="false">SES_Alpha*INDEX(Forecast_Walkforward!$C:$C,$D45)+(1-SES_Alpha)*INDEX(Forecast_Walkforward!$G:$G,$D45)</f>
        <v>183.365062862103</v>
      </c>
      <c r="Y45" s="26" t="n">
        <f aca="false">MIN(I45:L45)</f>
        <v>0.129954496467489</v>
      </c>
      <c r="Z45" s="29" t="b">
        <f aca="false">I45&lt;=$Y45+WAPE_Tol</f>
        <v>0</v>
      </c>
      <c r="AA45" s="29" t="b">
        <f aca="false">J45&lt;=$Y45+WAPE_Tol</f>
        <v>1</v>
      </c>
      <c r="AB45" s="29" t="b">
        <f aca="false">K45&lt;=$Y45+WAPE_Tol</f>
        <v>1</v>
      </c>
      <c r="AC45" s="29" t="b">
        <f aca="false">L45&lt;=$Y45+WAPE_Tol</f>
        <v>1</v>
      </c>
      <c r="AD45" s="19" t="n">
        <f aca="false">MATCH(TRUE(),Z45:AC45,0)</f>
        <v>2</v>
      </c>
      <c r="AE45" s="12" t="str">
        <f aca="false">CHOOSE(AD45,"Naive","MA4","MA8","SES")</f>
        <v>MA4</v>
      </c>
      <c r="AF45" s="30" t="n">
        <f aca="false">INDEX(U45:X45,AD45)</f>
        <v>179.75</v>
      </c>
      <c r="AG45" s="26" t="n">
        <f aca="false">INDEX(I45:L45,AD45)</f>
        <v>0.13779786851874</v>
      </c>
      <c r="AH45" s="27" t="n">
        <f aca="false">INDEX(M45:P45,AD45)</f>
        <v>-0.0142198539097114</v>
      </c>
      <c r="AI45" s="28" t="n">
        <f aca="false">INDEX(Q45:T45,AD45)</f>
        <v>27.5996425118114</v>
      </c>
      <c r="AJ45" s="19" t="n">
        <f aca="false">AG45*H45</f>
        <v>1150.75</v>
      </c>
      <c r="AK45" s="19" t="n">
        <f aca="false">SUM(INDEX(Forecast_Walkforward!$C:$C,$F45):INDEX(Forecast_Walkforward!$C:$C,$G45))</f>
        <v>8161</v>
      </c>
      <c r="AL45" s="26" t="n">
        <f aca="false">SUM(INDEX(Forecast_Walkforward!$L:$L,$F45):INDEX(Forecast_Walkforward!$L:$L,$G45))/$AK45</f>
        <v>0.16701384634236</v>
      </c>
      <c r="AM45" s="26" t="n">
        <f aca="false">SUM(INDEX(Forecast_Walkforward!$M:$M,$F45):INDEX(Forecast_Walkforward!$M:$M,$G45))/$AK45</f>
        <v>0.122258301678716</v>
      </c>
      <c r="AN45" s="26" t="n">
        <f aca="false">SUM(INDEX(Forecast_Walkforward!$N:$N,$F45):INDEX(Forecast_Walkforward!$N:$N,$G45))/$AK45</f>
        <v>0.119240901850263</v>
      </c>
      <c r="AO45" s="26" t="n">
        <f aca="false">SUM(INDEX(Forecast_Walkforward!$O:$O,$F45):INDEX(Forecast_Walkforward!$O:$O,$G45))/$AK45</f>
        <v>0.122018791062815</v>
      </c>
      <c r="AP45" s="28" t="n">
        <f aca="false">_xlfn.STDEV.S(INDEX(Forecast_Walkforward!$H:$H,$F45):INDEX(Forecast_Walkforward!$H:$H,$G45))</f>
        <v>32.8852557424884</v>
      </c>
      <c r="AQ45" s="28" t="n">
        <f aca="false">_xlfn.STDEV.S(INDEX(Forecast_Walkforward!$I:$I,$F45):INDEX(Forecast_Walkforward!$I:$I,$G45))</f>
        <v>25.2260495815078</v>
      </c>
      <c r="AR45" s="28" t="n">
        <f aca="false">_xlfn.STDEV.S(INDEX(Forecast_Walkforward!$J:$J,$F45):INDEX(Forecast_Walkforward!$J:$J,$G45))</f>
        <v>25.0173350297162</v>
      </c>
      <c r="AS45" s="28" t="n">
        <f aca="false">_xlfn.STDEV.S(INDEX(Forecast_Walkforward!$K:$K,$F45):INDEX(Forecast_Walkforward!$K:$K,$G45))</f>
        <v>25.3249258047462</v>
      </c>
      <c r="AT45" s="26" t="n">
        <f aca="false">MIN(AL45:AO45)</f>
        <v>0.119240901850263</v>
      </c>
      <c r="AU45" s="29" t="b">
        <f aca="false">AL45&lt;=$AT45+WAPE_Tol</f>
        <v>0</v>
      </c>
      <c r="AV45" s="29" t="b">
        <f aca="false">AM45&lt;=$AT45+WAPE_Tol</f>
        <v>1</v>
      </c>
      <c r="AW45" s="29" t="b">
        <f aca="false">AN45&lt;=$AT45+WAPE_Tol</f>
        <v>1</v>
      </c>
      <c r="AX45" s="29" t="b">
        <f aca="false">AO45&lt;=$AT45+WAPE_Tol</f>
        <v>1</v>
      </c>
      <c r="AY45" s="19" t="n">
        <f aca="false">MATCH(TRUE(),AU45:AX45,0)</f>
        <v>2</v>
      </c>
      <c r="AZ45" s="10" t="str">
        <f aca="false">CHOOSE(AY45,"Naive","MA4","MA8","SES")</f>
        <v>MA4</v>
      </c>
      <c r="BA45" s="28" t="n">
        <f aca="false">INDEX(AP45:AS45,AY45)</f>
        <v>25.2260495815078</v>
      </c>
    </row>
    <row r="46" customFormat="false" ht="15" hidden="false" customHeight="false" outlineLevel="0" collapsed="false">
      <c r="A46" s="11" t="str">
        <f aca="false">Inputs!B79</f>
        <v>CLN-003</v>
      </c>
      <c r="B46" s="11" t="str">
        <f aca="false">Inputs!C79</f>
        <v>Eco Laundry Detergent 2L</v>
      </c>
      <c r="C46" s="10" t="n">
        <f aca="false">MATCH(A46,Demand_History!$C:$C,0)</f>
        <v>4058</v>
      </c>
      <c r="D46" s="10" t="n">
        <f aca="false">C46+Weeks_History-1</f>
        <v>4161</v>
      </c>
      <c r="E46" s="10" t="n">
        <f aca="false">C46+Eval_Start_Week-1</f>
        <v>4110</v>
      </c>
      <c r="F46" s="10" t="n">
        <f aca="false">C46+Cal_Start_Week-1</f>
        <v>4094</v>
      </c>
      <c r="G46" s="10" t="n">
        <f aca="false">C46+Cal_End_Week-1</f>
        <v>4145</v>
      </c>
      <c r="H46" s="19" t="n">
        <f aca="false">SUM(INDEX(Forecast_Walkforward!$C:$C,$E46):INDEX(Forecast_Walkforward!$C:$C,$D46))</f>
        <v>8988</v>
      </c>
      <c r="I46" s="26" t="n">
        <f aca="false">SUM(INDEX(Forecast_Walkforward!$L:$L,$E46):INDEX(Forecast_Walkforward!$L:$L,$D46))/$H46</f>
        <v>0.164663996439697</v>
      </c>
      <c r="J46" s="26" t="n">
        <f aca="false">SUM(INDEX(Forecast_Walkforward!$M:$M,$E46):INDEX(Forecast_Walkforward!$M:$M,$D46))/$H46</f>
        <v>0.138406764574989</v>
      </c>
      <c r="K46" s="26" t="n">
        <f aca="false">SUM(INDEX(Forecast_Walkforward!$N:$N,$E46):INDEX(Forecast_Walkforward!$N:$N,$D46))/$H46</f>
        <v>0.135945149087672</v>
      </c>
      <c r="L46" s="26" t="n">
        <f aca="false">SUM(INDEX(Forecast_Walkforward!$O:$O,$E46):INDEX(Forecast_Walkforward!$O:$O,$D46))/$H46</f>
        <v>0.135273740533716</v>
      </c>
      <c r="M46" s="27" t="n">
        <f aca="false">SUM(INDEX(Forecast_Walkforward!$H:$H,$E46):INDEX(Forecast_Walkforward!$H:$H,$D46))/$H46</f>
        <v>-0.00356030262572319</v>
      </c>
      <c r="N46" s="27" t="n">
        <f aca="false">SUM(INDEX(Forecast_Walkforward!$I:$I,$E46):INDEX(Forecast_Walkforward!$I:$I,$D46))/$H46</f>
        <v>-0.0148531375166889</v>
      </c>
      <c r="O46" s="27" t="n">
        <f aca="false">SUM(INDEX(Forecast_Walkforward!$J:$J,$E46):INDEX(Forecast_Walkforward!$J:$J,$D46))/$H46</f>
        <v>-0.0310274810858923</v>
      </c>
      <c r="P46" s="27" t="n">
        <f aca="false">SUM(INDEX(Forecast_Walkforward!$K:$K,$E46):INDEX(Forecast_Walkforward!$K:$K,$D46))/$H46</f>
        <v>-0.0217644747709166</v>
      </c>
      <c r="Q46" s="28" t="n">
        <f aca="false">_xlfn.STDEV.S(INDEX(Forecast_Walkforward!$H:$H,$E46):INDEX(Forecast_Walkforward!$H:$H,$D46))</f>
        <v>36.1636551630381</v>
      </c>
      <c r="R46" s="28" t="n">
        <f aca="false">_xlfn.STDEV.S(INDEX(Forecast_Walkforward!$I:$I,$E46):INDEX(Forecast_Walkforward!$I:$I,$D46))</f>
        <v>28.759317134124</v>
      </c>
      <c r="S46" s="28" t="n">
        <f aca="false">_xlfn.STDEV.S(INDEX(Forecast_Walkforward!$J:$J,$E46):INDEX(Forecast_Walkforward!$J:$J,$D46))</f>
        <v>27.4137267437321</v>
      </c>
      <c r="T46" s="28" t="n">
        <f aca="false">_xlfn.STDEV.S(INDEX(Forecast_Walkforward!$K:$K,$E46):INDEX(Forecast_Walkforward!$K:$K,$D46))</f>
        <v>27.4814655037956</v>
      </c>
      <c r="U46" s="28" t="n">
        <f aca="false">INDEX(Forecast_Walkforward!$C:$C,$D46)</f>
        <v>172</v>
      </c>
      <c r="V46" s="28" t="n">
        <f aca="false">AVERAGE(INDEX(Forecast_Walkforward!$C:$C,$D46-3):INDEX(Forecast_Walkforward!$C:$C,$D46))</f>
        <v>189.25</v>
      </c>
      <c r="W46" s="28" t="n">
        <f aca="false">AVERAGE(INDEX(Forecast_Walkforward!$C:$C,$D46-7):INDEX(Forecast_Walkforward!$C:$C,$D46))</f>
        <v>196.375</v>
      </c>
      <c r="X46" s="28" t="n">
        <f aca="false">SES_Alpha*INDEX(Forecast_Walkforward!$C:$C,$D46)+(1-SES_Alpha)*INDEX(Forecast_Walkforward!$G:$G,$D46)</f>
        <v>190.78280416683</v>
      </c>
      <c r="Y46" s="26" t="n">
        <f aca="false">MIN(I46:L46)</f>
        <v>0.135273740533716</v>
      </c>
      <c r="Z46" s="29" t="b">
        <f aca="false">I46&lt;=$Y46+WAPE_Tol</f>
        <v>0</v>
      </c>
      <c r="AA46" s="29" t="b">
        <f aca="false">J46&lt;=$Y46+WAPE_Tol</f>
        <v>1</v>
      </c>
      <c r="AB46" s="29" t="b">
        <f aca="false">K46&lt;=$Y46+WAPE_Tol</f>
        <v>1</v>
      </c>
      <c r="AC46" s="29" t="b">
        <f aca="false">L46&lt;=$Y46+WAPE_Tol</f>
        <v>1</v>
      </c>
      <c r="AD46" s="19" t="n">
        <f aca="false">MATCH(TRUE(),Z46:AC46,0)</f>
        <v>2</v>
      </c>
      <c r="AE46" s="12" t="str">
        <f aca="false">CHOOSE(AD46,"Naive","MA4","MA8","SES")</f>
        <v>MA4</v>
      </c>
      <c r="AF46" s="30" t="n">
        <f aca="false">INDEX(U46:X46,AD46)</f>
        <v>189.25</v>
      </c>
      <c r="AG46" s="26" t="n">
        <f aca="false">INDEX(I46:L46,AD46)</f>
        <v>0.138406764574989</v>
      </c>
      <c r="AH46" s="27" t="n">
        <f aca="false">INDEX(M46:P46,AD46)</f>
        <v>-0.0148531375166889</v>
      </c>
      <c r="AI46" s="28" t="n">
        <f aca="false">INDEX(Q46:T46,AD46)</f>
        <v>28.759317134124</v>
      </c>
      <c r="AJ46" s="19" t="n">
        <f aca="false">AG46*H46</f>
        <v>1244</v>
      </c>
      <c r="AK46" s="19" t="n">
        <f aca="false">SUM(INDEX(Forecast_Walkforward!$C:$C,$F46):INDEX(Forecast_Walkforward!$C:$C,$G46))</f>
        <v>7895</v>
      </c>
      <c r="AL46" s="26" t="n">
        <f aca="false">SUM(INDEX(Forecast_Walkforward!$L:$L,$F46):INDEX(Forecast_Walkforward!$L:$L,$G46))/$AK46</f>
        <v>0.155921469284357</v>
      </c>
      <c r="AM46" s="26" t="n">
        <f aca="false">SUM(INDEX(Forecast_Walkforward!$M:$M,$F46):INDEX(Forecast_Walkforward!$M:$M,$G46))/$AK46</f>
        <v>0.14059531348955</v>
      </c>
      <c r="AN46" s="26" t="n">
        <f aca="false">SUM(INDEX(Forecast_Walkforward!$N:$N,$F46):INDEX(Forecast_Walkforward!$N:$N,$G46))/$AK46</f>
        <v>0.138410386320456</v>
      </c>
      <c r="AO46" s="26" t="n">
        <f aca="false">SUM(INDEX(Forecast_Walkforward!$O:$O,$F46):INDEX(Forecast_Walkforward!$O:$O,$G46))/$AK46</f>
        <v>0.137393982388865</v>
      </c>
      <c r="AP46" s="28" t="n">
        <f aca="false">_xlfn.STDEV.S(INDEX(Forecast_Walkforward!$H:$H,$F46):INDEX(Forecast_Walkforward!$H:$H,$G46))</f>
        <v>31.1812380742513</v>
      </c>
      <c r="AQ46" s="28" t="n">
        <f aca="false">_xlfn.STDEV.S(INDEX(Forecast_Walkforward!$I:$I,$F46):INDEX(Forecast_Walkforward!$I:$I,$G46))</f>
        <v>26.3675776586267</v>
      </c>
      <c r="AR46" s="28" t="n">
        <f aca="false">_xlfn.STDEV.S(INDEX(Forecast_Walkforward!$J:$J,$F46):INDEX(Forecast_Walkforward!$J:$J,$G46))</f>
        <v>25.4698536980131</v>
      </c>
      <c r="AS46" s="28" t="n">
        <f aca="false">_xlfn.STDEV.S(INDEX(Forecast_Walkforward!$K:$K,$F46):INDEX(Forecast_Walkforward!$K:$K,$G46))</f>
        <v>25.1264693821783</v>
      </c>
      <c r="AT46" s="26" t="n">
        <f aca="false">MIN(AL46:AO46)</f>
        <v>0.137393982388865</v>
      </c>
      <c r="AU46" s="29" t="b">
        <f aca="false">AL46&lt;=$AT46+WAPE_Tol</f>
        <v>0</v>
      </c>
      <c r="AV46" s="29" t="b">
        <f aca="false">AM46&lt;=$AT46+WAPE_Tol</f>
        <v>1</v>
      </c>
      <c r="AW46" s="29" t="b">
        <f aca="false">AN46&lt;=$AT46+WAPE_Tol</f>
        <v>1</v>
      </c>
      <c r="AX46" s="29" t="b">
        <f aca="false">AO46&lt;=$AT46+WAPE_Tol</f>
        <v>1</v>
      </c>
      <c r="AY46" s="19" t="n">
        <f aca="false">MATCH(TRUE(),AU46:AX46,0)</f>
        <v>2</v>
      </c>
      <c r="AZ46" s="10" t="str">
        <f aca="false">CHOOSE(AY46,"Naive","MA4","MA8","SES")</f>
        <v>MA4</v>
      </c>
      <c r="BA46" s="28" t="n">
        <f aca="false">INDEX(AP46:AS46,AY46)</f>
        <v>26.3675776586267</v>
      </c>
    </row>
    <row r="47" customFormat="false" ht="15" hidden="false" customHeight="false" outlineLevel="0" collapsed="false">
      <c r="A47" s="11" t="str">
        <f aca="false">Inputs!B80</f>
        <v>CLN-004</v>
      </c>
      <c r="B47" s="11" t="str">
        <f aca="false">Inputs!C80</f>
        <v>Glass Cleaner Spray</v>
      </c>
      <c r="C47" s="10" t="n">
        <f aca="false">MATCH(A47,Demand_History!$C:$C,0)</f>
        <v>4162</v>
      </c>
      <c r="D47" s="10" t="n">
        <f aca="false">C47+Weeks_History-1</f>
        <v>4265</v>
      </c>
      <c r="E47" s="10" t="n">
        <f aca="false">C47+Eval_Start_Week-1</f>
        <v>4214</v>
      </c>
      <c r="F47" s="10" t="n">
        <f aca="false">C47+Cal_Start_Week-1</f>
        <v>4198</v>
      </c>
      <c r="G47" s="10" t="n">
        <f aca="false">C47+Cal_End_Week-1</f>
        <v>4249</v>
      </c>
      <c r="H47" s="19" t="n">
        <f aca="false">SUM(INDEX(Forecast_Walkforward!$C:$C,$E47):INDEX(Forecast_Walkforward!$C:$C,$D47))</f>
        <v>4479</v>
      </c>
      <c r="I47" s="26" t="n">
        <f aca="false">SUM(INDEX(Forecast_Walkforward!$L:$L,$E47):INDEX(Forecast_Walkforward!$L:$L,$D47))/$H47</f>
        <v>0.440500111632061</v>
      </c>
      <c r="J47" s="26" t="n">
        <f aca="false">SUM(INDEX(Forecast_Walkforward!$M:$M,$E47):INDEX(Forecast_Walkforward!$M:$M,$D47))/$H47</f>
        <v>0.308271935699933</v>
      </c>
      <c r="K47" s="26" t="n">
        <f aca="false">SUM(INDEX(Forecast_Walkforward!$N:$N,$E47):INDEX(Forecast_Walkforward!$N:$N,$D47))/$H47</f>
        <v>0.301601920071445</v>
      </c>
      <c r="L47" s="26" t="n">
        <f aca="false">SUM(INDEX(Forecast_Walkforward!$O:$O,$E47):INDEX(Forecast_Walkforward!$O:$O,$D47))/$H47</f>
        <v>0.301448024142179</v>
      </c>
      <c r="M47" s="27" t="n">
        <f aca="false">SUM(INDEX(Forecast_Walkforward!$H:$H,$E47):INDEX(Forecast_Walkforward!$H:$H,$D47))/$H47</f>
        <v>0.00915382897968296</v>
      </c>
      <c r="N47" s="27" t="n">
        <f aca="false">SUM(INDEX(Forecast_Walkforward!$I:$I,$E47):INDEX(Forecast_Walkforward!$I:$I,$D47))/$H47</f>
        <v>0.0243916052690333</v>
      </c>
      <c r="O47" s="27" t="n">
        <f aca="false">SUM(INDEX(Forecast_Walkforward!$J:$J,$E47):INDEX(Forecast_Walkforward!$J:$J,$D47))/$H47</f>
        <v>0.0241962491627595</v>
      </c>
      <c r="P47" s="27" t="n">
        <f aca="false">SUM(INDEX(Forecast_Walkforward!$K:$K,$E47):INDEX(Forecast_Walkforward!$K:$K,$D47))/$H47</f>
        <v>0.0224713631264329</v>
      </c>
      <c r="Q47" s="28" t="n">
        <f aca="false">_xlfn.STDEV.S(INDEX(Forecast_Walkforward!$H:$H,$E47):INDEX(Forecast_Walkforward!$H:$H,$D47))</f>
        <v>45.7269545679276</v>
      </c>
      <c r="R47" s="28" t="n">
        <f aca="false">_xlfn.STDEV.S(INDEX(Forecast_Walkforward!$I:$I,$E47):INDEX(Forecast_Walkforward!$I:$I,$D47))</f>
        <v>33.842457221987</v>
      </c>
      <c r="S47" s="28" t="n">
        <f aca="false">_xlfn.STDEV.S(INDEX(Forecast_Walkforward!$J:$J,$E47):INDEX(Forecast_Walkforward!$J:$J,$D47))</f>
        <v>32.6932951050313</v>
      </c>
      <c r="T47" s="28" t="n">
        <f aca="false">_xlfn.STDEV.S(INDEX(Forecast_Walkforward!$K:$K,$E47):INDEX(Forecast_Walkforward!$K:$K,$D47))</f>
        <v>33.2401822402832</v>
      </c>
      <c r="U47" s="28" t="n">
        <f aca="false">INDEX(Forecast_Walkforward!$C:$C,$D47)</f>
        <v>63</v>
      </c>
      <c r="V47" s="28" t="n">
        <f aca="false">AVERAGE(INDEX(Forecast_Walkforward!$C:$C,$D47-3):INDEX(Forecast_Walkforward!$C:$C,$D47))</f>
        <v>63</v>
      </c>
      <c r="W47" s="28" t="n">
        <f aca="false">AVERAGE(INDEX(Forecast_Walkforward!$C:$C,$D47-7):INDEX(Forecast_Walkforward!$C:$C,$D47))</f>
        <v>84.5</v>
      </c>
      <c r="X47" s="28" t="n">
        <f aca="false">SES_Alpha*INDEX(Forecast_Walkforward!$C:$C,$D47)+(1-SES_Alpha)*INDEX(Forecast_Walkforward!$G:$G,$D47)</f>
        <v>71.1742162068557</v>
      </c>
      <c r="Y47" s="26" t="n">
        <f aca="false">MIN(I47:L47)</f>
        <v>0.301448024142179</v>
      </c>
      <c r="Z47" s="29" t="b">
        <f aca="false">I47&lt;=$Y47+WAPE_Tol</f>
        <v>0</v>
      </c>
      <c r="AA47" s="29" t="b">
        <f aca="false">J47&lt;=$Y47+WAPE_Tol</f>
        <v>1</v>
      </c>
      <c r="AB47" s="29" t="b">
        <f aca="false">K47&lt;=$Y47+WAPE_Tol</f>
        <v>1</v>
      </c>
      <c r="AC47" s="29" t="b">
        <f aca="false">L47&lt;=$Y47+WAPE_Tol</f>
        <v>1</v>
      </c>
      <c r="AD47" s="19" t="n">
        <f aca="false">MATCH(TRUE(),Z47:AC47,0)</f>
        <v>2</v>
      </c>
      <c r="AE47" s="12" t="str">
        <f aca="false">CHOOSE(AD47,"Naive","MA4","MA8","SES")</f>
        <v>MA4</v>
      </c>
      <c r="AF47" s="30" t="n">
        <f aca="false">INDEX(U47:X47,AD47)</f>
        <v>63</v>
      </c>
      <c r="AG47" s="26" t="n">
        <f aca="false">INDEX(I47:L47,AD47)</f>
        <v>0.308271935699933</v>
      </c>
      <c r="AH47" s="27" t="n">
        <f aca="false">INDEX(M47:P47,AD47)</f>
        <v>0.0243916052690333</v>
      </c>
      <c r="AI47" s="28" t="n">
        <f aca="false">INDEX(Q47:T47,AD47)</f>
        <v>33.842457221987</v>
      </c>
      <c r="AJ47" s="19" t="n">
        <f aca="false">AG47*H47</f>
        <v>1380.75</v>
      </c>
      <c r="AK47" s="19" t="n">
        <f aca="false">SUM(INDEX(Forecast_Walkforward!$C:$C,$F47):INDEX(Forecast_Walkforward!$C:$C,$G47))</f>
        <v>4741</v>
      </c>
      <c r="AL47" s="26" t="n">
        <f aca="false">SUM(INDEX(Forecast_Walkforward!$L:$L,$F47):INDEX(Forecast_Walkforward!$L:$L,$G47))/$AK47</f>
        <v>0.411727483653238</v>
      </c>
      <c r="AM47" s="26" t="n">
        <f aca="false">SUM(INDEX(Forecast_Walkforward!$M:$M,$F47):INDEX(Forecast_Walkforward!$M:$M,$G47))/$AK47</f>
        <v>0.316863530900654</v>
      </c>
      <c r="AN47" s="26" t="n">
        <f aca="false">SUM(INDEX(Forecast_Walkforward!$N:$N,$F47):INDEX(Forecast_Walkforward!$N:$N,$G47))/$AK47</f>
        <v>0.298987555368066</v>
      </c>
      <c r="AO47" s="26" t="n">
        <f aca="false">SUM(INDEX(Forecast_Walkforward!$O:$O,$F47):INDEX(Forecast_Walkforward!$O:$O,$G47))/$AK47</f>
        <v>0.304851039342652</v>
      </c>
      <c r="AP47" s="28" t="n">
        <f aca="false">_xlfn.STDEV.S(INDEX(Forecast_Walkforward!$H:$H,$F47):INDEX(Forecast_Walkforward!$H:$H,$G47))</f>
        <v>46.7923592788163</v>
      </c>
      <c r="AQ47" s="28" t="n">
        <f aca="false">_xlfn.STDEV.S(INDEX(Forecast_Walkforward!$I:$I,$F47):INDEX(Forecast_Walkforward!$I:$I,$G47))</f>
        <v>35.4299820812689</v>
      </c>
      <c r="AR47" s="28" t="n">
        <f aca="false">_xlfn.STDEV.S(INDEX(Forecast_Walkforward!$J:$J,$F47):INDEX(Forecast_Walkforward!$J:$J,$G47))</f>
        <v>33.4532200223574</v>
      </c>
      <c r="AS47" s="28" t="n">
        <f aca="false">_xlfn.STDEV.S(INDEX(Forecast_Walkforward!$K:$K,$F47):INDEX(Forecast_Walkforward!$K:$K,$G47))</f>
        <v>34.7779289284031</v>
      </c>
      <c r="AT47" s="26" t="n">
        <f aca="false">MIN(AL47:AO47)</f>
        <v>0.298987555368066</v>
      </c>
      <c r="AU47" s="29" t="b">
        <f aca="false">AL47&lt;=$AT47+WAPE_Tol</f>
        <v>0</v>
      </c>
      <c r="AV47" s="29" t="b">
        <f aca="false">AM47&lt;=$AT47+WAPE_Tol</f>
        <v>0</v>
      </c>
      <c r="AW47" s="29" t="b">
        <f aca="false">AN47&lt;=$AT47+WAPE_Tol</f>
        <v>1</v>
      </c>
      <c r="AX47" s="29" t="b">
        <f aca="false">AO47&lt;=$AT47+WAPE_Tol</f>
        <v>1</v>
      </c>
      <c r="AY47" s="19" t="n">
        <f aca="false">MATCH(TRUE(),AU47:AX47,0)</f>
        <v>3</v>
      </c>
      <c r="AZ47" s="10" t="str">
        <f aca="false">CHOOSE(AY47,"Naive","MA4","MA8","SES")</f>
        <v>MA8</v>
      </c>
      <c r="BA47" s="28" t="n">
        <f aca="false">INDEX(AP47:AS47,AY47)</f>
        <v>33.4532200223574</v>
      </c>
    </row>
    <row r="48" customFormat="false" ht="15" hidden="false" customHeight="false" outlineLevel="0" collapsed="false">
      <c r="A48" s="11" t="str">
        <f aca="false">Inputs!B81</f>
        <v>CLN-005</v>
      </c>
      <c r="B48" s="11" t="str">
        <f aca="false">Inputs!C81</f>
        <v>Bamboo Toilet Brush</v>
      </c>
      <c r="C48" s="10" t="n">
        <f aca="false">MATCH(A48,Demand_History!$C:$C,0)</f>
        <v>4266</v>
      </c>
      <c r="D48" s="10" t="n">
        <f aca="false">C48+Weeks_History-1</f>
        <v>4369</v>
      </c>
      <c r="E48" s="10" t="n">
        <f aca="false">C48+Eval_Start_Week-1</f>
        <v>4318</v>
      </c>
      <c r="F48" s="10" t="n">
        <f aca="false">C48+Cal_Start_Week-1</f>
        <v>4302</v>
      </c>
      <c r="G48" s="10" t="n">
        <f aca="false">C48+Cal_End_Week-1</f>
        <v>4353</v>
      </c>
      <c r="H48" s="19" t="n">
        <f aca="false">SUM(INDEX(Forecast_Walkforward!$C:$C,$E48):INDEX(Forecast_Walkforward!$C:$C,$D48))</f>
        <v>2543</v>
      </c>
      <c r="I48" s="26" t="n">
        <f aca="false">SUM(INDEX(Forecast_Walkforward!$L:$L,$E48):INDEX(Forecast_Walkforward!$L:$L,$D48))/$H48</f>
        <v>0.130161226897365</v>
      </c>
      <c r="J48" s="26" t="n">
        <f aca="false">SUM(INDEX(Forecast_Walkforward!$M:$M,$E48):INDEX(Forecast_Walkforward!$M:$M,$D48))/$H48</f>
        <v>0.109024773889107</v>
      </c>
      <c r="K48" s="26" t="n">
        <f aca="false">SUM(INDEX(Forecast_Walkforward!$N:$N,$E48):INDEX(Forecast_Walkforward!$N:$N,$D48))/$H48</f>
        <v>0.105977192292568</v>
      </c>
      <c r="L48" s="26" t="n">
        <f aca="false">SUM(INDEX(Forecast_Walkforward!$O:$O,$E48):INDEX(Forecast_Walkforward!$O:$O,$D48))/$H48</f>
        <v>0.108173661175519</v>
      </c>
      <c r="M48" s="27" t="n">
        <f aca="false">SUM(INDEX(Forecast_Walkforward!$H:$H,$E48):INDEX(Forecast_Walkforward!$H:$H,$D48))/$H48</f>
        <v>0.00196618167518679</v>
      </c>
      <c r="N48" s="27" t="n">
        <f aca="false">SUM(INDEX(Forecast_Walkforward!$I:$I,$E48):INDEX(Forecast_Walkforward!$I:$I,$D48))/$H48</f>
        <v>-0.00304758159653952</v>
      </c>
      <c r="O48" s="27" t="n">
        <f aca="false">SUM(INDEX(Forecast_Walkforward!$J:$J,$E48):INDEX(Forecast_Walkforward!$J:$J,$D48))/$H48</f>
        <v>-0.00580023594180102</v>
      </c>
      <c r="P48" s="27" t="n">
        <f aca="false">SUM(INDEX(Forecast_Walkforward!$K:$K,$E48):INDEX(Forecast_Walkforward!$K:$K,$D48))/$H48</f>
        <v>-0.0035078852036402</v>
      </c>
      <c r="Q48" s="28" t="n">
        <f aca="false">_xlfn.STDEV.S(INDEX(Forecast_Walkforward!$H:$H,$E48):INDEX(Forecast_Walkforward!$H:$H,$D48))</f>
        <v>8.4022863727436</v>
      </c>
      <c r="R48" s="28" t="n">
        <f aca="false">_xlfn.STDEV.S(INDEX(Forecast_Walkforward!$I:$I,$E48):INDEX(Forecast_Walkforward!$I:$I,$D48))</f>
        <v>6.54401755223669</v>
      </c>
      <c r="S48" s="28" t="n">
        <f aca="false">_xlfn.STDEV.S(INDEX(Forecast_Walkforward!$J:$J,$E48):INDEX(Forecast_Walkforward!$J:$J,$D48))</f>
        <v>6.32979045245146</v>
      </c>
      <c r="T48" s="28" t="n">
        <f aca="false">_xlfn.STDEV.S(INDEX(Forecast_Walkforward!$K:$K,$E48):INDEX(Forecast_Walkforward!$K:$K,$D48))</f>
        <v>6.49419588806923</v>
      </c>
      <c r="U48" s="28" t="n">
        <f aca="false">INDEX(Forecast_Walkforward!$C:$C,$D48)</f>
        <v>47</v>
      </c>
      <c r="V48" s="28" t="n">
        <f aca="false">AVERAGE(INDEX(Forecast_Walkforward!$C:$C,$D48-3):INDEX(Forecast_Walkforward!$C:$C,$D48))</f>
        <v>53.25</v>
      </c>
      <c r="W48" s="28" t="n">
        <f aca="false">AVERAGE(INDEX(Forecast_Walkforward!$C:$C,$D48-7):INDEX(Forecast_Walkforward!$C:$C,$D48))</f>
        <v>51.625</v>
      </c>
      <c r="X48" s="28" t="n">
        <f aca="false">SES_Alpha*INDEX(Forecast_Walkforward!$C:$C,$D48)+(1-SES_Alpha)*INDEX(Forecast_Walkforward!$G:$G,$D48)</f>
        <v>51.6316038975638</v>
      </c>
      <c r="Y48" s="26" t="n">
        <f aca="false">MIN(I48:L48)</f>
        <v>0.105977192292568</v>
      </c>
      <c r="Z48" s="29" t="b">
        <f aca="false">I48&lt;=$Y48+WAPE_Tol</f>
        <v>0</v>
      </c>
      <c r="AA48" s="29" t="b">
        <f aca="false">J48&lt;=$Y48+WAPE_Tol</f>
        <v>1</v>
      </c>
      <c r="AB48" s="29" t="b">
        <f aca="false">K48&lt;=$Y48+WAPE_Tol</f>
        <v>1</v>
      </c>
      <c r="AC48" s="29" t="b">
        <f aca="false">L48&lt;=$Y48+WAPE_Tol</f>
        <v>1</v>
      </c>
      <c r="AD48" s="19" t="n">
        <f aca="false">MATCH(TRUE(),Z48:AC48,0)</f>
        <v>2</v>
      </c>
      <c r="AE48" s="12" t="str">
        <f aca="false">CHOOSE(AD48,"Naive","MA4","MA8","SES")</f>
        <v>MA4</v>
      </c>
      <c r="AF48" s="30" t="n">
        <f aca="false">INDEX(U48:X48,AD48)</f>
        <v>53.25</v>
      </c>
      <c r="AG48" s="26" t="n">
        <f aca="false">INDEX(I48:L48,AD48)</f>
        <v>0.109024773889107</v>
      </c>
      <c r="AH48" s="27" t="n">
        <f aca="false">INDEX(M48:P48,AD48)</f>
        <v>-0.00304758159653952</v>
      </c>
      <c r="AI48" s="28" t="n">
        <f aca="false">INDEX(Q48:T48,AD48)</f>
        <v>6.54401755223669</v>
      </c>
      <c r="AJ48" s="19" t="n">
        <f aca="false">AG48*H48</f>
        <v>277.25</v>
      </c>
      <c r="AK48" s="19" t="n">
        <f aca="false">SUM(INDEX(Forecast_Walkforward!$C:$C,$F48):INDEX(Forecast_Walkforward!$C:$C,$G48))</f>
        <v>2501</v>
      </c>
      <c r="AL48" s="26" t="n">
        <f aca="false">SUM(INDEX(Forecast_Walkforward!$L:$L,$F48):INDEX(Forecast_Walkforward!$L:$L,$G48))/$AK48</f>
        <v>0.137544982007197</v>
      </c>
      <c r="AM48" s="26" t="n">
        <f aca="false">SUM(INDEX(Forecast_Walkforward!$M:$M,$F48):INDEX(Forecast_Walkforward!$M:$M,$G48))/$AK48</f>
        <v>0.109856057576969</v>
      </c>
      <c r="AN48" s="26" t="n">
        <f aca="false">SUM(INDEX(Forecast_Walkforward!$N:$N,$F48):INDEX(Forecast_Walkforward!$N:$N,$G48))/$AK48</f>
        <v>0.103308676529388</v>
      </c>
      <c r="AO48" s="26" t="n">
        <f aca="false">SUM(INDEX(Forecast_Walkforward!$O:$O,$F48):INDEX(Forecast_Walkforward!$O:$O,$G48))/$AK48</f>
        <v>0.107812777817555</v>
      </c>
      <c r="AP48" s="28" t="n">
        <f aca="false">_xlfn.STDEV.S(INDEX(Forecast_Walkforward!$H:$H,$F48):INDEX(Forecast_Walkforward!$H:$H,$G48))</f>
        <v>8.39593380000446</v>
      </c>
      <c r="AQ48" s="28" t="n">
        <f aca="false">_xlfn.STDEV.S(INDEX(Forecast_Walkforward!$I:$I,$F48):INDEX(Forecast_Walkforward!$I:$I,$G48))</f>
        <v>6.43917144682207</v>
      </c>
      <c r="AR48" s="28" t="n">
        <f aca="false">_xlfn.STDEV.S(INDEX(Forecast_Walkforward!$J:$J,$F48):INDEX(Forecast_Walkforward!$J:$J,$G48))</f>
        <v>6.09399714759673</v>
      </c>
      <c r="AS48" s="28" t="n">
        <f aca="false">_xlfn.STDEV.S(INDEX(Forecast_Walkforward!$K:$K,$F48):INDEX(Forecast_Walkforward!$K:$K,$G48))</f>
        <v>6.29850480307791</v>
      </c>
      <c r="AT48" s="26" t="n">
        <f aca="false">MIN(AL48:AO48)</f>
        <v>0.103308676529388</v>
      </c>
      <c r="AU48" s="29" t="b">
        <f aca="false">AL48&lt;=$AT48+WAPE_Tol</f>
        <v>0</v>
      </c>
      <c r="AV48" s="29" t="b">
        <f aca="false">AM48&lt;=$AT48+WAPE_Tol</f>
        <v>1</v>
      </c>
      <c r="AW48" s="29" t="b">
        <f aca="false">AN48&lt;=$AT48+WAPE_Tol</f>
        <v>1</v>
      </c>
      <c r="AX48" s="29" t="b">
        <f aca="false">AO48&lt;=$AT48+WAPE_Tol</f>
        <v>1</v>
      </c>
      <c r="AY48" s="19" t="n">
        <f aca="false">MATCH(TRUE(),AU48:AX48,0)</f>
        <v>2</v>
      </c>
      <c r="AZ48" s="10" t="str">
        <f aca="false">CHOOSE(AY48,"Naive","MA4","MA8","SES")</f>
        <v>MA4</v>
      </c>
      <c r="BA48" s="28" t="n">
        <f aca="false">INDEX(AP48:AS48,AY48)</f>
        <v>6.43917144682207</v>
      </c>
    </row>
    <row r="49" customFormat="false" ht="15" hidden="false" customHeight="false" outlineLevel="0" collapsed="false">
      <c r="A49" s="11" t="str">
        <f aca="false">Inputs!B82</f>
        <v>CLN-006</v>
      </c>
      <c r="B49" s="11" t="str">
        <f aca="false">Inputs!C82</f>
        <v>Reusable Mop Pads 3-Pack</v>
      </c>
      <c r="C49" s="10" t="n">
        <f aca="false">MATCH(A49,Demand_History!$C:$C,0)</f>
        <v>4370</v>
      </c>
      <c r="D49" s="10" t="n">
        <f aca="false">C49+Weeks_History-1</f>
        <v>4473</v>
      </c>
      <c r="E49" s="10" t="n">
        <f aca="false">C49+Eval_Start_Week-1</f>
        <v>4422</v>
      </c>
      <c r="F49" s="10" t="n">
        <f aca="false">C49+Cal_Start_Week-1</f>
        <v>4406</v>
      </c>
      <c r="G49" s="10" t="n">
        <f aca="false">C49+Cal_End_Week-1</f>
        <v>4457</v>
      </c>
      <c r="H49" s="19" t="n">
        <f aca="false">SUM(INDEX(Forecast_Walkforward!$C:$C,$E49):INDEX(Forecast_Walkforward!$C:$C,$D49))</f>
        <v>2867</v>
      </c>
      <c r="I49" s="26" t="n">
        <f aca="false">SUM(INDEX(Forecast_Walkforward!$L:$L,$E49):INDEX(Forecast_Walkforward!$L:$L,$D49))/$H49</f>
        <v>0.149284966864318</v>
      </c>
      <c r="J49" s="26" t="n">
        <f aca="false">SUM(INDEX(Forecast_Walkforward!$M:$M,$E49):INDEX(Forecast_Walkforward!$M:$M,$D49))/$H49</f>
        <v>0.103592605510987</v>
      </c>
      <c r="K49" s="26" t="n">
        <f aca="false">SUM(INDEX(Forecast_Walkforward!$N:$N,$E49):INDEX(Forecast_Walkforward!$N:$N,$D49))/$H49</f>
        <v>0.103636205092431</v>
      </c>
      <c r="L49" s="26" t="n">
        <f aca="false">SUM(INDEX(Forecast_Walkforward!$O:$O,$E49):INDEX(Forecast_Walkforward!$O:$O,$D49))/$H49</f>
        <v>0.105865703104595</v>
      </c>
      <c r="M49" s="27" t="n">
        <f aca="false">SUM(INDEX(Forecast_Walkforward!$H:$H,$E49):INDEX(Forecast_Walkforward!$H:$H,$D49))/$H49</f>
        <v>0.00837111963725148</v>
      </c>
      <c r="N49" s="27" t="n">
        <f aca="false">SUM(INDEX(Forecast_Walkforward!$I:$I,$E49):INDEX(Forecast_Walkforward!$I:$I,$D49))/$H49</f>
        <v>0.0261597488664109</v>
      </c>
      <c r="O49" s="27" t="n">
        <f aca="false">SUM(INDEX(Forecast_Walkforward!$J:$J,$E49):INDEX(Forecast_Walkforward!$J:$J,$D49))/$H49</f>
        <v>0.0459103592605511</v>
      </c>
      <c r="P49" s="27" t="n">
        <f aca="false">SUM(INDEX(Forecast_Walkforward!$K:$K,$E49):INDEX(Forecast_Walkforward!$K:$K,$D49))/$H49</f>
        <v>0.0338047712546629</v>
      </c>
      <c r="Q49" s="28" t="n">
        <f aca="false">_xlfn.STDEV.S(INDEX(Forecast_Walkforward!$H:$H,$E49):INDEX(Forecast_Walkforward!$H:$H,$D49))</f>
        <v>10.0048253817875</v>
      </c>
      <c r="R49" s="28" t="n">
        <f aca="false">_xlfn.STDEV.S(INDEX(Forecast_Walkforward!$I:$I,$E49):INDEX(Forecast_Walkforward!$I:$I,$D49))</f>
        <v>7.40174452552343</v>
      </c>
      <c r="S49" s="28" t="n">
        <f aca="false">_xlfn.STDEV.S(INDEX(Forecast_Walkforward!$J:$J,$E49):INDEX(Forecast_Walkforward!$J:$J,$D49))</f>
        <v>7.40556870987412</v>
      </c>
      <c r="T49" s="28" t="n">
        <f aca="false">_xlfn.STDEV.S(INDEX(Forecast_Walkforward!$K:$K,$E49):INDEX(Forecast_Walkforward!$K:$K,$D49))</f>
        <v>7.51760690847369</v>
      </c>
      <c r="U49" s="28" t="n">
        <f aca="false">INDEX(Forecast_Walkforward!$C:$C,$D49)</f>
        <v>42</v>
      </c>
      <c r="V49" s="28" t="n">
        <f aca="false">AVERAGE(INDEX(Forecast_Walkforward!$C:$C,$D49-3):INDEX(Forecast_Walkforward!$C:$C,$D49))</f>
        <v>47</v>
      </c>
      <c r="W49" s="28" t="n">
        <f aca="false">AVERAGE(INDEX(Forecast_Walkforward!$C:$C,$D49-7):INDEX(Forecast_Walkforward!$C:$C,$D49))</f>
        <v>46.25</v>
      </c>
      <c r="X49" s="28" t="n">
        <f aca="false">SES_Alpha*INDEX(Forecast_Walkforward!$C:$C,$D49)+(1-SES_Alpha)*INDEX(Forecast_Walkforward!$G:$G,$D49)</f>
        <v>46.4454898576275</v>
      </c>
      <c r="Y49" s="26" t="n">
        <f aca="false">MIN(I49:L49)</f>
        <v>0.103592605510987</v>
      </c>
      <c r="Z49" s="29" t="b">
        <f aca="false">I49&lt;=$Y49+WAPE_Tol</f>
        <v>0</v>
      </c>
      <c r="AA49" s="29" t="b">
        <f aca="false">J49&lt;=$Y49+WAPE_Tol</f>
        <v>1</v>
      </c>
      <c r="AB49" s="29" t="b">
        <f aca="false">K49&lt;=$Y49+WAPE_Tol</f>
        <v>1</v>
      </c>
      <c r="AC49" s="29" t="b">
        <f aca="false">L49&lt;=$Y49+WAPE_Tol</f>
        <v>1</v>
      </c>
      <c r="AD49" s="19" t="n">
        <f aca="false">MATCH(TRUE(),Z49:AC49,0)</f>
        <v>2</v>
      </c>
      <c r="AE49" s="12" t="str">
        <f aca="false">CHOOSE(AD49,"Naive","MA4","MA8","SES")</f>
        <v>MA4</v>
      </c>
      <c r="AF49" s="30" t="n">
        <f aca="false">INDEX(U49:X49,AD49)</f>
        <v>47</v>
      </c>
      <c r="AG49" s="26" t="n">
        <f aca="false">INDEX(I49:L49,AD49)</f>
        <v>0.103592605510987</v>
      </c>
      <c r="AH49" s="27" t="n">
        <f aca="false">INDEX(M49:P49,AD49)</f>
        <v>0.0261597488664109</v>
      </c>
      <c r="AI49" s="28" t="n">
        <f aca="false">INDEX(Q49:T49,AD49)</f>
        <v>7.40174452552343</v>
      </c>
      <c r="AJ49" s="19" t="n">
        <f aca="false">AG49*H49</f>
        <v>297</v>
      </c>
      <c r="AK49" s="19" t="n">
        <f aca="false">SUM(INDEX(Forecast_Walkforward!$C:$C,$F49):INDEX(Forecast_Walkforward!$C:$C,$G49))</f>
        <v>3324</v>
      </c>
      <c r="AL49" s="26" t="n">
        <f aca="false">SUM(INDEX(Forecast_Walkforward!$L:$L,$F49):INDEX(Forecast_Walkforward!$L:$L,$G49))/$AK49</f>
        <v>0.177496991576414</v>
      </c>
      <c r="AM49" s="26" t="n">
        <f aca="false">SUM(INDEX(Forecast_Walkforward!$M:$M,$F49):INDEX(Forecast_Walkforward!$M:$M,$G49))/$AK49</f>
        <v>0.122367629362214</v>
      </c>
      <c r="AN49" s="26" t="n">
        <f aca="false">SUM(INDEX(Forecast_Walkforward!$N:$N,$F49):INDEX(Forecast_Walkforward!$N:$N,$G49))/$AK49</f>
        <v>0.119208784596871</v>
      </c>
      <c r="AO49" s="26" t="n">
        <f aca="false">SUM(INDEX(Forecast_Walkforward!$O:$O,$F49):INDEX(Forecast_Walkforward!$O:$O,$G49))/$AK49</f>
        <v>0.122963137129337</v>
      </c>
      <c r="AP49" s="28" t="n">
        <f aca="false">_xlfn.STDEV.S(INDEX(Forecast_Walkforward!$H:$H,$F49):INDEX(Forecast_Walkforward!$H:$H,$G49))</f>
        <v>13.783392196861</v>
      </c>
      <c r="AQ49" s="28" t="n">
        <f aca="false">_xlfn.STDEV.S(INDEX(Forecast_Walkforward!$I:$I,$F49):INDEX(Forecast_Walkforward!$I:$I,$G49))</f>
        <v>10.1622895808419</v>
      </c>
      <c r="AR49" s="28" t="n">
        <f aca="false">_xlfn.STDEV.S(INDEX(Forecast_Walkforward!$J:$J,$F49):INDEX(Forecast_Walkforward!$J:$J,$G49))</f>
        <v>9.77670907549713</v>
      </c>
      <c r="AS49" s="28" t="n">
        <f aca="false">_xlfn.STDEV.S(INDEX(Forecast_Walkforward!$K:$K,$F49):INDEX(Forecast_Walkforward!$K:$K,$G49))</f>
        <v>10.0274671492027</v>
      </c>
      <c r="AT49" s="26" t="n">
        <f aca="false">MIN(AL49:AO49)</f>
        <v>0.119208784596871</v>
      </c>
      <c r="AU49" s="29" t="b">
        <f aca="false">AL49&lt;=$AT49+WAPE_Tol</f>
        <v>0</v>
      </c>
      <c r="AV49" s="29" t="b">
        <f aca="false">AM49&lt;=$AT49+WAPE_Tol</f>
        <v>1</v>
      </c>
      <c r="AW49" s="29" t="b">
        <f aca="false">AN49&lt;=$AT49+WAPE_Tol</f>
        <v>1</v>
      </c>
      <c r="AX49" s="29" t="b">
        <f aca="false">AO49&lt;=$AT49+WAPE_Tol</f>
        <v>1</v>
      </c>
      <c r="AY49" s="19" t="n">
        <f aca="false">MATCH(TRUE(),AU49:AX49,0)</f>
        <v>2</v>
      </c>
      <c r="AZ49" s="10" t="str">
        <f aca="false">CHOOSE(AY49,"Naive","MA4","MA8","SES")</f>
        <v>MA4</v>
      </c>
      <c r="BA49" s="28" t="n">
        <f aca="false">INDEX(AP49:AS49,AY49)</f>
        <v>10.1622895808419</v>
      </c>
    </row>
    <row r="50" customFormat="false" ht="15" hidden="false" customHeight="false" outlineLevel="0" collapsed="false">
      <c r="A50" s="11" t="str">
        <f aca="false">Inputs!B83</f>
        <v>CLN-007</v>
      </c>
      <c r="B50" s="11" t="str">
        <f aca="false">Inputs!C83</f>
        <v>Kettle Descaler 500ml</v>
      </c>
      <c r="C50" s="10" t="n">
        <f aca="false">MATCH(A50,Demand_History!$C:$C,0)</f>
        <v>4474</v>
      </c>
      <c r="D50" s="10" t="n">
        <f aca="false">C50+Weeks_History-1</f>
        <v>4577</v>
      </c>
      <c r="E50" s="10" t="n">
        <f aca="false">C50+Eval_Start_Week-1</f>
        <v>4526</v>
      </c>
      <c r="F50" s="10" t="n">
        <f aca="false">C50+Cal_Start_Week-1</f>
        <v>4510</v>
      </c>
      <c r="G50" s="10" t="n">
        <f aca="false">C50+Cal_End_Week-1</f>
        <v>4561</v>
      </c>
      <c r="H50" s="19" t="n">
        <f aca="false">SUM(INDEX(Forecast_Walkforward!$C:$C,$E50):INDEX(Forecast_Walkforward!$C:$C,$D50))</f>
        <v>3394</v>
      </c>
      <c r="I50" s="26" t="n">
        <f aca="false">SUM(INDEX(Forecast_Walkforward!$L:$L,$E50):INDEX(Forecast_Walkforward!$L:$L,$D50))/$H50</f>
        <v>0.320271066588097</v>
      </c>
      <c r="J50" s="26" t="n">
        <f aca="false">SUM(INDEX(Forecast_Walkforward!$M:$M,$E50):INDEX(Forecast_Walkforward!$M:$M,$D50))/$H50</f>
        <v>0.229154390100177</v>
      </c>
      <c r="K50" s="26" t="n">
        <f aca="false">SUM(INDEX(Forecast_Walkforward!$N:$N,$E50):INDEX(Forecast_Walkforward!$N:$N,$D50))/$H50</f>
        <v>0.206430465527401</v>
      </c>
      <c r="L50" s="26" t="n">
        <f aca="false">SUM(INDEX(Forecast_Walkforward!$O:$O,$E50):INDEX(Forecast_Walkforward!$O:$O,$D50))/$H50</f>
        <v>0.228611204425176</v>
      </c>
      <c r="M50" s="27" t="n">
        <f aca="false">SUM(INDEX(Forecast_Walkforward!$H:$H,$E50):INDEX(Forecast_Walkforward!$H:$H,$D50))/$H50</f>
        <v>-0.000883912787271656</v>
      </c>
      <c r="N50" s="27" t="n">
        <f aca="false">SUM(INDEX(Forecast_Walkforward!$I:$I,$E50):INDEX(Forecast_Walkforward!$I:$I,$D50))/$H50</f>
        <v>-0.00581909251620507</v>
      </c>
      <c r="O50" s="27" t="n">
        <f aca="false">SUM(INDEX(Forecast_Walkforward!$J:$J,$E50):INDEX(Forecast_Walkforward!$J:$J,$D50))/$H50</f>
        <v>-0.00217295226870949</v>
      </c>
      <c r="P50" s="27" t="n">
        <f aca="false">SUM(INDEX(Forecast_Walkforward!$K:$K,$E50):INDEX(Forecast_Walkforward!$K:$K,$D50))/$H50</f>
        <v>-0.00337028648893907</v>
      </c>
      <c r="Q50" s="28" t="n">
        <f aca="false">_xlfn.STDEV.S(INDEX(Forecast_Walkforward!$H:$H,$E50):INDEX(Forecast_Walkforward!$H:$H,$D50))</f>
        <v>25.8422161539332</v>
      </c>
      <c r="R50" s="28" t="n">
        <f aca="false">_xlfn.STDEV.S(INDEX(Forecast_Walkforward!$I:$I,$E50):INDEX(Forecast_Walkforward!$I:$I,$D50))</f>
        <v>17.6293184380379</v>
      </c>
      <c r="S50" s="28" t="n">
        <f aca="false">_xlfn.STDEV.S(INDEX(Forecast_Walkforward!$J:$J,$E50):INDEX(Forecast_Walkforward!$J:$J,$D50))</f>
        <v>16.8033979998691</v>
      </c>
      <c r="T50" s="28" t="n">
        <f aca="false">_xlfn.STDEV.S(INDEX(Forecast_Walkforward!$K:$K,$E50):INDEX(Forecast_Walkforward!$K:$K,$D50))</f>
        <v>17.7943374692091</v>
      </c>
      <c r="U50" s="28" t="n">
        <f aca="false">INDEX(Forecast_Walkforward!$C:$C,$D50)</f>
        <v>59</v>
      </c>
      <c r="V50" s="28" t="n">
        <f aca="false">AVERAGE(INDEX(Forecast_Walkforward!$C:$C,$D50-3):INDEX(Forecast_Walkforward!$C:$C,$D50))</f>
        <v>73.5</v>
      </c>
      <c r="W50" s="28" t="n">
        <f aca="false">AVERAGE(INDEX(Forecast_Walkforward!$C:$C,$D50-7):INDEX(Forecast_Walkforward!$C:$C,$D50))</f>
        <v>65.125</v>
      </c>
      <c r="X50" s="28" t="n">
        <f aca="false">SES_Alpha*INDEX(Forecast_Walkforward!$C:$C,$D50)+(1-SES_Alpha)*INDEX(Forecast_Walkforward!$G:$G,$D50)</f>
        <v>69.6278098094383</v>
      </c>
      <c r="Y50" s="26" t="n">
        <f aca="false">MIN(I50:L50)</f>
        <v>0.206430465527401</v>
      </c>
      <c r="Z50" s="29" t="b">
        <f aca="false">I50&lt;=$Y50+WAPE_Tol</f>
        <v>0</v>
      </c>
      <c r="AA50" s="29" t="b">
        <f aca="false">J50&lt;=$Y50+WAPE_Tol</f>
        <v>0</v>
      </c>
      <c r="AB50" s="29" t="b">
        <f aca="false">K50&lt;=$Y50+WAPE_Tol</f>
        <v>1</v>
      </c>
      <c r="AC50" s="29" t="b">
        <f aca="false">L50&lt;=$Y50+WAPE_Tol</f>
        <v>0</v>
      </c>
      <c r="AD50" s="19" t="n">
        <f aca="false">MATCH(TRUE(),Z50:AC50,0)</f>
        <v>3</v>
      </c>
      <c r="AE50" s="12" t="str">
        <f aca="false">CHOOSE(AD50,"Naive","MA4","MA8","SES")</f>
        <v>MA8</v>
      </c>
      <c r="AF50" s="30" t="n">
        <f aca="false">INDEX(U50:X50,AD50)</f>
        <v>65.125</v>
      </c>
      <c r="AG50" s="26" t="n">
        <f aca="false">INDEX(I50:L50,AD50)</f>
        <v>0.206430465527401</v>
      </c>
      <c r="AH50" s="27" t="n">
        <f aca="false">INDEX(M50:P50,AD50)</f>
        <v>-0.00217295226870949</v>
      </c>
      <c r="AI50" s="28" t="n">
        <f aca="false">INDEX(Q50:T50,AD50)</f>
        <v>16.8033979998691</v>
      </c>
      <c r="AJ50" s="19" t="n">
        <f aca="false">AG50*H50</f>
        <v>700.625</v>
      </c>
      <c r="AK50" s="19" t="n">
        <f aca="false">SUM(INDEX(Forecast_Walkforward!$C:$C,$F50):INDEX(Forecast_Walkforward!$C:$C,$G50))</f>
        <v>3425</v>
      </c>
      <c r="AL50" s="26" t="n">
        <f aca="false">SUM(INDEX(Forecast_Walkforward!$L:$L,$F50):INDEX(Forecast_Walkforward!$L:$L,$G50))/$AK50</f>
        <v>0.348613138686131</v>
      </c>
      <c r="AM50" s="26" t="n">
        <f aca="false">SUM(INDEX(Forecast_Walkforward!$M:$M,$F50):INDEX(Forecast_Walkforward!$M:$M,$G50))/$AK50</f>
        <v>0.232627737226277</v>
      </c>
      <c r="AN50" s="26" t="n">
        <f aca="false">SUM(INDEX(Forecast_Walkforward!$N:$N,$F50):INDEX(Forecast_Walkforward!$N:$N,$G50))/$AK50</f>
        <v>0.225547445255474</v>
      </c>
      <c r="AO50" s="26" t="n">
        <f aca="false">SUM(INDEX(Forecast_Walkforward!$O:$O,$F50):INDEX(Forecast_Walkforward!$O:$O,$G50))/$AK50</f>
        <v>0.239680494216317</v>
      </c>
      <c r="AP50" s="28" t="n">
        <f aca="false">_xlfn.STDEV.S(INDEX(Forecast_Walkforward!$H:$H,$F50):INDEX(Forecast_Walkforward!$H:$H,$G50))</f>
        <v>27.6734895001722</v>
      </c>
      <c r="AQ50" s="28" t="n">
        <f aca="false">_xlfn.STDEV.S(INDEX(Forecast_Walkforward!$I:$I,$F50):INDEX(Forecast_Walkforward!$I:$I,$G50))</f>
        <v>18.3350765745324</v>
      </c>
      <c r="AR50" s="28" t="n">
        <f aca="false">_xlfn.STDEV.S(INDEX(Forecast_Walkforward!$J:$J,$F50):INDEX(Forecast_Walkforward!$J:$J,$G50))</f>
        <v>18.0034385070442</v>
      </c>
      <c r="AS50" s="28" t="n">
        <f aca="false">_xlfn.STDEV.S(INDEX(Forecast_Walkforward!$K:$K,$F50):INDEX(Forecast_Walkforward!$K:$K,$G50))</f>
        <v>18.6945736608201</v>
      </c>
      <c r="AT50" s="26" t="n">
        <f aca="false">MIN(AL50:AO50)</f>
        <v>0.225547445255474</v>
      </c>
      <c r="AU50" s="29" t="b">
        <f aca="false">AL50&lt;=$AT50+WAPE_Tol</f>
        <v>0</v>
      </c>
      <c r="AV50" s="29" t="b">
        <f aca="false">AM50&lt;=$AT50+WAPE_Tol</f>
        <v>1</v>
      </c>
      <c r="AW50" s="29" t="b">
        <f aca="false">AN50&lt;=$AT50+WAPE_Tol</f>
        <v>1</v>
      </c>
      <c r="AX50" s="29" t="b">
        <f aca="false">AO50&lt;=$AT50+WAPE_Tol</f>
        <v>0</v>
      </c>
      <c r="AY50" s="19" t="n">
        <f aca="false">MATCH(TRUE(),AU50:AX50,0)</f>
        <v>2</v>
      </c>
      <c r="AZ50" s="10" t="str">
        <f aca="false">CHOOSE(AY50,"Naive","MA4","MA8","SES")</f>
        <v>MA4</v>
      </c>
      <c r="BA50" s="28" t="n">
        <f aca="false">INDEX(AP50:AS50,AY50)</f>
        <v>18.3350765745324</v>
      </c>
    </row>
    <row r="51" customFormat="false" ht="15" hidden="false" customHeight="false" outlineLevel="0" collapsed="false">
      <c r="A51" s="11" t="str">
        <f aca="false">Inputs!B84</f>
        <v>CLN-008</v>
      </c>
      <c r="B51" s="11" t="str">
        <f aca="false">Inputs!C84</f>
        <v>Lint Roller 3-Pack</v>
      </c>
      <c r="C51" s="10" t="n">
        <f aca="false">MATCH(A51,Demand_History!$C:$C,0)</f>
        <v>4578</v>
      </c>
      <c r="D51" s="10" t="n">
        <f aca="false">C51+Weeks_History-1</f>
        <v>4681</v>
      </c>
      <c r="E51" s="10" t="n">
        <f aca="false">C51+Eval_Start_Week-1</f>
        <v>4630</v>
      </c>
      <c r="F51" s="10" t="n">
        <f aca="false">C51+Cal_Start_Week-1</f>
        <v>4614</v>
      </c>
      <c r="G51" s="10" t="n">
        <f aca="false">C51+Cal_End_Week-1</f>
        <v>4665</v>
      </c>
      <c r="H51" s="19" t="n">
        <f aca="false">SUM(INDEX(Forecast_Walkforward!$C:$C,$E51):INDEX(Forecast_Walkforward!$C:$C,$D51))</f>
        <v>4130</v>
      </c>
      <c r="I51" s="26" t="n">
        <f aca="false">SUM(INDEX(Forecast_Walkforward!$L:$L,$E51):INDEX(Forecast_Walkforward!$L:$L,$D51))/$H51</f>
        <v>0.120581113801453</v>
      </c>
      <c r="J51" s="26" t="n">
        <f aca="false">SUM(INDEX(Forecast_Walkforward!$M:$M,$E51):INDEX(Forecast_Walkforward!$M:$M,$D51))/$H51</f>
        <v>0.0886198547215496</v>
      </c>
      <c r="K51" s="26" t="n">
        <f aca="false">SUM(INDEX(Forecast_Walkforward!$N:$N,$E51):INDEX(Forecast_Walkforward!$N:$N,$D51))/$H51</f>
        <v>0.0842615012106538</v>
      </c>
      <c r="L51" s="26" t="n">
        <f aca="false">SUM(INDEX(Forecast_Walkforward!$O:$O,$E51):INDEX(Forecast_Walkforward!$O:$O,$D51))/$H51</f>
        <v>0.0857591374323822</v>
      </c>
      <c r="M51" s="27" t="n">
        <f aca="false">SUM(INDEX(Forecast_Walkforward!$H:$H,$E51):INDEX(Forecast_Walkforward!$H:$H,$D51))/$H51</f>
        <v>-0.00338983050847458</v>
      </c>
      <c r="N51" s="27" t="n">
        <f aca="false">SUM(INDEX(Forecast_Walkforward!$I:$I,$E51):INDEX(Forecast_Walkforward!$I:$I,$D51))/$H51</f>
        <v>-0.00290556900726392</v>
      </c>
      <c r="O51" s="27" t="n">
        <f aca="false">SUM(INDEX(Forecast_Walkforward!$J:$J,$E51):INDEX(Forecast_Walkforward!$J:$J,$D51))/$H51</f>
        <v>-0.000847457627118644</v>
      </c>
      <c r="P51" s="27" t="n">
        <f aca="false">SUM(INDEX(Forecast_Walkforward!$K:$K,$E51):INDEX(Forecast_Walkforward!$K:$K,$D51))/$H51</f>
        <v>-0.00196016675335168</v>
      </c>
      <c r="Q51" s="28" t="n">
        <f aca="false">_xlfn.STDEV.S(INDEX(Forecast_Walkforward!$H:$H,$E51):INDEX(Forecast_Walkforward!$H:$H,$D51))</f>
        <v>12.1995104122519</v>
      </c>
      <c r="R51" s="28" t="n">
        <f aca="false">_xlfn.STDEV.S(INDEX(Forecast_Walkforward!$I:$I,$E51):INDEX(Forecast_Walkforward!$I:$I,$D51))</f>
        <v>9.23015175159467</v>
      </c>
      <c r="S51" s="28" t="n">
        <f aca="false">_xlfn.STDEV.S(INDEX(Forecast_Walkforward!$J:$J,$E51):INDEX(Forecast_Walkforward!$J:$J,$D51))</f>
        <v>8.46530771834162</v>
      </c>
      <c r="T51" s="28" t="n">
        <f aca="false">_xlfn.STDEV.S(INDEX(Forecast_Walkforward!$K:$K,$E51):INDEX(Forecast_Walkforward!$K:$K,$D51))</f>
        <v>8.90028735922346</v>
      </c>
      <c r="U51" s="28" t="n">
        <f aca="false">INDEX(Forecast_Walkforward!$C:$C,$D51)</f>
        <v>88</v>
      </c>
      <c r="V51" s="28" t="n">
        <f aca="false">AVERAGE(INDEX(Forecast_Walkforward!$C:$C,$D51-3):INDEX(Forecast_Walkforward!$C:$C,$D51))</f>
        <v>83.25</v>
      </c>
      <c r="W51" s="28" t="n">
        <f aca="false">AVERAGE(INDEX(Forecast_Walkforward!$C:$C,$D51-7):INDEX(Forecast_Walkforward!$C:$C,$D51))</f>
        <v>79.625</v>
      </c>
      <c r="X51" s="28" t="n">
        <f aca="false">SES_Alpha*INDEX(Forecast_Walkforward!$C:$C,$D51)+(1-SES_Alpha)*INDEX(Forecast_Walkforward!$G:$G,$D51)</f>
        <v>82.9098150873553</v>
      </c>
      <c r="Y51" s="26" t="n">
        <f aca="false">MIN(I51:L51)</f>
        <v>0.0842615012106538</v>
      </c>
      <c r="Z51" s="29" t="b">
        <f aca="false">I51&lt;=$Y51+WAPE_Tol</f>
        <v>0</v>
      </c>
      <c r="AA51" s="29" t="b">
        <f aca="false">J51&lt;=$Y51+WAPE_Tol</f>
        <v>1</v>
      </c>
      <c r="AB51" s="29" t="b">
        <f aca="false">K51&lt;=$Y51+WAPE_Tol</f>
        <v>1</v>
      </c>
      <c r="AC51" s="29" t="b">
        <f aca="false">L51&lt;=$Y51+WAPE_Tol</f>
        <v>1</v>
      </c>
      <c r="AD51" s="19" t="n">
        <f aca="false">MATCH(TRUE(),Z51:AC51,0)</f>
        <v>2</v>
      </c>
      <c r="AE51" s="12" t="str">
        <f aca="false">CHOOSE(AD51,"Naive","MA4","MA8","SES")</f>
        <v>MA4</v>
      </c>
      <c r="AF51" s="30" t="n">
        <f aca="false">INDEX(U51:X51,AD51)</f>
        <v>83.25</v>
      </c>
      <c r="AG51" s="26" t="n">
        <f aca="false">INDEX(I51:L51,AD51)</f>
        <v>0.0886198547215496</v>
      </c>
      <c r="AH51" s="27" t="n">
        <f aca="false">INDEX(M51:P51,AD51)</f>
        <v>-0.00290556900726392</v>
      </c>
      <c r="AI51" s="28" t="n">
        <f aca="false">INDEX(Q51:T51,AD51)</f>
        <v>9.23015175159467</v>
      </c>
      <c r="AJ51" s="19" t="n">
        <f aca="false">AG51*H51</f>
        <v>366</v>
      </c>
      <c r="AK51" s="19" t="n">
        <f aca="false">SUM(INDEX(Forecast_Walkforward!$C:$C,$F51):INDEX(Forecast_Walkforward!$C:$C,$G51))</f>
        <v>4144</v>
      </c>
      <c r="AL51" s="26" t="n">
        <f aca="false">SUM(INDEX(Forecast_Walkforward!$L:$L,$F51):INDEX(Forecast_Walkforward!$L:$L,$G51))/$AK51</f>
        <v>0.120415057915058</v>
      </c>
      <c r="AM51" s="26" t="n">
        <f aca="false">SUM(INDEX(Forecast_Walkforward!$M:$M,$F51):INDEX(Forecast_Walkforward!$M:$M,$G51))/$AK51</f>
        <v>0.0940516409266409</v>
      </c>
      <c r="AN51" s="26" t="n">
        <f aca="false">SUM(INDEX(Forecast_Walkforward!$N:$N,$F51):INDEX(Forecast_Walkforward!$N:$N,$G51))/$AK51</f>
        <v>0.090160472972973</v>
      </c>
      <c r="AO51" s="26" t="n">
        <f aca="false">SUM(INDEX(Forecast_Walkforward!$O:$O,$F51):INDEX(Forecast_Walkforward!$O:$O,$G51))/$AK51</f>
        <v>0.0894067105048567</v>
      </c>
      <c r="AP51" s="28" t="n">
        <f aca="false">_xlfn.STDEV.S(INDEX(Forecast_Walkforward!$H:$H,$F51):INDEX(Forecast_Walkforward!$H:$H,$G51))</f>
        <v>12.4164022059763</v>
      </c>
      <c r="AQ51" s="28" t="n">
        <f aca="false">_xlfn.STDEV.S(INDEX(Forecast_Walkforward!$I:$I,$F51):INDEX(Forecast_Walkforward!$I:$I,$G51))</f>
        <v>9.97570932734662</v>
      </c>
      <c r="AR51" s="28" t="n">
        <f aca="false">_xlfn.STDEV.S(INDEX(Forecast_Walkforward!$J:$J,$F51):INDEX(Forecast_Walkforward!$J:$J,$G51))</f>
        <v>9.10307981784519</v>
      </c>
      <c r="AS51" s="28" t="n">
        <f aca="false">_xlfn.STDEV.S(INDEX(Forecast_Walkforward!$K:$K,$F51):INDEX(Forecast_Walkforward!$K:$K,$G51))</f>
        <v>9.48792339229806</v>
      </c>
      <c r="AT51" s="26" t="n">
        <f aca="false">MIN(AL51:AO51)</f>
        <v>0.0894067105048567</v>
      </c>
      <c r="AU51" s="29" t="b">
        <f aca="false">AL51&lt;=$AT51+WAPE_Tol</f>
        <v>0</v>
      </c>
      <c r="AV51" s="29" t="b">
        <f aca="false">AM51&lt;=$AT51+WAPE_Tol</f>
        <v>1</v>
      </c>
      <c r="AW51" s="29" t="b">
        <f aca="false">AN51&lt;=$AT51+WAPE_Tol</f>
        <v>1</v>
      </c>
      <c r="AX51" s="29" t="b">
        <f aca="false">AO51&lt;=$AT51+WAPE_Tol</f>
        <v>1</v>
      </c>
      <c r="AY51" s="19" t="n">
        <f aca="false">MATCH(TRUE(),AU51:AX51,0)</f>
        <v>2</v>
      </c>
      <c r="AZ51" s="10" t="str">
        <f aca="false">CHOOSE(AY51,"Naive","MA4","MA8","SES")</f>
        <v>MA4</v>
      </c>
      <c r="BA51" s="28" t="n">
        <f aca="false">INDEX(AP51:AS51,AY51)</f>
        <v>9.97570932734662</v>
      </c>
    </row>
    <row r="52" customFormat="false" ht="15" hidden="false" customHeight="false" outlineLevel="0" collapsed="false">
      <c r="A52" s="11" t="str">
        <f aca="false">Inputs!B85</f>
        <v>CLN-009</v>
      </c>
      <c r="B52" s="11" t="str">
        <f aca="false">Inputs!C85</f>
        <v>Stain Remover Pen</v>
      </c>
      <c r="C52" s="10" t="n">
        <f aca="false">MATCH(A52,Demand_History!$C:$C,0)</f>
        <v>4682</v>
      </c>
      <c r="D52" s="10" t="n">
        <f aca="false">C52+Weeks_History-1</f>
        <v>4785</v>
      </c>
      <c r="E52" s="10" t="n">
        <f aca="false">C52+Eval_Start_Week-1</f>
        <v>4734</v>
      </c>
      <c r="F52" s="10" t="n">
        <f aca="false">C52+Cal_Start_Week-1</f>
        <v>4718</v>
      </c>
      <c r="G52" s="10" t="n">
        <f aca="false">C52+Cal_End_Week-1</f>
        <v>4769</v>
      </c>
      <c r="H52" s="19" t="n">
        <f aca="false">SUM(INDEX(Forecast_Walkforward!$C:$C,$E52):INDEX(Forecast_Walkforward!$C:$C,$D52))</f>
        <v>2946</v>
      </c>
      <c r="I52" s="26" t="n">
        <f aca="false">SUM(INDEX(Forecast_Walkforward!$L:$L,$E52):INDEX(Forecast_Walkforward!$L:$L,$D52))/$H52</f>
        <v>0.137135098438561</v>
      </c>
      <c r="J52" s="26" t="n">
        <f aca="false">SUM(INDEX(Forecast_Walkforward!$M:$M,$E52):INDEX(Forecast_Walkforward!$M:$M,$D52))/$H52</f>
        <v>0.102087576374745</v>
      </c>
      <c r="K52" s="26" t="n">
        <f aca="false">SUM(INDEX(Forecast_Walkforward!$N:$N,$E52):INDEX(Forecast_Walkforward!$N:$N,$D52))/$H52</f>
        <v>0.107561099796334</v>
      </c>
      <c r="L52" s="26" t="n">
        <f aca="false">SUM(INDEX(Forecast_Walkforward!$O:$O,$E52):INDEX(Forecast_Walkforward!$O:$O,$D52))/$H52</f>
        <v>0.102458979600653</v>
      </c>
      <c r="M52" s="27" t="n">
        <f aca="false">SUM(INDEX(Forecast_Walkforward!$H:$H,$E52):INDEX(Forecast_Walkforward!$H:$H,$D52))/$H52</f>
        <v>-0.00746775288526816</v>
      </c>
      <c r="N52" s="27" t="n">
        <f aca="false">SUM(INDEX(Forecast_Walkforward!$I:$I,$E52):INDEX(Forecast_Walkforward!$I:$I,$D52))/$H52</f>
        <v>-0.0218092328581127</v>
      </c>
      <c r="O52" s="27" t="n">
        <f aca="false">SUM(INDEX(Forecast_Walkforward!$J:$J,$E52):INDEX(Forecast_Walkforward!$J:$J,$D52))/$H52</f>
        <v>-0.0381449422946368</v>
      </c>
      <c r="P52" s="27" t="n">
        <f aca="false">SUM(INDEX(Forecast_Walkforward!$K:$K,$E52):INDEX(Forecast_Walkforward!$K:$K,$D52))/$H52</f>
        <v>-0.0274548368473728</v>
      </c>
      <c r="Q52" s="28" t="n">
        <f aca="false">_xlfn.STDEV.S(INDEX(Forecast_Walkforward!$H:$H,$E52):INDEX(Forecast_Walkforward!$H:$H,$D52))</f>
        <v>9.35015183654874</v>
      </c>
      <c r="R52" s="28" t="n">
        <f aca="false">_xlfn.STDEV.S(INDEX(Forecast_Walkforward!$I:$I,$E52):INDEX(Forecast_Walkforward!$I:$I,$D52))</f>
        <v>7.05986541377621</v>
      </c>
      <c r="S52" s="28" t="n">
        <f aca="false">_xlfn.STDEV.S(INDEX(Forecast_Walkforward!$J:$J,$E52):INDEX(Forecast_Walkforward!$J:$J,$D52))</f>
        <v>7.17487004299459</v>
      </c>
      <c r="T52" s="28" t="n">
        <f aca="false">_xlfn.STDEV.S(INDEX(Forecast_Walkforward!$K:$K,$E52):INDEX(Forecast_Walkforward!$K:$K,$D52))</f>
        <v>7.02365953750599</v>
      </c>
      <c r="U52" s="28" t="n">
        <f aca="false">INDEX(Forecast_Walkforward!$C:$C,$D52)</f>
        <v>69</v>
      </c>
      <c r="V52" s="28" t="n">
        <f aca="false">AVERAGE(INDEX(Forecast_Walkforward!$C:$C,$D52-3):INDEX(Forecast_Walkforward!$C:$C,$D52))</f>
        <v>71.75</v>
      </c>
      <c r="W52" s="28" t="n">
        <f aca="false">AVERAGE(INDEX(Forecast_Walkforward!$C:$C,$D52-7):INDEX(Forecast_Walkforward!$C:$C,$D52))</f>
        <v>67.75</v>
      </c>
      <c r="X52" s="28" t="n">
        <f aca="false">SES_Alpha*INDEX(Forecast_Walkforward!$C:$C,$D52)+(1-SES_Alpha)*INDEX(Forecast_Walkforward!$G:$G,$D52)</f>
        <v>69.80637962984</v>
      </c>
      <c r="Y52" s="26" t="n">
        <f aca="false">MIN(I52:L52)</f>
        <v>0.102087576374745</v>
      </c>
      <c r="Z52" s="29" t="b">
        <f aca="false">I52&lt;=$Y52+WAPE_Tol</f>
        <v>0</v>
      </c>
      <c r="AA52" s="29" t="b">
        <f aca="false">J52&lt;=$Y52+WAPE_Tol</f>
        <v>1</v>
      </c>
      <c r="AB52" s="29" t="b">
        <f aca="false">K52&lt;=$Y52+WAPE_Tol</f>
        <v>1</v>
      </c>
      <c r="AC52" s="29" t="b">
        <f aca="false">L52&lt;=$Y52+WAPE_Tol</f>
        <v>1</v>
      </c>
      <c r="AD52" s="19" t="n">
        <f aca="false">MATCH(TRUE(),Z52:AC52,0)</f>
        <v>2</v>
      </c>
      <c r="AE52" s="12" t="str">
        <f aca="false">CHOOSE(AD52,"Naive","MA4","MA8","SES")</f>
        <v>MA4</v>
      </c>
      <c r="AF52" s="30" t="n">
        <f aca="false">INDEX(U52:X52,AD52)</f>
        <v>71.75</v>
      </c>
      <c r="AG52" s="26" t="n">
        <f aca="false">INDEX(I52:L52,AD52)</f>
        <v>0.102087576374745</v>
      </c>
      <c r="AH52" s="27" t="n">
        <f aca="false">INDEX(M52:P52,AD52)</f>
        <v>-0.0218092328581127</v>
      </c>
      <c r="AI52" s="28" t="n">
        <f aca="false">INDEX(Q52:T52,AD52)</f>
        <v>7.05986541377621</v>
      </c>
      <c r="AJ52" s="19" t="n">
        <f aca="false">AG52*H52</f>
        <v>300.75</v>
      </c>
      <c r="AK52" s="19" t="n">
        <f aca="false">SUM(INDEX(Forecast_Walkforward!$C:$C,$F52):INDEX(Forecast_Walkforward!$C:$C,$G52))</f>
        <v>2642</v>
      </c>
      <c r="AL52" s="26" t="n">
        <f aca="false">SUM(INDEX(Forecast_Walkforward!$L:$L,$F52):INDEX(Forecast_Walkforward!$L:$L,$G52))/$AK52</f>
        <v>0.148372445117335</v>
      </c>
      <c r="AM52" s="26" t="n">
        <f aca="false">SUM(INDEX(Forecast_Walkforward!$M:$M,$F52):INDEX(Forecast_Walkforward!$M:$M,$G52))/$AK52</f>
        <v>0.110711582134746</v>
      </c>
      <c r="AN52" s="26" t="n">
        <f aca="false">SUM(INDEX(Forecast_Walkforward!$N:$N,$F52):INDEX(Forecast_Walkforward!$N:$N,$G52))/$AK52</f>
        <v>0.108677138531416</v>
      </c>
      <c r="AO52" s="26" t="n">
        <f aca="false">SUM(INDEX(Forecast_Walkforward!$O:$O,$F52):INDEX(Forecast_Walkforward!$O:$O,$G52))/$AK52</f>
        <v>0.107454856782282</v>
      </c>
      <c r="AP52" s="28" t="n">
        <f aca="false">_xlfn.STDEV.S(INDEX(Forecast_Walkforward!$H:$H,$F52):INDEX(Forecast_Walkforward!$H:$H,$G52))</f>
        <v>9.37560455567073</v>
      </c>
      <c r="AQ52" s="28" t="n">
        <f aca="false">_xlfn.STDEV.S(INDEX(Forecast_Walkforward!$I:$I,$F52):INDEX(Forecast_Walkforward!$I:$I,$G52))</f>
        <v>6.82612373966372</v>
      </c>
      <c r="AR52" s="28" t="n">
        <f aca="false">_xlfn.STDEV.S(INDEX(Forecast_Walkforward!$J:$J,$F52):INDEX(Forecast_Walkforward!$J:$J,$G52))</f>
        <v>6.71405916347207</v>
      </c>
      <c r="AS52" s="28" t="n">
        <f aca="false">_xlfn.STDEV.S(INDEX(Forecast_Walkforward!$K:$K,$F52):INDEX(Forecast_Walkforward!$K:$K,$G52))</f>
        <v>6.82146978393484</v>
      </c>
      <c r="AT52" s="26" t="n">
        <f aca="false">MIN(AL52:AO52)</f>
        <v>0.107454856782282</v>
      </c>
      <c r="AU52" s="29" t="b">
        <f aca="false">AL52&lt;=$AT52+WAPE_Tol</f>
        <v>0</v>
      </c>
      <c r="AV52" s="29" t="b">
        <f aca="false">AM52&lt;=$AT52+WAPE_Tol</f>
        <v>1</v>
      </c>
      <c r="AW52" s="29" t="b">
        <f aca="false">AN52&lt;=$AT52+WAPE_Tol</f>
        <v>1</v>
      </c>
      <c r="AX52" s="29" t="b">
        <f aca="false">AO52&lt;=$AT52+WAPE_Tol</f>
        <v>1</v>
      </c>
      <c r="AY52" s="19" t="n">
        <f aca="false">MATCH(TRUE(),AU52:AX52,0)</f>
        <v>2</v>
      </c>
      <c r="AZ52" s="10" t="str">
        <f aca="false">CHOOSE(AY52,"Naive","MA4","MA8","SES")</f>
        <v>MA4</v>
      </c>
      <c r="BA52" s="28" t="n">
        <f aca="false">INDEX(AP52:AS52,AY52)</f>
        <v>6.82612373966372</v>
      </c>
    </row>
    <row r="53" customFormat="false" ht="15" hidden="false" customHeight="false" outlineLevel="0" collapsed="false">
      <c r="A53" s="11" t="str">
        <f aca="false">Inputs!B86</f>
        <v>CLN-010</v>
      </c>
      <c r="B53" s="11" t="str">
        <f aca="false">Inputs!C86</f>
        <v>Scrub Brush Set</v>
      </c>
      <c r="C53" s="10" t="n">
        <f aca="false">MATCH(A53,Demand_History!$C:$C,0)</f>
        <v>4786</v>
      </c>
      <c r="D53" s="10" t="n">
        <f aca="false">C53+Weeks_History-1</f>
        <v>4889</v>
      </c>
      <c r="E53" s="10" t="n">
        <f aca="false">C53+Eval_Start_Week-1</f>
        <v>4838</v>
      </c>
      <c r="F53" s="10" t="n">
        <f aca="false">C53+Cal_Start_Week-1</f>
        <v>4822</v>
      </c>
      <c r="G53" s="10" t="n">
        <f aca="false">C53+Cal_End_Week-1</f>
        <v>4873</v>
      </c>
      <c r="H53" s="19" t="n">
        <f aca="false">SUM(INDEX(Forecast_Walkforward!$C:$C,$E53):INDEX(Forecast_Walkforward!$C:$C,$D53))</f>
        <v>1822</v>
      </c>
      <c r="I53" s="26" t="n">
        <f aca="false">SUM(INDEX(Forecast_Walkforward!$L:$L,$E53):INDEX(Forecast_Walkforward!$L:$L,$D53))/$H53</f>
        <v>0.384193194291987</v>
      </c>
      <c r="J53" s="26" t="n">
        <f aca="false">SUM(INDEX(Forecast_Walkforward!$M:$M,$E53):INDEX(Forecast_Walkforward!$M:$M,$D53))/$H53</f>
        <v>0.311745334796926</v>
      </c>
      <c r="K53" s="26" t="n">
        <f aca="false">SUM(INDEX(Forecast_Walkforward!$N:$N,$E53):INDEX(Forecast_Walkforward!$N:$N,$D53))/$H53</f>
        <v>0.302757958287596</v>
      </c>
      <c r="L53" s="26" t="n">
        <f aca="false">SUM(INDEX(Forecast_Walkforward!$O:$O,$E53):INDEX(Forecast_Walkforward!$O:$O,$D53))/$H53</f>
        <v>0.29976325351565</v>
      </c>
      <c r="M53" s="27" t="n">
        <f aca="false">SUM(INDEX(Forecast_Walkforward!$H:$H,$E53):INDEX(Forecast_Walkforward!$H:$H,$D53))/$H53</f>
        <v>-0.0120746432491767</v>
      </c>
      <c r="N53" s="27" t="n">
        <f aca="false">SUM(INDEX(Forecast_Walkforward!$I:$I,$E53):INDEX(Forecast_Walkforward!$I:$I,$D53))/$H53</f>
        <v>-0.0315587266739846</v>
      </c>
      <c r="O53" s="27" t="n">
        <f aca="false">SUM(INDEX(Forecast_Walkforward!$J:$J,$E53):INDEX(Forecast_Walkforward!$J:$J,$D53))/$H53</f>
        <v>-0.0378018660812294</v>
      </c>
      <c r="P53" s="27" t="n">
        <f aca="false">SUM(INDEX(Forecast_Walkforward!$K:$K,$E53):INDEX(Forecast_Walkforward!$K:$K,$D53))/$H53</f>
        <v>-0.0298909530056097</v>
      </c>
      <c r="Q53" s="28" t="n">
        <f aca="false">_xlfn.STDEV.S(INDEX(Forecast_Walkforward!$H:$H,$E53):INDEX(Forecast_Walkforward!$H:$H,$D53))</f>
        <v>17.3276908091725</v>
      </c>
      <c r="R53" s="28" t="n">
        <f aca="false">_xlfn.STDEV.S(INDEX(Forecast_Walkforward!$I:$I,$E53):INDEX(Forecast_Walkforward!$I:$I,$D53))</f>
        <v>13.6814553672228</v>
      </c>
      <c r="S53" s="28" t="n">
        <f aca="false">_xlfn.STDEV.S(INDEX(Forecast_Walkforward!$J:$J,$E53):INDEX(Forecast_Walkforward!$J:$J,$D53))</f>
        <v>13.3653245106182</v>
      </c>
      <c r="T53" s="28" t="n">
        <f aca="false">_xlfn.STDEV.S(INDEX(Forecast_Walkforward!$K:$K,$E53):INDEX(Forecast_Walkforward!$K:$K,$D53))</f>
        <v>13.3672061164863</v>
      </c>
      <c r="U53" s="28" t="n">
        <f aca="false">INDEX(Forecast_Walkforward!$C:$C,$D53)</f>
        <v>41</v>
      </c>
      <c r="V53" s="28" t="n">
        <f aca="false">AVERAGE(INDEX(Forecast_Walkforward!$C:$C,$D53-3):INDEX(Forecast_Walkforward!$C:$C,$D53))</f>
        <v>42.5</v>
      </c>
      <c r="W53" s="28" t="n">
        <f aca="false">AVERAGE(INDEX(Forecast_Walkforward!$C:$C,$D53-7):INDEX(Forecast_Walkforward!$C:$C,$D53))</f>
        <v>37.75</v>
      </c>
      <c r="X53" s="28" t="n">
        <f aca="false">SES_Alpha*INDEX(Forecast_Walkforward!$C:$C,$D53)+(1-SES_Alpha)*INDEX(Forecast_Walkforward!$G:$G,$D53)</f>
        <v>40.2096358915169</v>
      </c>
      <c r="Y53" s="26" t="n">
        <f aca="false">MIN(I53:L53)</f>
        <v>0.29976325351565</v>
      </c>
      <c r="Z53" s="29" t="b">
        <f aca="false">I53&lt;=$Y53+WAPE_Tol</f>
        <v>0</v>
      </c>
      <c r="AA53" s="29" t="b">
        <f aca="false">J53&lt;=$Y53+WAPE_Tol</f>
        <v>0</v>
      </c>
      <c r="AB53" s="29" t="b">
        <f aca="false">K53&lt;=$Y53+WAPE_Tol</f>
        <v>1</v>
      </c>
      <c r="AC53" s="29" t="b">
        <f aca="false">L53&lt;=$Y53+WAPE_Tol</f>
        <v>1</v>
      </c>
      <c r="AD53" s="19" t="n">
        <f aca="false">MATCH(TRUE(),Z53:AC53,0)</f>
        <v>3</v>
      </c>
      <c r="AE53" s="12" t="str">
        <f aca="false">CHOOSE(AD53,"Naive","MA4","MA8","SES")</f>
        <v>MA8</v>
      </c>
      <c r="AF53" s="30" t="n">
        <f aca="false">INDEX(U53:X53,AD53)</f>
        <v>37.75</v>
      </c>
      <c r="AG53" s="26" t="n">
        <f aca="false">INDEX(I53:L53,AD53)</f>
        <v>0.302757958287596</v>
      </c>
      <c r="AH53" s="27" t="n">
        <f aca="false">INDEX(M53:P53,AD53)</f>
        <v>-0.0378018660812294</v>
      </c>
      <c r="AI53" s="28" t="n">
        <f aca="false">INDEX(Q53:T53,AD53)</f>
        <v>13.3653245106182</v>
      </c>
      <c r="AJ53" s="19" t="n">
        <f aca="false">AG53*H53</f>
        <v>551.625</v>
      </c>
      <c r="AK53" s="19" t="n">
        <f aca="false">SUM(INDEX(Forecast_Walkforward!$C:$C,$F53):INDEX(Forecast_Walkforward!$C:$C,$G53))</f>
        <v>1813</v>
      </c>
      <c r="AL53" s="26" t="n">
        <f aca="false">SUM(INDEX(Forecast_Walkforward!$L:$L,$F53):INDEX(Forecast_Walkforward!$L:$L,$G53))/$AK53</f>
        <v>0.383894098179812</v>
      </c>
      <c r="AM53" s="26" t="n">
        <f aca="false">SUM(INDEX(Forecast_Walkforward!$M:$M,$F53):INDEX(Forecast_Walkforward!$M:$M,$G53))/$AK53</f>
        <v>0.301985659128516</v>
      </c>
      <c r="AN53" s="26" t="n">
        <f aca="false">SUM(INDEX(Forecast_Walkforward!$N:$N,$F53):INDEX(Forecast_Walkforward!$N:$N,$G53))/$AK53</f>
        <v>0.310810810810811</v>
      </c>
      <c r="AO53" s="26" t="n">
        <f aca="false">SUM(INDEX(Forecast_Walkforward!$O:$O,$F53):INDEX(Forecast_Walkforward!$O:$O,$G53))/$AK53</f>
        <v>0.30396102619531</v>
      </c>
      <c r="AP53" s="28" t="n">
        <f aca="false">_xlfn.STDEV.S(INDEX(Forecast_Walkforward!$H:$H,$F53):INDEX(Forecast_Walkforward!$H:$H,$G53))</f>
        <v>16.7033382380776</v>
      </c>
      <c r="AQ53" s="28" t="n">
        <f aca="false">_xlfn.STDEV.S(INDEX(Forecast_Walkforward!$I:$I,$F53):INDEX(Forecast_Walkforward!$I:$I,$G53))</f>
        <v>13.4059802114528</v>
      </c>
      <c r="AR53" s="28" t="n">
        <f aca="false">_xlfn.STDEV.S(INDEX(Forecast_Walkforward!$J:$J,$F53):INDEX(Forecast_Walkforward!$J:$J,$G53))</f>
        <v>13.4179140558192</v>
      </c>
      <c r="AS53" s="28" t="n">
        <f aca="false">_xlfn.STDEV.S(INDEX(Forecast_Walkforward!$K:$K,$F53):INDEX(Forecast_Walkforward!$K:$K,$G53))</f>
        <v>13.3282720372986</v>
      </c>
      <c r="AT53" s="26" t="n">
        <f aca="false">MIN(AL53:AO53)</f>
        <v>0.301985659128516</v>
      </c>
      <c r="AU53" s="29" t="b">
        <f aca="false">AL53&lt;=$AT53+WAPE_Tol</f>
        <v>0</v>
      </c>
      <c r="AV53" s="29" t="b">
        <f aca="false">AM53&lt;=$AT53+WAPE_Tol</f>
        <v>1</v>
      </c>
      <c r="AW53" s="29" t="b">
        <f aca="false">AN53&lt;=$AT53+WAPE_Tol</f>
        <v>1</v>
      </c>
      <c r="AX53" s="29" t="b">
        <f aca="false">AO53&lt;=$AT53+WAPE_Tol</f>
        <v>1</v>
      </c>
      <c r="AY53" s="19" t="n">
        <f aca="false">MATCH(TRUE(),AU53:AX53,0)</f>
        <v>2</v>
      </c>
      <c r="AZ53" s="10" t="str">
        <f aca="false">CHOOSE(AY53,"Naive","MA4","MA8","SES")</f>
        <v>MA4</v>
      </c>
      <c r="BA53" s="28" t="n">
        <f aca="false">INDEX(AP53:AS53,AY53)</f>
        <v>13.4059802114528</v>
      </c>
    </row>
    <row r="54" customFormat="false" ht="15" hidden="false" customHeight="false" outlineLevel="0" collapsed="false">
      <c r="A54" s="11" t="str">
        <f aca="false">Inputs!B87</f>
        <v>CLN-011</v>
      </c>
      <c r="B54" s="11" t="str">
        <f aca="false">Inputs!C87</f>
        <v>Oven Cleaner Gel</v>
      </c>
      <c r="C54" s="10" t="n">
        <f aca="false">MATCH(A54,Demand_History!$C:$C,0)</f>
        <v>4890</v>
      </c>
      <c r="D54" s="10" t="n">
        <f aca="false">C54+Weeks_History-1</f>
        <v>4993</v>
      </c>
      <c r="E54" s="10" t="n">
        <f aca="false">C54+Eval_Start_Week-1</f>
        <v>4942</v>
      </c>
      <c r="F54" s="10" t="n">
        <f aca="false">C54+Cal_Start_Week-1</f>
        <v>4926</v>
      </c>
      <c r="G54" s="10" t="n">
        <f aca="false">C54+Cal_End_Week-1</f>
        <v>4977</v>
      </c>
      <c r="H54" s="19" t="n">
        <f aca="false">SUM(INDEX(Forecast_Walkforward!$C:$C,$E54):INDEX(Forecast_Walkforward!$C:$C,$D54))</f>
        <v>2092</v>
      </c>
      <c r="I54" s="26" t="n">
        <f aca="false">SUM(INDEX(Forecast_Walkforward!$L:$L,$E54):INDEX(Forecast_Walkforward!$L:$L,$D54))/$H54</f>
        <v>0.129541108986616</v>
      </c>
      <c r="J54" s="26" t="n">
        <f aca="false">SUM(INDEX(Forecast_Walkforward!$M:$M,$E54):INDEX(Forecast_Walkforward!$M:$M,$D54))/$H54</f>
        <v>0.10145793499044</v>
      </c>
      <c r="K54" s="26" t="n">
        <f aca="false">SUM(INDEX(Forecast_Walkforward!$N:$N,$E54):INDEX(Forecast_Walkforward!$N:$N,$D54))/$H54</f>
        <v>0.0929134799235182</v>
      </c>
      <c r="L54" s="26" t="n">
        <f aca="false">SUM(INDEX(Forecast_Walkforward!$O:$O,$E54):INDEX(Forecast_Walkforward!$O:$O,$D54))/$H54</f>
        <v>0.100495728508947</v>
      </c>
      <c r="M54" s="27" t="n">
        <f aca="false">SUM(INDEX(Forecast_Walkforward!$H:$H,$E54):INDEX(Forecast_Walkforward!$H:$H,$D54))/$H54</f>
        <v>-0.00525812619502868</v>
      </c>
      <c r="N54" s="27" t="n">
        <f aca="false">SUM(INDEX(Forecast_Walkforward!$I:$I,$E54):INDEX(Forecast_Walkforward!$I:$I,$D54))/$H54</f>
        <v>-0.00848470363288719</v>
      </c>
      <c r="O54" s="27" t="n">
        <f aca="false">SUM(INDEX(Forecast_Walkforward!$J:$J,$E54):INDEX(Forecast_Walkforward!$J:$J,$D54))/$H54</f>
        <v>-0.00961998087954111</v>
      </c>
      <c r="P54" s="27" t="n">
        <f aca="false">SUM(INDEX(Forecast_Walkforward!$K:$K,$E54):INDEX(Forecast_Walkforward!$K:$K,$D54))/$H54</f>
        <v>-0.00835826472391395</v>
      </c>
      <c r="Q54" s="28" t="n">
        <f aca="false">_xlfn.STDEV.S(INDEX(Forecast_Walkforward!$H:$H,$E54):INDEX(Forecast_Walkforward!$H:$H,$D54))</f>
        <v>6.48478320940658</v>
      </c>
      <c r="R54" s="28" t="n">
        <f aca="false">_xlfn.STDEV.S(INDEX(Forecast_Walkforward!$I:$I,$E54):INDEX(Forecast_Walkforward!$I:$I,$D54))</f>
        <v>5.02567643631521</v>
      </c>
      <c r="S54" s="28" t="n">
        <f aca="false">_xlfn.STDEV.S(INDEX(Forecast_Walkforward!$J:$J,$E54):INDEX(Forecast_Walkforward!$J:$J,$D54))</f>
        <v>4.61470499764711</v>
      </c>
      <c r="T54" s="28" t="n">
        <f aca="false">_xlfn.STDEV.S(INDEX(Forecast_Walkforward!$K:$K,$E54):INDEX(Forecast_Walkforward!$K:$K,$D54))</f>
        <v>4.97056260488086</v>
      </c>
      <c r="U54" s="28" t="n">
        <f aca="false">INDEX(Forecast_Walkforward!$C:$C,$D54)</f>
        <v>45</v>
      </c>
      <c r="V54" s="28" t="n">
        <f aca="false">AVERAGE(INDEX(Forecast_Walkforward!$C:$C,$D54-3):INDEX(Forecast_Walkforward!$C:$C,$D54))</f>
        <v>43.75</v>
      </c>
      <c r="W54" s="28" t="n">
        <f aca="false">AVERAGE(INDEX(Forecast_Walkforward!$C:$C,$D54-7):INDEX(Forecast_Walkforward!$C:$C,$D54))</f>
        <v>42.125</v>
      </c>
      <c r="X54" s="28" t="n">
        <f aca="false">SES_Alpha*INDEX(Forecast_Walkforward!$C:$C,$D54)+(1-SES_Alpha)*INDEX(Forecast_Walkforward!$G:$G,$D54)</f>
        <v>42.5172158459846</v>
      </c>
      <c r="Y54" s="26" t="n">
        <f aca="false">MIN(I54:L54)</f>
        <v>0.0929134799235182</v>
      </c>
      <c r="Z54" s="29" t="b">
        <f aca="false">I54&lt;=$Y54+WAPE_Tol</f>
        <v>0</v>
      </c>
      <c r="AA54" s="29" t="b">
        <f aca="false">J54&lt;=$Y54+WAPE_Tol</f>
        <v>1</v>
      </c>
      <c r="AB54" s="29" t="b">
        <f aca="false">K54&lt;=$Y54+WAPE_Tol</f>
        <v>1</v>
      </c>
      <c r="AC54" s="29" t="b">
        <f aca="false">L54&lt;=$Y54+WAPE_Tol</f>
        <v>1</v>
      </c>
      <c r="AD54" s="19" t="n">
        <f aca="false">MATCH(TRUE(),Z54:AC54,0)</f>
        <v>2</v>
      </c>
      <c r="AE54" s="12" t="str">
        <f aca="false">CHOOSE(AD54,"Naive","MA4","MA8","SES")</f>
        <v>MA4</v>
      </c>
      <c r="AF54" s="30" t="n">
        <f aca="false">INDEX(U54:X54,AD54)</f>
        <v>43.75</v>
      </c>
      <c r="AG54" s="26" t="n">
        <f aca="false">INDEX(I54:L54,AD54)</f>
        <v>0.10145793499044</v>
      </c>
      <c r="AH54" s="27" t="n">
        <f aca="false">INDEX(M54:P54,AD54)</f>
        <v>-0.00848470363288719</v>
      </c>
      <c r="AI54" s="28" t="n">
        <f aca="false">INDEX(Q54:T54,AD54)</f>
        <v>5.02567643631521</v>
      </c>
      <c r="AJ54" s="19" t="n">
        <f aca="false">AG54*H54</f>
        <v>212.25</v>
      </c>
      <c r="AK54" s="19" t="n">
        <f aca="false">SUM(INDEX(Forecast_Walkforward!$C:$C,$F54):INDEX(Forecast_Walkforward!$C:$C,$G54))</f>
        <v>2083</v>
      </c>
      <c r="AL54" s="26" t="n">
        <f aca="false">SUM(INDEX(Forecast_Walkforward!$L:$L,$F54):INDEX(Forecast_Walkforward!$L:$L,$G54))/$AK54</f>
        <v>0.129140662506001</v>
      </c>
      <c r="AM54" s="26" t="n">
        <f aca="false">SUM(INDEX(Forecast_Walkforward!$M:$M,$F54):INDEX(Forecast_Walkforward!$M:$M,$G54))/$AK54</f>
        <v>0.104896783485358</v>
      </c>
      <c r="AN54" s="26" t="n">
        <f aca="false">SUM(INDEX(Forecast_Walkforward!$N:$N,$F54):INDEX(Forecast_Walkforward!$N:$N,$G54))/$AK54</f>
        <v>0.096675468074892</v>
      </c>
      <c r="AO54" s="26" t="n">
        <f aca="false">SUM(INDEX(Forecast_Walkforward!$O:$O,$F54):INDEX(Forecast_Walkforward!$O:$O,$G54))/$AK54</f>
        <v>0.103747158062818</v>
      </c>
      <c r="AP54" s="28" t="n">
        <f aca="false">_xlfn.STDEV.S(INDEX(Forecast_Walkforward!$H:$H,$F54):INDEX(Forecast_Walkforward!$H:$H,$G54))</f>
        <v>6.53344453071253</v>
      </c>
      <c r="AQ54" s="28" t="n">
        <f aca="false">_xlfn.STDEV.S(INDEX(Forecast_Walkforward!$I:$I,$F54):INDEX(Forecast_Walkforward!$I:$I,$G54))</f>
        <v>5.02776979185997</v>
      </c>
      <c r="AR54" s="28" t="n">
        <f aca="false">_xlfn.STDEV.S(INDEX(Forecast_Walkforward!$J:$J,$F54):INDEX(Forecast_Walkforward!$J:$J,$G54))</f>
        <v>4.6432057547962</v>
      </c>
      <c r="AS54" s="28" t="n">
        <f aca="false">_xlfn.STDEV.S(INDEX(Forecast_Walkforward!$K:$K,$F54):INDEX(Forecast_Walkforward!$K:$K,$G54))</f>
        <v>5.00894706609088</v>
      </c>
      <c r="AT54" s="26" t="n">
        <f aca="false">MIN(AL54:AO54)</f>
        <v>0.096675468074892</v>
      </c>
      <c r="AU54" s="29" t="b">
        <f aca="false">AL54&lt;=$AT54+WAPE_Tol</f>
        <v>0</v>
      </c>
      <c r="AV54" s="29" t="b">
        <f aca="false">AM54&lt;=$AT54+WAPE_Tol</f>
        <v>1</v>
      </c>
      <c r="AW54" s="29" t="b">
        <f aca="false">AN54&lt;=$AT54+WAPE_Tol</f>
        <v>1</v>
      </c>
      <c r="AX54" s="29" t="b">
        <f aca="false">AO54&lt;=$AT54+WAPE_Tol</f>
        <v>1</v>
      </c>
      <c r="AY54" s="19" t="n">
        <f aca="false">MATCH(TRUE(),AU54:AX54,0)</f>
        <v>2</v>
      </c>
      <c r="AZ54" s="10" t="str">
        <f aca="false">CHOOSE(AY54,"Naive","MA4","MA8","SES")</f>
        <v>MA4</v>
      </c>
      <c r="BA54" s="28" t="n">
        <f aca="false">INDEX(AP54:AS54,AY54)</f>
        <v>5.02776979185997</v>
      </c>
    </row>
  </sheetData>
  <mergeCells count="3">
    <mergeCell ref="A5:G5"/>
    <mergeCell ref="H5:AJ5"/>
    <mergeCell ref="AK5:BA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5" min="1" style="0" width="11"/>
    <col collapsed="false" customWidth="true" hidden="false" outlineLevel="0" max="17" min="16" style="0" width="13"/>
  </cols>
  <sheetData>
    <row r="1" customFormat="false" ht="45" hidden="false" customHeight="true" outlineLevel="0" collapsed="false">
      <c r="A1" s="6" t="s">
        <v>139</v>
      </c>
      <c r="B1" s="6" t="s">
        <v>256</v>
      </c>
      <c r="C1" s="6" t="s">
        <v>317</v>
      </c>
      <c r="D1" s="6" t="s">
        <v>318</v>
      </c>
      <c r="E1" s="6" t="s">
        <v>319</v>
      </c>
      <c r="F1" s="6" t="s">
        <v>320</v>
      </c>
      <c r="G1" s="6" t="s">
        <v>321</v>
      </c>
      <c r="H1" s="6" t="s">
        <v>322</v>
      </c>
      <c r="I1" s="6" t="s">
        <v>323</v>
      </c>
      <c r="J1" s="6" t="s">
        <v>324</v>
      </c>
      <c r="K1" s="6" t="s">
        <v>325</v>
      </c>
      <c r="L1" s="6" t="s">
        <v>326</v>
      </c>
      <c r="M1" s="6" t="s">
        <v>327</v>
      </c>
      <c r="N1" s="6" t="s">
        <v>328</v>
      </c>
      <c r="O1" s="6" t="s">
        <v>329</v>
      </c>
      <c r="P1" s="6" t="s">
        <v>330</v>
      </c>
      <c r="Q1" s="6" t="s">
        <v>331</v>
      </c>
    </row>
    <row r="2" customFormat="false" ht="15" hidden="false" customHeight="false" outlineLevel="0" collapsed="false">
      <c r="A2" s="31" t="str">
        <f aca="false">Demand_History!C2</f>
        <v>KIT-001</v>
      </c>
      <c r="B2" s="31" t="n">
        <f aca="false">Demand_History!A2</f>
        <v>1</v>
      </c>
      <c r="C2" s="32" t="n">
        <f aca="false">Demand_History!D2</f>
        <v>62</v>
      </c>
      <c r="D2" s="33" t="str">
        <f aca="false">""</f>
        <v/>
      </c>
      <c r="E2" s="33" t="str">
        <f aca="false">""</f>
        <v/>
      </c>
      <c r="F2" s="33" t="str">
        <f aca="false">""</f>
        <v/>
      </c>
      <c r="G2" s="33" t="str">
        <f aca="false">""</f>
        <v/>
      </c>
      <c r="H2" s="33" t="str">
        <f aca="false">IF(D2="","",D2-C2)</f>
        <v/>
      </c>
      <c r="I2" s="33" t="str">
        <f aca="false">IF(E2="","",E2-C2)</f>
        <v/>
      </c>
      <c r="J2" s="33" t="str">
        <f aca="false">IF(F2="","",F2-C2)</f>
        <v/>
      </c>
      <c r="K2" s="33" t="str">
        <f aca="false">IF(G2="","",G2-C2)</f>
        <v/>
      </c>
      <c r="L2" s="33" t="str">
        <f aca="false">IF(H2="","",ABS(H2))</f>
        <v/>
      </c>
      <c r="M2" s="33" t="str">
        <f aca="false">IF(I2="","",ABS(I2))</f>
        <v/>
      </c>
      <c r="N2" s="33" t="str">
        <f aca="false">IF(J2="","",ABS(J2))</f>
        <v/>
      </c>
      <c r="O2" s="33" t="str">
        <f aca="false">IF(K2="","",ABS(K2))</f>
        <v/>
      </c>
      <c r="P2" s="34" t="str">
        <f aca="false">IF(B2&gt;=Eval_Start_Week,"YES","")</f>
        <v/>
      </c>
      <c r="Q2" s="34" t="str">
        <f aca="false">IF(AND(B2&gt;=Cal_Start_Week,B2&lt;=Cal_End_Week),"YES","")</f>
        <v/>
      </c>
    </row>
    <row r="3" customFormat="false" ht="15" hidden="false" customHeight="false" outlineLevel="0" collapsed="false">
      <c r="A3" s="31" t="str">
        <f aca="false">Demand_History!C3</f>
        <v>KIT-001</v>
      </c>
      <c r="B3" s="31" t="n">
        <f aca="false">Demand_History!A3</f>
        <v>2</v>
      </c>
      <c r="C3" s="32" t="n">
        <f aca="false">Demand_History!D3</f>
        <v>58</v>
      </c>
      <c r="D3" s="33" t="n">
        <f aca="false">IF(B3&gt;=2,C2,"")</f>
        <v>62</v>
      </c>
      <c r="E3" s="33" t="str">
        <f aca="false">""</f>
        <v/>
      </c>
      <c r="F3" s="33" t="str">
        <f aca="false">""</f>
        <v/>
      </c>
      <c r="G3" s="33" t="n">
        <f aca="false">IF(B3=1,"",IF(B3=2,C2,SES_Alpha*C2+(1-SES_Alpha)*G2))</f>
        <v>62</v>
      </c>
      <c r="H3" s="33" t="n">
        <f aca="false">IF(D3="","",D3-C3)</f>
        <v>4</v>
      </c>
      <c r="I3" s="33" t="str">
        <f aca="false">IF(E3="","",E3-C3)</f>
        <v/>
      </c>
      <c r="J3" s="33" t="str">
        <f aca="false">IF(F3="","",F3-C3)</f>
        <v/>
      </c>
      <c r="K3" s="33" t="n">
        <f aca="false">IF(G3="","",G3-C3)</f>
        <v>4</v>
      </c>
      <c r="L3" s="33" t="n">
        <f aca="false">IF(H3="","",ABS(H3))</f>
        <v>4</v>
      </c>
      <c r="M3" s="33" t="str">
        <f aca="false">IF(I3="","",ABS(I3))</f>
        <v/>
      </c>
      <c r="N3" s="33" t="str">
        <f aca="false">IF(J3="","",ABS(J3))</f>
        <v/>
      </c>
      <c r="O3" s="33" t="n">
        <f aca="false">IF(K3="","",ABS(K3))</f>
        <v>4</v>
      </c>
      <c r="P3" s="34" t="str">
        <f aca="false">IF(B3&gt;=Eval_Start_Week,"YES","")</f>
        <v/>
      </c>
      <c r="Q3" s="34" t="str">
        <f aca="false">IF(AND(B3&gt;=Cal_Start_Week,B3&lt;=Cal_End_Week),"YES","")</f>
        <v/>
      </c>
    </row>
    <row r="4" customFormat="false" ht="15" hidden="false" customHeight="false" outlineLevel="0" collapsed="false">
      <c r="A4" s="31" t="str">
        <f aca="false">Demand_History!C4</f>
        <v>KIT-001</v>
      </c>
      <c r="B4" s="31" t="n">
        <f aca="false">Demand_History!A4</f>
        <v>3</v>
      </c>
      <c r="C4" s="32" t="n">
        <f aca="false">Demand_History!D4</f>
        <v>53</v>
      </c>
      <c r="D4" s="33" t="n">
        <f aca="false">IF(B4&gt;=2,C3,"")</f>
        <v>58</v>
      </c>
      <c r="E4" s="33" t="str">
        <f aca="false">""</f>
        <v/>
      </c>
      <c r="F4" s="33" t="str">
        <f aca="false">""</f>
        <v/>
      </c>
      <c r="G4" s="33" t="n">
        <f aca="false">IF(B4=1,"",IF(B4=2,C3,SES_Alpha*C3+(1-SES_Alpha)*G3))</f>
        <v>60.8</v>
      </c>
      <c r="H4" s="33" t="n">
        <f aca="false">IF(D4="","",D4-C4)</f>
        <v>5</v>
      </c>
      <c r="I4" s="33" t="str">
        <f aca="false">IF(E4="","",E4-C4)</f>
        <v/>
      </c>
      <c r="J4" s="33" t="str">
        <f aca="false">IF(F4="","",F4-C4)</f>
        <v/>
      </c>
      <c r="K4" s="33" t="n">
        <f aca="false">IF(G4="","",G4-C4)</f>
        <v>7.8</v>
      </c>
      <c r="L4" s="33" t="n">
        <f aca="false">IF(H4="","",ABS(H4))</f>
        <v>5</v>
      </c>
      <c r="M4" s="33" t="str">
        <f aca="false">IF(I4="","",ABS(I4))</f>
        <v/>
      </c>
      <c r="N4" s="33" t="str">
        <f aca="false">IF(J4="","",ABS(J4))</f>
        <v/>
      </c>
      <c r="O4" s="33" t="n">
        <f aca="false">IF(K4="","",ABS(K4))</f>
        <v>7.8</v>
      </c>
      <c r="P4" s="34" t="str">
        <f aca="false">IF(B4&gt;=Eval_Start_Week,"YES","")</f>
        <v/>
      </c>
      <c r="Q4" s="34" t="str">
        <f aca="false">IF(AND(B4&gt;=Cal_Start_Week,B4&lt;=Cal_End_Week),"YES","")</f>
        <v/>
      </c>
    </row>
    <row r="5" customFormat="false" ht="15" hidden="false" customHeight="false" outlineLevel="0" collapsed="false">
      <c r="A5" s="31" t="str">
        <f aca="false">Demand_History!C5</f>
        <v>KIT-001</v>
      </c>
      <c r="B5" s="31" t="n">
        <f aca="false">Demand_History!A5</f>
        <v>4</v>
      </c>
      <c r="C5" s="32" t="n">
        <f aca="false">Demand_History!D5</f>
        <v>56</v>
      </c>
      <c r="D5" s="33" t="n">
        <f aca="false">IF(B5&gt;=2,C4,"")</f>
        <v>53</v>
      </c>
      <c r="E5" s="33" t="str">
        <f aca="false">""</f>
        <v/>
      </c>
      <c r="F5" s="33" t="str">
        <f aca="false">""</f>
        <v/>
      </c>
      <c r="G5" s="33" t="n">
        <f aca="false">IF(B5=1,"",IF(B5=2,C4,SES_Alpha*C4+(1-SES_Alpha)*G4))</f>
        <v>58.46</v>
      </c>
      <c r="H5" s="33" t="n">
        <f aca="false">IF(D5="","",D5-C5)</f>
        <v>-3</v>
      </c>
      <c r="I5" s="33" t="str">
        <f aca="false">IF(E5="","",E5-C5)</f>
        <v/>
      </c>
      <c r="J5" s="33" t="str">
        <f aca="false">IF(F5="","",F5-C5)</f>
        <v/>
      </c>
      <c r="K5" s="33" t="n">
        <f aca="false">IF(G5="","",G5-C5)</f>
        <v>2.45999999999999</v>
      </c>
      <c r="L5" s="33" t="n">
        <f aca="false">IF(H5="","",ABS(H5))</f>
        <v>3</v>
      </c>
      <c r="M5" s="33" t="str">
        <f aca="false">IF(I5="","",ABS(I5))</f>
        <v/>
      </c>
      <c r="N5" s="33" t="str">
        <f aca="false">IF(J5="","",ABS(J5))</f>
        <v/>
      </c>
      <c r="O5" s="33" t="n">
        <f aca="false">IF(K5="","",ABS(K5))</f>
        <v>2.45999999999999</v>
      </c>
      <c r="P5" s="34" t="str">
        <f aca="false">IF(B5&gt;=Eval_Start_Week,"YES","")</f>
        <v/>
      </c>
      <c r="Q5" s="34" t="str">
        <f aca="false">IF(AND(B5&gt;=Cal_Start_Week,B5&lt;=Cal_End_Week),"YES","")</f>
        <v/>
      </c>
    </row>
    <row r="6" customFormat="false" ht="15" hidden="false" customHeight="false" outlineLevel="0" collapsed="false">
      <c r="A6" s="31" t="str">
        <f aca="false">Demand_History!C6</f>
        <v>KIT-001</v>
      </c>
      <c r="B6" s="31" t="n">
        <f aca="false">Demand_History!A6</f>
        <v>5</v>
      </c>
      <c r="C6" s="32" t="n">
        <f aca="false">Demand_History!D6</f>
        <v>52</v>
      </c>
      <c r="D6" s="33" t="n">
        <f aca="false">IF(B6&gt;=2,C5,"")</f>
        <v>56</v>
      </c>
      <c r="E6" s="33" t="n">
        <f aca="false">IF(B6&gt;=5,AVERAGE(C2:C5),"")</f>
        <v>57.25</v>
      </c>
      <c r="F6" s="33" t="str">
        <f aca="false">""</f>
        <v/>
      </c>
      <c r="G6" s="33" t="n">
        <f aca="false">IF(B6=1,"",IF(B6=2,C5,SES_Alpha*C5+(1-SES_Alpha)*G5))</f>
        <v>57.722</v>
      </c>
      <c r="H6" s="33" t="n">
        <f aca="false">IF(D6="","",D6-C6)</f>
        <v>4</v>
      </c>
      <c r="I6" s="33" t="n">
        <f aca="false">IF(E6="","",E6-C6)</f>
        <v>5.25</v>
      </c>
      <c r="J6" s="33" t="str">
        <f aca="false">IF(F6="","",F6-C6)</f>
        <v/>
      </c>
      <c r="K6" s="33" t="n">
        <f aca="false">IF(G6="","",G6-C6)</f>
        <v>5.72199999999999</v>
      </c>
      <c r="L6" s="33" t="n">
        <f aca="false">IF(H6="","",ABS(H6))</f>
        <v>4</v>
      </c>
      <c r="M6" s="33" t="n">
        <f aca="false">IF(I6="","",ABS(I6))</f>
        <v>5.25</v>
      </c>
      <c r="N6" s="33" t="str">
        <f aca="false">IF(J6="","",ABS(J6))</f>
        <v/>
      </c>
      <c r="O6" s="33" t="n">
        <f aca="false">IF(K6="","",ABS(K6))</f>
        <v>5.72199999999999</v>
      </c>
      <c r="P6" s="34" t="str">
        <f aca="false">IF(B6&gt;=Eval_Start_Week,"YES","")</f>
        <v/>
      </c>
      <c r="Q6" s="34" t="str">
        <f aca="false">IF(AND(B6&gt;=Cal_Start_Week,B6&lt;=Cal_End_Week),"YES","")</f>
        <v/>
      </c>
    </row>
    <row r="7" customFormat="false" ht="15" hidden="false" customHeight="false" outlineLevel="0" collapsed="false">
      <c r="A7" s="31" t="str">
        <f aca="false">Demand_History!C7</f>
        <v>KIT-001</v>
      </c>
      <c r="B7" s="31" t="n">
        <f aca="false">Demand_History!A7</f>
        <v>6</v>
      </c>
      <c r="C7" s="32" t="n">
        <f aca="false">Demand_History!D7</f>
        <v>60</v>
      </c>
      <c r="D7" s="33" t="n">
        <f aca="false">IF(B7&gt;=2,C6,"")</f>
        <v>52</v>
      </c>
      <c r="E7" s="33" t="n">
        <f aca="false">IF(B7&gt;=5,AVERAGE(C3:C6),"")</f>
        <v>54.75</v>
      </c>
      <c r="F7" s="33" t="str">
        <f aca="false">""</f>
        <v/>
      </c>
      <c r="G7" s="33" t="n">
        <f aca="false">IF(B7=1,"",IF(B7=2,C6,SES_Alpha*C6+(1-SES_Alpha)*G6))</f>
        <v>56.0054</v>
      </c>
      <c r="H7" s="33" t="n">
        <f aca="false">IF(D7="","",D7-C7)</f>
        <v>-8</v>
      </c>
      <c r="I7" s="33" t="n">
        <f aca="false">IF(E7="","",E7-C7)</f>
        <v>-5.25</v>
      </c>
      <c r="J7" s="33" t="str">
        <f aca="false">IF(F7="","",F7-C7)</f>
        <v/>
      </c>
      <c r="K7" s="33" t="n">
        <f aca="false">IF(G7="","",G7-C7)</f>
        <v>-3.99460000000001</v>
      </c>
      <c r="L7" s="33" t="n">
        <f aca="false">IF(H7="","",ABS(H7))</f>
        <v>8</v>
      </c>
      <c r="M7" s="33" t="n">
        <f aca="false">IF(I7="","",ABS(I7))</f>
        <v>5.25</v>
      </c>
      <c r="N7" s="33" t="str">
        <f aca="false">IF(J7="","",ABS(J7))</f>
        <v/>
      </c>
      <c r="O7" s="33" t="n">
        <f aca="false">IF(K7="","",ABS(K7))</f>
        <v>3.99460000000001</v>
      </c>
      <c r="P7" s="34" t="str">
        <f aca="false">IF(B7&gt;=Eval_Start_Week,"YES","")</f>
        <v/>
      </c>
      <c r="Q7" s="34" t="str">
        <f aca="false">IF(AND(B7&gt;=Cal_Start_Week,B7&lt;=Cal_End_Week),"YES","")</f>
        <v/>
      </c>
    </row>
    <row r="8" customFormat="false" ht="15" hidden="false" customHeight="false" outlineLevel="0" collapsed="false">
      <c r="A8" s="31" t="str">
        <f aca="false">Demand_History!C8</f>
        <v>KIT-001</v>
      </c>
      <c r="B8" s="31" t="n">
        <f aca="false">Demand_History!A8</f>
        <v>7</v>
      </c>
      <c r="C8" s="32" t="n">
        <f aca="false">Demand_History!D8</f>
        <v>71</v>
      </c>
      <c r="D8" s="33" t="n">
        <f aca="false">IF(B8&gt;=2,C7,"")</f>
        <v>60</v>
      </c>
      <c r="E8" s="33" t="n">
        <f aca="false">IF(B8&gt;=5,AVERAGE(C4:C7),"")</f>
        <v>55.25</v>
      </c>
      <c r="F8" s="33" t="str">
        <f aca="false">""</f>
        <v/>
      </c>
      <c r="G8" s="33" t="n">
        <f aca="false">IF(B8=1,"",IF(B8=2,C7,SES_Alpha*C7+(1-SES_Alpha)*G7))</f>
        <v>57.20378</v>
      </c>
      <c r="H8" s="33" t="n">
        <f aca="false">IF(D8="","",D8-C8)</f>
        <v>-11</v>
      </c>
      <c r="I8" s="33" t="n">
        <f aca="false">IF(E8="","",E8-C8)</f>
        <v>-15.75</v>
      </c>
      <c r="J8" s="33" t="str">
        <f aca="false">IF(F8="","",F8-C8)</f>
        <v/>
      </c>
      <c r="K8" s="33" t="n">
        <f aca="false">IF(G8="","",G8-C8)</f>
        <v>-13.79622</v>
      </c>
      <c r="L8" s="33" t="n">
        <f aca="false">IF(H8="","",ABS(H8))</f>
        <v>11</v>
      </c>
      <c r="M8" s="33" t="n">
        <f aca="false">IF(I8="","",ABS(I8))</f>
        <v>15.75</v>
      </c>
      <c r="N8" s="33" t="str">
        <f aca="false">IF(J8="","",ABS(J8))</f>
        <v/>
      </c>
      <c r="O8" s="33" t="n">
        <f aca="false">IF(K8="","",ABS(K8))</f>
        <v>13.79622</v>
      </c>
      <c r="P8" s="34" t="str">
        <f aca="false">IF(B8&gt;=Eval_Start_Week,"YES","")</f>
        <v/>
      </c>
      <c r="Q8" s="34" t="str">
        <f aca="false">IF(AND(B8&gt;=Cal_Start_Week,B8&lt;=Cal_End_Week),"YES","")</f>
        <v/>
      </c>
    </row>
    <row r="9" customFormat="false" ht="15" hidden="false" customHeight="false" outlineLevel="0" collapsed="false">
      <c r="A9" s="31" t="str">
        <f aca="false">Demand_History!C9</f>
        <v>KIT-001</v>
      </c>
      <c r="B9" s="31" t="n">
        <f aca="false">Demand_History!A9</f>
        <v>8</v>
      </c>
      <c r="C9" s="32" t="n">
        <f aca="false">Demand_History!D9</f>
        <v>56</v>
      </c>
      <c r="D9" s="33" t="n">
        <f aca="false">IF(B9&gt;=2,C8,"")</f>
        <v>71</v>
      </c>
      <c r="E9" s="33" t="n">
        <f aca="false">IF(B9&gt;=5,AVERAGE(C5:C8),"")</f>
        <v>59.75</v>
      </c>
      <c r="F9" s="33" t="str">
        <f aca="false">""</f>
        <v/>
      </c>
      <c r="G9" s="33" t="n">
        <f aca="false">IF(B9=1,"",IF(B9=2,C8,SES_Alpha*C8+(1-SES_Alpha)*G8))</f>
        <v>61.342646</v>
      </c>
      <c r="H9" s="33" t="n">
        <f aca="false">IF(D9="","",D9-C9)</f>
        <v>15</v>
      </c>
      <c r="I9" s="33" t="n">
        <f aca="false">IF(E9="","",E9-C9)</f>
        <v>3.75</v>
      </c>
      <c r="J9" s="33" t="str">
        <f aca="false">IF(F9="","",F9-C9)</f>
        <v/>
      </c>
      <c r="K9" s="33" t="n">
        <f aca="false">IF(G9="","",G9-C9)</f>
        <v>5.34264599999999</v>
      </c>
      <c r="L9" s="33" t="n">
        <f aca="false">IF(H9="","",ABS(H9))</f>
        <v>15</v>
      </c>
      <c r="M9" s="33" t="n">
        <f aca="false">IF(I9="","",ABS(I9))</f>
        <v>3.75</v>
      </c>
      <c r="N9" s="33" t="str">
        <f aca="false">IF(J9="","",ABS(J9))</f>
        <v/>
      </c>
      <c r="O9" s="33" t="n">
        <f aca="false">IF(K9="","",ABS(K9))</f>
        <v>5.34264599999999</v>
      </c>
      <c r="P9" s="34" t="str">
        <f aca="false">IF(B9&gt;=Eval_Start_Week,"YES","")</f>
        <v/>
      </c>
      <c r="Q9" s="34" t="str">
        <f aca="false">IF(AND(B9&gt;=Cal_Start_Week,B9&lt;=Cal_End_Week),"YES","")</f>
        <v/>
      </c>
    </row>
    <row r="10" customFormat="false" ht="15" hidden="false" customHeight="false" outlineLevel="0" collapsed="false">
      <c r="A10" s="31" t="str">
        <f aca="false">Demand_History!C10</f>
        <v>KIT-001</v>
      </c>
      <c r="B10" s="31" t="n">
        <f aca="false">Demand_History!A10</f>
        <v>9</v>
      </c>
      <c r="C10" s="32" t="n">
        <f aca="false">Demand_History!D10</f>
        <v>55</v>
      </c>
      <c r="D10" s="33" t="n">
        <f aca="false">IF(B10&gt;=2,C9,"")</f>
        <v>56</v>
      </c>
      <c r="E10" s="33" t="n">
        <f aca="false">IF(B10&gt;=5,AVERAGE(C6:C9),"")</f>
        <v>59.75</v>
      </c>
      <c r="F10" s="33" t="n">
        <f aca="false">IF(B10&gt;=9,AVERAGE(C2:C9),"")</f>
        <v>58.5</v>
      </c>
      <c r="G10" s="33" t="n">
        <f aca="false">IF(B10=1,"",IF(B10=2,C9,SES_Alpha*C9+(1-SES_Alpha)*G9))</f>
        <v>59.7398522</v>
      </c>
      <c r="H10" s="33" t="n">
        <f aca="false">IF(D10="","",D10-C10)</f>
        <v>1</v>
      </c>
      <c r="I10" s="33" t="n">
        <f aca="false">IF(E10="","",E10-C10)</f>
        <v>4.75</v>
      </c>
      <c r="J10" s="33" t="n">
        <f aca="false">IF(F10="","",F10-C10)</f>
        <v>3.5</v>
      </c>
      <c r="K10" s="33" t="n">
        <f aca="false">IF(G10="","",G10-C10)</f>
        <v>4.73985219999999</v>
      </c>
      <c r="L10" s="33" t="n">
        <f aca="false">IF(H10="","",ABS(H10))</f>
        <v>1</v>
      </c>
      <c r="M10" s="33" t="n">
        <f aca="false">IF(I10="","",ABS(I10))</f>
        <v>4.75</v>
      </c>
      <c r="N10" s="33" t="n">
        <f aca="false">IF(J10="","",ABS(J10))</f>
        <v>3.5</v>
      </c>
      <c r="O10" s="33" t="n">
        <f aca="false">IF(K10="","",ABS(K10))</f>
        <v>4.73985219999999</v>
      </c>
      <c r="P10" s="34" t="str">
        <f aca="false">IF(B10&gt;=Eval_Start_Week,"YES","")</f>
        <v/>
      </c>
      <c r="Q10" s="34" t="str">
        <f aca="false">IF(AND(B10&gt;=Cal_Start_Week,B10&lt;=Cal_End_Week),"YES","")</f>
        <v/>
      </c>
    </row>
    <row r="11" customFormat="false" ht="15" hidden="false" customHeight="false" outlineLevel="0" collapsed="false">
      <c r="A11" s="31" t="str">
        <f aca="false">Demand_History!C11</f>
        <v>KIT-001</v>
      </c>
      <c r="B11" s="31" t="n">
        <f aca="false">Demand_History!A11</f>
        <v>10</v>
      </c>
      <c r="C11" s="32" t="n">
        <f aca="false">Demand_History!D11</f>
        <v>64</v>
      </c>
      <c r="D11" s="33" t="n">
        <f aca="false">IF(B11&gt;=2,C10,"")</f>
        <v>55</v>
      </c>
      <c r="E11" s="33" t="n">
        <f aca="false">IF(B11&gt;=5,AVERAGE(C7:C10),"")</f>
        <v>60.5</v>
      </c>
      <c r="F11" s="33" t="n">
        <f aca="false">IF(B11&gt;=9,AVERAGE(C3:C10),"")</f>
        <v>57.625</v>
      </c>
      <c r="G11" s="33" t="n">
        <f aca="false">IF(B11=1,"",IF(B11=2,C10,SES_Alpha*C10+(1-SES_Alpha)*G10))</f>
        <v>58.31789654</v>
      </c>
      <c r="H11" s="33" t="n">
        <f aca="false">IF(D11="","",D11-C11)</f>
        <v>-9</v>
      </c>
      <c r="I11" s="33" t="n">
        <f aca="false">IF(E11="","",E11-C11)</f>
        <v>-3.5</v>
      </c>
      <c r="J11" s="33" t="n">
        <f aca="false">IF(F11="","",F11-C11)</f>
        <v>-6.375</v>
      </c>
      <c r="K11" s="33" t="n">
        <f aca="false">IF(G11="","",G11-C11)</f>
        <v>-5.68210346000002</v>
      </c>
      <c r="L11" s="33" t="n">
        <f aca="false">IF(H11="","",ABS(H11))</f>
        <v>9</v>
      </c>
      <c r="M11" s="33" t="n">
        <f aca="false">IF(I11="","",ABS(I11))</f>
        <v>3.5</v>
      </c>
      <c r="N11" s="33" t="n">
        <f aca="false">IF(J11="","",ABS(J11))</f>
        <v>6.375</v>
      </c>
      <c r="O11" s="33" t="n">
        <f aca="false">IF(K11="","",ABS(K11))</f>
        <v>5.68210346000002</v>
      </c>
      <c r="P11" s="34" t="str">
        <f aca="false">IF(B11&gt;=Eval_Start_Week,"YES","")</f>
        <v/>
      </c>
      <c r="Q11" s="34" t="str">
        <f aca="false">IF(AND(B11&gt;=Cal_Start_Week,B11&lt;=Cal_End_Week),"YES","")</f>
        <v/>
      </c>
    </row>
    <row r="12" customFormat="false" ht="15" hidden="false" customHeight="false" outlineLevel="0" collapsed="false">
      <c r="A12" s="31" t="str">
        <f aca="false">Demand_History!C12</f>
        <v>KIT-001</v>
      </c>
      <c r="B12" s="31" t="n">
        <f aca="false">Demand_History!A12</f>
        <v>11</v>
      </c>
      <c r="C12" s="32" t="n">
        <f aca="false">Demand_History!D12</f>
        <v>63</v>
      </c>
      <c r="D12" s="33" t="n">
        <f aca="false">IF(B12&gt;=2,C11,"")</f>
        <v>64</v>
      </c>
      <c r="E12" s="33" t="n">
        <f aca="false">IF(B12&gt;=5,AVERAGE(C8:C11),"")</f>
        <v>61.5</v>
      </c>
      <c r="F12" s="33" t="n">
        <f aca="false">IF(B12&gt;=9,AVERAGE(C4:C11),"")</f>
        <v>58.375</v>
      </c>
      <c r="G12" s="33" t="n">
        <f aca="false">IF(B12=1,"",IF(B12=2,C11,SES_Alpha*C11+(1-SES_Alpha)*G11))</f>
        <v>60.022527578</v>
      </c>
      <c r="H12" s="33" t="n">
        <f aca="false">IF(D12="","",D12-C12)</f>
        <v>1</v>
      </c>
      <c r="I12" s="33" t="n">
        <f aca="false">IF(E12="","",E12-C12)</f>
        <v>-1.5</v>
      </c>
      <c r="J12" s="33" t="n">
        <f aca="false">IF(F12="","",F12-C12)</f>
        <v>-4.625</v>
      </c>
      <c r="K12" s="33" t="n">
        <f aca="false">IF(G12="","",G12-C12)</f>
        <v>-2.97747242200002</v>
      </c>
      <c r="L12" s="33" t="n">
        <f aca="false">IF(H12="","",ABS(H12))</f>
        <v>1</v>
      </c>
      <c r="M12" s="33" t="n">
        <f aca="false">IF(I12="","",ABS(I12))</f>
        <v>1.5</v>
      </c>
      <c r="N12" s="33" t="n">
        <f aca="false">IF(J12="","",ABS(J12))</f>
        <v>4.625</v>
      </c>
      <c r="O12" s="33" t="n">
        <f aca="false">IF(K12="","",ABS(K12))</f>
        <v>2.97747242200002</v>
      </c>
      <c r="P12" s="34" t="str">
        <f aca="false">IF(B12&gt;=Eval_Start_Week,"YES","")</f>
        <v/>
      </c>
      <c r="Q12" s="34" t="str">
        <f aca="false">IF(AND(B12&gt;=Cal_Start_Week,B12&lt;=Cal_End_Week),"YES","")</f>
        <v/>
      </c>
    </row>
    <row r="13" customFormat="false" ht="15" hidden="false" customHeight="false" outlineLevel="0" collapsed="false">
      <c r="A13" s="31" t="str">
        <f aca="false">Demand_History!C13</f>
        <v>KIT-001</v>
      </c>
      <c r="B13" s="31" t="n">
        <f aca="false">Demand_History!A13</f>
        <v>12</v>
      </c>
      <c r="C13" s="32" t="n">
        <f aca="false">Demand_History!D13</f>
        <v>61</v>
      </c>
      <c r="D13" s="33" t="n">
        <f aca="false">IF(B13&gt;=2,C12,"")</f>
        <v>63</v>
      </c>
      <c r="E13" s="33" t="n">
        <f aca="false">IF(B13&gt;=5,AVERAGE(C9:C12),"")</f>
        <v>59.5</v>
      </c>
      <c r="F13" s="33" t="n">
        <f aca="false">IF(B13&gt;=9,AVERAGE(C5:C12),"")</f>
        <v>59.625</v>
      </c>
      <c r="G13" s="33" t="n">
        <f aca="false">IF(B13=1,"",IF(B13=2,C12,SES_Alpha*C12+(1-SES_Alpha)*G12))</f>
        <v>60.9157693046</v>
      </c>
      <c r="H13" s="33" t="n">
        <f aca="false">IF(D13="","",D13-C13)</f>
        <v>2</v>
      </c>
      <c r="I13" s="33" t="n">
        <f aca="false">IF(E13="","",E13-C13)</f>
        <v>-1.5</v>
      </c>
      <c r="J13" s="33" t="n">
        <f aca="false">IF(F13="","",F13-C13)</f>
        <v>-1.375</v>
      </c>
      <c r="K13" s="33" t="n">
        <f aca="false">IF(G13="","",G13-C13)</f>
        <v>-0.0842306954000165</v>
      </c>
      <c r="L13" s="33" t="n">
        <f aca="false">IF(H13="","",ABS(H13))</f>
        <v>2</v>
      </c>
      <c r="M13" s="33" t="n">
        <f aca="false">IF(I13="","",ABS(I13))</f>
        <v>1.5</v>
      </c>
      <c r="N13" s="33" t="n">
        <f aca="false">IF(J13="","",ABS(J13))</f>
        <v>1.375</v>
      </c>
      <c r="O13" s="33" t="n">
        <f aca="false">IF(K13="","",ABS(K13))</f>
        <v>0.0842306954000165</v>
      </c>
      <c r="P13" s="34" t="str">
        <f aca="false">IF(B13&gt;=Eval_Start_Week,"YES","")</f>
        <v/>
      </c>
      <c r="Q13" s="34" t="str">
        <f aca="false">IF(AND(B13&gt;=Cal_Start_Week,B13&lt;=Cal_End_Week),"YES","")</f>
        <v/>
      </c>
    </row>
    <row r="14" customFormat="false" ht="15" hidden="false" customHeight="false" outlineLevel="0" collapsed="false">
      <c r="A14" s="31" t="str">
        <f aca="false">Demand_History!C14</f>
        <v>KIT-001</v>
      </c>
      <c r="B14" s="31" t="n">
        <f aca="false">Demand_History!A14</f>
        <v>13</v>
      </c>
      <c r="C14" s="32" t="n">
        <f aca="false">Demand_History!D14</f>
        <v>53</v>
      </c>
      <c r="D14" s="33" t="n">
        <f aca="false">IF(B14&gt;=2,C13,"")</f>
        <v>61</v>
      </c>
      <c r="E14" s="33" t="n">
        <f aca="false">IF(B14&gt;=5,AVERAGE(C10:C13),"")</f>
        <v>60.75</v>
      </c>
      <c r="F14" s="33" t="n">
        <f aca="false">IF(B14&gt;=9,AVERAGE(C6:C13),"")</f>
        <v>60.25</v>
      </c>
      <c r="G14" s="33" t="n">
        <f aca="false">IF(B14=1,"",IF(B14=2,C13,SES_Alpha*C13+(1-SES_Alpha)*G13))</f>
        <v>60.94103851322</v>
      </c>
      <c r="H14" s="33" t="n">
        <f aca="false">IF(D14="","",D14-C14)</f>
        <v>8</v>
      </c>
      <c r="I14" s="33" t="n">
        <f aca="false">IF(E14="","",E14-C14)</f>
        <v>7.75</v>
      </c>
      <c r="J14" s="33" t="n">
        <f aca="false">IF(F14="","",F14-C14)</f>
        <v>7.25</v>
      </c>
      <c r="K14" s="33" t="n">
        <f aca="false">IF(G14="","",G14-C14)</f>
        <v>7.94103851321999</v>
      </c>
      <c r="L14" s="33" t="n">
        <f aca="false">IF(H14="","",ABS(H14))</f>
        <v>8</v>
      </c>
      <c r="M14" s="33" t="n">
        <f aca="false">IF(I14="","",ABS(I14))</f>
        <v>7.75</v>
      </c>
      <c r="N14" s="33" t="n">
        <f aca="false">IF(J14="","",ABS(J14))</f>
        <v>7.25</v>
      </c>
      <c r="O14" s="33" t="n">
        <f aca="false">IF(K14="","",ABS(K14))</f>
        <v>7.94103851321999</v>
      </c>
      <c r="P14" s="34" t="str">
        <f aca="false">IF(B14&gt;=Eval_Start_Week,"YES","")</f>
        <v/>
      </c>
      <c r="Q14" s="34" t="str">
        <f aca="false">IF(AND(B14&gt;=Cal_Start_Week,B14&lt;=Cal_End_Week),"YES","")</f>
        <v/>
      </c>
    </row>
    <row r="15" customFormat="false" ht="15" hidden="false" customHeight="false" outlineLevel="0" collapsed="false">
      <c r="A15" s="31" t="str">
        <f aca="false">Demand_History!C15</f>
        <v>KIT-001</v>
      </c>
      <c r="B15" s="31" t="n">
        <f aca="false">Demand_History!A15</f>
        <v>14</v>
      </c>
      <c r="C15" s="32" t="n">
        <f aca="false">Demand_History!D15</f>
        <v>60</v>
      </c>
      <c r="D15" s="33" t="n">
        <f aca="false">IF(B15&gt;=2,C14,"")</f>
        <v>53</v>
      </c>
      <c r="E15" s="33" t="n">
        <f aca="false">IF(B15&gt;=5,AVERAGE(C11:C14),"")</f>
        <v>60.25</v>
      </c>
      <c r="F15" s="33" t="n">
        <f aca="false">IF(B15&gt;=9,AVERAGE(C7:C14),"")</f>
        <v>60.375</v>
      </c>
      <c r="G15" s="33" t="n">
        <f aca="false">IF(B15=1,"",IF(B15=2,C14,SES_Alpha*C14+(1-SES_Alpha)*G14))</f>
        <v>58.558726959254</v>
      </c>
      <c r="H15" s="33" t="n">
        <f aca="false">IF(D15="","",D15-C15)</f>
        <v>-7</v>
      </c>
      <c r="I15" s="33" t="n">
        <f aca="false">IF(E15="","",E15-C15)</f>
        <v>0.25</v>
      </c>
      <c r="J15" s="33" t="n">
        <f aca="false">IF(F15="","",F15-C15)</f>
        <v>0.375</v>
      </c>
      <c r="K15" s="33" t="n">
        <f aca="false">IF(G15="","",G15-C15)</f>
        <v>-1.44127304074601</v>
      </c>
      <c r="L15" s="33" t="n">
        <f aca="false">IF(H15="","",ABS(H15))</f>
        <v>7</v>
      </c>
      <c r="M15" s="33" t="n">
        <f aca="false">IF(I15="","",ABS(I15))</f>
        <v>0.25</v>
      </c>
      <c r="N15" s="33" t="n">
        <f aca="false">IF(J15="","",ABS(J15))</f>
        <v>0.375</v>
      </c>
      <c r="O15" s="33" t="n">
        <f aca="false">IF(K15="","",ABS(K15))</f>
        <v>1.44127304074601</v>
      </c>
      <c r="P15" s="34" t="str">
        <f aca="false">IF(B15&gt;=Eval_Start_Week,"YES","")</f>
        <v/>
      </c>
      <c r="Q15" s="34" t="str">
        <f aca="false">IF(AND(B15&gt;=Cal_Start_Week,B15&lt;=Cal_End_Week),"YES","")</f>
        <v/>
      </c>
    </row>
    <row r="16" customFormat="false" ht="15" hidden="false" customHeight="false" outlineLevel="0" collapsed="false">
      <c r="A16" s="31" t="str">
        <f aca="false">Demand_History!C16</f>
        <v>KIT-001</v>
      </c>
      <c r="B16" s="31" t="n">
        <f aca="false">Demand_History!A16</f>
        <v>15</v>
      </c>
      <c r="C16" s="32" t="n">
        <f aca="false">Demand_History!D16</f>
        <v>65</v>
      </c>
      <c r="D16" s="33" t="n">
        <f aca="false">IF(B16&gt;=2,C15,"")</f>
        <v>60</v>
      </c>
      <c r="E16" s="33" t="n">
        <f aca="false">IF(B16&gt;=5,AVERAGE(C12:C15),"")</f>
        <v>59.25</v>
      </c>
      <c r="F16" s="33" t="n">
        <f aca="false">IF(B16&gt;=9,AVERAGE(C8:C15),"")</f>
        <v>60.375</v>
      </c>
      <c r="G16" s="33" t="n">
        <f aca="false">IF(B16=1,"",IF(B16=2,C15,SES_Alpha*C15+(1-SES_Alpha)*G15))</f>
        <v>58.9911088714778</v>
      </c>
      <c r="H16" s="33" t="n">
        <f aca="false">IF(D16="","",D16-C16)</f>
        <v>-5</v>
      </c>
      <c r="I16" s="33" t="n">
        <f aca="false">IF(E16="","",E16-C16)</f>
        <v>-5.75</v>
      </c>
      <c r="J16" s="33" t="n">
        <f aca="false">IF(F16="","",F16-C16)</f>
        <v>-4.625</v>
      </c>
      <c r="K16" s="33" t="n">
        <f aca="false">IF(G16="","",G16-C16)</f>
        <v>-6.00889112852221</v>
      </c>
      <c r="L16" s="33" t="n">
        <f aca="false">IF(H16="","",ABS(H16))</f>
        <v>5</v>
      </c>
      <c r="M16" s="33" t="n">
        <f aca="false">IF(I16="","",ABS(I16))</f>
        <v>5.75</v>
      </c>
      <c r="N16" s="33" t="n">
        <f aca="false">IF(J16="","",ABS(J16))</f>
        <v>4.625</v>
      </c>
      <c r="O16" s="33" t="n">
        <f aca="false">IF(K16="","",ABS(K16))</f>
        <v>6.00889112852221</v>
      </c>
      <c r="P16" s="34" t="str">
        <f aca="false">IF(B16&gt;=Eval_Start_Week,"YES","")</f>
        <v/>
      </c>
      <c r="Q16" s="34" t="str">
        <f aca="false">IF(AND(B16&gt;=Cal_Start_Week,B16&lt;=Cal_End_Week),"YES","")</f>
        <v/>
      </c>
    </row>
    <row r="17" customFormat="false" ht="15" hidden="false" customHeight="false" outlineLevel="0" collapsed="false">
      <c r="A17" s="31" t="str">
        <f aca="false">Demand_History!C17</f>
        <v>KIT-001</v>
      </c>
      <c r="B17" s="31" t="n">
        <f aca="false">Demand_History!A17</f>
        <v>16</v>
      </c>
      <c r="C17" s="32" t="n">
        <f aca="false">Demand_History!D17</f>
        <v>49</v>
      </c>
      <c r="D17" s="33" t="n">
        <f aca="false">IF(B17&gt;=2,C16,"")</f>
        <v>65</v>
      </c>
      <c r="E17" s="33" t="n">
        <f aca="false">IF(B17&gt;=5,AVERAGE(C13:C16),"")</f>
        <v>59.75</v>
      </c>
      <c r="F17" s="33" t="n">
        <f aca="false">IF(B17&gt;=9,AVERAGE(C9:C16),"")</f>
        <v>59.625</v>
      </c>
      <c r="G17" s="33" t="n">
        <f aca="false">IF(B17=1,"",IF(B17=2,C16,SES_Alpha*C16+(1-SES_Alpha)*G16))</f>
        <v>60.7937762100345</v>
      </c>
      <c r="H17" s="33" t="n">
        <f aca="false">IF(D17="","",D17-C17)</f>
        <v>16</v>
      </c>
      <c r="I17" s="33" t="n">
        <f aca="false">IF(E17="","",E17-C17)</f>
        <v>10.75</v>
      </c>
      <c r="J17" s="33" t="n">
        <f aca="false">IF(F17="","",F17-C17)</f>
        <v>10.625</v>
      </c>
      <c r="K17" s="33" t="n">
        <f aca="false">IF(G17="","",G17-C17)</f>
        <v>11.7937762100345</v>
      </c>
      <c r="L17" s="33" t="n">
        <f aca="false">IF(H17="","",ABS(H17))</f>
        <v>16</v>
      </c>
      <c r="M17" s="33" t="n">
        <f aca="false">IF(I17="","",ABS(I17))</f>
        <v>10.75</v>
      </c>
      <c r="N17" s="33" t="n">
        <f aca="false">IF(J17="","",ABS(J17))</f>
        <v>10.625</v>
      </c>
      <c r="O17" s="33" t="n">
        <f aca="false">IF(K17="","",ABS(K17))</f>
        <v>11.7937762100345</v>
      </c>
      <c r="P17" s="34" t="str">
        <f aca="false">IF(B17&gt;=Eval_Start_Week,"YES","")</f>
        <v/>
      </c>
      <c r="Q17" s="34" t="str">
        <f aca="false">IF(AND(B17&gt;=Cal_Start_Week,B17&lt;=Cal_End_Week),"YES","")</f>
        <v/>
      </c>
    </row>
    <row r="18" customFormat="false" ht="15" hidden="false" customHeight="false" outlineLevel="0" collapsed="false">
      <c r="A18" s="31" t="str">
        <f aca="false">Demand_History!C18</f>
        <v>KIT-001</v>
      </c>
      <c r="B18" s="31" t="n">
        <f aca="false">Demand_History!A18</f>
        <v>17</v>
      </c>
      <c r="C18" s="32" t="n">
        <f aca="false">Demand_History!D18</f>
        <v>56</v>
      </c>
      <c r="D18" s="33" t="n">
        <f aca="false">IF(B18&gt;=2,C17,"")</f>
        <v>49</v>
      </c>
      <c r="E18" s="33" t="n">
        <f aca="false">IF(B18&gt;=5,AVERAGE(C14:C17),"")</f>
        <v>56.75</v>
      </c>
      <c r="F18" s="33" t="n">
        <f aca="false">IF(B18&gt;=9,AVERAGE(C10:C17),"")</f>
        <v>58.75</v>
      </c>
      <c r="G18" s="33" t="n">
        <f aca="false">IF(B18=1,"",IF(B18=2,C17,SES_Alpha*C17+(1-SES_Alpha)*G17))</f>
        <v>57.2556433470241</v>
      </c>
      <c r="H18" s="33" t="n">
        <f aca="false">IF(D18="","",D18-C18)</f>
        <v>-7</v>
      </c>
      <c r="I18" s="33" t="n">
        <f aca="false">IF(E18="","",E18-C18)</f>
        <v>0.75</v>
      </c>
      <c r="J18" s="33" t="n">
        <f aca="false">IF(F18="","",F18-C18)</f>
        <v>2.75</v>
      </c>
      <c r="K18" s="33" t="n">
        <f aca="false">IF(G18="","",G18-C18)</f>
        <v>1.25564334702412</v>
      </c>
      <c r="L18" s="33" t="n">
        <f aca="false">IF(H18="","",ABS(H18))</f>
        <v>7</v>
      </c>
      <c r="M18" s="33" t="n">
        <f aca="false">IF(I18="","",ABS(I18))</f>
        <v>0.75</v>
      </c>
      <c r="N18" s="33" t="n">
        <f aca="false">IF(J18="","",ABS(J18))</f>
        <v>2.75</v>
      </c>
      <c r="O18" s="33" t="n">
        <f aca="false">IF(K18="","",ABS(K18))</f>
        <v>1.25564334702412</v>
      </c>
      <c r="P18" s="34" t="str">
        <f aca="false">IF(B18&gt;=Eval_Start_Week,"YES","")</f>
        <v/>
      </c>
      <c r="Q18" s="34" t="str">
        <f aca="false">IF(AND(B18&gt;=Cal_Start_Week,B18&lt;=Cal_End_Week),"YES","")</f>
        <v/>
      </c>
    </row>
    <row r="19" customFormat="false" ht="15" hidden="false" customHeight="false" outlineLevel="0" collapsed="false">
      <c r="A19" s="31" t="str">
        <f aca="false">Demand_History!C19</f>
        <v>KIT-001</v>
      </c>
      <c r="B19" s="31" t="n">
        <f aca="false">Demand_History!A19</f>
        <v>18</v>
      </c>
      <c r="C19" s="32" t="n">
        <f aca="false">Demand_History!D19</f>
        <v>45</v>
      </c>
      <c r="D19" s="33" t="n">
        <f aca="false">IF(B19&gt;=2,C18,"")</f>
        <v>56</v>
      </c>
      <c r="E19" s="33" t="n">
        <f aca="false">IF(B19&gt;=5,AVERAGE(C15:C18),"")</f>
        <v>57.5</v>
      </c>
      <c r="F19" s="33" t="n">
        <f aca="false">IF(B19&gt;=9,AVERAGE(C11:C18),"")</f>
        <v>58.875</v>
      </c>
      <c r="G19" s="33" t="n">
        <f aca="false">IF(B19=1,"",IF(B19=2,C18,SES_Alpha*C18+(1-SES_Alpha)*G18))</f>
        <v>56.8789503429169</v>
      </c>
      <c r="H19" s="33" t="n">
        <f aca="false">IF(D19="","",D19-C19)</f>
        <v>11</v>
      </c>
      <c r="I19" s="33" t="n">
        <f aca="false">IF(E19="","",E19-C19)</f>
        <v>12.5</v>
      </c>
      <c r="J19" s="33" t="n">
        <f aca="false">IF(F19="","",F19-C19)</f>
        <v>13.875</v>
      </c>
      <c r="K19" s="33" t="n">
        <f aca="false">IF(G19="","",G19-C19)</f>
        <v>11.8789503429169</v>
      </c>
      <c r="L19" s="33" t="n">
        <f aca="false">IF(H19="","",ABS(H19))</f>
        <v>11</v>
      </c>
      <c r="M19" s="33" t="n">
        <f aca="false">IF(I19="","",ABS(I19))</f>
        <v>12.5</v>
      </c>
      <c r="N19" s="33" t="n">
        <f aca="false">IF(J19="","",ABS(J19))</f>
        <v>13.875</v>
      </c>
      <c r="O19" s="33" t="n">
        <f aca="false">IF(K19="","",ABS(K19))</f>
        <v>11.8789503429169</v>
      </c>
      <c r="P19" s="34" t="str">
        <f aca="false">IF(B19&gt;=Eval_Start_Week,"YES","")</f>
        <v/>
      </c>
      <c r="Q19" s="34" t="str">
        <f aca="false">IF(AND(B19&gt;=Cal_Start_Week,B19&lt;=Cal_End_Week),"YES","")</f>
        <v/>
      </c>
    </row>
    <row r="20" customFormat="false" ht="15" hidden="false" customHeight="false" outlineLevel="0" collapsed="false">
      <c r="A20" s="31" t="str">
        <f aca="false">Demand_History!C20</f>
        <v>KIT-001</v>
      </c>
      <c r="B20" s="31" t="n">
        <f aca="false">Demand_History!A20</f>
        <v>19</v>
      </c>
      <c r="C20" s="32" t="n">
        <f aca="false">Demand_History!D20</f>
        <v>50</v>
      </c>
      <c r="D20" s="33" t="n">
        <f aca="false">IF(B20&gt;=2,C19,"")</f>
        <v>45</v>
      </c>
      <c r="E20" s="33" t="n">
        <f aca="false">IF(B20&gt;=5,AVERAGE(C16:C19),"")</f>
        <v>53.75</v>
      </c>
      <c r="F20" s="33" t="n">
        <f aca="false">IF(B20&gt;=9,AVERAGE(C12:C19),"")</f>
        <v>56.5</v>
      </c>
      <c r="G20" s="33" t="n">
        <f aca="false">IF(B20=1,"",IF(B20=2,C19,SES_Alpha*C19+(1-SES_Alpha)*G19))</f>
        <v>53.3152652400418</v>
      </c>
      <c r="H20" s="33" t="n">
        <f aca="false">IF(D20="","",D20-C20)</f>
        <v>-5</v>
      </c>
      <c r="I20" s="33" t="n">
        <f aca="false">IF(E20="","",E20-C20)</f>
        <v>3.75</v>
      </c>
      <c r="J20" s="33" t="n">
        <f aca="false">IF(F20="","",F20-C20)</f>
        <v>6.5</v>
      </c>
      <c r="K20" s="33" t="n">
        <f aca="false">IF(G20="","",G20-C20)</f>
        <v>3.31526524004181</v>
      </c>
      <c r="L20" s="33" t="n">
        <f aca="false">IF(H20="","",ABS(H20))</f>
        <v>5</v>
      </c>
      <c r="M20" s="33" t="n">
        <f aca="false">IF(I20="","",ABS(I20))</f>
        <v>3.75</v>
      </c>
      <c r="N20" s="33" t="n">
        <f aca="false">IF(J20="","",ABS(J20))</f>
        <v>6.5</v>
      </c>
      <c r="O20" s="33" t="n">
        <f aca="false">IF(K20="","",ABS(K20))</f>
        <v>3.31526524004181</v>
      </c>
      <c r="P20" s="34" t="str">
        <f aca="false">IF(B20&gt;=Eval_Start_Week,"YES","")</f>
        <v/>
      </c>
      <c r="Q20" s="34" t="str">
        <f aca="false">IF(AND(B20&gt;=Cal_Start_Week,B20&lt;=Cal_End_Week),"YES","")</f>
        <v/>
      </c>
    </row>
    <row r="21" customFormat="false" ht="15" hidden="false" customHeight="false" outlineLevel="0" collapsed="false">
      <c r="A21" s="31" t="str">
        <f aca="false">Demand_History!C21</f>
        <v>KIT-001</v>
      </c>
      <c r="B21" s="31" t="n">
        <f aca="false">Demand_History!A21</f>
        <v>20</v>
      </c>
      <c r="C21" s="32" t="n">
        <f aca="false">Demand_History!D21</f>
        <v>45</v>
      </c>
      <c r="D21" s="33" t="n">
        <f aca="false">IF(B21&gt;=2,C20,"")</f>
        <v>50</v>
      </c>
      <c r="E21" s="33" t="n">
        <f aca="false">IF(B21&gt;=5,AVERAGE(C17:C20),"")</f>
        <v>50</v>
      </c>
      <c r="F21" s="33" t="n">
        <f aca="false">IF(B21&gt;=9,AVERAGE(C13:C20),"")</f>
        <v>54.875</v>
      </c>
      <c r="G21" s="33" t="n">
        <f aca="false">IF(B21=1,"",IF(B21=2,C20,SES_Alpha*C20+(1-SES_Alpha)*G20))</f>
        <v>52.3206856680293</v>
      </c>
      <c r="H21" s="33" t="n">
        <f aca="false">IF(D21="","",D21-C21)</f>
        <v>5</v>
      </c>
      <c r="I21" s="33" t="n">
        <f aca="false">IF(E21="","",E21-C21)</f>
        <v>5</v>
      </c>
      <c r="J21" s="33" t="n">
        <f aca="false">IF(F21="","",F21-C21)</f>
        <v>9.875</v>
      </c>
      <c r="K21" s="33" t="n">
        <f aca="false">IF(G21="","",G21-C21)</f>
        <v>7.32068566802926</v>
      </c>
      <c r="L21" s="33" t="n">
        <f aca="false">IF(H21="","",ABS(H21))</f>
        <v>5</v>
      </c>
      <c r="M21" s="33" t="n">
        <f aca="false">IF(I21="","",ABS(I21))</f>
        <v>5</v>
      </c>
      <c r="N21" s="33" t="n">
        <f aca="false">IF(J21="","",ABS(J21))</f>
        <v>9.875</v>
      </c>
      <c r="O21" s="33" t="n">
        <f aca="false">IF(K21="","",ABS(K21))</f>
        <v>7.32068566802926</v>
      </c>
      <c r="P21" s="34" t="str">
        <f aca="false">IF(B21&gt;=Eval_Start_Week,"YES","")</f>
        <v/>
      </c>
      <c r="Q21" s="34" t="str">
        <f aca="false">IF(AND(B21&gt;=Cal_Start_Week,B21&lt;=Cal_End_Week),"YES","")</f>
        <v/>
      </c>
    </row>
    <row r="22" customFormat="false" ht="15" hidden="false" customHeight="false" outlineLevel="0" collapsed="false">
      <c r="A22" s="31" t="str">
        <f aca="false">Demand_History!C22</f>
        <v>KIT-001</v>
      </c>
      <c r="B22" s="31" t="n">
        <f aca="false">Demand_History!A22</f>
        <v>21</v>
      </c>
      <c r="C22" s="32" t="n">
        <f aca="false">Demand_History!D22</f>
        <v>58</v>
      </c>
      <c r="D22" s="33" t="n">
        <f aca="false">IF(B22&gt;=2,C21,"")</f>
        <v>45</v>
      </c>
      <c r="E22" s="33" t="n">
        <f aca="false">IF(B22&gt;=5,AVERAGE(C18:C21),"")</f>
        <v>49</v>
      </c>
      <c r="F22" s="33" t="n">
        <f aca="false">IF(B22&gt;=9,AVERAGE(C14:C21),"")</f>
        <v>52.875</v>
      </c>
      <c r="G22" s="33" t="n">
        <f aca="false">IF(B22=1,"",IF(B22=2,C21,SES_Alpha*C21+(1-SES_Alpha)*G21))</f>
        <v>50.1244799676205</v>
      </c>
      <c r="H22" s="33" t="n">
        <f aca="false">IF(D22="","",D22-C22)</f>
        <v>-13</v>
      </c>
      <c r="I22" s="33" t="n">
        <f aca="false">IF(E22="","",E22-C22)</f>
        <v>-9</v>
      </c>
      <c r="J22" s="33" t="n">
        <f aca="false">IF(F22="","",F22-C22)</f>
        <v>-5.125</v>
      </c>
      <c r="K22" s="33" t="n">
        <f aca="false">IF(G22="","",G22-C22)</f>
        <v>-7.87552003237952</v>
      </c>
      <c r="L22" s="33" t="n">
        <f aca="false">IF(H22="","",ABS(H22))</f>
        <v>13</v>
      </c>
      <c r="M22" s="33" t="n">
        <f aca="false">IF(I22="","",ABS(I22))</f>
        <v>9</v>
      </c>
      <c r="N22" s="33" t="n">
        <f aca="false">IF(J22="","",ABS(J22))</f>
        <v>5.125</v>
      </c>
      <c r="O22" s="33" t="n">
        <f aca="false">IF(K22="","",ABS(K22))</f>
        <v>7.87552003237952</v>
      </c>
      <c r="P22" s="34" t="str">
        <f aca="false">IF(B22&gt;=Eval_Start_Week,"YES","")</f>
        <v/>
      </c>
      <c r="Q22" s="34" t="str">
        <f aca="false">IF(AND(B22&gt;=Cal_Start_Week,B22&lt;=Cal_End_Week),"YES","")</f>
        <v/>
      </c>
    </row>
    <row r="23" customFormat="false" ht="15" hidden="false" customHeight="false" outlineLevel="0" collapsed="false">
      <c r="A23" s="31" t="str">
        <f aca="false">Demand_History!C23</f>
        <v>KIT-001</v>
      </c>
      <c r="B23" s="31" t="n">
        <f aca="false">Demand_History!A23</f>
        <v>22</v>
      </c>
      <c r="C23" s="32" t="n">
        <f aca="false">Demand_History!D23</f>
        <v>50</v>
      </c>
      <c r="D23" s="33" t="n">
        <f aca="false">IF(B23&gt;=2,C22,"")</f>
        <v>58</v>
      </c>
      <c r="E23" s="33" t="n">
        <f aca="false">IF(B23&gt;=5,AVERAGE(C19:C22),"")</f>
        <v>49.5</v>
      </c>
      <c r="F23" s="33" t="n">
        <f aca="false">IF(B23&gt;=9,AVERAGE(C15:C22),"")</f>
        <v>53.5</v>
      </c>
      <c r="G23" s="33" t="n">
        <f aca="false">IF(B23=1,"",IF(B23=2,C22,SES_Alpha*C22+(1-SES_Alpha)*G22))</f>
        <v>52.4871359773343</v>
      </c>
      <c r="H23" s="33" t="n">
        <f aca="false">IF(D23="","",D23-C23)</f>
        <v>8</v>
      </c>
      <c r="I23" s="33" t="n">
        <f aca="false">IF(E23="","",E23-C23)</f>
        <v>-0.5</v>
      </c>
      <c r="J23" s="33" t="n">
        <f aca="false">IF(F23="","",F23-C23)</f>
        <v>3.5</v>
      </c>
      <c r="K23" s="33" t="n">
        <f aca="false">IF(G23="","",G23-C23)</f>
        <v>2.48713597733433</v>
      </c>
      <c r="L23" s="33" t="n">
        <f aca="false">IF(H23="","",ABS(H23))</f>
        <v>8</v>
      </c>
      <c r="M23" s="33" t="n">
        <f aca="false">IF(I23="","",ABS(I23))</f>
        <v>0.5</v>
      </c>
      <c r="N23" s="33" t="n">
        <f aca="false">IF(J23="","",ABS(J23))</f>
        <v>3.5</v>
      </c>
      <c r="O23" s="33" t="n">
        <f aca="false">IF(K23="","",ABS(K23))</f>
        <v>2.48713597733433</v>
      </c>
      <c r="P23" s="34" t="str">
        <f aca="false">IF(B23&gt;=Eval_Start_Week,"YES","")</f>
        <v/>
      </c>
      <c r="Q23" s="34" t="str">
        <f aca="false">IF(AND(B23&gt;=Cal_Start_Week,B23&lt;=Cal_End_Week),"YES","")</f>
        <v/>
      </c>
    </row>
    <row r="24" customFormat="false" ht="15" hidden="false" customHeight="false" outlineLevel="0" collapsed="false">
      <c r="A24" s="31" t="str">
        <f aca="false">Demand_History!C24</f>
        <v>KIT-001</v>
      </c>
      <c r="B24" s="31" t="n">
        <f aca="false">Demand_History!A24</f>
        <v>23</v>
      </c>
      <c r="C24" s="32" t="n">
        <f aca="false">Demand_History!D24</f>
        <v>62</v>
      </c>
      <c r="D24" s="33" t="n">
        <f aca="false">IF(B24&gt;=2,C23,"")</f>
        <v>50</v>
      </c>
      <c r="E24" s="33" t="n">
        <f aca="false">IF(B24&gt;=5,AVERAGE(C20:C23),"")</f>
        <v>50.75</v>
      </c>
      <c r="F24" s="33" t="n">
        <f aca="false">IF(B24&gt;=9,AVERAGE(C16:C23),"")</f>
        <v>52.25</v>
      </c>
      <c r="G24" s="33" t="n">
        <f aca="false">IF(B24=1,"",IF(B24=2,C23,SES_Alpha*C23+(1-SES_Alpha)*G23))</f>
        <v>51.740995184134</v>
      </c>
      <c r="H24" s="33" t="n">
        <f aca="false">IF(D24="","",D24-C24)</f>
        <v>-12</v>
      </c>
      <c r="I24" s="33" t="n">
        <f aca="false">IF(E24="","",E24-C24)</f>
        <v>-11.25</v>
      </c>
      <c r="J24" s="33" t="n">
        <f aca="false">IF(F24="","",F24-C24)</f>
        <v>-9.75</v>
      </c>
      <c r="K24" s="33" t="n">
        <f aca="false">IF(G24="","",G24-C24)</f>
        <v>-10.259004815866</v>
      </c>
      <c r="L24" s="33" t="n">
        <f aca="false">IF(H24="","",ABS(H24))</f>
        <v>12</v>
      </c>
      <c r="M24" s="33" t="n">
        <f aca="false">IF(I24="","",ABS(I24))</f>
        <v>11.25</v>
      </c>
      <c r="N24" s="33" t="n">
        <f aca="false">IF(J24="","",ABS(J24))</f>
        <v>9.75</v>
      </c>
      <c r="O24" s="33" t="n">
        <f aca="false">IF(K24="","",ABS(K24))</f>
        <v>10.259004815866</v>
      </c>
      <c r="P24" s="34" t="str">
        <f aca="false">IF(B24&gt;=Eval_Start_Week,"YES","")</f>
        <v/>
      </c>
      <c r="Q24" s="34" t="str">
        <f aca="false">IF(AND(B24&gt;=Cal_Start_Week,B24&lt;=Cal_End_Week),"YES","")</f>
        <v/>
      </c>
    </row>
    <row r="25" customFormat="false" ht="15" hidden="false" customHeight="false" outlineLevel="0" collapsed="false">
      <c r="A25" s="31" t="str">
        <f aca="false">Demand_History!C25</f>
        <v>KIT-001</v>
      </c>
      <c r="B25" s="31" t="n">
        <f aca="false">Demand_History!A25</f>
        <v>24</v>
      </c>
      <c r="C25" s="32" t="n">
        <f aca="false">Demand_History!D25</f>
        <v>61</v>
      </c>
      <c r="D25" s="33" t="n">
        <f aca="false">IF(B25&gt;=2,C24,"")</f>
        <v>62</v>
      </c>
      <c r="E25" s="33" t="n">
        <f aca="false">IF(B25&gt;=5,AVERAGE(C21:C24),"")</f>
        <v>53.75</v>
      </c>
      <c r="F25" s="33" t="n">
        <f aca="false">IF(B25&gt;=9,AVERAGE(C17:C24),"")</f>
        <v>51.875</v>
      </c>
      <c r="G25" s="33" t="n">
        <f aca="false">IF(B25=1,"",IF(B25=2,C24,SES_Alpha*C24+(1-SES_Alpha)*G24))</f>
        <v>54.8186966288938</v>
      </c>
      <c r="H25" s="33" t="n">
        <f aca="false">IF(D25="","",D25-C25)</f>
        <v>1</v>
      </c>
      <c r="I25" s="33" t="n">
        <f aca="false">IF(E25="","",E25-C25)</f>
        <v>-7.25</v>
      </c>
      <c r="J25" s="33" t="n">
        <f aca="false">IF(F25="","",F25-C25)</f>
        <v>-9.125</v>
      </c>
      <c r="K25" s="33" t="n">
        <f aca="false">IF(G25="","",G25-C25)</f>
        <v>-6.18130337110618</v>
      </c>
      <c r="L25" s="33" t="n">
        <f aca="false">IF(H25="","",ABS(H25))</f>
        <v>1</v>
      </c>
      <c r="M25" s="33" t="n">
        <f aca="false">IF(I25="","",ABS(I25))</f>
        <v>7.25</v>
      </c>
      <c r="N25" s="33" t="n">
        <f aca="false">IF(J25="","",ABS(J25))</f>
        <v>9.125</v>
      </c>
      <c r="O25" s="33" t="n">
        <f aca="false">IF(K25="","",ABS(K25))</f>
        <v>6.18130337110618</v>
      </c>
      <c r="P25" s="34" t="str">
        <f aca="false">IF(B25&gt;=Eval_Start_Week,"YES","")</f>
        <v/>
      </c>
      <c r="Q25" s="34" t="str">
        <f aca="false">IF(AND(B25&gt;=Cal_Start_Week,B25&lt;=Cal_End_Week),"YES","")</f>
        <v/>
      </c>
    </row>
    <row r="26" customFormat="false" ht="15" hidden="false" customHeight="false" outlineLevel="0" collapsed="false">
      <c r="A26" s="31" t="str">
        <f aca="false">Demand_History!C26</f>
        <v>KIT-001</v>
      </c>
      <c r="B26" s="31" t="n">
        <f aca="false">Demand_History!A26</f>
        <v>25</v>
      </c>
      <c r="C26" s="32" t="n">
        <f aca="false">Demand_History!D26</f>
        <v>59</v>
      </c>
      <c r="D26" s="33" t="n">
        <f aca="false">IF(B26&gt;=2,C25,"")</f>
        <v>61</v>
      </c>
      <c r="E26" s="33" t="n">
        <f aca="false">IF(B26&gt;=5,AVERAGE(C22:C25),"")</f>
        <v>57.75</v>
      </c>
      <c r="F26" s="33" t="n">
        <f aca="false">IF(B26&gt;=9,AVERAGE(C18:C25),"")</f>
        <v>53.375</v>
      </c>
      <c r="G26" s="33" t="n">
        <f aca="false">IF(B26=1,"",IF(B26=2,C25,SES_Alpha*C25+(1-SES_Alpha)*G25))</f>
        <v>56.6730876402257</v>
      </c>
      <c r="H26" s="33" t="n">
        <f aca="false">IF(D26="","",D26-C26)</f>
        <v>2</v>
      </c>
      <c r="I26" s="33" t="n">
        <f aca="false">IF(E26="","",E26-C26)</f>
        <v>-1.25</v>
      </c>
      <c r="J26" s="33" t="n">
        <f aca="false">IF(F26="","",F26-C26)</f>
        <v>-5.625</v>
      </c>
      <c r="K26" s="33" t="n">
        <f aca="false">IF(G26="","",G26-C26)</f>
        <v>-2.32691235977433</v>
      </c>
      <c r="L26" s="33" t="n">
        <f aca="false">IF(H26="","",ABS(H26))</f>
        <v>2</v>
      </c>
      <c r="M26" s="33" t="n">
        <f aca="false">IF(I26="","",ABS(I26))</f>
        <v>1.25</v>
      </c>
      <c r="N26" s="33" t="n">
        <f aca="false">IF(J26="","",ABS(J26))</f>
        <v>5.625</v>
      </c>
      <c r="O26" s="33" t="n">
        <f aca="false">IF(K26="","",ABS(K26))</f>
        <v>2.32691235977433</v>
      </c>
      <c r="P26" s="34" t="str">
        <f aca="false">IF(B26&gt;=Eval_Start_Week,"YES","")</f>
        <v/>
      </c>
      <c r="Q26" s="34" t="str">
        <f aca="false">IF(AND(B26&gt;=Cal_Start_Week,B26&lt;=Cal_End_Week),"YES","")</f>
        <v/>
      </c>
    </row>
    <row r="27" customFormat="false" ht="15" hidden="false" customHeight="false" outlineLevel="0" collapsed="false">
      <c r="A27" s="31" t="str">
        <f aca="false">Demand_History!C27</f>
        <v>KIT-001</v>
      </c>
      <c r="B27" s="31" t="n">
        <f aca="false">Demand_History!A27</f>
        <v>26</v>
      </c>
      <c r="C27" s="32" t="n">
        <f aca="false">Demand_History!D27</f>
        <v>40</v>
      </c>
      <c r="D27" s="33" t="n">
        <f aca="false">IF(B27&gt;=2,C26,"")</f>
        <v>59</v>
      </c>
      <c r="E27" s="33" t="n">
        <f aca="false">IF(B27&gt;=5,AVERAGE(C23:C26),"")</f>
        <v>58</v>
      </c>
      <c r="F27" s="33" t="n">
        <f aca="false">IF(B27&gt;=9,AVERAGE(C19:C26),"")</f>
        <v>53.75</v>
      </c>
      <c r="G27" s="33" t="n">
        <f aca="false">IF(B27=1,"",IF(B27=2,C26,SES_Alpha*C26+(1-SES_Alpha)*G26))</f>
        <v>57.371161348158</v>
      </c>
      <c r="H27" s="33" t="n">
        <f aca="false">IF(D27="","",D27-C27)</f>
        <v>19</v>
      </c>
      <c r="I27" s="33" t="n">
        <f aca="false">IF(E27="","",E27-C27)</f>
        <v>18</v>
      </c>
      <c r="J27" s="33" t="n">
        <f aca="false">IF(F27="","",F27-C27)</f>
        <v>13.75</v>
      </c>
      <c r="K27" s="33" t="n">
        <f aca="false">IF(G27="","",G27-C27)</f>
        <v>17.371161348158</v>
      </c>
      <c r="L27" s="33" t="n">
        <f aca="false">IF(H27="","",ABS(H27))</f>
        <v>19</v>
      </c>
      <c r="M27" s="33" t="n">
        <f aca="false">IF(I27="","",ABS(I27))</f>
        <v>18</v>
      </c>
      <c r="N27" s="33" t="n">
        <f aca="false">IF(J27="","",ABS(J27))</f>
        <v>13.75</v>
      </c>
      <c r="O27" s="33" t="n">
        <f aca="false">IF(K27="","",ABS(K27))</f>
        <v>17.371161348158</v>
      </c>
      <c r="P27" s="34" t="str">
        <f aca="false">IF(B27&gt;=Eval_Start_Week,"YES","")</f>
        <v/>
      </c>
      <c r="Q27" s="34" t="str">
        <f aca="false">IF(AND(B27&gt;=Cal_Start_Week,B27&lt;=Cal_End_Week),"YES","")</f>
        <v/>
      </c>
    </row>
    <row r="28" customFormat="false" ht="15" hidden="false" customHeight="false" outlineLevel="0" collapsed="false">
      <c r="A28" s="31" t="str">
        <f aca="false">Demand_History!C28</f>
        <v>KIT-001</v>
      </c>
      <c r="B28" s="31" t="n">
        <f aca="false">Demand_History!A28</f>
        <v>27</v>
      </c>
      <c r="C28" s="32" t="n">
        <f aca="false">Demand_History!D28</f>
        <v>56</v>
      </c>
      <c r="D28" s="33" t="n">
        <f aca="false">IF(B28&gt;=2,C27,"")</f>
        <v>40</v>
      </c>
      <c r="E28" s="33" t="n">
        <f aca="false">IF(B28&gt;=5,AVERAGE(C24:C27),"")</f>
        <v>55.5</v>
      </c>
      <c r="F28" s="33" t="n">
        <f aca="false">IF(B28&gt;=9,AVERAGE(C20:C27),"")</f>
        <v>53.125</v>
      </c>
      <c r="G28" s="33" t="n">
        <f aca="false">IF(B28=1,"",IF(B28=2,C27,SES_Alpha*C27+(1-SES_Alpha)*G27))</f>
        <v>52.1598129437106</v>
      </c>
      <c r="H28" s="33" t="n">
        <f aca="false">IF(D28="","",D28-C28)</f>
        <v>-16</v>
      </c>
      <c r="I28" s="33" t="n">
        <f aca="false">IF(E28="","",E28-C28)</f>
        <v>-0.5</v>
      </c>
      <c r="J28" s="33" t="n">
        <f aca="false">IF(F28="","",F28-C28)</f>
        <v>-2.875</v>
      </c>
      <c r="K28" s="33" t="n">
        <f aca="false">IF(G28="","",G28-C28)</f>
        <v>-3.84018705628942</v>
      </c>
      <c r="L28" s="33" t="n">
        <f aca="false">IF(H28="","",ABS(H28))</f>
        <v>16</v>
      </c>
      <c r="M28" s="33" t="n">
        <f aca="false">IF(I28="","",ABS(I28))</f>
        <v>0.5</v>
      </c>
      <c r="N28" s="33" t="n">
        <f aca="false">IF(J28="","",ABS(J28))</f>
        <v>2.875</v>
      </c>
      <c r="O28" s="33" t="n">
        <f aca="false">IF(K28="","",ABS(K28))</f>
        <v>3.84018705628942</v>
      </c>
      <c r="P28" s="34" t="str">
        <f aca="false">IF(B28&gt;=Eval_Start_Week,"YES","")</f>
        <v/>
      </c>
      <c r="Q28" s="34" t="str">
        <f aca="false">IF(AND(B28&gt;=Cal_Start_Week,B28&lt;=Cal_End_Week),"YES","")</f>
        <v/>
      </c>
    </row>
    <row r="29" customFormat="false" ht="15" hidden="false" customHeight="false" outlineLevel="0" collapsed="false">
      <c r="A29" s="31" t="str">
        <f aca="false">Demand_History!C29</f>
        <v>KIT-001</v>
      </c>
      <c r="B29" s="31" t="n">
        <f aca="false">Demand_History!A29</f>
        <v>28</v>
      </c>
      <c r="C29" s="32" t="n">
        <f aca="false">Demand_History!D29</f>
        <v>60</v>
      </c>
      <c r="D29" s="33" t="n">
        <f aca="false">IF(B29&gt;=2,C28,"")</f>
        <v>56</v>
      </c>
      <c r="E29" s="33" t="n">
        <f aca="false">IF(B29&gt;=5,AVERAGE(C25:C28),"")</f>
        <v>54</v>
      </c>
      <c r="F29" s="33" t="n">
        <f aca="false">IF(B29&gt;=9,AVERAGE(C21:C28),"")</f>
        <v>53.875</v>
      </c>
      <c r="G29" s="33" t="n">
        <f aca="false">IF(B29=1,"",IF(B29=2,C28,SES_Alpha*C28+(1-SES_Alpha)*G28))</f>
        <v>53.3118690605974</v>
      </c>
      <c r="H29" s="33" t="n">
        <f aca="false">IF(D29="","",D29-C29)</f>
        <v>-4</v>
      </c>
      <c r="I29" s="33" t="n">
        <f aca="false">IF(E29="","",E29-C29)</f>
        <v>-6</v>
      </c>
      <c r="J29" s="33" t="n">
        <f aca="false">IF(F29="","",F29-C29)</f>
        <v>-6.125</v>
      </c>
      <c r="K29" s="33" t="n">
        <f aca="false">IF(G29="","",G29-C29)</f>
        <v>-6.6881309394026</v>
      </c>
      <c r="L29" s="33" t="n">
        <f aca="false">IF(H29="","",ABS(H29))</f>
        <v>4</v>
      </c>
      <c r="M29" s="33" t="n">
        <f aca="false">IF(I29="","",ABS(I29))</f>
        <v>6</v>
      </c>
      <c r="N29" s="33" t="n">
        <f aca="false">IF(J29="","",ABS(J29))</f>
        <v>6.125</v>
      </c>
      <c r="O29" s="33" t="n">
        <f aca="false">IF(K29="","",ABS(K29))</f>
        <v>6.6881309394026</v>
      </c>
      <c r="P29" s="34" t="str">
        <f aca="false">IF(B29&gt;=Eval_Start_Week,"YES","")</f>
        <v/>
      </c>
      <c r="Q29" s="34" t="str">
        <f aca="false">IF(AND(B29&gt;=Cal_Start_Week,B29&lt;=Cal_End_Week),"YES","")</f>
        <v/>
      </c>
    </row>
    <row r="30" customFormat="false" ht="15" hidden="false" customHeight="false" outlineLevel="0" collapsed="false">
      <c r="A30" s="31" t="str">
        <f aca="false">Demand_History!C30</f>
        <v>KIT-001</v>
      </c>
      <c r="B30" s="31" t="n">
        <f aca="false">Demand_History!A30</f>
        <v>29</v>
      </c>
      <c r="C30" s="32" t="n">
        <f aca="false">Demand_History!D30</f>
        <v>61</v>
      </c>
      <c r="D30" s="33" t="n">
        <f aca="false">IF(B30&gt;=2,C29,"")</f>
        <v>60</v>
      </c>
      <c r="E30" s="33" t="n">
        <f aca="false">IF(B30&gt;=5,AVERAGE(C26:C29),"")</f>
        <v>53.75</v>
      </c>
      <c r="F30" s="33" t="n">
        <f aca="false">IF(B30&gt;=9,AVERAGE(C22:C29),"")</f>
        <v>55.75</v>
      </c>
      <c r="G30" s="33" t="n">
        <f aca="false">IF(B30=1,"",IF(B30=2,C29,SES_Alpha*C29+(1-SES_Alpha)*G29))</f>
        <v>55.3183083424182</v>
      </c>
      <c r="H30" s="33" t="n">
        <f aca="false">IF(D30="","",D30-C30)</f>
        <v>-1</v>
      </c>
      <c r="I30" s="33" t="n">
        <f aca="false">IF(E30="","",E30-C30)</f>
        <v>-7.25</v>
      </c>
      <c r="J30" s="33" t="n">
        <f aca="false">IF(F30="","",F30-C30)</f>
        <v>-5.25</v>
      </c>
      <c r="K30" s="33" t="n">
        <f aca="false">IF(G30="","",G30-C30)</f>
        <v>-5.68169165758182</v>
      </c>
      <c r="L30" s="33" t="n">
        <f aca="false">IF(H30="","",ABS(H30))</f>
        <v>1</v>
      </c>
      <c r="M30" s="33" t="n">
        <f aca="false">IF(I30="","",ABS(I30))</f>
        <v>7.25</v>
      </c>
      <c r="N30" s="33" t="n">
        <f aca="false">IF(J30="","",ABS(J30))</f>
        <v>5.25</v>
      </c>
      <c r="O30" s="33" t="n">
        <f aca="false">IF(K30="","",ABS(K30))</f>
        <v>5.68169165758182</v>
      </c>
      <c r="P30" s="34" t="str">
        <f aca="false">IF(B30&gt;=Eval_Start_Week,"YES","")</f>
        <v/>
      </c>
      <c r="Q30" s="34" t="str">
        <f aca="false">IF(AND(B30&gt;=Cal_Start_Week,B30&lt;=Cal_End_Week),"YES","")</f>
        <v/>
      </c>
    </row>
    <row r="31" customFormat="false" ht="15" hidden="false" customHeight="false" outlineLevel="0" collapsed="false">
      <c r="A31" s="31" t="str">
        <f aca="false">Demand_History!C31</f>
        <v>KIT-001</v>
      </c>
      <c r="B31" s="31" t="n">
        <f aca="false">Demand_History!A31</f>
        <v>30</v>
      </c>
      <c r="C31" s="32" t="n">
        <f aca="false">Demand_History!D31</f>
        <v>48</v>
      </c>
      <c r="D31" s="33" t="n">
        <f aca="false">IF(B31&gt;=2,C30,"")</f>
        <v>61</v>
      </c>
      <c r="E31" s="33" t="n">
        <f aca="false">IF(B31&gt;=5,AVERAGE(C27:C30),"")</f>
        <v>54.25</v>
      </c>
      <c r="F31" s="33" t="n">
        <f aca="false">IF(B31&gt;=9,AVERAGE(C23:C30),"")</f>
        <v>56.125</v>
      </c>
      <c r="G31" s="33" t="n">
        <f aca="false">IF(B31=1,"",IF(B31=2,C30,SES_Alpha*C30+(1-SES_Alpha)*G30))</f>
        <v>57.0228158396927</v>
      </c>
      <c r="H31" s="33" t="n">
        <f aca="false">IF(D31="","",D31-C31)</f>
        <v>13</v>
      </c>
      <c r="I31" s="33" t="n">
        <f aca="false">IF(E31="","",E31-C31)</f>
        <v>6.25</v>
      </c>
      <c r="J31" s="33" t="n">
        <f aca="false">IF(F31="","",F31-C31)</f>
        <v>8.125</v>
      </c>
      <c r="K31" s="33" t="n">
        <f aca="false">IF(G31="","",G31-C31)</f>
        <v>9.02281583969273</v>
      </c>
      <c r="L31" s="33" t="n">
        <f aca="false">IF(H31="","",ABS(H31))</f>
        <v>13</v>
      </c>
      <c r="M31" s="33" t="n">
        <f aca="false">IF(I31="","",ABS(I31))</f>
        <v>6.25</v>
      </c>
      <c r="N31" s="33" t="n">
        <f aca="false">IF(J31="","",ABS(J31))</f>
        <v>8.125</v>
      </c>
      <c r="O31" s="33" t="n">
        <f aca="false">IF(K31="","",ABS(K31))</f>
        <v>9.02281583969273</v>
      </c>
      <c r="P31" s="34" t="str">
        <f aca="false">IF(B31&gt;=Eval_Start_Week,"YES","")</f>
        <v/>
      </c>
      <c r="Q31" s="34" t="str">
        <f aca="false">IF(AND(B31&gt;=Cal_Start_Week,B31&lt;=Cal_End_Week),"YES","")</f>
        <v/>
      </c>
    </row>
    <row r="32" customFormat="false" ht="15" hidden="false" customHeight="false" outlineLevel="0" collapsed="false">
      <c r="A32" s="31" t="str">
        <f aca="false">Demand_History!C32</f>
        <v>KIT-001</v>
      </c>
      <c r="B32" s="31" t="n">
        <f aca="false">Demand_History!A32</f>
        <v>31</v>
      </c>
      <c r="C32" s="32" t="n">
        <f aca="false">Demand_History!D32</f>
        <v>56</v>
      </c>
      <c r="D32" s="33" t="n">
        <f aca="false">IF(B32&gt;=2,C31,"")</f>
        <v>48</v>
      </c>
      <c r="E32" s="33" t="n">
        <f aca="false">IF(B32&gt;=5,AVERAGE(C28:C31),"")</f>
        <v>56.25</v>
      </c>
      <c r="F32" s="33" t="n">
        <f aca="false">IF(B32&gt;=9,AVERAGE(C24:C31),"")</f>
        <v>55.875</v>
      </c>
      <c r="G32" s="33" t="n">
        <f aca="false">IF(B32=1,"",IF(B32=2,C31,SES_Alpha*C31+(1-SES_Alpha)*G31))</f>
        <v>54.3159710877849</v>
      </c>
      <c r="H32" s="33" t="n">
        <f aca="false">IF(D32="","",D32-C32)</f>
        <v>-8</v>
      </c>
      <c r="I32" s="33" t="n">
        <f aca="false">IF(E32="","",E32-C32)</f>
        <v>0.25</v>
      </c>
      <c r="J32" s="33" t="n">
        <f aca="false">IF(F32="","",F32-C32)</f>
        <v>-0.125</v>
      </c>
      <c r="K32" s="33" t="n">
        <f aca="false">IF(G32="","",G32-C32)</f>
        <v>-1.6840289122151</v>
      </c>
      <c r="L32" s="33" t="n">
        <f aca="false">IF(H32="","",ABS(H32))</f>
        <v>8</v>
      </c>
      <c r="M32" s="33" t="n">
        <f aca="false">IF(I32="","",ABS(I32))</f>
        <v>0.25</v>
      </c>
      <c r="N32" s="33" t="n">
        <f aca="false">IF(J32="","",ABS(J32))</f>
        <v>0.125</v>
      </c>
      <c r="O32" s="33" t="n">
        <f aca="false">IF(K32="","",ABS(K32))</f>
        <v>1.6840289122151</v>
      </c>
      <c r="P32" s="34" t="str">
        <f aca="false">IF(B32&gt;=Eval_Start_Week,"YES","")</f>
        <v/>
      </c>
      <c r="Q32" s="34" t="str">
        <f aca="false">IF(AND(B32&gt;=Cal_Start_Week,B32&lt;=Cal_End_Week),"YES","")</f>
        <v/>
      </c>
    </row>
    <row r="33" customFormat="false" ht="15" hidden="false" customHeight="false" outlineLevel="0" collapsed="false">
      <c r="A33" s="31" t="str">
        <f aca="false">Demand_History!C33</f>
        <v>KIT-001</v>
      </c>
      <c r="B33" s="31" t="n">
        <f aca="false">Demand_History!A33</f>
        <v>32</v>
      </c>
      <c r="C33" s="32" t="n">
        <f aca="false">Demand_History!D33</f>
        <v>52</v>
      </c>
      <c r="D33" s="33" t="n">
        <f aca="false">IF(B33&gt;=2,C32,"")</f>
        <v>56</v>
      </c>
      <c r="E33" s="33" t="n">
        <f aca="false">IF(B33&gt;=5,AVERAGE(C29:C32),"")</f>
        <v>56.25</v>
      </c>
      <c r="F33" s="33" t="n">
        <f aca="false">IF(B33&gt;=9,AVERAGE(C25:C32),"")</f>
        <v>55.125</v>
      </c>
      <c r="G33" s="33" t="n">
        <f aca="false">IF(B33=1,"",IF(B33=2,C32,SES_Alpha*C32+(1-SES_Alpha)*G32))</f>
        <v>54.8211797614494</v>
      </c>
      <c r="H33" s="33" t="n">
        <f aca="false">IF(D33="","",D33-C33)</f>
        <v>4</v>
      </c>
      <c r="I33" s="33" t="n">
        <f aca="false">IF(E33="","",E33-C33)</f>
        <v>4.25</v>
      </c>
      <c r="J33" s="33" t="n">
        <f aca="false">IF(F33="","",F33-C33)</f>
        <v>3.125</v>
      </c>
      <c r="K33" s="33" t="n">
        <f aca="false">IF(G33="","",G33-C33)</f>
        <v>2.82117976144943</v>
      </c>
      <c r="L33" s="33" t="n">
        <f aca="false">IF(H33="","",ABS(H33))</f>
        <v>4</v>
      </c>
      <c r="M33" s="33" t="n">
        <f aca="false">IF(I33="","",ABS(I33))</f>
        <v>4.25</v>
      </c>
      <c r="N33" s="33" t="n">
        <f aca="false">IF(J33="","",ABS(J33))</f>
        <v>3.125</v>
      </c>
      <c r="O33" s="33" t="n">
        <f aca="false">IF(K33="","",ABS(K33))</f>
        <v>2.82117976144943</v>
      </c>
      <c r="P33" s="34" t="str">
        <f aca="false">IF(B33&gt;=Eval_Start_Week,"YES","")</f>
        <v/>
      </c>
      <c r="Q33" s="34" t="str">
        <f aca="false">IF(AND(B33&gt;=Cal_Start_Week,B33&lt;=Cal_End_Week),"YES","")</f>
        <v/>
      </c>
    </row>
    <row r="34" customFormat="false" ht="15" hidden="false" customHeight="false" outlineLevel="0" collapsed="false">
      <c r="A34" s="31" t="str">
        <f aca="false">Demand_History!C34</f>
        <v>KIT-001</v>
      </c>
      <c r="B34" s="31" t="n">
        <f aca="false">Demand_History!A34</f>
        <v>33</v>
      </c>
      <c r="C34" s="32" t="n">
        <f aca="false">Demand_History!D34</f>
        <v>54</v>
      </c>
      <c r="D34" s="33" t="n">
        <f aca="false">IF(B34&gt;=2,C33,"")</f>
        <v>52</v>
      </c>
      <c r="E34" s="33" t="n">
        <f aca="false">IF(B34&gt;=5,AVERAGE(C30:C33),"")</f>
        <v>54.25</v>
      </c>
      <c r="F34" s="33" t="n">
        <f aca="false">IF(B34&gt;=9,AVERAGE(C26:C33),"")</f>
        <v>54</v>
      </c>
      <c r="G34" s="33" t="n">
        <f aca="false">IF(B34=1,"",IF(B34=2,C33,SES_Alpha*C33+(1-SES_Alpha)*G33))</f>
        <v>53.9748258330146</v>
      </c>
      <c r="H34" s="33" t="n">
        <f aca="false">IF(D34="","",D34-C34)</f>
        <v>-2</v>
      </c>
      <c r="I34" s="33" t="n">
        <f aca="false">IF(E34="","",E34-C34)</f>
        <v>0.25</v>
      </c>
      <c r="J34" s="33" t="n">
        <f aca="false">IF(F34="","",F34-C34)</f>
        <v>0</v>
      </c>
      <c r="K34" s="33" t="n">
        <f aca="false">IF(G34="","",G34-C34)</f>
        <v>-0.0251741669854013</v>
      </c>
      <c r="L34" s="33" t="n">
        <f aca="false">IF(H34="","",ABS(H34))</f>
        <v>2</v>
      </c>
      <c r="M34" s="33" t="n">
        <f aca="false">IF(I34="","",ABS(I34))</f>
        <v>0.25</v>
      </c>
      <c r="N34" s="33" t="n">
        <f aca="false">IF(J34="","",ABS(J34))</f>
        <v>0</v>
      </c>
      <c r="O34" s="33" t="n">
        <f aca="false">IF(K34="","",ABS(K34))</f>
        <v>0.0251741669854013</v>
      </c>
      <c r="P34" s="34" t="str">
        <f aca="false">IF(B34&gt;=Eval_Start_Week,"YES","")</f>
        <v/>
      </c>
      <c r="Q34" s="34" t="str">
        <f aca="false">IF(AND(B34&gt;=Cal_Start_Week,B34&lt;=Cal_End_Week),"YES","")</f>
        <v/>
      </c>
    </row>
    <row r="35" customFormat="false" ht="15" hidden="false" customHeight="false" outlineLevel="0" collapsed="false">
      <c r="A35" s="31" t="str">
        <f aca="false">Demand_History!C35</f>
        <v>KIT-001</v>
      </c>
      <c r="B35" s="31" t="n">
        <f aca="false">Demand_History!A35</f>
        <v>34</v>
      </c>
      <c r="C35" s="32" t="n">
        <f aca="false">Demand_History!D35</f>
        <v>68</v>
      </c>
      <c r="D35" s="33" t="n">
        <f aca="false">IF(B35&gt;=2,C34,"")</f>
        <v>54</v>
      </c>
      <c r="E35" s="33" t="n">
        <f aca="false">IF(B35&gt;=5,AVERAGE(C31:C34),"")</f>
        <v>52.5</v>
      </c>
      <c r="F35" s="33" t="n">
        <f aca="false">IF(B35&gt;=9,AVERAGE(C27:C34),"")</f>
        <v>53.375</v>
      </c>
      <c r="G35" s="33" t="n">
        <f aca="false">IF(B35=1,"",IF(B35=2,C34,SES_Alpha*C34+(1-SES_Alpha)*G34))</f>
        <v>53.9823780831102</v>
      </c>
      <c r="H35" s="33" t="n">
        <f aca="false">IF(D35="","",D35-C35)</f>
        <v>-14</v>
      </c>
      <c r="I35" s="33" t="n">
        <f aca="false">IF(E35="","",E35-C35)</f>
        <v>-15.5</v>
      </c>
      <c r="J35" s="33" t="n">
        <f aca="false">IF(F35="","",F35-C35)</f>
        <v>-14.625</v>
      </c>
      <c r="K35" s="33" t="n">
        <f aca="false">IF(G35="","",G35-C35)</f>
        <v>-14.0176219168898</v>
      </c>
      <c r="L35" s="33" t="n">
        <f aca="false">IF(H35="","",ABS(H35))</f>
        <v>14</v>
      </c>
      <c r="M35" s="33" t="n">
        <f aca="false">IF(I35="","",ABS(I35))</f>
        <v>15.5</v>
      </c>
      <c r="N35" s="33" t="n">
        <f aca="false">IF(J35="","",ABS(J35))</f>
        <v>14.625</v>
      </c>
      <c r="O35" s="33" t="n">
        <f aca="false">IF(K35="","",ABS(K35))</f>
        <v>14.0176219168898</v>
      </c>
      <c r="P35" s="34" t="str">
        <f aca="false">IF(B35&gt;=Eval_Start_Week,"YES","")</f>
        <v/>
      </c>
      <c r="Q35" s="34" t="str">
        <f aca="false">IF(AND(B35&gt;=Cal_Start_Week,B35&lt;=Cal_End_Week),"YES","")</f>
        <v/>
      </c>
    </row>
    <row r="36" customFormat="false" ht="15" hidden="false" customHeight="false" outlineLevel="0" collapsed="false">
      <c r="A36" s="31" t="str">
        <f aca="false">Demand_History!C36</f>
        <v>KIT-001</v>
      </c>
      <c r="B36" s="31" t="n">
        <f aca="false">Demand_History!A36</f>
        <v>35</v>
      </c>
      <c r="C36" s="32" t="n">
        <f aca="false">Demand_History!D36</f>
        <v>54</v>
      </c>
      <c r="D36" s="33" t="n">
        <f aca="false">IF(B36&gt;=2,C35,"")</f>
        <v>68</v>
      </c>
      <c r="E36" s="33" t="n">
        <f aca="false">IF(B36&gt;=5,AVERAGE(C32:C35),"")</f>
        <v>57.5</v>
      </c>
      <c r="F36" s="33" t="n">
        <f aca="false">IF(B36&gt;=9,AVERAGE(C28:C35),"")</f>
        <v>56.875</v>
      </c>
      <c r="G36" s="33" t="n">
        <f aca="false">IF(B36=1,"",IF(B36=2,C35,SES_Alpha*C35+(1-SES_Alpha)*G35))</f>
        <v>58.1876646581772</v>
      </c>
      <c r="H36" s="33" t="n">
        <f aca="false">IF(D36="","",D36-C36)</f>
        <v>14</v>
      </c>
      <c r="I36" s="33" t="n">
        <f aca="false">IF(E36="","",E36-C36)</f>
        <v>3.5</v>
      </c>
      <c r="J36" s="33" t="n">
        <f aca="false">IF(F36="","",F36-C36)</f>
        <v>2.875</v>
      </c>
      <c r="K36" s="33" t="n">
        <f aca="false">IF(G36="","",G36-C36)</f>
        <v>4.18766465817715</v>
      </c>
      <c r="L36" s="33" t="n">
        <f aca="false">IF(H36="","",ABS(H36))</f>
        <v>14</v>
      </c>
      <c r="M36" s="33" t="n">
        <f aca="false">IF(I36="","",ABS(I36))</f>
        <v>3.5</v>
      </c>
      <c r="N36" s="33" t="n">
        <f aca="false">IF(J36="","",ABS(J36))</f>
        <v>2.875</v>
      </c>
      <c r="O36" s="33" t="n">
        <f aca="false">IF(K36="","",ABS(K36))</f>
        <v>4.18766465817715</v>
      </c>
      <c r="P36" s="34" t="str">
        <f aca="false">IF(B36&gt;=Eval_Start_Week,"YES","")</f>
        <v/>
      </c>
      <c r="Q36" s="34" t="str">
        <f aca="false">IF(AND(B36&gt;=Cal_Start_Week,B36&lt;=Cal_End_Week),"YES","")</f>
        <v/>
      </c>
    </row>
    <row r="37" customFormat="false" ht="15" hidden="false" customHeight="false" outlineLevel="0" collapsed="false">
      <c r="A37" s="31" t="str">
        <f aca="false">Demand_History!C37</f>
        <v>KIT-001</v>
      </c>
      <c r="B37" s="31" t="n">
        <f aca="false">Demand_History!A37</f>
        <v>36</v>
      </c>
      <c r="C37" s="32" t="n">
        <f aca="false">Demand_History!D37</f>
        <v>60</v>
      </c>
      <c r="D37" s="33" t="n">
        <f aca="false">IF(B37&gt;=2,C36,"")</f>
        <v>54</v>
      </c>
      <c r="E37" s="33" t="n">
        <f aca="false">IF(B37&gt;=5,AVERAGE(C33:C36),"")</f>
        <v>57</v>
      </c>
      <c r="F37" s="33" t="n">
        <f aca="false">IF(B37&gt;=9,AVERAGE(C29:C36),"")</f>
        <v>56.625</v>
      </c>
      <c r="G37" s="33" t="n">
        <f aca="false">IF(B37=1,"",IF(B37=2,C36,SES_Alpha*C36+(1-SES_Alpha)*G36))</f>
        <v>56.931365260724</v>
      </c>
      <c r="H37" s="33" t="n">
        <f aca="false">IF(D37="","",D37-C37)</f>
        <v>-6</v>
      </c>
      <c r="I37" s="33" t="n">
        <f aca="false">IF(E37="","",E37-C37)</f>
        <v>-3</v>
      </c>
      <c r="J37" s="33" t="n">
        <f aca="false">IF(F37="","",F37-C37)</f>
        <v>-3.375</v>
      </c>
      <c r="K37" s="33" t="n">
        <f aca="false">IF(G37="","",G37-C37)</f>
        <v>-3.06863473927599</v>
      </c>
      <c r="L37" s="33" t="n">
        <f aca="false">IF(H37="","",ABS(H37))</f>
        <v>6</v>
      </c>
      <c r="M37" s="33" t="n">
        <f aca="false">IF(I37="","",ABS(I37))</f>
        <v>3</v>
      </c>
      <c r="N37" s="33" t="n">
        <f aca="false">IF(J37="","",ABS(J37))</f>
        <v>3.375</v>
      </c>
      <c r="O37" s="33" t="n">
        <f aca="false">IF(K37="","",ABS(K37))</f>
        <v>3.06863473927599</v>
      </c>
      <c r="P37" s="34" t="str">
        <f aca="false">IF(B37&gt;=Eval_Start_Week,"YES","")</f>
        <v/>
      </c>
      <c r="Q37" s="34" t="str">
        <f aca="false">IF(AND(B37&gt;=Cal_Start_Week,B37&lt;=Cal_End_Week),"YES","")</f>
        <v/>
      </c>
    </row>
    <row r="38" customFormat="false" ht="15" hidden="false" customHeight="false" outlineLevel="0" collapsed="false">
      <c r="A38" s="31" t="str">
        <f aca="false">Demand_History!C38</f>
        <v>KIT-001</v>
      </c>
      <c r="B38" s="31" t="n">
        <f aca="false">Demand_History!A38</f>
        <v>37</v>
      </c>
      <c r="C38" s="32" t="n">
        <f aca="false">Demand_History!D38</f>
        <v>67</v>
      </c>
      <c r="D38" s="33" t="n">
        <f aca="false">IF(B38&gt;=2,C37,"")</f>
        <v>60</v>
      </c>
      <c r="E38" s="33" t="n">
        <f aca="false">IF(B38&gt;=5,AVERAGE(C34:C37),"")</f>
        <v>59</v>
      </c>
      <c r="F38" s="33" t="n">
        <f aca="false">IF(B38&gt;=9,AVERAGE(C30:C37),"")</f>
        <v>56.625</v>
      </c>
      <c r="G38" s="33" t="n">
        <f aca="false">IF(B38=1,"",IF(B38=2,C37,SES_Alpha*C37+(1-SES_Alpha)*G37))</f>
        <v>57.8519556825068</v>
      </c>
      <c r="H38" s="33" t="n">
        <f aca="false">IF(D38="","",D38-C38)</f>
        <v>-7</v>
      </c>
      <c r="I38" s="33" t="n">
        <f aca="false">IF(E38="","",E38-C38)</f>
        <v>-8</v>
      </c>
      <c r="J38" s="33" t="n">
        <f aca="false">IF(F38="","",F38-C38)</f>
        <v>-10.375</v>
      </c>
      <c r="K38" s="33" t="n">
        <f aca="false">IF(G38="","",G38-C38)</f>
        <v>-9.1480443174932</v>
      </c>
      <c r="L38" s="33" t="n">
        <f aca="false">IF(H38="","",ABS(H38))</f>
        <v>7</v>
      </c>
      <c r="M38" s="33" t="n">
        <f aca="false">IF(I38="","",ABS(I38))</f>
        <v>8</v>
      </c>
      <c r="N38" s="33" t="n">
        <f aca="false">IF(J38="","",ABS(J38))</f>
        <v>10.375</v>
      </c>
      <c r="O38" s="33" t="n">
        <f aca="false">IF(K38="","",ABS(K38))</f>
        <v>9.1480443174932</v>
      </c>
      <c r="P38" s="34" t="str">
        <f aca="false">IF(B38&gt;=Eval_Start_Week,"YES","")</f>
        <v/>
      </c>
      <c r="Q38" s="34" t="str">
        <f aca="false">IF(AND(B38&gt;=Cal_Start_Week,B38&lt;=Cal_End_Week),"YES","")</f>
        <v>YES</v>
      </c>
    </row>
    <row r="39" customFormat="false" ht="15" hidden="false" customHeight="false" outlineLevel="0" collapsed="false">
      <c r="A39" s="31" t="str">
        <f aca="false">Demand_History!C39</f>
        <v>KIT-001</v>
      </c>
      <c r="B39" s="31" t="n">
        <f aca="false">Demand_History!A39</f>
        <v>38</v>
      </c>
      <c r="C39" s="32" t="n">
        <f aca="false">Demand_History!D39</f>
        <v>55</v>
      </c>
      <c r="D39" s="33" t="n">
        <f aca="false">IF(B39&gt;=2,C38,"")</f>
        <v>67</v>
      </c>
      <c r="E39" s="33" t="n">
        <f aca="false">IF(B39&gt;=5,AVERAGE(C35:C38),"")</f>
        <v>62.25</v>
      </c>
      <c r="F39" s="33" t="n">
        <f aca="false">IF(B39&gt;=9,AVERAGE(C31:C38),"")</f>
        <v>57.375</v>
      </c>
      <c r="G39" s="33" t="n">
        <f aca="false">IF(B39=1,"",IF(B39=2,C38,SES_Alpha*C38+(1-SES_Alpha)*G38))</f>
        <v>60.5963689777548</v>
      </c>
      <c r="H39" s="33" t="n">
        <f aca="false">IF(D39="","",D39-C39)</f>
        <v>12</v>
      </c>
      <c r="I39" s="33" t="n">
        <f aca="false">IF(E39="","",E39-C39)</f>
        <v>7.25</v>
      </c>
      <c r="J39" s="33" t="n">
        <f aca="false">IF(F39="","",F39-C39)</f>
        <v>2.375</v>
      </c>
      <c r="K39" s="33" t="n">
        <f aca="false">IF(G39="","",G39-C39)</f>
        <v>5.59636897775476</v>
      </c>
      <c r="L39" s="33" t="n">
        <f aca="false">IF(H39="","",ABS(H39))</f>
        <v>12</v>
      </c>
      <c r="M39" s="33" t="n">
        <f aca="false">IF(I39="","",ABS(I39))</f>
        <v>7.25</v>
      </c>
      <c r="N39" s="33" t="n">
        <f aca="false">IF(J39="","",ABS(J39))</f>
        <v>2.375</v>
      </c>
      <c r="O39" s="33" t="n">
        <f aca="false">IF(K39="","",ABS(K39))</f>
        <v>5.59636897775476</v>
      </c>
      <c r="P39" s="34" t="str">
        <f aca="false">IF(B39&gt;=Eval_Start_Week,"YES","")</f>
        <v/>
      </c>
      <c r="Q39" s="34" t="str">
        <f aca="false">IF(AND(B39&gt;=Cal_Start_Week,B39&lt;=Cal_End_Week),"YES","")</f>
        <v>YES</v>
      </c>
    </row>
    <row r="40" customFormat="false" ht="15" hidden="false" customHeight="false" outlineLevel="0" collapsed="false">
      <c r="A40" s="31" t="str">
        <f aca="false">Demand_History!C40</f>
        <v>KIT-001</v>
      </c>
      <c r="B40" s="31" t="n">
        <f aca="false">Demand_History!A40</f>
        <v>39</v>
      </c>
      <c r="C40" s="32" t="n">
        <f aca="false">Demand_History!D40</f>
        <v>59</v>
      </c>
      <c r="D40" s="33" t="n">
        <f aca="false">IF(B40&gt;=2,C39,"")</f>
        <v>55</v>
      </c>
      <c r="E40" s="33" t="n">
        <f aca="false">IF(B40&gt;=5,AVERAGE(C36:C39),"")</f>
        <v>59</v>
      </c>
      <c r="F40" s="33" t="n">
        <f aca="false">IF(B40&gt;=9,AVERAGE(C32:C39),"")</f>
        <v>58.25</v>
      </c>
      <c r="G40" s="33" t="n">
        <f aca="false">IF(B40=1,"",IF(B40=2,C39,SES_Alpha*C39+(1-SES_Alpha)*G39))</f>
        <v>58.9174582844283</v>
      </c>
      <c r="H40" s="33" t="n">
        <f aca="false">IF(D40="","",D40-C40)</f>
        <v>-4</v>
      </c>
      <c r="I40" s="33" t="n">
        <f aca="false">IF(E40="","",E40-C40)</f>
        <v>0</v>
      </c>
      <c r="J40" s="33" t="n">
        <f aca="false">IF(F40="","",F40-C40)</f>
        <v>-0.75</v>
      </c>
      <c r="K40" s="33" t="n">
        <f aca="false">IF(G40="","",G40-C40)</f>
        <v>-0.082541715571665</v>
      </c>
      <c r="L40" s="33" t="n">
        <f aca="false">IF(H40="","",ABS(H40))</f>
        <v>4</v>
      </c>
      <c r="M40" s="33" t="n">
        <f aca="false">IF(I40="","",ABS(I40))</f>
        <v>0</v>
      </c>
      <c r="N40" s="33" t="n">
        <f aca="false">IF(J40="","",ABS(J40))</f>
        <v>0.75</v>
      </c>
      <c r="O40" s="33" t="n">
        <f aca="false">IF(K40="","",ABS(K40))</f>
        <v>0.082541715571665</v>
      </c>
      <c r="P40" s="34" t="str">
        <f aca="false">IF(B40&gt;=Eval_Start_Week,"YES","")</f>
        <v/>
      </c>
      <c r="Q40" s="34" t="str">
        <f aca="false">IF(AND(B40&gt;=Cal_Start_Week,B40&lt;=Cal_End_Week),"YES","")</f>
        <v>YES</v>
      </c>
    </row>
    <row r="41" customFormat="false" ht="15" hidden="false" customHeight="false" outlineLevel="0" collapsed="false">
      <c r="A41" s="31" t="str">
        <f aca="false">Demand_History!C41</f>
        <v>KIT-001</v>
      </c>
      <c r="B41" s="31" t="n">
        <f aca="false">Demand_History!A41</f>
        <v>40</v>
      </c>
      <c r="C41" s="32" t="n">
        <f aca="false">Demand_History!D41</f>
        <v>61</v>
      </c>
      <c r="D41" s="33" t="n">
        <f aca="false">IF(B41&gt;=2,C40,"")</f>
        <v>59</v>
      </c>
      <c r="E41" s="33" t="n">
        <f aca="false">IF(B41&gt;=5,AVERAGE(C37:C40),"")</f>
        <v>60.25</v>
      </c>
      <c r="F41" s="33" t="n">
        <f aca="false">IF(B41&gt;=9,AVERAGE(C33:C40),"")</f>
        <v>58.625</v>
      </c>
      <c r="G41" s="33" t="n">
        <f aca="false">IF(B41=1,"",IF(B41=2,C40,SES_Alpha*C40+(1-SES_Alpha)*G40))</f>
        <v>58.9422207990998</v>
      </c>
      <c r="H41" s="33" t="n">
        <f aca="false">IF(D41="","",D41-C41)</f>
        <v>-2</v>
      </c>
      <c r="I41" s="33" t="n">
        <f aca="false">IF(E41="","",E41-C41)</f>
        <v>-0.75</v>
      </c>
      <c r="J41" s="33" t="n">
        <f aca="false">IF(F41="","",F41-C41)</f>
        <v>-2.375</v>
      </c>
      <c r="K41" s="33" t="n">
        <f aca="false">IF(G41="","",G41-C41)</f>
        <v>-2.05777920090017</v>
      </c>
      <c r="L41" s="33" t="n">
        <f aca="false">IF(H41="","",ABS(H41))</f>
        <v>2</v>
      </c>
      <c r="M41" s="33" t="n">
        <f aca="false">IF(I41="","",ABS(I41))</f>
        <v>0.75</v>
      </c>
      <c r="N41" s="33" t="n">
        <f aca="false">IF(J41="","",ABS(J41))</f>
        <v>2.375</v>
      </c>
      <c r="O41" s="33" t="n">
        <f aca="false">IF(K41="","",ABS(K41))</f>
        <v>2.05777920090017</v>
      </c>
      <c r="P41" s="34" t="str">
        <f aca="false">IF(B41&gt;=Eval_Start_Week,"YES","")</f>
        <v/>
      </c>
      <c r="Q41" s="34" t="str">
        <f aca="false">IF(AND(B41&gt;=Cal_Start_Week,B41&lt;=Cal_End_Week),"YES","")</f>
        <v>YES</v>
      </c>
    </row>
    <row r="42" customFormat="false" ht="15" hidden="false" customHeight="false" outlineLevel="0" collapsed="false">
      <c r="A42" s="31" t="str">
        <f aca="false">Demand_History!C42</f>
        <v>KIT-001</v>
      </c>
      <c r="B42" s="31" t="n">
        <f aca="false">Demand_History!A42</f>
        <v>41</v>
      </c>
      <c r="C42" s="32" t="n">
        <f aca="false">Demand_History!D42</f>
        <v>61</v>
      </c>
      <c r="D42" s="33" t="n">
        <f aca="false">IF(B42&gt;=2,C41,"")</f>
        <v>61</v>
      </c>
      <c r="E42" s="33" t="n">
        <f aca="false">IF(B42&gt;=5,AVERAGE(C38:C41),"")</f>
        <v>60.5</v>
      </c>
      <c r="F42" s="33" t="n">
        <f aca="false">IF(B42&gt;=9,AVERAGE(C34:C41),"")</f>
        <v>59.75</v>
      </c>
      <c r="G42" s="33" t="n">
        <f aca="false">IF(B42=1,"",IF(B42=2,C41,SES_Alpha*C41+(1-SES_Alpha)*G41))</f>
        <v>59.5595545593699</v>
      </c>
      <c r="H42" s="33" t="n">
        <f aca="false">IF(D42="","",D42-C42)</f>
        <v>0</v>
      </c>
      <c r="I42" s="33" t="n">
        <f aca="false">IF(E42="","",E42-C42)</f>
        <v>-0.5</v>
      </c>
      <c r="J42" s="33" t="n">
        <f aca="false">IF(F42="","",F42-C42)</f>
        <v>-1.25</v>
      </c>
      <c r="K42" s="33" t="n">
        <f aca="false">IF(G42="","",G42-C42)</f>
        <v>-1.44044544063013</v>
      </c>
      <c r="L42" s="33" t="n">
        <f aca="false">IF(H42="","",ABS(H42))</f>
        <v>0</v>
      </c>
      <c r="M42" s="33" t="n">
        <f aca="false">IF(I42="","",ABS(I42))</f>
        <v>0.5</v>
      </c>
      <c r="N42" s="33" t="n">
        <f aca="false">IF(J42="","",ABS(J42))</f>
        <v>1.25</v>
      </c>
      <c r="O42" s="33" t="n">
        <f aca="false">IF(K42="","",ABS(K42))</f>
        <v>1.44044544063013</v>
      </c>
      <c r="P42" s="34" t="str">
        <f aca="false">IF(B42&gt;=Eval_Start_Week,"YES","")</f>
        <v/>
      </c>
      <c r="Q42" s="34" t="str">
        <f aca="false">IF(AND(B42&gt;=Cal_Start_Week,B42&lt;=Cal_End_Week),"YES","")</f>
        <v>YES</v>
      </c>
    </row>
    <row r="43" customFormat="false" ht="15" hidden="false" customHeight="false" outlineLevel="0" collapsed="false">
      <c r="A43" s="31" t="str">
        <f aca="false">Demand_History!C43</f>
        <v>KIT-001</v>
      </c>
      <c r="B43" s="31" t="n">
        <f aca="false">Demand_History!A43</f>
        <v>42</v>
      </c>
      <c r="C43" s="32" t="n">
        <f aca="false">Demand_History!D43</f>
        <v>50</v>
      </c>
      <c r="D43" s="33" t="n">
        <f aca="false">IF(B43&gt;=2,C42,"")</f>
        <v>61</v>
      </c>
      <c r="E43" s="33" t="n">
        <f aca="false">IF(B43&gt;=5,AVERAGE(C39:C42),"")</f>
        <v>59</v>
      </c>
      <c r="F43" s="33" t="n">
        <f aca="false">IF(B43&gt;=9,AVERAGE(C35:C42),"")</f>
        <v>60.625</v>
      </c>
      <c r="G43" s="33" t="n">
        <f aca="false">IF(B43=1,"",IF(B43=2,C42,SES_Alpha*C42+(1-SES_Alpha)*G42))</f>
        <v>59.9916881915589</v>
      </c>
      <c r="H43" s="33" t="n">
        <f aca="false">IF(D43="","",D43-C43)</f>
        <v>11</v>
      </c>
      <c r="I43" s="33" t="n">
        <f aca="false">IF(E43="","",E43-C43)</f>
        <v>9</v>
      </c>
      <c r="J43" s="33" t="n">
        <f aca="false">IF(F43="","",F43-C43)</f>
        <v>10.625</v>
      </c>
      <c r="K43" s="33" t="n">
        <f aca="false">IF(G43="","",G43-C43)</f>
        <v>9.99168819155891</v>
      </c>
      <c r="L43" s="33" t="n">
        <f aca="false">IF(H43="","",ABS(H43))</f>
        <v>11</v>
      </c>
      <c r="M43" s="33" t="n">
        <f aca="false">IF(I43="","",ABS(I43))</f>
        <v>9</v>
      </c>
      <c r="N43" s="33" t="n">
        <f aca="false">IF(J43="","",ABS(J43))</f>
        <v>10.625</v>
      </c>
      <c r="O43" s="33" t="n">
        <f aca="false">IF(K43="","",ABS(K43))</f>
        <v>9.99168819155891</v>
      </c>
      <c r="P43" s="34" t="str">
        <f aca="false">IF(B43&gt;=Eval_Start_Week,"YES","")</f>
        <v/>
      </c>
      <c r="Q43" s="34" t="str">
        <f aca="false">IF(AND(B43&gt;=Cal_Start_Week,B43&lt;=Cal_End_Week),"YES","")</f>
        <v>YES</v>
      </c>
    </row>
    <row r="44" customFormat="false" ht="15" hidden="false" customHeight="false" outlineLevel="0" collapsed="false">
      <c r="A44" s="31" t="str">
        <f aca="false">Demand_History!C44</f>
        <v>KIT-001</v>
      </c>
      <c r="B44" s="31" t="n">
        <f aca="false">Demand_History!A44</f>
        <v>43</v>
      </c>
      <c r="C44" s="32" t="n">
        <f aca="false">Demand_History!D44</f>
        <v>61</v>
      </c>
      <c r="D44" s="33" t="n">
        <f aca="false">IF(B44&gt;=2,C43,"")</f>
        <v>50</v>
      </c>
      <c r="E44" s="33" t="n">
        <f aca="false">IF(B44&gt;=5,AVERAGE(C40:C43),"")</f>
        <v>57.75</v>
      </c>
      <c r="F44" s="33" t="n">
        <f aca="false">IF(B44&gt;=9,AVERAGE(C36:C43),"")</f>
        <v>58.375</v>
      </c>
      <c r="G44" s="33" t="n">
        <f aca="false">IF(B44=1,"",IF(B44=2,C43,SES_Alpha*C43+(1-SES_Alpha)*G43))</f>
        <v>56.9941817340912</v>
      </c>
      <c r="H44" s="33" t="n">
        <f aca="false">IF(D44="","",D44-C44)</f>
        <v>-11</v>
      </c>
      <c r="I44" s="33" t="n">
        <f aca="false">IF(E44="","",E44-C44)</f>
        <v>-3.25</v>
      </c>
      <c r="J44" s="33" t="n">
        <f aca="false">IF(F44="","",F44-C44)</f>
        <v>-2.625</v>
      </c>
      <c r="K44" s="33" t="n">
        <f aca="false">IF(G44="","",G44-C44)</f>
        <v>-4.00581826590877</v>
      </c>
      <c r="L44" s="33" t="n">
        <f aca="false">IF(H44="","",ABS(H44))</f>
        <v>11</v>
      </c>
      <c r="M44" s="33" t="n">
        <f aca="false">IF(I44="","",ABS(I44))</f>
        <v>3.25</v>
      </c>
      <c r="N44" s="33" t="n">
        <f aca="false">IF(J44="","",ABS(J44))</f>
        <v>2.625</v>
      </c>
      <c r="O44" s="33" t="n">
        <f aca="false">IF(K44="","",ABS(K44))</f>
        <v>4.00581826590877</v>
      </c>
      <c r="P44" s="34" t="str">
        <f aca="false">IF(B44&gt;=Eval_Start_Week,"YES","")</f>
        <v/>
      </c>
      <c r="Q44" s="34" t="str">
        <f aca="false">IF(AND(B44&gt;=Cal_Start_Week,B44&lt;=Cal_End_Week),"YES","")</f>
        <v>YES</v>
      </c>
    </row>
    <row r="45" customFormat="false" ht="15" hidden="false" customHeight="false" outlineLevel="0" collapsed="false">
      <c r="A45" s="31" t="str">
        <f aca="false">Demand_History!C45</f>
        <v>KIT-001</v>
      </c>
      <c r="B45" s="31" t="n">
        <f aca="false">Demand_History!A45</f>
        <v>44</v>
      </c>
      <c r="C45" s="32" t="n">
        <f aca="false">Demand_History!D45</f>
        <v>71</v>
      </c>
      <c r="D45" s="33" t="n">
        <f aca="false">IF(B45&gt;=2,C44,"")</f>
        <v>61</v>
      </c>
      <c r="E45" s="33" t="n">
        <f aca="false">IF(B45&gt;=5,AVERAGE(C41:C44),"")</f>
        <v>58.25</v>
      </c>
      <c r="F45" s="33" t="n">
        <f aca="false">IF(B45&gt;=9,AVERAGE(C37:C44),"")</f>
        <v>59.25</v>
      </c>
      <c r="G45" s="33" t="n">
        <f aca="false">IF(B45=1,"",IF(B45=2,C44,SES_Alpha*C44+(1-SES_Alpha)*G44))</f>
        <v>58.1959272138639</v>
      </c>
      <c r="H45" s="33" t="n">
        <f aca="false">IF(D45="","",D45-C45)</f>
        <v>-10</v>
      </c>
      <c r="I45" s="33" t="n">
        <f aca="false">IF(E45="","",E45-C45)</f>
        <v>-12.75</v>
      </c>
      <c r="J45" s="33" t="n">
        <f aca="false">IF(F45="","",F45-C45)</f>
        <v>-11.75</v>
      </c>
      <c r="K45" s="33" t="n">
        <f aca="false">IF(G45="","",G45-C45)</f>
        <v>-12.8040727861361</v>
      </c>
      <c r="L45" s="33" t="n">
        <f aca="false">IF(H45="","",ABS(H45))</f>
        <v>10</v>
      </c>
      <c r="M45" s="33" t="n">
        <f aca="false">IF(I45="","",ABS(I45))</f>
        <v>12.75</v>
      </c>
      <c r="N45" s="33" t="n">
        <f aca="false">IF(J45="","",ABS(J45))</f>
        <v>11.75</v>
      </c>
      <c r="O45" s="33" t="n">
        <f aca="false">IF(K45="","",ABS(K45))</f>
        <v>12.8040727861361</v>
      </c>
      <c r="P45" s="34" t="str">
        <f aca="false">IF(B45&gt;=Eval_Start_Week,"YES","")</f>
        <v/>
      </c>
      <c r="Q45" s="34" t="str">
        <f aca="false">IF(AND(B45&gt;=Cal_Start_Week,B45&lt;=Cal_End_Week),"YES","")</f>
        <v>YES</v>
      </c>
    </row>
    <row r="46" customFormat="false" ht="15" hidden="false" customHeight="false" outlineLevel="0" collapsed="false">
      <c r="A46" s="31" t="str">
        <f aca="false">Demand_History!C46</f>
        <v>KIT-001</v>
      </c>
      <c r="B46" s="31" t="n">
        <f aca="false">Demand_History!A46</f>
        <v>45</v>
      </c>
      <c r="C46" s="32" t="n">
        <f aca="false">Demand_History!D46</f>
        <v>48</v>
      </c>
      <c r="D46" s="33" t="n">
        <f aca="false">IF(B46&gt;=2,C45,"")</f>
        <v>71</v>
      </c>
      <c r="E46" s="33" t="n">
        <f aca="false">IF(B46&gt;=5,AVERAGE(C42:C45),"")</f>
        <v>60.75</v>
      </c>
      <c r="F46" s="33" t="n">
        <f aca="false">IF(B46&gt;=9,AVERAGE(C38:C45),"")</f>
        <v>60.625</v>
      </c>
      <c r="G46" s="33" t="n">
        <f aca="false">IF(B46=1,"",IF(B46=2,C45,SES_Alpha*C45+(1-SES_Alpha)*G45))</f>
        <v>62.0371490497047</v>
      </c>
      <c r="H46" s="33" t="n">
        <f aca="false">IF(D46="","",D46-C46)</f>
        <v>23</v>
      </c>
      <c r="I46" s="33" t="n">
        <f aca="false">IF(E46="","",E46-C46)</f>
        <v>12.75</v>
      </c>
      <c r="J46" s="33" t="n">
        <f aca="false">IF(F46="","",F46-C46)</f>
        <v>12.625</v>
      </c>
      <c r="K46" s="33" t="n">
        <f aca="false">IF(G46="","",G46-C46)</f>
        <v>14.0371490497047</v>
      </c>
      <c r="L46" s="33" t="n">
        <f aca="false">IF(H46="","",ABS(H46))</f>
        <v>23</v>
      </c>
      <c r="M46" s="33" t="n">
        <f aca="false">IF(I46="","",ABS(I46))</f>
        <v>12.75</v>
      </c>
      <c r="N46" s="33" t="n">
        <f aca="false">IF(J46="","",ABS(J46))</f>
        <v>12.625</v>
      </c>
      <c r="O46" s="33" t="n">
        <f aca="false">IF(K46="","",ABS(K46))</f>
        <v>14.0371490497047</v>
      </c>
      <c r="P46" s="34" t="str">
        <f aca="false">IF(B46&gt;=Eval_Start_Week,"YES","")</f>
        <v/>
      </c>
      <c r="Q46" s="34" t="str">
        <f aca="false">IF(AND(B46&gt;=Cal_Start_Week,B46&lt;=Cal_End_Week),"YES","")</f>
        <v>YES</v>
      </c>
    </row>
    <row r="47" customFormat="false" ht="15" hidden="false" customHeight="false" outlineLevel="0" collapsed="false">
      <c r="A47" s="31" t="str">
        <f aca="false">Demand_History!C47</f>
        <v>KIT-001</v>
      </c>
      <c r="B47" s="31" t="n">
        <f aca="false">Demand_History!A47</f>
        <v>46</v>
      </c>
      <c r="C47" s="32" t="n">
        <f aca="false">Demand_History!D47</f>
        <v>67</v>
      </c>
      <c r="D47" s="33" t="n">
        <f aca="false">IF(B47&gt;=2,C46,"")</f>
        <v>48</v>
      </c>
      <c r="E47" s="33" t="n">
        <f aca="false">IF(B47&gt;=5,AVERAGE(C43:C46),"")</f>
        <v>57.5</v>
      </c>
      <c r="F47" s="33" t="n">
        <f aca="false">IF(B47&gt;=9,AVERAGE(C39:C46),"")</f>
        <v>58.25</v>
      </c>
      <c r="G47" s="33" t="n">
        <f aca="false">IF(B47=1,"",IF(B47=2,C46,SES_Alpha*C46+(1-SES_Alpha)*G46))</f>
        <v>57.8260043347933</v>
      </c>
      <c r="H47" s="33" t="n">
        <f aca="false">IF(D47="","",D47-C47)</f>
        <v>-19</v>
      </c>
      <c r="I47" s="33" t="n">
        <f aca="false">IF(E47="","",E47-C47)</f>
        <v>-9.5</v>
      </c>
      <c r="J47" s="33" t="n">
        <f aca="false">IF(F47="","",F47-C47)</f>
        <v>-8.75</v>
      </c>
      <c r="K47" s="33" t="n">
        <f aca="false">IF(G47="","",G47-C47)</f>
        <v>-9.17399566520671</v>
      </c>
      <c r="L47" s="33" t="n">
        <f aca="false">IF(H47="","",ABS(H47))</f>
        <v>19</v>
      </c>
      <c r="M47" s="33" t="n">
        <f aca="false">IF(I47="","",ABS(I47))</f>
        <v>9.5</v>
      </c>
      <c r="N47" s="33" t="n">
        <f aca="false">IF(J47="","",ABS(J47))</f>
        <v>8.75</v>
      </c>
      <c r="O47" s="33" t="n">
        <f aca="false">IF(K47="","",ABS(K47))</f>
        <v>9.17399566520671</v>
      </c>
      <c r="P47" s="34" t="str">
        <f aca="false">IF(B47&gt;=Eval_Start_Week,"YES","")</f>
        <v/>
      </c>
      <c r="Q47" s="34" t="str">
        <f aca="false">IF(AND(B47&gt;=Cal_Start_Week,B47&lt;=Cal_End_Week),"YES","")</f>
        <v>YES</v>
      </c>
    </row>
    <row r="48" customFormat="false" ht="15" hidden="false" customHeight="false" outlineLevel="0" collapsed="false">
      <c r="A48" s="31" t="str">
        <f aca="false">Demand_History!C48</f>
        <v>KIT-001</v>
      </c>
      <c r="B48" s="31" t="n">
        <f aca="false">Demand_History!A48</f>
        <v>47</v>
      </c>
      <c r="C48" s="32" t="n">
        <f aca="false">Demand_History!D48</f>
        <v>61</v>
      </c>
      <c r="D48" s="33" t="n">
        <f aca="false">IF(B48&gt;=2,C47,"")</f>
        <v>67</v>
      </c>
      <c r="E48" s="33" t="n">
        <f aca="false">IF(B48&gt;=5,AVERAGE(C44:C47),"")</f>
        <v>61.75</v>
      </c>
      <c r="F48" s="33" t="n">
        <f aca="false">IF(B48&gt;=9,AVERAGE(C40:C47),"")</f>
        <v>59.75</v>
      </c>
      <c r="G48" s="33" t="n">
        <f aca="false">IF(B48=1,"",IF(B48=2,C47,SES_Alpha*C47+(1-SES_Alpha)*G47))</f>
        <v>60.5782030343553</v>
      </c>
      <c r="H48" s="33" t="n">
        <f aca="false">IF(D48="","",D48-C48)</f>
        <v>6</v>
      </c>
      <c r="I48" s="33" t="n">
        <f aca="false">IF(E48="","",E48-C48)</f>
        <v>0.75</v>
      </c>
      <c r="J48" s="33" t="n">
        <f aca="false">IF(F48="","",F48-C48)</f>
        <v>-1.25</v>
      </c>
      <c r="K48" s="33" t="n">
        <f aca="false">IF(G48="","",G48-C48)</f>
        <v>-0.421796965644703</v>
      </c>
      <c r="L48" s="33" t="n">
        <f aca="false">IF(H48="","",ABS(H48))</f>
        <v>6</v>
      </c>
      <c r="M48" s="33" t="n">
        <f aca="false">IF(I48="","",ABS(I48))</f>
        <v>0.75</v>
      </c>
      <c r="N48" s="33" t="n">
        <f aca="false">IF(J48="","",ABS(J48))</f>
        <v>1.25</v>
      </c>
      <c r="O48" s="33" t="n">
        <f aca="false">IF(K48="","",ABS(K48))</f>
        <v>0.421796965644703</v>
      </c>
      <c r="P48" s="34" t="str">
        <f aca="false">IF(B48&gt;=Eval_Start_Week,"YES","")</f>
        <v/>
      </c>
      <c r="Q48" s="34" t="str">
        <f aca="false">IF(AND(B48&gt;=Cal_Start_Week,B48&lt;=Cal_End_Week),"YES","")</f>
        <v>YES</v>
      </c>
    </row>
    <row r="49" customFormat="false" ht="15" hidden="false" customHeight="false" outlineLevel="0" collapsed="false">
      <c r="A49" s="31" t="str">
        <f aca="false">Demand_History!C49</f>
        <v>KIT-001</v>
      </c>
      <c r="B49" s="31" t="n">
        <f aca="false">Demand_History!A49</f>
        <v>48</v>
      </c>
      <c r="C49" s="32" t="n">
        <f aca="false">Demand_History!D49</f>
        <v>55</v>
      </c>
      <c r="D49" s="33" t="n">
        <f aca="false">IF(B49&gt;=2,C48,"")</f>
        <v>61</v>
      </c>
      <c r="E49" s="33" t="n">
        <f aca="false">IF(B49&gt;=5,AVERAGE(C45:C48),"")</f>
        <v>61.75</v>
      </c>
      <c r="F49" s="33" t="n">
        <f aca="false">IF(B49&gt;=9,AVERAGE(C41:C48),"")</f>
        <v>60</v>
      </c>
      <c r="G49" s="33" t="n">
        <f aca="false">IF(B49=1,"",IF(B49=2,C48,SES_Alpha*C48+(1-SES_Alpha)*G48))</f>
        <v>60.7047421240487</v>
      </c>
      <c r="H49" s="33" t="n">
        <f aca="false">IF(D49="","",D49-C49)</f>
        <v>6</v>
      </c>
      <c r="I49" s="33" t="n">
        <f aca="false">IF(E49="","",E49-C49)</f>
        <v>6.75</v>
      </c>
      <c r="J49" s="33" t="n">
        <f aca="false">IF(F49="","",F49-C49)</f>
        <v>5</v>
      </c>
      <c r="K49" s="33" t="n">
        <f aca="false">IF(G49="","",G49-C49)</f>
        <v>5.70474212404871</v>
      </c>
      <c r="L49" s="33" t="n">
        <f aca="false">IF(H49="","",ABS(H49))</f>
        <v>6</v>
      </c>
      <c r="M49" s="33" t="n">
        <f aca="false">IF(I49="","",ABS(I49))</f>
        <v>6.75</v>
      </c>
      <c r="N49" s="33" t="n">
        <f aca="false">IF(J49="","",ABS(J49))</f>
        <v>5</v>
      </c>
      <c r="O49" s="33" t="n">
        <f aca="false">IF(K49="","",ABS(K49))</f>
        <v>5.70474212404871</v>
      </c>
      <c r="P49" s="34" t="str">
        <f aca="false">IF(B49&gt;=Eval_Start_Week,"YES","")</f>
        <v/>
      </c>
      <c r="Q49" s="34" t="str">
        <f aca="false">IF(AND(B49&gt;=Cal_Start_Week,B49&lt;=Cal_End_Week),"YES","")</f>
        <v>YES</v>
      </c>
    </row>
    <row r="50" customFormat="false" ht="15" hidden="false" customHeight="false" outlineLevel="0" collapsed="false">
      <c r="A50" s="31" t="str">
        <f aca="false">Demand_History!C50</f>
        <v>KIT-001</v>
      </c>
      <c r="B50" s="31" t="n">
        <f aca="false">Demand_History!A50</f>
        <v>49</v>
      </c>
      <c r="C50" s="32" t="n">
        <f aca="false">Demand_History!D50</f>
        <v>76</v>
      </c>
      <c r="D50" s="33" t="n">
        <f aca="false">IF(B50&gt;=2,C49,"")</f>
        <v>55</v>
      </c>
      <c r="E50" s="33" t="n">
        <f aca="false">IF(B50&gt;=5,AVERAGE(C46:C49),"")</f>
        <v>57.75</v>
      </c>
      <c r="F50" s="33" t="n">
        <f aca="false">IF(B50&gt;=9,AVERAGE(C42:C49),"")</f>
        <v>59.25</v>
      </c>
      <c r="G50" s="33" t="n">
        <f aca="false">IF(B50=1,"",IF(B50=2,C49,SES_Alpha*C49+(1-SES_Alpha)*G49))</f>
        <v>58.9933194868341</v>
      </c>
      <c r="H50" s="33" t="n">
        <f aca="false">IF(D50="","",D50-C50)</f>
        <v>-21</v>
      </c>
      <c r="I50" s="33" t="n">
        <f aca="false">IF(E50="","",E50-C50)</f>
        <v>-18.25</v>
      </c>
      <c r="J50" s="33" t="n">
        <f aca="false">IF(F50="","",F50-C50)</f>
        <v>-16.75</v>
      </c>
      <c r="K50" s="33" t="n">
        <f aca="false">IF(G50="","",G50-C50)</f>
        <v>-17.0066805131659</v>
      </c>
      <c r="L50" s="33" t="n">
        <f aca="false">IF(H50="","",ABS(H50))</f>
        <v>21</v>
      </c>
      <c r="M50" s="33" t="n">
        <f aca="false">IF(I50="","",ABS(I50))</f>
        <v>18.25</v>
      </c>
      <c r="N50" s="33" t="n">
        <f aca="false">IF(J50="","",ABS(J50))</f>
        <v>16.75</v>
      </c>
      <c r="O50" s="33" t="n">
        <f aca="false">IF(K50="","",ABS(K50))</f>
        <v>17.0066805131659</v>
      </c>
      <c r="P50" s="34" t="str">
        <f aca="false">IF(B50&gt;=Eval_Start_Week,"YES","")</f>
        <v/>
      </c>
      <c r="Q50" s="34" t="str">
        <f aca="false">IF(AND(B50&gt;=Cal_Start_Week,B50&lt;=Cal_End_Week),"YES","")</f>
        <v>YES</v>
      </c>
    </row>
    <row r="51" customFormat="false" ht="15" hidden="false" customHeight="false" outlineLevel="0" collapsed="false">
      <c r="A51" s="31" t="str">
        <f aca="false">Demand_History!C51</f>
        <v>KIT-001</v>
      </c>
      <c r="B51" s="31" t="n">
        <f aca="false">Demand_History!A51</f>
        <v>50</v>
      </c>
      <c r="C51" s="32" t="n">
        <f aca="false">Demand_History!D51</f>
        <v>66</v>
      </c>
      <c r="D51" s="33" t="n">
        <f aca="false">IF(B51&gt;=2,C50,"")</f>
        <v>76</v>
      </c>
      <c r="E51" s="33" t="n">
        <f aca="false">IF(B51&gt;=5,AVERAGE(C47:C50),"")</f>
        <v>64.75</v>
      </c>
      <c r="F51" s="33" t="n">
        <f aca="false">IF(B51&gt;=9,AVERAGE(C43:C50),"")</f>
        <v>61.125</v>
      </c>
      <c r="G51" s="33" t="n">
        <f aca="false">IF(B51=1,"",IF(B51=2,C50,SES_Alpha*C50+(1-SES_Alpha)*G50))</f>
        <v>64.0953236407839</v>
      </c>
      <c r="H51" s="33" t="n">
        <f aca="false">IF(D51="","",D51-C51)</f>
        <v>10</v>
      </c>
      <c r="I51" s="33" t="n">
        <f aca="false">IF(E51="","",E51-C51)</f>
        <v>-1.25</v>
      </c>
      <c r="J51" s="33" t="n">
        <f aca="false">IF(F51="","",F51-C51)</f>
        <v>-4.875</v>
      </c>
      <c r="K51" s="33" t="n">
        <f aca="false">IF(G51="","",G51-C51)</f>
        <v>-1.90467635921614</v>
      </c>
      <c r="L51" s="33" t="n">
        <f aca="false">IF(H51="","",ABS(H51))</f>
        <v>10</v>
      </c>
      <c r="M51" s="33" t="n">
        <f aca="false">IF(I51="","",ABS(I51))</f>
        <v>1.25</v>
      </c>
      <c r="N51" s="33" t="n">
        <f aca="false">IF(J51="","",ABS(J51))</f>
        <v>4.875</v>
      </c>
      <c r="O51" s="33" t="n">
        <f aca="false">IF(K51="","",ABS(K51))</f>
        <v>1.90467635921614</v>
      </c>
      <c r="P51" s="34" t="str">
        <f aca="false">IF(B51&gt;=Eval_Start_Week,"YES","")</f>
        <v/>
      </c>
      <c r="Q51" s="34" t="str">
        <f aca="false">IF(AND(B51&gt;=Cal_Start_Week,B51&lt;=Cal_End_Week),"YES","")</f>
        <v>YES</v>
      </c>
    </row>
    <row r="52" customFormat="false" ht="15" hidden="false" customHeight="false" outlineLevel="0" collapsed="false">
      <c r="A52" s="31" t="str">
        <f aca="false">Demand_History!C52</f>
        <v>KIT-001</v>
      </c>
      <c r="B52" s="31" t="n">
        <f aca="false">Demand_History!A52</f>
        <v>51</v>
      </c>
      <c r="C52" s="32" t="n">
        <f aca="false">Demand_History!D52</f>
        <v>51</v>
      </c>
      <c r="D52" s="33" t="n">
        <f aca="false">IF(B52&gt;=2,C51,"")</f>
        <v>66</v>
      </c>
      <c r="E52" s="33" t="n">
        <f aca="false">IF(B52&gt;=5,AVERAGE(C48:C51),"")</f>
        <v>64.5</v>
      </c>
      <c r="F52" s="33" t="n">
        <f aca="false">IF(B52&gt;=9,AVERAGE(C44:C51),"")</f>
        <v>63.125</v>
      </c>
      <c r="G52" s="33" t="n">
        <f aca="false">IF(B52=1,"",IF(B52=2,C51,SES_Alpha*C51+(1-SES_Alpha)*G51))</f>
        <v>64.6667265485487</v>
      </c>
      <c r="H52" s="33" t="n">
        <f aca="false">IF(D52="","",D52-C52)</f>
        <v>15</v>
      </c>
      <c r="I52" s="33" t="n">
        <f aca="false">IF(E52="","",E52-C52)</f>
        <v>13.5</v>
      </c>
      <c r="J52" s="33" t="n">
        <f aca="false">IF(F52="","",F52-C52)</f>
        <v>12.125</v>
      </c>
      <c r="K52" s="33" t="n">
        <f aca="false">IF(G52="","",G52-C52)</f>
        <v>13.6667265485487</v>
      </c>
      <c r="L52" s="33" t="n">
        <f aca="false">IF(H52="","",ABS(H52))</f>
        <v>15</v>
      </c>
      <c r="M52" s="33" t="n">
        <f aca="false">IF(I52="","",ABS(I52))</f>
        <v>13.5</v>
      </c>
      <c r="N52" s="33" t="n">
        <f aca="false">IF(J52="","",ABS(J52))</f>
        <v>12.125</v>
      </c>
      <c r="O52" s="33" t="n">
        <f aca="false">IF(K52="","",ABS(K52))</f>
        <v>13.6667265485487</v>
      </c>
      <c r="P52" s="34" t="str">
        <f aca="false">IF(B52&gt;=Eval_Start_Week,"YES","")</f>
        <v/>
      </c>
      <c r="Q52" s="34" t="str">
        <f aca="false">IF(AND(B52&gt;=Cal_Start_Week,B52&lt;=Cal_End_Week),"YES","")</f>
        <v>YES</v>
      </c>
    </row>
    <row r="53" customFormat="false" ht="15" hidden="false" customHeight="false" outlineLevel="0" collapsed="false">
      <c r="A53" s="31" t="str">
        <f aca="false">Demand_History!C53</f>
        <v>KIT-001</v>
      </c>
      <c r="B53" s="31" t="n">
        <f aca="false">Demand_History!A53</f>
        <v>52</v>
      </c>
      <c r="C53" s="32" t="n">
        <f aca="false">Demand_History!D53</f>
        <v>61</v>
      </c>
      <c r="D53" s="33" t="n">
        <f aca="false">IF(B53&gt;=2,C52,"")</f>
        <v>51</v>
      </c>
      <c r="E53" s="33" t="n">
        <f aca="false">IF(B53&gt;=5,AVERAGE(C49:C52),"")</f>
        <v>62</v>
      </c>
      <c r="F53" s="33" t="n">
        <f aca="false">IF(B53&gt;=9,AVERAGE(C45:C52),"")</f>
        <v>61.875</v>
      </c>
      <c r="G53" s="33" t="n">
        <f aca="false">IF(B53=1,"",IF(B53=2,C52,SES_Alpha*C52+(1-SES_Alpha)*G52))</f>
        <v>60.5667085839841</v>
      </c>
      <c r="H53" s="33" t="n">
        <f aca="false">IF(D53="","",D53-C53)</f>
        <v>-10</v>
      </c>
      <c r="I53" s="33" t="n">
        <f aca="false">IF(E53="","",E53-C53)</f>
        <v>1</v>
      </c>
      <c r="J53" s="33" t="n">
        <f aca="false">IF(F53="","",F53-C53)</f>
        <v>0.875</v>
      </c>
      <c r="K53" s="33" t="n">
        <f aca="false">IF(G53="","",G53-C53)</f>
        <v>-0.433291416015919</v>
      </c>
      <c r="L53" s="33" t="n">
        <f aca="false">IF(H53="","",ABS(H53))</f>
        <v>10</v>
      </c>
      <c r="M53" s="33" t="n">
        <f aca="false">IF(I53="","",ABS(I53))</f>
        <v>1</v>
      </c>
      <c r="N53" s="33" t="n">
        <f aca="false">IF(J53="","",ABS(J53))</f>
        <v>0.875</v>
      </c>
      <c r="O53" s="33" t="n">
        <f aca="false">IF(K53="","",ABS(K53))</f>
        <v>0.433291416015919</v>
      </c>
      <c r="P53" s="34" t="str">
        <f aca="false">IF(B53&gt;=Eval_Start_Week,"YES","")</f>
        <v/>
      </c>
      <c r="Q53" s="34" t="str">
        <f aca="false">IF(AND(B53&gt;=Cal_Start_Week,B53&lt;=Cal_End_Week),"YES","")</f>
        <v>YES</v>
      </c>
    </row>
    <row r="54" customFormat="false" ht="15" hidden="false" customHeight="false" outlineLevel="0" collapsed="false">
      <c r="A54" s="31" t="str">
        <f aca="false">Demand_History!C54</f>
        <v>KIT-001</v>
      </c>
      <c r="B54" s="31" t="n">
        <f aca="false">Demand_History!A54</f>
        <v>53</v>
      </c>
      <c r="C54" s="32" t="n">
        <f aca="false">Demand_History!D54</f>
        <v>65</v>
      </c>
      <c r="D54" s="33" t="n">
        <f aca="false">IF(B54&gt;=2,C53,"")</f>
        <v>61</v>
      </c>
      <c r="E54" s="33" t="n">
        <f aca="false">IF(B54&gt;=5,AVERAGE(C50:C53),"")</f>
        <v>63.5</v>
      </c>
      <c r="F54" s="33" t="n">
        <f aca="false">IF(B54&gt;=9,AVERAGE(C46:C53),"")</f>
        <v>60.625</v>
      </c>
      <c r="G54" s="33" t="n">
        <f aca="false">IF(B54=1,"",IF(B54=2,C53,SES_Alpha*C53+(1-SES_Alpha)*G53))</f>
        <v>60.6966960087889</v>
      </c>
      <c r="H54" s="33" t="n">
        <f aca="false">IF(D54="","",D54-C54)</f>
        <v>-4</v>
      </c>
      <c r="I54" s="33" t="n">
        <f aca="false">IF(E54="","",E54-C54)</f>
        <v>-1.5</v>
      </c>
      <c r="J54" s="33" t="n">
        <f aca="false">IF(F54="","",F54-C54)</f>
        <v>-4.375</v>
      </c>
      <c r="K54" s="33" t="n">
        <f aca="false">IF(G54="","",G54-C54)</f>
        <v>-4.30330399121115</v>
      </c>
      <c r="L54" s="33" t="n">
        <f aca="false">IF(H54="","",ABS(H54))</f>
        <v>4</v>
      </c>
      <c r="M54" s="33" t="n">
        <f aca="false">IF(I54="","",ABS(I54))</f>
        <v>1.5</v>
      </c>
      <c r="N54" s="33" t="n">
        <f aca="false">IF(J54="","",ABS(J54))</f>
        <v>4.375</v>
      </c>
      <c r="O54" s="33" t="n">
        <f aca="false">IF(K54="","",ABS(K54))</f>
        <v>4.30330399121115</v>
      </c>
      <c r="P54" s="34" t="str">
        <f aca="false">IF(B54&gt;=Eval_Start_Week,"YES","")</f>
        <v>YES</v>
      </c>
      <c r="Q54" s="34" t="str">
        <f aca="false">IF(AND(B54&gt;=Cal_Start_Week,B54&lt;=Cal_End_Week),"YES","")</f>
        <v>YES</v>
      </c>
    </row>
    <row r="55" customFormat="false" ht="15" hidden="false" customHeight="false" outlineLevel="0" collapsed="false">
      <c r="A55" s="31" t="str">
        <f aca="false">Demand_History!C55</f>
        <v>KIT-001</v>
      </c>
      <c r="B55" s="31" t="n">
        <f aca="false">Demand_History!A55</f>
        <v>54</v>
      </c>
      <c r="C55" s="32" t="n">
        <f aca="false">Demand_History!D55</f>
        <v>59</v>
      </c>
      <c r="D55" s="33" t="n">
        <f aca="false">IF(B55&gt;=2,C54,"")</f>
        <v>65</v>
      </c>
      <c r="E55" s="33" t="n">
        <f aca="false">IF(B55&gt;=5,AVERAGE(C51:C54),"")</f>
        <v>60.75</v>
      </c>
      <c r="F55" s="33" t="n">
        <f aca="false">IF(B55&gt;=9,AVERAGE(C47:C54),"")</f>
        <v>62.75</v>
      </c>
      <c r="G55" s="33" t="n">
        <f aca="false">IF(B55=1,"",IF(B55=2,C54,SES_Alpha*C54+(1-SES_Alpha)*G54))</f>
        <v>61.9876872061522</v>
      </c>
      <c r="H55" s="33" t="n">
        <f aca="false">IF(D55="","",D55-C55)</f>
        <v>6</v>
      </c>
      <c r="I55" s="33" t="n">
        <f aca="false">IF(E55="","",E55-C55)</f>
        <v>1.75</v>
      </c>
      <c r="J55" s="33" t="n">
        <f aca="false">IF(F55="","",F55-C55)</f>
        <v>3.75</v>
      </c>
      <c r="K55" s="33" t="n">
        <f aca="false">IF(G55="","",G55-C55)</f>
        <v>2.98768720615219</v>
      </c>
      <c r="L55" s="33" t="n">
        <f aca="false">IF(H55="","",ABS(H55))</f>
        <v>6</v>
      </c>
      <c r="M55" s="33" t="n">
        <f aca="false">IF(I55="","",ABS(I55))</f>
        <v>1.75</v>
      </c>
      <c r="N55" s="33" t="n">
        <f aca="false">IF(J55="","",ABS(J55))</f>
        <v>3.75</v>
      </c>
      <c r="O55" s="33" t="n">
        <f aca="false">IF(K55="","",ABS(K55))</f>
        <v>2.98768720615219</v>
      </c>
      <c r="P55" s="34" t="str">
        <f aca="false">IF(B55&gt;=Eval_Start_Week,"YES","")</f>
        <v>YES</v>
      </c>
      <c r="Q55" s="34" t="str">
        <f aca="false">IF(AND(B55&gt;=Cal_Start_Week,B55&lt;=Cal_End_Week),"YES","")</f>
        <v>YES</v>
      </c>
    </row>
    <row r="56" customFormat="false" ht="15" hidden="false" customHeight="false" outlineLevel="0" collapsed="false">
      <c r="A56" s="31" t="str">
        <f aca="false">Demand_History!C56</f>
        <v>KIT-001</v>
      </c>
      <c r="B56" s="31" t="n">
        <f aca="false">Demand_History!A56</f>
        <v>55</v>
      </c>
      <c r="C56" s="32" t="n">
        <f aca="false">Demand_History!D56</f>
        <v>65</v>
      </c>
      <c r="D56" s="33" t="n">
        <f aca="false">IF(B56&gt;=2,C55,"")</f>
        <v>59</v>
      </c>
      <c r="E56" s="33" t="n">
        <f aca="false">IF(B56&gt;=5,AVERAGE(C52:C55),"")</f>
        <v>59</v>
      </c>
      <c r="F56" s="33" t="n">
        <f aca="false">IF(B56&gt;=9,AVERAGE(C48:C55),"")</f>
        <v>61.75</v>
      </c>
      <c r="G56" s="33" t="n">
        <f aca="false">IF(B56=1,"",IF(B56=2,C55,SES_Alpha*C55+(1-SES_Alpha)*G55))</f>
        <v>61.0913810443065</v>
      </c>
      <c r="H56" s="33" t="n">
        <f aca="false">IF(D56="","",D56-C56)</f>
        <v>-6</v>
      </c>
      <c r="I56" s="33" t="n">
        <f aca="false">IF(E56="","",E56-C56)</f>
        <v>-6</v>
      </c>
      <c r="J56" s="33" t="n">
        <f aca="false">IF(F56="","",F56-C56)</f>
        <v>-3.25</v>
      </c>
      <c r="K56" s="33" t="n">
        <f aca="false">IF(G56="","",G56-C56)</f>
        <v>-3.90861895569347</v>
      </c>
      <c r="L56" s="33" t="n">
        <f aca="false">IF(H56="","",ABS(H56))</f>
        <v>6</v>
      </c>
      <c r="M56" s="33" t="n">
        <f aca="false">IF(I56="","",ABS(I56))</f>
        <v>6</v>
      </c>
      <c r="N56" s="33" t="n">
        <f aca="false">IF(J56="","",ABS(J56))</f>
        <v>3.25</v>
      </c>
      <c r="O56" s="33" t="n">
        <f aca="false">IF(K56="","",ABS(K56))</f>
        <v>3.90861895569347</v>
      </c>
      <c r="P56" s="34" t="str">
        <f aca="false">IF(B56&gt;=Eval_Start_Week,"YES","")</f>
        <v>YES</v>
      </c>
      <c r="Q56" s="34" t="str">
        <f aca="false">IF(AND(B56&gt;=Cal_Start_Week,B56&lt;=Cal_End_Week),"YES","")</f>
        <v>YES</v>
      </c>
    </row>
    <row r="57" customFormat="false" ht="15" hidden="false" customHeight="false" outlineLevel="0" collapsed="false">
      <c r="A57" s="31" t="str">
        <f aca="false">Demand_History!C57</f>
        <v>KIT-001</v>
      </c>
      <c r="B57" s="31" t="n">
        <f aca="false">Demand_History!A57</f>
        <v>56</v>
      </c>
      <c r="C57" s="32" t="n">
        <f aca="false">Demand_History!D57</f>
        <v>59</v>
      </c>
      <c r="D57" s="33" t="n">
        <f aca="false">IF(B57&gt;=2,C56,"")</f>
        <v>65</v>
      </c>
      <c r="E57" s="33" t="n">
        <f aca="false">IF(B57&gt;=5,AVERAGE(C53:C56),"")</f>
        <v>62.5</v>
      </c>
      <c r="F57" s="33" t="n">
        <f aca="false">IF(B57&gt;=9,AVERAGE(C49:C56),"")</f>
        <v>62.25</v>
      </c>
      <c r="G57" s="33" t="n">
        <f aca="false">IF(B57=1,"",IF(B57=2,C56,SES_Alpha*C56+(1-SES_Alpha)*G56))</f>
        <v>62.2639667310146</v>
      </c>
      <c r="H57" s="33" t="n">
        <f aca="false">IF(D57="","",D57-C57)</f>
        <v>6</v>
      </c>
      <c r="I57" s="33" t="n">
        <f aca="false">IF(E57="","",E57-C57)</f>
        <v>3.5</v>
      </c>
      <c r="J57" s="33" t="n">
        <f aca="false">IF(F57="","",F57-C57)</f>
        <v>3.25</v>
      </c>
      <c r="K57" s="33" t="n">
        <f aca="false">IF(G57="","",G57-C57)</f>
        <v>3.26396673101457</v>
      </c>
      <c r="L57" s="33" t="n">
        <f aca="false">IF(H57="","",ABS(H57))</f>
        <v>6</v>
      </c>
      <c r="M57" s="33" t="n">
        <f aca="false">IF(I57="","",ABS(I57))</f>
        <v>3.5</v>
      </c>
      <c r="N57" s="33" t="n">
        <f aca="false">IF(J57="","",ABS(J57))</f>
        <v>3.25</v>
      </c>
      <c r="O57" s="33" t="n">
        <f aca="false">IF(K57="","",ABS(K57))</f>
        <v>3.26396673101457</v>
      </c>
      <c r="P57" s="34" t="str">
        <f aca="false">IF(B57&gt;=Eval_Start_Week,"YES","")</f>
        <v>YES</v>
      </c>
      <c r="Q57" s="34" t="str">
        <f aca="false">IF(AND(B57&gt;=Cal_Start_Week,B57&lt;=Cal_End_Week),"YES","")</f>
        <v>YES</v>
      </c>
    </row>
    <row r="58" customFormat="false" ht="15" hidden="false" customHeight="false" outlineLevel="0" collapsed="false">
      <c r="A58" s="31" t="str">
        <f aca="false">Demand_History!C58</f>
        <v>KIT-001</v>
      </c>
      <c r="B58" s="31" t="n">
        <f aca="false">Demand_History!A58</f>
        <v>57</v>
      </c>
      <c r="C58" s="32" t="n">
        <f aca="false">Demand_History!D58</f>
        <v>65</v>
      </c>
      <c r="D58" s="33" t="n">
        <f aca="false">IF(B58&gt;=2,C57,"")</f>
        <v>59</v>
      </c>
      <c r="E58" s="33" t="n">
        <f aca="false">IF(B58&gt;=5,AVERAGE(C54:C57),"")</f>
        <v>62</v>
      </c>
      <c r="F58" s="33" t="n">
        <f aca="false">IF(B58&gt;=9,AVERAGE(C50:C57),"")</f>
        <v>62.75</v>
      </c>
      <c r="G58" s="33" t="n">
        <f aca="false">IF(B58=1,"",IF(B58=2,C57,SES_Alpha*C57+(1-SES_Alpha)*G57))</f>
        <v>61.2847767117102</v>
      </c>
      <c r="H58" s="33" t="n">
        <f aca="false">IF(D58="","",D58-C58)</f>
        <v>-6</v>
      </c>
      <c r="I58" s="33" t="n">
        <f aca="false">IF(E58="","",E58-C58)</f>
        <v>-3</v>
      </c>
      <c r="J58" s="33" t="n">
        <f aca="false">IF(F58="","",F58-C58)</f>
        <v>-2.25</v>
      </c>
      <c r="K58" s="33" t="n">
        <f aca="false">IF(G58="","",G58-C58)</f>
        <v>-3.71522328828981</v>
      </c>
      <c r="L58" s="33" t="n">
        <f aca="false">IF(H58="","",ABS(H58))</f>
        <v>6</v>
      </c>
      <c r="M58" s="33" t="n">
        <f aca="false">IF(I58="","",ABS(I58))</f>
        <v>3</v>
      </c>
      <c r="N58" s="33" t="n">
        <f aca="false">IF(J58="","",ABS(J58))</f>
        <v>2.25</v>
      </c>
      <c r="O58" s="33" t="n">
        <f aca="false">IF(K58="","",ABS(K58))</f>
        <v>3.71522328828981</v>
      </c>
      <c r="P58" s="34" t="str">
        <f aca="false">IF(B58&gt;=Eval_Start_Week,"YES","")</f>
        <v>YES</v>
      </c>
      <c r="Q58" s="34" t="str">
        <f aca="false">IF(AND(B58&gt;=Cal_Start_Week,B58&lt;=Cal_End_Week),"YES","")</f>
        <v>YES</v>
      </c>
    </row>
    <row r="59" customFormat="false" ht="15" hidden="false" customHeight="false" outlineLevel="0" collapsed="false">
      <c r="A59" s="31" t="str">
        <f aca="false">Demand_History!C59</f>
        <v>KIT-001</v>
      </c>
      <c r="B59" s="31" t="n">
        <f aca="false">Demand_History!A59</f>
        <v>58</v>
      </c>
      <c r="C59" s="32" t="n">
        <f aca="false">Demand_History!D59</f>
        <v>71</v>
      </c>
      <c r="D59" s="33" t="n">
        <f aca="false">IF(B59&gt;=2,C58,"")</f>
        <v>65</v>
      </c>
      <c r="E59" s="33" t="n">
        <f aca="false">IF(B59&gt;=5,AVERAGE(C55:C58),"")</f>
        <v>62</v>
      </c>
      <c r="F59" s="33" t="n">
        <f aca="false">IF(B59&gt;=9,AVERAGE(C51:C58),"")</f>
        <v>61.375</v>
      </c>
      <c r="G59" s="33" t="n">
        <f aca="false">IF(B59=1,"",IF(B59=2,C58,SES_Alpha*C58+(1-SES_Alpha)*G58))</f>
        <v>62.3993436981971</v>
      </c>
      <c r="H59" s="33" t="n">
        <f aca="false">IF(D59="","",D59-C59)</f>
        <v>-6</v>
      </c>
      <c r="I59" s="33" t="n">
        <f aca="false">IF(E59="","",E59-C59)</f>
        <v>-9</v>
      </c>
      <c r="J59" s="33" t="n">
        <f aca="false">IF(F59="","",F59-C59)</f>
        <v>-9.625</v>
      </c>
      <c r="K59" s="33" t="n">
        <f aca="false">IF(G59="","",G59-C59)</f>
        <v>-8.60065630180286</v>
      </c>
      <c r="L59" s="33" t="n">
        <f aca="false">IF(H59="","",ABS(H59))</f>
        <v>6</v>
      </c>
      <c r="M59" s="33" t="n">
        <f aca="false">IF(I59="","",ABS(I59))</f>
        <v>9</v>
      </c>
      <c r="N59" s="33" t="n">
        <f aca="false">IF(J59="","",ABS(J59))</f>
        <v>9.625</v>
      </c>
      <c r="O59" s="33" t="n">
        <f aca="false">IF(K59="","",ABS(K59))</f>
        <v>8.60065630180286</v>
      </c>
      <c r="P59" s="34" t="str">
        <f aca="false">IF(B59&gt;=Eval_Start_Week,"YES","")</f>
        <v>YES</v>
      </c>
      <c r="Q59" s="34" t="str">
        <f aca="false">IF(AND(B59&gt;=Cal_Start_Week,B59&lt;=Cal_End_Week),"YES","")</f>
        <v>YES</v>
      </c>
    </row>
    <row r="60" customFormat="false" ht="15" hidden="false" customHeight="false" outlineLevel="0" collapsed="false">
      <c r="A60" s="31" t="str">
        <f aca="false">Demand_History!C60</f>
        <v>KIT-001</v>
      </c>
      <c r="B60" s="31" t="n">
        <f aca="false">Demand_History!A60</f>
        <v>59</v>
      </c>
      <c r="C60" s="32" t="n">
        <f aca="false">Demand_History!D60</f>
        <v>55</v>
      </c>
      <c r="D60" s="33" t="n">
        <f aca="false">IF(B60&gt;=2,C59,"")</f>
        <v>71</v>
      </c>
      <c r="E60" s="33" t="n">
        <f aca="false">IF(B60&gt;=5,AVERAGE(C56:C59),"")</f>
        <v>65</v>
      </c>
      <c r="F60" s="33" t="n">
        <f aca="false">IF(B60&gt;=9,AVERAGE(C52:C59),"")</f>
        <v>62</v>
      </c>
      <c r="G60" s="33" t="n">
        <f aca="false">IF(B60=1,"",IF(B60=2,C59,SES_Alpha*C59+(1-SES_Alpha)*G59))</f>
        <v>64.979540588738</v>
      </c>
      <c r="H60" s="33" t="n">
        <f aca="false">IF(D60="","",D60-C60)</f>
        <v>16</v>
      </c>
      <c r="I60" s="33" t="n">
        <f aca="false">IF(E60="","",E60-C60)</f>
        <v>10</v>
      </c>
      <c r="J60" s="33" t="n">
        <f aca="false">IF(F60="","",F60-C60)</f>
        <v>7</v>
      </c>
      <c r="K60" s="33" t="n">
        <f aca="false">IF(G60="","",G60-C60)</f>
        <v>9.97954058873799</v>
      </c>
      <c r="L60" s="33" t="n">
        <f aca="false">IF(H60="","",ABS(H60))</f>
        <v>16</v>
      </c>
      <c r="M60" s="33" t="n">
        <f aca="false">IF(I60="","",ABS(I60))</f>
        <v>10</v>
      </c>
      <c r="N60" s="33" t="n">
        <f aca="false">IF(J60="","",ABS(J60))</f>
        <v>7</v>
      </c>
      <c r="O60" s="33" t="n">
        <f aca="false">IF(K60="","",ABS(K60))</f>
        <v>9.97954058873799</v>
      </c>
      <c r="P60" s="34" t="str">
        <f aca="false">IF(B60&gt;=Eval_Start_Week,"YES","")</f>
        <v>YES</v>
      </c>
      <c r="Q60" s="34" t="str">
        <f aca="false">IF(AND(B60&gt;=Cal_Start_Week,B60&lt;=Cal_End_Week),"YES","")</f>
        <v>YES</v>
      </c>
    </row>
    <row r="61" customFormat="false" ht="15" hidden="false" customHeight="false" outlineLevel="0" collapsed="false">
      <c r="A61" s="31" t="str">
        <f aca="false">Demand_History!C61</f>
        <v>KIT-001</v>
      </c>
      <c r="B61" s="31" t="n">
        <f aca="false">Demand_History!A61</f>
        <v>60</v>
      </c>
      <c r="C61" s="32" t="n">
        <f aca="false">Demand_History!D61</f>
        <v>62</v>
      </c>
      <c r="D61" s="33" t="n">
        <f aca="false">IF(B61&gt;=2,C60,"")</f>
        <v>55</v>
      </c>
      <c r="E61" s="33" t="n">
        <f aca="false">IF(B61&gt;=5,AVERAGE(C57:C60),"")</f>
        <v>62.5</v>
      </c>
      <c r="F61" s="33" t="n">
        <f aca="false">IF(B61&gt;=9,AVERAGE(C53:C60),"")</f>
        <v>62.5</v>
      </c>
      <c r="G61" s="33" t="n">
        <f aca="false">IF(B61=1,"",IF(B61=2,C60,SES_Alpha*C60+(1-SES_Alpha)*G60))</f>
        <v>61.9856784121166</v>
      </c>
      <c r="H61" s="33" t="n">
        <f aca="false">IF(D61="","",D61-C61)</f>
        <v>-7</v>
      </c>
      <c r="I61" s="33" t="n">
        <f aca="false">IF(E61="","",E61-C61)</f>
        <v>0.5</v>
      </c>
      <c r="J61" s="33" t="n">
        <f aca="false">IF(F61="","",F61-C61)</f>
        <v>0.5</v>
      </c>
      <c r="K61" s="33" t="n">
        <f aca="false">IF(G61="","",G61-C61)</f>
        <v>-0.0143215878834084</v>
      </c>
      <c r="L61" s="33" t="n">
        <f aca="false">IF(H61="","",ABS(H61))</f>
        <v>7</v>
      </c>
      <c r="M61" s="33" t="n">
        <f aca="false">IF(I61="","",ABS(I61))</f>
        <v>0.5</v>
      </c>
      <c r="N61" s="33" t="n">
        <f aca="false">IF(J61="","",ABS(J61))</f>
        <v>0.5</v>
      </c>
      <c r="O61" s="33" t="n">
        <f aca="false">IF(K61="","",ABS(K61))</f>
        <v>0.0143215878834084</v>
      </c>
      <c r="P61" s="34" t="str">
        <f aca="false">IF(B61&gt;=Eval_Start_Week,"YES","")</f>
        <v>YES</v>
      </c>
      <c r="Q61" s="34" t="str">
        <f aca="false">IF(AND(B61&gt;=Cal_Start_Week,B61&lt;=Cal_End_Week),"YES","")</f>
        <v>YES</v>
      </c>
    </row>
    <row r="62" customFormat="false" ht="15" hidden="false" customHeight="false" outlineLevel="0" collapsed="false">
      <c r="A62" s="31" t="str">
        <f aca="false">Demand_History!C62</f>
        <v>KIT-001</v>
      </c>
      <c r="B62" s="31" t="n">
        <f aca="false">Demand_History!A62</f>
        <v>61</v>
      </c>
      <c r="C62" s="32" t="n">
        <f aca="false">Demand_History!D62</f>
        <v>56</v>
      </c>
      <c r="D62" s="33" t="n">
        <f aca="false">IF(B62&gt;=2,C61,"")</f>
        <v>62</v>
      </c>
      <c r="E62" s="33" t="n">
        <f aca="false">IF(B62&gt;=5,AVERAGE(C58:C61),"")</f>
        <v>63.25</v>
      </c>
      <c r="F62" s="33" t="n">
        <f aca="false">IF(B62&gt;=9,AVERAGE(C54:C61),"")</f>
        <v>62.625</v>
      </c>
      <c r="G62" s="33" t="n">
        <f aca="false">IF(B62=1,"",IF(B62=2,C61,SES_Alpha*C61+(1-SES_Alpha)*G61))</f>
        <v>61.9899748884816</v>
      </c>
      <c r="H62" s="33" t="n">
        <f aca="false">IF(D62="","",D62-C62)</f>
        <v>6</v>
      </c>
      <c r="I62" s="33" t="n">
        <f aca="false">IF(E62="","",E62-C62)</f>
        <v>7.25</v>
      </c>
      <c r="J62" s="33" t="n">
        <f aca="false">IF(F62="","",F62-C62)</f>
        <v>6.625</v>
      </c>
      <c r="K62" s="33" t="n">
        <f aca="false">IF(G62="","",G62-C62)</f>
        <v>5.98997488848161</v>
      </c>
      <c r="L62" s="33" t="n">
        <f aca="false">IF(H62="","",ABS(H62))</f>
        <v>6</v>
      </c>
      <c r="M62" s="33" t="n">
        <f aca="false">IF(I62="","",ABS(I62))</f>
        <v>7.25</v>
      </c>
      <c r="N62" s="33" t="n">
        <f aca="false">IF(J62="","",ABS(J62))</f>
        <v>6.625</v>
      </c>
      <c r="O62" s="33" t="n">
        <f aca="false">IF(K62="","",ABS(K62))</f>
        <v>5.98997488848161</v>
      </c>
      <c r="P62" s="34" t="str">
        <f aca="false">IF(B62&gt;=Eval_Start_Week,"YES","")</f>
        <v>YES</v>
      </c>
      <c r="Q62" s="34" t="str">
        <f aca="false">IF(AND(B62&gt;=Cal_Start_Week,B62&lt;=Cal_End_Week),"YES","")</f>
        <v>YES</v>
      </c>
    </row>
    <row r="63" customFormat="false" ht="15" hidden="false" customHeight="false" outlineLevel="0" collapsed="false">
      <c r="A63" s="31" t="str">
        <f aca="false">Demand_History!C63</f>
        <v>KIT-001</v>
      </c>
      <c r="B63" s="31" t="n">
        <f aca="false">Demand_History!A63</f>
        <v>62</v>
      </c>
      <c r="C63" s="32" t="n">
        <f aca="false">Demand_History!D63</f>
        <v>61</v>
      </c>
      <c r="D63" s="33" t="n">
        <f aca="false">IF(B63&gt;=2,C62,"")</f>
        <v>56</v>
      </c>
      <c r="E63" s="33" t="n">
        <f aca="false">IF(B63&gt;=5,AVERAGE(C59:C62),"")</f>
        <v>61</v>
      </c>
      <c r="F63" s="33" t="n">
        <f aca="false">IF(B63&gt;=9,AVERAGE(C55:C62),"")</f>
        <v>61.5</v>
      </c>
      <c r="G63" s="33" t="n">
        <f aca="false">IF(B63=1,"",IF(B63=2,C62,SES_Alpha*C62+(1-SES_Alpha)*G62))</f>
        <v>60.1929824219371</v>
      </c>
      <c r="H63" s="33" t="n">
        <f aca="false">IF(D63="","",D63-C63)</f>
        <v>-5</v>
      </c>
      <c r="I63" s="33" t="n">
        <f aca="false">IF(E63="","",E63-C63)</f>
        <v>0</v>
      </c>
      <c r="J63" s="33" t="n">
        <f aca="false">IF(F63="","",F63-C63)</f>
        <v>0.5</v>
      </c>
      <c r="K63" s="33" t="n">
        <f aca="false">IF(G63="","",G63-C63)</f>
        <v>-0.807017578062869</v>
      </c>
      <c r="L63" s="33" t="n">
        <f aca="false">IF(H63="","",ABS(H63))</f>
        <v>5</v>
      </c>
      <c r="M63" s="33" t="n">
        <f aca="false">IF(I63="","",ABS(I63))</f>
        <v>0</v>
      </c>
      <c r="N63" s="33" t="n">
        <f aca="false">IF(J63="","",ABS(J63))</f>
        <v>0.5</v>
      </c>
      <c r="O63" s="33" t="n">
        <f aca="false">IF(K63="","",ABS(K63))</f>
        <v>0.807017578062869</v>
      </c>
      <c r="P63" s="34" t="str">
        <f aca="false">IF(B63&gt;=Eval_Start_Week,"YES","")</f>
        <v>YES</v>
      </c>
      <c r="Q63" s="34" t="str">
        <f aca="false">IF(AND(B63&gt;=Cal_Start_Week,B63&lt;=Cal_End_Week),"YES","")</f>
        <v>YES</v>
      </c>
    </row>
    <row r="64" customFormat="false" ht="15" hidden="false" customHeight="false" outlineLevel="0" collapsed="false">
      <c r="A64" s="31" t="str">
        <f aca="false">Demand_History!C64</f>
        <v>KIT-001</v>
      </c>
      <c r="B64" s="31" t="n">
        <f aca="false">Demand_History!A64</f>
        <v>63</v>
      </c>
      <c r="C64" s="32" t="n">
        <f aca="false">Demand_History!D64</f>
        <v>51</v>
      </c>
      <c r="D64" s="33" t="n">
        <f aca="false">IF(B64&gt;=2,C63,"")</f>
        <v>61</v>
      </c>
      <c r="E64" s="33" t="n">
        <f aca="false">IF(B64&gt;=5,AVERAGE(C60:C63),"")</f>
        <v>58.5</v>
      </c>
      <c r="F64" s="33" t="n">
        <f aca="false">IF(B64&gt;=9,AVERAGE(C56:C63),"")</f>
        <v>61.75</v>
      </c>
      <c r="G64" s="33" t="n">
        <f aca="false">IF(B64=1,"",IF(B64=2,C63,SES_Alpha*C63+(1-SES_Alpha)*G63))</f>
        <v>60.435087695356</v>
      </c>
      <c r="H64" s="33" t="n">
        <f aca="false">IF(D64="","",D64-C64)</f>
        <v>10</v>
      </c>
      <c r="I64" s="33" t="n">
        <f aca="false">IF(E64="","",E64-C64)</f>
        <v>7.5</v>
      </c>
      <c r="J64" s="33" t="n">
        <f aca="false">IF(F64="","",F64-C64)</f>
        <v>10.75</v>
      </c>
      <c r="K64" s="33" t="n">
        <f aca="false">IF(G64="","",G64-C64)</f>
        <v>9.43508769535599</v>
      </c>
      <c r="L64" s="33" t="n">
        <f aca="false">IF(H64="","",ABS(H64))</f>
        <v>10</v>
      </c>
      <c r="M64" s="33" t="n">
        <f aca="false">IF(I64="","",ABS(I64))</f>
        <v>7.5</v>
      </c>
      <c r="N64" s="33" t="n">
        <f aca="false">IF(J64="","",ABS(J64))</f>
        <v>10.75</v>
      </c>
      <c r="O64" s="33" t="n">
        <f aca="false">IF(K64="","",ABS(K64))</f>
        <v>9.43508769535599</v>
      </c>
      <c r="P64" s="34" t="str">
        <f aca="false">IF(B64&gt;=Eval_Start_Week,"YES","")</f>
        <v>YES</v>
      </c>
      <c r="Q64" s="34" t="str">
        <f aca="false">IF(AND(B64&gt;=Cal_Start_Week,B64&lt;=Cal_End_Week),"YES","")</f>
        <v>YES</v>
      </c>
    </row>
    <row r="65" customFormat="false" ht="15" hidden="false" customHeight="false" outlineLevel="0" collapsed="false">
      <c r="A65" s="31" t="str">
        <f aca="false">Demand_History!C65</f>
        <v>KIT-001</v>
      </c>
      <c r="B65" s="31" t="n">
        <f aca="false">Demand_History!A65</f>
        <v>64</v>
      </c>
      <c r="C65" s="32" t="n">
        <f aca="false">Demand_History!D65</f>
        <v>55</v>
      </c>
      <c r="D65" s="33" t="n">
        <f aca="false">IF(B65&gt;=2,C64,"")</f>
        <v>51</v>
      </c>
      <c r="E65" s="33" t="n">
        <f aca="false">IF(B65&gt;=5,AVERAGE(C61:C64),"")</f>
        <v>57.5</v>
      </c>
      <c r="F65" s="33" t="n">
        <f aca="false">IF(B65&gt;=9,AVERAGE(C57:C64),"")</f>
        <v>60</v>
      </c>
      <c r="G65" s="33" t="n">
        <f aca="false">IF(B65=1,"",IF(B65=2,C64,SES_Alpha*C64+(1-SES_Alpha)*G64))</f>
        <v>57.6045613867492</v>
      </c>
      <c r="H65" s="33" t="n">
        <f aca="false">IF(D65="","",D65-C65)</f>
        <v>-4</v>
      </c>
      <c r="I65" s="33" t="n">
        <f aca="false">IF(E65="","",E65-C65)</f>
        <v>2.5</v>
      </c>
      <c r="J65" s="33" t="n">
        <f aca="false">IF(F65="","",F65-C65)</f>
        <v>5</v>
      </c>
      <c r="K65" s="33" t="n">
        <f aca="false">IF(G65="","",G65-C65)</f>
        <v>2.60456138674919</v>
      </c>
      <c r="L65" s="33" t="n">
        <f aca="false">IF(H65="","",ABS(H65))</f>
        <v>4</v>
      </c>
      <c r="M65" s="33" t="n">
        <f aca="false">IF(I65="","",ABS(I65))</f>
        <v>2.5</v>
      </c>
      <c r="N65" s="33" t="n">
        <f aca="false">IF(J65="","",ABS(J65))</f>
        <v>5</v>
      </c>
      <c r="O65" s="33" t="n">
        <f aca="false">IF(K65="","",ABS(K65))</f>
        <v>2.60456138674919</v>
      </c>
      <c r="P65" s="34" t="str">
        <f aca="false">IF(B65&gt;=Eval_Start_Week,"YES","")</f>
        <v>YES</v>
      </c>
      <c r="Q65" s="34" t="str">
        <f aca="false">IF(AND(B65&gt;=Cal_Start_Week,B65&lt;=Cal_End_Week),"YES","")</f>
        <v>YES</v>
      </c>
    </row>
    <row r="66" customFormat="false" ht="15" hidden="false" customHeight="false" outlineLevel="0" collapsed="false">
      <c r="A66" s="31" t="str">
        <f aca="false">Demand_History!C66</f>
        <v>KIT-001</v>
      </c>
      <c r="B66" s="31" t="n">
        <f aca="false">Demand_History!A66</f>
        <v>65</v>
      </c>
      <c r="C66" s="32" t="n">
        <f aca="false">Demand_History!D66</f>
        <v>58</v>
      </c>
      <c r="D66" s="33" t="n">
        <f aca="false">IF(B66&gt;=2,C65,"")</f>
        <v>55</v>
      </c>
      <c r="E66" s="33" t="n">
        <f aca="false">IF(B66&gt;=5,AVERAGE(C62:C65),"")</f>
        <v>55.75</v>
      </c>
      <c r="F66" s="33" t="n">
        <f aca="false">IF(B66&gt;=9,AVERAGE(C58:C65),"")</f>
        <v>59.5</v>
      </c>
      <c r="G66" s="33" t="n">
        <f aca="false">IF(B66=1,"",IF(B66=2,C65,SES_Alpha*C65+(1-SES_Alpha)*G65))</f>
        <v>56.8231929707244</v>
      </c>
      <c r="H66" s="33" t="n">
        <f aca="false">IF(D66="","",D66-C66)</f>
        <v>-3</v>
      </c>
      <c r="I66" s="33" t="n">
        <f aca="false">IF(E66="","",E66-C66)</f>
        <v>-2.25</v>
      </c>
      <c r="J66" s="33" t="n">
        <f aca="false">IF(F66="","",F66-C66)</f>
        <v>1.5</v>
      </c>
      <c r="K66" s="33" t="n">
        <f aca="false">IF(G66="","",G66-C66)</f>
        <v>-1.17680702927557</v>
      </c>
      <c r="L66" s="33" t="n">
        <f aca="false">IF(H66="","",ABS(H66))</f>
        <v>3</v>
      </c>
      <c r="M66" s="33" t="n">
        <f aca="false">IF(I66="","",ABS(I66))</f>
        <v>2.25</v>
      </c>
      <c r="N66" s="33" t="n">
        <f aca="false">IF(J66="","",ABS(J66))</f>
        <v>1.5</v>
      </c>
      <c r="O66" s="33" t="n">
        <f aca="false">IF(K66="","",ABS(K66))</f>
        <v>1.17680702927557</v>
      </c>
      <c r="P66" s="34" t="str">
        <f aca="false">IF(B66&gt;=Eval_Start_Week,"YES","")</f>
        <v>YES</v>
      </c>
      <c r="Q66" s="34" t="str">
        <f aca="false">IF(AND(B66&gt;=Cal_Start_Week,B66&lt;=Cal_End_Week),"YES","")</f>
        <v>YES</v>
      </c>
    </row>
    <row r="67" customFormat="false" ht="15" hidden="false" customHeight="false" outlineLevel="0" collapsed="false">
      <c r="A67" s="31" t="str">
        <f aca="false">Demand_History!C67</f>
        <v>KIT-001</v>
      </c>
      <c r="B67" s="31" t="n">
        <f aca="false">Demand_History!A67</f>
        <v>66</v>
      </c>
      <c r="C67" s="32" t="n">
        <f aca="false">Demand_History!D67</f>
        <v>67</v>
      </c>
      <c r="D67" s="33" t="n">
        <f aca="false">IF(B67&gt;=2,C66,"")</f>
        <v>58</v>
      </c>
      <c r="E67" s="33" t="n">
        <f aca="false">IF(B67&gt;=5,AVERAGE(C63:C66),"")</f>
        <v>56.25</v>
      </c>
      <c r="F67" s="33" t="n">
        <f aca="false">IF(B67&gt;=9,AVERAGE(C59:C66),"")</f>
        <v>58.625</v>
      </c>
      <c r="G67" s="33" t="n">
        <f aca="false">IF(B67=1,"",IF(B67=2,C66,SES_Alpha*C66+(1-SES_Alpha)*G66))</f>
        <v>57.1762350795071</v>
      </c>
      <c r="H67" s="33" t="n">
        <f aca="false">IF(D67="","",D67-C67)</f>
        <v>-9</v>
      </c>
      <c r="I67" s="33" t="n">
        <f aca="false">IF(E67="","",E67-C67)</f>
        <v>-10.75</v>
      </c>
      <c r="J67" s="33" t="n">
        <f aca="false">IF(F67="","",F67-C67)</f>
        <v>-8.375</v>
      </c>
      <c r="K67" s="33" t="n">
        <f aca="false">IF(G67="","",G67-C67)</f>
        <v>-9.82376492049291</v>
      </c>
      <c r="L67" s="33" t="n">
        <f aca="false">IF(H67="","",ABS(H67))</f>
        <v>9</v>
      </c>
      <c r="M67" s="33" t="n">
        <f aca="false">IF(I67="","",ABS(I67))</f>
        <v>10.75</v>
      </c>
      <c r="N67" s="33" t="n">
        <f aca="false">IF(J67="","",ABS(J67))</f>
        <v>8.375</v>
      </c>
      <c r="O67" s="33" t="n">
        <f aca="false">IF(K67="","",ABS(K67))</f>
        <v>9.82376492049291</v>
      </c>
      <c r="P67" s="34" t="str">
        <f aca="false">IF(B67&gt;=Eval_Start_Week,"YES","")</f>
        <v>YES</v>
      </c>
      <c r="Q67" s="34" t="str">
        <f aca="false">IF(AND(B67&gt;=Cal_Start_Week,B67&lt;=Cal_End_Week),"YES","")</f>
        <v>YES</v>
      </c>
    </row>
    <row r="68" customFormat="false" ht="15" hidden="false" customHeight="false" outlineLevel="0" collapsed="false">
      <c r="A68" s="31" t="str">
        <f aca="false">Demand_History!C68</f>
        <v>KIT-001</v>
      </c>
      <c r="B68" s="31" t="n">
        <f aca="false">Demand_History!A68</f>
        <v>67</v>
      </c>
      <c r="C68" s="32" t="n">
        <f aca="false">Demand_History!D68</f>
        <v>69</v>
      </c>
      <c r="D68" s="33" t="n">
        <f aca="false">IF(B68&gt;=2,C67,"")</f>
        <v>67</v>
      </c>
      <c r="E68" s="33" t="n">
        <f aca="false">IF(B68&gt;=5,AVERAGE(C64:C67),"")</f>
        <v>57.75</v>
      </c>
      <c r="F68" s="33" t="n">
        <f aca="false">IF(B68&gt;=9,AVERAGE(C60:C67),"")</f>
        <v>58.125</v>
      </c>
      <c r="G68" s="33" t="n">
        <f aca="false">IF(B68=1,"",IF(B68=2,C67,SES_Alpha*C67+(1-SES_Alpha)*G67))</f>
        <v>60.123364555655</v>
      </c>
      <c r="H68" s="33" t="n">
        <f aca="false">IF(D68="","",D68-C68)</f>
        <v>-2</v>
      </c>
      <c r="I68" s="33" t="n">
        <f aca="false">IF(E68="","",E68-C68)</f>
        <v>-11.25</v>
      </c>
      <c r="J68" s="33" t="n">
        <f aca="false">IF(F68="","",F68-C68)</f>
        <v>-10.875</v>
      </c>
      <c r="K68" s="33" t="n">
        <f aca="false">IF(G68="","",G68-C68)</f>
        <v>-8.87663544434504</v>
      </c>
      <c r="L68" s="33" t="n">
        <f aca="false">IF(H68="","",ABS(H68))</f>
        <v>2</v>
      </c>
      <c r="M68" s="33" t="n">
        <f aca="false">IF(I68="","",ABS(I68))</f>
        <v>11.25</v>
      </c>
      <c r="N68" s="33" t="n">
        <f aca="false">IF(J68="","",ABS(J68))</f>
        <v>10.875</v>
      </c>
      <c r="O68" s="33" t="n">
        <f aca="false">IF(K68="","",ABS(K68))</f>
        <v>8.87663544434504</v>
      </c>
      <c r="P68" s="34" t="str">
        <f aca="false">IF(B68&gt;=Eval_Start_Week,"YES","")</f>
        <v>YES</v>
      </c>
      <c r="Q68" s="34" t="str">
        <f aca="false">IF(AND(B68&gt;=Cal_Start_Week,B68&lt;=Cal_End_Week),"YES","")</f>
        <v>YES</v>
      </c>
    </row>
    <row r="69" customFormat="false" ht="15" hidden="false" customHeight="false" outlineLevel="0" collapsed="false">
      <c r="A69" s="31" t="str">
        <f aca="false">Demand_History!C69</f>
        <v>KIT-001</v>
      </c>
      <c r="B69" s="31" t="n">
        <f aca="false">Demand_History!A69</f>
        <v>68</v>
      </c>
      <c r="C69" s="32" t="n">
        <f aca="false">Demand_History!D69</f>
        <v>50</v>
      </c>
      <c r="D69" s="33" t="n">
        <f aca="false">IF(B69&gt;=2,C68,"")</f>
        <v>69</v>
      </c>
      <c r="E69" s="33" t="n">
        <f aca="false">IF(B69&gt;=5,AVERAGE(C65:C68),"")</f>
        <v>62.25</v>
      </c>
      <c r="F69" s="33" t="n">
        <f aca="false">IF(B69&gt;=9,AVERAGE(C61:C68),"")</f>
        <v>59.875</v>
      </c>
      <c r="G69" s="33" t="n">
        <f aca="false">IF(B69=1,"",IF(B69=2,C68,SES_Alpha*C68+(1-SES_Alpha)*G68))</f>
        <v>62.7863551889585</v>
      </c>
      <c r="H69" s="33" t="n">
        <f aca="false">IF(D69="","",D69-C69)</f>
        <v>19</v>
      </c>
      <c r="I69" s="33" t="n">
        <f aca="false">IF(E69="","",E69-C69)</f>
        <v>12.25</v>
      </c>
      <c r="J69" s="33" t="n">
        <f aca="false">IF(F69="","",F69-C69)</f>
        <v>9.875</v>
      </c>
      <c r="K69" s="33" t="n">
        <f aca="false">IF(G69="","",G69-C69)</f>
        <v>12.7863551889585</v>
      </c>
      <c r="L69" s="33" t="n">
        <f aca="false">IF(H69="","",ABS(H69))</f>
        <v>19</v>
      </c>
      <c r="M69" s="33" t="n">
        <f aca="false">IF(I69="","",ABS(I69))</f>
        <v>12.25</v>
      </c>
      <c r="N69" s="33" t="n">
        <f aca="false">IF(J69="","",ABS(J69))</f>
        <v>9.875</v>
      </c>
      <c r="O69" s="33" t="n">
        <f aca="false">IF(K69="","",ABS(K69))</f>
        <v>12.7863551889585</v>
      </c>
      <c r="P69" s="34" t="str">
        <f aca="false">IF(B69&gt;=Eval_Start_Week,"YES","")</f>
        <v>YES</v>
      </c>
      <c r="Q69" s="34" t="str">
        <f aca="false">IF(AND(B69&gt;=Cal_Start_Week,B69&lt;=Cal_End_Week),"YES","")</f>
        <v>YES</v>
      </c>
    </row>
    <row r="70" customFormat="false" ht="15" hidden="false" customHeight="false" outlineLevel="0" collapsed="false">
      <c r="A70" s="31" t="str">
        <f aca="false">Demand_History!C70</f>
        <v>KIT-001</v>
      </c>
      <c r="B70" s="31" t="n">
        <f aca="false">Demand_History!A70</f>
        <v>69</v>
      </c>
      <c r="C70" s="32" t="n">
        <f aca="false">Demand_History!D70</f>
        <v>54</v>
      </c>
      <c r="D70" s="33" t="n">
        <f aca="false">IF(B70&gt;=2,C69,"")</f>
        <v>50</v>
      </c>
      <c r="E70" s="33" t="n">
        <f aca="false">IF(B70&gt;=5,AVERAGE(C66:C69),"")</f>
        <v>61</v>
      </c>
      <c r="F70" s="33" t="n">
        <f aca="false">IF(B70&gt;=9,AVERAGE(C62:C69),"")</f>
        <v>58.375</v>
      </c>
      <c r="G70" s="33" t="n">
        <f aca="false">IF(B70=1,"",IF(B70=2,C69,SES_Alpha*C69+(1-SES_Alpha)*G69))</f>
        <v>58.9504486322709</v>
      </c>
      <c r="H70" s="33" t="n">
        <f aca="false">IF(D70="","",D70-C70)</f>
        <v>-4</v>
      </c>
      <c r="I70" s="33" t="n">
        <f aca="false">IF(E70="","",E70-C70)</f>
        <v>7</v>
      </c>
      <c r="J70" s="33" t="n">
        <f aca="false">IF(F70="","",F70-C70)</f>
        <v>4.375</v>
      </c>
      <c r="K70" s="33" t="n">
        <f aca="false">IF(G70="","",G70-C70)</f>
        <v>4.95044863227093</v>
      </c>
      <c r="L70" s="33" t="n">
        <f aca="false">IF(H70="","",ABS(H70))</f>
        <v>4</v>
      </c>
      <c r="M70" s="33" t="n">
        <f aca="false">IF(I70="","",ABS(I70))</f>
        <v>7</v>
      </c>
      <c r="N70" s="33" t="n">
        <f aca="false">IF(J70="","",ABS(J70))</f>
        <v>4.375</v>
      </c>
      <c r="O70" s="33" t="n">
        <f aca="false">IF(K70="","",ABS(K70))</f>
        <v>4.95044863227093</v>
      </c>
      <c r="P70" s="34" t="str">
        <f aca="false">IF(B70&gt;=Eval_Start_Week,"YES","")</f>
        <v>YES</v>
      </c>
      <c r="Q70" s="34" t="str">
        <f aca="false">IF(AND(B70&gt;=Cal_Start_Week,B70&lt;=Cal_End_Week),"YES","")</f>
        <v>YES</v>
      </c>
    </row>
    <row r="71" customFormat="false" ht="15" hidden="false" customHeight="false" outlineLevel="0" collapsed="false">
      <c r="A71" s="31" t="str">
        <f aca="false">Demand_History!C71</f>
        <v>KIT-001</v>
      </c>
      <c r="B71" s="31" t="n">
        <f aca="false">Demand_History!A71</f>
        <v>70</v>
      </c>
      <c r="C71" s="32" t="n">
        <f aca="false">Demand_History!D71</f>
        <v>65</v>
      </c>
      <c r="D71" s="33" t="n">
        <f aca="false">IF(B71&gt;=2,C70,"")</f>
        <v>54</v>
      </c>
      <c r="E71" s="33" t="n">
        <f aca="false">IF(B71&gt;=5,AVERAGE(C67:C70),"")</f>
        <v>60</v>
      </c>
      <c r="F71" s="33" t="n">
        <f aca="false">IF(B71&gt;=9,AVERAGE(C63:C70),"")</f>
        <v>58.125</v>
      </c>
      <c r="G71" s="33" t="n">
        <f aca="false">IF(B71=1,"",IF(B71=2,C70,SES_Alpha*C70+(1-SES_Alpha)*G70))</f>
        <v>57.4653140425896</v>
      </c>
      <c r="H71" s="33" t="n">
        <f aca="false">IF(D71="","",D71-C71)</f>
        <v>-11</v>
      </c>
      <c r="I71" s="33" t="n">
        <f aca="false">IF(E71="","",E71-C71)</f>
        <v>-5</v>
      </c>
      <c r="J71" s="33" t="n">
        <f aca="false">IF(F71="","",F71-C71)</f>
        <v>-6.875</v>
      </c>
      <c r="K71" s="33" t="n">
        <f aca="false">IF(G71="","",G71-C71)</f>
        <v>-7.53468595741036</v>
      </c>
      <c r="L71" s="33" t="n">
        <f aca="false">IF(H71="","",ABS(H71))</f>
        <v>11</v>
      </c>
      <c r="M71" s="33" t="n">
        <f aca="false">IF(I71="","",ABS(I71))</f>
        <v>5</v>
      </c>
      <c r="N71" s="33" t="n">
        <f aca="false">IF(J71="","",ABS(J71))</f>
        <v>6.875</v>
      </c>
      <c r="O71" s="33" t="n">
        <f aca="false">IF(K71="","",ABS(K71))</f>
        <v>7.53468595741036</v>
      </c>
      <c r="P71" s="34" t="str">
        <f aca="false">IF(B71&gt;=Eval_Start_Week,"YES","")</f>
        <v>YES</v>
      </c>
      <c r="Q71" s="34" t="str">
        <f aca="false">IF(AND(B71&gt;=Cal_Start_Week,B71&lt;=Cal_End_Week),"YES","")</f>
        <v>YES</v>
      </c>
    </row>
    <row r="72" customFormat="false" ht="15" hidden="false" customHeight="false" outlineLevel="0" collapsed="false">
      <c r="A72" s="31" t="str">
        <f aca="false">Demand_History!C72</f>
        <v>KIT-001</v>
      </c>
      <c r="B72" s="31" t="n">
        <f aca="false">Demand_History!A72</f>
        <v>71</v>
      </c>
      <c r="C72" s="32" t="n">
        <f aca="false">Demand_History!D72</f>
        <v>44</v>
      </c>
      <c r="D72" s="33" t="n">
        <f aca="false">IF(B72&gt;=2,C71,"")</f>
        <v>65</v>
      </c>
      <c r="E72" s="33" t="n">
        <f aca="false">IF(B72&gt;=5,AVERAGE(C68:C71),"")</f>
        <v>59.5</v>
      </c>
      <c r="F72" s="33" t="n">
        <f aca="false">IF(B72&gt;=9,AVERAGE(C64:C71),"")</f>
        <v>58.625</v>
      </c>
      <c r="G72" s="33" t="n">
        <f aca="false">IF(B72=1,"",IF(B72=2,C71,SES_Alpha*C71+(1-SES_Alpha)*G71))</f>
        <v>59.7257198298127</v>
      </c>
      <c r="H72" s="33" t="n">
        <f aca="false">IF(D72="","",D72-C72)</f>
        <v>21</v>
      </c>
      <c r="I72" s="33" t="n">
        <f aca="false">IF(E72="","",E72-C72)</f>
        <v>15.5</v>
      </c>
      <c r="J72" s="33" t="n">
        <f aca="false">IF(F72="","",F72-C72)</f>
        <v>14.625</v>
      </c>
      <c r="K72" s="33" t="n">
        <f aca="false">IF(G72="","",G72-C72)</f>
        <v>15.7257198298127</v>
      </c>
      <c r="L72" s="33" t="n">
        <f aca="false">IF(H72="","",ABS(H72))</f>
        <v>21</v>
      </c>
      <c r="M72" s="33" t="n">
        <f aca="false">IF(I72="","",ABS(I72))</f>
        <v>15.5</v>
      </c>
      <c r="N72" s="33" t="n">
        <f aca="false">IF(J72="","",ABS(J72))</f>
        <v>14.625</v>
      </c>
      <c r="O72" s="33" t="n">
        <f aca="false">IF(K72="","",ABS(K72))</f>
        <v>15.7257198298127</v>
      </c>
      <c r="P72" s="34" t="str">
        <f aca="false">IF(B72&gt;=Eval_Start_Week,"YES","")</f>
        <v>YES</v>
      </c>
      <c r="Q72" s="34" t="str">
        <f aca="false">IF(AND(B72&gt;=Cal_Start_Week,B72&lt;=Cal_End_Week),"YES","")</f>
        <v>YES</v>
      </c>
    </row>
    <row r="73" customFormat="false" ht="15" hidden="false" customHeight="false" outlineLevel="0" collapsed="false">
      <c r="A73" s="31" t="str">
        <f aca="false">Demand_History!C73</f>
        <v>KIT-001</v>
      </c>
      <c r="B73" s="31" t="n">
        <f aca="false">Demand_History!A73</f>
        <v>72</v>
      </c>
      <c r="C73" s="32" t="n">
        <f aca="false">Demand_History!D73</f>
        <v>56</v>
      </c>
      <c r="D73" s="33" t="n">
        <f aca="false">IF(B73&gt;=2,C72,"")</f>
        <v>44</v>
      </c>
      <c r="E73" s="33" t="n">
        <f aca="false">IF(B73&gt;=5,AVERAGE(C69:C72),"")</f>
        <v>53.25</v>
      </c>
      <c r="F73" s="33" t="n">
        <f aca="false">IF(B73&gt;=9,AVERAGE(C65:C72),"")</f>
        <v>57.75</v>
      </c>
      <c r="G73" s="33" t="n">
        <f aca="false">IF(B73=1,"",IF(B73=2,C72,SES_Alpha*C72+(1-SES_Alpha)*G72))</f>
        <v>55.0080038808689</v>
      </c>
      <c r="H73" s="33" t="n">
        <f aca="false">IF(D73="","",D73-C73)</f>
        <v>-12</v>
      </c>
      <c r="I73" s="33" t="n">
        <f aca="false">IF(E73="","",E73-C73)</f>
        <v>-2.75</v>
      </c>
      <c r="J73" s="33" t="n">
        <f aca="false">IF(F73="","",F73-C73)</f>
        <v>1.75</v>
      </c>
      <c r="K73" s="33" t="n">
        <f aca="false">IF(G73="","",G73-C73)</f>
        <v>-0.991996119131088</v>
      </c>
      <c r="L73" s="33" t="n">
        <f aca="false">IF(H73="","",ABS(H73))</f>
        <v>12</v>
      </c>
      <c r="M73" s="33" t="n">
        <f aca="false">IF(I73="","",ABS(I73))</f>
        <v>2.75</v>
      </c>
      <c r="N73" s="33" t="n">
        <f aca="false">IF(J73="","",ABS(J73))</f>
        <v>1.75</v>
      </c>
      <c r="O73" s="33" t="n">
        <f aca="false">IF(K73="","",ABS(K73))</f>
        <v>0.991996119131088</v>
      </c>
      <c r="P73" s="34" t="str">
        <f aca="false">IF(B73&gt;=Eval_Start_Week,"YES","")</f>
        <v>YES</v>
      </c>
      <c r="Q73" s="34" t="str">
        <f aca="false">IF(AND(B73&gt;=Cal_Start_Week,B73&lt;=Cal_End_Week),"YES","")</f>
        <v>YES</v>
      </c>
    </row>
    <row r="74" customFormat="false" ht="15" hidden="false" customHeight="false" outlineLevel="0" collapsed="false">
      <c r="A74" s="31" t="str">
        <f aca="false">Demand_History!C74</f>
        <v>KIT-001</v>
      </c>
      <c r="B74" s="31" t="n">
        <f aca="false">Demand_History!A74</f>
        <v>73</v>
      </c>
      <c r="C74" s="32" t="n">
        <f aca="false">Demand_History!D74</f>
        <v>59</v>
      </c>
      <c r="D74" s="33" t="n">
        <f aca="false">IF(B74&gt;=2,C73,"")</f>
        <v>56</v>
      </c>
      <c r="E74" s="33" t="n">
        <f aca="false">IF(B74&gt;=5,AVERAGE(C70:C73),"")</f>
        <v>54.75</v>
      </c>
      <c r="F74" s="33" t="n">
        <f aca="false">IF(B74&gt;=9,AVERAGE(C66:C73),"")</f>
        <v>57.875</v>
      </c>
      <c r="G74" s="33" t="n">
        <f aca="false">IF(B74=1,"",IF(B74=2,C73,SES_Alpha*C73+(1-SES_Alpha)*G73))</f>
        <v>55.3056027166082</v>
      </c>
      <c r="H74" s="33" t="n">
        <f aca="false">IF(D74="","",D74-C74)</f>
        <v>-3</v>
      </c>
      <c r="I74" s="33" t="n">
        <f aca="false">IF(E74="","",E74-C74)</f>
        <v>-4.25</v>
      </c>
      <c r="J74" s="33" t="n">
        <f aca="false">IF(F74="","",F74-C74)</f>
        <v>-1.125</v>
      </c>
      <c r="K74" s="33" t="n">
        <f aca="false">IF(G74="","",G74-C74)</f>
        <v>-3.69439728339177</v>
      </c>
      <c r="L74" s="33" t="n">
        <f aca="false">IF(H74="","",ABS(H74))</f>
        <v>3</v>
      </c>
      <c r="M74" s="33" t="n">
        <f aca="false">IF(I74="","",ABS(I74))</f>
        <v>4.25</v>
      </c>
      <c r="N74" s="33" t="n">
        <f aca="false">IF(J74="","",ABS(J74))</f>
        <v>1.125</v>
      </c>
      <c r="O74" s="33" t="n">
        <f aca="false">IF(K74="","",ABS(K74))</f>
        <v>3.69439728339177</v>
      </c>
      <c r="P74" s="34" t="str">
        <f aca="false">IF(B74&gt;=Eval_Start_Week,"YES","")</f>
        <v>YES</v>
      </c>
      <c r="Q74" s="34" t="str">
        <f aca="false">IF(AND(B74&gt;=Cal_Start_Week,B74&lt;=Cal_End_Week),"YES","")</f>
        <v>YES</v>
      </c>
    </row>
    <row r="75" customFormat="false" ht="15" hidden="false" customHeight="false" outlineLevel="0" collapsed="false">
      <c r="A75" s="31" t="str">
        <f aca="false">Demand_History!C75</f>
        <v>KIT-001</v>
      </c>
      <c r="B75" s="31" t="n">
        <f aca="false">Demand_History!A75</f>
        <v>74</v>
      </c>
      <c r="C75" s="32" t="n">
        <f aca="false">Demand_History!D75</f>
        <v>70</v>
      </c>
      <c r="D75" s="33" t="n">
        <f aca="false">IF(B75&gt;=2,C74,"")</f>
        <v>59</v>
      </c>
      <c r="E75" s="33" t="n">
        <f aca="false">IF(B75&gt;=5,AVERAGE(C71:C74),"")</f>
        <v>56</v>
      </c>
      <c r="F75" s="33" t="n">
        <f aca="false">IF(B75&gt;=9,AVERAGE(C67:C74),"")</f>
        <v>58</v>
      </c>
      <c r="G75" s="33" t="n">
        <f aca="false">IF(B75=1,"",IF(B75=2,C74,SES_Alpha*C74+(1-SES_Alpha)*G74))</f>
        <v>56.4139219016258</v>
      </c>
      <c r="H75" s="33" t="n">
        <f aca="false">IF(D75="","",D75-C75)</f>
        <v>-11</v>
      </c>
      <c r="I75" s="33" t="n">
        <f aca="false">IF(E75="","",E75-C75)</f>
        <v>-14</v>
      </c>
      <c r="J75" s="33" t="n">
        <f aca="false">IF(F75="","",F75-C75)</f>
        <v>-12</v>
      </c>
      <c r="K75" s="33" t="n">
        <f aca="false">IF(G75="","",G75-C75)</f>
        <v>-13.5860780983742</v>
      </c>
      <c r="L75" s="33" t="n">
        <f aca="false">IF(H75="","",ABS(H75))</f>
        <v>11</v>
      </c>
      <c r="M75" s="33" t="n">
        <f aca="false">IF(I75="","",ABS(I75))</f>
        <v>14</v>
      </c>
      <c r="N75" s="33" t="n">
        <f aca="false">IF(J75="","",ABS(J75))</f>
        <v>12</v>
      </c>
      <c r="O75" s="33" t="n">
        <f aca="false">IF(K75="","",ABS(K75))</f>
        <v>13.5860780983742</v>
      </c>
      <c r="P75" s="34" t="str">
        <f aca="false">IF(B75&gt;=Eval_Start_Week,"YES","")</f>
        <v>YES</v>
      </c>
      <c r="Q75" s="34" t="str">
        <f aca="false">IF(AND(B75&gt;=Cal_Start_Week,B75&lt;=Cal_End_Week),"YES","")</f>
        <v>YES</v>
      </c>
    </row>
    <row r="76" customFormat="false" ht="15" hidden="false" customHeight="false" outlineLevel="0" collapsed="false">
      <c r="A76" s="31" t="str">
        <f aca="false">Demand_History!C76</f>
        <v>KIT-001</v>
      </c>
      <c r="B76" s="31" t="n">
        <f aca="false">Demand_History!A76</f>
        <v>75</v>
      </c>
      <c r="C76" s="32" t="n">
        <f aca="false">Demand_History!D76</f>
        <v>65</v>
      </c>
      <c r="D76" s="33" t="n">
        <f aca="false">IF(B76&gt;=2,C75,"")</f>
        <v>70</v>
      </c>
      <c r="E76" s="33" t="n">
        <f aca="false">IF(B76&gt;=5,AVERAGE(C72:C75),"")</f>
        <v>57.25</v>
      </c>
      <c r="F76" s="33" t="n">
        <f aca="false">IF(B76&gt;=9,AVERAGE(C68:C75),"")</f>
        <v>58.375</v>
      </c>
      <c r="G76" s="33" t="n">
        <f aca="false">IF(B76=1,"",IF(B76=2,C75,SES_Alpha*C75+(1-SES_Alpha)*G75))</f>
        <v>60.489745331138</v>
      </c>
      <c r="H76" s="33" t="n">
        <f aca="false">IF(D76="","",D76-C76)</f>
        <v>5</v>
      </c>
      <c r="I76" s="33" t="n">
        <f aca="false">IF(E76="","",E76-C76)</f>
        <v>-7.75</v>
      </c>
      <c r="J76" s="33" t="n">
        <f aca="false">IF(F76="","",F76-C76)</f>
        <v>-6.625</v>
      </c>
      <c r="K76" s="33" t="n">
        <f aca="false">IF(G76="","",G76-C76)</f>
        <v>-4.51025466886198</v>
      </c>
      <c r="L76" s="33" t="n">
        <f aca="false">IF(H76="","",ABS(H76))</f>
        <v>5</v>
      </c>
      <c r="M76" s="33" t="n">
        <f aca="false">IF(I76="","",ABS(I76))</f>
        <v>7.75</v>
      </c>
      <c r="N76" s="33" t="n">
        <f aca="false">IF(J76="","",ABS(J76))</f>
        <v>6.625</v>
      </c>
      <c r="O76" s="33" t="n">
        <f aca="false">IF(K76="","",ABS(K76))</f>
        <v>4.51025466886198</v>
      </c>
      <c r="P76" s="34" t="str">
        <f aca="false">IF(B76&gt;=Eval_Start_Week,"YES","")</f>
        <v>YES</v>
      </c>
      <c r="Q76" s="34" t="str">
        <f aca="false">IF(AND(B76&gt;=Cal_Start_Week,B76&lt;=Cal_End_Week),"YES","")</f>
        <v>YES</v>
      </c>
    </row>
    <row r="77" customFormat="false" ht="15" hidden="false" customHeight="false" outlineLevel="0" collapsed="false">
      <c r="A77" s="31" t="str">
        <f aca="false">Demand_History!C77</f>
        <v>KIT-001</v>
      </c>
      <c r="B77" s="31" t="n">
        <f aca="false">Demand_History!A77</f>
        <v>76</v>
      </c>
      <c r="C77" s="32" t="n">
        <f aca="false">Demand_History!D77</f>
        <v>57</v>
      </c>
      <c r="D77" s="33" t="n">
        <f aca="false">IF(B77&gt;=2,C76,"")</f>
        <v>65</v>
      </c>
      <c r="E77" s="33" t="n">
        <f aca="false">IF(B77&gt;=5,AVERAGE(C73:C76),"")</f>
        <v>62.5</v>
      </c>
      <c r="F77" s="33" t="n">
        <f aca="false">IF(B77&gt;=9,AVERAGE(C69:C76),"")</f>
        <v>57.875</v>
      </c>
      <c r="G77" s="33" t="n">
        <f aca="false">IF(B77=1,"",IF(B77=2,C76,SES_Alpha*C76+(1-SES_Alpha)*G76))</f>
        <v>61.8428217317966</v>
      </c>
      <c r="H77" s="33" t="n">
        <f aca="false">IF(D77="","",D77-C77)</f>
        <v>8</v>
      </c>
      <c r="I77" s="33" t="n">
        <f aca="false">IF(E77="","",E77-C77)</f>
        <v>5.5</v>
      </c>
      <c r="J77" s="33" t="n">
        <f aca="false">IF(F77="","",F77-C77)</f>
        <v>0.875</v>
      </c>
      <c r="K77" s="33" t="n">
        <f aca="false">IF(G77="","",G77-C77)</f>
        <v>4.84282173179661</v>
      </c>
      <c r="L77" s="33" t="n">
        <f aca="false">IF(H77="","",ABS(H77))</f>
        <v>8</v>
      </c>
      <c r="M77" s="33" t="n">
        <f aca="false">IF(I77="","",ABS(I77))</f>
        <v>5.5</v>
      </c>
      <c r="N77" s="33" t="n">
        <f aca="false">IF(J77="","",ABS(J77))</f>
        <v>0.875</v>
      </c>
      <c r="O77" s="33" t="n">
        <f aca="false">IF(K77="","",ABS(K77))</f>
        <v>4.84282173179661</v>
      </c>
      <c r="P77" s="34" t="str">
        <f aca="false">IF(B77&gt;=Eval_Start_Week,"YES","")</f>
        <v>YES</v>
      </c>
      <c r="Q77" s="34" t="str">
        <f aca="false">IF(AND(B77&gt;=Cal_Start_Week,B77&lt;=Cal_End_Week),"YES","")</f>
        <v>YES</v>
      </c>
    </row>
    <row r="78" customFormat="false" ht="15" hidden="false" customHeight="false" outlineLevel="0" collapsed="false">
      <c r="A78" s="31" t="str">
        <f aca="false">Demand_History!C78</f>
        <v>KIT-001</v>
      </c>
      <c r="B78" s="31" t="n">
        <f aca="false">Demand_History!A78</f>
        <v>77</v>
      </c>
      <c r="C78" s="32" t="n">
        <f aca="false">Demand_History!D78</f>
        <v>57</v>
      </c>
      <c r="D78" s="33" t="n">
        <f aca="false">IF(B78&gt;=2,C77,"")</f>
        <v>57</v>
      </c>
      <c r="E78" s="33" t="n">
        <f aca="false">IF(B78&gt;=5,AVERAGE(C74:C77),"")</f>
        <v>62.75</v>
      </c>
      <c r="F78" s="33" t="n">
        <f aca="false">IF(B78&gt;=9,AVERAGE(C70:C77),"")</f>
        <v>58.75</v>
      </c>
      <c r="G78" s="33" t="n">
        <f aca="false">IF(B78=1,"",IF(B78=2,C77,SES_Alpha*C77+(1-SES_Alpha)*G77))</f>
        <v>60.3899752122576</v>
      </c>
      <c r="H78" s="33" t="n">
        <f aca="false">IF(D78="","",D78-C78)</f>
        <v>0</v>
      </c>
      <c r="I78" s="33" t="n">
        <f aca="false">IF(E78="","",E78-C78)</f>
        <v>5.75</v>
      </c>
      <c r="J78" s="33" t="n">
        <f aca="false">IF(F78="","",F78-C78)</f>
        <v>1.75</v>
      </c>
      <c r="K78" s="33" t="n">
        <f aca="false">IF(G78="","",G78-C78)</f>
        <v>3.38997521225762</v>
      </c>
      <c r="L78" s="33" t="n">
        <f aca="false">IF(H78="","",ABS(H78))</f>
        <v>0</v>
      </c>
      <c r="M78" s="33" t="n">
        <f aca="false">IF(I78="","",ABS(I78))</f>
        <v>5.75</v>
      </c>
      <c r="N78" s="33" t="n">
        <f aca="false">IF(J78="","",ABS(J78))</f>
        <v>1.75</v>
      </c>
      <c r="O78" s="33" t="n">
        <f aca="false">IF(K78="","",ABS(K78))</f>
        <v>3.38997521225762</v>
      </c>
      <c r="P78" s="34" t="str">
        <f aca="false">IF(B78&gt;=Eval_Start_Week,"YES","")</f>
        <v>YES</v>
      </c>
      <c r="Q78" s="34" t="str">
        <f aca="false">IF(AND(B78&gt;=Cal_Start_Week,B78&lt;=Cal_End_Week),"YES","")</f>
        <v>YES</v>
      </c>
    </row>
    <row r="79" customFormat="false" ht="15" hidden="false" customHeight="false" outlineLevel="0" collapsed="false">
      <c r="A79" s="31" t="str">
        <f aca="false">Demand_History!C79</f>
        <v>KIT-001</v>
      </c>
      <c r="B79" s="31" t="n">
        <f aca="false">Demand_History!A79</f>
        <v>78</v>
      </c>
      <c r="C79" s="32" t="n">
        <f aca="false">Demand_History!D79</f>
        <v>58</v>
      </c>
      <c r="D79" s="33" t="n">
        <f aca="false">IF(B79&gt;=2,C78,"")</f>
        <v>57</v>
      </c>
      <c r="E79" s="33" t="n">
        <f aca="false">IF(B79&gt;=5,AVERAGE(C75:C78),"")</f>
        <v>62.25</v>
      </c>
      <c r="F79" s="33" t="n">
        <f aca="false">IF(B79&gt;=9,AVERAGE(C71:C78),"")</f>
        <v>59.125</v>
      </c>
      <c r="G79" s="33" t="n">
        <f aca="false">IF(B79=1,"",IF(B79=2,C78,SES_Alpha*C78+(1-SES_Alpha)*G78))</f>
        <v>59.3729826485803</v>
      </c>
      <c r="H79" s="33" t="n">
        <f aca="false">IF(D79="","",D79-C79)</f>
        <v>-1</v>
      </c>
      <c r="I79" s="33" t="n">
        <f aca="false">IF(E79="","",E79-C79)</f>
        <v>4.25</v>
      </c>
      <c r="J79" s="33" t="n">
        <f aca="false">IF(F79="","",F79-C79)</f>
        <v>1.125</v>
      </c>
      <c r="K79" s="33" t="n">
        <f aca="false">IF(G79="","",G79-C79)</f>
        <v>1.37298264858033</v>
      </c>
      <c r="L79" s="33" t="n">
        <f aca="false">IF(H79="","",ABS(H79))</f>
        <v>1</v>
      </c>
      <c r="M79" s="33" t="n">
        <f aca="false">IF(I79="","",ABS(I79))</f>
        <v>4.25</v>
      </c>
      <c r="N79" s="33" t="n">
        <f aca="false">IF(J79="","",ABS(J79))</f>
        <v>1.125</v>
      </c>
      <c r="O79" s="33" t="n">
        <f aca="false">IF(K79="","",ABS(K79))</f>
        <v>1.37298264858033</v>
      </c>
      <c r="P79" s="34" t="str">
        <f aca="false">IF(B79&gt;=Eval_Start_Week,"YES","")</f>
        <v>YES</v>
      </c>
      <c r="Q79" s="34" t="str">
        <f aca="false">IF(AND(B79&gt;=Cal_Start_Week,B79&lt;=Cal_End_Week),"YES","")</f>
        <v>YES</v>
      </c>
    </row>
    <row r="80" customFormat="false" ht="15" hidden="false" customHeight="false" outlineLevel="0" collapsed="false">
      <c r="A80" s="31" t="str">
        <f aca="false">Demand_History!C80</f>
        <v>KIT-001</v>
      </c>
      <c r="B80" s="31" t="n">
        <f aca="false">Demand_History!A80</f>
        <v>79</v>
      </c>
      <c r="C80" s="32" t="n">
        <f aca="false">Demand_History!D80</f>
        <v>72</v>
      </c>
      <c r="D80" s="33" t="n">
        <f aca="false">IF(B80&gt;=2,C79,"")</f>
        <v>58</v>
      </c>
      <c r="E80" s="33" t="n">
        <f aca="false">IF(B80&gt;=5,AVERAGE(C76:C79),"")</f>
        <v>59.25</v>
      </c>
      <c r="F80" s="33" t="n">
        <f aca="false">IF(B80&gt;=9,AVERAGE(C72:C79),"")</f>
        <v>58.25</v>
      </c>
      <c r="G80" s="33" t="n">
        <f aca="false">IF(B80=1,"",IF(B80=2,C79,SES_Alpha*C79+(1-SES_Alpha)*G79))</f>
        <v>58.9610878540062</v>
      </c>
      <c r="H80" s="33" t="n">
        <f aca="false">IF(D80="","",D80-C80)</f>
        <v>-14</v>
      </c>
      <c r="I80" s="33" t="n">
        <f aca="false">IF(E80="","",E80-C80)</f>
        <v>-12.75</v>
      </c>
      <c r="J80" s="33" t="n">
        <f aca="false">IF(F80="","",F80-C80)</f>
        <v>-13.75</v>
      </c>
      <c r="K80" s="33" t="n">
        <f aca="false">IF(G80="","",G80-C80)</f>
        <v>-13.0389121459938</v>
      </c>
      <c r="L80" s="33" t="n">
        <f aca="false">IF(H80="","",ABS(H80))</f>
        <v>14</v>
      </c>
      <c r="M80" s="33" t="n">
        <f aca="false">IF(I80="","",ABS(I80))</f>
        <v>12.75</v>
      </c>
      <c r="N80" s="33" t="n">
        <f aca="false">IF(J80="","",ABS(J80))</f>
        <v>13.75</v>
      </c>
      <c r="O80" s="33" t="n">
        <f aca="false">IF(K80="","",ABS(K80))</f>
        <v>13.0389121459938</v>
      </c>
      <c r="P80" s="34" t="str">
        <f aca="false">IF(B80&gt;=Eval_Start_Week,"YES","")</f>
        <v>YES</v>
      </c>
      <c r="Q80" s="34" t="str">
        <f aca="false">IF(AND(B80&gt;=Cal_Start_Week,B80&lt;=Cal_End_Week),"YES","")</f>
        <v>YES</v>
      </c>
    </row>
    <row r="81" customFormat="false" ht="15" hidden="false" customHeight="false" outlineLevel="0" collapsed="false">
      <c r="A81" s="31" t="str">
        <f aca="false">Demand_History!C81</f>
        <v>KIT-001</v>
      </c>
      <c r="B81" s="31" t="n">
        <f aca="false">Demand_History!A81</f>
        <v>80</v>
      </c>
      <c r="C81" s="32" t="n">
        <f aca="false">Demand_History!D81</f>
        <v>57</v>
      </c>
      <c r="D81" s="33" t="n">
        <f aca="false">IF(B81&gt;=2,C80,"")</f>
        <v>72</v>
      </c>
      <c r="E81" s="33" t="n">
        <f aca="false">IF(B81&gt;=5,AVERAGE(C77:C80),"")</f>
        <v>61</v>
      </c>
      <c r="F81" s="33" t="n">
        <f aca="false">IF(B81&gt;=9,AVERAGE(C73:C80),"")</f>
        <v>61.75</v>
      </c>
      <c r="G81" s="33" t="n">
        <f aca="false">IF(B81=1,"",IF(B81=2,C80,SES_Alpha*C80+(1-SES_Alpha)*G80))</f>
        <v>62.8727614978044</v>
      </c>
      <c r="H81" s="33" t="n">
        <f aca="false">IF(D81="","",D81-C81)</f>
        <v>15</v>
      </c>
      <c r="I81" s="33" t="n">
        <f aca="false">IF(E81="","",E81-C81)</f>
        <v>4</v>
      </c>
      <c r="J81" s="33" t="n">
        <f aca="false">IF(F81="","",F81-C81)</f>
        <v>4.75</v>
      </c>
      <c r="K81" s="33" t="n">
        <f aca="false">IF(G81="","",G81-C81)</f>
        <v>5.87276149780436</v>
      </c>
      <c r="L81" s="33" t="n">
        <f aca="false">IF(H81="","",ABS(H81))</f>
        <v>15</v>
      </c>
      <c r="M81" s="33" t="n">
        <f aca="false">IF(I81="","",ABS(I81))</f>
        <v>4</v>
      </c>
      <c r="N81" s="33" t="n">
        <f aca="false">IF(J81="","",ABS(J81))</f>
        <v>4.75</v>
      </c>
      <c r="O81" s="33" t="n">
        <f aca="false">IF(K81="","",ABS(K81))</f>
        <v>5.87276149780436</v>
      </c>
      <c r="P81" s="34" t="str">
        <f aca="false">IF(B81&gt;=Eval_Start_Week,"YES","")</f>
        <v>YES</v>
      </c>
      <c r="Q81" s="34" t="str">
        <f aca="false">IF(AND(B81&gt;=Cal_Start_Week,B81&lt;=Cal_End_Week),"YES","")</f>
        <v>YES</v>
      </c>
    </row>
    <row r="82" customFormat="false" ht="15" hidden="false" customHeight="false" outlineLevel="0" collapsed="false">
      <c r="A82" s="31" t="str">
        <f aca="false">Demand_History!C82</f>
        <v>KIT-001</v>
      </c>
      <c r="B82" s="31" t="n">
        <f aca="false">Demand_History!A82</f>
        <v>81</v>
      </c>
      <c r="C82" s="32" t="n">
        <f aca="false">Demand_History!D82</f>
        <v>58</v>
      </c>
      <c r="D82" s="33" t="n">
        <f aca="false">IF(B82&gt;=2,C81,"")</f>
        <v>57</v>
      </c>
      <c r="E82" s="33" t="n">
        <f aca="false">IF(B82&gt;=5,AVERAGE(C78:C81),"")</f>
        <v>61</v>
      </c>
      <c r="F82" s="33" t="n">
        <f aca="false">IF(B82&gt;=9,AVERAGE(C74:C81),"")</f>
        <v>61.875</v>
      </c>
      <c r="G82" s="33" t="n">
        <f aca="false">IF(B82=1,"",IF(B82=2,C81,SES_Alpha*C81+(1-SES_Alpha)*G81))</f>
        <v>61.1109330484631</v>
      </c>
      <c r="H82" s="33" t="n">
        <f aca="false">IF(D82="","",D82-C82)</f>
        <v>-1</v>
      </c>
      <c r="I82" s="33" t="n">
        <f aca="false">IF(E82="","",E82-C82)</f>
        <v>3</v>
      </c>
      <c r="J82" s="33" t="n">
        <f aca="false">IF(F82="","",F82-C82)</f>
        <v>3.875</v>
      </c>
      <c r="K82" s="33" t="n">
        <f aca="false">IF(G82="","",G82-C82)</f>
        <v>3.11093304846305</v>
      </c>
      <c r="L82" s="33" t="n">
        <f aca="false">IF(H82="","",ABS(H82))</f>
        <v>1</v>
      </c>
      <c r="M82" s="33" t="n">
        <f aca="false">IF(I82="","",ABS(I82))</f>
        <v>3</v>
      </c>
      <c r="N82" s="33" t="n">
        <f aca="false">IF(J82="","",ABS(J82))</f>
        <v>3.875</v>
      </c>
      <c r="O82" s="33" t="n">
        <f aca="false">IF(K82="","",ABS(K82))</f>
        <v>3.11093304846305</v>
      </c>
      <c r="P82" s="34" t="str">
        <f aca="false">IF(B82&gt;=Eval_Start_Week,"YES","")</f>
        <v>YES</v>
      </c>
      <c r="Q82" s="34" t="str">
        <f aca="false">IF(AND(B82&gt;=Cal_Start_Week,B82&lt;=Cal_End_Week),"YES","")</f>
        <v>YES</v>
      </c>
    </row>
    <row r="83" customFormat="false" ht="15" hidden="false" customHeight="false" outlineLevel="0" collapsed="false">
      <c r="A83" s="31" t="str">
        <f aca="false">Demand_History!C83</f>
        <v>KIT-001</v>
      </c>
      <c r="B83" s="31" t="n">
        <f aca="false">Demand_History!A83</f>
        <v>82</v>
      </c>
      <c r="C83" s="32" t="n">
        <f aca="false">Demand_History!D83</f>
        <v>63</v>
      </c>
      <c r="D83" s="33" t="n">
        <f aca="false">IF(B83&gt;=2,C82,"")</f>
        <v>58</v>
      </c>
      <c r="E83" s="33" t="n">
        <f aca="false">IF(B83&gt;=5,AVERAGE(C79:C82),"")</f>
        <v>61.25</v>
      </c>
      <c r="F83" s="33" t="n">
        <f aca="false">IF(B83&gt;=9,AVERAGE(C75:C82),"")</f>
        <v>61.75</v>
      </c>
      <c r="G83" s="33" t="n">
        <f aca="false">IF(B83=1,"",IF(B83=2,C82,SES_Alpha*C82+(1-SES_Alpha)*G82))</f>
        <v>60.1776531339241</v>
      </c>
      <c r="H83" s="33" t="n">
        <f aca="false">IF(D83="","",D83-C83)</f>
        <v>-5</v>
      </c>
      <c r="I83" s="33" t="n">
        <f aca="false">IF(E83="","",E83-C83)</f>
        <v>-1.75</v>
      </c>
      <c r="J83" s="33" t="n">
        <f aca="false">IF(F83="","",F83-C83)</f>
        <v>-1.25</v>
      </c>
      <c r="K83" s="33" t="n">
        <f aca="false">IF(G83="","",G83-C83)</f>
        <v>-2.82234686607587</v>
      </c>
      <c r="L83" s="33" t="n">
        <f aca="false">IF(H83="","",ABS(H83))</f>
        <v>5</v>
      </c>
      <c r="M83" s="33" t="n">
        <f aca="false">IF(I83="","",ABS(I83))</f>
        <v>1.75</v>
      </c>
      <c r="N83" s="33" t="n">
        <f aca="false">IF(J83="","",ABS(J83))</f>
        <v>1.25</v>
      </c>
      <c r="O83" s="33" t="n">
        <f aca="false">IF(K83="","",ABS(K83))</f>
        <v>2.82234686607587</v>
      </c>
      <c r="P83" s="34" t="str">
        <f aca="false">IF(B83&gt;=Eval_Start_Week,"YES","")</f>
        <v>YES</v>
      </c>
      <c r="Q83" s="34" t="str">
        <f aca="false">IF(AND(B83&gt;=Cal_Start_Week,B83&lt;=Cal_End_Week),"YES","")</f>
        <v>YES</v>
      </c>
    </row>
    <row r="84" customFormat="false" ht="15" hidden="false" customHeight="false" outlineLevel="0" collapsed="false">
      <c r="A84" s="31" t="str">
        <f aca="false">Demand_History!C84</f>
        <v>KIT-001</v>
      </c>
      <c r="B84" s="31" t="n">
        <f aca="false">Demand_History!A84</f>
        <v>83</v>
      </c>
      <c r="C84" s="32" t="n">
        <f aca="false">Demand_History!D84</f>
        <v>59</v>
      </c>
      <c r="D84" s="33" t="n">
        <f aca="false">IF(B84&gt;=2,C83,"")</f>
        <v>63</v>
      </c>
      <c r="E84" s="33" t="n">
        <f aca="false">IF(B84&gt;=5,AVERAGE(C80:C83),"")</f>
        <v>62.5</v>
      </c>
      <c r="F84" s="33" t="n">
        <f aca="false">IF(B84&gt;=9,AVERAGE(C76:C83),"")</f>
        <v>60.875</v>
      </c>
      <c r="G84" s="33" t="n">
        <f aca="false">IF(B84=1,"",IF(B84=2,C83,SES_Alpha*C83+(1-SES_Alpha)*G83))</f>
        <v>61.0243571937469</v>
      </c>
      <c r="H84" s="33" t="n">
        <f aca="false">IF(D84="","",D84-C84)</f>
        <v>4</v>
      </c>
      <c r="I84" s="33" t="n">
        <f aca="false">IF(E84="","",E84-C84)</f>
        <v>3.5</v>
      </c>
      <c r="J84" s="33" t="n">
        <f aca="false">IF(F84="","",F84-C84)</f>
        <v>1.875</v>
      </c>
      <c r="K84" s="33" t="n">
        <f aca="false">IF(G84="","",G84-C84)</f>
        <v>2.02435719374689</v>
      </c>
      <c r="L84" s="33" t="n">
        <f aca="false">IF(H84="","",ABS(H84))</f>
        <v>4</v>
      </c>
      <c r="M84" s="33" t="n">
        <f aca="false">IF(I84="","",ABS(I84))</f>
        <v>3.5</v>
      </c>
      <c r="N84" s="33" t="n">
        <f aca="false">IF(J84="","",ABS(J84))</f>
        <v>1.875</v>
      </c>
      <c r="O84" s="33" t="n">
        <f aca="false">IF(K84="","",ABS(K84))</f>
        <v>2.02435719374689</v>
      </c>
      <c r="P84" s="34" t="str">
        <f aca="false">IF(B84&gt;=Eval_Start_Week,"YES","")</f>
        <v>YES</v>
      </c>
      <c r="Q84" s="34" t="str">
        <f aca="false">IF(AND(B84&gt;=Cal_Start_Week,B84&lt;=Cal_End_Week),"YES","")</f>
        <v>YES</v>
      </c>
    </row>
    <row r="85" customFormat="false" ht="15" hidden="false" customHeight="false" outlineLevel="0" collapsed="false">
      <c r="A85" s="31" t="str">
        <f aca="false">Demand_History!C85</f>
        <v>KIT-001</v>
      </c>
      <c r="B85" s="31" t="n">
        <f aca="false">Demand_History!A85</f>
        <v>84</v>
      </c>
      <c r="C85" s="32" t="n">
        <f aca="false">Demand_History!D85</f>
        <v>58</v>
      </c>
      <c r="D85" s="33" t="n">
        <f aca="false">IF(B85&gt;=2,C84,"")</f>
        <v>59</v>
      </c>
      <c r="E85" s="33" t="n">
        <f aca="false">IF(B85&gt;=5,AVERAGE(C81:C84),"")</f>
        <v>59.25</v>
      </c>
      <c r="F85" s="33" t="n">
        <f aca="false">IF(B85&gt;=9,AVERAGE(C77:C84),"")</f>
        <v>60.125</v>
      </c>
      <c r="G85" s="33" t="n">
        <f aca="false">IF(B85=1,"",IF(B85=2,C84,SES_Alpha*C84+(1-SES_Alpha)*G84))</f>
        <v>60.4170500356228</v>
      </c>
      <c r="H85" s="33" t="n">
        <f aca="false">IF(D85="","",D85-C85)</f>
        <v>1</v>
      </c>
      <c r="I85" s="33" t="n">
        <f aca="false">IF(E85="","",E85-C85)</f>
        <v>1.25</v>
      </c>
      <c r="J85" s="33" t="n">
        <f aca="false">IF(F85="","",F85-C85)</f>
        <v>2.125</v>
      </c>
      <c r="K85" s="33" t="n">
        <f aca="false">IF(G85="","",G85-C85)</f>
        <v>2.41705003562282</v>
      </c>
      <c r="L85" s="33" t="n">
        <f aca="false">IF(H85="","",ABS(H85))</f>
        <v>1</v>
      </c>
      <c r="M85" s="33" t="n">
        <f aca="false">IF(I85="","",ABS(I85))</f>
        <v>1.25</v>
      </c>
      <c r="N85" s="33" t="n">
        <f aca="false">IF(J85="","",ABS(J85))</f>
        <v>2.125</v>
      </c>
      <c r="O85" s="33" t="n">
        <f aca="false">IF(K85="","",ABS(K85))</f>
        <v>2.41705003562282</v>
      </c>
      <c r="P85" s="34" t="str">
        <f aca="false">IF(B85&gt;=Eval_Start_Week,"YES","")</f>
        <v>YES</v>
      </c>
      <c r="Q85" s="34" t="str">
        <f aca="false">IF(AND(B85&gt;=Cal_Start_Week,B85&lt;=Cal_End_Week),"YES","")</f>
        <v>YES</v>
      </c>
    </row>
    <row r="86" customFormat="false" ht="15" hidden="false" customHeight="false" outlineLevel="0" collapsed="false">
      <c r="A86" s="31" t="str">
        <f aca="false">Demand_History!C86</f>
        <v>KIT-001</v>
      </c>
      <c r="B86" s="31" t="n">
        <f aca="false">Demand_History!A86</f>
        <v>85</v>
      </c>
      <c r="C86" s="32" t="n">
        <f aca="false">Demand_History!D86</f>
        <v>51</v>
      </c>
      <c r="D86" s="33" t="n">
        <f aca="false">IF(B86&gt;=2,C85,"")</f>
        <v>58</v>
      </c>
      <c r="E86" s="33" t="n">
        <f aca="false">IF(B86&gt;=5,AVERAGE(C82:C85),"")</f>
        <v>59.5</v>
      </c>
      <c r="F86" s="33" t="n">
        <f aca="false">IF(B86&gt;=9,AVERAGE(C78:C85),"")</f>
        <v>60.25</v>
      </c>
      <c r="G86" s="33" t="n">
        <f aca="false">IF(B86=1,"",IF(B86=2,C85,SES_Alpha*C85+(1-SES_Alpha)*G85))</f>
        <v>59.691935024936</v>
      </c>
      <c r="H86" s="33" t="n">
        <f aca="false">IF(D86="","",D86-C86)</f>
        <v>7</v>
      </c>
      <c r="I86" s="33" t="n">
        <f aca="false">IF(E86="","",E86-C86)</f>
        <v>8.5</v>
      </c>
      <c r="J86" s="33" t="n">
        <f aca="false">IF(F86="","",F86-C86)</f>
        <v>9.25</v>
      </c>
      <c r="K86" s="33" t="n">
        <f aca="false">IF(G86="","",G86-C86)</f>
        <v>8.69193502493597</v>
      </c>
      <c r="L86" s="33" t="n">
        <f aca="false">IF(H86="","",ABS(H86))</f>
        <v>7</v>
      </c>
      <c r="M86" s="33" t="n">
        <f aca="false">IF(I86="","",ABS(I86))</f>
        <v>8.5</v>
      </c>
      <c r="N86" s="33" t="n">
        <f aca="false">IF(J86="","",ABS(J86))</f>
        <v>9.25</v>
      </c>
      <c r="O86" s="33" t="n">
        <f aca="false">IF(K86="","",ABS(K86))</f>
        <v>8.69193502493597</v>
      </c>
      <c r="P86" s="34" t="str">
        <f aca="false">IF(B86&gt;=Eval_Start_Week,"YES","")</f>
        <v>YES</v>
      </c>
      <c r="Q86" s="34" t="str">
        <f aca="false">IF(AND(B86&gt;=Cal_Start_Week,B86&lt;=Cal_End_Week),"YES","")</f>
        <v>YES</v>
      </c>
    </row>
    <row r="87" customFormat="false" ht="15" hidden="false" customHeight="false" outlineLevel="0" collapsed="false">
      <c r="A87" s="31" t="str">
        <f aca="false">Demand_History!C87</f>
        <v>KIT-001</v>
      </c>
      <c r="B87" s="31" t="n">
        <f aca="false">Demand_History!A87</f>
        <v>86</v>
      </c>
      <c r="C87" s="32" t="n">
        <f aca="false">Demand_History!D87</f>
        <v>60</v>
      </c>
      <c r="D87" s="33" t="n">
        <f aca="false">IF(B87&gt;=2,C86,"")</f>
        <v>51</v>
      </c>
      <c r="E87" s="33" t="n">
        <f aca="false">IF(B87&gt;=5,AVERAGE(C83:C86),"")</f>
        <v>57.75</v>
      </c>
      <c r="F87" s="33" t="n">
        <f aca="false">IF(B87&gt;=9,AVERAGE(C79:C86),"")</f>
        <v>59.5</v>
      </c>
      <c r="G87" s="33" t="n">
        <f aca="false">IF(B87=1,"",IF(B87=2,C86,SES_Alpha*C86+(1-SES_Alpha)*G86))</f>
        <v>57.0843545174552</v>
      </c>
      <c r="H87" s="33" t="n">
        <f aca="false">IF(D87="","",D87-C87)</f>
        <v>-9</v>
      </c>
      <c r="I87" s="33" t="n">
        <f aca="false">IF(E87="","",E87-C87)</f>
        <v>-2.25</v>
      </c>
      <c r="J87" s="33" t="n">
        <f aca="false">IF(F87="","",F87-C87)</f>
        <v>-0.5</v>
      </c>
      <c r="K87" s="33" t="n">
        <f aca="false">IF(G87="","",G87-C87)</f>
        <v>-2.91564548254483</v>
      </c>
      <c r="L87" s="33" t="n">
        <f aca="false">IF(H87="","",ABS(H87))</f>
        <v>9</v>
      </c>
      <c r="M87" s="33" t="n">
        <f aca="false">IF(I87="","",ABS(I87))</f>
        <v>2.25</v>
      </c>
      <c r="N87" s="33" t="n">
        <f aca="false">IF(J87="","",ABS(J87))</f>
        <v>0.5</v>
      </c>
      <c r="O87" s="33" t="n">
        <f aca="false">IF(K87="","",ABS(K87))</f>
        <v>2.91564548254483</v>
      </c>
      <c r="P87" s="34" t="str">
        <f aca="false">IF(B87&gt;=Eval_Start_Week,"YES","")</f>
        <v>YES</v>
      </c>
      <c r="Q87" s="34" t="str">
        <f aca="false">IF(AND(B87&gt;=Cal_Start_Week,B87&lt;=Cal_End_Week),"YES","")</f>
        <v>YES</v>
      </c>
    </row>
    <row r="88" customFormat="false" ht="15" hidden="false" customHeight="false" outlineLevel="0" collapsed="false">
      <c r="A88" s="31" t="str">
        <f aca="false">Demand_History!C88</f>
        <v>KIT-001</v>
      </c>
      <c r="B88" s="31" t="n">
        <f aca="false">Demand_History!A88</f>
        <v>87</v>
      </c>
      <c r="C88" s="32" t="n">
        <f aca="false">Demand_History!D88</f>
        <v>57</v>
      </c>
      <c r="D88" s="33" t="n">
        <f aca="false">IF(B88&gt;=2,C87,"")</f>
        <v>60</v>
      </c>
      <c r="E88" s="33" t="n">
        <f aca="false">IF(B88&gt;=5,AVERAGE(C84:C87),"")</f>
        <v>57</v>
      </c>
      <c r="F88" s="33" t="n">
        <f aca="false">IF(B88&gt;=9,AVERAGE(C80:C87),"")</f>
        <v>59.75</v>
      </c>
      <c r="G88" s="33" t="n">
        <f aca="false">IF(B88=1,"",IF(B88=2,C87,SES_Alpha*C87+(1-SES_Alpha)*G87))</f>
        <v>57.9590481622186</v>
      </c>
      <c r="H88" s="33" t="n">
        <f aca="false">IF(D88="","",D88-C88)</f>
        <v>3</v>
      </c>
      <c r="I88" s="33" t="n">
        <f aca="false">IF(E88="","",E88-C88)</f>
        <v>0</v>
      </c>
      <c r="J88" s="33" t="n">
        <f aca="false">IF(F88="","",F88-C88)</f>
        <v>2.75</v>
      </c>
      <c r="K88" s="33" t="n">
        <f aca="false">IF(G88="","",G88-C88)</f>
        <v>0.959048162218622</v>
      </c>
      <c r="L88" s="33" t="n">
        <f aca="false">IF(H88="","",ABS(H88))</f>
        <v>3</v>
      </c>
      <c r="M88" s="33" t="n">
        <f aca="false">IF(I88="","",ABS(I88))</f>
        <v>0</v>
      </c>
      <c r="N88" s="33" t="n">
        <f aca="false">IF(J88="","",ABS(J88))</f>
        <v>2.75</v>
      </c>
      <c r="O88" s="33" t="n">
        <f aca="false">IF(K88="","",ABS(K88))</f>
        <v>0.959048162218622</v>
      </c>
      <c r="P88" s="34" t="str">
        <f aca="false">IF(B88&gt;=Eval_Start_Week,"YES","")</f>
        <v>YES</v>
      </c>
      <c r="Q88" s="34" t="str">
        <f aca="false">IF(AND(B88&gt;=Cal_Start_Week,B88&lt;=Cal_End_Week),"YES","")</f>
        <v>YES</v>
      </c>
    </row>
    <row r="89" customFormat="false" ht="15" hidden="false" customHeight="false" outlineLevel="0" collapsed="false">
      <c r="A89" s="31" t="str">
        <f aca="false">Demand_History!C89</f>
        <v>KIT-001</v>
      </c>
      <c r="B89" s="31" t="n">
        <f aca="false">Demand_History!A89</f>
        <v>88</v>
      </c>
      <c r="C89" s="32" t="n">
        <f aca="false">Demand_History!D89</f>
        <v>69</v>
      </c>
      <c r="D89" s="33" t="n">
        <f aca="false">IF(B89&gt;=2,C88,"")</f>
        <v>57</v>
      </c>
      <c r="E89" s="33" t="n">
        <f aca="false">IF(B89&gt;=5,AVERAGE(C85:C88),"")</f>
        <v>56.5</v>
      </c>
      <c r="F89" s="33" t="n">
        <f aca="false">IF(B89&gt;=9,AVERAGE(C81:C88),"")</f>
        <v>57.875</v>
      </c>
      <c r="G89" s="33" t="n">
        <f aca="false">IF(B89=1,"",IF(B89=2,C88,SES_Alpha*C88+(1-SES_Alpha)*G88))</f>
        <v>57.671333713553</v>
      </c>
      <c r="H89" s="33" t="n">
        <f aca="false">IF(D89="","",D89-C89)</f>
        <v>-12</v>
      </c>
      <c r="I89" s="33" t="n">
        <f aca="false">IF(E89="","",E89-C89)</f>
        <v>-12.5</v>
      </c>
      <c r="J89" s="33" t="n">
        <f aca="false">IF(F89="","",F89-C89)</f>
        <v>-11.125</v>
      </c>
      <c r="K89" s="33" t="n">
        <f aca="false">IF(G89="","",G89-C89)</f>
        <v>-11.328666286447</v>
      </c>
      <c r="L89" s="33" t="n">
        <f aca="false">IF(H89="","",ABS(H89))</f>
        <v>12</v>
      </c>
      <c r="M89" s="33" t="n">
        <f aca="false">IF(I89="","",ABS(I89))</f>
        <v>12.5</v>
      </c>
      <c r="N89" s="33" t="n">
        <f aca="false">IF(J89="","",ABS(J89))</f>
        <v>11.125</v>
      </c>
      <c r="O89" s="33" t="n">
        <f aca="false">IF(K89="","",ABS(K89))</f>
        <v>11.328666286447</v>
      </c>
      <c r="P89" s="34" t="str">
        <f aca="false">IF(B89&gt;=Eval_Start_Week,"YES","")</f>
        <v>YES</v>
      </c>
      <c r="Q89" s="34" t="str">
        <f aca="false">IF(AND(B89&gt;=Cal_Start_Week,B89&lt;=Cal_End_Week),"YES","")</f>
        <v>YES</v>
      </c>
    </row>
    <row r="90" customFormat="false" ht="15" hidden="false" customHeight="false" outlineLevel="0" collapsed="false">
      <c r="A90" s="31" t="str">
        <f aca="false">Demand_History!C90</f>
        <v>KIT-001</v>
      </c>
      <c r="B90" s="31" t="n">
        <f aca="false">Demand_History!A90</f>
        <v>89</v>
      </c>
      <c r="C90" s="32" t="n">
        <f aca="false">Demand_History!D90</f>
        <v>65</v>
      </c>
      <c r="D90" s="33" t="n">
        <f aca="false">IF(B90&gt;=2,C89,"")</f>
        <v>69</v>
      </c>
      <c r="E90" s="33" t="n">
        <f aca="false">IF(B90&gt;=5,AVERAGE(C86:C89),"")</f>
        <v>59.25</v>
      </c>
      <c r="F90" s="33" t="n">
        <f aca="false">IF(B90&gt;=9,AVERAGE(C82:C89),"")</f>
        <v>59.375</v>
      </c>
      <c r="G90" s="33" t="n">
        <f aca="false">IF(B90=1,"",IF(B90=2,C89,SES_Alpha*C89+(1-SES_Alpha)*G89))</f>
        <v>61.0699335994871</v>
      </c>
      <c r="H90" s="33" t="n">
        <f aca="false">IF(D90="","",D90-C90)</f>
        <v>4</v>
      </c>
      <c r="I90" s="33" t="n">
        <f aca="false">IF(E90="","",E90-C90)</f>
        <v>-5.75</v>
      </c>
      <c r="J90" s="33" t="n">
        <f aca="false">IF(F90="","",F90-C90)</f>
        <v>-5.625</v>
      </c>
      <c r="K90" s="33" t="n">
        <f aca="false">IF(G90="","",G90-C90)</f>
        <v>-3.93006640051289</v>
      </c>
      <c r="L90" s="33" t="n">
        <f aca="false">IF(H90="","",ABS(H90))</f>
        <v>4</v>
      </c>
      <c r="M90" s="33" t="n">
        <f aca="false">IF(I90="","",ABS(I90))</f>
        <v>5.75</v>
      </c>
      <c r="N90" s="33" t="n">
        <f aca="false">IF(J90="","",ABS(J90))</f>
        <v>5.625</v>
      </c>
      <c r="O90" s="33" t="n">
        <f aca="false">IF(K90="","",ABS(K90))</f>
        <v>3.93006640051289</v>
      </c>
      <c r="P90" s="34" t="str">
        <f aca="false">IF(B90&gt;=Eval_Start_Week,"YES","")</f>
        <v>YES</v>
      </c>
      <c r="Q90" s="34" t="str">
        <f aca="false">IF(AND(B90&gt;=Cal_Start_Week,B90&lt;=Cal_End_Week),"YES","")</f>
        <v/>
      </c>
    </row>
    <row r="91" customFormat="false" ht="15" hidden="false" customHeight="false" outlineLevel="0" collapsed="false">
      <c r="A91" s="31" t="str">
        <f aca="false">Demand_History!C91</f>
        <v>KIT-001</v>
      </c>
      <c r="B91" s="31" t="n">
        <f aca="false">Demand_History!A91</f>
        <v>90</v>
      </c>
      <c r="C91" s="32" t="n">
        <f aca="false">Demand_History!D91</f>
        <v>60</v>
      </c>
      <c r="D91" s="33" t="n">
        <f aca="false">IF(B91&gt;=2,C90,"")</f>
        <v>65</v>
      </c>
      <c r="E91" s="33" t="n">
        <f aca="false">IF(B91&gt;=5,AVERAGE(C87:C90),"")</f>
        <v>62.75</v>
      </c>
      <c r="F91" s="33" t="n">
        <f aca="false">IF(B91&gt;=9,AVERAGE(C83:C90),"")</f>
        <v>60.25</v>
      </c>
      <c r="G91" s="33" t="n">
        <f aca="false">IF(B91=1,"",IF(B91=2,C90,SES_Alpha*C90+(1-SES_Alpha)*G90))</f>
        <v>62.248953519641</v>
      </c>
      <c r="H91" s="33" t="n">
        <f aca="false">IF(D91="","",D91-C91)</f>
        <v>5</v>
      </c>
      <c r="I91" s="33" t="n">
        <f aca="false">IF(E91="","",E91-C91)</f>
        <v>2.75</v>
      </c>
      <c r="J91" s="33" t="n">
        <f aca="false">IF(F91="","",F91-C91)</f>
        <v>0.25</v>
      </c>
      <c r="K91" s="33" t="n">
        <f aca="false">IF(G91="","",G91-C91)</f>
        <v>2.24895351964098</v>
      </c>
      <c r="L91" s="33" t="n">
        <f aca="false">IF(H91="","",ABS(H91))</f>
        <v>5</v>
      </c>
      <c r="M91" s="33" t="n">
        <f aca="false">IF(I91="","",ABS(I91))</f>
        <v>2.75</v>
      </c>
      <c r="N91" s="33" t="n">
        <f aca="false">IF(J91="","",ABS(J91))</f>
        <v>0.25</v>
      </c>
      <c r="O91" s="33" t="n">
        <f aca="false">IF(K91="","",ABS(K91))</f>
        <v>2.24895351964098</v>
      </c>
      <c r="P91" s="34" t="str">
        <f aca="false">IF(B91&gt;=Eval_Start_Week,"YES","")</f>
        <v>YES</v>
      </c>
      <c r="Q91" s="34" t="str">
        <f aca="false">IF(AND(B91&gt;=Cal_Start_Week,B91&lt;=Cal_End_Week),"YES","")</f>
        <v/>
      </c>
    </row>
    <row r="92" customFormat="false" ht="15" hidden="false" customHeight="false" outlineLevel="0" collapsed="false">
      <c r="A92" s="31" t="str">
        <f aca="false">Demand_History!C92</f>
        <v>KIT-001</v>
      </c>
      <c r="B92" s="31" t="n">
        <f aca="false">Demand_History!A92</f>
        <v>91</v>
      </c>
      <c r="C92" s="32" t="n">
        <f aca="false">Demand_History!D92</f>
        <v>65</v>
      </c>
      <c r="D92" s="33" t="n">
        <f aca="false">IF(B92&gt;=2,C91,"")</f>
        <v>60</v>
      </c>
      <c r="E92" s="33" t="n">
        <f aca="false">IF(B92&gt;=5,AVERAGE(C88:C91),"")</f>
        <v>62.75</v>
      </c>
      <c r="F92" s="33" t="n">
        <f aca="false">IF(B92&gt;=9,AVERAGE(C84:C91),"")</f>
        <v>59.875</v>
      </c>
      <c r="G92" s="33" t="n">
        <f aca="false">IF(B92=1,"",IF(B92=2,C91,SES_Alpha*C91+(1-SES_Alpha)*G91))</f>
        <v>61.5742674637487</v>
      </c>
      <c r="H92" s="33" t="n">
        <f aca="false">IF(D92="","",D92-C92)</f>
        <v>-5</v>
      </c>
      <c r="I92" s="33" t="n">
        <f aca="false">IF(E92="","",E92-C92)</f>
        <v>-2.25</v>
      </c>
      <c r="J92" s="33" t="n">
        <f aca="false">IF(F92="","",F92-C92)</f>
        <v>-5.125</v>
      </c>
      <c r="K92" s="33" t="n">
        <f aca="false">IF(G92="","",G92-C92)</f>
        <v>-3.42573253625132</v>
      </c>
      <c r="L92" s="33" t="n">
        <f aca="false">IF(H92="","",ABS(H92))</f>
        <v>5</v>
      </c>
      <c r="M92" s="33" t="n">
        <f aca="false">IF(I92="","",ABS(I92))</f>
        <v>2.25</v>
      </c>
      <c r="N92" s="33" t="n">
        <f aca="false">IF(J92="","",ABS(J92))</f>
        <v>5.125</v>
      </c>
      <c r="O92" s="33" t="n">
        <f aca="false">IF(K92="","",ABS(K92))</f>
        <v>3.42573253625132</v>
      </c>
      <c r="P92" s="34" t="str">
        <f aca="false">IF(B92&gt;=Eval_Start_Week,"YES","")</f>
        <v>YES</v>
      </c>
      <c r="Q92" s="34" t="str">
        <f aca="false">IF(AND(B92&gt;=Cal_Start_Week,B92&lt;=Cal_End_Week),"YES","")</f>
        <v/>
      </c>
    </row>
    <row r="93" customFormat="false" ht="15" hidden="false" customHeight="false" outlineLevel="0" collapsed="false">
      <c r="A93" s="31" t="str">
        <f aca="false">Demand_History!C93</f>
        <v>KIT-001</v>
      </c>
      <c r="B93" s="31" t="n">
        <f aca="false">Demand_History!A93</f>
        <v>92</v>
      </c>
      <c r="C93" s="32" t="n">
        <f aca="false">Demand_History!D93</f>
        <v>57</v>
      </c>
      <c r="D93" s="33" t="n">
        <f aca="false">IF(B93&gt;=2,C92,"")</f>
        <v>65</v>
      </c>
      <c r="E93" s="33" t="n">
        <f aca="false">IF(B93&gt;=5,AVERAGE(C89:C92),"")</f>
        <v>64.75</v>
      </c>
      <c r="F93" s="33" t="n">
        <f aca="false">IF(B93&gt;=9,AVERAGE(C85:C92),"")</f>
        <v>60.625</v>
      </c>
      <c r="G93" s="33" t="n">
        <f aca="false">IF(B93=1,"",IF(B93=2,C92,SES_Alpha*C92+(1-SES_Alpha)*G92))</f>
        <v>62.6019872246241</v>
      </c>
      <c r="H93" s="33" t="n">
        <f aca="false">IF(D93="","",D93-C93)</f>
        <v>8</v>
      </c>
      <c r="I93" s="33" t="n">
        <f aca="false">IF(E93="","",E93-C93)</f>
        <v>7.75</v>
      </c>
      <c r="J93" s="33" t="n">
        <f aca="false">IF(F93="","",F93-C93)</f>
        <v>3.625</v>
      </c>
      <c r="K93" s="33" t="n">
        <f aca="false">IF(G93="","",G93-C93)</f>
        <v>5.60198722462408</v>
      </c>
      <c r="L93" s="33" t="n">
        <f aca="false">IF(H93="","",ABS(H93))</f>
        <v>8</v>
      </c>
      <c r="M93" s="33" t="n">
        <f aca="false">IF(I93="","",ABS(I93))</f>
        <v>7.75</v>
      </c>
      <c r="N93" s="33" t="n">
        <f aca="false">IF(J93="","",ABS(J93))</f>
        <v>3.625</v>
      </c>
      <c r="O93" s="33" t="n">
        <f aca="false">IF(K93="","",ABS(K93))</f>
        <v>5.60198722462408</v>
      </c>
      <c r="P93" s="34" t="str">
        <f aca="false">IF(B93&gt;=Eval_Start_Week,"YES","")</f>
        <v>YES</v>
      </c>
      <c r="Q93" s="34" t="str">
        <f aca="false">IF(AND(B93&gt;=Cal_Start_Week,B93&lt;=Cal_End_Week),"YES","")</f>
        <v/>
      </c>
    </row>
    <row r="94" customFormat="false" ht="15" hidden="false" customHeight="false" outlineLevel="0" collapsed="false">
      <c r="A94" s="31" t="str">
        <f aca="false">Demand_History!C94</f>
        <v>KIT-001</v>
      </c>
      <c r="B94" s="31" t="n">
        <f aca="false">Demand_History!A94</f>
        <v>93</v>
      </c>
      <c r="C94" s="32" t="n">
        <f aca="false">Demand_History!D94</f>
        <v>68</v>
      </c>
      <c r="D94" s="33" t="n">
        <f aca="false">IF(B94&gt;=2,C93,"")</f>
        <v>57</v>
      </c>
      <c r="E94" s="33" t="n">
        <f aca="false">IF(B94&gt;=5,AVERAGE(C90:C93),"")</f>
        <v>61.75</v>
      </c>
      <c r="F94" s="33" t="n">
        <f aca="false">IF(B94&gt;=9,AVERAGE(C86:C93),"")</f>
        <v>60.5</v>
      </c>
      <c r="G94" s="33" t="n">
        <f aca="false">IF(B94=1,"",IF(B94=2,C93,SES_Alpha*C93+(1-SES_Alpha)*G93))</f>
        <v>60.9213910572368</v>
      </c>
      <c r="H94" s="33" t="n">
        <f aca="false">IF(D94="","",D94-C94)</f>
        <v>-11</v>
      </c>
      <c r="I94" s="33" t="n">
        <f aca="false">IF(E94="","",E94-C94)</f>
        <v>-6.25</v>
      </c>
      <c r="J94" s="33" t="n">
        <f aca="false">IF(F94="","",F94-C94)</f>
        <v>-7.5</v>
      </c>
      <c r="K94" s="33" t="n">
        <f aca="false">IF(G94="","",G94-C94)</f>
        <v>-7.07860894276315</v>
      </c>
      <c r="L94" s="33" t="n">
        <f aca="false">IF(H94="","",ABS(H94))</f>
        <v>11</v>
      </c>
      <c r="M94" s="33" t="n">
        <f aca="false">IF(I94="","",ABS(I94))</f>
        <v>6.25</v>
      </c>
      <c r="N94" s="33" t="n">
        <f aca="false">IF(J94="","",ABS(J94))</f>
        <v>7.5</v>
      </c>
      <c r="O94" s="33" t="n">
        <f aca="false">IF(K94="","",ABS(K94))</f>
        <v>7.07860894276315</v>
      </c>
      <c r="P94" s="34" t="str">
        <f aca="false">IF(B94&gt;=Eval_Start_Week,"YES","")</f>
        <v>YES</v>
      </c>
      <c r="Q94" s="34" t="str">
        <f aca="false">IF(AND(B94&gt;=Cal_Start_Week,B94&lt;=Cal_End_Week),"YES","")</f>
        <v/>
      </c>
    </row>
    <row r="95" customFormat="false" ht="15" hidden="false" customHeight="false" outlineLevel="0" collapsed="false">
      <c r="A95" s="31" t="str">
        <f aca="false">Demand_History!C95</f>
        <v>KIT-001</v>
      </c>
      <c r="B95" s="31" t="n">
        <f aca="false">Demand_History!A95</f>
        <v>94</v>
      </c>
      <c r="C95" s="32" t="n">
        <f aca="false">Demand_History!D95</f>
        <v>60</v>
      </c>
      <c r="D95" s="33" t="n">
        <f aca="false">IF(B95&gt;=2,C94,"")</f>
        <v>68</v>
      </c>
      <c r="E95" s="33" t="n">
        <f aca="false">IF(B95&gt;=5,AVERAGE(C91:C94),"")</f>
        <v>62.5</v>
      </c>
      <c r="F95" s="33" t="n">
        <f aca="false">IF(B95&gt;=9,AVERAGE(C87:C94),"")</f>
        <v>62.625</v>
      </c>
      <c r="G95" s="33" t="n">
        <f aca="false">IF(B95=1,"",IF(B95=2,C94,SES_Alpha*C94+(1-SES_Alpha)*G94))</f>
        <v>63.0449737400658</v>
      </c>
      <c r="H95" s="33" t="n">
        <f aca="false">IF(D95="","",D95-C95)</f>
        <v>8</v>
      </c>
      <c r="I95" s="33" t="n">
        <f aca="false">IF(E95="","",E95-C95)</f>
        <v>2.5</v>
      </c>
      <c r="J95" s="33" t="n">
        <f aca="false">IF(F95="","",F95-C95)</f>
        <v>2.625</v>
      </c>
      <c r="K95" s="33" t="n">
        <f aca="false">IF(G95="","",G95-C95)</f>
        <v>3.04497374006579</v>
      </c>
      <c r="L95" s="33" t="n">
        <f aca="false">IF(H95="","",ABS(H95))</f>
        <v>8</v>
      </c>
      <c r="M95" s="33" t="n">
        <f aca="false">IF(I95="","",ABS(I95))</f>
        <v>2.5</v>
      </c>
      <c r="N95" s="33" t="n">
        <f aca="false">IF(J95="","",ABS(J95))</f>
        <v>2.625</v>
      </c>
      <c r="O95" s="33" t="n">
        <f aca="false">IF(K95="","",ABS(K95))</f>
        <v>3.04497374006579</v>
      </c>
      <c r="P95" s="34" t="str">
        <f aca="false">IF(B95&gt;=Eval_Start_Week,"YES","")</f>
        <v>YES</v>
      </c>
      <c r="Q95" s="34" t="str">
        <f aca="false">IF(AND(B95&gt;=Cal_Start_Week,B95&lt;=Cal_End_Week),"YES","")</f>
        <v/>
      </c>
    </row>
    <row r="96" customFormat="false" ht="15" hidden="false" customHeight="false" outlineLevel="0" collapsed="false">
      <c r="A96" s="31" t="str">
        <f aca="false">Demand_History!C96</f>
        <v>KIT-001</v>
      </c>
      <c r="B96" s="31" t="n">
        <f aca="false">Demand_History!A96</f>
        <v>95</v>
      </c>
      <c r="C96" s="32" t="n">
        <f aca="false">Demand_History!D96</f>
        <v>65</v>
      </c>
      <c r="D96" s="33" t="n">
        <f aca="false">IF(B96&gt;=2,C95,"")</f>
        <v>60</v>
      </c>
      <c r="E96" s="33" t="n">
        <f aca="false">IF(B96&gt;=5,AVERAGE(C92:C95),"")</f>
        <v>62.5</v>
      </c>
      <c r="F96" s="33" t="n">
        <f aca="false">IF(B96&gt;=9,AVERAGE(C88:C95),"")</f>
        <v>62.625</v>
      </c>
      <c r="G96" s="33" t="n">
        <f aca="false">IF(B96=1,"",IF(B96=2,C95,SES_Alpha*C95+(1-SES_Alpha)*G95))</f>
        <v>62.131481618046</v>
      </c>
      <c r="H96" s="33" t="n">
        <f aca="false">IF(D96="","",D96-C96)</f>
        <v>-5</v>
      </c>
      <c r="I96" s="33" t="n">
        <f aca="false">IF(E96="","",E96-C96)</f>
        <v>-2.5</v>
      </c>
      <c r="J96" s="33" t="n">
        <f aca="false">IF(F96="","",F96-C96)</f>
        <v>-2.375</v>
      </c>
      <c r="K96" s="33" t="n">
        <f aca="false">IF(G96="","",G96-C96)</f>
        <v>-2.86851838195395</v>
      </c>
      <c r="L96" s="33" t="n">
        <f aca="false">IF(H96="","",ABS(H96))</f>
        <v>5</v>
      </c>
      <c r="M96" s="33" t="n">
        <f aca="false">IF(I96="","",ABS(I96))</f>
        <v>2.5</v>
      </c>
      <c r="N96" s="33" t="n">
        <f aca="false">IF(J96="","",ABS(J96))</f>
        <v>2.375</v>
      </c>
      <c r="O96" s="33" t="n">
        <f aca="false">IF(K96="","",ABS(K96))</f>
        <v>2.86851838195395</v>
      </c>
      <c r="P96" s="34" t="str">
        <f aca="false">IF(B96&gt;=Eval_Start_Week,"YES","")</f>
        <v>YES</v>
      </c>
      <c r="Q96" s="34" t="str">
        <f aca="false">IF(AND(B96&gt;=Cal_Start_Week,B96&lt;=Cal_End_Week),"YES","")</f>
        <v/>
      </c>
    </row>
    <row r="97" customFormat="false" ht="15" hidden="false" customHeight="false" outlineLevel="0" collapsed="false">
      <c r="A97" s="31" t="str">
        <f aca="false">Demand_History!C97</f>
        <v>KIT-001</v>
      </c>
      <c r="B97" s="31" t="n">
        <f aca="false">Demand_History!A97</f>
        <v>96</v>
      </c>
      <c r="C97" s="32" t="n">
        <f aca="false">Demand_History!D97</f>
        <v>50</v>
      </c>
      <c r="D97" s="33" t="n">
        <f aca="false">IF(B97&gt;=2,C96,"")</f>
        <v>65</v>
      </c>
      <c r="E97" s="33" t="n">
        <f aca="false">IF(B97&gt;=5,AVERAGE(C93:C96),"")</f>
        <v>62.5</v>
      </c>
      <c r="F97" s="33" t="n">
        <f aca="false">IF(B97&gt;=9,AVERAGE(C89:C96),"")</f>
        <v>63.625</v>
      </c>
      <c r="G97" s="33" t="n">
        <f aca="false">IF(B97=1,"",IF(B97=2,C96,SES_Alpha*C96+(1-SES_Alpha)*G96))</f>
        <v>62.9920371326322</v>
      </c>
      <c r="H97" s="33" t="n">
        <f aca="false">IF(D97="","",D97-C97)</f>
        <v>15</v>
      </c>
      <c r="I97" s="33" t="n">
        <f aca="false">IF(E97="","",E97-C97)</f>
        <v>12.5</v>
      </c>
      <c r="J97" s="33" t="n">
        <f aca="false">IF(F97="","",F97-C97)</f>
        <v>13.625</v>
      </c>
      <c r="K97" s="33" t="n">
        <f aca="false">IF(G97="","",G97-C97)</f>
        <v>12.9920371326322</v>
      </c>
      <c r="L97" s="33" t="n">
        <f aca="false">IF(H97="","",ABS(H97))</f>
        <v>15</v>
      </c>
      <c r="M97" s="33" t="n">
        <f aca="false">IF(I97="","",ABS(I97))</f>
        <v>12.5</v>
      </c>
      <c r="N97" s="33" t="n">
        <f aca="false">IF(J97="","",ABS(J97))</f>
        <v>13.625</v>
      </c>
      <c r="O97" s="33" t="n">
        <f aca="false">IF(K97="","",ABS(K97))</f>
        <v>12.9920371326322</v>
      </c>
      <c r="P97" s="34" t="str">
        <f aca="false">IF(B97&gt;=Eval_Start_Week,"YES","")</f>
        <v>YES</v>
      </c>
      <c r="Q97" s="34" t="str">
        <f aca="false">IF(AND(B97&gt;=Cal_Start_Week,B97&lt;=Cal_End_Week),"YES","")</f>
        <v/>
      </c>
    </row>
    <row r="98" customFormat="false" ht="15" hidden="false" customHeight="false" outlineLevel="0" collapsed="false">
      <c r="A98" s="31" t="str">
        <f aca="false">Demand_History!C98</f>
        <v>KIT-001</v>
      </c>
      <c r="B98" s="31" t="n">
        <f aca="false">Demand_History!A98</f>
        <v>97</v>
      </c>
      <c r="C98" s="32" t="n">
        <f aca="false">Demand_History!D98</f>
        <v>63</v>
      </c>
      <c r="D98" s="33" t="n">
        <f aca="false">IF(B98&gt;=2,C97,"")</f>
        <v>50</v>
      </c>
      <c r="E98" s="33" t="n">
        <f aca="false">IF(B98&gt;=5,AVERAGE(C94:C97),"")</f>
        <v>60.75</v>
      </c>
      <c r="F98" s="33" t="n">
        <f aca="false">IF(B98&gt;=9,AVERAGE(C90:C97),"")</f>
        <v>61.25</v>
      </c>
      <c r="G98" s="33" t="n">
        <f aca="false">IF(B98=1,"",IF(B98=2,C97,SES_Alpha*C97+(1-SES_Alpha)*G97))</f>
        <v>59.0944259928426</v>
      </c>
      <c r="H98" s="33" t="n">
        <f aca="false">IF(D98="","",D98-C98)</f>
        <v>-13</v>
      </c>
      <c r="I98" s="33" t="n">
        <f aca="false">IF(E98="","",E98-C98)</f>
        <v>-2.25</v>
      </c>
      <c r="J98" s="33" t="n">
        <f aca="false">IF(F98="","",F98-C98)</f>
        <v>-1.75</v>
      </c>
      <c r="K98" s="33" t="n">
        <f aca="false">IF(G98="","",G98-C98)</f>
        <v>-3.90557400715744</v>
      </c>
      <c r="L98" s="33" t="n">
        <f aca="false">IF(H98="","",ABS(H98))</f>
        <v>13</v>
      </c>
      <c r="M98" s="33" t="n">
        <f aca="false">IF(I98="","",ABS(I98))</f>
        <v>2.25</v>
      </c>
      <c r="N98" s="33" t="n">
        <f aca="false">IF(J98="","",ABS(J98))</f>
        <v>1.75</v>
      </c>
      <c r="O98" s="33" t="n">
        <f aca="false">IF(K98="","",ABS(K98))</f>
        <v>3.90557400715744</v>
      </c>
      <c r="P98" s="34" t="str">
        <f aca="false">IF(B98&gt;=Eval_Start_Week,"YES","")</f>
        <v>YES</v>
      </c>
      <c r="Q98" s="34" t="str">
        <f aca="false">IF(AND(B98&gt;=Cal_Start_Week,B98&lt;=Cal_End_Week),"YES","")</f>
        <v/>
      </c>
    </row>
    <row r="99" customFormat="false" ht="15" hidden="false" customHeight="false" outlineLevel="0" collapsed="false">
      <c r="A99" s="31" t="str">
        <f aca="false">Demand_History!C99</f>
        <v>KIT-001</v>
      </c>
      <c r="B99" s="31" t="n">
        <f aca="false">Demand_History!A99</f>
        <v>98</v>
      </c>
      <c r="C99" s="32" t="n">
        <f aca="false">Demand_History!D99</f>
        <v>47</v>
      </c>
      <c r="D99" s="33" t="n">
        <f aca="false">IF(B99&gt;=2,C98,"")</f>
        <v>63</v>
      </c>
      <c r="E99" s="33" t="n">
        <f aca="false">IF(B99&gt;=5,AVERAGE(C95:C98),"")</f>
        <v>59.5</v>
      </c>
      <c r="F99" s="33" t="n">
        <f aca="false">IF(B99&gt;=9,AVERAGE(C91:C98),"")</f>
        <v>61</v>
      </c>
      <c r="G99" s="33" t="n">
        <f aca="false">IF(B99=1,"",IF(B99=2,C98,SES_Alpha*C98+(1-SES_Alpha)*G98))</f>
        <v>60.2660981949898</v>
      </c>
      <c r="H99" s="33" t="n">
        <f aca="false">IF(D99="","",D99-C99)</f>
        <v>16</v>
      </c>
      <c r="I99" s="33" t="n">
        <f aca="false">IF(E99="","",E99-C99)</f>
        <v>12.5</v>
      </c>
      <c r="J99" s="33" t="n">
        <f aca="false">IF(F99="","",F99-C99)</f>
        <v>14</v>
      </c>
      <c r="K99" s="33" t="n">
        <f aca="false">IF(G99="","",G99-C99)</f>
        <v>13.2660981949898</v>
      </c>
      <c r="L99" s="33" t="n">
        <f aca="false">IF(H99="","",ABS(H99))</f>
        <v>16</v>
      </c>
      <c r="M99" s="33" t="n">
        <f aca="false">IF(I99="","",ABS(I99))</f>
        <v>12.5</v>
      </c>
      <c r="N99" s="33" t="n">
        <f aca="false">IF(J99="","",ABS(J99))</f>
        <v>14</v>
      </c>
      <c r="O99" s="33" t="n">
        <f aca="false">IF(K99="","",ABS(K99))</f>
        <v>13.2660981949898</v>
      </c>
      <c r="P99" s="34" t="str">
        <f aca="false">IF(B99&gt;=Eval_Start_Week,"YES","")</f>
        <v>YES</v>
      </c>
      <c r="Q99" s="34" t="str">
        <f aca="false">IF(AND(B99&gt;=Cal_Start_Week,B99&lt;=Cal_End_Week),"YES","")</f>
        <v/>
      </c>
    </row>
    <row r="100" customFormat="false" ht="15" hidden="false" customHeight="false" outlineLevel="0" collapsed="false">
      <c r="A100" s="31" t="str">
        <f aca="false">Demand_History!C100</f>
        <v>KIT-001</v>
      </c>
      <c r="B100" s="31" t="n">
        <f aca="false">Demand_History!A100</f>
        <v>99</v>
      </c>
      <c r="C100" s="32" t="n">
        <f aca="false">Demand_History!D100</f>
        <v>44</v>
      </c>
      <c r="D100" s="33" t="n">
        <f aca="false">IF(B100&gt;=2,C99,"")</f>
        <v>47</v>
      </c>
      <c r="E100" s="33" t="n">
        <f aca="false">IF(B100&gt;=5,AVERAGE(C96:C99),"")</f>
        <v>56.25</v>
      </c>
      <c r="F100" s="33" t="n">
        <f aca="false">IF(B100&gt;=9,AVERAGE(C92:C99),"")</f>
        <v>59.375</v>
      </c>
      <c r="G100" s="33" t="n">
        <f aca="false">IF(B100=1,"",IF(B100=2,C99,SES_Alpha*C99+(1-SES_Alpha)*G99))</f>
        <v>56.2862687364929</v>
      </c>
      <c r="H100" s="33" t="n">
        <f aca="false">IF(D100="","",D100-C100)</f>
        <v>3</v>
      </c>
      <c r="I100" s="33" t="n">
        <f aca="false">IF(E100="","",E100-C100)</f>
        <v>12.25</v>
      </c>
      <c r="J100" s="33" t="n">
        <f aca="false">IF(F100="","",F100-C100)</f>
        <v>15.375</v>
      </c>
      <c r="K100" s="33" t="n">
        <f aca="false">IF(G100="","",G100-C100)</f>
        <v>12.2862687364929</v>
      </c>
      <c r="L100" s="33" t="n">
        <f aca="false">IF(H100="","",ABS(H100))</f>
        <v>3</v>
      </c>
      <c r="M100" s="33" t="n">
        <f aca="false">IF(I100="","",ABS(I100))</f>
        <v>12.25</v>
      </c>
      <c r="N100" s="33" t="n">
        <f aca="false">IF(J100="","",ABS(J100))</f>
        <v>15.375</v>
      </c>
      <c r="O100" s="33" t="n">
        <f aca="false">IF(K100="","",ABS(K100))</f>
        <v>12.2862687364929</v>
      </c>
      <c r="P100" s="34" t="str">
        <f aca="false">IF(B100&gt;=Eval_Start_Week,"YES","")</f>
        <v>YES</v>
      </c>
      <c r="Q100" s="34" t="str">
        <f aca="false">IF(AND(B100&gt;=Cal_Start_Week,B100&lt;=Cal_End_Week),"YES","")</f>
        <v/>
      </c>
    </row>
    <row r="101" customFormat="false" ht="15" hidden="false" customHeight="false" outlineLevel="0" collapsed="false">
      <c r="A101" s="31" t="str">
        <f aca="false">Demand_History!C101</f>
        <v>KIT-001</v>
      </c>
      <c r="B101" s="31" t="n">
        <f aca="false">Demand_History!A101</f>
        <v>100</v>
      </c>
      <c r="C101" s="32" t="n">
        <f aca="false">Demand_History!D101</f>
        <v>58</v>
      </c>
      <c r="D101" s="33" t="n">
        <f aca="false">IF(B101&gt;=2,C100,"")</f>
        <v>44</v>
      </c>
      <c r="E101" s="33" t="n">
        <f aca="false">IF(B101&gt;=5,AVERAGE(C97:C100),"")</f>
        <v>51</v>
      </c>
      <c r="F101" s="33" t="n">
        <f aca="false">IF(B101&gt;=9,AVERAGE(C93:C100),"")</f>
        <v>56.75</v>
      </c>
      <c r="G101" s="33" t="n">
        <f aca="false">IF(B101=1,"",IF(B101=2,C100,SES_Alpha*C100+(1-SES_Alpha)*G100))</f>
        <v>52.600388115545</v>
      </c>
      <c r="H101" s="33" t="n">
        <f aca="false">IF(D101="","",D101-C101)</f>
        <v>-14</v>
      </c>
      <c r="I101" s="33" t="n">
        <f aca="false">IF(E101="","",E101-C101)</f>
        <v>-7</v>
      </c>
      <c r="J101" s="33" t="n">
        <f aca="false">IF(F101="","",F101-C101)</f>
        <v>-1.25</v>
      </c>
      <c r="K101" s="33" t="n">
        <f aca="false">IF(G101="","",G101-C101)</f>
        <v>-5.39961188445501</v>
      </c>
      <c r="L101" s="33" t="n">
        <f aca="false">IF(H101="","",ABS(H101))</f>
        <v>14</v>
      </c>
      <c r="M101" s="33" t="n">
        <f aca="false">IF(I101="","",ABS(I101))</f>
        <v>7</v>
      </c>
      <c r="N101" s="33" t="n">
        <f aca="false">IF(J101="","",ABS(J101))</f>
        <v>1.25</v>
      </c>
      <c r="O101" s="33" t="n">
        <f aca="false">IF(K101="","",ABS(K101))</f>
        <v>5.39961188445501</v>
      </c>
      <c r="P101" s="34" t="str">
        <f aca="false">IF(B101&gt;=Eval_Start_Week,"YES","")</f>
        <v>YES</v>
      </c>
      <c r="Q101" s="34" t="str">
        <f aca="false">IF(AND(B101&gt;=Cal_Start_Week,B101&lt;=Cal_End_Week),"YES","")</f>
        <v/>
      </c>
    </row>
    <row r="102" customFormat="false" ht="15" hidden="false" customHeight="false" outlineLevel="0" collapsed="false">
      <c r="A102" s="31" t="str">
        <f aca="false">Demand_History!C102</f>
        <v>KIT-001</v>
      </c>
      <c r="B102" s="31" t="n">
        <f aca="false">Demand_History!A102</f>
        <v>101</v>
      </c>
      <c r="C102" s="32" t="n">
        <f aca="false">Demand_History!D102</f>
        <v>53</v>
      </c>
      <c r="D102" s="33" t="n">
        <f aca="false">IF(B102&gt;=2,C101,"")</f>
        <v>58</v>
      </c>
      <c r="E102" s="33" t="n">
        <f aca="false">IF(B102&gt;=5,AVERAGE(C98:C101),"")</f>
        <v>53</v>
      </c>
      <c r="F102" s="33" t="n">
        <f aca="false">IF(B102&gt;=9,AVERAGE(C94:C101),"")</f>
        <v>56.875</v>
      </c>
      <c r="G102" s="33" t="n">
        <f aca="false">IF(B102=1,"",IF(B102=2,C101,SES_Alpha*C101+(1-SES_Alpha)*G101))</f>
        <v>54.2202716808815</v>
      </c>
      <c r="H102" s="33" t="n">
        <f aca="false">IF(D102="","",D102-C102)</f>
        <v>5</v>
      </c>
      <c r="I102" s="33" t="n">
        <f aca="false">IF(E102="","",E102-C102)</f>
        <v>0</v>
      </c>
      <c r="J102" s="33" t="n">
        <f aca="false">IF(F102="","",F102-C102)</f>
        <v>3.875</v>
      </c>
      <c r="K102" s="33" t="n">
        <f aca="false">IF(G102="","",G102-C102)</f>
        <v>1.22027168088149</v>
      </c>
      <c r="L102" s="33" t="n">
        <f aca="false">IF(H102="","",ABS(H102))</f>
        <v>5</v>
      </c>
      <c r="M102" s="33" t="n">
        <f aca="false">IF(I102="","",ABS(I102))</f>
        <v>0</v>
      </c>
      <c r="N102" s="33" t="n">
        <f aca="false">IF(J102="","",ABS(J102))</f>
        <v>3.875</v>
      </c>
      <c r="O102" s="33" t="n">
        <f aca="false">IF(K102="","",ABS(K102))</f>
        <v>1.22027168088149</v>
      </c>
      <c r="P102" s="34" t="str">
        <f aca="false">IF(B102&gt;=Eval_Start_Week,"YES","")</f>
        <v>YES</v>
      </c>
      <c r="Q102" s="34" t="str">
        <f aca="false">IF(AND(B102&gt;=Cal_Start_Week,B102&lt;=Cal_End_Week),"YES","")</f>
        <v/>
      </c>
    </row>
    <row r="103" customFormat="false" ht="15" hidden="false" customHeight="false" outlineLevel="0" collapsed="false">
      <c r="A103" s="31" t="str">
        <f aca="false">Demand_History!C103</f>
        <v>KIT-001</v>
      </c>
      <c r="B103" s="31" t="n">
        <f aca="false">Demand_History!A103</f>
        <v>102</v>
      </c>
      <c r="C103" s="32" t="n">
        <f aca="false">Demand_History!D103</f>
        <v>61</v>
      </c>
      <c r="D103" s="33" t="n">
        <f aca="false">IF(B103&gt;=2,C102,"")</f>
        <v>53</v>
      </c>
      <c r="E103" s="33" t="n">
        <f aca="false">IF(B103&gt;=5,AVERAGE(C99:C102),"")</f>
        <v>50.5</v>
      </c>
      <c r="F103" s="33" t="n">
        <f aca="false">IF(B103&gt;=9,AVERAGE(C95:C102),"")</f>
        <v>55</v>
      </c>
      <c r="G103" s="33" t="n">
        <f aca="false">IF(B103=1,"",IF(B103=2,C102,SES_Alpha*C102+(1-SES_Alpha)*G102))</f>
        <v>53.854190176617</v>
      </c>
      <c r="H103" s="33" t="n">
        <f aca="false">IF(D103="","",D103-C103)</f>
        <v>-8</v>
      </c>
      <c r="I103" s="33" t="n">
        <f aca="false">IF(E103="","",E103-C103)</f>
        <v>-10.5</v>
      </c>
      <c r="J103" s="33" t="n">
        <f aca="false">IF(F103="","",F103-C103)</f>
        <v>-6</v>
      </c>
      <c r="K103" s="33" t="n">
        <f aca="false">IF(G103="","",G103-C103)</f>
        <v>-7.14580982338296</v>
      </c>
      <c r="L103" s="33" t="n">
        <f aca="false">IF(H103="","",ABS(H103))</f>
        <v>8</v>
      </c>
      <c r="M103" s="33" t="n">
        <f aca="false">IF(I103="","",ABS(I103))</f>
        <v>10.5</v>
      </c>
      <c r="N103" s="33" t="n">
        <f aca="false">IF(J103="","",ABS(J103))</f>
        <v>6</v>
      </c>
      <c r="O103" s="33" t="n">
        <f aca="false">IF(K103="","",ABS(K103))</f>
        <v>7.14580982338296</v>
      </c>
      <c r="P103" s="34" t="str">
        <f aca="false">IF(B103&gt;=Eval_Start_Week,"YES","")</f>
        <v>YES</v>
      </c>
      <c r="Q103" s="34" t="str">
        <f aca="false">IF(AND(B103&gt;=Cal_Start_Week,B103&lt;=Cal_End_Week),"YES","")</f>
        <v/>
      </c>
    </row>
    <row r="104" customFormat="false" ht="15" hidden="false" customHeight="false" outlineLevel="0" collapsed="false">
      <c r="A104" s="31" t="str">
        <f aca="false">Demand_History!C104</f>
        <v>KIT-001</v>
      </c>
      <c r="B104" s="31" t="n">
        <f aca="false">Demand_History!A104</f>
        <v>103</v>
      </c>
      <c r="C104" s="32" t="n">
        <f aca="false">Demand_History!D104</f>
        <v>78</v>
      </c>
      <c r="D104" s="33" t="n">
        <f aca="false">IF(B104&gt;=2,C103,"")</f>
        <v>61</v>
      </c>
      <c r="E104" s="33" t="n">
        <f aca="false">IF(B104&gt;=5,AVERAGE(C100:C103),"")</f>
        <v>54</v>
      </c>
      <c r="F104" s="33" t="n">
        <f aca="false">IF(B104&gt;=9,AVERAGE(C96:C103),"")</f>
        <v>55.125</v>
      </c>
      <c r="G104" s="33" t="n">
        <f aca="false">IF(B104=1,"",IF(B104=2,C103,SES_Alpha*C103+(1-SES_Alpha)*G103))</f>
        <v>55.9979331236319</v>
      </c>
      <c r="H104" s="33" t="n">
        <f aca="false">IF(D104="","",D104-C104)</f>
        <v>-17</v>
      </c>
      <c r="I104" s="33" t="n">
        <f aca="false">IF(E104="","",E104-C104)</f>
        <v>-24</v>
      </c>
      <c r="J104" s="33" t="n">
        <f aca="false">IF(F104="","",F104-C104)</f>
        <v>-22.875</v>
      </c>
      <c r="K104" s="33" t="n">
        <f aca="false">IF(G104="","",G104-C104)</f>
        <v>-22.0020668763681</v>
      </c>
      <c r="L104" s="33" t="n">
        <f aca="false">IF(H104="","",ABS(H104))</f>
        <v>17</v>
      </c>
      <c r="M104" s="33" t="n">
        <f aca="false">IF(I104="","",ABS(I104))</f>
        <v>24</v>
      </c>
      <c r="N104" s="33" t="n">
        <f aca="false">IF(J104="","",ABS(J104))</f>
        <v>22.875</v>
      </c>
      <c r="O104" s="33" t="n">
        <f aca="false">IF(K104="","",ABS(K104))</f>
        <v>22.0020668763681</v>
      </c>
      <c r="P104" s="34" t="str">
        <f aca="false">IF(B104&gt;=Eval_Start_Week,"YES","")</f>
        <v>YES</v>
      </c>
      <c r="Q104" s="34" t="str">
        <f aca="false">IF(AND(B104&gt;=Cal_Start_Week,B104&lt;=Cal_End_Week),"YES","")</f>
        <v/>
      </c>
    </row>
    <row r="105" customFormat="false" ht="15" hidden="false" customHeight="false" outlineLevel="0" collapsed="false">
      <c r="A105" s="31" t="str">
        <f aca="false">Demand_History!C105</f>
        <v>KIT-001</v>
      </c>
      <c r="B105" s="31" t="n">
        <f aca="false">Demand_History!A105</f>
        <v>104</v>
      </c>
      <c r="C105" s="32" t="n">
        <f aca="false">Demand_History!D105</f>
        <v>53</v>
      </c>
      <c r="D105" s="33" t="n">
        <f aca="false">IF(B105&gt;=2,C104,"")</f>
        <v>78</v>
      </c>
      <c r="E105" s="33" t="n">
        <f aca="false">IF(B105&gt;=5,AVERAGE(C101:C104),"")</f>
        <v>62.5</v>
      </c>
      <c r="F105" s="33" t="n">
        <f aca="false">IF(B105&gt;=9,AVERAGE(C97:C104),"")</f>
        <v>56.75</v>
      </c>
      <c r="G105" s="33" t="n">
        <f aca="false">IF(B105=1,"",IF(B105=2,C104,SES_Alpha*C104+(1-SES_Alpha)*G104))</f>
        <v>62.5985531865423</v>
      </c>
      <c r="H105" s="33" t="n">
        <f aca="false">IF(D105="","",D105-C105)</f>
        <v>25</v>
      </c>
      <c r="I105" s="33" t="n">
        <f aca="false">IF(E105="","",E105-C105)</f>
        <v>9.5</v>
      </c>
      <c r="J105" s="33" t="n">
        <f aca="false">IF(F105="","",F105-C105)</f>
        <v>3.75</v>
      </c>
      <c r="K105" s="33" t="n">
        <f aca="false">IF(G105="","",G105-C105)</f>
        <v>9.59855318654234</v>
      </c>
      <c r="L105" s="33" t="n">
        <f aca="false">IF(H105="","",ABS(H105))</f>
        <v>25</v>
      </c>
      <c r="M105" s="33" t="n">
        <f aca="false">IF(I105="","",ABS(I105))</f>
        <v>9.5</v>
      </c>
      <c r="N105" s="33" t="n">
        <f aca="false">IF(J105="","",ABS(J105))</f>
        <v>3.75</v>
      </c>
      <c r="O105" s="33" t="n">
        <f aca="false">IF(K105="","",ABS(K105))</f>
        <v>9.59855318654234</v>
      </c>
      <c r="P105" s="34" t="str">
        <f aca="false">IF(B105&gt;=Eval_Start_Week,"YES","")</f>
        <v>YES</v>
      </c>
      <c r="Q105" s="34" t="str">
        <f aca="false">IF(AND(B105&gt;=Cal_Start_Week,B105&lt;=Cal_End_Week),"YES","")</f>
        <v/>
      </c>
    </row>
    <row r="106" customFormat="false" ht="15" hidden="false" customHeight="false" outlineLevel="0" collapsed="false">
      <c r="A106" s="31" t="str">
        <f aca="false">Demand_History!C106</f>
        <v>KIT-002</v>
      </c>
      <c r="B106" s="31" t="n">
        <f aca="false">Demand_History!A106</f>
        <v>1</v>
      </c>
      <c r="C106" s="32" t="n">
        <f aca="false">Demand_History!D106</f>
        <v>48</v>
      </c>
      <c r="D106" s="33" t="str">
        <f aca="false">IF(B106&gt;=2,C105,"")</f>
        <v/>
      </c>
      <c r="E106" s="33" t="str">
        <f aca="false">IF(B106&gt;=5,AVERAGE(C102:C105),"")</f>
        <v/>
      </c>
      <c r="F106" s="33" t="str">
        <f aca="false">IF(B106&gt;=9,AVERAGE(C98:C105),"")</f>
        <v/>
      </c>
      <c r="G106" s="33" t="str">
        <f aca="false">IF(B106=1,"",IF(B106=2,C105,SES_Alpha*C105+(1-SES_Alpha)*G105))</f>
        <v/>
      </c>
      <c r="H106" s="33" t="str">
        <f aca="false">IF(D106="","",D106-C106)</f>
        <v/>
      </c>
      <c r="I106" s="33" t="str">
        <f aca="false">IF(E106="","",E106-C106)</f>
        <v/>
      </c>
      <c r="J106" s="33" t="str">
        <f aca="false">IF(F106="","",F106-C106)</f>
        <v/>
      </c>
      <c r="K106" s="33" t="str">
        <f aca="false">IF(G106="","",G106-C106)</f>
        <v/>
      </c>
      <c r="L106" s="33" t="str">
        <f aca="false">IF(H106="","",ABS(H106))</f>
        <v/>
      </c>
      <c r="M106" s="33" t="str">
        <f aca="false">IF(I106="","",ABS(I106))</f>
        <v/>
      </c>
      <c r="N106" s="33" t="str">
        <f aca="false">IF(J106="","",ABS(J106))</f>
        <v/>
      </c>
      <c r="O106" s="33" t="str">
        <f aca="false">IF(K106="","",ABS(K106))</f>
        <v/>
      </c>
      <c r="P106" s="34" t="str">
        <f aca="false">IF(B106&gt;=Eval_Start_Week,"YES","")</f>
        <v/>
      </c>
      <c r="Q106" s="34" t="str">
        <f aca="false">IF(AND(B106&gt;=Cal_Start_Week,B106&lt;=Cal_End_Week),"YES","")</f>
        <v/>
      </c>
    </row>
    <row r="107" customFormat="false" ht="15" hidden="false" customHeight="false" outlineLevel="0" collapsed="false">
      <c r="A107" s="31" t="str">
        <f aca="false">Demand_History!C107</f>
        <v>KIT-002</v>
      </c>
      <c r="B107" s="31" t="n">
        <f aca="false">Demand_History!A107</f>
        <v>2</v>
      </c>
      <c r="C107" s="32" t="n">
        <f aca="false">Demand_History!D107</f>
        <v>53</v>
      </c>
      <c r="D107" s="33" t="n">
        <f aca="false">IF(B107&gt;=2,C106,"")</f>
        <v>48</v>
      </c>
      <c r="E107" s="33" t="str">
        <f aca="false">IF(B107&gt;=5,AVERAGE(C103:C106),"")</f>
        <v/>
      </c>
      <c r="F107" s="33" t="str">
        <f aca="false">IF(B107&gt;=9,AVERAGE(C99:C106),"")</f>
        <v/>
      </c>
      <c r="G107" s="33" t="n">
        <f aca="false">IF(B107=1,"",IF(B107=2,C106,SES_Alpha*C106+(1-SES_Alpha)*G106))</f>
        <v>48</v>
      </c>
      <c r="H107" s="33" t="n">
        <f aca="false">IF(D107="","",D107-C107)</f>
        <v>-5</v>
      </c>
      <c r="I107" s="33" t="str">
        <f aca="false">IF(E107="","",E107-C107)</f>
        <v/>
      </c>
      <c r="J107" s="33" t="str">
        <f aca="false">IF(F107="","",F107-C107)</f>
        <v/>
      </c>
      <c r="K107" s="33" t="n">
        <f aca="false">IF(G107="","",G107-C107)</f>
        <v>-5</v>
      </c>
      <c r="L107" s="33" t="n">
        <f aca="false">IF(H107="","",ABS(H107))</f>
        <v>5</v>
      </c>
      <c r="M107" s="33" t="str">
        <f aca="false">IF(I107="","",ABS(I107))</f>
        <v/>
      </c>
      <c r="N107" s="33" t="str">
        <f aca="false">IF(J107="","",ABS(J107))</f>
        <v/>
      </c>
      <c r="O107" s="33" t="n">
        <f aca="false">IF(K107="","",ABS(K107))</f>
        <v>5</v>
      </c>
      <c r="P107" s="34" t="str">
        <f aca="false">IF(B107&gt;=Eval_Start_Week,"YES","")</f>
        <v/>
      </c>
      <c r="Q107" s="34" t="str">
        <f aca="false">IF(AND(B107&gt;=Cal_Start_Week,B107&lt;=Cal_End_Week),"YES","")</f>
        <v/>
      </c>
    </row>
    <row r="108" customFormat="false" ht="15" hidden="false" customHeight="false" outlineLevel="0" collapsed="false">
      <c r="A108" s="31" t="str">
        <f aca="false">Demand_History!C108</f>
        <v>KIT-002</v>
      </c>
      <c r="B108" s="31" t="n">
        <f aca="false">Demand_History!A108</f>
        <v>3</v>
      </c>
      <c r="C108" s="32" t="n">
        <f aca="false">Demand_History!D108</f>
        <v>42</v>
      </c>
      <c r="D108" s="33" t="n">
        <f aca="false">IF(B108&gt;=2,C107,"")</f>
        <v>53</v>
      </c>
      <c r="E108" s="33" t="str">
        <f aca="false">IF(B108&gt;=5,AVERAGE(C104:C107),"")</f>
        <v/>
      </c>
      <c r="F108" s="33" t="str">
        <f aca="false">IF(B108&gt;=9,AVERAGE(C100:C107),"")</f>
        <v/>
      </c>
      <c r="G108" s="33" t="n">
        <f aca="false">IF(B108=1,"",IF(B108=2,C107,SES_Alpha*C107+(1-SES_Alpha)*G107))</f>
        <v>49.5</v>
      </c>
      <c r="H108" s="33" t="n">
        <f aca="false">IF(D108="","",D108-C108)</f>
        <v>11</v>
      </c>
      <c r="I108" s="33" t="str">
        <f aca="false">IF(E108="","",E108-C108)</f>
        <v/>
      </c>
      <c r="J108" s="33" t="str">
        <f aca="false">IF(F108="","",F108-C108)</f>
        <v/>
      </c>
      <c r="K108" s="33" t="n">
        <f aca="false">IF(G108="","",G108-C108)</f>
        <v>7.49999999999999</v>
      </c>
      <c r="L108" s="33" t="n">
        <f aca="false">IF(H108="","",ABS(H108))</f>
        <v>11</v>
      </c>
      <c r="M108" s="33" t="str">
        <f aca="false">IF(I108="","",ABS(I108))</f>
        <v/>
      </c>
      <c r="N108" s="33" t="str">
        <f aca="false">IF(J108="","",ABS(J108))</f>
        <v/>
      </c>
      <c r="O108" s="33" t="n">
        <f aca="false">IF(K108="","",ABS(K108))</f>
        <v>7.49999999999999</v>
      </c>
      <c r="P108" s="34" t="str">
        <f aca="false">IF(B108&gt;=Eval_Start_Week,"YES","")</f>
        <v/>
      </c>
      <c r="Q108" s="34" t="str">
        <f aca="false">IF(AND(B108&gt;=Cal_Start_Week,B108&lt;=Cal_End_Week),"YES","")</f>
        <v/>
      </c>
    </row>
    <row r="109" customFormat="false" ht="15" hidden="false" customHeight="false" outlineLevel="0" collapsed="false">
      <c r="A109" s="31" t="str">
        <f aca="false">Demand_History!C109</f>
        <v>KIT-002</v>
      </c>
      <c r="B109" s="31" t="n">
        <f aca="false">Demand_History!A109</f>
        <v>4</v>
      </c>
      <c r="C109" s="32" t="n">
        <f aca="false">Demand_History!D109</f>
        <v>42</v>
      </c>
      <c r="D109" s="33" t="n">
        <f aca="false">IF(B109&gt;=2,C108,"")</f>
        <v>42</v>
      </c>
      <c r="E109" s="33" t="str">
        <f aca="false">IF(B109&gt;=5,AVERAGE(C105:C108),"")</f>
        <v/>
      </c>
      <c r="F109" s="33" t="str">
        <f aca="false">IF(B109&gt;=9,AVERAGE(C101:C108),"")</f>
        <v/>
      </c>
      <c r="G109" s="33" t="n">
        <f aca="false">IF(B109=1,"",IF(B109=2,C108,SES_Alpha*C108+(1-SES_Alpha)*G108))</f>
        <v>47.25</v>
      </c>
      <c r="H109" s="33" t="n">
        <f aca="false">IF(D109="","",D109-C109)</f>
        <v>0</v>
      </c>
      <c r="I109" s="33" t="str">
        <f aca="false">IF(E109="","",E109-C109)</f>
        <v/>
      </c>
      <c r="J109" s="33" t="str">
        <f aca="false">IF(F109="","",F109-C109)</f>
        <v/>
      </c>
      <c r="K109" s="33" t="n">
        <f aca="false">IF(G109="","",G109-C109)</f>
        <v>5.24999999999999</v>
      </c>
      <c r="L109" s="33" t="n">
        <f aca="false">IF(H109="","",ABS(H109))</f>
        <v>0</v>
      </c>
      <c r="M109" s="33" t="str">
        <f aca="false">IF(I109="","",ABS(I109))</f>
        <v/>
      </c>
      <c r="N109" s="33" t="str">
        <f aca="false">IF(J109="","",ABS(J109))</f>
        <v/>
      </c>
      <c r="O109" s="33" t="n">
        <f aca="false">IF(K109="","",ABS(K109))</f>
        <v>5.24999999999999</v>
      </c>
      <c r="P109" s="34" t="str">
        <f aca="false">IF(B109&gt;=Eval_Start_Week,"YES","")</f>
        <v/>
      </c>
      <c r="Q109" s="34" t="str">
        <f aca="false">IF(AND(B109&gt;=Cal_Start_Week,B109&lt;=Cal_End_Week),"YES","")</f>
        <v/>
      </c>
    </row>
    <row r="110" customFormat="false" ht="15" hidden="false" customHeight="false" outlineLevel="0" collapsed="false">
      <c r="A110" s="31" t="str">
        <f aca="false">Demand_History!C110</f>
        <v>KIT-002</v>
      </c>
      <c r="B110" s="31" t="n">
        <f aca="false">Demand_History!A110</f>
        <v>5</v>
      </c>
      <c r="C110" s="32" t="n">
        <f aca="false">Demand_History!D110</f>
        <v>56</v>
      </c>
      <c r="D110" s="33" t="n">
        <f aca="false">IF(B110&gt;=2,C109,"")</f>
        <v>42</v>
      </c>
      <c r="E110" s="33" t="n">
        <f aca="false">IF(B110&gt;=5,AVERAGE(C106:C109),"")</f>
        <v>46.25</v>
      </c>
      <c r="F110" s="33" t="str">
        <f aca="false">IF(B110&gt;=9,AVERAGE(C102:C109),"")</f>
        <v/>
      </c>
      <c r="G110" s="33" t="n">
        <f aca="false">IF(B110=1,"",IF(B110=2,C109,SES_Alpha*C109+(1-SES_Alpha)*G109))</f>
        <v>45.675</v>
      </c>
      <c r="H110" s="33" t="n">
        <f aca="false">IF(D110="","",D110-C110)</f>
        <v>-14</v>
      </c>
      <c r="I110" s="33" t="n">
        <f aca="false">IF(E110="","",E110-C110)</f>
        <v>-9.75</v>
      </c>
      <c r="J110" s="33" t="str">
        <f aca="false">IF(F110="","",F110-C110)</f>
        <v/>
      </c>
      <c r="K110" s="33" t="n">
        <f aca="false">IF(G110="","",G110-C110)</f>
        <v>-10.325</v>
      </c>
      <c r="L110" s="33" t="n">
        <f aca="false">IF(H110="","",ABS(H110))</f>
        <v>14</v>
      </c>
      <c r="M110" s="33" t="n">
        <f aca="false">IF(I110="","",ABS(I110))</f>
        <v>9.75</v>
      </c>
      <c r="N110" s="33" t="str">
        <f aca="false">IF(J110="","",ABS(J110))</f>
        <v/>
      </c>
      <c r="O110" s="33" t="n">
        <f aca="false">IF(K110="","",ABS(K110))</f>
        <v>10.325</v>
      </c>
      <c r="P110" s="34" t="str">
        <f aca="false">IF(B110&gt;=Eval_Start_Week,"YES","")</f>
        <v/>
      </c>
      <c r="Q110" s="34" t="str">
        <f aca="false">IF(AND(B110&gt;=Cal_Start_Week,B110&lt;=Cal_End_Week),"YES","")</f>
        <v/>
      </c>
    </row>
    <row r="111" customFormat="false" ht="15" hidden="false" customHeight="false" outlineLevel="0" collapsed="false">
      <c r="A111" s="31" t="str">
        <f aca="false">Demand_History!C111</f>
        <v>KIT-002</v>
      </c>
      <c r="B111" s="31" t="n">
        <f aca="false">Demand_History!A111</f>
        <v>6</v>
      </c>
      <c r="C111" s="32" t="n">
        <f aca="false">Demand_History!D111</f>
        <v>53</v>
      </c>
      <c r="D111" s="33" t="n">
        <f aca="false">IF(B111&gt;=2,C110,"")</f>
        <v>56</v>
      </c>
      <c r="E111" s="33" t="n">
        <f aca="false">IF(B111&gt;=5,AVERAGE(C107:C110),"")</f>
        <v>48.25</v>
      </c>
      <c r="F111" s="33" t="str">
        <f aca="false">IF(B111&gt;=9,AVERAGE(C103:C110),"")</f>
        <v/>
      </c>
      <c r="G111" s="33" t="n">
        <f aca="false">IF(B111=1,"",IF(B111=2,C110,SES_Alpha*C110+(1-SES_Alpha)*G110))</f>
        <v>48.7725</v>
      </c>
      <c r="H111" s="33" t="n">
        <f aca="false">IF(D111="","",D111-C111)</f>
        <v>3</v>
      </c>
      <c r="I111" s="33" t="n">
        <f aca="false">IF(E111="","",E111-C111)</f>
        <v>-4.75</v>
      </c>
      <c r="J111" s="33" t="str">
        <f aca="false">IF(F111="","",F111-C111)</f>
        <v/>
      </c>
      <c r="K111" s="33" t="n">
        <f aca="false">IF(G111="","",G111-C111)</f>
        <v>-4.22750000000001</v>
      </c>
      <c r="L111" s="33" t="n">
        <f aca="false">IF(H111="","",ABS(H111))</f>
        <v>3</v>
      </c>
      <c r="M111" s="33" t="n">
        <f aca="false">IF(I111="","",ABS(I111))</f>
        <v>4.75</v>
      </c>
      <c r="N111" s="33" t="str">
        <f aca="false">IF(J111="","",ABS(J111))</f>
        <v/>
      </c>
      <c r="O111" s="33" t="n">
        <f aca="false">IF(K111="","",ABS(K111))</f>
        <v>4.22750000000001</v>
      </c>
      <c r="P111" s="34" t="str">
        <f aca="false">IF(B111&gt;=Eval_Start_Week,"YES","")</f>
        <v/>
      </c>
      <c r="Q111" s="34" t="str">
        <f aca="false">IF(AND(B111&gt;=Cal_Start_Week,B111&lt;=Cal_End_Week),"YES","")</f>
        <v/>
      </c>
    </row>
    <row r="112" customFormat="false" ht="15" hidden="false" customHeight="false" outlineLevel="0" collapsed="false">
      <c r="A112" s="31" t="str">
        <f aca="false">Demand_History!C112</f>
        <v>KIT-002</v>
      </c>
      <c r="B112" s="31" t="n">
        <f aca="false">Demand_History!A112</f>
        <v>7</v>
      </c>
      <c r="C112" s="32" t="n">
        <f aca="false">Demand_History!D112</f>
        <v>29</v>
      </c>
      <c r="D112" s="33" t="n">
        <f aca="false">IF(B112&gt;=2,C111,"")</f>
        <v>53</v>
      </c>
      <c r="E112" s="33" t="n">
        <f aca="false">IF(B112&gt;=5,AVERAGE(C108:C111),"")</f>
        <v>48.25</v>
      </c>
      <c r="F112" s="33" t="str">
        <f aca="false">IF(B112&gt;=9,AVERAGE(C104:C111),"")</f>
        <v/>
      </c>
      <c r="G112" s="33" t="n">
        <f aca="false">IF(B112=1,"",IF(B112=2,C111,SES_Alpha*C111+(1-SES_Alpha)*G111))</f>
        <v>50.04075</v>
      </c>
      <c r="H112" s="33" t="n">
        <f aca="false">IF(D112="","",D112-C112)</f>
        <v>24</v>
      </c>
      <c r="I112" s="33" t="n">
        <f aca="false">IF(E112="","",E112-C112)</f>
        <v>19.25</v>
      </c>
      <c r="J112" s="33" t="str">
        <f aca="false">IF(F112="","",F112-C112)</f>
        <v/>
      </c>
      <c r="K112" s="33" t="n">
        <f aca="false">IF(G112="","",G112-C112)</f>
        <v>21.04075</v>
      </c>
      <c r="L112" s="33" t="n">
        <f aca="false">IF(H112="","",ABS(H112))</f>
        <v>24</v>
      </c>
      <c r="M112" s="33" t="n">
        <f aca="false">IF(I112="","",ABS(I112))</f>
        <v>19.25</v>
      </c>
      <c r="N112" s="33" t="str">
        <f aca="false">IF(J112="","",ABS(J112))</f>
        <v/>
      </c>
      <c r="O112" s="33" t="n">
        <f aca="false">IF(K112="","",ABS(K112))</f>
        <v>21.04075</v>
      </c>
      <c r="P112" s="34" t="str">
        <f aca="false">IF(B112&gt;=Eval_Start_Week,"YES","")</f>
        <v/>
      </c>
      <c r="Q112" s="34" t="str">
        <f aca="false">IF(AND(B112&gt;=Cal_Start_Week,B112&lt;=Cal_End_Week),"YES","")</f>
        <v/>
      </c>
    </row>
    <row r="113" customFormat="false" ht="15" hidden="false" customHeight="false" outlineLevel="0" collapsed="false">
      <c r="A113" s="31" t="str">
        <f aca="false">Demand_History!C113</f>
        <v>KIT-002</v>
      </c>
      <c r="B113" s="31" t="n">
        <f aca="false">Demand_History!A113</f>
        <v>8</v>
      </c>
      <c r="C113" s="32" t="n">
        <f aca="false">Demand_History!D113</f>
        <v>44</v>
      </c>
      <c r="D113" s="33" t="n">
        <f aca="false">IF(B113&gt;=2,C112,"")</f>
        <v>29</v>
      </c>
      <c r="E113" s="33" t="n">
        <f aca="false">IF(B113&gt;=5,AVERAGE(C109:C112),"")</f>
        <v>45</v>
      </c>
      <c r="F113" s="33" t="str">
        <f aca="false">IF(B113&gt;=9,AVERAGE(C105:C112),"")</f>
        <v/>
      </c>
      <c r="G113" s="33" t="n">
        <f aca="false">IF(B113=1,"",IF(B113=2,C112,SES_Alpha*C112+(1-SES_Alpha)*G112))</f>
        <v>43.728525</v>
      </c>
      <c r="H113" s="33" t="n">
        <f aca="false">IF(D113="","",D113-C113)</f>
        <v>-15</v>
      </c>
      <c r="I113" s="33" t="n">
        <f aca="false">IF(E113="","",E113-C113)</f>
        <v>1</v>
      </c>
      <c r="J113" s="33" t="str">
        <f aca="false">IF(F113="","",F113-C113)</f>
        <v/>
      </c>
      <c r="K113" s="33" t="n">
        <f aca="false">IF(G113="","",G113-C113)</f>
        <v>-0.271475000000009</v>
      </c>
      <c r="L113" s="33" t="n">
        <f aca="false">IF(H113="","",ABS(H113))</f>
        <v>15</v>
      </c>
      <c r="M113" s="33" t="n">
        <f aca="false">IF(I113="","",ABS(I113))</f>
        <v>1</v>
      </c>
      <c r="N113" s="33" t="str">
        <f aca="false">IF(J113="","",ABS(J113))</f>
        <v/>
      </c>
      <c r="O113" s="33" t="n">
        <f aca="false">IF(K113="","",ABS(K113))</f>
        <v>0.271475000000009</v>
      </c>
      <c r="P113" s="34" t="str">
        <f aca="false">IF(B113&gt;=Eval_Start_Week,"YES","")</f>
        <v/>
      </c>
      <c r="Q113" s="34" t="str">
        <f aca="false">IF(AND(B113&gt;=Cal_Start_Week,B113&lt;=Cal_End_Week),"YES","")</f>
        <v/>
      </c>
    </row>
    <row r="114" customFormat="false" ht="15" hidden="false" customHeight="false" outlineLevel="0" collapsed="false">
      <c r="A114" s="31" t="str">
        <f aca="false">Demand_History!C114</f>
        <v>KIT-002</v>
      </c>
      <c r="B114" s="31" t="n">
        <f aca="false">Demand_History!A114</f>
        <v>9</v>
      </c>
      <c r="C114" s="32" t="n">
        <f aca="false">Demand_History!D114</f>
        <v>46</v>
      </c>
      <c r="D114" s="33" t="n">
        <f aca="false">IF(B114&gt;=2,C113,"")</f>
        <v>44</v>
      </c>
      <c r="E114" s="33" t="n">
        <f aca="false">IF(B114&gt;=5,AVERAGE(C110:C113),"")</f>
        <v>45.5</v>
      </c>
      <c r="F114" s="33" t="n">
        <f aca="false">IF(B114&gt;=9,AVERAGE(C106:C113),"")</f>
        <v>45.875</v>
      </c>
      <c r="G114" s="33" t="n">
        <f aca="false">IF(B114=1,"",IF(B114=2,C113,SES_Alpha*C113+(1-SES_Alpha)*G113))</f>
        <v>43.8099675</v>
      </c>
      <c r="H114" s="33" t="n">
        <f aca="false">IF(D114="","",D114-C114)</f>
        <v>-2</v>
      </c>
      <c r="I114" s="33" t="n">
        <f aca="false">IF(E114="","",E114-C114)</f>
        <v>-0.5</v>
      </c>
      <c r="J114" s="33" t="n">
        <f aca="false">IF(F114="","",F114-C114)</f>
        <v>-0.125</v>
      </c>
      <c r="K114" s="33" t="n">
        <f aca="false">IF(G114="","",G114-C114)</f>
        <v>-2.19003250000001</v>
      </c>
      <c r="L114" s="33" t="n">
        <f aca="false">IF(H114="","",ABS(H114))</f>
        <v>2</v>
      </c>
      <c r="M114" s="33" t="n">
        <f aca="false">IF(I114="","",ABS(I114))</f>
        <v>0.5</v>
      </c>
      <c r="N114" s="33" t="n">
        <f aca="false">IF(J114="","",ABS(J114))</f>
        <v>0.125</v>
      </c>
      <c r="O114" s="33" t="n">
        <f aca="false">IF(K114="","",ABS(K114))</f>
        <v>2.19003250000001</v>
      </c>
      <c r="P114" s="34" t="str">
        <f aca="false">IF(B114&gt;=Eval_Start_Week,"YES","")</f>
        <v/>
      </c>
      <c r="Q114" s="34" t="str">
        <f aca="false">IF(AND(B114&gt;=Cal_Start_Week,B114&lt;=Cal_End_Week),"YES","")</f>
        <v/>
      </c>
    </row>
    <row r="115" customFormat="false" ht="15" hidden="false" customHeight="false" outlineLevel="0" collapsed="false">
      <c r="A115" s="31" t="str">
        <f aca="false">Demand_History!C115</f>
        <v>KIT-002</v>
      </c>
      <c r="B115" s="31" t="n">
        <f aca="false">Demand_History!A115</f>
        <v>10</v>
      </c>
      <c r="C115" s="32" t="n">
        <f aca="false">Demand_History!D115</f>
        <v>29</v>
      </c>
      <c r="D115" s="33" t="n">
        <f aca="false">IF(B115&gt;=2,C114,"")</f>
        <v>46</v>
      </c>
      <c r="E115" s="33" t="n">
        <f aca="false">IF(B115&gt;=5,AVERAGE(C111:C114),"")</f>
        <v>43</v>
      </c>
      <c r="F115" s="33" t="n">
        <f aca="false">IF(B115&gt;=9,AVERAGE(C107:C114),"")</f>
        <v>45.625</v>
      </c>
      <c r="G115" s="33" t="n">
        <f aca="false">IF(B115=1,"",IF(B115=2,C114,SES_Alpha*C114+(1-SES_Alpha)*G114))</f>
        <v>44.46697725</v>
      </c>
      <c r="H115" s="33" t="n">
        <f aca="false">IF(D115="","",D115-C115)</f>
        <v>17</v>
      </c>
      <c r="I115" s="33" t="n">
        <f aca="false">IF(E115="","",E115-C115)</f>
        <v>14</v>
      </c>
      <c r="J115" s="33" t="n">
        <f aca="false">IF(F115="","",F115-C115)</f>
        <v>16.625</v>
      </c>
      <c r="K115" s="33" t="n">
        <f aca="false">IF(G115="","",G115-C115)</f>
        <v>15.46697725</v>
      </c>
      <c r="L115" s="33" t="n">
        <f aca="false">IF(H115="","",ABS(H115))</f>
        <v>17</v>
      </c>
      <c r="M115" s="33" t="n">
        <f aca="false">IF(I115="","",ABS(I115))</f>
        <v>14</v>
      </c>
      <c r="N115" s="33" t="n">
        <f aca="false">IF(J115="","",ABS(J115))</f>
        <v>16.625</v>
      </c>
      <c r="O115" s="33" t="n">
        <f aca="false">IF(K115="","",ABS(K115))</f>
        <v>15.46697725</v>
      </c>
      <c r="P115" s="34" t="str">
        <f aca="false">IF(B115&gt;=Eval_Start_Week,"YES","")</f>
        <v/>
      </c>
      <c r="Q115" s="34" t="str">
        <f aca="false">IF(AND(B115&gt;=Cal_Start_Week,B115&lt;=Cal_End_Week),"YES","")</f>
        <v/>
      </c>
    </row>
    <row r="116" customFormat="false" ht="15" hidden="false" customHeight="false" outlineLevel="0" collapsed="false">
      <c r="A116" s="31" t="str">
        <f aca="false">Demand_History!C116</f>
        <v>KIT-002</v>
      </c>
      <c r="B116" s="31" t="n">
        <f aca="false">Demand_History!A116</f>
        <v>11</v>
      </c>
      <c r="C116" s="32" t="n">
        <f aca="false">Demand_History!D116</f>
        <v>49</v>
      </c>
      <c r="D116" s="33" t="n">
        <f aca="false">IF(B116&gt;=2,C115,"")</f>
        <v>29</v>
      </c>
      <c r="E116" s="33" t="n">
        <f aca="false">IF(B116&gt;=5,AVERAGE(C112:C115),"")</f>
        <v>37</v>
      </c>
      <c r="F116" s="33" t="n">
        <f aca="false">IF(B116&gt;=9,AVERAGE(C108:C115),"")</f>
        <v>42.625</v>
      </c>
      <c r="G116" s="33" t="n">
        <f aca="false">IF(B116=1,"",IF(B116=2,C115,SES_Alpha*C115+(1-SES_Alpha)*G115))</f>
        <v>39.826884075</v>
      </c>
      <c r="H116" s="33" t="n">
        <f aca="false">IF(D116="","",D116-C116)</f>
        <v>-20</v>
      </c>
      <c r="I116" s="33" t="n">
        <f aca="false">IF(E116="","",E116-C116)</f>
        <v>-12</v>
      </c>
      <c r="J116" s="33" t="n">
        <f aca="false">IF(F116="","",F116-C116)</f>
        <v>-6.375</v>
      </c>
      <c r="K116" s="33" t="n">
        <f aca="false">IF(G116="","",G116-C116)</f>
        <v>-9.17311592500001</v>
      </c>
      <c r="L116" s="33" t="n">
        <f aca="false">IF(H116="","",ABS(H116))</f>
        <v>20</v>
      </c>
      <c r="M116" s="33" t="n">
        <f aca="false">IF(I116="","",ABS(I116))</f>
        <v>12</v>
      </c>
      <c r="N116" s="33" t="n">
        <f aca="false">IF(J116="","",ABS(J116))</f>
        <v>6.375</v>
      </c>
      <c r="O116" s="33" t="n">
        <f aca="false">IF(K116="","",ABS(K116))</f>
        <v>9.17311592500001</v>
      </c>
      <c r="P116" s="34" t="str">
        <f aca="false">IF(B116&gt;=Eval_Start_Week,"YES","")</f>
        <v/>
      </c>
      <c r="Q116" s="34" t="str">
        <f aca="false">IF(AND(B116&gt;=Cal_Start_Week,B116&lt;=Cal_End_Week),"YES","")</f>
        <v/>
      </c>
    </row>
    <row r="117" customFormat="false" ht="15" hidden="false" customHeight="false" outlineLevel="0" collapsed="false">
      <c r="A117" s="31" t="str">
        <f aca="false">Demand_History!C117</f>
        <v>KIT-002</v>
      </c>
      <c r="B117" s="31" t="n">
        <f aca="false">Demand_History!A117</f>
        <v>12</v>
      </c>
      <c r="C117" s="32" t="n">
        <f aca="false">Demand_History!D117</f>
        <v>32</v>
      </c>
      <c r="D117" s="33" t="n">
        <f aca="false">IF(B117&gt;=2,C116,"")</f>
        <v>49</v>
      </c>
      <c r="E117" s="33" t="n">
        <f aca="false">IF(B117&gt;=5,AVERAGE(C113:C116),"")</f>
        <v>42</v>
      </c>
      <c r="F117" s="33" t="n">
        <f aca="false">IF(B117&gt;=9,AVERAGE(C109:C116),"")</f>
        <v>43.5</v>
      </c>
      <c r="G117" s="33" t="n">
        <f aca="false">IF(B117=1,"",IF(B117=2,C116,SES_Alpha*C116+(1-SES_Alpha)*G116))</f>
        <v>42.5788188525</v>
      </c>
      <c r="H117" s="33" t="n">
        <f aca="false">IF(D117="","",D117-C117)</f>
        <v>17</v>
      </c>
      <c r="I117" s="33" t="n">
        <f aca="false">IF(E117="","",E117-C117)</f>
        <v>10</v>
      </c>
      <c r="J117" s="33" t="n">
        <f aca="false">IF(F117="","",F117-C117)</f>
        <v>11.5</v>
      </c>
      <c r="K117" s="33" t="n">
        <f aca="false">IF(G117="","",G117-C117)</f>
        <v>10.5788188525</v>
      </c>
      <c r="L117" s="33" t="n">
        <f aca="false">IF(H117="","",ABS(H117))</f>
        <v>17</v>
      </c>
      <c r="M117" s="33" t="n">
        <f aca="false">IF(I117="","",ABS(I117))</f>
        <v>10</v>
      </c>
      <c r="N117" s="33" t="n">
        <f aca="false">IF(J117="","",ABS(J117))</f>
        <v>11.5</v>
      </c>
      <c r="O117" s="33" t="n">
        <f aca="false">IF(K117="","",ABS(K117))</f>
        <v>10.5788188525</v>
      </c>
      <c r="P117" s="34" t="str">
        <f aca="false">IF(B117&gt;=Eval_Start_Week,"YES","")</f>
        <v/>
      </c>
      <c r="Q117" s="34" t="str">
        <f aca="false">IF(AND(B117&gt;=Cal_Start_Week,B117&lt;=Cal_End_Week),"YES","")</f>
        <v/>
      </c>
    </row>
    <row r="118" customFormat="false" ht="15" hidden="false" customHeight="false" outlineLevel="0" collapsed="false">
      <c r="A118" s="31" t="str">
        <f aca="false">Demand_History!C118</f>
        <v>KIT-002</v>
      </c>
      <c r="B118" s="31" t="n">
        <f aca="false">Demand_History!A118</f>
        <v>13</v>
      </c>
      <c r="C118" s="32" t="n">
        <f aca="false">Demand_History!D118</f>
        <v>60</v>
      </c>
      <c r="D118" s="33" t="n">
        <f aca="false">IF(B118&gt;=2,C117,"")</f>
        <v>32</v>
      </c>
      <c r="E118" s="33" t="n">
        <f aca="false">IF(B118&gt;=5,AVERAGE(C114:C117),"")</f>
        <v>39</v>
      </c>
      <c r="F118" s="33" t="n">
        <f aca="false">IF(B118&gt;=9,AVERAGE(C110:C117),"")</f>
        <v>42.25</v>
      </c>
      <c r="G118" s="33" t="n">
        <f aca="false">IF(B118=1,"",IF(B118=2,C117,SES_Alpha*C117+(1-SES_Alpha)*G117))</f>
        <v>39.40517319675</v>
      </c>
      <c r="H118" s="33" t="n">
        <f aca="false">IF(D118="","",D118-C118)</f>
        <v>-28</v>
      </c>
      <c r="I118" s="33" t="n">
        <f aca="false">IF(E118="","",E118-C118)</f>
        <v>-21</v>
      </c>
      <c r="J118" s="33" t="n">
        <f aca="false">IF(F118="","",F118-C118)</f>
        <v>-17.75</v>
      </c>
      <c r="K118" s="33" t="n">
        <f aca="false">IF(G118="","",G118-C118)</f>
        <v>-20.59482680325</v>
      </c>
      <c r="L118" s="33" t="n">
        <f aca="false">IF(H118="","",ABS(H118))</f>
        <v>28</v>
      </c>
      <c r="M118" s="33" t="n">
        <f aca="false">IF(I118="","",ABS(I118))</f>
        <v>21</v>
      </c>
      <c r="N118" s="33" t="n">
        <f aca="false">IF(J118="","",ABS(J118))</f>
        <v>17.75</v>
      </c>
      <c r="O118" s="33" t="n">
        <f aca="false">IF(K118="","",ABS(K118))</f>
        <v>20.59482680325</v>
      </c>
      <c r="P118" s="34" t="str">
        <f aca="false">IF(B118&gt;=Eval_Start_Week,"YES","")</f>
        <v/>
      </c>
      <c r="Q118" s="34" t="str">
        <f aca="false">IF(AND(B118&gt;=Cal_Start_Week,B118&lt;=Cal_End_Week),"YES","")</f>
        <v/>
      </c>
    </row>
    <row r="119" customFormat="false" ht="15" hidden="false" customHeight="false" outlineLevel="0" collapsed="false">
      <c r="A119" s="31" t="str">
        <f aca="false">Demand_History!C119</f>
        <v>KIT-002</v>
      </c>
      <c r="B119" s="31" t="n">
        <f aca="false">Demand_History!A119</f>
        <v>14</v>
      </c>
      <c r="C119" s="32" t="n">
        <f aca="false">Demand_History!D119</f>
        <v>48</v>
      </c>
      <c r="D119" s="33" t="n">
        <f aca="false">IF(B119&gt;=2,C118,"")</f>
        <v>60</v>
      </c>
      <c r="E119" s="33" t="n">
        <f aca="false">IF(B119&gt;=5,AVERAGE(C115:C118),"")</f>
        <v>42.5</v>
      </c>
      <c r="F119" s="33" t="n">
        <f aca="false">IF(B119&gt;=9,AVERAGE(C111:C118),"")</f>
        <v>42.75</v>
      </c>
      <c r="G119" s="33" t="n">
        <f aca="false">IF(B119=1,"",IF(B119=2,C118,SES_Alpha*C118+(1-SES_Alpha)*G118))</f>
        <v>45.583621237725</v>
      </c>
      <c r="H119" s="33" t="n">
        <f aca="false">IF(D119="","",D119-C119)</f>
        <v>12</v>
      </c>
      <c r="I119" s="33" t="n">
        <f aca="false">IF(E119="","",E119-C119)</f>
        <v>-5.5</v>
      </c>
      <c r="J119" s="33" t="n">
        <f aca="false">IF(F119="","",F119-C119)</f>
        <v>-5.25</v>
      </c>
      <c r="K119" s="33" t="n">
        <f aca="false">IF(G119="","",G119-C119)</f>
        <v>-2.416378762275</v>
      </c>
      <c r="L119" s="33" t="n">
        <f aca="false">IF(H119="","",ABS(H119))</f>
        <v>12</v>
      </c>
      <c r="M119" s="33" t="n">
        <f aca="false">IF(I119="","",ABS(I119))</f>
        <v>5.5</v>
      </c>
      <c r="N119" s="33" t="n">
        <f aca="false">IF(J119="","",ABS(J119))</f>
        <v>5.25</v>
      </c>
      <c r="O119" s="33" t="n">
        <f aca="false">IF(K119="","",ABS(K119))</f>
        <v>2.416378762275</v>
      </c>
      <c r="P119" s="34" t="str">
        <f aca="false">IF(B119&gt;=Eval_Start_Week,"YES","")</f>
        <v/>
      </c>
      <c r="Q119" s="34" t="str">
        <f aca="false">IF(AND(B119&gt;=Cal_Start_Week,B119&lt;=Cal_End_Week),"YES","")</f>
        <v/>
      </c>
    </row>
    <row r="120" customFormat="false" ht="15" hidden="false" customHeight="false" outlineLevel="0" collapsed="false">
      <c r="A120" s="31" t="str">
        <f aca="false">Demand_History!C120</f>
        <v>KIT-002</v>
      </c>
      <c r="B120" s="31" t="n">
        <f aca="false">Demand_History!A120</f>
        <v>15</v>
      </c>
      <c r="C120" s="32" t="n">
        <f aca="false">Demand_History!D120</f>
        <v>46</v>
      </c>
      <c r="D120" s="33" t="n">
        <f aca="false">IF(B120&gt;=2,C119,"")</f>
        <v>48</v>
      </c>
      <c r="E120" s="33" t="n">
        <f aca="false">IF(B120&gt;=5,AVERAGE(C116:C119),"")</f>
        <v>47.25</v>
      </c>
      <c r="F120" s="33" t="n">
        <f aca="false">IF(B120&gt;=9,AVERAGE(C112:C119),"")</f>
        <v>42.125</v>
      </c>
      <c r="G120" s="33" t="n">
        <f aca="false">IF(B120=1,"",IF(B120=2,C119,SES_Alpha*C119+(1-SES_Alpha)*G119))</f>
        <v>46.3085348664075</v>
      </c>
      <c r="H120" s="33" t="n">
        <f aca="false">IF(D120="","",D120-C120)</f>
        <v>2</v>
      </c>
      <c r="I120" s="33" t="n">
        <f aca="false">IF(E120="","",E120-C120)</f>
        <v>1.25</v>
      </c>
      <c r="J120" s="33" t="n">
        <f aca="false">IF(F120="","",F120-C120)</f>
        <v>-3.875</v>
      </c>
      <c r="K120" s="33" t="n">
        <f aca="false">IF(G120="","",G120-C120)</f>
        <v>0.308534866407499</v>
      </c>
      <c r="L120" s="33" t="n">
        <f aca="false">IF(H120="","",ABS(H120))</f>
        <v>2</v>
      </c>
      <c r="M120" s="33" t="n">
        <f aca="false">IF(I120="","",ABS(I120))</f>
        <v>1.25</v>
      </c>
      <c r="N120" s="33" t="n">
        <f aca="false">IF(J120="","",ABS(J120))</f>
        <v>3.875</v>
      </c>
      <c r="O120" s="33" t="n">
        <f aca="false">IF(K120="","",ABS(K120))</f>
        <v>0.308534866407499</v>
      </c>
      <c r="P120" s="34" t="str">
        <f aca="false">IF(B120&gt;=Eval_Start_Week,"YES","")</f>
        <v/>
      </c>
      <c r="Q120" s="34" t="str">
        <f aca="false">IF(AND(B120&gt;=Cal_Start_Week,B120&lt;=Cal_End_Week),"YES","")</f>
        <v/>
      </c>
    </row>
    <row r="121" customFormat="false" ht="15" hidden="false" customHeight="false" outlineLevel="0" collapsed="false">
      <c r="A121" s="31" t="str">
        <f aca="false">Demand_History!C121</f>
        <v>KIT-002</v>
      </c>
      <c r="B121" s="31" t="n">
        <f aca="false">Demand_History!A121</f>
        <v>16</v>
      </c>
      <c r="C121" s="32" t="n">
        <f aca="false">Demand_History!D121</f>
        <v>36</v>
      </c>
      <c r="D121" s="33" t="n">
        <f aca="false">IF(B121&gt;=2,C120,"")</f>
        <v>46</v>
      </c>
      <c r="E121" s="33" t="n">
        <f aca="false">IF(B121&gt;=5,AVERAGE(C117:C120),"")</f>
        <v>46.5</v>
      </c>
      <c r="F121" s="33" t="n">
        <f aca="false">IF(B121&gt;=9,AVERAGE(C113:C120),"")</f>
        <v>44.25</v>
      </c>
      <c r="G121" s="33" t="n">
        <f aca="false">IF(B121=1,"",IF(B121=2,C120,SES_Alpha*C120+(1-SES_Alpha)*G120))</f>
        <v>46.2159744064852</v>
      </c>
      <c r="H121" s="33" t="n">
        <f aca="false">IF(D121="","",D121-C121)</f>
        <v>10</v>
      </c>
      <c r="I121" s="33" t="n">
        <f aca="false">IF(E121="","",E121-C121)</f>
        <v>10.5</v>
      </c>
      <c r="J121" s="33" t="n">
        <f aca="false">IF(F121="","",F121-C121)</f>
        <v>8.25</v>
      </c>
      <c r="K121" s="33" t="n">
        <f aca="false">IF(G121="","",G121-C121)</f>
        <v>10.2159744064852</v>
      </c>
      <c r="L121" s="33" t="n">
        <f aca="false">IF(H121="","",ABS(H121))</f>
        <v>10</v>
      </c>
      <c r="M121" s="33" t="n">
        <f aca="false">IF(I121="","",ABS(I121))</f>
        <v>10.5</v>
      </c>
      <c r="N121" s="33" t="n">
        <f aca="false">IF(J121="","",ABS(J121))</f>
        <v>8.25</v>
      </c>
      <c r="O121" s="33" t="n">
        <f aca="false">IF(K121="","",ABS(K121))</f>
        <v>10.2159744064852</v>
      </c>
      <c r="P121" s="34" t="str">
        <f aca="false">IF(B121&gt;=Eval_Start_Week,"YES","")</f>
        <v/>
      </c>
      <c r="Q121" s="34" t="str">
        <f aca="false">IF(AND(B121&gt;=Cal_Start_Week,B121&lt;=Cal_End_Week),"YES","")</f>
        <v/>
      </c>
    </row>
    <row r="122" customFormat="false" ht="15" hidden="false" customHeight="false" outlineLevel="0" collapsed="false">
      <c r="A122" s="31" t="str">
        <f aca="false">Demand_History!C122</f>
        <v>KIT-002</v>
      </c>
      <c r="B122" s="31" t="n">
        <f aca="false">Demand_History!A122</f>
        <v>17</v>
      </c>
      <c r="C122" s="32" t="n">
        <f aca="false">Demand_History!D122</f>
        <v>43</v>
      </c>
      <c r="D122" s="33" t="n">
        <f aca="false">IF(B122&gt;=2,C121,"")</f>
        <v>36</v>
      </c>
      <c r="E122" s="33" t="n">
        <f aca="false">IF(B122&gt;=5,AVERAGE(C118:C121),"")</f>
        <v>47.5</v>
      </c>
      <c r="F122" s="33" t="n">
        <f aca="false">IF(B122&gt;=9,AVERAGE(C114:C121),"")</f>
        <v>43.25</v>
      </c>
      <c r="G122" s="33" t="n">
        <f aca="false">IF(B122=1,"",IF(B122=2,C121,SES_Alpha*C121+(1-SES_Alpha)*G121))</f>
        <v>43.1511820845397</v>
      </c>
      <c r="H122" s="33" t="n">
        <f aca="false">IF(D122="","",D122-C122)</f>
        <v>-7</v>
      </c>
      <c r="I122" s="33" t="n">
        <f aca="false">IF(E122="","",E122-C122)</f>
        <v>4.5</v>
      </c>
      <c r="J122" s="33" t="n">
        <f aca="false">IF(F122="","",F122-C122)</f>
        <v>0.25</v>
      </c>
      <c r="K122" s="33" t="n">
        <f aca="false">IF(G122="","",G122-C122)</f>
        <v>0.15118208453967</v>
      </c>
      <c r="L122" s="33" t="n">
        <f aca="false">IF(H122="","",ABS(H122))</f>
        <v>7</v>
      </c>
      <c r="M122" s="33" t="n">
        <f aca="false">IF(I122="","",ABS(I122))</f>
        <v>4.5</v>
      </c>
      <c r="N122" s="33" t="n">
        <f aca="false">IF(J122="","",ABS(J122))</f>
        <v>0.25</v>
      </c>
      <c r="O122" s="33" t="n">
        <f aca="false">IF(K122="","",ABS(K122))</f>
        <v>0.15118208453967</v>
      </c>
      <c r="P122" s="34" t="str">
        <f aca="false">IF(B122&gt;=Eval_Start_Week,"YES","")</f>
        <v/>
      </c>
      <c r="Q122" s="34" t="str">
        <f aca="false">IF(AND(B122&gt;=Cal_Start_Week,B122&lt;=Cal_End_Week),"YES","")</f>
        <v/>
      </c>
    </row>
    <row r="123" customFormat="false" ht="15" hidden="false" customHeight="false" outlineLevel="0" collapsed="false">
      <c r="A123" s="31" t="str">
        <f aca="false">Demand_History!C123</f>
        <v>KIT-002</v>
      </c>
      <c r="B123" s="31" t="n">
        <f aca="false">Demand_History!A123</f>
        <v>18</v>
      </c>
      <c r="C123" s="32" t="n">
        <f aca="false">Demand_History!D123</f>
        <v>15</v>
      </c>
      <c r="D123" s="33" t="n">
        <f aca="false">IF(B123&gt;=2,C122,"")</f>
        <v>43</v>
      </c>
      <c r="E123" s="33" t="n">
        <f aca="false">IF(B123&gt;=5,AVERAGE(C119:C122),"")</f>
        <v>43.25</v>
      </c>
      <c r="F123" s="33" t="n">
        <f aca="false">IF(B123&gt;=9,AVERAGE(C115:C122),"")</f>
        <v>42.875</v>
      </c>
      <c r="G123" s="33" t="n">
        <f aca="false">IF(B123=1,"",IF(B123=2,C122,SES_Alpha*C122+(1-SES_Alpha)*G122))</f>
        <v>43.1058274591778</v>
      </c>
      <c r="H123" s="33" t="n">
        <f aca="false">IF(D123="","",D123-C123)</f>
        <v>28</v>
      </c>
      <c r="I123" s="33" t="n">
        <f aca="false">IF(E123="","",E123-C123)</f>
        <v>28.25</v>
      </c>
      <c r="J123" s="33" t="n">
        <f aca="false">IF(F123="","",F123-C123)</f>
        <v>27.875</v>
      </c>
      <c r="K123" s="33" t="n">
        <f aca="false">IF(G123="","",G123-C123)</f>
        <v>28.1058274591778</v>
      </c>
      <c r="L123" s="33" t="n">
        <f aca="false">IF(H123="","",ABS(H123))</f>
        <v>28</v>
      </c>
      <c r="M123" s="33" t="n">
        <f aca="false">IF(I123="","",ABS(I123))</f>
        <v>28.25</v>
      </c>
      <c r="N123" s="33" t="n">
        <f aca="false">IF(J123="","",ABS(J123))</f>
        <v>27.875</v>
      </c>
      <c r="O123" s="33" t="n">
        <f aca="false">IF(K123="","",ABS(K123))</f>
        <v>28.1058274591778</v>
      </c>
      <c r="P123" s="34" t="str">
        <f aca="false">IF(B123&gt;=Eval_Start_Week,"YES","")</f>
        <v/>
      </c>
      <c r="Q123" s="34" t="str">
        <f aca="false">IF(AND(B123&gt;=Cal_Start_Week,B123&lt;=Cal_End_Week),"YES","")</f>
        <v/>
      </c>
    </row>
    <row r="124" customFormat="false" ht="15" hidden="false" customHeight="false" outlineLevel="0" collapsed="false">
      <c r="A124" s="31" t="str">
        <f aca="false">Demand_History!C124</f>
        <v>KIT-002</v>
      </c>
      <c r="B124" s="31" t="n">
        <f aca="false">Demand_History!A124</f>
        <v>19</v>
      </c>
      <c r="C124" s="32" t="n">
        <f aca="false">Demand_History!D124</f>
        <v>28</v>
      </c>
      <c r="D124" s="33" t="n">
        <f aca="false">IF(B124&gt;=2,C123,"")</f>
        <v>15</v>
      </c>
      <c r="E124" s="33" t="n">
        <f aca="false">IF(B124&gt;=5,AVERAGE(C120:C123),"")</f>
        <v>35</v>
      </c>
      <c r="F124" s="33" t="n">
        <f aca="false">IF(B124&gt;=9,AVERAGE(C116:C123),"")</f>
        <v>41.125</v>
      </c>
      <c r="G124" s="33" t="n">
        <f aca="false">IF(B124=1,"",IF(B124=2,C123,SES_Alpha*C123+(1-SES_Alpha)*G123))</f>
        <v>34.6740792214244</v>
      </c>
      <c r="H124" s="33" t="n">
        <f aca="false">IF(D124="","",D124-C124)</f>
        <v>-13</v>
      </c>
      <c r="I124" s="33" t="n">
        <f aca="false">IF(E124="","",E124-C124)</f>
        <v>7</v>
      </c>
      <c r="J124" s="33" t="n">
        <f aca="false">IF(F124="","",F124-C124)</f>
        <v>13.125</v>
      </c>
      <c r="K124" s="33" t="n">
        <f aca="false">IF(G124="","",G124-C124)</f>
        <v>6.67407922142444</v>
      </c>
      <c r="L124" s="33" t="n">
        <f aca="false">IF(H124="","",ABS(H124))</f>
        <v>13</v>
      </c>
      <c r="M124" s="33" t="n">
        <f aca="false">IF(I124="","",ABS(I124))</f>
        <v>7</v>
      </c>
      <c r="N124" s="33" t="n">
        <f aca="false">IF(J124="","",ABS(J124))</f>
        <v>13.125</v>
      </c>
      <c r="O124" s="33" t="n">
        <f aca="false">IF(K124="","",ABS(K124))</f>
        <v>6.67407922142444</v>
      </c>
      <c r="P124" s="34" t="str">
        <f aca="false">IF(B124&gt;=Eval_Start_Week,"YES","")</f>
        <v/>
      </c>
      <c r="Q124" s="34" t="str">
        <f aca="false">IF(AND(B124&gt;=Cal_Start_Week,B124&lt;=Cal_End_Week),"YES","")</f>
        <v/>
      </c>
    </row>
    <row r="125" customFormat="false" ht="15" hidden="false" customHeight="false" outlineLevel="0" collapsed="false">
      <c r="A125" s="31" t="str">
        <f aca="false">Demand_History!C125</f>
        <v>KIT-002</v>
      </c>
      <c r="B125" s="31" t="n">
        <f aca="false">Demand_History!A125</f>
        <v>20</v>
      </c>
      <c r="C125" s="32" t="n">
        <f aca="false">Demand_History!D125</f>
        <v>51</v>
      </c>
      <c r="D125" s="33" t="n">
        <f aca="false">IF(B125&gt;=2,C124,"")</f>
        <v>28</v>
      </c>
      <c r="E125" s="33" t="n">
        <f aca="false">IF(B125&gt;=5,AVERAGE(C121:C124),"")</f>
        <v>30.5</v>
      </c>
      <c r="F125" s="33" t="n">
        <f aca="false">IF(B125&gt;=9,AVERAGE(C117:C124),"")</f>
        <v>38.5</v>
      </c>
      <c r="G125" s="33" t="n">
        <f aca="false">IF(B125=1,"",IF(B125=2,C124,SES_Alpha*C124+(1-SES_Alpha)*G124))</f>
        <v>32.6718554549971</v>
      </c>
      <c r="H125" s="33" t="n">
        <f aca="false">IF(D125="","",D125-C125)</f>
        <v>-23</v>
      </c>
      <c r="I125" s="33" t="n">
        <f aca="false">IF(E125="","",E125-C125)</f>
        <v>-20.5</v>
      </c>
      <c r="J125" s="33" t="n">
        <f aca="false">IF(F125="","",F125-C125)</f>
        <v>-12.5</v>
      </c>
      <c r="K125" s="33" t="n">
        <f aca="false">IF(G125="","",G125-C125)</f>
        <v>-18.3281445450029</v>
      </c>
      <c r="L125" s="33" t="n">
        <f aca="false">IF(H125="","",ABS(H125))</f>
        <v>23</v>
      </c>
      <c r="M125" s="33" t="n">
        <f aca="false">IF(I125="","",ABS(I125))</f>
        <v>20.5</v>
      </c>
      <c r="N125" s="33" t="n">
        <f aca="false">IF(J125="","",ABS(J125))</f>
        <v>12.5</v>
      </c>
      <c r="O125" s="33" t="n">
        <f aca="false">IF(K125="","",ABS(K125))</f>
        <v>18.3281445450029</v>
      </c>
      <c r="P125" s="34" t="str">
        <f aca="false">IF(B125&gt;=Eval_Start_Week,"YES","")</f>
        <v/>
      </c>
      <c r="Q125" s="34" t="str">
        <f aca="false">IF(AND(B125&gt;=Cal_Start_Week,B125&lt;=Cal_End_Week),"YES","")</f>
        <v/>
      </c>
    </row>
    <row r="126" customFormat="false" ht="15" hidden="false" customHeight="false" outlineLevel="0" collapsed="false">
      <c r="A126" s="31" t="str">
        <f aca="false">Demand_History!C126</f>
        <v>KIT-002</v>
      </c>
      <c r="B126" s="31" t="n">
        <f aca="false">Demand_History!A126</f>
        <v>21</v>
      </c>
      <c r="C126" s="32" t="n">
        <f aca="false">Demand_History!D126</f>
        <v>13</v>
      </c>
      <c r="D126" s="33" t="n">
        <f aca="false">IF(B126&gt;=2,C125,"")</f>
        <v>51</v>
      </c>
      <c r="E126" s="33" t="n">
        <f aca="false">IF(B126&gt;=5,AVERAGE(C122:C125),"")</f>
        <v>34.25</v>
      </c>
      <c r="F126" s="33" t="n">
        <f aca="false">IF(B126&gt;=9,AVERAGE(C118:C125),"")</f>
        <v>40.875</v>
      </c>
      <c r="G126" s="33" t="n">
        <f aca="false">IF(B126=1,"",IF(B126=2,C125,SES_Alpha*C125+(1-SES_Alpha)*G125))</f>
        <v>38.170298818498</v>
      </c>
      <c r="H126" s="33" t="n">
        <f aca="false">IF(D126="","",D126-C126)</f>
        <v>38</v>
      </c>
      <c r="I126" s="33" t="n">
        <f aca="false">IF(E126="","",E126-C126)</f>
        <v>21.25</v>
      </c>
      <c r="J126" s="33" t="n">
        <f aca="false">IF(F126="","",F126-C126)</f>
        <v>27.875</v>
      </c>
      <c r="K126" s="33" t="n">
        <f aca="false">IF(G126="","",G126-C126)</f>
        <v>25.170298818498</v>
      </c>
      <c r="L126" s="33" t="n">
        <f aca="false">IF(H126="","",ABS(H126))</f>
        <v>38</v>
      </c>
      <c r="M126" s="33" t="n">
        <f aca="false">IF(I126="","",ABS(I126))</f>
        <v>21.25</v>
      </c>
      <c r="N126" s="33" t="n">
        <f aca="false">IF(J126="","",ABS(J126))</f>
        <v>27.875</v>
      </c>
      <c r="O126" s="33" t="n">
        <f aca="false">IF(K126="","",ABS(K126))</f>
        <v>25.170298818498</v>
      </c>
      <c r="P126" s="34" t="str">
        <f aca="false">IF(B126&gt;=Eval_Start_Week,"YES","")</f>
        <v/>
      </c>
      <c r="Q126" s="34" t="str">
        <f aca="false">IF(AND(B126&gt;=Cal_Start_Week,B126&lt;=Cal_End_Week),"YES","")</f>
        <v/>
      </c>
    </row>
    <row r="127" customFormat="false" ht="15" hidden="false" customHeight="false" outlineLevel="0" collapsed="false">
      <c r="A127" s="31" t="str">
        <f aca="false">Demand_History!C127</f>
        <v>KIT-002</v>
      </c>
      <c r="B127" s="31" t="n">
        <f aca="false">Demand_History!A127</f>
        <v>22</v>
      </c>
      <c r="C127" s="32" t="n">
        <f aca="false">Demand_History!D127</f>
        <v>58</v>
      </c>
      <c r="D127" s="33" t="n">
        <f aca="false">IF(B127&gt;=2,C126,"")</f>
        <v>13</v>
      </c>
      <c r="E127" s="33" t="n">
        <f aca="false">IF(B127&gt;=5,AVERAGE(C123:C126),"")</f>
        <v>26.75</v>
      </c>
      <c r="F127" s="33" t="n">
        <f aca="false">IF(B127&gt;=9,AVERAGE(C119:C126),"")</f>
        <v>35</v>
      </c>
      <c r="G127" s="33" t="n">
        <f aca="false">IF(B127=1,"",IF(B127=2,C126,SES_Alpha*C126+(1-SES_Alpha)*G126))</f>
        <v>30.6192091729486</v>
      </c>
      <c r="H127" s="33" t="n">
        <f aca="false">IF(D127="","",D127-C127)</f>
        <v>-45</v>
      </c>
      <c r="I127" s="33" t="n">
        <f aca="false">IF(E127="","",E127-C127)</f>
        <v>-31.25</v>
      </c>
      <c r="J127" s="33" t="n">
        <f aca="false">IF(F127="","",F127-C127)</f>
        <v>-23</v>
      </c>
      <c r="K127" s="33" t="n">
        <f aca="false">IF(G127="","",G127-C127)</f>
        <v>-27.3807908270514</v>
      </c>
      <c r="L127" s="33" t="n">
        <f aca="false">IF(H127="","",ABS(H127))</f>
        <v>45</v>
      </c>
      <c r="M127" s="33" t="n">
        <f aca="false">IF(I127="","",ABS(I127))</f>
        <v>31.25</v>
      </c>
      <c r="N127" s="33" t="n">
        <f aca="false">IF(J127="","",ABS(J127))</f>
        <v>23</v>
      </c>
      <c r="O127" s="33" t="n">
        <f aca="false">IF(K127="","",ABS(K127))</f>
        <v>27.3807908270514</v>
      </c>
      <c r="P127" s="34" t="str">
        <f aca="false">IF(B127&gt;=Eval_Start_Week,"YES","")</f>
        <v/>
      </c>
      <c r="Q127" s="34" t="str">
        <f aca="false">IF(AND(B127&gt;=Cal_Start_Week,B127&lt;=Cal_End_Week),"YES","")</f>
        <v/>
      </c>
    </row>
    <row r="128" customFormat="false" ht="15" hidden="false" customHeight="false" outlineLevel="0" collapsed="false">
      <c r="A128" s="31" t="str">
        <f aca="false">Demand_History!C128</f>
        <v>KIT-002</v>
      </c>
      <c r="B128" s="31" t="n">
        <f aca="false">Demand_History!A128</f>
        <v>23</v>
      </c>
      <c r="C128" s="32" t="n">
        <f aca="false">Demand_History!D128</f>
        <v>18</v>
      </c>
      <c r="D128" s="33" t="n">
        <f aca="false">IF(B128&gt;=2,C127,"")</f>
        <v>58</v>
      </c>
      <c r="E128" s="33" t="n">
        <f aca="false">IF(B128&gt;=5,AVERAGE(C124:C127),"")</f>
        <v>37.5</v>
      </c>
      <c r="F128" s="33" t="n">
        <f aca="false">IF(B128&gt;=9,AVERAGE(C120:C127),"")</f>
        <v>36.25</v>
      </c>
      <c r="G128" s="33" t="n">
        <f aca="false">IF(B128=1,"",IF(B128=2,C127,SES_Alpha*C127+(1-SES_Alpha)*G127))</f>
        <v>38.833446421064</v>
      </c>
      <c r="H128" s="33" t="n">
        <f aca="false">IF(D128="","",D128-C128)</f>
        <v>40</v>
      </c>
      <c r="I128" s="33" t="n">
        <f aca="false">IF(E128="","",E128-C128)</f>
        <v>19.5</v>
      </c>
      <c r="J128" s="33" t="n">
        <f aca="false">IF(F128="","",F128-C128)</f>
        <v>18.25</v>
      </c>
      <c r="K128" s="33" t="n">
        <f aca="false">IF(G128="","",G128-C128)</f>
        <v>20.833446421064</v>
      </c>
      <c r="L128" s="33" t="n">
        <f aca="false">IF(H128="","",ABS(H128))</f>
        <v>40</v>
      </c>
      <c r="M128" s="33" t="n">
        <f aca="false">IF(I128="","",ABS(I128))</f>
        <v>19.5</v>
      </c>
      <c r="N128" s="33" t="n">
        <f aca="false">IF(J128="","",ABS(J128))</f>
        <v>18.25</v>
      </c>
      <c r="O128" s="33" t="n">
        <f aca="false">IF(K128="","",ABS(K128))</f>
        <v>20.833446421064</v>
      </c>
      <c r="P128" s="34" t="str">
        <f aca="false">IF(B128&gt;=Eval_Start_Week,"YES","")</f>
        <v/>
      </c>
      <c r="Q128" s="34" t="str">
        <f aca="false">IF(AND(B128&gt;=Cal_Start_Week,B128&lt;=Cal_End_Week),"YES","")</f>
        <v/>
      </c>
    </row>
    <row r="129" customFormat="false" ht="15" hidden="false" customHeight="false" outlineLevel="0" collapsed="false">
      <c r="A129" s="31" t="str">
        <f aca="false">Demand_History!C129</f>
        <v>KIT-002</v>
      </c>
      <c r="B129" s="31" t="n">
        <f aca="false">Demand_History!A129</f>
        <v>24</v>
      </c>
      <c r="C129" s="32" t="n">
        <f aca="false">Demand_History!D129</f>
        <v>57</v>
      </c>
      <c r="D129" s="33" t="n">
        <f aca="false">IF(B129&gt;=2,C128,"")</f>
        <v>18</v>
      </c>
      <c r="E129" s="33" t="n">
        <f aca="false">IF(B129&gt;=5,AVERAGE(C125:C128),"")</f>
        <v>35</v>
      </c>
      <c r="F129" s="33" t="n">
        <f aca="false">IF(B129&gt;=9,AVERAGE(C121:C128),"")</f>
        <v>32.75</v>
      </c>
      <c r="G129" s="33" t="n">
        <f aca="false">IF(B129=1,"",IF(B129=2,C128,SES_Alpha*C128+(1-SES_Alpha)*G128))</f>
        <v>32.5834124947448</v>
      </c>
      <c r="H129" s="33" t="n">
        <f aca="false">IF(D129="","",D129-C129)</f>
        <v>-39</v>
      </c>
      <c r="I129" s="33" t="n">
        <f aca="false">IF(E129="","",E129-C129)</f>
        <v>-22</v>
      </c>
      <c r="J129" s="33" t="n">
        <f aca="false">IF(F129="","",F129-C129)</f>
        <v>-24.25</v>
      </c>
      <c r="K129" s="33" t="n">
        <f aca="false">IF(G129="","",G129-C129)</f>
        <v>-24.4165875052552</v>
      </c>
      <c r="L129" s="33" t="n">
        <f aca="false">IF(H129="","",ABS(H129))</f>
        <v>39</v>
      </c>
      <c r="M129" s="33" t="n">
        <f aca="false">IF(I129="","",ABS(I129))</f>
        <v>22</v>
      </c>
      <c r="N129" s="33" t="n">
        <f aca="false">IF(J129="","",ABS(J129))</f>
        <v>24.25</v>
      </c>
      <c r="O129" s="33" t="n">
        <f aca="false">IF(K129="","",ABS(K129))</f>
        <v>24.4165875052552</v>
      </c>
      <c r="P129" s="34" t="str">
        <f aca="false">IF(B129&gt;=Eval_Start_Week,"YES","")</f>
        <v/>
      </c>
      <c r="Q129" s="34" t="str">
        <f aca="false">IF(AND(B129&gt;=Cal_Start_Week,B129&lt;=Cal_End_Week),"YES","")</f>
        <v/>
      </c>
    </row>
    <row r="130" customFormat="false" ht="15" hidden="false" customHeight="false" outlineLevel="0" collapsed="false">
      <c r="A130" s="31" t="str">
        <f aca="false">Demand_History!C130</f>
        <v>KIT-002</v>
      </c>
      <c r="B130" s="31" t="n">
        <f aca="false">Demand_History!A130</f>
        <v>25</v>
      </c>
      <c r="C130" s="32" t="n">
        <f aca="false">Demand_History!D130</f>
        <v>32</v>
      </c>
      <c r="D130" s="33" t="n">
        <f aca="false">IF(B130&gt;=2,C129,"")</f>
        <v>57</v>
      </c>
      <c r="E130" s="33" t="n">
        <f aca="false">IF(B130&gt;=5,AVERAGE(C126:C129),"")</f>
        <v>36.5</v>
      </c>
      <c r="F130" s="33" t="n">
        <f aca="false">IF(B130&gt;=9,AVERAGE(C122:C129),"")</f>
        <v>35.375</v>
      </c>
      <c r="G130" s="33" t="n">
        <f aca="false">IF(B130=1,"",IF(B130=2,C129,SES_Alpha*C129+(1-SES_Alpha)*G129))</f>
        <v>39.9083887463214</v>
      </c>
      <c r="H130" s="33" t="n">
        <f aca="false">IF(D130="","",D130-C130)</f>
        <v>25</v>
      </c>
      <c r="I130" s="33" t="n">
        <f aca="false">IF(E130="","",E130-C130)</f>
        <v>4.5</v>
      </c>
      <c r="J130" s="33" t="n">
        <f aca="false">IF(F130="","",F130-C130)</f>
        <v>3.375</v>
      </c>
      <c r="K130" s="33" t="n">
        <f aca="false">IF(G130="","",G130-C130)</f>
        <v>7.90838874632136</v>
      </c>
      <c r="L130" s="33" t="n">
        <f aca="false">IF(H130="","",ABS(H130))</f>
        <v>25</v>
      </c>
      <c r="M130" s="33" t="n">
        <f aca="false">IF(I130="","",ABS(I130))</f>
        <v>4.5</v>
      </c>
      <c r="N130" s="33" t="n">
        <f aca="false">IF(J130="","",ABS(J130))</f>
        <v>3.375</v>
      </c>
      <c r="O130" s="33" t="n">
        <f aca="false">IF(K130="","",ABS(K130))</f>
        <v>7.90838874632136</v>
      </c>
      <c r="P130" s="34" t="str">
        <f aca="false">IF(B130&gt;=Eval_Start_Week,"YES","")</f>
        <v/>
      </c>
      <c r="Q130" s="34" t="str">
        <f aca="false">IF(AND(B130&gt;=Cal_Start_Week,B130&lt;=Cal_End_Week),"YES","")</f>
        <v/>
      </c>
    </row>
    <row r="131" customFormat="false" ht="15" hidden="false" customHeight="false" outlineLevel="0" collapsed="false">
      <c r="A131" s="31" t="str">
        <f aca="false">Demand_History!C131</f>
        <v>KIT-002</v>
      </c>
      <c r="B131" s="31" t="n">
        <f aca="false">Demand_History!A131</f>
        <v>26</v>
      </c>
      <c r="C131" s="32" t="n">
        <f aca="false">Demand_History!D131</f>
        <v>57</v>
      </c>
      <c r="D131" s="33" t="n">
        <f aca="false">IF(B131&gt;=2,C130,"")</f>
        <v>32</v>
      </c>
      <c r="E131" s="33" t="n">
        <f aca="false">IF(B131&gt;=5,AVERAGE(C127:C130),"")</f>
        <v>41.25</v>
      </c>
      <c r="F131" s="33" t="n">
        <f aca="false">IF(B131&gt;=9,AVERAGE(C123:C130),"")</f>
        <v>34</v>
      </c>
      <c r="G131" s="33" t="n">
        <f aca="false">IF(B131=1,"",IF(B131=2,C130,SES_Alpha*C130+(1-SES_Alpha)*G130))</f>
        <v>37.535872122425</v>
      </c>
      <c r="H131" s="33" t="n">
        <f aca="false">IF(D131="","",D131-C131)</f>
        <v>-25</v>
      </c>
      <c r="I131" s="33" t="n">
        <f aca="false">IF(E131="","",E131-C131)</f>
        <v>-15.75</v>
      </c>
      <c r="J131" s="33" t="n">
        <f aca="false">IF(F131="","",F131-C131)</f>
        <v>-23</v>
      </c>
      <c r="K131" s="33" t="n">
        <f aca="false">IF(G131="","",G131-C131)</f>
        <v>-19.4641278775751</v>
      </c>
      <c r="L131" s="33" t="n">
        <f aca="false">IF(H131="","",ABS(H131))</f>
        <v>25</v>
      </c>
      <c r="M131" s="33" t="n">
        <f aca="false">IF(I131="","",ABS(I131))</f>
        <v>15.75</v>
      </c>
      <c r="N131" s="33" t="n">
        <f aca="false">IF(J131="","",ABS(J131))</f>
        <v>23</v>
      </c>
      <c r="O131" s="33" t="n">
        <f aca="false">IF(K131="","",ABS(K131))</f>
        <v>19.4641278775751</v>
      </c>
      <c r="P131" s="34" t="str">
        <f aca="false">IF(B131&gt;=Eval_Start_Week,"YES","")</f>
        <v/>
      </c>
      <c r="Q131" s="34" t="str">
        <f aca="false">IF(AND(B131&gt;=Cal_Start_Week,B131&lt;=Cal_End_Week),"YES","")</f>
        <v/>
      </c>
    </row>
    <row r="132" customFormat="false" ht="15" hidden="false" customHeight="false" outlineLevel="0" collapsed="false">
      <c r="A132" s="31" t="str">
        <f aca="false">Demand_History!C132</f>
        <v>KIT-002</v>
      </c>
      <c r="B132" s="31" t="n">
        <f aca="false">Demand_History!A132</f>
        <v>27</v>
      </c>
      <c r="C132" s="32" t="n">
        <f aca="false">Demand_History!D132</f>
        <v>47</v>
      </c>
      <c r="D132" s="33" t="n">
        <f aca="false">IF(B132&gt;=2,C131,"")</f>
        <v>57</v>
      </c>
      <c r="E132" s="33" t="n">
        <f aca="false">IF(B132&gt;=5,AVERAGE(C128:C131),"")</f>
        <v>41</v>
      </c>
      <c r="F132" s="33" t="n">
        <f aca="false">IF(B132&gt;=9,AVERAGE(C124:C131),"")</f>
        <v>39.25</v>
      </c>
      <c r="G132" s="33" t="n">
        <f aca="false">IF(B132=1,"",IF(B132=2,C131,SES_Alpha*C131+(1-SES_Alpha)*G131))</f>
        <v>43.3751104856975</v>
      </c>
      <c r="H132" s="33" t="n">
        <f aca="false">IF(D132="","",D132-C132)</f>
        <v>10</v>
      </c>
      <c r="I132" s="33" t="n">
        <f aca="false">IF(E132="","",E132-C132)</f>
        <v>-6</v>
      </c>
      <c r="J132" s="33" t="n">
        <f aca="false">IF(F132="","",F132-C132)</f>
        <v>-7.75</v>
      </c>
      <c r="K132" s="33" t="n">
        <f aca="false">IF(G132="","",G132-C132)</f>
        <v>-3.62488951430254</v>
      </c>
      <c r="L132" s="33" t="n">
        <f aca="false">IF(H132="","",ABS(H132))</f>
        <v>10</v>
      </c>
      <c r="M132" s="33" t="n">
        <f aca="false">IF(I132="","",ABS(I132))</f>
        <v>6</v>
      </c>
      <c r="N132" s="33" t="n">
        <f aca="false">IF(J132="","",ABS(J132))</f>
        <v>7.75</v>
      </c>
      <c r="O132" s="33" t="n">
        <f aca="false">IF(K132="","",ABS(K132))</f>
        <v>3.62488951430254</v>
      </c>
      <c r="P132" s="34" t="str">
        <f aca="false">IF(B132&gt;=Eval_Start_Week,"YES","")</f>
        <v/>
      </c>
      <c r="Q132" s="34" t="str">
        <f aca="false">IF(AND(B132&gt;=Cal_Start_Week,B132&lt;=Cal_End_Week),"YES","")</f>
        <v/>
      </c>
    </row>
    <row r="133" customFormat="false" ht="15" hidden="false" customHeight="false" outlineLevel="0" collapsed="false">
      <c r="A133" s="31" t="str">
        <f aca="false">Demand_History!C133</f>
        <v>KIT-002</v>
      </c>
      <c r="B133" s="31" t="n">
        <f aca="false">Demand_History!A133</f>
        <v>28</v>
      </c>
      <c r="C133" s="32" t="n">
        <f aca="false">Demand_History!D133</f>
        <v>22</v>
      </c>
      <c r="D133" s="33" t="n">
        <f aca="false">IF(B133&gt;=2,C132,"")</f>
        <v>47</v>
      </c>
      <c r="E133" s="33" t="n">
        <f aca="false">IF(B133&gt;=5,AVERAGE(C129:C132),"")</f>
        <v>48.25</v>
      </c>
      <c r="F133" s="33" t="n">
        <f aca="false">IF(B133&gt;=9,AVERAGE(C125:C132),"")</f>
        <v>41.625</v>
      </c>
      <c r="G133" s="33" t="n">
        <f aca="false">IF(B133=1,"",IF(B133=2,C132,SES_Alpha*C132+(1-SES_Alpha)*G132))</f>
        <v>44.4625773399882</v>
      </c>
      <c r="H133" s="33" t="n">
        <f aca="false">IF(D133="","",D133-C133)</f>
        <v>25</v>
      </c>
      <c r="I133" s="33" t="n">
        <f aca="false">IF(E133="","",E133-C133)</f>
        <v>26.25</v>
      </c>
      <c r="J133" s="33" t="n">
        <f aca="false">IF(F133="","",F133-C133)</f>
        <v>19.625</v>
      </c>
      <c r="K133" s="33" t="n">
        <f aca="false">IF(G133="","",G133-C133)</f>
        <v>22.4625773399882</v>
      </c>
      <c r="L133" s="33" t="n">
        <f aca="false">IF(H133="","",ABS(H133))</f>
        <v>25</v>
      </c>
      <c r="M133" s="33" t="n">
        <f aca="false">IF(I133="","",ABS(I133))</f>
        <v>26.25</v>
      </c>
      <c r="N133" s="33" t="n">
        <f aca="false">IF(J133="","",ABS(J133))</f>
        <v>19.625</v>
      </c>
      <c r="O133" s="33" t="n">
        <f aca="false">IF(K133="","",ABS(K133))</f>
        <v>22.4625773399882</v>
      </c>
      <c r="P133" s="34" t="str">
        <f aca="false">IF(B133&gt;=Eval_Start_Week,"YES","")</f>
        <v/>
      </c>
      <c r="Q133" s="34" t="str">
        <f aca="false">IF(AND(B133&gt;=Cal_Start_Week,B133&lt;=Cal_End_Week),"YES","")</f>
        <v/>
      </c>
    </row>
    <row r="134" customFormat="false" ht="15" hidden="false" customHeight="false" outlineLevel="0" collapsed="false">
      <c r="A134" s="31" t="str">
        <f aca="false">Demand_History!C134</f>
        <v>KIT-002</v>
      </c>
      <c r="B134" s="31" t="n">
        <f aca="false">Demand_History!A134</f>
        <v>29</v>
      </c>
      <c r="C134" s="32" t="n">
        <f aca="false">Demand_History!D134</f>
        <v>64</v>
      </c>
      <c r="D134" s="33" t="n">
        <f aca="false">IF(B134&gt;=2,C133,"")</f>
        <v>22</v>
      </c>
      <c r="E134" s="33" t="n">
        <f aca="false">IF(B134&gt;=5,AVERAGE(C130:C133),"")</f>
        <v>39.5</v>
      </c>
      <c r="F134" s="33" t="n">
        <f aca="false">IF(B134&gt;=9,AVERAGE(C126:C133),"")</f>
        <v>38</v>
      </c>
      <c r="G134" s="33" t="n">
        <f aca="false">IF(B134=1,"",IF(B134=2,C133,SES_Alpha*C133+(1-SES_Alpha)*G133))</f>
        <v>37.7238041379918</v>
      </c>
      <c r="H134" s="33" t="n">
        <f aca="false">IF(D134="","",D134-C134)</f>
        <v>-42</v>
      </c>
      <c r="I134" s="33" t="n">
        <f aca="false">IF(E134="","",E134-C134)</f>
        <v>-24.5</v>
      </c>
      <c r="J134" s="33" t="n">
        <f aca="false">IF(F134="","",F134-C134)</f>
        <v>-26</v>
      </c>
      <c r="K134" s="33" t="n">
        <f aca="false">IF(G134="","",G134-C134)</f>
        <v>-26.2761958620082</v>
      </c>
      <c r="L134" s="33" t="n">
        <f aca="false">IF(H134="","",ABS(H134))</f>
        <v>42</v>
      </c>
      <c r="M134" s="33" t="n">
        <f aca="false">IF(I134="","",ABS(I134))</f>
        <v>24.5</v>
      </c>
      <c r="N134" s="33" t="n">
        <f aca="false">IF(J134="","",ABS(J134))</f>
        <v>26</v>
      </c>
      <c r="O134" s="33" t="n">
        <f aca="false">IF(K134="","",ABS(K134))</f>
        <v>26.2761958620082</v>
      </c>
      <c r="P134" s="34" t="str">
        <f aca="false">IF(B134&gt;=Eval_Start_Week,"YES","")</f>
        <v/>
      </c>
      <c r="Q134" s="34" t="str">
        <f aca="false">IF(AND(B134&gt;=Cal_Start_Week,B134&lt;=Cal_End_Week),"YES","")</f>
        <v/>
      </c>
    </row>
    <row r="135" customFormat="false" ht="15" hidden="false" customHeight="false" outlineLevel="0" collapsed="false">
      <c r="A135" s="31" t="str">
        <f aca="false">Demand_History!C135</f>
        <v>KIT-002</v>
      </c>
      <c r="B135" s="31" t="n">
        <f aca="false">Demand_History!A135</f>
        <v>30</v>
      </c>
      <c r="C135" s="32" t="n">
        <f aca="false">Demand_History!D135</f>
        <v>67</v>
      </c>
      <c r="D135" s="33" t="n">
        <f aca="false">IF(B135&gt;=2,C134,"")</f>
        <v>64</v>
      </c>
      <c r="E135" s="33" t="n">
        <f aca="false">IF(B135&gt;=5,AVERAGE(C131:C134),"")</f>
        <v>47.5</v>
      </c>
      <c r="F135" s="33" t="n">
        <f aca="false">IF(B135&gt;=9,AVERAGE(C127:C134),"")</f>
        <v>44.375</v>
      </c>
      <c r="G135" s="33" t="n">
        <f aca="false">IF(B135=1,"",IF(B135=2,C134,SES_Alpha*C134+(1-SES_Alpha)*G134))</f>
        <v>45.6066628965942</v>
      </c>
      <c r="H135" s="33" t="n">
        <f aca="false">IF(D135="","",D135-C135)</f>
        <v>-3</v>
      </c>
      <c r="I135" s="33" t="n">
        <f aca="false">IF(E135="","",E135-C135)</f>
        <v>-19.5</v>
      </c>
      <c r="J135" s="33" t="n">
        <f aca="false">IF(F135="","",F135-C135)</f>
        <v>-22.625</v>
      </c>
      <c r="K135" s="33" t="n">
        <f aca="false">IF(G135="","",G135-C135)</f>
        <v>-21.3933371034058</v>
      </c>
      <c r="L135" s="33" t="n">
        <f aca="false">IF(H135="","",ABS(H135))</f>
        <v>3</v>
      </c>
      <c r="M135" s="33" t="n">
        <f aca="false">IF(I135="","",ABS(I135))</f>
        <v>19.5</v>
      </c>
      <c r="N135" s="33" t="n">
        <f aca="false">IF(J135="","",ABS(J135))</f>
        <v>22.625</v>
      </c>
      <c r="O135" s="33" t="n">
        <f aca="false">IF(K135="","",ABS(K135))</f>
        <v>21.3933371034058</v>
      </c>
      <c r="P135" s="34" t="str">
        <f aca="false">IF(B135&gt;=Eval_Start_Week,"YES","")</f>
        <v/>
      </c>
      <c r="Q135" s="34" t="str">
        <f aca="false">IF(AND(B135&gt;=Cal_Start_Week,B135&lt;=Cal_End_Week),"YES","")</f>
        <v/>
      </c>
    </row>
    <row r="136" customFormat="false" ht="15" hidden="false" customHeight="false" outlineLevel="0" collapsed="false">
      <c r="A136" s="31" t="str">
        <f aca="false">Demand_History!C136</f>
        <v>KIT-002</v>
      </c>
      <c r="B136" s="31" t="n">
        <f aca="false">Demand_History!A136</f>
        <v>31</v>
      </c>
      <c r="C136" s="32" t="n">
        <f aca="false">Demand_History!D136</f>
        <v>44</v>
      </c>
      <c r="D136" s="33" t="n">
        <f aca="false">IF(B136&gt;=2,C135,"")</f>
        <v>67</v>
      </c>
      <c r="E136" s="33" t="n">
        <f aca="false">IF(B136&gt;=5,AVERAGE(C132:C135),"")</f>
        <v>50</v>
      </c>
      <c r="F136" s="33" t="n">
        <f aca="false">IF(B136&gt;=9,AVERAGE(C128:C135),"")</f>
        <v>45.5</v>
      </c>
      <c r="G136" s="33" t="n">
        <f aca="false">IF(B136=1,"",IF(B136=2,C135,SES_Alpha*C135+(1-SES_Alpha)*G135))</f>
        <v>52.024664027616</v>
      </c>
      <c r="H136" s="33" t="n">
        <f aca="false">IF(D136="","",D136-C136)</f>
        <v>23</v>
      </c>
      <c r="I136" s="33" t="n">
        <f aca="false">IF(E136="","",E136-C136)</f>
        <v>6</v>
      </c>
      <c r="J136" s="33" t="n">
        <f aca="false">IF(F136="","",F136-C136)</f>
        <v>1.5</v>
      </c>
      <c r="K136" s="33" t="n">
        <f aca="false">IF(G136="","",G136-C136)</f>
        <v>8.02466402761596</v>
      </c>
      <c r="L136" s="33" t="n">
        <f aca="false">IF(H136="","",ABS(H136))</f>
        <v>23</v>
      </c>
      <c r="M136" s="33" t="n">
        <f aca="false">IF(I136="","",ABS(I136))</f>
        <v>6</v>
      </c>
      <c r="N136" s="33" t="n">
        <f aca="false">IF(J136="","",ABS(J136))</f>
        <v>1.5</v>
      </c>
      <c r="O136" s="33" t="n">
        <f aca="false">IF(K136="","",ABS(K136))</f>
        <v>8.02466402761596</v>
      </c>
      <c r="P136" s="34" t="str">
        <f aca="false">IF(B136&gt;=Eval_Start_Week,"YES","")</f>
        <v/>
      </c>
      <c r="Q136" s="34" t="str">
        <f aca="false">IF(AND(B136&gt;=Cal_Start_Week,B136&lt;=Cal_End_Week),"YES","")</f>
        <v/>
      </c>
    </row>
    <row r="137" customFormat="false" ht="15" hidden="false" customHeight="false" outlineLevel="0" collapsed="false">
      <c r="A137" s="31" t="str">
        <f aca="false">Demand_History!C137</f>
        <v>KIT-002</v>
      </c>
      <c r="B137" s="31" t="n">
        <f aca="false">Demand_History!A137</f>
        <v>32</v>
      </c>
      <c r="C137" s="32" t="n">
        <f aca="false">Demand_History!D137</f>
        <v>41</v>
      </c>
      <c r="D137" s="33" t="n">
        <f aca="false">IF(B137&gt;=2,C136,"")</f>
        <v>44</v>
      </c>
      <c r="E137" s="33" t="n">
        <f aca="false">IF(B137&gt;=5,AVERAGE(C133:C136),"")</f>
        <v>49.25</v>
      </c>
      <c r="F137" s="33" t="n">
        <f aca="false">IF(B137&gt;=9,AVERAGE(C129:C136),"")</f>
        <v>48.75</v>
      </c>
      <c r="G137" s="33" t="n">
        <f aca="false">IF(B137=1,"",IF(B137=2,C136,SES_Alpha*C136+(1-SES_Alpha)*G136))</f>
        <v>49.6172648193312</v>
      </c>
      <c r="H137" s="33" t="n">
        <f aca="false">IF(D137="","",D137-C137)</f>
        <v>3</v>
      </c>
      <c r="I137" s="33" t="n">
        <f aca="false">IF(E137="","",E137-C137)</f>
        <v>8.25</v>
      </c>
      <c r="J137" s="33" t="n">
        <f aca="false">IF(F137="","",F137-C137)</f>
        <v>7.75</v>
      </c>
      <c r="K137" s="33" t="n">
        <f aca="false">IF(G137="","",G137-C137)</f>
        <v>8.61726481933117</v>
      </c>
      <c r="L137" s="33" t="n">
        <f aca="false">IF(H137="","",ABS(H137))</f>
        <v>3</v>
      </c>
      <c r="M137" s="33" t="n">
        <f aca="false">IF(I137="","",ABS(I137))</f>
        <v>8.25</v>
      </c>
      <c r="N137" s="33" t="n">
        <f aca="false">IF(J137="","",ABS(J137))</f>
        <v>7.75</v>
      </c>
      <c r="O137" s="33" t="n">
        <f aca="false">IF(K137="","",ABS(K137))</f>
        <v>8.61726481933117</v>
      </c>
      <c r="P137" s="34" t="str">
        <f aca="false">IF(B137&gt;=Eval_Start_Week,"YES","")</f>
        <v/>
      </c>
      <c r="Q137" s="34" t="str">
        <f aca="false">IF(AND(B137&gt;=Cal_Start_Week,B137&lt;=Cal_End_Week),"YES","")</f>
        <v/>
      </c>
    </row>
    <row r="138" customFormat="false" ht="15" hidden="false" customHeight="false" outlineLevel="0" collapsed="false">
      <c r="A138" s="31" t="str">
        <f aca="false">Demand_History!C138</f>
        <v>KIT-002</v>
      </c>
      <c r="B138" s="31" t="n">
        <f aca="false">Demand_History!A138</f>
        <v>33</v>
      </c>
      <c r="C138" s="32" t="n">
        <f aca="false">Demand_History!D138</f>
        <v>43</v>
      </c>
      <c r="D138" s="33" t="n">
        <f aca="false">IF(B138&gt;=2,C137,"")</f>
        <v>41</v>
      </c>
      <c r="E138" s="33" t="n">
        <f aca="false">IF(B138&gt;=5,AVERAGE(C134:C137),"")</f>
        <v>54</v>
      </c>
      <c r="F138" s="33" t="n">
        <f aca="false">IF(B138&gt;=9,AVERAGE(C130:C137),"")</f>
        <v>46.75</v>
      </c>
      <c r="G138" s="33" t="n">
        <f aca="false">IF(B138=1,"",IF(B138=2,C137,SES_Alpha*C137+(1-SES_Alpha)*G137))</f>
        <v>47.0320853735318</v>
      </c>
      <c r="H138" s="33" t="n">
        <f aca="false">IF(D138="","",D138-C138)</f>
        <v>-2</v>
      </c>
      <c r="I138" s="33" t="n">
        <f aca="false">IF(E138="","",E138-C138)</f>
        <v>11</v>
      </c>
      <c r="J138" s="33" t="n">
        <f aca="false">IF(F138="","",F138-C138)</f>
        <v>3.75</v>
      </c>
      <c r="K138" s="33" t="n">
        <f aca="false">IF(G138="","",G138-C138)</f>
        <v>4.03208537353181</v>
      </c>
      <c r="L138" s="33" t="n">
        <f aca="false">IF(H138="","",ABS(H138))</f>
        <v>2</v>
      </c>
      <c r="M138" s="33" t="n">
        <f aca="false">IF(I138="","",ABS(I138))</f>
        <v>11</v>
      </c>
      <c r="N138" s="33" t="n">
        <f aca="false">IF(J138="","",ABS(J138))</f>
        <v>3.75</v>
      </c>
      <c r="O138" s="33" t="n">
        <f aca="false">IF(K138="","",ABS(K138))</f>
        <v>4.03208537353181</v>
      </c>
      <c r="P138" s="34" t="str">
        <f aca="false">IF(B138&gt;=Eval_Start_Week,"YES","")</f>
        <v/>
      </c>
      <c r="Q138" s="34" t="str">
        <f aca="false">IF(AND(B138&gt;=Cal_Start_Week,B138&lt;=Cal_End_Week),"YES","")</f>
        <v/>
      </c>
    </row>
    <row r="139" customFormat="false" ht="15" hidden="false" customHeight="false" outlineLevel="0" collapsed="false">
      <c r="A139" s="31" t="str">
        <f aca="false">Demand_History!C139</f>
        <v>KIT-002</v>
      </c>
      <c r="B139" s="31" t="n">
        <f aca="false">Demand_History!A139</f>
        <v>34</v>
      </c>
      <c r="C139" s="32" t="n">
        <f aca="false">Demand_History!D139</f>
        <v>30</v>
      </c>
      <c r="D139" s="33" t="n">
        <f aca="false">IF(B139&gt;=2,C138,"")</f>
        <v>43</v>
      </c>
      <c r="E139" s="33" t="n">
        <f aca="false">IF(B139&gt;=5,AVERAGE(C135:C138),"")</f>
        <v>48.75</v>
      </c>
      <c r="F139" s="33" t="n">
        <f aca="false">IF(B139&gt;=9,AVERAGE(C131:C138),"")</f>
        <v>48.125</v>
      </c>
      <c r="G139" s="33" t="n">
        <f aca="false">IF(B139=1,"",IF(B139=2,C138,SES_Alpha*C138+(1-SES_Alpha)*G138))</f>
        <v>45.8224597614723</v>
      </c>
      <c r="H139" s="33" t="n">
        <f aca="false">IF(D139="","",D139-C139)</f>
        <v>13</v>
      </c>
      <c r="I139" s="33" t="n">
        <f aca="false">IF(E139="","",E139-C139)</f>
        <v>18.75</v>
      </c>
      <c r="J139" s="33" t="n">
        <f aca="false">IF(F139="","",F139-C139)</f>
        <v>18.125</v>
      </c>
      <c r="K139" s="33" t="n">
        <f aca="false">IF(G139="","",G139-C139)</f>
        <v>15.8224597614723</v>
      </c>
      <c r="L139" s="33" t="n">
        <f aca="false">IF(H139="","",ABS(H139))</f>
        <v>13</v>
      </c>
      <c r="M139" s="33" t="n">
        <f aca="false">IF(I139="","",ABS(I139))</f>
        <v>18.75</v>
      </c>
      <c r="N139" s="33" t="n">
        <f aca="false">IF(J139="","",ABS(J139))</f>
        <v>18.125</v>
      </c>
      <c r="O139" s="33" t="n">
        <f aca="false">IF(K139="","",ABS(K139))</f>
        <v>15.8224597614723</v>
      </c>
      <c r="P139" s="34" t="str">
        <f aca="false">IF(B139&gt;=Eval_Start_Week,"YES","")</f>
        <v/>
      </c>
      <c r="Q139" s="34" t="str">
        <f aca="false">IF(AND(B139&gt;=Cal_Start_Week,B139&lt;=Cal_End_Week),"YES","")</f>
        <v/>
      </c>
    </row>
    <row r="140" customFormat="false" ht="15" hidden="false" customHeight="false" outlineLevel="0" collapsed="false">
      <c r="A140" s="31" t="str">
        <f aca="false">Demand_History!C140</f>
        <v>KIT-002</v>
      </c>
      <c r="B140" s="31" t="n">
        <f aca="false">Demand_History!A140</f>
        <v>35</v>
      </c>
      <c r="C140" s="32" t="n">
        <f aca="false">Demand_History!D140</f>
        <v>62</v>
      </c>
      <c r="D140" s="33" t="n">
        <f aca="false">IF(B140&gt;=2,C139,"")</f>
        <v>30</v>
      </c>
      <c r="E140" s="33" t="n">
        <f aca="false">IF(B140&gt;=5,AVERAGE(C136:C139),"")</f>
        <v>39.5</v>
      </c>
      <c r="F140" s="33" t="n">
        <f aca="false">IF(B140&gt;=9,AVERAGE(C132:C139),"")</f>
        <v>44.75</v>
      </c>
      <c r="G140" s="33" t="n">
        <f aca="false">IF(B140=1,"",IF(B140=2,C139,SES_Alpha*C139+(1-SES_Alpha)*G139))</f>
        <v>41.0757218330306</v>
      </c>
      <c r="H140" s="33" t="n">
        <f aca="false">IF(D140="","",D140-C140)</f>
        <v>-32</v>
      </c>
      <c r="I140" s="33" t="n">
        <f aca="false">IF(E140="","",E140-C140)</f>
        <v>-22.5</v>
      </c>
      <c r="J140" s="33" t="n">
        <f aca="false">IF(F140="","",F140-C140)</f>
        <v>-17.25</v>
      </c>
      <c r="K140" s="33" t="n">
        <f aca="false">IF(G140="","",G140-C140)</f>
        <v>-20.9242781669694</v>
      </c>
      <c r="L140" s="33" t="n">
        <f aca="false">IF(H140="","",ABS(H140))</f>
        <v>32</v>
      </c>
      <c r="M140" s="33" t="n">
        <f aca="false">IF(I140="","",ABS(I140))</f>
        <v>22.5</v>
      </c>
      <c r="N140" s="33" t="n">
        <f aca="false">IF(J140="","",ABS(J140))</f>
        <v>17.25</v>
      </c>
      <c r="O140" s="33" t="n">
        <f aca="false">IF(K140="","",ABS(K140))</f>
        <v>20.9242781669694</v>
      </c>
      <c r="P140" s="34" t="str">
        <f aca="false">IF(B140&gt;=Eval_Start_Week,"YES","")</f>
        <v/>
      </c>
      <c r="Q140" s="34" t="str">
        <f aca="false">IF(AND(B140&gt;=Cal_Start_Week,B140&lt;=Cal_End_Week),"YES","")</f>
        <v/>
      </c>
    </row>
    <row r="141" customFormat="false" ht="15" hidden="false" customHeight="false" outlineLevel="0" collapsed="false">
      <c r="A141" s="31" t="str">
        <f aca="false">Demand_History!C141</f>
        <v>KIT-002</v>
      </c>
      <c r="B141" s="31" t="n">
        <f aca="false">Demand_History!A141</f>
        <v>36</v>
      </c>
      <c r="C141" s="32" t="n">
        <f aca="false">Demand_History!D141</f>
        <v>37</v>
      </c>
      <c r="D141" s="33" t="n">
        <f aca="false">IF(B141&gt;=2,C140,"")</f>
        <v>62</v>
      </c>
      <c r="E141" s="33" t="n">
        <f aca="false">IF(B141&gt;=5,AVERAGE(C137:C140),"")</f>
        <v>44</v>
      </c>
      <c r="F141" s="33" t="n">
        <f aca="false">IF(B141&gt;=9,AVERAGE(C133:C140),"")</f>
        <v>46.625</v>
      </c>
      <c r="G141" s="33" t="n">
        <f aca="false">IF(B141=1,"",IF(B141=2,C140,SES_Alpha*C140+(1-SES_Alpha)*G140))</f>
        <v>47.3530052831214</v>
      </c>
      <c r="H141" s="33" t="n">
        <f aca="false">IF(D141="","",D141-C141)</f>
        <v>25</v>
      </c>
      <c r="I141" s="33" t="n">
        <f aca="false">IF(E141="","",E141-C141)</f>
        <v>7</v>
      </c>
      <c r="J141" s="33" t="n">
        <f aca="false">IF(F141="","",F141-C141)</f>
        <v>9.625</v>
      </c>
      <c r="K141" s="33" t="n">
        <f aca="false">IF(G141="","",G141-C141)</f>
        <v>10.3530052831214</v>
      </c>
      <c r="L141" s="33" t="n">
        <f aca="false">IF(H141="","",ABS(H141))</f>
        <v>25</v>
      </c>
      <c r="M141" s="33" t="n">
        <f aca="false">IF(I141="","",ABS(I141))</f>
        <v>7</v>
      </c>
      <c r="N141" s="33" t="n">
        <f aca="false">IF(J141="","",ABS(J141))</f>
        <v>9.625</v>
      </c>
      <c r="O141" s="33" t="n">
        <f aca="false">IF(K141="","",ABS(K141))</f>
        <v>10.3530052831214</v>
      </c>
      <c r="P141" s="34" t="str">
        <f aca="false">IF(B141&gt;=Eval_Start_Week,"YES","")</f>
        <v/>
      </c>
      <c r="Q141" s="34" t="str">
        <f aca="false">IF(AND(B141&gt;=Cal_Start_Week,B141&lt;=Cal_End_Week),"YES","")</f>
        <v/>
      </c>
    </row>
    <row r="142" customFormat="false" ht="15" hidden="false" customHeight="false" outlineLevel="0" collapsed="false">
      <c r="A142" s="31" t="str">
        <f aca="false">Demand_History!C142</f>
        <v>KIT-002</v>
      </c>
      <c r="B142" s="31" t="n">
        <f aca="false">Demand_History!A142</f>
        <v>37</v>
      </c>
      <c r="C142" s="32" t="n">
        <f aca="false">Demand_History!D142</f>
        <v>44</v>
      </c>
      <c r="D142" s="33" t="n">
        <f aca="false">IF(B142&gt;=2,C141,"")</f>
        <v>37</v>
      </c>
      <c r="E142" s="33" t="n">
        <f aca="false">IF(B142&gt;=5,AVERAGE(C138:C141),"")</f>
        <v>43</v>
      </c>
      <c r="F142" s="33" t="n">
        <f aca="false">IF(B142&gt;=9,AVERAGE(C134:C141),"")</f>
        <v>48.5</v>
      </c>
      <c r="G142" s="33" t="n">
        <f aca="false">IF(B142=1,"",IF(B142=2,C141,SES_Alpha*C141+(1-SES_Alpha)*G141))</f>
        <v>44.247103698185</v>
      </c>
      <c r="H142" s="33" t="n">
        <f aca="false">IF(D142="","",D142-C142)</f>
        <v>-7</v>
      </c>
      <c r="I142" s="33" t="n">
        <f aca="false">IF(E142="","",E142-C142)</f>
        <v>-1</v>
      </c>
      <c r="J142" s="33" t="n">
        <f aca="false">IF(F142="","",F142-C142)</f>
        <v>4.5</v>
      </c>
      <c r="K142" s="33" t="n">
        <f aca="false">IF(G142="","",G142-C142)</f>
        <v>0.247103698184986</v>
      </c>
      <c r="L142" s="33" t="n">
        <f aca="false">IF(H142="","",ABS(H142))</f>
        <v>7</v>
      </c>
      <c r="M142" s="33" t="n">
        <f aca="false">IF(I142="","",ABS(I142))</f>
        <v>1</v>
      </c>
      <c r="N142" s="33" t="n">
        <f aca="false">IF(J142="","",ABS(J142))</f>
        <v>4.5</v>
      </c>
      <c r="O142" s="33" t="n">
        <f aca="false">IF(K142="","",ABS(K142))</f>
        <v>0.247103698184986</v>
      </c>
      <c r="P142" s="34" t="str">
        <f aca="false">IF(B142&gt;=Eval_Start_Week,"YES","")</f>
        <v/>
      </c>
      <c r="Q142" s="34" t="str">
        <f aca="false">IF(AND(B142&gt;=Cal_Start_Week,B142&lt;=Cal_End_Week),"YES","")</f>
        <v>YES</v>
      </c>
    </row>
    <row r="143" customFormat="false" ht="15" hidden="false" customHeight="false" outlineLevel="0" collapsed="false">
      <c r="A143" s="31" t="str">
        <f aca="false">Demand_History!C143</f>
        <v>KIT-002</v>
      </c>
      <c r="B143" s="31" t="n">
        <f aca="false">Demand_History!A143</f>
        <v>38</v>
      </c>
      <c r="C143" s="32" t="n">
        <f aca="false">Demand_History!D143</f>
        <v>33</v>
      </c>
      <c r="D143" s="33" t="n">
        <f aca="false">IF(B143&gt;=2,C142,"")</f>
        <v>44</v>
      </c>
      <c r="E143" s="33" t="n">
        <f aca="false">IF(B143&gt;=5,AVERAGE(C139:C142),"")</f>
        <v>43.25</v>
      </c>
      <c r="F143" s="33" t="n">
        <f aca="false">IF(B143&gt;=9,AVERAGE(C135:C142),"")</f>
        <v>46</v>
      </c>
      <c r="G143" s="33" t="n">
        <f aca="false">IF(B143=1,"",IF(B143=2,C142,SES_Alpha*C142+(1-SES_Alpha)*G142))</f>
        <v>44.1729725887295</v>
      </c>
      <c r="H143" s="33" t="n">
        <f aca="false">IF(D143="","",D143-C143)</f>
        <v>11</v>
      </c>
      <c r="I143" s="33" t="n">
        <f aca="false">IF(E143="","",E143-C143)</f>
        <v>10.25</v>
      </c>
      <c r="J143" s="33" t="n">
        <f aca="false">IF(F143="","",F143-C143)</f>
        <v>13</v>
      </c>
      <c r="K143" s="33" t="n">
        <f aca="false">IF(G143="","",G143-C143)</f>
        <v>11.1729725887295</v>
      </c>
      <c r="L143" s="33" t="n">
        <f aca="false">IF(H143="","",ABS(H143))</f>
        <v>11</v>
      </c>
      <c r="M143" s="33" t="n">
        <f aca="false">IF(I143="","",ABS(I143))</f>
        <v>10.25</v>
      </c>
      <c r="N143" s="33" t="n">
        <f aca="false">IF(J143="","",ABS(J143))</f>
        <v>13</v>
      </c>
      <c r="O143" s="33" t="n">
        <f aca="false">IF(K143="","",ABS(K143))</f>
        <v>11.1729725887295</v>
      </c>
      <c r="P143" s="34" t="str">
        <f aca="false">IF(B143&gt;=Eval_Start_Week,"YES","")</f>
        <v/>
      </c>
      <c r="Q143" s="34" t="str">
        <f aca="false">IF(AND(B143&gt;=Cal_Start_Week,B143&lt;=Cal_End_Week),"YES","")</f>
        <v>YES</v>
      </c>
    </row>
    <row r="144" customFormat="false" ht="15" hidden="false" customHeight="false" outlineLevel="0" collapsed="false">
      <c r="A144" s="31" t="str">
        <f aca="false">Demand_History!C144</f>
        <v>KIT-002</v>
      </c>
      <c r="B144" s="31" t="n">
        <f aca="false">Demand_History!A144</f>
        <v>39</v>
      </c>
      <c r="C144" s="32" t="n">
        <f aca="false">Demand_History!D144</f>
        <v>35</v>
      </c>
      <c r="D144" s="33" t="n">
        <f aca="false">IF(B144&gt;=2,C143,"")</f>
        <v>33</v>
      </c>
      <c r="E144" s="33" t="n">
        <f aca="false">IF(B144&gt;=5,AVERAGE(C140:C143),"")</f>
        <v>44</v>
      </c>
      <c r="F144" s="33" t="n">
        <f aca="false">IF(B144&gt;=9,AVERAGE(C136:C143),"")</f>
        <v>41.75</v>
      </c>
      <c r="G144" s="33" t="n">
        <f aca="false">IF(B144=1,"",IF(B144=2,C143,SES_Alpha*C143+(1-SES_Alpha)*G143))</f>
        <v>40.8210808121106</v>
      </c>
      <c r="H144" s="33" t="n">
        <f aca="false">IF(D144="","",D144-C144)</f>
        <v>-2</v>
      </c>
      <c r="I144" s="33" t="n">
        <f aca="false">IF(E144="","",E144-C144)</f>
        <v>9</v>
      </c>
      <c r="J144" s="33" t="n">
        <f aca="false">IF(F144="","",F144-C144)</f>
        <v>6.75</v>
      </c>
      <c r="K144" s="33" t="n">
        <f aca="false">IF(G144="","",G144-C144)</f>
        <v>5.82108081211064</v>
      </c>
      <c r="L144" s="33" t="n">
        <f aca="false">IF(H144="","",ABS(H144))</f>
        <v>2</v>
      </c>
      <c r="M144" s="33" t="n">
        <f aca="false">IF(I144="","",ABS(I144))</f>
        <v>9</v>
      </c>
      <c r="N144" s="33" t="n">
        <f aca="false">IF(J144="","",ABS(J144))</f>
        <v>6.75</v>
      </c>
      <c r="O144" s="33" t="n">
        <f aca="false">IF(K144="","",ABS(K144))</f>
        <v>5.82108081211064</v>
      </c>
      <c r="P144" s="34" t="str">
        <f aca="false">IF(B144&gt;=Eval_Start_Week,"YES","")</f>
        <v/>
      </c>
      <c r="Q144" s="34" t="str">
        <f aca="false">IF(AND(B144&gt;=Cal_Start_Week,B144&lt;=Cal_End_Week),"YES","")</f>
        <v>YES</v>
      </c>
    </row>
    <row r="145" customFormat="false" ht="15" hidden="false" customHeight="false" outlineLevel="0" collapsed="false">
      <c r="A145" s="31" t="str">
        <f aca="false">Demand_History!C145</f>
        <v>KIT-002</v>
      </c>
      <c r="B145" s="31" t="n">
        <f aca="false">Demand_History!A145</f>
        <v>40</v>
      </c>
      <c r="C145" s="32" t="n">
        <f aca="false">Demand_History!D145</f>
        <v>26</v>
      </c>
      <c r="D145" s="33" t="n">
        <f aca="false">IF(B145&gt;=2,C144,"")</f>
        <v>35</v>
      </c>
      <c r="E145" s="33" t="n">
        <f aca="false">IF(B145&gt;=5,AVERAGE(C141:C144),"")</f>
        <v>37.25</v>
      </c>
      <c r="F145" s="33" t="n">
        <f aca="false">IF(B145&gt;=9,AVERAGE(C137:C144),"")</f>
        <v>40.625</v>
      </c>
      <c r="G145" s="33" t="n">
        <f aca="false">IF(B145=1,"",IF(B145=2,C144,SES_Alpha*C144+(1-SES_Alpha)*G144))</f>
        <v>39.0747565684774</v>
      </c>
      <c r="H145" s="33" t="n">
        <f aca="false">IF(D145="","",D145-C145)</f>
        <v>9</v>
      </c>
      <c r="I145" s="33" t="n">
        <f aca="false">IF(E145="","",E145-C145)</f>
        <v>11.25</v>
      </c>
      <c r="J145" s="33" t="n">
        <f aca="false">IF(F145="","",F145-C145)</f>
        <v>14.625</v>
      </c>
      <c r="K145" s="33" t="n">
        <f aca="false">IF(G145="","",G145-C145)</f>
        <v>13.0747565684774</v>
      </c>
      <c r="L145" s="33" t="n">
        <f aca="false">IF(H145="","",ABS(H145))</f>
        <v>9</v>
      </c>
      <c r="M145" s="33" t="n">
        <f aca="false">IF(I145="","",ABS(I145))</f>
        <v>11.25</v>
      </c>
      <c r="N145" s="33" t="n">
        <f aca="false">IF(J145="","",ABS(J145))</f>
        <v>14.625</v>
      </c>
      <c r="O145" s="33" t="n">
        <f aca="false">IF(K145="","",ABS(K145))</f>
        <v>13.0747565684774</v>
      </c>
      <c r="P145" s="34" t="str">
        <f aca="false">IF(B145&gt;=Eval_Start_Week,"YES","")</f>
        <v/>
      </c>
      <c r="Q145" s="34" t="str">
        <f aca="false">IF(AND(B145&gt;=Cal_Start_Week,B145&lt;=Cal_End_Week),"YES","")</f>
        <v>YES</v>
      </c>
    </row>
    <row r="146" customFormat="false" ht="15" hidden="false" customHeight="false" outlineLevel="0" collapsed="false">
      <c r="A146" s="31" t="str">
        <f aca="false">Demand_History!C146</f>
        <v>KIT-002</v>
      </c>
      <c r="B146" s="31" t="n">
        <f aca="false">Demand_History!A146</f>
        <v>41</v>
      </c>
      <c r="C146" s="32" t="n">
        <f aca="false">Demand_History!D146</f>
        <v>64</v>
      </c>
      <c r="D146" s="33" t="n">
        <f aca="false">IF(B146&gt;=2,C145,"")</f>
        <v>26</v>
      </c>
      <c r="E146" s="33" t="n">
        <f aca="false">IF(B146&gt;=5,AVERAGE(C142:C145),"")</f>
        <v>34.5</v>
      </c>
      <c r="F146" s="33" t="n">
        <f aca="false">IF(B146&gt;=9,AVERAGE(C138:C145),"")</f>
        <v>38.75</v>
      </c>
      <c r="G146" s="33" t="n">
        <f aca="false">IF(B146=1,"",IF(B146=2,C145,SES_Alpha*C145+(1-SES_Alpha)*G145))</f>
        <v>35.1523295979342</v>
      </c>
      <c r="H146" s="33" t="n">
        <f aca="false">IF(D146="","",D146-C146)</f>
        <v>-38</v>
      </c>
      <c r="I146" s="33" t="n">
        <f aca="false">IF(E146="","",E146-C146)</f>
        <v>-29.5</v>
      </c>
      <c r="J146" s="33" t="n">
        <f aca="false">IF(F146="","",F146-C146)</f>
        <v>-25.25</v>
      </c>
      <c r="K146" s="33" t="n">
        <f aca="false">IF(G146="","",G146-C146)</f>
        <v>-28.8476704020658</v>
      </c>
      <c r="L146" s="33" t="n">
        <f aca="false">IF(H146="","",ABS(H146))</f>
        <v>38</v>
      </c>
      <c r="M146" s="33" t="n">
        <f aca="false">IF(I146="","",ABS(I146))</f>
        <v>29.5</v>
      </c>
      <c r="N146" s="33" t="n">
        <f aca="false">IF(J146="","",ABS(J146))</f>
        <v>25.25</v>
      </c>
      <c r="O146" s="33" t="n">
        <f aca="false">IF(K146="","",ABS(K146))</f>
        <v>28.8476704020658</v>
      </c>
      <c r="P146" s="34" t="str">
        <f aca="false">IF(B146&gt;=Eval_Start_Week,"YES","")</f>
        <v/>
      </c>
      <c r="Q146" s="34" t="str">
        <f aca="false">IF(AND(B146&gt;=Cal_Start_Week,B146&lt;=Cal_End_Week),"YES","")</f>
        <v>YES</v>
      </c>
    </row>
    <row r="147" customFormat="false" ht="15" hidden="false" customHeight="false" outlineLevel="0" collapsed="false">
      <c r="A147" s="31" t="str">
        <f aca="false">Demand_History!C147</f>
        <v>KIT-002</v>
      </c>
      <c r="B147" s="31" t="n">
        <f aca="false">Demand_History!A147</f>
        <v>42</v>
      </c>
      <c r="C147" s="32" t="n">
        <f aca="false">Demand_History!D147</f>
        <v>43</v>
      </c>
      <c r="D147" s="33" t="n">
        <f aca="false">IF(B147&gt;=2,C146,"")</f>
        <v>64</v>
      </c>
      <c r="E147" s="33" t="n">
        <f aca="false">IF(B147&gt;=5,AVERAGE(C143:C146),"")</f>
        <v>39.5</v>
      </c>
      <c r="F147" s="33" t="n">
        <f aca="false">IF(B147&gt;=9,AVERAGE(C139:C146),"")</f>
        <v>41.375</v>
      </c>
      <c r="G147" s="33" t="n">
        <f aca="false">IF(B147=1,"",IF(B147=2,C146,SES_Alpha*C146+(1-SES_Alpha)*G146))</f>
        <v>43.8066307185539</v>
      </c>
      <c r="H147" s="33" t="n">
        <f aca="false">IF(D147="","",D147-C147)</f>
        <v>21</v>
      </c>
      <c r="I147" s="33" t="n">
        <f aca="false">IF(E147="","",E147-C147)</f>
        <v>-3.5</v>
      </c>
      <c r="J147" s="33" t="n">
        <f aca="false">IF(F147="","",F147-C147)</f>
        <v>-1.625</v>
      </c>
      <c r="K147" s="33" t="n">
        <f aca="false">IF(G147="","",G147-C147)</f>
        <v>0.80663071855394</v>
      </c>
      <c r="L147" s="33" t="n">
        <f aca="false">IF(H147="","",ABS(H147))</f>
        <v>21</v>
      </c>
      <c r="M147" s="33" t="n">
        <f aca="false">IF(I147="","",ABS(I147))</f>
        <v>3.5</v>
      </c>
      <c r="N147" s="33" t="n">
        <f aca="false">IF(J147="","",ABS(J147))</f>
        <v>1.625</v>
      </c>
      <c r="O147" s="33" t="n">
        <f aca="false">IF(K147="","",ABS(K147))</f>
        <v>0.80663071855394</v>
      </c>
      <c r="P147" s="34" t="str">
        <f aca="false">IF(B147&gt;=Eval_Start_Week,"YES","")</f>
        <v/>
      </c>
      <c r="Q147" s="34" t="str">
        <f aca="false">IF(AND(B147&gt;=Cal_Start_Week,B147&lt;=Cal_End_Week),"YES","")</f>
        <v>YES</v>
      </c>
    </row>
    <row r="148" customFormat="false" ht="15" hidden="false" customHeight="false" outlineLevel="0" collapsed="false">
      <c r="A148" s="31" t="str">
        <f aca="false">Demand_History!C148</f>
        <v>KIT-002</v>
      </c>
      <c r="B148" s="31" t="n">
        <f aca="false">Demand_History!A148</f>
        <v>43</v>
      </c>
      <c r="C148" s="32" t="n">
        <f aca="false">Demand_History!D148</f>
        <v>60</v>
      </c>
      <c r="D148" s="33" t="n">
        <f aca="false">IF(B148&gt;=2,C147,"")</f>
        <v>43</v>
      </c>
      <c r="E148" s="33" t="n">
        <f aca="false">IF(B148&gt;=5,AVERAGE(C144:C147),"")</f>
        <v>42</v>
      </c>
      <c r="F148" s="33" t="n">
        <f aca="false">IF(B148&gt;=9,AVERAGE(C140:C147),"")</f>
        <v>43</v>
      </c>
      <c r="G148" s="33" t="n">
        <f aca="false">IF(B148=1,"",IF(B148=2,C147,SES_Alpha*C147+(1-SES_Alpha)*G147))</f>
        <v>43.5646415029878</v>
      </c>
      <c r="H148" s="33" t="n">
        <f aca="false">IF(D148="","",D148-C148)</f>
        <v>-17</v>
      </c>
      <c r="I148" s="33" t="n">
        <f aca="false">IF(E148="","",E148-C148)</f>
        <v>-18</v>
      </c>
      <c r="J148" s="33" t="n">
        <f aca="false">IF(F148="","",F148-C148)</f>
        <v>-17</v>
      </c>
      <c r="K148" s="33" t="n">
        <f aca="false">IF(G148="","",G148-C148)</f>
        <v>-16.4353584970122</v>
      </c>
      <c r="L148" s="33" t="n">
        <f aca="false">IF(H148="","",ABS(H148))</f>
        <v>17</v>
      </c>
      <c r="M148" s="33" t="n">
        <f aca="false">IF(I148="","",ABS(I148))</f>
        <v>18</v>
      </c>
      <c r="N148" s="33" t="n">
        <f aca="false">IF(J148="","",ABS(J148))</f>
        <v>17</v>
      </c>
      <c r="O148" s="33" t="n">
        <f aca="false">IF(K148="","",ABS(K148))</f>
        <v>16.4353584970122</v>
      </c>
      <c r="P148" s="34" t="str">
        <f aca="false">IF(B148&gt;=Eval_Start_Week,"YES","")</f>
        <v/>
      </c>
      <c r="Q148" s="34" t="str">
        <f aca="false">IF(AND(B148&gt;=Cal_Start_Week,B148&lt;=Cal_End_Week),"YES","")</f>
        <v>YES</v>
      </c>
    </row>
    <row r="149" customFormat="false" ht="15" hidden="false" customHeight="false" outlineLevel="0" collapsed="false">
      <c r="A149" s="31" t="str">
        <f aca="false">Demand_History!C149</f>
        <v>KIT-002</v>
      </c>
      <c r="B149" s="31" t="n">
        <f aca="false">Demand_History!A149</f>
        <v>44</v>
      </c>
      <c r="C149" s="32" t="n">
        <f aca="false">Demand_History!D149</f>
        <v>45</v>
      </c>
      <c r="D149" s="33" t="n">
        <f aca="false">IF(B149&gt;=2,C148,"")</f>
        <v>60</v>
      </c>
      <c r="E149" s="33" t="n">
        <f aca="false">IF(B149&gt;=5,AVERAGE(C145:C148),"")</f>
        <v>48.25</v>
      </c>
      <c r="F149" s="33" t="n">
        <f aca="false">IF(B149&gt;=9,AVERAGE(C141:C148),"")</f>
        <v>42.75</v>
      </c>
      <c r="G149" s="33" t="n">
        <f aca="false">IF(B149=1,"",IF(B149=2,C148,SES_Alpha*C148+(1-SES_Alpha)*G148))</f>
        <v>48.4952490520914</v>
      </c>
      <c r="H149" s="33" t="n">
        <f aca="false">IF(D149="","",D149-C149)</f>
        <v>15</v>
      </c>
      <c r="I149" s="33" t="n">
        <f aca="false">IF(E149="","",E149-C149)</f>
        <v>3.25</v>
      </c>
      <c r="J149" s="33" t="n">
        <f aca="false">IF(F149="","",F149-C149)</f>
        <v>-2.25</v>
      </c>
      <c r="K149" s="33" t="n">
        <f aca="false">IF(G149="","",G149-C149)</f>
        <v>3.49524905209142</v>
      </c>
      <c r="L149" s="33" t="n">
        <f aca="false">IF(H149="","",ABS(H149))</f>
        <v>15</v>
      </c>
      <c r="M149" s="33" t="n">
        <f aca="false">IF(I149="","",ABS(I149))</f>
        <v>3.25</v>
      </c>
      <c r="N149" s="33" t="n">
        <f aca="false">IF(J149="","",ABS(J149))</f>
        <v>2.25</v>
      </c>
      <c r="O149" s="33" t="n">
        <f aca="false">IF(K149="","",ABS(K149))</f>
        <v>3.49524905209142</v>
      </c>
      <c r="P149" s="34" t="str">
        <f aca="false">IF(B149&gt;=Eval_Start_Week,"YES","")</f>
        <v/>
      </c>
      <c r="Q149" s="34" t="str">
        <f aca="false">IF(AND(B149&gt;=Cal_Start_Week,B149&lt;=Cal_End_Week),"YES","")</f>
        <v>YES</v>
      </c>
    </row>
    <row r="150" customFormat="false" ht="15" hidden="false" customHeight="false" outlineLevel="0" collapsed="false">
      <c r="A150" s="31" t="str">
        <f aca="false">Demand_History!C150</f>
        <v>KIT-002</v>
      </c>
      <c r="B150" s="31" t="n">
        <f aca="false">Demand_History!A150</f>
        <v>45</v>
      </c>
      <c r="C150" s="32" t="n">
        <f aca="false">Demand_History!D150</f>
        <v>34</v>
      </c>
      <c r="D150" s="33" t="n">
        <f aca="false">IF(B150&gt;=2,C149,"")</f>
        <v>45</v>
      </c>
      <c r="E150" s="33" t="n">
        <f aca="false">IF(B150&gt;=5,AVERAGE(C146:C149),"")</f>
        <v>53</v>
      </c>
      <c r="F150" s="33" t="n">
        <f aca="false">IF(B150&gt;=9,AVERAGE(C142:C149),"")</f>
        <v>43.75</v>
      </c>
      <c r="G150" s="33" t="n">
        <f aca="false">IF(B150=1,"",IF(B150=2,C149,SES_Alpha*C149+(1-SES_Alpha)*G149))</f>
        <v>47.446674336464</v>
      </c>
      <c r="H150" s="33" t="n">
        <f aca="false">IF(D150="","",D150-C150)</f>
        <v>11</v>
      </c>
      <c r="I150" s="33" t="n">
        <f aca="false">IF(E150="","",E150-C150)</f>
        <v>19</v>
      </c>
      <c r="J150" s="33" t="n">
        <f aca="false">IF(F150="","",F150-C150)</f>
        <v>9.75</v>
      </c>
      <c r="K150" s="33" t="n">
        <f aca="false">IF(G150="","",G150-C150)</f>
        <v>13.446674336464</v>
      </c>
      <c r="L150" s="33" t="n">
        <f aca="false">IF(H150="","",ABS(H150))</f>
        <v>11</v>
      </c>
      <c r="M150" s="33" t="n">
        <f aca="false">IF(I150="","",ABS(I150))</f>
        <v>19</v>
      </c>
      <c r="N150" s="33" t="n">
        <f aca="false">IF(J150="","",ABS(J150))</f>
        <v>9.75</v>
      </c>
      <c r="O150" s="33" t="n">
        <f aca="false">IF(K150="","",ABS(K150))</f>
        <v>13.446674336464</v>
      </c>
      <c r="P150" s="34" t="str">
        <f aca="false">IF(B150&gt;=Eval_Start_Week,"YES","")</f>
        <v/>
      </c>
      <c r="Q150" s="34" t="str">
        <f aca="false">IF(AND(B150&gt;=Cal_Start_Week,B150&lt;=Cal_End_Week),"YES","")</f>
        <v>YES</v>
      </c>
    </row>
    <row r="151" customFormat="false" ht="15" hidden="false" customHeight="false" outlineLevel="0" collapsed="false">
      <c r="A151" s="31" t="str">
        <f aca="false">Demand_History!C151</f>
        <v>KIT-002</v>
      </c>
      <c r="B151" s="31" t="n">
        <f aca="false">Demand_History!A151</f>
        <v>46</v>
      </c>
      <c r="C151" s="32" t="n">
        <f aca="false">Demand_History!D151</f>
        <v>40</v>
      </c>
      <c r="D151" s="33" t="n">
        <f aca="false">IF(B151&gt;=2,C150,"")</f>
        <v>34</v>
      </c>
      <c r="E151" s="33" t="n">
        <f aca="false">IF(B151&gt;=5,AVERAGE(C147:C150),"")</f>
        <v>45.5</v>
      </c>
      <c r="F151" s="33" t="n">
        <f aca="false">IF(B151&gt;=9,AVERAGE(C143:C150),"")</f>
        <v>42.5</v>
      </c>
      <c r="G151" s="33" t="n">
        <f aca="false">IF(B151=1,"",IF(B151=2,C150,SES_Alpha*C150+(1-SES_Alpha)*G150))</f>
        <v>43.4126720355248</v>
      </c>
      <c r="H151" s="33" t="n">
        <f aca="false">IF(D151="","",D151-C151)</f>
        <v>-6</v>
      </c>
      <c r="I151" s="33" t="n">
        <f aca="false">IF(E151="","",E151-C151)</f>
        <v>5.5</v>
      </c>
      <c r="J151" s="33" t="n">
        <f aca="false">IF(F151="","",F151-C151)</f>
        <v>2.5</v>
      </c>
      <c r="K151" s="33" t="n">
        <f aca="false">IF(G151="","",G151-C151)</f>
        <v>3.41267203552479</v>
      </c>
      <c r="L151" s="33" t="n">
        <f aca="false">IF(H151="","",ABS(H151))</f>
        <v>6</v>
      </c>
      <c r="M151" s="33" t="n">
        <f aca="false">IF(I151="","",ABS(I151))</f>
        <v>5.5</v>
      </c>
      <c r="N151" s="33" t="n">
        <f aca="false">IF(J151="","",ABS(J151))</f>
        <v>2.5</v>
      </c>
      <c r="O151" s="33" t="n">
        <f aca="false">IF(K151="","",ABS(K151))</f>
        <v>3.41267203552479</v>
      </c>
      <c r="P151" s="34" t="str">
        <f aca="false">IF(B151&gt;=Eval_Start_Week,"YES","")</f>
        <v/>
      </c>
      <c r="Q151" s="34" t="str">
        <f aca="false">IF(AND(B151&gt;=Cal_Start_Week,B151&lt;=Cal_End_Week),"YES","")</f>
        <v>YES</v>
      </c>
    </row>
    <row r="152" customFormat="false" ht="15" hidden="false" customHeight="false" outlineLevel="0" collapsed="false">
      <c r="A152" s="31" t="str">
        <f aca="false">Demand_History!C152</f>
        <v>KIT-002</v>
      </c>
      <c r="B152" s="31" t="n">
        <f aca="false">Demand_History!A152</f>
        <v>47</v>
      </c>
      <c r="C152" s="32" t="n">
        <f aca="false">Demand_History!D152</f>
        <v>36</v>
      </c>
      <c r="D152" s="33" t="n">
        <f aca="false">IF(B152&gt;=2,C151,"")</f>
        <v>40</v>
      </c>
      <c r="E152" s="33" t="n">
        <f aca="false">IF(B152&gt;=5,AVERAGE(C148:C151),"")</f>
        <v>44.75</v>
      </c>
      <c r="F152" s="33" t="n">
        <f aca="false">IF(B152&gt;=9,AVERAGE(C144:C151),"")</f>
        <v>43.375</v>
      </c>
      <c r="G152" s="33" t="n">
        <f aca="false">IF(B152=1,"",IF(B152=2,C151,SES_Alpha*C151+(1-SES_Alpha)*G151))</f>
        <v>42.3888704248674</v>
      </c>
      <c r="H152" s="33" t="n">
        <f aca="false">IF(D152="","",D152-C152)</f>
        <v>4</v>
      </c>
      <c r="I152" s="33" t="n">
        <f aca="false">IF(E152="","",E152-C152)</f>
        <v>8.75</v>
      </c>
      <c r="J152" s="33" t="n">
        <f aca="false">IF(F152="","",F152-C152)</f>
        <v>7.375</v>
      </c>
      <c r="K152" s="33" t="n">
        <f aca="false">IF(G152="","",G152-C152)</f>
        <v>6.38887042486735</v>
      </c>
      <c r="L152" s="33" t="n">
        <f aca="false">IF(H152="","",ABS(H152))</f>
        <v>4</v>
      </c>
      <c r="M152" s="33" t="n">
        <f aca="false">IF(I152="","",ABS(I152))</f>
        <v>8.75</v>
      </c>
      <c r="N152" s="33" t="n">
        <f aca="false">IF(J152="","",ABS(J152))</f>
        <v>7.375</v>
      </c>
      <c r="O152" s="33" t="n">
        <f aca="false">IF(K152="","",ABS(K152))</f>
        <v>6.38887042486735</v>
      </c>
      <c r="P152" s="34" t="str">
        <f aca="false">IF(B152&gt;=Eval_Start_Week,"YES","")</f>
        <v/>
      </c>
      <c r="Q152" s="34" t="str">
        <f aca="false">IF(AND(B152&gt;=Cal_Start_Week,B152&lt;=Cal_End_Week),"YES","")</f>
        <v>YES</v>
      </c>
    </row>
    <row r="153" customFormat="false" ht="15" hidden="false" customHeight="false" outlineLevel="0" collapsed="false">
      <c r="A153" s="31" t="str">
        <f aca="false">Demand_History!C153</f>
        <v>KIT-002</v>
      </c>
      <c r="B153" s="31" t="n">
        <f aca="false">Demand_History!A153</f>
        <v>48</v>
      </c>
      <c r="C153" s="32" t="n">
        <f aca="false">Demand_History!D153</f>
        <v>45</v>
      </c>
      <c r="D153" s="33" t="n">
        <f aca="false">IF(B153&gt;=2,C152,"")</f>
        <v>36</v>
      </c>
      <c r="E153" s="33" t="n">
        <f aca="false">IF(B153&gt;=5,AVERAGE(C149:C152),"")</f>
        <v>38.75</v>
      </c>
      <c r="F153" s="33" t="n">
        <f aca="false">IF(B153&gt;=9,AVERAGE(C145:C152),"")</f>
        <v>43.5</v>
      </c>
      <c r="G153" s="33" t="n">
        <f aca="false">IF(B153=1,"",IF(B153=2,C152,SES_Alpha*C152+(1-SES_Alpha)*G152))</f>
        <v>40.4722092974071</v>
      </c>
      <c r="H153" s="33" t="n">
        <f aca="false">IF(D153="","",D153-C153)</f>
        <v>-9</v>
      </c>
      <c r="I153" s="33" t="n">
        <f aca="false">IF(E153="","",E153-C153)</f>
        <v>-6.25</v>
      </c>
      <c r="J153" s="33" t="n">
        <f aca="false">IF(F153="","",F153-C153)</f>
        <v>-1.5</v>
      </c>
      <c r="K153" s="33" t="n">
        <f aca="false">IF(G153="","",G153-C153)</f>
        <v>-4.52779070259286</v>
      </c>
      <c r="L153" s="33" t="n">
        <f aca="false">IF(H153="","",ABS(H153))</f>
        <v>9</v>
      </c>
      <c r="M153" s="33" t="n">
        <f aca="false">IF(I153="","",ABS(I153))</f>
        <v>6.25</v>
      </c>
      <c r="N153" s="33" t="n">
        <f aca="false">IF(J153="","",ABS(J153))</f>
        <v>1.5</v>
      </c>
      <c r="O153" s="33" t="n">
        <f aca="false">IF(K153="","",ABS(K153))</f>
        <v>4.52779070259286</v>
      </c>
      <c r="P153" s="34" t="str">
        <f aca="false">IF(B153&gt;=Eval_Start_Week,"YES","")</f>
        <v/>
      </c>
      <c r="Q153" s="34" t="str">
        <f aca="false">IF(AND(B153&gt;=Cal_Start_Week,B153&lt;=Cal_End_Week),"YES","")</f>
        <v>YES</v>
      </c>
    </row>
    <row r="154" customFormat="false" ht="15" hidden="false" customHeight="false" outlineLevel="0" collapsed="false">
      <c r="A154" s="31" t="str">
        <f aca="false">Demand_History!C154</f>
        <v>KIT-002</v>
      </c>
      <c r="B154" s="31" t="n">
        <f aca="false">Demand_History!A154</f>
        <v>49</v>
      </c>
      <c r="C154" s="32" t="n">
        <f aca="false">Demand_History!D154</f>
        <v>39</v>
      </c>
      <c r="D154" s="33" t="n">
        <f aca="false">IF(B154&gt;=2,C153,"")</f>
        <v>45</v>
      </c>
      <c r="E154" s="33" t="n">
        <f aca="false">IF(B154&gt;=5,AVERAGE(C150:C153),"")</f>
        <v>38.75</v>
      </c>
      <c r="F154" s="33" t="n">
        <f aca="false">IF(B154&gt;=9,AVERAGE(C146:C153),"")</f>
        <v>45.875</v>
      </c>
      <c r="G154" s="33" t="n">
        <f aca="false">IF(B154=1,"",IF(B154=2,C153,SES_Alpha*C153+(1-SES_Alpha)*G153))</f>
        <v>41.830546508185</v>
      </c>
      <c r="H154" s="33" t="n">
        <f aca="false">IF(D154="","",D154-C154)</f>
        <v>6</v>
      </c>
      <c r="I154" s="33" t="n">
        <f aca="false">IF(E154="","",E154-C154)</f>
        <v>-0.25</v>
      </c>
      <c r="J154" s="33" t="n">
        <f aca="false">IF(F154="","",F154-C154)</f>
        <v>6.875</v>
      </c>
      <c r="K154" s="33" t="n">
        <f aca="false">IF(G154="","",G154-C154)</f>
        <v>2.83054650818499</v>
      </c>
      <c r="L154" s="33" t="n">
        <f aca="false">IF(H154="","",ABS(H154))</f>
        <v>6</v>
      </c>
      <c r="M154" s="33" t="n">
        <f aca="false">IF(I154="","",ABS(I154))</f>
        <v>0.25</v>
      </c>
      <c r="N154" s="33" t="n">
        <f aca="false">IF(J154="","",ABS(J154))</f>
        <v>6.875</v>
      </c>
      <c r="O154" s="33" t="n">
        <f aca="false">IF(K154="","",ABS(K154))</f>
        <v>2.83054650818499</v>
      </c>
      <c r="P154" s="34" t="str">
        <f aca="false">IF(B154&gt;=Eval_Start_Week,"YES","")</f>
        <v/>
      </c>
      <c r="Q154" s="34" t="str">
        <f aca="false">IF(AND(B154&gt;=Cal_Start_Week,B154&lt;=Cal_End_Week),"YES","")</f>
        <v>YES</v>
      </c>
    </row>
    <row r="155" customFormat="false" ht="15" hidden="false" customHeight="false" outlineLevel="0" collapsed="false">
      <c r="A155" s="31" t="str">
        <f aca="false">Demand_History!C155</f>
        <v>KIT-002</v>
      </c>
      <c r="B155" s="31" t="n">
        <f aca="false">Demand_History!A155</f>
        <v>50</v>
      </c>
      <c r="C155" s="32" t="n">
        <f aca="false">Demand_History!D155</f>
        <v>40</v>
      </c>
      <c r="D155" s="33" t="n">
        <f aca="false">IF(B155&gt;=2,C154,"")</f>
        <v>39</v>
      </c>
      <c r="E155" s="33" t="n">
        <f aca="false">IF(B155&gt;=5,AVERAGE(C151:C154),"")</f>
        <v>40</v>
      </c>
      <c r="F155" s="33" t="n">
        <f aca="false">IF(B155&gt;=9,AVERAGE(C147:C154),"")</f>
        <v>42.75</v>
      </c>
      <c r="G155" s="33" t="n">
        <f aca="false">IF(B155=1,"",IF(B155=2,C154,SES_Alpha*C154+(1-SES_Alpha)*G154))</f>
        <v>40.9813825557295</v>
      </c>
      <c r="H155" s="33" t="n">
        <f aca="false">IF(D155="","",D155-C155)</f>
        <v>-1</v>
      </c>
      <c r="I155" s="33" t="n">
        <f aca="false">IF(E155="","",E155-C155)</f>
        <v>0</v>
      </c>
      <c r="J155" s="33" t="n">
        <f aca="false">IF(F155="","",F155-C155)</f>
        <v>2.75</v>
      </c>
      <c r="K155" s="33" t="n">
        <f aca="false">IF(G155="","",G155-C155)</f>
        <v>0.981382555729496</v>
      </c>
      <c r="L155" s="33" t="n">
        <f aca="false">IF(H155="","",ABS(H155))</f>
        <v>1</v>
      </c>
      <c r="M155" s="33" t="n">
        <f aca="false">IF(I155="","",ABS(I155))</f>
        <v>0</v>
      </c>
      <c r="N155" s="33" t="n">
        <f aca="false">IF(J155="","",ABS(J155))</f>
        <v>2.75</v>
      </c>
      <c r="O155" s="33" t="n">
        <f aca="false">IF(K155="","",ABS(K155))</f>
        <v>0.981382555729496</v>
      </c>
      <c r="P155" s="34" t="str">
        <f aca="false">IF(B155&gt;=Eval_Start_Week,"YES","")</f>
        <v/>
      </c>
      <c r="Q155" s="34" t="str">
        <f aca="false">IF(AND(B155&gt;=Cal_Start_Week,B155&lt;=Cal_End_Week),"YES","")</f>
        <v>YES</v>
      </c>
    </row>
    <row r="156" customFormat="false" ht="15" hidden="false" customHeight="false" outlineLevel="0" collapsed="false">
      <c r="A156" s="31" t="str">
        <f aca="false">Demand_History!C156</f>
        <v>KIT-002</v>
      </c>
      <c r="B156" s="31" t="n">
        <f aca="false">Demand_History!A156</f>
        <v>51</v>
      </c>
      <c r="C156" s="32" t="n">
        <f aca="false">Demand_History!D156</f>
        <v>24</v>
      </c>
      <c r="D156" s="33" t="n">
        <f aca="false">IF(B156&gt;=2,C155,"")</f>
        <v>40</v>
      </c>
      <c r="E156" s="33" t="n">
        <f aca="false">IF(B156&gt;=5,AVERAGE(C152:C155),"")</f>
        <v>40</v>
      </c>
      <c r="F156" s="33" t="n">
        <f aca="false">IF(B156&gt;=9,AVERAGE(C148:C155),"")</f>
        <v>42.375</v>
      </c>
      <c r="G156" s="33" t="n">
        <f aca="false">IF(B156=1,"",IF(B156=2,C155,SES_Alpha*C155+(1-SES_Alpha)*G155))</f>
        <v>40.6869677890106</v>
      </c>
      <c r="H156" s="33" t="n">
        <f aca="false">IF(D156="","",D156-C156)</f>
        <v>16</v>
      </c>
      <c r="I156" s="33" t="n">
        <f aca="false">IF(E156="","",E156-C156)</f>
        <v>16</v>
      </c>
      <c r="J156" s="33" t="n">
        <f aca="false">IF(F156="","",F156-C156)</f>
        <v>18.375</v>
      </c>
      <c r="K156" s="33" t="n">
        <f aca="false">IF(G156="","",G156-C156)</f>
        <v>16.6869677890106</v>
      </c>
      <c r="L156" s="33" t="n">
        <f aca="false">IF(H156="","",ABS(H156))</f>
        <v>16</v>
      </c>
      <c r="M156" s="33" t="n">
        <f aca="false">IF(I156="","",ABS(I156))</f>
        <v>16</v>
      </c>
      <c r="N156" s="33" t="n">
        <f aca="false">IF(J156="","",ABS(J156))</f>
        <v>18.375</v>
      </c>
      <c r="O156" s="33" t="n">
        <f aca="false">IF(K156="","",ABS(K156))</f>
        <v>16.6869677890106</v>
      </c>
      <c r="P156" s="34" t="str">
        <f aca="false">IF(B156&gt;=Eval_Start_Week,"YES","")</f>
        <v/>
      </c>
      <c r="Q156" s="34" t="str">
        <f aca="false">IF(AND(B156&gt;=Cal_Start_Week,B156&lt;=Cal_End_Week),"YES","")</f>
        <v>YES</v>
      </c>
    </row>
    <row r="157" customFormat="false" ht="15" hidden="false" customHeight="false" outlineLevel="0" collapsed="false">
      <c r="A157" s="31" t="str">
        <f aca="false">Demand_History!C157</f>
        <v>KIT-002</v>
      </c>
      <c r="B157" s="31" t="n">
        <f aca="false">Demand_History!A157</f>
        <v>52</v>
      </c>
      <c r="C157" s="32" t="n">
        <f aca="false">Demand_History!D157</f>
        <v>33</v>
      </c>
      <c r="D157" s="33" t="n">
        <f aca="false">IF(B157&gt;=2,C156,"")</f>
        <v>24</v>
      </c>
      <c r="E157" s="33" t="n">
        <f aca="false">IF(B157&gt;=5,AVERAGE(C153:C156),"")</f>
        <v>37</v>
      </c>
      <c r="F157" s="33" t="n">
        <f aca="false">IF(B157&gt;=9,AVERAGE(C149:C156),"")</f>
        <v>37.875</v>
      </c>
      <c r="G157" s="33" t="n">
        <f aca="false">IF(B157=1,"",IF(B157=2,C156,SES_Alpha*C156+(1-SES_Alpha)*G156))</f>
        <v>35.6808774523075</v>
      </c>
      <c r="H157" s="33" t="n">
        <f aca="false">IF(D157="","",D157-C157)</f>
        <v>-9</v>
      </c>
      <c r="I157" s="33" t="n">
        <f aca="false">IF(E157="","",E157-C157)</f>
        <v>4</v>
      </c>
      <c r="J157" s="33" t="n">
        <f aca="false">IF(F157="","",F157-C157)</f>
        <v>4.875</v>
      </c>
      <c r="K157" s="33" t="n">
        <f aca="false">IF(G157="","",G157-C157)</f>
        <v>2.68087745230745</v>
      </c>
      <c r="L157" s="33" t="n">
        <f aca="false">IF(H157="","",ABS(H157))</f>
        <v>9</v>
      </c>
      <c r="M157" s="33" t="n">
        <f aca="false">IF(I157="","",ABS(I157))</f>
        <v>4</v>
      </c>
      <c r="N157" s="33" t="n">
        <f aca="false">IF(J157="","",ABS(J157))</f>
        <v>4.875</v>
      </c>
      <c r="O157" s="33" t="n">
        <f aca="false">IF(K157="","",ABS(K157))</f>
        <v>2.68087745230745</v>
      </c>
      <c r="P157" s="34" t="str">
        <f aca="false">IF(B157&gt;=Eval_Start_Week,"YES","")</f>
        <v/>
      </c>
      <c r="Q157" s="34" t="str">
        <f aca="false">IF(AND(B157&gt;=Cal_Start_Week,B157&lt;=Cal_End_Week),"YES","")</f>
        <v>YES</v>
      </c>
    </row>
    <row r="158" customFormat="false" ht="15" hidden="false" customHeight="false" outlineLevel="0" collapsed="false">
      <c r="A158" s="31" t="str">
        <f aca="false">Demand_History!C158</f>
        <v>KIT-002</v>
      </c>
      <c r="B158" s="31" t="n">
        <f aca="false">Demand_History!A158</f>
        <v>53</v>
      </c>
      <c r="C158" s="32" t="n">
        <f aca="false">Demand_History!D158</f>
        <v>70</v>
      </c>
      <c r="D158" s="33" t="n">
        <f aca="false">IF(B158&gt;=2,C157,"")</f>
        <v>33</v>
      </c>
      <c r="E158" s="33" t="n">
        <f aca="false">IF(B158&gt;=5,AVERAGE(C154:C157),"")</f>
        <v>34</v>
      </c>
      <c r="F158" s="33" t="n">
        <f aca="false">IF(B158&gt;=9,AVERAGE(C150:C157),"")</f>
        <v>36.375</v>
      </c>
      <c r="G158" s="33" t="n">
        <f aca="false">IF(B158=1,"",IF(B158=2,C157,SES_Alpha*C157+(1-SES_Alpha)*G157))</f>
        <v>34.8766142166152</v>
      </c>
      <c r="H158" s="33" t="n">
        <f aca="false">IF(D158="","",D158-C158)</f>
        <v>-37</v>
      </c>
      <c r="I158" s="33" t="n">
        <f aca="false">IF(E158="","",E158-C158)</f>
        <v>-36</v>
      </c>
      <c r="J158" s="33" t="n">
        <f aca="false">IF(F158="","",F158-C158)</f>
        <v>-33.625</v>
      </c>
      <c r="K158" s="33" t="n">
        <f aca="false">IF(G158="","",G158-C158)</f>
        <v>-35.1233857833848</v>
      </c>
      <c r="L158" s="33" t="n">
        <f aca="false">IF(H158="","",ABS(H158))</f>
        <v>37</v>
      </c>
      <c r="M158" s="33" t="n">
        <f aca="false">IF(I158="","",ABS(I158))</f>
        <v>36</v>
      </c>
      <c r="N158" s="33" t="n">
        <f aca="false">IF(J158="","",ABS(J158))</f>
        <v>33.625</v>
      </c>
      <c r="O158" s="33" t="n">
        <f aca="false">IF(K158="","",ABS(K158))</f>
        <v>35.1233857833848</v>
      </c>
      <c r="P158" s="34" t="str">
        <f aca="false">IF(B158&gt;=Eval_Start_Week,"YES","")</f>
        <v>YES</v>
      </c>
      <c r="Q158" s="34" t="str">
        <f aca="false">IF(AND(B158&gt;=Cal_Start_Week,B158&lt;=Cal_End_Week),"YES","")</f>
        <v>YES</v>
      </c>
    </row>
    <row r="159" customFormat="false" ht="15" hidden="false" customHeight="false" outlineLevel="0" collapsed="false">
      <c r="A159" s="31" t="str">
        <f aca="false">Demand_History!C159</f>
        <v>KIT-002</v>
      </c>
      <c r="B159" s="31" t="n">
        <f aca="false">Demand_History!A159</f>
        <v>54</v>
      </c>
      <c r="C159" s="32" t="n">
        <f aca="false">Demand_History!D159</f>
        <v>35</v>
      </c>
      <c r="D159" s="33" t="n">
        <f aca="false">IF(B159&gt;=2,C158,"")</f>
        <v>70</v>
      </c>
      <c r="E159" s="33" t="n">
        <f aca="false">IF(B159&gt;=5,AVERAGE(C155:C158),"")</f>
        <v>41.75</v>
      </c>
      <c r="F159" s="33" t="n">
        <f aca="false">IF(B159&gt;=9,AVERAGE(C151:C158),"")</f>
        <v>40.875</v>
      </c>
      <c r="G159" s="33" t="n">
        <f aca="false">IF(B159=1,"",IF(B159=2,C158,SES_Alpha*C158+(1-SES_Alpha)*G158))</f>
        <v>45.4136299516307</v>
      </c>
      <c r="H159" s="33" t="n">
        <f aca="false">IF(D159="","",D159-C159)</f>
        <v>35</v>
      </c>
      <c r="I159" s="33" t="n">
        <f aca="false">IF(E159="","",E159-C159)</f>
        <v>6.75</v>
      </c>
      <c r="J159" s="33" t="n">
        <f aca="false">IF(F159="","",F159-C159)</f>
        <v>5.875</v>
      </c>
      <c r="K159" s="33" t="n">
        <f aca="false">IF(G159="","",G159-C159)</f>
        <v>10.4136299516307</v>
      </c>
      <c r="L159" s="33" t="n">
        <f aca="false">IF(H159="","",ABS(H159))</f>
        <v>35</v>
      </c>
      <c r="M159" s="33" t="n">
        <f aca="false">IF(I159="","",ABS(I159))</f>
        <v>6.75</v>
      </c>
      <c r="N159" s="33" t="n">
        <f aca="false">IF(J159="","",ABS(J159))</f>
        <v>5.875</v>
      </c>
      <c r="O159" s="33" t="n">
        <f aca="false">IF(K159="","",ABS(K159))</f>
        <v>10.4136299516307</v>
      </c>
      <c r="P159" s="34" t="str">
        <f aca="false">IF(B159&gt;=Eval_Start_Week,"YES","")</f>
        <v>YES</v>
      </c>
      <c r="Q159" s="34" t="str">
        <f aca="false">IF(AND(B159&gt;=Cal_Start_Week,B159&lt;=Cal_End_Week),"YES","")</f>
        <v>YES</v>
      </c>
    </row>
    <row r="160" customFormat="false" ht="15" hidden="false" customHeight="false" outlineLevel="0" collapsed="false">
      <c r="A160" s="31" t="str">
        <f aca="false">Demand_History!C160</f>
        <v>KIT-002</v>
      </c>
      <c r="B160" s="31" t="n">
        <f aca="false">Demand_History!A160</f>
        <v>55</v>
      </c>
      <c r="C160" s="32" t="n">
        <f aca="false">Demand_History!D160</f>
        <v>29</v>
      </c>
      <c r="D160" s="33" t="n">
        <f aca="false">IF(B160&gt;=2,C159,"")</f>
        <v>35</v>
      </c>
      <c r="E160" s="33" t="n">
        <f aca="false">IF(B160&gt;=5,AVERAGE(C156:C159),"")</f>
        <v>40.5</v>
      </c>
      <c r="F160" s="33" t="n">
        <f aca="false">IF(B160&gt;=9,AVERAGE(C152:C159),"")</f>
        <v>40.25</v>
      </c>
      <c r="G160" s="33" t="n">
        <f aca="false">IF(B160=1,"",IF(B160=2,C159,SES_Alpha*C159+(1-SES_Alpha)*G159))</f>
        <v>42.2895409661415</v>
      </c>
      <c r="H160" s="33" t="n">
        <f aca="false">IF(D160="","",D160-C160)</f>
        <v>6</v>
      </c>
      <c r="I160" s="33" t="n">
        <f aca="false">IF(E160="","",E160-C160)</f>
        <v>11.5</v>
      </c>
      <c r="J160" s="33" t="n">
        <f aca="false">IF(F160="","",F160-C160)</f>
        <v>11.25</v>
      </c>
      <c r="K160" s="33" t="n">
        <f aca="false">IF(G160="","",G160-C160)</f>
        <v>13.2895409661415</v>
      </c>
      <c r="L160" s="33" t="n">
        <f aca="false">IF(H160="","",ABS(H160))</f>
        <v>6</v>
      </c>
      <c r="M160" s="33" t="n">
        <f aca="false">IF(I160="","",ABS(I160))</f>
        <v>11.5</v>
      </c>
      <c r="N160" s="33" t="n">
        <f aca="false">IF(J160="","",ABS(J160))</f>
        <v>11.25</v>
      </c>
      <c r="O160" s="33" t="n">
        <f aca="false">IF(K160="","",ABS(K160))</f>
        <v>13.2895409661415</v>
      </c>
      <c r="P160" s="34" t="str">
        <f aca="false">IF(B160&gt;=Eval_Start_Week,"YES","")</f>
        <v>YES</v>
      </c>
      <c r="Q160" s="34" t="str">
        <f aca="false">IF(AND(B160&gt;=Cal_Start_Week,B160&lt;=Cal_End_Week),"YES","")</f>
        <v>YES</v>
      </c>
    </row>
    <row r="161" customFormat="false" ht="15" hidden="false" customHeight="false" outlineLevel="0" collapsed="false">
      <c r="A161" s="31" t="str">
        <f aca="false">Demand_History!C161</f>
        <v>KIT-002</v>
      </c>
      <c r="B161" s="31" t="n">
        <f aca="false">Demand_History!A161</f>
        <v>56</v>
      </c>
      <c r="C161" s="32" t="n">
        <f aca="false">Demand_History!D161</f>
        <v>50</v>
      </c>
      <c r="D161" s="33" t="n">
        <f aca="false">IF(B161&gt;=2,C160,"")</f>
        <v>29</v>
      </c>
      <c r="E161" s="33" t="n">
        <f aca="false">IF(B161&gt;=5,AVERAGE(C157:C160),"")</f>
        <v>41.75</v>
      </c>
      <c r="F161" s="33" t="n">
        <f aca="false">IF(B161&gt;=9,AVERAGE(C153:C160),"")</f>
        <v>39.375</v>
      </c>
      <c r="G161" s="33" t="n">
        <f aca="false">IF(B161=1,"",IF(B161=2,C160,SES_Alpha*C160+(1-SES_Alpha)*G160))</f>
        <v>38.302678676299</v>
      </c>
      <c r="H161" s="33" t="n">
        <f aca="false">IF(D161="","",D161-C161)</f>
        <v>-21</v>
      </c>
      <c r="I161" s="33" t="n">
        <f aca="false">IF(E161="","",E161-C161)</f>
        <v>-8.25</v>
      </c>
      <c r="J161" s="33" t="n">
        <f aca="false">IF(F161="","",F161-C161)</f>
        <v>-10.625</v>
      </c>
      <c r="K161" s="33" t="n">
        <f aca="false">IF(G161="","",G161-C161)</f>
        <v>-11.697321323701</v>
      </c>
      <c r="L161" s="33" t="n">
        <f aca="false">IF(H161="","",ABS(H161))</f>
        <v>21</v>
      </c>
      <c r="M161" s="33" t="n">
        <f aca="false">IF(I161="","",ABS(I161))</f>
        <v>8.25</v>
      </c>
      <c r="N161" s="33" t="n">
        <f aca="false">IF(J161="","",ABS(J161))</f>
        <v>10.625</v>
      </c>
      <c r="O161" s="33" t="n">
        <f aca="false">IF(K161="","",ABS(K161))</f>
        <v>11.697321323701</v>
      </c>
      <c r="P161" s="34" t="str">
        <f aca="false">IF(B161&gt;=Eval_Start_Week,"YES","")</f>
        <v>YES</v>
      </c>
      <c r="Q161" s="34" t="str">
        <f aca="false">IF(AND(B161&gt;=Cal_Start_Week,B161&lt;=Cal_End_Week),"YES","")</f>
        <v>YES</v>
      </c>
    </row>
    <row r="162" customFormat="false" ht="15" hidden="false" customHeight="false" outlineLevel="0" collapsed="false">
      <c r="A162" s="31" t="str">
        <f aca="false">Demand_History!C162</f>
        <v>KIT-002</v>
      </c>
      <c r="B162" s="31" t="n">
        <f aca="false">Demand_History!A162</f>
        <v>57</v>
      </c>
      <c r="C162" s="32" t="n">
        <f aca="false">Demand_History!D162</f>
        <v>66</v>
      </c>
      <c r="D162" s="33" t="n">
        <f aca="false">IF(B162&gt;=2,C161,"")</f>
        <v>50</v>
      </c>
      <c r="E162" s="33" t="n">
        <f aca="false">IF(B162&gt;=5,AVERAGE(C158:C161),"")</f>
        <v>46</v>
      </c>
      <c r="F162" s="33" t="n">
        <f aca="false">IF(B162&gt;=9,AVERAGE(C154:C161),"")</f>
        <v>40</v>
      </c>
      <c r="G162" s="33" t="n">
        <f aca="false">IF(B162=1,"",IF(B162=2,C161,SES_Alpha*C161+(1-SES_Alpha)*G161))</f>
        <v>41.8118750734093</v>
      </c>
      <c r="H162" s="33" t="n">
        <f aca="false">IF(D162="","",D162-C162)</f>
        <v>-16</v>
      </c>
      <c r="I162" s="33" t="n">
        <f aca="false">IF(E162="","",E162-C162)</f>
        <v>-20</v>
      </c>
      <c r="J162" s="33" t="n">
        <f aca="false">IF(F162="","",F162-C162)</f>
        <v>-26</v>
      </c>
      <c r="K162" s="33" t="n">
        <f aca="false">IF(G162="","",G162-C162)</f>
        <v>-24.1881249265907</v>
      </c>
      <c r="L162" s="33" t="n">
        <f aca="false">IF(H162="","",ABS(H162))</f>
        <v>16</v>
      </c>
      <c r="M162" s="33" t="n">
        <f aca="false">IF(I162="","",ABS(I162))</f>
        <v>20</v>
      </c>
      <c r="N162" s="33" t="n">
        <f aca="false">IF(J162="","",ABS(J162))</f>
        <v>26</v>
      </c>
      <c r="O162" s="33" t="n">
        <f aca="false">IF(K162="","",ABS(K162))</f>
        <v>24.1881249265907</v>
      </c>
      <c r="P162" s="34" t="str">
        <f aca="false">IF(B162&gt;=Eval_Start_Week,"YES","")</f>
        <v>YES</v>
      </c>
      <c r="Q162" s="34" t="str">
        <f aca="false">IF(AND(B162&gt;=Cal_Start_Week,B162&lt;=Cal_End_Week),"YES","")</f>
        <v>YES</v>
      </c>
    </row>
    <row r="163" customFormat="false" ht="15" hidden="false" customHeight="false" outlineLevel="0" collapsed="false">
      <c r="A163" s="31" t="str">
        <f aca="false">Demand_History!C163</f>
        <v>KIT-002</v>
      </c>
      <c r="B163" s="31" t="n">
        <f aca="false">Demand_History!A163</f>
        <v>58</v>
      </c>
      <c r="C163" s="32" t="n">
        <f aca="false">Demand_History!D163</f>
        <v>23</v>
      </c>
      <c r="D163" s="33" t="n">
        <f aca="false">IF(B163&gt;=2,C162,"")</f>
        <v>66</v>
      </c>
      <c r="E163" s="33" t="n">
        <f aca="false">IF(B163&gt;=5,AVERAGE(C159:C162),"")</f>
        <v>45</v>
      </c>
      <c r="F163" s="33" t="n">
        <f aca="false">IF(B163&gt;=9,AVERAGE(C155:C162),"")</f>
        <v>43.375</v>
      </c>
      <c r="G163" s="33" t="n">
        <f aca="false">IF(B163=1,"",IF(B163=2,C162,SES_Alpha*C162+(1-SES_Alpha)*G162))</f>
        <v>49.0683125513865</v>
      </c>
      <c r="H163" s="33" t="n">
        <f aca="false">IF(D163="","",D163-C163)</f>
        <v>43</v>
      </c>
      <c r="I163" s="33" t="n">
        <f aca="false">IF(E163="","",E163-C163)</f>
        <v>22</v>
      </c>
      <c r="J163" s="33" t="n">
        <f aca="false">IF(F163="","",F163-C163)</f>
        <v>20.375</v>
      </c>
      <c r="K163" s="33" t="n">
        <f aca="false">IF(G163="","",G163-C163)</f>
        <v>26.0683125513865</v>
      </c>
      <c r="L163" s="33" t="n">
        <f aca="false">IF(H163="","",ABS(H163))</f>
        <v>43</v>
      </c>
      <c r="M163" s="33" t="n">
        <f aca="false">IF(I163="","",ABS(I163))</f>
        <v>22</v>
      </c>
      <c r="N163" s="33" t="n">
        <f aca="false">IF(J163="","",ABS(J163))</f>
        <v>20.375</v>
      </c>
      <c r="O163" s="33" t="n">
        <f aca="false">IF(K163="","",ABS(K163))</f>
        <v>26.0683125513865</v>
      </c>
      <c r="P163" s="34" t="str">
        <f aca="false">IF(B163&gt;=Eval_Start_Week,"YES","")</f>
        <v>YES</v>
      </c>
      <c r="Q163" s="34" t="str">
        <f aca="false">IF(AND(B163&gt;=Cal_Start_Week,B163&lt;=Cal_End_Week),"YES","")</f>
        <v>YES</v>
      </c>
    </row>
    <row r="164" customFormat="false" ht="15" hidden="false" customHeight="false" outlineLevel="0" collapsed="false">
      <c r="A164" s="31" t="str">
        <f aca="false">Demand_History!C164</f>
        <v>KIT-002</v>
      </c>
      <c r="B164" s="31" t="n">
        <f aca="false">Demand_History!A164</f>
        <v>59</v>
      </c>
      <c r="C164" s="32" t="n">
        <f aca="false">Demand_History!D164</f>
        <v>42</v>
      </c>
      <c r="D164" s="33" t="n">
        <f aca="false">IF(B164&gt;=2,C163,"")</f>
        <v>23</v>
      </c>
      <c r="E164" s="33" t="n">
        <f aca="false">IF(B164&gt;=5,AVERAGE(C160:C163),"")</f>
        <v>42</v>
      </c>
      <c r="F164" s="33" t="n">
        <f aca="false">IF(B164&gt;=9,AVERAGE(C156:C163),"")</f>
        <v>41.25</v>
      </c>
      <c r="G164" s="33" t="n">
        <f aca="false">IF(B164=1,"",IF(B164=2,C163,SES_Alpha*C163+(1-SES_Alpha)*G163))</f>
        <v>41.2478187859706</v>
      </c>
      <c r="H164" s="33" t="n">
        <f aca="false">IF(D164="","",D164-C164)</f>
        <v>-19</v>
      </c>
      <c r="I164" s="33" t="n">
        <f aca="false">IF(E164="","",E164-C164)</f>
        <v>0</v>
      </c>
      <c r="J164" s="33" t="n">
        <f aca="false">IF(F164="","",F164-C164)</f>
        <v>-0.75</v>
      </c>
      <c r="K164" s="33" t="n">
        <f aca="false">IF(G164="","",G164-C164)</f>
        <v>-0.752181214029449</v>
      </c>
      <c r="L164" s="33" t="n">
        <f aca="false">IF(H164="","",ABS(H164))</f>
        <v>19</v>
      </c>
      <c r="M164" s="33" t="n">
        <f aca="false">IF(I164="","",ABS(I164))</f>
        <v>0</v>
      </c>
      <c r="N164" s="33" t="n">
        <f aca="false">IF(J164="","",ABS(J164))</f>
        <v>0.75</v>
      </c>
      <c r="O164" s="33" t="n">
        <f aca="false">IF(K164="","",ABS(K164))</f>
        <v>0.752181214029449</v>
      </c>
      <c r="P164" s="34" t="str">
        <f aca="false">IF(B164&gt;=Eval_Start_Week,"YES","")</f>
        <v>YES</v>
      </c>
      <c r="Q164" s="34" t="str">
        <f aca="false">IF(AND(B164&gt;=Cal_Start_Week,B164&lt;=Cal_End_Week),"YES","")</f>
        <v>YES</v>
      </c>
    </row>
    <row r="165" customFormat="false" ht="15" hidden="false" customHeight="false" outlineLevel="0" collapsed="false">
      <c r="A165" s="31" t="str">
        <f aca="false">Demand_History!C165</f>
        <v>KIT-002</v>
      </c>
      <c r="B165" s="31" t="n">
        <f aca="false">Demand_History!A165</f>
        <v>60</v>
      </c>
      <c r="C165" s="32" t="n">
        <f aca="false">Demand_History!D165</f>
        <v>35</v>
      </c>
      <c r="D165" s="33" t="n">
        <f aca="false">IF(B165&gt;=2,C164,"")</f>
        <v>42</v>
      </c>
      <c r="E165" s="33" t="n">
        <f aca="false">IF(B165&gt;=5,AVERAGE(C161:C164),"")</f>
        <v>45.25</v>
      </c>
      <c r="F165" s="33" t="n">
        <f aca="false">IF(B165&gt;=9,AVERAGE(C157:C164),"")</f>
        <v>43.5</v>
      </c>
      <c r="G165" s="33" t="n">
        <f aca="false">IF(B165=1,"",IF(B165=2,C164,SES_Alpha*C164+(1-SES_Alpha)*G164))</f>
        <v>41.4734731501794</v>
      </c>
      <c r="H165" s="33" t="n">
        <f aca="false">IF(D165="","",D165-C165)</f>
        <v>7</v>
      </c>
      <c r="I165" s="33" t="n">
        <f aca="false">IF(E165="","",E165-C165)</f>
        <v>10.25</v>
      </c>
      <c r="J165" s="33" t="n">
        <f aca="false">IF(F165="","",F165-C165)</f>
        <v>8.5</v>
      </c>
      <c r="K165" s="33" t="n">
        <f aca="false">IF(G165="","",G165-C165)</f>
        <v>6.47347315017938</v>
      </c>
      <c r="L165" s="33" t="n">
        <f aca="false">IF(H165="","",ABS(H165))</f>
        <v>7</v>
      </c>
      <c r="M165" s="33" t="n">
        <f aca="false">IF(I165="","",ABS(I165))</f>
        <v>10.25</v>
      </c>
      <c r="N165" s="33" t="n">
        <f aca="false">IF(J165="","",ABS(J165))</f>
        <v>8.5</v>
      </c>
      <c r="O165" s="33" t="n">
        <f aca="false">IF(K165="","",ABS(K165))</f>
        <v>6.47347315017938</v>
      </c>
      <c r="P165" s="34" t="str">
        <f aca="false">IF(B165&gt;=Eval_Start_Week,"YES","")</f>
        <v>YES</v>
      </c>
      <c r="Q165" s="34" t="str">
        <f aca="false">IF(AND(B165&gt;=Cal_Start_Week,B165&lt;=Cal_End_Week),"YES","")</f>
        <v>YES</v>
      </c>
    </row>
    <row r="166" customFormat="false" ht="15" hidden="false" customHeight="false" outlineLevel="0" collapsed="false">
      <c r="A166" s="31" t="str">
        <f aca="false">Demand_History!C166</f>
        <v>KIT-002</v>
      </c>
      <c r="B166" s="31" t="n">
        <f aca="false">Demand_History!A166</f>
        <v>61</v>
      </c>
      <c r="C166" s="32" t="n">
        <f aca="false">Demand_History!D166</f>
        <v>18</v>
      </c>
      <c r="D166" s="33" t="n">
        <f aca="false">IF(B166&gt;=2,C165,"")</f>
        <v>35</v>
      </c>
      <c r="E166" s="33" t="n">
        <f aca="false">IF(B166&gt;=5,AVERAGE(C162:C165),"")</f>
        <v>41.5</v>
      </c>
      <c r="F166" s="33" t="n">
        <f aca="false">IF(B166&gt;=9,AVERAGE(C158:C165),"")</f>
        <v>43.75</v>
      </c>
      <c r="G166" s="33" t="n">
        <f aca="false">IF(B166=1,"",IF(B166=2,C165,SES_Alpha*C165+(1-SES_Alpha)*G165))</f>
        <v>39.5314312051256</v>
      </c>
      <c r="H166" s="33" t="n">
        <f aca="false">IF(D166="","",D166-C166)</f>
        <v>17</v>
      </c>
      <c r="I166" s="33" t="n">
        <f aca="false">IF(E166="","",E166-C166)</f>
        <v>23.5</v>
      </c>
      <c r="J166" s="33" t="n">
        <f aca="false">IF(F166="","",F166-C166)</f>
        <v>25.75</v>
      </c>
      <c r="K166" s="33" t="n">
        <f aca="false">IF(G166="","",G166-C166)</f>
        <v>21.5314312051256</v>
      </c>
      <c r="L166" s="33" t="n">
        <f aca="false">IF(H166="","",ABS(H166))</f>
        <v>17</v>
      </c>
      <c r="M166" s="33" t="n">
        <f aca="false">IF(I166="","",ABS(I166))</f>
        <v>23.5</v>
      </c>
      <c r="N166" s="33" t="n">
        <f aca="false">IF(J166="","",ABS(J166))</f>
        <v>25.75</v>
      </c>
      <c r="O166" s="33" t="n">
        <f aca="false">IF(K166="","",ABS(K166))</f>
        <v>21.5314312051256</v>
      </c>
      <c r="P166" s="34" t="str">
        <f aca="false">IF(B166&gt;=Eval_Start_Week,"YES","")</f>
        <v>YES</v>
      </c>
      <c r="Q166" s="34" t="str">
        <f aca="false">IF(AND(B166&gt;=Cal_Start_Week,B166&lt;=Cal_End_Week),"YES","")</f>
        <v>YES</v>
      </c>
    </row>
    <row r="167" customFormat="false" ht="15" hidden="false" customHeight="false" outlineLevel="0" collapsed="false">
      <c r="A167" s="31" t="str">
        <f aca="false">Demand_History!C167</f>
        <v>KIT-002</v>
      </c>
      <c r="B167" s="31" t="n">
        <f aca="false">Demand_History!A167</f>
        <v>62</v>
      </c>
      <c r="C167" s="32" t="n">
        <f aca="false">Demand_History!D167</f>
        <v>56</v>
      </c>
      <c r="D167" s="33" t="n">
        <f aca="false">IF(B167&gt;=2,C166,"")</f>
        <v>18</v>
      </c>
      <c r="E167" s="33" t="n">
        <f aca="false">IF(B167&gt;=5,AVERAGE(C163:C166),"")</f>
        <v>29.5</v>
      </c>
      <c r="F167" s="33" t="n">
        <f aca="false">IF(B167&gt;=9,AVERAGE(C159:C166),"")</f>
        <v>37.25</v>
      </c>
      <c r="G167" s="33" t="n">
        <f aca="false">IF(B167=1,"",IF(B167=2,C166,SES_Alpha*C166+(1-SES_Alpha)*G166))</f>
        <v>33.0720018435879</v>
      </c>
      <c r="H167" s="33" t="n">
        <f aca="false">IF(D167="","",D167-C167)</f>
        <v>-38</v>
      </c>
      <c r="I167" s="33" t="n">
        <f aca="false">IF(E167="","",E167-C167)</f>
        <v>-26.5</v>
      </c>
      <c r="J167" s="33" t="n">
        <f aca="false">IF(F167="","",F167-C167)</f>
        <v>-18.75</v>
      </c>
      <c r="K167" s="33" t="n">
        <f aca="false">IF(G167="","",G167-C167)</f>
        <v>-22.9279981564121</v>
      </c>
      <c r="L167" s="33" t="n">
        <f aca="false">IF(H167="","",ABS(H167))</f>
        <v>38</v>
      </c>
      <c r="M167" s="33" t="n">
        <f aca="false">IF(I167="","",ABS(I167))</f>
        <v>26.5</v>
      </c>
      <c r="N167" s="33" t="n">
        <f aca="false">IF(J167="","",ABS(J167))</f>
        <v>18.75</v>
      </c>
      <c r="O167" s="33" t="n">
        <f aca="false">IF(K167="","",ABS(K167))</f>
        <v>22.9279981564121</v>
      </c>
      <c r="P167" s="34" t="str">
        <f aca="false">IF(B167&gt;=Eval_Start_Week,"YES","")</f>
        <v>YES</v>
      </c>
      <c r="Q167" s="34" t="str">
        <f aca="false">IF(AND(B167&gt;=Cal_Start_Week,B167&lt;=Cal_End_Week),"YES","")</f>
        <v>YES</v>
      </c>
    </row>
    <row r="168" customFormat="false" ht="15" hidden="false" customHeight="false" outlineLevel="0" collapsed="false">
      <c r="A168" s="31" t="str">
        <f aca="false">Demand_History!C168</f>
        <v>KIT-002</v>
      </c>
      <c r="B168" s="31" t="n">
        <f aca="false">Demand_History!A168</f>
        <v>63</v>
      </c>
      <c r="C168" s="32" t="n">
        <f aca="false">Demand_History!D168</f>
        <v>45</v>
      </c>
      <c r="D168" s="33" t="n">
        <f aca="false">IF(B168&gt;=2,C167,"")</f>
        <v>56</v>
      </c>
      <c r="E168" s="33" t="n">
        <f aca="false">IF(B168&gt;=5,AVERAGE(C164:C167),"")</f>
        <v>37.75</v>
      </c>
      <c r="F168" s="33" t="n">
        <f aca="false">IF(B168&gt;=9,AVERAGE(C160:C167),"")</f>
        <v>39.875</v>
      </c>
      <c r="G168" s="33" t="n">
        <f aca="false">IF(B168=1,"",IF(B168=2,C167,SES_Alpha*C167+(1-SES_Alpha)*G167))</f>
        <v>39.9504012905115</v>
      </c>
      <c r="H168" s="33" t="n">
        <f aca="false">IF(D168="","",D168-C168)</f>
        <v>11</v>
      </c>
      <c r="I168" s="33" t="n">
        <f aca="false">IF(E168="","",E168-C168)</f>
        <v>-7.25</v>
      </c>
      <c r="J168" s="33" t="n">
        <f aca="false">IF(F168="","",F168-C168)</f>
        <v>-5.125</v>
      </c>
      <c r="K168" s="33" t="n">
        <f aca="false">IF(G168="","",G168-C168)</f>
        <v>-5.04959870948848</v>
      </c>
      <c r="L168" s="33" t="n">
        <f aca="false">IF(H168="","",ABS(H168))</f>
        <v>11</v>
      </c>
      <c r="M168" s="33" t="n">
        <f aca="false">IF(I168="","",ABS(I168))</f>
        <v>7.25</v>
      </c>
      <c r="N168" s="33" t="n">
        <f aca="false">IF(J168="","",ABS(J168))</f>
        <v>5.125</v>
      </c>
      <c r="O168" s="33" t="n">
        <f aca="false">IF(K168="","",ABS(K168))</f>
        <v>5.04959870948848</v>
      </c>
      <c r="P168" s="34" t="str">
        <f aca="false">IF(B168&gt;=Eval_Start_Week,"YES","")</f>
        <v>YES</v>
      </c>
      <c r="Q168" s="34" t="str">
        <f aca="false">IF(AND(B168&gt;=Cal_Start_Week,B168&lt;=Cal_End_Week),"YES","")</f>
        <v>YES</v>
      </c>
    </row>
    <row r="169" customFormat="false" ht="15" hidden="false" customHeight="false" outlineLevel="0" collapsed="false">
      <c r="A169" s="31" t="str">
        <f aca="false">Demand_History!C169</f>
        <v>KIT-002</v>
      </c>
      <c r="B169" s="31" t="n">
        <f aca="false">Demand_History!A169</f>
        <v>64</v>
      </c>
      <c r="C169" s="32" t="n">
        <f aca="false">Demand_History!D169</f>
        <v>46</v>
      </c>
      <c r="D169" s="33" t="n">
        <f aca="false">IF(B169&gt;=2,C168,"")</f>
        <v>45</v>
      </c>
      <c r="E169" s="33" t="n">
        <f aca="false">IF(B169&gt;=5,AVERAGE(C165:C168),"")</f>
        <v>38.5</v>
      </c>
      <c r="F169" s="33" t="n">
        <f aca="false">IF(B169&gt;=9,AVERAGE(C161:C168),"")</f>
        <v>41.875</v>
      </c>
      <c r="G169" s="33" t="n">
        <f aca="false">IF(B169=1,"",IF(B169=2,C168,SES_Alpha*C168+(1-SES_Alpha)*G168))</f>
        <v>41.4652809033581</v>
      </c>
      <c r="H169" s="33" t="n">
        <f aca="false">IF(D169="","",D169-C169)</f>
        <v>-1</v>
      </c>
      <c r="I169" s="33" t="n">
        <f aca="false">IF(E169="","",E169-C169)</f>
        <v>-7.5</v>
      </c>
      <c r="J169" s="33" t="n">
        <f aca="false">IF(F169="","",F169-C169)</f>
        <v>-4.125</v>
      </c>
      <c r="K169" s="33" t="n">
        <f aca="false">IF(G169="","",G169-C169)</f>
        <v>-4.53471909664194</v>
      </c>
      <c r="L169" s="33" t="n">
        <f aca="false">IF(H169="","",ABS(H169))</f>
        <v>1</v>
      </c>
      <c r="M169" s="33" t="n">
        <f aca="false">IF(I169="","",ABS(I169))</f>
        <v>7.5</v>
      </c>
      <c r="N169" s="33" t="n">
        <f aca="false">IF(J169="","",ABS(J169))</f>
        <v>4.125</v>
      </c>
      <c r="O169" s="33" t="n">
        <f aca="false">IF(K169="","",ABS(K169))</f>
        <v>4.53471909664194</v>
      </c>
      <c r="P169" s="34" t="str">
        <f aca="false">IF(B169&gt;=Eval_Start_Week,"YES","")</f>
        <v>YES</v>
      </c>
      <c r="Q169" s="34" t="str">
        <f aca="false">IF(AND(B169&gt;=Cal_Start_Week,B169&lt;=Cal_End_Week),"YES","")</f>
        <v>YES</v>
      </c>
    </row>
    <row r="170" customFormat="false" ht="15" hidden="false" customHeight="false" outlineLevel="0" collapsed="false">
      <c r="A170" s="31" t="str">
        <f aca="false">Demand_History!C170</f>
        <v>KIT-002</v>
      </c>
      <c r="B170" s="31" t="n">
        <f aca="false">Demand_History!A170</f>
        <v>65</v>
      </c>
      <c r="C170" s="32" t="n">
        <f aca="false">Demand_History!D170</f>
        <v>34</v>
      </c>
      <c r="D170" s="33" t="n">
        <f aca="false">IF(B170&gt;=2,C169,"")</f>
        <v>46</v>
      </c>
      <c r="E170" s="33" t="n">
        <f aca="false">IF(B170&gt;=5,AVERAGE(C166:C169),"")</f>
        <v>41.25</v>
      </c>
      <c r="F170" s="33" t="n">
        <f aca="false">IF(B170&gt;=9,AVERAGE(C162:C169),"")</f>
        <v>41.375</v>
      </c>
      <c r="G170" s="33" t="n">
        <f aca="false">IF(B170=1,"",IF(B170=2,C169,SES_Alpha*C169+(1-SES_Alpha)*G169))</f>
        <v>42.8256966323506</v>
      </c>
      <c r="H170" s="33" t="n">
        <f aca="false">IF(D170="","",D170-C170)</f>
        <v>12</v>
      </c>
      <c r="I170" s="33" t="n">
        <f aca="false">IF(E170="","",E170-C170)</f>
        <v>7.25</v>
      </c>
      <c r="J170" s="33" t="n">
        <f aca="false">IF(F170="","",F170-C170)</f>
        <v>7.375</v>
      </c>
      <c r="K170" s="33" t="n">
        <f aca="false">IF(G170="","",G170-C170)</f>
        <v>8.82569663235064</v>
      </c>
      <c r="L170" s="33" t="n">
        <f aca="false">IF(H170="","",ABS(H170))</f>
        <v>12</v>
      </c>
      <c r="M170" s="33" t="n">
        <f aca="false">IF(I170="","",ABS(I170))</f>
        <v>7.25</v>
      </c>
      <c r="N170" s="33" t="n">
        <f aca="false">IF(J170="","",ABS(J170))</f>
        <v>7.375</v>
      </c>
      <c r="O170" s="33" t="n">
        <f aca="false">IF(K170="","",ABS(K170))</f>
        <v>8.82569663235064</v>
      </c>
      <c r="P170" s="34" t="str">
        <f aca="false">IF(B170&gt;=Eval_Start_Week,"YES","")</f>
        <v>YES</v>
      </c>
      <c r="Q170" s="34" t="str">
        <f aca="false">IF(AND(B170&gt;=Cal_Start_Week,B170&lt;=Cal_End_Week),"YES","")</f>
        <v>YES</v>
      </c>
    </row>
    <row r="171" customFormat="false" ht="15" hidden="false" customHeight="false" outlineLevel="0" collapsed="false">
      <c r="A171" s="31" t="str">
        <f aca="false">Demand_History!C171</f>
        <v>KIT-002</v>
      </c>
      <c r="B171" s="31" t="n">
        <f aca="false">Demand_History!A171</f>
        <v>66</v>
      </c>
      <c r="C171" s="32" t="n">
        <f aca="false">Demand_History!D171</f>
        <v>52</v>
      </c>
      <c r="D171" s="33" t="n">
        <f aca="false">IF(B171&gt;=2,C170,"")</f>
        <v>34</v>
      </c>
      <c r="E171" s="33" t="n">
        <f aca="false">IF(B171&gt;=5,AVERAGE(C167:C170),"")</f>
        <v>45.25</v>
      </c>
      <c r="F171" s="33" t="n">
        <f aca="false">IF(B171&gt;=9,AVERAGE(C163:C170),"")</f>
        <v>37.375</v>
      </c>
      <c r="G171" s="33" t="n">
        <f aca="false">IF(B171=1,"",IF(B171=2,C170,SES_Alpha*C170+(1-SES_Alpha)*G170))</f>
        <v>40.1779876426455</v>
      </c>
      <c r="H171" s="33" t="n">
        <f aca="false">IF(D171="","",D171-C171)</f>
        <v>-18</v>
      </c>
      <c r="I171" s="33" t="n">
        <f aca="false">IF(E171="","",E171-C171)</f>
        <v>-6.75</v>
      </c>
      <c r="J171" s="33" t="n">
        <f aca="false">IF(F171="","",F171-C171)</f>
        <v>-14.625</v>
      </c>
      <c r="K171" s="33" t="n">
        <f aca="false">IF(G171="","",G171-C171)</f>
        <v>-11.8220123573546</v>
      </c>
      <c r="L171" s="33" t="n">
        <f aca="false">IF(H171="","",ABS(H171))</f>
        <v>18</v>
      </c>
      <c r="M171" s="33" t="n">
        <f aca="false">IF(I171="","",ABS(I171))</f>
        <v>6.75</v>
      </c>
      <c r="N171" s="33" t="n">
        <f aca="false">IF(J171="","",ABS(J171))</f>
        <v>14.625</v>
      </c>
      <c r="O171" s="33" t="n">
        <f aca="false">IF(K171="","",ABS(K171))</f>
        <v>11.8220123573546</v>
      </c>
      <c r="P171" s="34" t="str">
        <f aca="false">IF(B171&gt;=Eval_Start_Week,"YES","")</f>
        <v>YES</v>
      </c>
      <c r="Q171" s="34" t="str">
        <f aca="false">IF(AND(B171&gt;=Cal_Start_Week,B171&lt;=Cal_End_Week),"YES","")</f>
        <v>YES</v>
      </c>
    </row>
    <row r="172" customFormat="false" ht="15" hidden="false" customHeight="false" outlineLevel="0" collapsed="false">
      <c r="A172" s="31" t="str">
        <f aca="false">Demand_History!C172</f>
        <v>KIT-002</v>
      </c>
      <c r="B172" s="31" t="n">
        <f aca="false">Demand_History!A172</f>
        <v>67</v>
      </c>
      <c r="C172" s="32" t="n">
        <f aca="false">Demand_History!D172</f>
        <v>37</v>
      </c>
      <c r="D172" s="33" t="n">
        <f aca="false">IF(B172&gt;=2,C171,"")</f>
        <v>52</v>
      </c>
      <c r="E172" s="33" t="n">
        <f aca="false">IF(B172&gt;=5,AVERAGE(C168:C171),"")</f>
        <v>44.25</v>
      </c>
      <c r="F172" s="33" t="n">
        <f aca="false">IF(B172&gt;=9,AVERAGE(C164:C171),"")</f>
        <v>41</v>
      </c>
      <c r="G172" s="33" t="n">
        <f aca="false">IF(B172=1,"",IF(B172=2,C171,SES_Alpha*C171+(1-SES_Alpha)*G171))</f>
        <v>43.7245913498518</v>
      </c>
      <c r="H172" s="33" t="n">
        <f aca="false">IF(D172="","",D172-C172)</f>
        <v>15</v>
      </c>
      <c r="I172" s="33" t="n">
        <f aca="false">IF(E172="","",E172-C172)</f>
        <v>7.25</v>
      </c>
      <c r="J172" s="33" t="n">
        <f aca="false">IF(F172="","",F172-C172)</f>
        <v>4</v>
      </c>
      <c r="K172" s="33" t="n">
        <f aca="false">IF(G172="","",G172-C172)</f>
        <v>6.72459134985181</v>
      </c>
      <c r="L172" s="33" t="n">
        <f aca="false">IF(H172="","",ABS(H172))</f>
        <v>15</v>
      </c>
      <c r="M172" s="33" t="n">
        <f aca="false">IF(I172="","",ABS(I172))</f>
        <v>7.25</v>
      </c>
      <c r="N172" s="33" t="n">
        <f aca="false">IF(J172="","",ABS(J172))</f>
        <v>4</v>
      </c>
      <c r="O172" s="33" t="n">
        <f aca="false">IF(K172="","",ABS(K172))</f>
        <v>6.72459134985181</v>
      </c>
      <c r="P172" s="34" t="str">
        <f aca="false">IF(B172&gt;=Eval_Start_Week,"YES","")</f>
        <v>YES</v>
      </c>
      <c r="Q172" s="34" t="str">
        <f aca="false">IF(AND(B172&gt;=Cal_Start_Week,B172&lt;=Cal_End_Week),"YES","")</f>
        <v>YES</v>
      </c>
    </row>
    <row r="173" customFormat="false" ht="15" hidden="false" customHeight="false" outlineLevel="0" collapsed="false">
      <c r="A173" s="31" t="str">
        <f aca="false">Demand_History!C173</f>
        <v>KIT-002</v>
      </c>
      <c r="B173" s="31" t="n">
        <f aca="false">Demand_History!A173</f>
        <v>68</v>
      </c>
      <c r="C173" s="32" t="n">
        <f aca="false">Demand_History!D173</f>
        <v>43</v>
      </c>
      <c r="D173" s="33" t="n">
        <f aca="false">IF(B173&gt;=2,C172,"")</f>
        <v>37</v>
      </c>
      <c r="E173" s="33" t="n">
        <f aca="false">IF(B173&gt;=5,AVERAGE(C169:C172),"")</f>
        <v>42.25</v>
      </c>
      <c r="F173" s="33" t="n">
        <f aca="false">IF(B173&gt;=9,AVERAGE(C165:C172),"")</f>
        <v>40.375</v>
      </c>
      <c r="G173" s="33" t="n">
        <f aca="false">IF(B173=1,"",IF(B173=2,C172,SES_Alpha*C172+(1-SES_Alpha)*G172))</f>
        <v>41.7072139448963</v>
      </c>
      <c r="H173" s="33" t="n">
        <f aca="false">IF(D173="","",D173-C173)</f>
        <v>-6</v>
      </c>
      <c r="I173" s="33" t="n">
        <f aca="false">IF(E173="","",E173-C173)</f>
        <v>-0.75</v>
      </c>
      <c r="J173" s="33" t="n">
        <f aca="false">IF(F173="","",F173-C173)</f>
        <v>-2.625</v>
      </c>
      <c r="K173" s="33" t="n">
        <f aca="false">IF(G173="","",G173-C173)</f>
        <v>-1.29278605510373</v>
      </c>
      <c r="L173" s="33" t="n">
        <f aca="false">IF(H173="","",ABS(H173))</f>
        <v>6</v>
      </c>
      <c r="M173" s="33" t="n">
        <f aca="false">IF(I173="","",ABS(I173))</f>
        <v>0.75</v>
      </c>
      <c r="N173" s="33" t="n">
        <f aca="false">IF(J173="","",ABS(J173))</f>
        <v>2.625</v>
      </c>
      <c r="O173" s="33" t="n">
        <f aca="false">IF(K173="","",ABS(K173))</f>
        <v>1.29278605510373</v>
      </c>
      <c r="P173" s="34" t="str">
        <f aca="false">IF(B173&gt;=Eval_Start_Week,"YES","")</f>
        <v>YES</v>
      </c>
      <c r="Q173" s="34" t="str">
        <f aca="false">IF(AND(B173&gt;=Cal_Start_Week,B173&lt;=Cal_End_Week),"YES","")</f>
        <v>YES</v>
      </c>
    </row>
    <row r="174" customFormat="false" ht="15" hidden="false" customHeight="false" outlineLevel="0" collapsed="false">
      <c r="A174" s="31" t="str">
        <f aca="false">Demand_History!C174</f>
        <v>KIT-002</v>
      </c>
      <c r="B174" s="31" t="n">
        <f aca="false">Demand_History!A174</f>
        <v>69</v>
      </c>
      <c r="C174" s="32" t="n">
        <f aca="false">Demand_History!D174</f>
        <v>28</v>
      </c>
      <c r="D174" s="33" t="n">
        <f aca="false">IF(B174&gt;=2,C173,"")</f>
        <v>43</v>
      </c>
      <c r="E174" s="33" t="n">
        <f aca="false">IF(B174&gt;=5,AVERAGE(C170:C173),"")</f>
        <v>41.5</v>
      </c>
      <c r="F174" s="33" t="n">
        <f aca="false">IF(B174&gt;=9,AVERAGE(C166:C173),"")</f>
        <v>41.375</v>
      </c>
      <c r="G174" s="33" t="n">
        <f aca="false">IF(B174=1,"",IF(B174=2,C173,SES_Alpha*C173+(1-SES_Alpha)*G173))</f>
        <v>42.0950497614274</v>
      </c>
      <c r="H174" s="33" t="n">
        <f aca="false">IF(D174="","",D174-C174)</f>
        <v>15</v>
      </c>
      <c r="I174" s="33" t="n">
        <f aca="false">IF(E174="","",E174-C174)</f>
        <v>13.5</v>
      </c>
      <c r="J174" s="33" t="n">
        <f aca="false">IF(F174="","",F174-C174)</f>
        <v>13.375</v>
      </c>
      <c r="K174" s="33" t="n">
        <f aca="false">IF(G174="","",G174-C174)</f>
        <v>14.0950497614274</v>
      </c>
      <c r="L174" s="33" t="n">
        <f aca="false">IF(H174="","",ABS(H174))</f>
        <v>15</v>
      </c>
      <c r="M174" s="33" t="n">
        <f aca="false">IF(I174="","",ABS(I174))</f>
        <v>13.5</v>
      </c>
      <c r="N174" s="33" t="n">
        <f aca="false">IF(J174="","",ABS(J174))</f>
        <v>13.375</v>
      </c>
      <c r="O174" s="33" t="n">
        <f aca="false">IF(K174="","",ABS(K174))</f>
        <v>14.0950497614274</v>
      </c>
      <c r="P174" s="34" t="str">
        <f aca="false">IF(B174&gt;=Eval_Start_Week,"YES","")</f>
        <v>YES</v>
      </c>
      <c r="Q174" s="34" t="str">
        <f aca="false">IF(AND(B174&gt;=Cal_Start_Week,B174&lt;=Cal_End_Week),"YES","")</f>
        <v>YES</v>
      </c>
    </row>
    <row r="175" customFormat="false" ht="15" hidden="false" customHeight="false" outlineLevel="0" collapsed="false">
      <c r="A175" s="31" t="str">
        <f aca="false">Demand_History!C175</f>
        <v>KIT-002</v>
      </c>
      <c r="B175" s="31" t="n">
        <f aca="false">Demand_History!A175</f>
        <v>70</v>
      </c>
      <c r="C175" s="32" t="n">
        <f aca="false">Demand_History!D175</f>
        <v>26</v>
      </c>
      <c r="D175" s="33" t="n">
        <f aca="false">IF(B175&gt;=2,C174,"")</f>
        <v>28</v>
      </c>
      <c r="E175" s="33" t="n">
        <f aca="false">IF(B175&gt;=5,AVERAGE(C171:C174),"")</f>
        <v>40</v>
      </c>
      <c r="F175" s="33" t="n">
        <f aca="false">IF(B175&gt;=9,AVERAGE(C167:C174),"")</f>
        <v>42.625</v>
      </c>
      <c r="G175" s="33" t="n">
        <f aca="false">IF(B175=1,"",IF(B175=2,C174,SES_Alpha*C174+(1-SES_Alpha)*G174))</f>
        <v>37.8665348329992</v>
      </c>
      <c r="H175" s="33" t="n">
        <f aca="false">IF(D175="","",D175-C175)</f>
        <v>2</v>
      </c>
      <c r="I175" s="33" t="n">
        <f aca="false">IF(E175="","",E175-C175)</f>
        <v>14</v>
      </c>
      <c r="J175" s="33" t="n">
        <f aca="false">IF(F175="","",F175-C175)</f>
        <v>16.625</v>
      </c>
      <c r="K175" s="33" t="n">
        <f aca="false">IF(G175="","",G175-C175)</f>
        <v>11.8665348329992</v>
      </c>
      <c r="L175" s="33" t="n">
        <f aca="false">IF(H175="","",ABS(H175))</f>
        <v>2</v>
      </c>
      <c r="M175" s="33" t="n">
        <f aca="false">IF(I175="","",ABS(I175))</f>
        <v>14</v>
      </c>
      <c r="N175" s="33" t="n">
        <f aca="false">IF(J175="","",ABS(J175))</f>
        <v>16.625</v>
      </c>
      <c r="O175" s="33" t="n">
        <f aca="false">IF(K175="","",ABS(K175))</f>
        <v>11.8665348329992</v>
      </c>
      <c r="P175" s="34" t="str">
        <f aca="false">IF(B175&gt;=Eval_Start_Week,"YES","")</f>
        <v>YES</v>
      </c>
      <c r="Q175" s="34" t="str">
        <f aca="false">IF(AND(B175&gt;=Cal_Start_Week,B175&lt;=Cal_End_Week),"YES","")</f>
        <v>YES</v>
      </c>
    </row>
    <row r="176" customFormat="false" ht="15" hidden="false" customHeight="false" outlineLevel="0" collapsed="false">
      <c r="A176" s="31" t="str">
        <f aca="false">Demand_History!C176</f>
        <v>KIT-002</v>
      </c>
      <c r="B176" s="31" t="n">
        <f aca="false">Demand_History!A176</f>
        <v>71</v>
      </c>
      <c r="C176" s="32" t="n">
        <f aca="false">Demand_History!D176</f>
        <v>65</v>
      </c>
      <c r="D176" s="33" t="n">
        <f aca="false">IF(B176&gt;=2,C175,"")</f>
        <v>26</v>
      </c>
      <c r="E176" s="33" t="n">
        <f aca="false">IF(B176&gt;=5,AVERAGE(C172:C175),"")</f>
        <v>33.5</v>
      </c>
      <c r="F176" s="33" t="n">
        <f aca="false">IF(B176&gt;=9,AVERAGE(C168:C175),"")</f>
        <v>38.875</v>
      </c>
      <c r="G176" s="33" t="n">
        <f aca="false">IF(B176=1,"",IF(B176=2,C175,SES_Alpha*C175+(1-SES_Alpha)*G175))</f>
        <v>34.3065743830994</v>
      </c>
      <c r="H176" s="33" t="n">
        <f aca="false">IF(D176="","",D176-C176)</f>
        <v>-39</v>
      </c>
      <c r="I176" s="33" t="n">
        <f aca="false">IF(E176="","",E176-C176)</f>
        <v>-31.5</v>
      </c>
      <c r="J176" s="33" t="n">
        <f aca="false">IF(F176="","",F176-C176)</f>
        <v>-26.125</v>
      </c>
      <c r="K176" s="33" t="n">
        <f aca="false">IF(G176="","",G176-C176)</f>
        <v>-30.6934256169006</v>
      </c>
      <c r="L176" s="33" t="n">
        <f aca="false">IF(H176="","",ABS(H176))</f>
        <v>39</v>
      </c>
      <c r="M176" s="33" t="n">
        <f aca="false">IF(I176="","",ABS(I176))</f>
        <v>31.5</v>
      </c>
      <c r="N176" s="33" t="n">
        <f aca="false">IF(J176="","",ABS(J176))</f>
        <v>26.125</v>
      </c>
      <c r="O176" s="33" t="n">
        <f aca="false">IF(K176="","",ABS(K176))</f>
        <v>30.6934256169006</v>
      </c>
      <c r="P176" s="34" t="str">
        <f aca="false">IF(B176&gt;=Eval_Start_Week,"YES","")</f>
        <v>YES</v>
      </c>
      <c r="Q176" s="34" t="str">
        <f aca="false">IF(AND(B176&gt;=Cal_Start_Week,B176&lt;=Cal_End_Week),"YES","")</f>
        <v>YES</v>
      </c>
    </row>
    <row r="177" customFormat="false" ht="15" hidden="false" customHeight="false" outlineLevel="0" collapsed="false">
      <c r="A177" s="31" t="str">
        <f aca="false">Demand_History!C177</f>
        <v>KIT-002</v>
      </c>
      <c r="B177" s="31" t="n">
        <f aca="false">Demand_History!A177</f>
        <v>72</v>
      </c>
      <c r="C177" s="32" t="n">
        <f aca="false">Demand_History!D177</f>
        <v>37</v>
      </c>
      <c r="D177" s="33" t="n">
        <f aca="false">IF(B177&gt;=2,C176,"")</f>
        <v>65</v>
      </c>
      <c r="E177" s="33" t="n">
        <f aca="false">IF(B177&gt;=5,AVERAGE(C173:C176),"")</f>
        <v>40.5</v>
      </c>
      <c r="F177" s="33" t="n">
        <f aca="false">IF(B177&gt;=9,AVERAGE(C169:C176),"")</f>
        <v>41.375</v>
      </c>
      <c r="G177" s="33" t="n">
        <f aca="false">IF(B177=1,"",IF(B177=2,C176,SES_Alpha*C176+(1-SES_Alpha)*G176))</f>
        <v>43.5146020681696</v>
      </c>
      <c r="H177" s="33" t="n">
        <f aca="false">IF(D177="","",D177-C177)</f>
        <v>28</v>
      </c>
      <c r="I177" s="33" t="n">
        <f aca="false">IF(E177="","",E177-C177)</f>
        <v>3.5</v>
      </c>
      <c r="J177" s="33" t="n">
        <f aca="false">IF(F177="","",F177-C177)</f>
        <v>4.375</v>
      </c>
      <c r="K177" s="33" t="n">
        <f aca="false">IF(G177="","",G177-C177)</f>
        <v>6.51460206816958</v>
      </c>
      <c r="L177" s="33" t="n">
        <f aca="false">IF(H177="","",ABS(H177))</f>
        <v>28</v>
      </c>
      <c r="M177" s="33" t="n">
        <f aca="false">IF(I177="","",ABS(I177))</f>
        <v>3.5</v>
      </c>
      <c r="N177" s="33" t="n">
        <f aca="false">IF(J177="","",ABS(J177))</f>
        <v>4.375</v>
      </c>
      <c r="O177" s="33" t="n">
        <f aca="false">IF(K177="","",ABS(K177))</f>
        <v>6.51460206816958</v>
      </c>
      <c r="P177" s="34" t="str">
        <f aca="false">IF(B177&gt;=Eval_Start_Week,"YES","")</f>
        <v>YES</v>
      </c>
      <c r="Q177" s="34" t="str">
        <f aca="false">IF(AND(B177&gt;=Cal_Start_Week,B177&lt;=Cal_End_Week),"YES","")</f>
        <v>YES</v>
      </c>
    </row>
    <row r="178" customFormat="false" ht="15" hidden="false" customHeight="false" outlineLevel="0" collapsed="false">
      <c r="A178" s="31" t="str">
        <f aca="false">Demand_History!C178</f>
        <v>KIT-002</v>
      </c>
      <c r="B178" s="31" t="n">
        <f aca="false">Demand_History!A178</f>
        <v>73</v>
      </c>
      <c r="C178" s="32" t="n">
        <f aca="false">Demand_History!D178</f>
        <v>49</v>
      </c>
      <c r="D178" s="33" t="n">
        <f aca="false">IF(B178&gt;=2,C177,"")</f>
        <v>37</v>
      </c>
      <c r="E178" s="33" t="n">
        <f aca="false">IF(B178&gt;=5,AVERAGE(C174:C177),"")</f>
        <v>39</v>
      </c>
      <c r="F178" s="33" t="n">
        <f aca="false">IF(B178&gt;=9,AVERAGE(C170:C177),"")</f>
        <v>40.25</v>
      </c>
      <c r="G178" s="33" t="n">
        <f aca="false">IF(B178=1,"",IF(B178=2,C177,SES_Alpha*C177+(1-SES_Alpha)*G177))</f>
        <v>41.5602214477187</v>
      </c>
      <c r="H178" s="33" t="n">
        <f aca="false">IF(D178="","",D178-C178)</f>
        <v>-12</v>
      </c>
      <c r="I178" s="33" t="n">
        <f aca="false">IF(E178="","",E178-C178)</f>
        <v>-10</v>
      </c>
      <c r="J178" s="33" t="n">
        <f aca="false">IF(F178="","",F178-C178)</f>
        <v>-8.75</v>
      </c>
      <c r="K178" s="33" t="n">
        <f aca="false">IF(G178="","",G178-C178)</f>
        <v>-7.4397785522813</v>
      </c>
      <c r="L178" s="33" t="n">
        <f aca="false">IF(H178="","",ABS(H178))</f>
        <v>12</v>
      </c>
      <c r="M178" s="33" t="n">
        <f aca="false">IF(I178="","",ABS(I178))</f>
        <v>10</v>
      </c>
      <c r="N178" s="33" t="n">
        <f aca="false">IF(J178="","",ABS(J178))</f>
        <v>8.75</v>
      </c>
      <c r="O178" s="33" t="n">
        <f aca="false">IF(K178="","",ABS(K178))</f>
        <v>7.4397785522813</v>
      </c>
      <c r="P178" s="34" t="str">
        <f aca="false">IF(B178&gt;=Eval_Start_Week,"YES","")</f>
        <v>YES</v>
      </c>
      <c r="Q178" s="34" t="str">
        <f aca="false">IF(AND(B178&gt;=Cal_Start_Week,B178&lt;=Cal_End_Week),"YES","")</f>
        <v>YES</v>
      </c>
    </row>
    <row r="179" customFormat="false" ht="15" hidden="false" customHeight="false" outlineLevel="0" collapsed="false">
      <c r="A179" s="31" t="str">
        <f aca="false">Demand_History!C179</f>
        <v>KIT-002</v>
      </c>
      <c r="B179" s="31" t="n">
        <f aca="false">Demand_History!A179</f>
        <v>74</v>
      </c>
      <c r="C179" s="32" t="n">
        <f aca="false">Demand_History!D179</f>
        <v>44</v>
      </c>
      <c r="D179" s="33" t="n">
        <f aca="false">IF(B179&gt;=2,C178,"")</f>
        <v>49</v>
      </c>
      <c r="E179" s="33" t="n">
        <f aca="false">IF(B179&gt;=5,AVERAGE(C175:C178),"")</f>
        <v>44.25</v>
      </c>
      <c r="F179" s="33" t="n">
        <f aca="false">IF(B179&gt;=9,AVERAGE(C171:C178),"")</f>
        <v>42.125</v>
      </c>
      <c r="G179" s="33" t="n">
        <f aca="false">IF(B179=1,"",IF(B179=2,C178,SES_Alpha*C178+(1-SES_Alpha)*G178))</f>
        <v>43.7921550134031</v>
      </c>
      <c r="H179" s="33" t="n">
        <f aca="false">IF(D179="","",D179-C179)</f>
        <v>5</v>
      </c>
      <c r="I179" s="33" t="n">
        <f aca="false">IF(E179="","",E179-C179)</f>
        <v>0.25</v>
      </c>
      <c r="J179" s="33" t="n">
        <f aca="false">IF(F179="","",F179-C179)</f>
        <v>-1.875</v>
      </c>
      <c r="K179" s="33" t="n">
        <f aca="false">IF(G179="","",G179-C179)</f>
        <v>-0.207844986596911</v>
      </c>
      <c r="L179" s="33" t="n">
        <f aca="false">IF(H179="","",ABS(H179))</f>
        <v>5</v>
      </c>
      <c r="M179" s="33" t="n">
        <f aca="false">IF(I179="","",ABS(I179))</f>
        <v>0.25</v>
      </c>
      <c r="N179" s="33" t="n">
        <f aca="false">IF(J179="","",ABS(J179))</f>
        <v>1.875</v>
      </c>
      <c r="O179" s="33" t="n">
        <f aca="false">IF(K179="","",ABS(K179))</f>
        <v>0.207844986596911</v>
      </c>
      <c r="P179" s="34" t="str">
        <f aca="false">IF(B179&gt;=Eval_Start_Week,"YES","")</f>
        <v>YES</v>
      </c>
      <c r="Q179" s="34" t="str">
        <f aca="false">IF(AND(B179&gt;=Cal_Start_Week,B179&lt;=Cal_End_Week),"YES","")</f>
        <v>YES</v>
      </c>
    </row>
    <row r="180" customFormat="false" ht="15" hidden="false" customHeight="false" outlineLevel="0" collapsed="false">
      <c r="A180" s="31" t="str">
        <f aca="false">Demand_History!C180</f>
        <v>KIT-002</v>
      </c>
      <c r="B180" s="31" t="n">
        <f aca="false">Demand_History!A180</f>
        <v>75</v>
      </c>
      <c r="C180" s="32" t="n">
        <f aca="false">Demand_History!D180</f>
        <v>38</v>
      </c>
      <c r="D180" s="33" t="n">
        <f aca="false">IF(B180&gt;=2,C179,"")</f>
        <v>44</v>
      </c>
      <c r="E180" s="33" t="n">
        <f aca="false">IF(B180&gt;=5,AVERAGE(C176:C179),"")</f>
        <v>48.75</v>
      </c>
      <c r="F180" s="33" t="n">
        <f aca="false">IF(B180&gt;=9,AVERAGE(C172:C179),"")</f>
        <v>41.125</v>
      </c>
      <c r="G180" s="33" t="n">
        <f aca="false">IF(B180=1,"",IF(B180=2,C179,SES_Alpha*C179+(1-SES_Alpha)*G179))</f>
        <v>43.8545085093822</v>
      </c>
      <c r="H180" s="33" t="n">
        <f aca="false">IF(D180="","",D180-C180)</f>
        <v>6</v>
      </c>
      <c r="I180" s="33" t="n">
        <f aca="false">IF(E180="","",E180-C180)</f>
        <v>10.75</v>
      </c>
      <c r="J180" s="33" t="n">
        <f aca="false">IF(F180="","",F180-C180)</f>
        <v>3.125</v>
      </c>
      <c r="K180" s="33" t="n">
        <f aca="false">IF(G180="","",G180-C180)</f>
        <v>5.85450850938216</v>
      </c>
      <c r="L180" s="33" t="n">
        <f aca="false">IF(H180="","",ABS(H180))</f>
        <v>6</v>
      </c>
      <c r="M180" s="33" t="n">
        <f aca="false">IF(I180="","",ABS(I180))</f>
        <v>10.75</v>
      </c>
      <c r="N180" s="33" t="n">
        <f aca="false">IF(J180="","",ABS(J180))</f>
        <v>3.125</v>
      </c>
      <c r="O180" s="33" t="n">
        <f aca="false">IF(K180="","",ABS(K180))</f>
        <v>5.85450850938216</v>
      </c>
      <c r="P180" s="34" t="str">
        <f aca="false">IF(B180&gt;=Eval_Start_Week,"YES","")</f>
        <v>YES</v>
      </c>
      <c r="Q180" s="34" t="str">
        <f aca="false">IF(AND(B180&gt;=Cal_Start_Week,B180&lt;=Cal_End_Week),"YES","")</f>
        <v>YES</v>
      </c>
    </row>
    <row r="181" customFormat="false" ht="15" hidden="false" customHeight="false" outlineLevel="0" collapsed="false">
      <c r="A181" s="31" t="str">
        <f aca="false">Demand_History!C181</f>
        <v>KIT-002</v>
      </c>
      <c r="B181" s="31" t="n">
        <f aca="false">Demand_History!A181</f>
        <v>76</v>
      </c>
      <c r="C181" s="32" t="n">
        <f aca="false">Demand_History!D181</f>
        <v>37</v>
      </c>
      <c r="D181" s="33" t="n">
        <f aca="false">IF(B181&gt;=2,C180,"")</f>
        <v>38</v>
      </c>
      <c r="E181" s="33" t="n">
        <f aca="false">IF(B181&gt;=5,AVERAGE(C177:C180),"")</f>
        <v>42</v>
      </c>
      <c r="F181" s="33" t="n">
        <f aca="false">IF(B181&gt;=9,AVERAGE(C173:C180),"")</f>
        <v>41.25</v>
      </c>
      <c r="G181" s="33" t="n">
        <f aca="false">IF(B181=1,"",IF(B181=2,C180,SES_Alpha*C180+(1-SES_Alpha)*G180))</f>
        <v>42.0981559565675</v>
      </c>
      <c r="H181" s="33" t="n">
        <f aca="false">IF(D181="","",D181-C181)</f>
        <v>1</v>
      </c>
      <c r="I181" s="33" t="n">
        <f aca="false">IF(E181="","",E181-C181)</f>
        <v>5</v>
      </c>
      <c r="J181" s="33" t="n">
        <f aca="false">IF(F181="","",F181-C181)</f>
        <v>4.25</v>
      </c>
      <c r="K181" s="33" t="n">
        <f aca="false">IF(G181="","",G181-C181)</f>
        <v>5.09815595656751</v>
      </c>
      <c r="L181" s="33" t="n">
        <f aca="false">IF(H181="","",ABS(H181))</f>
        <v>1</v>
      </c>
      <c r="M181" s="33" t="n">
        <f aca="false">IF(I181="","",ABS(I181))</f>
        <v>5</v>
      </c>
      <c r="N181" s="33" t="n">
        <f aca="false">IF(J181="","",ABS(J181))</f>
        <v>4.25</v>
      </c>
      <c r="O181" s="33" t="n">
        <f aca="false">IF(K181="","",ABS(K181))</f>
        <v>5.09815595656751</v>
      </c>
      <c r="P181" s="34" t="str">
        <f aca="false">IF(B181&gt;=Eval_Start_Week,"YES","")</f>
        <v>YES</v>
      </c>
      <c r="Q181" s="34" t="str">
        <f aca="false">IF(AND(B181&gt;=Cal_Start_Week,B181&lt;=Cal_End_Week),"YES","")</f>
        <v>YES</v>
      </c>
    </row>
    <row r="182" customFormat="false" ht="15" hidden="false" customHeight="false" outlineLevel="0" collapsed="false">
      <c r="A182" s="31" t="str">
        <f aca="false">Demand_History!C182</f>
        <v>KIT-002</v>
      </c>
      <c r="B182" s="31" t="n">
        <f aca="false">Demand_History!A182</f>
        <v>77</v>
      </c>
      <c r="C182" s="32" t="n">
        <f aca="false">Demand_History!D182</f>
        <v>55</v>
      </c>
      <c r="D182" s="33" t="n">
        <f aca="false">IF(B182&gt;=2,C181,"")</f>
        <v>37</v>
      </c>
      <c r="E182" s="33" t="n">
        <f aca="false">IF(B182&gt;=5,AVERAGE(C178:C181),"")</f>
        <v>42</v>
      </c>
      <c r="F182" s="33" t="n">
        <f aca="false">IF(B182&gt;=9,AVERAGE(C174:C181),"")</f>
        <v>40.5</v>
      </c>
      <c r="G182" s="33" t="n">
        <f aca="false">IF(B182=1,"",IF(B182=2,C181,SES_Alpha*C181+(1-SES_Alpha)*G181))</f>
        <v>40.5687091695973</v>
      </c>
      <c r="H182" s="33" t="n">
        <f aca="false">IF(D182="","",D182-C182)</f>
        <v>-18</v>
      </c>
      <c r="I182" s="33" t="n">
        <f aca="false">IF(E182="","",E182-C182)</f>
        <v>-13</v>
      </c>
      <c r="J182" s="33" t="n">
        <f aca="false">IF(F182="","",F182-C182)</f>
        <v>-14.5</v>
      </c>
      <c r="K182" s="33" t="n">
        <f aca="false">IF(G182="","",G182-C182)</f>
        <v>-14.4312908304027</v>
      </c>
      <c r="L182" s="33" t="n">
        <f aca="false">IF(H182="","",ABS(H182))</f>
        <v>18</v>
      </c>
      <c r="M182" s="33" t="n">
        <f aca="false">IF(I182="","",ABS(I182))</f>
        <v>13</v>
      </c>
      <c r="N182" s="33" t="n">
        <f aca="false">IF(J182="","",ABS(J182))</f>
        <v>14.5</v>
      </c>
      <c r="O182" s="33" t="n">
        <f aca="false">IF(K182="","",ABS(K182))</f>
        <v>14.4312908304027</v>
      </c>
      <c r="P182" s="34" t="str">
        <f aca="false">IF(B182&gt;=Eval_Start_Week,"YES","")</f>
        <v>YES</v>
      </c>
      <c r="Q182" s="34" t="str">
        <f aca="false">IF(AND(B182&gt;=Cal_Start_Week,B182&lt;=Cal_End_Week),"YES","")</f>
        <v>YES</v>
      </c>
    </row>
    <row r="183" customFormat="false" ht="15" hidden="false" customHeight="false" outlineLevel="0" collapsed="false">
      <c r="A183" s="31" t="str">
        <f aca="false">Demand_History!C183</f>
        <v>KIT-002</v>
      </c>
      <c r="B183" s="31" t="n">
        <f aca="false">Demand_History!A183</f>
        <v>78</v>
      </c>
      <c r="C183" s="32" t="n">
        <f aca="false">Demand_History!D183</f>
        <v>40</v>
      </c>
      <c r="D183" s="33" t="n">
        <f aca="false">IF(B183&gt;=2,C182,"")</f>
        <v>55</v>
      </c>
      <c r="E183" s="33" t="n">
        <f aca="false">IF(B183&gt;=5,AVERAGE(C179:C182),"")</f>
        <v>43.5</v>
      </c>
      <c r="F183" s="33" t="n">
        <f aca="false">IF(B183&gt;=9,AVERAGE(C175:C182),"")</f>
        <v>43.875</v>
      </c>
      <c r="G183" s="33" t="n">
        <f aca="false">IF(B183=1,"",IF(B183=2,C182,SES_Alpha*C182+(1-SES_Alpha)*G182))</f>
        <v>44.8980964187181</v>
      </c>
      <c r="H183" s="33" t="n">
        <f aca="false">IF(D183="","",D183-C183)</f>
        <v>15</v>
      </c>
      <c r="I183" s="33" t="n">
        <f aca="false">IF(E183="","",E183-C183)</f>
        <v>3.5</v>
      </c>
      <c r="J183" s="33" t="n">
        <f aca="false">IF(F183="","",F183-C183)</f>
        <v>3.875</v>
      </c>
      <c r="K183" s="33" t="n">
        <f aca="false">IF(G183="","",G183-C183)</f>
        <v>4.89809641871808</v>
      </c>
      <c r="L183" s="33" t="n">
        <f aca="false">IF(H183="","",ABS(H183))</f>
        <v>15</v>
      </c>
      <c r="M183" s="33" t="n">
        <f aca="false">IF(I183="","",ABS(I183))</f>
        <v>3.5</v>
      </c>
      <c r="N183" s="33" t="n">
        <f aca="false">IF(J183="","",ABS(J183))</f>
        <v>3.875</v>
      </c>
      <c r="O183" s="33" t="n">
        <f aca="false">IF(K183="","",ABS(K183))</f>
        <v>4.89809641871808</v>
      </c>
      <c r="P183" s="34" t="str">
        <f aca="false">IF(B183&gt;=Eval_Start_Week,"YES","")</f>
        <v>YES</v>
      </c>
      <c r="Q183" s="34" t="str">
        <f aca="false">IF(AND(B183&gt;=Cal_Start_Week,B183&lt;=Cal_End_Week),"YES","")</f>
        <v>YES</v>
      </c>
    </row>
    <row r="184" customFormat="false" ht="15" hidden="false" customHeight="false" outlineLevel="0" collapsed="false">
      <c r="A184" s="31" t="str">
        <f aca="false">Demand_History!C184</f>
        <v>KIT-002</v>
      </c>
      <c r="B184" s="31" t="n">
        <f aca="false">Demand_History!A184</f>
        <v>79</v>
      </c>
      <c r="C184" s="32" t="n">
        <f aca="false">Demand_History!D184</f>
        <v>43</v>
      </c>
      <c r="D184" s="33" t="n">
        <f aca="false">IF(B184&gt;=2,C183,"")</f>
        <v>40</v>
      </c>
      <c r="E184" s="33" t="n">
        <f aca="false">IF(B184&gt;=5,AVERAGE(C180:C183),"")</f>
        <v>42.5</v>
      </c>
      <c r="F184" s="33" t="n">
        <f aca="false">IF(B184&gt;=9,AVERAGE(C176:C183),"")</f>
        <v>45.625</v>
      </c>
      <c r="G184" s="33" t="n">
        <f aca="false">IF(B184=1,"",IF(B184=2,C183,SES_Alpha*C183+(1-SES_Alpha)*G183))</f>
        <v>43.4286674931027</v>
      </c>
      <c r="H184" s="33" t="n">
        <f aca="false">IF(D184="","",D184-C184)</f>
        <v>-3</v>
      </c>
      <c r="I184" s="33" t="n">
        <f aca="false">IF(E184="","",E184-C184)</f>
        <v>-0.5</v>
      </c>
      <c r="J184" s="33" t="n">
        <f aca="false">IF(F184="","",F184-C184)</f>
        <v>2.625</v>
      </c>
      <c r="K184" s="33" t="n">
        <f aca="false">IF(G184="","",G184-C184)</f>
        <v>0.428667493102651</v>
      </c>
      <c r="L184" s="33" t="n">
        <f aca="false">IF(H184="","",ABS(H184))</f>
        <v>3</v>
      </c>
      <c r="M184" s="33" t="n">
        <f aca="false">IF(I184="","",ABS(I184))</f>
        <v>0.5</v>
      </c>
      <c r="N184" s="33" t="n">
        <f aca="false">IF(J184="","",ABS(J184))</f>
        <v>2.625</v>
      </c>
      <c r="O184" s="33" t="n">
        <f aca="false">IF(K184="","",ABS(K184))</f>
        <v>0.428667493102651</v>
      </c>
      <c r="P184" s="34" t="str">
        <f aca="false">IF(B184&gt;=Eval_Start_Week,"YES","")</f>
        <v>YES</v>
      </c>
      <c r="Q184" s="34" t="str">
        <f aca="false">IF(AND(B184&gt;=Cal_Start_Week,B184&lt;=Cal_End_Week),"YES","")</f>
        <v>YES</v>
      </c>
    </row>
    <row r="185" customFormat="false" ht="15" hidden="false" customHeight="false" outlineLevel="0" collapsed="false">
      <c r="A185" s="31" t="str">
        <f aca="false">Demand_History!C185</f>
        <v>KIT-002</v>
      </c>
      <c r="B185" s="31" t="n">
        <f aca="false">Demand_History!A185</f>
        <v>80</v>
      </c>
      <c r="C185" s="32" t="n">
        <f aca="false">Demand_History!D185</f>
        <v>45</v>
      </c>
      <c r="D185" s="33" t="n">
        <f aca="false">IF(B185&gt;=2,C184,"")</f>
        <v>43</v>
      </c>
      <c r="E185" s="33" t="n">
        <f aca="false">IF(B185&gt;=5,AVERAGE(C181:C184),"")</f>
        <v>43.75</v>
      </c>
      <c r="F185" s="33" t="n">
        <f aca="false">IF(B185&gt;=9,AVERAGE(C177:C184),"")</f>
        <v>42.875</v>
      </c>
      <c r="G185" s="33" t="n">
        <f aca="false">IF(B185=1,"",IF(B185=2,C184,SES_Alpha*C184+(1-SES_Alpha)*G184))</f>
        <v>43.3000672451719</v>
      </c>
      <c r="H185" s="33" t="n">
        <f aca="false">IF(D185="","",D185-C185)</f>
        <v>-2</v>
      </c>
      <c r="I185" s="33" t="n">
        <f aca="false">IF(E185="","",E185-C185)</f>
        <v>-1.25</v>
      </c>
      <c r="J185" s="33" t="n">
        <f aca="false">IF(F185="","",F185-C185)</f>
        <v>-2.125</v>
      </c>
      <c r="K185" s="33" t="n">
        <f aca="false">IF(G185="","",G185-C185)</f>
        <v>-1.69993275482815</v>
      </c>
      <c r="L185" s="33" t="n">
        <f aca="false">IF(H185="","",ABS(H185))</f>
        <v>2</v>
      </c>
      <c r="M185" s="33" t="n">
        <f aca="false">IF(I185="","",ABS(I185))</f>
        <v>1.25</v>
      </c>
      <c r="N185" s="33" t="n">
        <f aca="false">IF(J185="","",ABS(J185))</f>
        <v>2.125</v>
      </c>
      <c r="O185" s="33" t="n">
        <f aca="false">IF(K185="","",ABS(K185))</f>
        <v>1.69993275482815</v>
      </c>
      <c r="P185" s="34" t="str">
        <f aca="false">IF(B185&gt;=Eval_Start_Week,"YES","")</f>
        <v>YES</v>
      </c>
      <c r="Q185" s="34" t="str">
        <f aca="false">IF(AND(B185&gt;=Cal_Start_Week,B185&lt;=Cal_End_Week),"YES","")</f>
        <v>YES</v>
      </c>
    </row>
    <row r="186" customFormat="false" ht="15" hidden="false" customHeight="false" outlineLevel="0" collapsed="false">
      <c r="A186" s="31" t="str">
        <f aca="false">Demand_History!C186</f>
        <v>KIT-002</v>
      </c>
      <c r="B186" s="31" t="n">
        <f aca="false">Demand_History!A186</f>
        <v>81</v>
      </c>
      <c r="C186" s="32" t="n">
        <f aca="false">Demand_History!D186</f>
        <v>63</v>
      </c>
      <c r="D186" s="33" t="n">
        <f aca="false">IF(B186&gt;=2,C185,"")</f>
        <v>45</v>
      </c>
      <c r="E186" s="33" t="n">
        <f aca="false">IF(B186&gt;=5,AVERAGE(C182:C185),"")</f>
        <v>45.75</v>
      </c>
      <c r="F186" s="33" t="n">
        <f aca="false">IF(B186&gt;=9,AVERAGE(C178:C185),"")</f>
        <v>43.875</v>
      </c>
      <c r="G186" s="33" t="n">
        <f aca="false">IF(B186=1,"",IF(B186=2,C185,SES_Alpha*C185+(1-SES_Alpha)*G185))</f>
        <v>43.8100470716203</v>
      </c>
      <c r="H186" s="33" t="n">
        <f aca="false">IF(D186="","",D186-C186)</f>
        <v>-18</v>
      </c>
      <c r="I186" s="33" t="n">
        <f aca="false">IF(E186="","",E186-C186)</f>
        <v>-17.25</v>
      </c>
      <c r="J186" s="33" t="n">
        <f aca="false">IF(F186="","",F186-C186)</f>
        <v>-19.125</v>
      </c>
      <c r="K186" s="33" t="n">
        <f aca="false">IF(G186="","",G186-C186)</f>
        <v>-19.1899529283797</v>
      </c>
      <c r="L186" s="33" t="n">
        <f aca="false">IF(H186="","",ABS(H186))</f>
        <v>18</v>
      </c>
      <c r="M186" s="33" t="n">
        <f aca="false">IF(I186="","",ABS(I186))</f>
        <v>17.25</v>
      </c>
      <c r="N186" s="33" t="n">
        <f aca="false">IF(J186="","",ABS(J186))</f>
        <v>19.125</v>
      </c>
      <c r="O186" s="33" t="n">
        <f aca="false">IF(K186="","",ABS(K186))</f>
        <v>19.1899529283797</v>
      </c>
      <c r="P186" s="34" t="str">
        <f aca="false">IF(B186&gt;=Eval_Start_Week,"YES","")</f>
        <v>YES</v>
      </c>
      <c r="Q186" s="34" t="str">
        <f aca="false">IF(AND(B186&gt;=Cal_Start_Week,B186&lt;=Cal_End_Week),"YES","")</f>
        <v>YES</v>
      </c>
    </row>
    <row r="187" customFormat="false" ht="15" hidden="false" customHeight="false" outlineLevel="0" collapsed="false">
      <c r="A187" s="31" t="str">
        <f aca="false">Demand_History!C187</f>
        <v>KIT-002</v>
      </c>
      <c r="B187" s="31" t="n">
        <f aca="false">Demand_History!A187</f>
        <v>82</v>
      </c>
      <c r="C187" s="32" t="n">
        <f aca="false">Demand_History!D187</f>
        <v>55</v>
      </c>
      <c r="D187" s="33" t="n">
        <f aca="false">IF(B187&gt;=2,C186,"")</f>
        <v>63</v>
      </c>
      <c r="E187" s="33" t="n">
        <f aca="false">IF(B187&gt;=5,AVERAGE(C183:C186),"")</f>
        <v>47.75</v>
      </c>
      <c r="F187" s="33" t="n">
        <f aca="false">IF(B187&gt;=9,AVERAGE(C179:C186),"")</f>
        <v>45.625</v>
      </c>
      <c r="G187" s="33" t="n">
        <f aca="false">IF(B187=1,"",IF(B187=2,C186,SES_Alpha*C186+(1-SES_Alpha)*G186))</f>
        <v>49.5670329501342</v>
      </c>
      <c r="H187" s="33" t="n">
        <f aca="false">IF(D187="","",D187-C187)</f>
        <v>8</v>
      </c>
      <c r="I187" s="33" t="n">
        <f aca="false">IF(E187="","",E187-C187)</f>
        <v>-7.25</v>
      </c>
      <c r="J187" s="33" t="n">
        <f aca="false">IF(F187="","",F187-C187)</f>
        <v>-9.375</v>
      </c>
      <c r="K187" s="33" t="n">
        <f aca="false">IF(G187="","",G187-C187)</f>
        <v>-5.4329670498658</v>
      </c>
      <c r="L187" s="33" t="n">
        <f aca="false">IF(H187="","",ABS(H187))</f>
        <v>8</v>
      </c>
      <c r="M187" s="33" t="n">
        <f aca="false">IF(I187="","",ABS(I187))</f>
        <v>7.25</v>
      </c>
      <c r="N187" s="33" t="n">
        <f aca="false">IF(J187="","",ABS(J187))</f>
        <v>9.375</v>
      </c>
      <c r="O187" s="33" t="n">
        <f aca="false">IF(K187="","",ABS(K187))</f>
        <v>5.4329670498658</v>
      </c>
      <c r="P187" s="34" t="str">
        <f aca="false">IF(B187&gt;=Eval_Start_Week,"YES","")</f>
        <v>YES</v>
      </c>
      <c r="Q187" s="34" t="str">
        <f aca="false">IF(AND(B187&gt;=Cal_Start_Week,B187&lt;=Cal_End_Week),"YES","")</f>
        <v>YES</v>
      </c>
    </row>
    <row r="188" customFormat="false" ht="15" hidden="false" customHeight="false" outlineLevel="0" collapsed="false">
      <c r="A188" s="31" t="str">
        <f aca="false">Demand_History!C188</f>
        <v>KIT-002</v>
      </c>
      <c r="B188" s="31" t="n">
        <f aca="false">Demand_History!A188</f>
        <v>83</v>
      </c>
      <c r="C188" s="32" t="n">
        <f aca="false">Demand_History!D188</f>
        <v>51</v>
      </c>
      <c r="D188" s="33" t="n">
        <f aca="false">IF(B188&gt;=2,C187,"")</f>
        <v>55</v>
      </c>
      <c r="E188" s="33" t="n">
        <f aca="false">IF(B188&gt;=5,AVERAGE(C184:C187),"")</f>
        <v>51.5</v>
      </c>
      <c r="F188" s="33" t="n">
        <f aca="false">IF(B188&gt;=9,AVERAGE(C180:C187),"")</f>
        <v>47</v>
      </c>
      <c r="G188" s="33" t="n">
        <f aca="false">IF(B188=1,"",IF(B188=2,C187,SES_Alpha*C187+(1-SES_Alpha)*G187))</f>
        <v>51.1969230650939</v>
      </c>
      <c r="H188" s="33" t="n">
        <f aca="false">IF(D188="","",D188-C188)</f>
        <v>4</v>
      </c>
      <c r="I188" s="33" t="n">
        <f aca="false">IF(E188="","",E188-C188)</f>
        <v>0.5</v>
      </c>
      <c r="J188" s="33" t="n">
        <f aca="false">IF(F188="","",F188-C188)</f>
        <v>-4</v>
      </c>
      <c r="K188" s="33" t="n">
        <f aca="false">IF(G188="","",G188-C188)</f>
        <v>0.196923065093941</v>
      </c>
      <c r="L188" s="33" t="n">
        <f aca="false">IF(H188="","",ABS(H188))</f>
        <v>4</v>
      </c>
      <c r="M188" s="33" t="n">
        <f aca="false">IF(I188="","",ABS(I188))</f>
        <v>0.5</v>
      </c>
      <c r="N188" s="33" t="n">
        <f aca="false">IF(J188="","",ABS(J188))</f>
        <v>4</v>
      </c>
      <c r="O188" s="33" t="n">
        <f aca="false">IF(K188="","",ABS(K188))</f>
        <v>0.196923065093941</v>
      </c>
      <c r="P188" s="34" t="str">
        <f aca="false">IF(B188&gt;=Eval_Start_Week,"YES","")</f>
        <v>YES</v>
      </c>
      <c r="Q188" s="34" t="str">
        <f aca="false">IF(AND(B188&gt;=Cal_Start_Week,B188&lt;=Cal_End_Week),"YES","")</f>
        <v>YES</v>
      </c>
    </row>
    <row r="189" customFormat="false" ht="15" hidden="false" customHeight="false" outlineLevel="0" collapsed="false">
      <c r="A189" s="31" t="str">
        <f aca="false">Demand_History!C189</f>
        <v>KIT-002</v>
      </c>
      <c r="B189" s="31" t="n">
        <f aca="false">Demand_History!A189</f>
        <v>84</v>
      </c>
      <c r="C189" s="32" t="n">
        <f aca="false">Demand_History!D189</f>
        <v>36</v>
      </c>
      <c r="D189" s="33" t="n">
        <f aca="false">IF(B189&gt;=2,C188,"")</f>
        <v>51</v>
      </c>
      <c r="E189" s="33" t="n">
        <f aca="false">IF(B189&gt;=5,AVERAGE(C185:C188),"")</f>
        <v>53.5</v>
      </c>
      <c r="F189" s="33" t="n">
        <f aca="false">IF(B189&gt;=9,AVERAGE(C181:C188),"")</f>
        <v>48.625</v>
      </c>
      <c r="G189" s="33" t="n">
        <f aca="false">IF(B189=1,"",IF(B189=2,C188,SES_Alpha*C188+(1-SES_Alpha)*G188))</f>
        <v>51.1378461455658</v>
      </c>
      <c r="H189" s="33" t="n">
        <f aca="false">IF(D189="","",D189-C189)</f>
        <v>15</v>
      </c>
      <c r="I189" s="33" t="n">
        <f aca="false">IF(E189="","",E189-C189)</f>
        <v>17.5</v>
      </c>
      <c r="J189" s="33" t="n">
        <f aca="false">IF(F189="","",F189-C189)</f>
        <v>12.625</v>
      </c>
      <c r="K189" s="33" t="n">
        <f aca="false">IF(G189="","",G189-C189)</f>
        <v>15.1378461455658</v>
      </c>
      <c r="L189" s="33" t="n">
        <f aca="false">IF(H189="","",ABS(H189))</f>
        <v>15</v>
      </c>
      <c r="M189" s="33" t="n">
        <f aca="false">IF(I189="","",ABS(I189))</f>
        <v>17.5</v>
      </c>
      <c r="N189" s="33" t="n">
        <f aca="false">IF(J189="","",ABS(J189))</f>
        <v>12.625</v>
      </c>
      <c r="O189" s="33" t="n">
        <f aca="false">IF(K189="","",ABS(K189))</f>
        <v>15.1378461455658</v>
      </c>
      <c r="P189" s="34" t="str">
        <f aca="false">IF(B189&gt;=Eval_Start_Week,"YES","")</f>
        <v>YES</v>
      </c>
      <c r="Q189" s="34" t="str">
        <f aca="false">IF(AND(B189&gt;=Cal_Start_Week,B189&lt;=Cal_End_Week),"YES","")</f>
        <v>YES</v>
      </c>
    </row>
    <row r="190" customFormat="false" ht="15" hidden="false" customHeight="false" outlineLevel="0" collapsed="false">
      <c r="A190" s="31" t="str">
        <f aca="false">Demand_History!C190</f>
        <v>KIT-002</v>
      </c>
      <c r="B190" s="31" t="n">
        <f aca="false">Demand_History!A190</f>
        <v>85</v>
      </c>
      <c r="C190" s="32" t="n">
        <f aca="false">Demand_History!D190</f>
        <v>24</v>
      </c>
      <c r="D190" s="33" t="n">
        <f aca="false">IF(B190&gt;=2,C189,"")</f>
        <v>36</v>
      </c>
      <c r="E190" s="33" t="n">
        <f aca="false">IF(B190&gt;=5,AVERAGE(C186:C189),"")</f>
        <v>51.25</v>
      </c>
      <c r="F190" s="33" t="n">
        <f aca="false">IF(B190&gt;=9,AVERAGE(C182:C189),"")</f>
        <v>48.5</v>
      </c>
      <c r="G190" s="33" t="n">
        <f aca="false">IF(B190=1,"",IF(B190=2,C189,SES_Alpha*C189+(1-SES_Alpha)*G189))</f>
        <v>46.596492301896</v>
      </c>
      <c r="H190" s="33" t="n">
        <f aca="false">IF(D190="","",D190-C190)</f>
        <v>12</v>
      </c>
      <c r="I190" s="33" t="n">
        <f aca="false">IF(E190="","",E190-C190)</f>
        <v>27.25</v>
      </c>
      <c r="J190" s="33" t="n">
        <f aca="false">IF(F190="","",F190-C190)</f>
        <v>24.5</v>
      </c>
      <c r="K190" s="33" t="n">
        <f aca="false">IF(G190="","",G190-C190)</f>
        <v>22.596492301896</v>
      </c>
      <c r="L190" s="33" t="n">
        <f aca="false">IF(H190="","",ABS(H190))</f>
        <v>12</v>
      </c>
      <c r="M190" s="33" t="n">
        <f aca="false">IF(I190="","",ABS(I190))</f>
        <v>27.25</v>
      </c>
      <c r="N190" s="33" t="n">
        <f aca="false">IF(J190="","",ABS(J190))</f>
        <v>24.5</v>
      </c>
      <c r="O190" s="33" t="n">
        <f aca="false">IF(K190="","",ABS(K190))</f>
        <v>22.596492301896</v>
      </c>
      <c r="P190" s="34" t="str">
        <f aca="false">IF(B190&gt;=Eval_Start_Week,"YES","")</f>
        <v>YES</v>
      </c>
      <c r="Q190" s="34" t="str">
        <f aca="false">IF(AND(B190&gt;=Cal_Start_Week,B190&lt;=Cal_End_Week),"YES","")</f>
        <v>YES</v>
      </c>
    </row>
    <row r="191" customFormat="false" ht="15" hidden="false" customHeight="false" outlineLevel="0" collapsed="false">
      <c r="A191" s="31" t="str">
        <f aca="false">Demand_History!C191</f>
        <v>KIT-002</v>
      </c>
      <c r="B191" s="31" t="n">
        <f aca="false">Demand_History!A191</f>
        <v>86</v>
      </c>
      <c r="C191" s="32" t="n">
        <f aca="false">Demand_History!D191</f>
        <v>59</v>
      </c>
      <c r="D191" s="33" t="n">
        <f aca="false">IF(B191&gt;=2,C190,"")</f>
        <v>24</v>
      </c>
      <c r="E191" s="33" t="n">
        <f aca="false">IF(B191&gt;=5,AVERAGE(C187:C190),"")</f>
        <v>41.5</v>
      </c>
      <c r="F191" s="33" t="n">
        <f aca="false">IF(B191&gt;=9,AVERAGE(C183:C190),"")</f>
        <v>44.625</v>
      </c>
      <c r="G191" s="33" t="n">
        <f aca="false">IF(B191=1,"",IF(B191=2,C190,SES_Alpha*C190+(1-SES_Alpha)*G190))</f>
        <v>39.8175446113272</v>
      </c>
      <c r="H191" s="33" t="n">
        <f aca="false">IF(D191="","",D191-C191)</f>
        <v>-35</v>
      </c>
      <c r="I191" s="33" t="n">
        <f aca="false">IF(E191="","",E191-C191)</f>
        <v>-17.5</v>
      </c>
      <c r="J191" s="33" t="n">
        <f aca="false">IF(F191="","",F191-C191)</f>
        <v>-14.375</v>
      </c>
      <c r="K191" s="33" t="n">
        <f aca="false">IF(G191="","",G191-C191)</f>
        <v>-19.1824553886728</v>
      </c>
      <c r="L191" s="33" t="n">
        <f aca="false">IF(H191="","",ABS(H191))</f>
        <v>35</v>
      </c>
      <c r="M191" s="33" t="n">
        <f aca="false">IF(I191="","",ABS(I191))</f>
        <v>17.5</v>
      </c>
      <c r="N191" s="33" t="n">
        <f aca="false">IF(J191="","",ABS(J191))</f>
        <v>14.375</v>
      </c>
      <c r="O191" s="33" t="n">
        <f aca="false">IF(K191="","",ABS(K191))</f>
        <v>19.1824553886728</v>
      </c>
      <c r="P191" s="34" t="str">
        <f aca="false">IF(B191&gt;=Eval_Start_Week,"YES","")</f>
        <v>YES</v>
      </c>
      <c r="Q191" s="34" t="str">
        <f aca="false">IF(AND(B191&gt;=Cal_Start_Week,B191&lt;=Cal_End_Week),"YES","")</f>
        <v>YES</v>
      </c>
    </row>
    <row r="192" customFormat="false" ht="15" hidden="false" customHeight="false" outlineLevel="0" collapsed="false">
      <c r="A192" s="31" t="str">
        <f aca="false">Demand_History!C192</f>
        <v>KIT-002</v>
      </c>
      <c r="B192" s="31" t="n">
        <f aca="false">Demand_History!A192</f>
        <v>87</v>
      </c>
      <c r="C192" s="32" t="n">
        <f aca="false">Demand_History!D192</f>
        <v>60</v>
      </c>
      <c r="D192" s="33" t="n">
        <f aca="false">IF(B192&gt;=2,C191,"")</f>
        <v>59</v>
      </c>
      <c r="E192" s="33" t="n">
        <f aca="false">IF(B192&gt;=5,AVERAGE(C188:C191),"")</f>
        <v>42.5</v>
      </c>
      <c r="F192" s="33" t="n">
        <f aca="false">IF(B192&gt;=9,AVERAGE(C184:C191),"")</f>
        <v>47</v>
      </c>
      <c r="G192" s="33" t="n">
        <f aca="false">IF(B192=1,"",IF(B192=2,C191,SES_Alpha*C191+(1-SES_Alpha)*G191))</f>
        <v>45.572281227929</v>
      </c>
      <c r="H192" s="33" t="n">
        <f aca="false">IF(D192="","",D192-C192)</f>
        <v>-1</v>
      </c>
      <c r="I192" s="33" t="n">
        <f aca="false">IF(E192="","",E192-C192)</f>
        <v>-17.5</v>
      </c>
      <c r="J192" s="33" t="n">
        <f aca="false">IF(F192="","",F192-C192)</f>
        <v>-13</v>
      </c>
      <c r="K192" s="33" t="n">
        <f aca="false">IF(G192="","",G192-C192)</f>
        <v>-14.427718772071</v>
      </c>
      <c r="L192" s="33" t="n">
        <f aca="false">IF(H192="","",ABS(H192))</f>
        <v>1</v>
      </c>
      <c r="M192" s="33" t="n">
        <f aca="false">IF(I192="","",ABS(I192))</f>
        <v>17.5</v>
      </c>
      <c r="N192" s="33" t="n">
        <f aca="false">IF(J192="","",ABS(J192))</f>
        <v>13</v>
      </c>
      <c r="O192" s="33" t="n">
        <f aca="false">IF(K192="","",ABS(K192))</f>
        <v>14.427718772071</v>
      </c>
      <c r="P192" s="34" t="str">
        <f aca="false">IF(B192&gt;=Eval_Start_Week,"YES","")</f>
        <v>YES</v>
      </c>
      <c r="Q192" s="34" t="str">
        <f aca="false">IF(AND(B192&gt;=Cal_Start_Week,B192&lt;=Cal_End_Week),"YES","")</f>
        <v>YES</v>
      </c>
    </row>
    <row r="193" customFormat="false" ht="15" hidden="false" customHeight="false" outlineLevel="0" collapsed="false">
      <c r="A193" s="31" t="str">
        <f aca="false">Demand_History!C193</f>
        <v>KIT-002</v>
      </c>
      <c r="B193" s="31" t="n">
        <f aca="false">Demand_History!A193</f>
        <v>88</v>
      </c>
      <c r="C193" s="32" t="n">
        <f aca="false">Demand_History!D193</f>
        <v>43</v>
      </c>
      <c r="D193" s="33" t="n">
        <f aca="false">IF(B193&gt;=2,C192,"")</f>
        <v>60</v>
      </c>
      <c r="E193" s="33" t="n">
        <f aca="false">IF(B193&gt;=5,AVERAGE(C189:C192),"")</f>
        <v>44.75</v>
      </c>
      <c r="F193" s="33" t="n">
        <f aca="false">IF(B193&gt;=9,AVERAGE(C185:C192),"")</f>
        <v>49.125</v>
      </c>
      <c r="G193" s="33" t="n">
        <f aca="false">IF(B193=1,"",IF(B193=2,C192,SES_Alpha*C192+(1-SES_Alpha)*G192))</f>
        <v>49.9005968595503</v>
      </c>
      <c r="H193" s="33" t="n">
        <f aca="false">IF(D193="","",D193-C193)</f>
        <v>17</v>
      </c>
      <c r="I193" s="33" t="n">
        <f aca="false">IF(E193="","",E193-C193)</f>
        <v>1.75</v>
      </c>
      <c r="J193" s="33" t="n">
        <f aca="false">IF(F193="","",F193-C193)</f>
        <v>6.125</v>
      </c>
      <c r="K193" s="33" t="n">
        <f aca="false">IF(G193="","",G193-C193)</f>
        <v>6.90059685955033</v>
      </c>
      <c r="L193" s="33" t="n">
        <f aca="false">IF(H193="","",ABS(H193))</f>
        <v>17</v>
      </c>
      <c r="M193" s="33" t="n">
        <f aca="false">IF(I193="","",ABS(I193))</f>
        <v>1.75</v>
      </c>
      <c r="N193" s="33" t="n">
        <f aca="false">IF(J193="","",ABS(J193))</f>
        <v>6.125</v>
      </c>
      <c r="O193" s="33" t="n">
        <f aca="false">IF(K193="","",ABS(K193))</f>
        <v>6.90059685955033</v>
      </c>
      <c r="P193" s="34" t="str">
        <f aca="false">IF(B193&gt;=Eval_Start_Week,"YES","")</f>
        <v>YES</v>
      </c>
      <c r="Q193" s="34" t="str">
        <f aca="false">IF(AND(B193&gt;=Cal_Start_Week,B193&lt;=Cal_End_Week),"YES","")</f>
        <v>YES</v>
      </c>
    </row>
    <row r="194" customFormat="false" ht="15" hidden="false" customHeight="false" outlineLevel="0" collapsed="false">
      <c r="A194" s="31" t="str">
        <f aca="false">Demand_History!C194</f>
        <v>KIT-002</v>
      </c>
      <c r="B194" s="31" t="n">
        <f aca="false">Demand_History!A194</f>
        <v>89</v>
      </c>
      <c r="C194" s="32" t="n">
        <f aca="false">Demand_History!D194</f>
        <v>53</v>
      </c>
      <c r="D194" s="33" t="n">
        <f aca="false">IF(B194&gt;=2,C193,"")</f>
        <v>43</v>
      </c>
      <c r="E194" s="33" t="n">
        <f aca="false">IF(B194&gt;=5,AVERAGE(C190:C193),"")</f>
        <v>46.5</v>
      </c>
      <c r="F194" s="33" t="n">
        <f aca="false">IF(B194&gt;=9,AVERAGE(C186:C193),"")</f>
        <v>48.875</v>
      </c>
      <c r="G194" s="33" t="n">
        <f aca="false">IF(B194=1,"",IF(B194=2,C193,SES_Alpha*C193+(1-SES_Alpha)*G193))</f>
        <v>47.8304178016852</v>
      </c>
      <c r="H194" s="33" t="n">
        <f aca="false">IF(D194="","",D194-C194)</f>
        <v>-10</v>
      </c>
      <c r="I194" s="33" t="n">
        <f aca="false">IF(E194="","",E194-C194)</f>
        <v>-6.5</v>
      </c>
      <c r="J194" s="33" t="n">
        <f aca="false">IF(F194="","",F194-C194)</f>
        <v>-4.125</v>
      </c>
      <c r="K194" s="33" t="n">
        <f aca="false">IF(G194="","",G194-C194)</f>
        <v>-5.16958219831478</v>
      </c>
      <c r="L194" s="33" t="n">
        <f aca="false">IF(H194="","",ABS(H194))</f>
        <v>10</v>
      </c>
      <c r="M194" s="33" t="n">
        <f aca="false">IF(I194="","",ABS(I194))</f>
        <v>6.5</v>
      </c>
      <c r="N194" s="33" t="n">
        <f aca="false">IF(J194="","",ABS(J194))</f>
        <v>4.125</v>
      </c>
      <c r="O194" s="33" t="n">
        <f aca="false">IF(K194="","",ABS(K194))</f>
        <v>5.16958219831478</v>
      </c>
      <c r="P194" s="34" t="str">
        <f aca="false">IF(B194&gt;=Eval_Start_Week,"YES","")</f>
        <v>YES</v>
      </c>
      <c r="Q194" s="34" t="str">
        <f aca="false">IF(AND(B194&gt;=Cal_Start_Week,B194&lt;=Cal_End_Week),"YES","")</f>
        <v/>
      </c>
    </row>
    <row r="195" customFormat="false" ht="15" hidden="false" customHeight="false" outlineLevel="0" collapsed="false">
      <c r="A195" s="31" t="str">
        <f aca="false">Demand_History!C195</f>
        <v>KIT-002</v>
      </c>
      <c r="B195" s="31" t="n">
        <f aca="false">Demand_History!A195</f>
        <v>90</v>
      </c>
      <c r="C195" s="32" t="n">
        <f aca="false">Demand_History!D195</f>
        <v>57</v>
      </c>
      <c r="D195" s="33" t="n">
        <f aca="false">IF(B195&gt;=2,C194,"")</f>
        <v>53</v>
      </c>
      <c r="E195" s="33" t="n">
        <f aca="false">IF(B195&gt;=5,AVERAGE(C191:C194),"")</f>
        <v>53.75</v>
      </c>
      <c r="F195" s="33" t="n">
        <f aca="false">IF(B195&gt;=9,AVERAGE(C187:C194),"")</f>
        <v>47.625</v>
      </c>
      <c r="G195" s="33" t="n">
        <f aca="false">IF(B195=1,"",IF(B195=2,C194,SES_Alpha*C194+(1-SES_Alpha)*G194))</f>
        <v>49.3812924611797</v>
      </c>
      <c r="H195" s="33" t="n">
        <f aca="false">IF(D195="","",D195-C195)</f>
        <v>-4</v>
      </c>
      <c r="I195" s="33" t="n">
        <f aca="false">IF(E195="","",E195-C195)</f>
        <v>-3.25</v>
      </c>
      <c r="J195" s="33" t="n">
        <f aca="false">IF(F195="","",F195-C195)</f>
        <v>-9.375</v>
      </c>
      <c r="K195" s="33" t="n">
        <f aca="false">IF(G195="","",G195-C195)</f>
        <v>-7.61870753882035</v>
      </c>
      <c r="L195" s="33" t="n">
        <f aca="false">IF(H195="","",ABS(H195))</f>
        <v>4</v>
      </c>
      <c r="M195" s="33" t="n">
        <f aca="false">IF(I195="","",ABS(I195))</f>
        <v>3.25</v>
      </c>
      <c r="N195" s="33" t="n">
        <f aca="false">IF(J195="","",ABS(J195))</f>
        <v>9.375</v>
      </c>
      <c r="O195" s="33" t="n">
        <f aca="false">IF(K195="","",ABS(K195))</f>
        <v>7.61870753882035</v>
      </c>
      <c r="P195" s="34" t="str">
        <f aca="false">IF(B195&gt;=Eval_Start_Week,"YES","")</f>
        <v>YES</v>
      </c>
      <c r="Q195" s="34" t="str">
        <f aca="false">IF(AND(B195&gt;=Cal_Start_Week,B195&lt;=Cal_End_Week),"YES","")</f>
        <v/>
      </c>
    </row>
    <row r="196" customFormat="false" ht="15" hidden="false" customHeight="false" outlineLevel="0" collapsed="false">
      <c r="A196" s="31" t="str">
        <f aca="false">Demand_History!C196</f>
        <v>KIT-002</v>
      </c>
      <c r="B196" s="31" t="n">
        <f aca="false">Demand_History!A196</f>
        <v>91</v>
      </c>
      <c r="C196" s="32" t="n">
        <f aca="false">Demand_History!D196</f>
        <v>58</v>
      </c>
      <c r="D196" s="33" t="n">
        <f aca="false">IF(B196&gt;=2,C195,"")</f>
        <v>57</v>
      </c>
      <c r="E196" s="33" t="n">
        <f aca="false">IF(B196&gt;=5,AVERAGE(C192:C195),"")</f>
        <v>53.25</v>
      </c>
      <c r="F196" s="33" t="n">
        <f aca="false">IF(B196&gt;=9,AVERAGE(C188:C195),"")</f>
        <v>47.875</v>
      </c>
      <c r="G196" s="33" t="n">
        <f aca="false">IF(B196=1,"",IF(B196=2,C195,SES_Alpha*C195+(1-SES_Alpha)*G195))</f>
        <v>51.6669047228258</v>
      </c>
      <c r="H196" s="33" t="n">
        <f aca="false">IF(D196="","",D196-C196)</f>
        <v>-1</v>
      </c>
      <c r="I196" s="33" t="n">
        <f aca="false">IF(E196="","",E196-C196)</f>
        <v>-4.75</v>
      </c>
      <c r="J196" s="33" t="n">
        <f aca="false">IF(F196="","",F196-C196)</f>
        <v>-10.125</v>
      </c>
      <c r="K196" s="33" t="n">
        <f aca="false">IF(G196="","",G196-C196)</f>
        <v>-6.33309527717425</v>
      </c>
      <c r="L196" s="33" t="n">
        <f aca="false">IF(H196="","",ABS(H196))</f>
        <v>1</v>
      </c>
      <c r="M196" s="33" t="n">
        <f aca="false">IF(I196="","",ABS(I196))</f>
        <v>4.75</v>
      </c>
      <c r="N196" s="33" t="n">
        <f aca="false">IF(J196="","",ABS(J196))</f>
        <v>10.125</v>
      </c>
      <c r="O196" s="33" t="n">
        <f aca="false">IF(K196="","",ABS(K196))</f>
        <v>6.33309527717425</v>
      </c>
      <c r="P196" s="34" t="str">
        <f aca="false">IF(B196&gt;=Eval_Start_Week,"YES","")</f>
        <v>YES</v>
      </c>
      <c r="Q196" s="34" t="str">
        <f aca="false">IF(AND(B196&gt;=Cal_Start_Week,B196&lt;=Cal_End_Week),"YES","")</f>
        <v/>
      </c>
    </row>
    <row r="197" customFormat="false" ht="15" hidden="false" customHeight="false" outlineLevel="0" collapsed="false">
      <c r="A197" s="31" t="str">
        <f aca="false">Demand_History!C197</f>
        <v>KIT-002</v>
      </c>
      <c r="B197" s="31" t="n">
        <f aca="false">Demand_History!A197</f>
        <v>92</v>
      </c>
      <c r="C197" s="32" t="n">
        <f aca="false">Demand_History!D197</f>
        <v>59</v>
      </c>
      <c r="D197" s="33" t="n">
        <f aca="false">IF(B197&gt;=2,C196,"")</f>
        <v>58</v>
      </c>
      <c r="E197" s="33" t="n">
        <f aca="false">IF(B197&gt;=5,AVERAGE(C193:C196),"")</f>
        <v>52.75</v>
      </c>
      <c r="F197" s="33" t="n">
        <f aca="false">IF(B197&gt;=9,AVERAGE(C189:C196),"")</f>
        <v>48.75</v>
      </c>
      <c r="G197" s="33" t="n">
        <f aca="false">IF(B197=1,"",IF(B197=2,C196,SES_Alpha*C196+(1-SES_Alpha)*G196))</f>
        <v>53.566833305978</v>
      </c>
      <c r="H197" s="33" t="n">
        <f aca="false">IF(D197="","",D197-C197)</f>
        <v>-1</v>
      </c>
      <c r="I197" s="33" t="n">
        <f aca="false">IF(E197="","",E197-C197)</f>
        <v>-6.25</v>
      </c>
      <c r="J197" s="33" t="n">
        <f aca="false">IF(F197="","",F197-C197)</f>
        <v>-10.25</v>
      </c>
      <c r="K197" s="33" t="n">
        <f aca="false">IF(G197="","",G197-C197)</f>
        <v>-5.43316669402198</v>
      </c>
      <c r="L197" s="33" t="n">
        <f aca="false">IF(H197="","",ABS(H197))</f>
        <v>1</v>
      </c>
      <c r="M197" s="33" t="n">
        <f aca="false">IF(I197="","",ABS(I197))</f>
        <v>6.25</v>
      </c>
      <c r="N197" s="33" t="n">
        <f aca="false">IF(J197="","",ABS(J197))</f>
        <v>10.25</v>
      </c>
      <c r="O197" s="33" t="n">
        <f aca="false">IF(K197="","",ABS(K197))</f>
        <v>5.43316669402198</v>
      </c>
      <c r="P197" s="34" t="str">
        <f aca="false">IF(B197&gt;=Eval_Start_Week,"YES","")</f>
        <v>YES</v>
      </c>
      <c r="Q197" s="34" t="str">
        <f aca="false">IF(AND(B197&gt;=Cal_Start_Week,B197&lt;=Cal_End_Week),"YES","")</f>
        <v/>
      </c>
    </row>
    <row r="198" customFormat="false" ht="15" hidden="false" customHeight="false" outlineLevel="0" collapsed="false">
      <c r="A198" s="31" t="str">
        <f aca="false">Demand_History!C198</f>
        <v>KIT-002</v>
      </c>
      <c r="B198" s="31" t="n">
        <f aca="false">Demand_History!A198</f>
        <v>93</v>
      </c>
      <c r="C198" s="32" t="n">
        <f aca="false">Demand_History!D198</f>
        <v>38</v>
      </c>
      <c r="D198" s="33" t="n">
        <f aca="false">IF(B198&gt;=2,C197,"")</f>
        <v>59</v>
      </c>
      <c r="E198" s="33" t="n">
        <f aca="false">IF(B198&gt;=5,AVERAGE(C194:C197),"")</f>
        <v>56.75</v>
      </c>
      <c r="F198" s="33" t="n">
        <f aca="false">IF(B198&gt;=9,AVERAGE(C190:C197),"")</f>
        <v>51.625</v>
      </c>
      <c r="G198" s="33" t="n">
        <f aca="false">IF(B198=1,"",IF(B198=2,C197,SES_Alpha*C197+(1-SES_Alpha)*G197))</f>
        <v>55.1967833141846</v>
      </c>
      <c r="H198" s="33" t="n">
        <f aca="false">IF(D198="","",D198-C198)</f>
        <v>21</v>
      </c>
      <c r="I198" s="33" t="n">
        <f aca="false">IF(E198="","",E198-C198)</f>
        <v>18.75</v>
      </c>
      <c r="J198" s="33" t="n">
        <f aca="false">IF(F198="","",F198-C198)</f>
        <v>13.625</v>
      </c>
      <c r="K198" s="33" t="n">
        <f aca="false">IF(G198="","",G198-C198)</f>
        <v>17.1967833141846</v>
      </c>
      <c r="L198" s="33" t="n">
        <f aca="false">IF(H198="","",ABS(H198))</f>
        <v>21</v>
      </c>
      <c r="M198" s="33" t="n">
        <f aca="false">IF(I198="","",ABS(I198))</f>
        <v>18.75</v>
      </c>
      <c r="N198" s="33" t="n">
        <f aca="false">IF(J198="","",ABS(J198))</f>
        <v>13.625</v>
      </c>
      <c r="O198" s="33" t="n">
        <f aca="false">IF(K198="","",ABS(K198))</f>
        <v>17.1967833141846</v>
      </c>
      <c r="P198" s="34" t="str">
        <f aca="false">IF(B198&gt;=Eval_Start_Week,"YES","")</f>
        <v>YES</v>
      </c>
      <c r="Q198" s="34" t="str">
        <f aca="false">IF(AND(B198&gt;=Cal_Start_Week,B198&lt;=Cal_End_Week),"YES","")</f>
        <v/>
      </c>
    </row>
    <row r="199" customFormat="false" ht="15" hidden="false" customHeight="false" outlineLevel="0" collapsed="false">
      <c r="A199" s="31" t="str">
        <f aca="false">Demand_History!C199</f>
        <v>KIT-002</v>
      </c>
      <c r="B199" s="31" t="n">
        <f aca="false">Demand_History!A199</f>
        <v>94</v>
      </c>
      <c r="C199" s="32" t="n">
        <f aca="false">Demand_History!D199</f>
        <v>68</v>
      </c>
      <c r="D199" s="33" t="n">
        <f aca="false">IF(B199&gt;=2,C198,"")</f>
        <v>38</v>
      </c>
      <c r="E199" s="33" t="n">
        <f aca="false">IF(B199&gt;=5,AVERAGE(C195:C198),"")</f>
        <v>53</v>
      </c>
      <c r="F199" s="33" t="n">
        <f aca="false">IF(B199&gt;=9,AVERAGE(C191:C198),"")</f>
        <v>53.375</v>
      </c>
      <c r="G199" s="33" t="n">
        <f aca="false">IF(B199=1,"",IF(B199=2,C198,SES_Alpha*C198+(1-SES_Alpha)*G198))</f>
        <v>50.0377483199292</v>
      </c>
      <c r="H199" s="33" t="n">
        <f aca="false">IF(D199="","",D199-C199)</f>
        <v>-30</v>
      </c>
      <c r="I199" s="33" t="n">
        <f aca="false">IF(E199="","",E199-C199)</f>
        <v>-15</v>
      </c>
      <c r="J199" s="33" t="n">
        <f aca="false">IF(F199="","",F199-C199)</f>
        <v>-14.625</v>
      </c>
      <c r="K199" s="33" t="n">
        <f aca="false">IF(G199="","",G199-C199)</f>
        <v>-17.9622516800708</v>
      </c>
      <c r="L199" s="33" t="n">
        <f aca="false">IF(H199="","",ABS(H199))</f>
        <v>30</v>
      </c>
      <c r="M199" s="33" t="n">
        <f aca="false">IF(I199="","",ABS(I199))</f>
        <v>15</v>
      </c>
      <c r="N199" s="33" t="n">
        <f aca="false">IF(J199="","",ABS(J199))</f>
        <v>14.625</v>
      </c>
      <c r="O199" s="33" t="n">
        <f aca="false">IF(K199="","",ABS(K199))</f>
        <v>17.9622516800708</v>
      </c>
      <c r="P199" s="34" t="str">
        <f aca="false">IF(B199&gt;=Eval_Start_Week,"YES","")</f>
        <v>YES</v>
      </c>
      <c r="Q199" s="34" t="str">
        <f aca="false">IF(AND(B199&gt;=Cal_Start_Week,B199&lt;=Cal_End_Week),"YES","")</f>
        <v/>
      </c>
    </row>
    <row r="200" customFormat="false" ht="15" hidden="false" customHeight="false" outlineLevel="0" collapsed="false">
      <c r="A200" s="31" t="str">
        <f aca="false">Demand_History!C200</f>
        <v>KIT-002</v>
      </c>
      <c r="B200" s="31" t="n">
        <f aca="false">Demand_History!A200</f>
        <v>95</v>
      </c>
      <c r="C200" s="32" t="n">
        <f aca="false">Demand_History!D200</f>
        <v>26</v>
      </c>
      <c r="D200" s="33" t="n">
        <f aca="false">IF(B200&gt;=2,C199,"")</f>
        <v>68</v>
      </c>
      <c r="E200" s="33" t="n">
        <f aca="false">IF(B200&gt;=5,AVERAGE(C196:C199),"")</f>
        <v>55.75</v>
      </c>
      <c r="F200" s="33" t="n">
        <f aca="false">IF(B200&gt;=9,AVERAGE(C192:C199),"")</f>
        <v>54.5</v>
      </c>
      <c r="G200" s="33" t="n">
        <f aca="false">IF(B200=1,"",IF(B200=2,C199,SES_Alpha*C199+(1-SES_Alpha)*G199))</f>
        <v>55.4264238239505</v>
      </c>
      <c r="H200" s="33" t="n">
        <f aca="false">IF(D200="","",D200-C200)</f>
        <v>42</v>
      </c>
      <c r="I200" s="33" t="n">
        <f aca="false">IF(E200="","",E200-C200)</f>
        <v>29.75</v>
      </c>
      <c r="J200" s="33" t="n">
        <f aca="false">IF(F200="","",F200-C200)</f>
        <v>28.5</v>
      </c>
      <c r="K200" s="33" t="n">
        <f aca="false">IF(G200="","",G200-C200)</f>
        <v>29.4264238239505</v>
      </c>
      <c r="L200" s="33" t="n">
        <f aca="false">IF(H200="","",ABS(H200))</f>
        <v>42</v>
      </c>
      <c r="M200" s="33" t="n">
        <f aca="false">IF(I200="","",ABS(I200))</f>
        <v>29.75</v>
      </c>
      <c r="N200" s="33" t="n">
        <f aca="false">IF(J200="","",ABS(J200))</f>
        <v>28.5</v>
      </c>
      <c r="O200" s="33" t="n">
        <f aca="false">IF(K200="","",ABS(K200))</f>
        <v>29.4264238239505</v>
      </c>
      <c r="P200" s="34" t="str">
        <f aca="false">IF(B200&gt;=Eval_Start_Week,"YES","")</f>
        <v>YES</v>
      </c>
      <c r="Q200" s="34" t="str">
        <f aca="false">IF(AND(B200&gt;=Cal_Start_Week,B200&lt;=Cal_End_Week),"YES","")</f>
        <v/>
      </c>
    </row>
    <row r="201" customFormat="false" ht="15" hidden="false" customHeight="false" outlineLevel="0" collapsed="false">
      <c r="A201" s="31" t="str">
        <f aca="false">Demand_History!C201</f>
        <v>KIT-002</v>
      </c>
      <c r="B201" s="31" t="n">
        <f aca="false">Demand_History!A201</f>
        <v>96</v>
      </c>
      <c r="C201" s="32" t="n">
        <f aca="false">Demand_History!D201</f>
        <v>58</v>
      </c>
      <c r="D201" s="33" t="n">
        <f aca="false">IF(B201&gt;=2,C200,"")</f>
        <v>26</v>
      </c>
      <c r="E201" s="33" t="n">
        <f aca="false">IF(B201&gt;=5,AVERAGE(C197:C200),"")</f>
        <v>47.75</v>
      </c>
      <c r="F201" s="33" t="n">
        <f aca="false">IF(B201&gt;=9,AVERAGE(C193:C200),"")</f>
        <v>50.25</v>
      </c>
      <c r="G201" s="33" t="n">
        <f aca="false">IF(B201=1,"",IF(B201=2,C200,SES_Alpha*C200+(1-SES_Alpha)*G200))</f>
        <v>46.5984966767653</v>
      </c>
      <c r="H201" s="33" t="n">
        <f aca="false">IF(D201="","",D201-C201)</f>
        <v>-32</v>
      </c>
      <c r="I201" s="33" t="n">
        <f aca="false">IF(E201="","",E201-C201)</f>
        <v>-10.25</v>
      </c>
      <c r="J201" s="33" t="n">
        <f aca="false">IF(F201="","",F201-C201)</f>
        <v>-7.75</v>
      </c>
      <c r="K201" s="33" t="n">
        <f aca="false">IF(G201="","",G201-C201)</f>
        <v>-11.4015033232347</v>
      </c>
      <c r="L201" s="33" t="n">
        <f aca="false">IF(H201="","",ABS(H201))</f>
        <v>32</v>
      </c>
      <c r="M201" s="33" t="n">
        <f aca="false">IF(I201="","",ABS(I201))</f>
        <v>10.25</v>
      </c>
      <c r="N201" s="33" t="n">
        <f aca="false">IF(J201="","",ABS(J201))</f>
        <v>7.75</v>
      </c>
      <c r="O201" s="33" t="n">
        <f aca="false">IF(K201="","",ABS(K201))</f>
        <v>11.4015033232347</v>
      </c>
      <c r="P201" s="34" t="str">
        <f aca="false">IF(B201&gt;=Eval_Start_Week,"YES","")</f>
        <v>YES</v>
      </c>
      <c r="Q201" s="34" t="str">
        <f aca="false">IF(AND(B201&gt;=Cal_Start_Week,B201&lt;=Cal_End_Week),"YES","")</f>
        <v/>
      </c>
    </row>
    <row r="202" customFormat="false" ht="15" hidden="false" customHeight="false" outlineLevel="0" collapsed="false">
      <c r="A202" s="31" t="str">
        <f aca="false">Demand_History!C202</f>
        <v>KIT-002</v>
      </c>
      <c r="B202" s="31" t="n">
        <f aca="false">Demand_History!A202</f>
        <v>97</v>
      </c>
      <c r="C202" s="32" t="n">
        <f aca="false">Demand_History!D202</f>
        <v>53</v>
      </c>
      <c r="D202" s="33" t="n">
        <f aca="false">IF(B202&gt;=2,C201,"")</f>
        <v>58</v>
      </c>
      <c r="E202" s="33" t="n">
        <f aca="false">IF(B202&gt;=5,AVERAGE(C198:C201),"")</f>
        <v>47.5</v>
      </c>
      <c r="F202" s="33" t="n">
        <f aca="false">IF(B202&gt;=9,AVERAGE(C194:C201),"")</f>
        <v>52.125</v>
      </c>
      <c r="G202" s="33" t="n">
        <f aca="false">IF(B202=1,"",IF(B202=2,C201,SES_Alpha*C201+(1-SES_Alpha)*G201))</f>
        <v>50.0189476737357</v>
      </c>
      <c r="H202" s="33" t="n">
        <f aca="false">IF(D202="","",D202-C202)</f>
        <v>5</v>
      </c>
      <c r="I202" s="33" t="n">
        <f aca="false">IF(E202="","",E202-C202)</f>
        <v>-5.5</v>
      </c>
      <c r="J202" s="33" t="n">
        <f aca="false">IF(F202="","",F202-C202)</f>
        <v>-0.875</v>
      </c>
      <c r="K202" s="33" t="n">
        <f aca="false">IF(G202="","",G202-C202)</f>
        <v>-2.98105232626428</v>
      </c>
      <c r="L202" s="33" t="n">
        <f aca="false">IF(H202="","",ABS(H202))</f>
        <v>5</v>
      </c>
      <c r="M202" s="33" t="n">
        <f aca="false">IF(I202="","",ABS(I202))</f>
        <v>5.5</v>
      </c>
      <c r="N202" s="33" t="n">
        <f aca="false">IF(J202="","",ABS(J202))</f>
        <v>0.875</v>
      </c>
      <c r="O202" s="33" t="n">
        <f aca="false">IF(K202="","",ABS(K202))</f>
        <v>2.98105232626428</v>
      </c>
      <c r="P202" s="34" t="str">
        <f aca="false">IF(B202&gt;=Eval_Start_Week,"YES","")</f>
        <v>YES</v>
      </c>
      <c r="Q202" s="34" t="str">
        <f aca="false">IF(AND(B202&gt;=Cal_Start_Week,B202&lt;=Cal_End_Week),"YES","")</f>
        <v/>
      </c>
    </row>
    <row r="203" customFormat="false" ht="15" hidden="false" customHeight="false" outlineLevel="0" collapsed="false">
      <c r="A203" s="31" t="str">
        <f aca="false">Demand_History!C203</f>
        <v>KIT-002</v>
      </c>
      <c r="B203" s="31" t="n">
        <f aca="false">Demand_History!A203</f>
        <v>98</v>
      </c>
      <c r="C203" s="32" t="n">
        <f aca="false">Demand_History!D203</f>
        <v>58</v>
      </c>
      <c r="D203" s="33" t="n">
        <f aca="false">IF(B203&gt;=2,C202,"")</f>
        <v>53</v>
      </c>
      <c r="E203" s="33" t="n">
        <f aca="false">IF(B203&gt;=5,AVERAGE(C199:C202),"")</f>
        <v>51.25</v>
      </c>
      <c r="F203" s="33" t="n">
        <f aca="false">IF(B203&gt;=9,AVERAGE(C195:C202),"")</f>
        <v>52.125</v>
      </c>
      <c r="G203" s="33" t="n">
        <f aca="false">IF(B203=1,"",IF(B203=2,C202,SES_Alpha*C202+(1-SES_Alpha)*G202))</f>
        <v>50.913263371615</v>
      </c>
      <c r="H203" s="33" t="n">
        <f aca="false">IF(D203="","",D203-C203)</f>
        <v>-5</v>
      </c>
      <c r="I203" s="33" t="n">
        <f aca="false">IF(E203="","",E203-C203)</f>
        <v>-6.75</v>
      </c>
      <c r="J203" s="33" t="n">
        <f aca="false">IF(F203="","",F203-C203)</f>
        <v>-5.875</v>
      </c>
      <c r="K203" s="33" t="n">
        <f aca="false">IF(G203="","",G203-C203)</f>
        <v>-7.08673662838501</v>
      </c>
      <c r="L203" s="33" t="n">
        <f aca="false">IF(H203="","",ABS(H203))</f>
        <v>5</v>
      </c>
      <c r="M203" s="33" t="n">
        <f aca="false">IF(I203="","",ABS(I203))</f>
        <v>6.75</v>
      </c>
      <c r="N203" s="33" t="n">
        <f aca="false">IF(J203="","",ABS(J203))</f>
        <v>5.875</v>
      </c>
      <c r="O203" s="33" t="n">
        <f aca="false">IF(K203="","",ABS(K203))</f>
        <v>7.08673662838501</v>
      </c>
      <c r="P203" s="34" t="str">
        <f aca="false">IF(B203&gt;=Eval_Start_Week,"YES","")</f>
        <v>YES</v>
      </c>
      <c r="Q203" s="34" t="str">
        <f aca="false">IF(AND(B203&gt;=Cal_Start_Week,B203&lt;=Cal_End_Week),"YES","")</f>
        <v/>
      </c>
    </row>
    <row r="204" customFormat="false" ht="15" hidden="false" customHeight="false" outlineLevel="0" collapsed="false">
      <c r="A204" s="31" t="str">
        <f aca="false">Demand_History!C204</f>
        <v>KIT-002</v>
      </c>
      <c r="B204" s="31" t="n">
        <f aca="false">Demand_History!A204</f>
        <v>99</v>
      </c>
      <c r="C204" s="32" t="n">
        <f aca="false">Demand_History!D204</f>
        <v>74</v>
      </c>
      <c r="D204" s="33" t="n">
        <f aca="false">IF(B204&gt;=2,C203,"")</f>
        <v>58</v>
      </c>
      <c r="E204" s="33" t="n">
        <f aca="false">IF(B204&gt;=5,AVERAGE(C200:C203),"")</f>
        <v>48.75</v>
      </c>
      <c r="F204" s="33" t="n">
        <f aca="false">IF(B204&gt;=9,AVERAGE(C196:C203),"")</f>
        <v>52.25</v>
      </c>
      <c r="G204" s="33" t="n">
        <f aca="false">IF(B204=1,"",IF(B204=2,C203,SES_Alpha*C203+(1-SES_Alpha)*G203))</f>
        <v>53.0392843601305</v>
      </c>
      <c r="H204" s="33" t="n">
        <f aca="false">IF(D204="","",D204-C204)</f>
        <v>-16</v>
      </c>
      <c r="I204" s="33" t="n">
        <f aca="false">IF(E204="","",E204-C204)</f>
        <v>-25.25</v>
      </c>
      <c r="J204" s="33" t="n">
        <f aca="false">IF(F204="","",F204-C204)</f>
        <v>-21.75</v>
      </c>
      <c r="K204" s="33" t="n">
        <f aca="false">IF(G204="","",G204-C204)</f>
        <v>-20.9607156398695</v>
      </c>
      <c r="L204" s="33" t="n">
        <f aca="false">IF(H204="","",ABS(H204))</f>
        <v>16</v>
      </c>
      <c r="M204" s="33" t="n">
        <f aca="false">IF(I204="","",ABS(I204))</f>
        <v>25.25</v>
      </c>
      <c r="N204" s="33" t="n">
        <f aca="false">IF(J204="","",ABS(J204))</f>
        <v>21.75</v>
      </c>
      <c r="O204" s="33" t="n">
        <f aca="false">IF(K204="","",ABS(K204))</f>
        <v>20.9607156398695</v>
      </c>
      <c r="P204" s="34" t="str">
        <f aca="false">IF(B204&gt;=Eval_Start_Week,"YES","")</f>
        <v>YES</v>
      </c>
      <c r="Q204" s="34" t="str">
        <f aca="false">IF(AND(B204&gt;=Cal_Start_Week,B204&lt;=Cal_End_Week),"YES","")</f>
        <v/>
      </c>
    </row>
    <row r="205" customFormat="false" ht="15" hidden="false" customHeight="false" outlineLevel="0" collapsed="false">
      <c r="A205" s="31" t="str">
        <f aca="false">Demand_History!C205</f>
        <v>KIT-002</v>
      </c>
      <c r="B205" s="31" t="n">
        <f aca="false">Demand_History!A205</f>
        <v>100</v>
      </c>
      <c r="C205" s="32" t="n">
        <f aca="false">Demand_History!D205</f>
        <v>68</v>
      </c>
      <c r="D205" s="33" t="n">
        <f aca="false">IF(B205&gt;=2,C204,"")</f>
        <v>74</v>
      </c>
      <c r="E205" s="33" t="n">
        <f aca="false">IF(B205&gt;=5,AVERAGE(C201:C204),"")</f>
        <v>60.75</v>
      </c>
      <c r="F205" s="33" t="n">
        <f aca="false">IF(B205&gt;=9,AVERAGE(C197:C204),"")</f>
        <v>54.25</v>
      </c>
      <c r="G205" s="33" t="n">
        <f aca="false">IF(B205=1,"",IF(B205=2,C204,SES_Alpha*C204+(1-SES_Alpha)*G204))</f>
        <v>59.3274990520913</v>
      </c>
      <c r="H205" s="33" t="n">
        <f aca="false">IF(D205="","",D205-C205)</f>
        <v>6</v>
      </c>
      <c r="I205" s="33" t="n">
        <f aca="false">IF(E205="","",E205-C205)</f>
        <v>-7.25</v>
      </c>
      <c r="J205" s="33" t="n">
        <f aca="false">IF(F205="","",F205-C205)</f>
        <v>-13.75</v>
      </c>
      <c r="K205" s="33" t="n">
        <f aca="false">IF(G205="","",G205-C205)</f>
        <v>-8.67250094790866</v>
      </c>
      <c r="L205" s="33" t="n">
        <f aca="false">IF(H205="","",ABS(H205))</f>
        <v>6</v>
      </c>
      <c r="M205" s="33" t="n">
        <f aca="false">IF(I205="","",ABS(I205))</f>
        <v>7.25</v>
      </c>
      <c r="N205" s="33" t="n">
        <f aca="false">IF(J205="","",ABS(J205))</f>
        <v>13.75</v>
      </c>
      <c r="O205" s="33" t="n">
        <f aca="false">IF(K205="","",ABS(K205))</f>
        <v>8.67250094790866</v>
      </c>
      <c r="P205" s="34" t="str">
        <f aca="false">IF(B205&gt;=Eval_Start_Week,"YES","")</f>
        <v>YES</v>
      </c>
      <c r="Q205" s="34" t="str">
        <f aca="false">IF(AND(B205&gt;=Cal_Start_Week,B205&lt;=Cal_End_Week),"YES","")</f>
        <v/>
      </c>
    </row>
    <row r="206" customFormat="false" ht="15" hidden="false" customHeight="false" outlineLevel="0" collapsed="false">
      <c r="A206" s="31" t="str">
        <f aca="false">Demand_History!C206</f>
        <v>KIT-002</v>
      </c>
      <c r="B206" s="31" t="n">
        <f aca="false">Demand_History!A206</f>
        <v>101</v>
      </c>
      <c r="C206" s="32" t="n">
        <f aca="false">Demand_History!D206</f>
        <v>28</v>
      </c>
      <c r="D206" s="33" t="n">
        <f aca="false">IF(B206&gt;=2,C205,"")</f>
        <v>68</v>
      </c>
      <c r="E206" s="33" t="n">
        <f aca="false">IF(B206&gt;=5,AVERAGE(C202:C205),"")</f>
        <v>63.25</v>
      </c>
      <c r="F206" s="33" t="n">
        <f aca="false">IF(B206&gt;=9,AVERAGE(C198:C205),"")</f>
        <v>55.375</v>
      </c>
      <c r="G206" s="33" t="n">
        <f aca="false">IF(B206=1,"",IF(B206=2,C205,SES_Alpha*C205+(1-SES_Alpha)*G205))</f>
        <v>61.9292493364639</v>
      </c>
      <c r="H206" s="33" t="n">
        <f aca="false">IF(D206="","",D206-C206)</f>
        <v>40</v>
      </c>
      <c r="I206" s="33" t="n">
        <f aca="false">IF(E206="","",E206-C206)</f>
        <v>35.25</v>
      </c>
      <c r="J206" s="33" t="n">
        <f aca="false">IF(F206="","",F206-C206)</f>
        <v>27.375</v>
      </c>
      <c r="K206" s="33" t="n">
        <f aca="false">IF(G206="","",G206-C206)</f>
        <v>33.9292493364639</v>
      </c>
      <c r="L206" s="33" t="n">
        <f aca="false">IF(H206="","",ABS(H206))</f>
        <v>40</v>
      </c>
      <c r="M206" s="33" t="n">
        <f aca="false">IF(I206="","",ABS(I206))</f>
        <v>35.25</v>
      </c>
      <c r="N206" s="33" t="n">
        <f aca="false">IF(J206="","",ABS(J206))</f>
        <v>27.375</v>
      </c>
      <c r="O206" s="33" t="n">
        <f aca="false">IF(K206="","",ABS(K206))</f>
        <v>33.9292493364639</v>
      </c>
      <c r="P206" s="34" t="str">
        <f aca="false">IF(B206&gt;=Eval_Start_Week,"YES","")</f>
        <v>YES</v>
      </c>
      <c r="Q206" s="34" t="str">
        <f aca="false">IF(AND(B206&gt;=Cal_Start_Week,B206&lt;=Cal_End_Week),"YES","")</f>
        <v/>
      </c>
    </row>
    <row r="207" customFormat="false" ht="15" hidden="false" customHeight="false" outlineLevel="0" collapsed="false">
      <c r="A207" s="31" t="str">
        <f aca="false">Demand_History!C207</f>
        <v>KIT-002</v>
      </c>
      <c r="B207" s="31" t="n">
        <f aca="false">Demand_History!A207</f>
        <v>102</v>
      </c>
      <c r="C207" s="32" t="n">
        <f aca="false">Demand_History!D207</f>
        <v>19</v>
      </c>
      <c r="D207" s="33" t="n">
        <f aca="false">IF(B207&gt;=2,C206,"")</f>
        <v>28</v>
      </c>
      <c r="E207" s="33" t="n">
        <f aca="false">IF(B207&gt;=5,AVERAGE(C203:C206),"")</f>
        <v>57</v>
      </c>
      <c r="F207" s="33" t="n">
        <f aca="false">IF(B207&gt;=9,AVERAGE(C199:C206),"")</f>
        <v>54.125</v>
      </c>
      <c r="G207" s="33" t="n">
        <f aca="false">IF(B207=1,"",IF(B207=2,C206,SES_Alpha*C206+(1-SES_Alpha)*G206))</f>
        <v>51.7504745355248</v>
      </c>
      <c r="H207" s="33" t="n">
        <f aca="false">IF(D207="","",D207-C207)</f>
        <v>9</v>
      </c>
      <c r="I207" s="33" t="n">
        <f aca="false">IF(E207="","",E207-C207)</f>
        <v>38</v>
      </c>
      <c r="J207" s="33" t="n">
        <f aca="false">IF(F207="","",F207-C207)</f>
        <v>35.125</v>
      </c>
      <c r="K207" s="33" t="n">
        <f aca="false">IF(G207="","",G207-C207)</f>
        <v>32.7504745355248</v>
      </c>
      <c r="L207" s="33" t="n">
        <f aca="false">IF(H207="","",ABS(H207))</f>
        <v>9</v>
      </c>
      <c r="M207" s="33" t="n">
        <f aca="false">IF(I207="","",ABS(I207))</f>
        <v>38</v>
      </c>
      <c r="N207" s="33" t="n">
        <f aca="false">IF(J207="","",ABS(J207))</f>
        <v>35.125</v>
      </c>
      <c r="O207" s="33" t="n">
        <f aca="false">IF(K207="","",ABS(K207))</f>
        <v>32.7504745355248</v>
      </c>
      <c r="P207" s="34" t="str">
        <f aca="false">IF(B207&gt;=Eval_Start_Week,"YES","")</f>
        <v>YES</v>
      </c>
      <c r="Q207" s="34" t="str">
        <f aca="false">IF(AND(B207&gt;=Cal_Start_Week,B207&lt;=Cal_End_Week),"YES","")</f>
        <v/>
      </c>
    </row>
    <row r="208" customFormat="false" ht="15" hidden="false" customHeight="false" outlineLevel="0" collapsed="false">
      <c r="A208" s="31" t="str">
        <f aca="false">Demand_History!C208</f>
        <v>KIT-002</v>
      </c>
      <c r="B208" s="31" t="n">
        <f aca="false">Demand_History!A208</f>
        <v>103</v>
      </c>
      <c r="C208" s="32" t="n">
        <f aca="false">Demand_History!D208</f>
        <v>57</v>
      </c>
      <c r="D208" s="33" t="n">
        <f aca="false">IF(B208&gt;=2,C207,"")</f>
        <v>19</v>
      </c>
      <c r="E208" s="33" t="n">
        <f aca="false">IF(B208&gt;=5,AVERAGE(C204:C207),"")</f>
        <v>47.25</v>
      </c>
      <c r="F208" s="33" t="n">
        <f aca="false">IF(B208&gt;=9,AVERAGE(C200:C207),"")</f>
        <v>48</v>
      </c>
      <c r="G208" s="33" t="n">
        <f aca="false">IF(B208=1,"",IF(B208=2,C207,SES_Alpha*C207+(1-SES_Alpha)*G207))</f>
        <v>41.9253321748673</v>
      </c>
      <c r="H208" s="33" t="n">
        <f aca="false">IF(D208="","",D208-C208)</f>
        <v>-38</v>
      </c>
      <c r="I208" s="33" t="n">
        <f aca="false">IF(E208="","",E208-C208)</f>
        <v>-9.75</v>
      </c>
      <c r="J208" s="33" t="n">
        <f aca="false">IF(F208="","",F208-C208)</f>
        <v>-9</v>
      </c>
      <c r="K208" s="33" t="n">
        <f aca="false">IF(G208="","",G208-C208)</f>
        <v>-15.0746678251327</v>
      </c>
      <c r="L208" s="33" t="n">
        <f aca="false">IF(H208="","",ABS(H208))</f>
        <v>38</v>
      </c>
      <c r="M208" s="33" t="n">
        <f aca="false">IF(I208="","",ABS(I208))</f>
        <v>9.75</v>
      </c>
      <c r="N208" s="33" t="n">
        <f aca="false">IF(J208="","",ABS(J208))</f>
        <v>9</v>
      </c>
      <c r="O208" s="33" t="n">
        <f aca="false">IF(K208="","",ABS(K208))</f>
        <v>15.0746678251327</v>
      </c>
      <c r="P208" s="34" t="str">
        <f aca="false">IF(B208&gt;=Eval_Start_Week,"YES","")</f>
        <v>YES</v>
      </c>
      <c r="Q208" s="34" t="str">
        <f aca="false">IF(AND(B208&gt;=Cal_Start_Week,B208&lt;=Cal_End_Week),"YES","")</f>
        <v/>
      </c>
    </row>
    <row r="209" customFormat="false" ht="15" hidden="false" customHeight="false" outlineLevel="0" collapsed="false">
      <c r="A209" s="31" t="str">
        <f aca="false">Demand_History!C209</f>
        <v>KIT-002</v>
      </c>
      <c r="B209" s="31" t="n">
        <f aca="false">Demand_History!A209</f>
        <v>104</v>
      </c>
      <c r="C209" s="32" t="n">
        <f aca="false">Demand_History!D209</f>
        <v>30</v>
      </c>
      <c r="D209" s="33" t="n">
        <f aca="false">IF(B209&gt;=2,C208,"")</f>
        <v>57</v>
      </c>
      <c r="E209" s="33" t="n">
        <f aca="false">IF(B209&gt;=5,AVERAGE(C205:C208),"")</f>
        <v>43</v>
      </c>
      <c r="F209" s="33" t="n">
        <f aca="false">IF(B209&gt;=9,AVERAGE(C201:C208),"")</f>
        <v>51.875</v>
      </c>
      <c r="G209" s="33" t="n">
        <f aca="false">IF(B209=1,"",IF(B209=2,C208,SES_Alpha*C208+(1-SES_Alpha)*G208))</f>
        <v>46.4477325224071</v>
      </c>
      <c r="H209" s="33" t="n">
        <f aca="false">IF(D209="","",D209-C209)</f>
        <v>27</v>
      </c>
      <c r="I209" s="33" t="n">
        <f aca="false">IF(E209="","",E209-C209)</f>
        <v>13</v>
      </c>
      <c r="J209" s="33" t="n">
        <f aca="false">IF(F209="","",F209-C209)</f>
        <v>21.875</v>
      </c>
      <c r="K209" s="33" t="n">
        <f aca="false">IF(G209="","",G209-C209)</f>
        <v>16.4477325224071</v>
      </c>
      <c r="L209" s="33" t="n">
        <f aca="false">IF(H209="","",ABS(H209))</f>
        <v>27</v>
      </c>
      <c r="M209" s="33" t="n">
        <f aca="false">IF(I209="","",ABS(I209))</f>
        <v>13</v>
      </c>
      <c r="N209" s="33" t="n">
        <f aca="false">IF(J209="","",ABS(J209))</f>
        <v>21.875</v>
      </c>
      <c r="O209" s="33" t="n">
        <f aca="false">IF(K209="","",ABS(K209))</f>
        <v>16.4477325224071</v>
      </c>
      <c r="P209" s="34" t="str">
        <f aca="false">IF(B209&gt;=Eval_Start_Week,"YES","")</f>
        <v>YES</v>
      </c>
      <c r="Q209" s="34" t="str">
        <f aca="false">IF(AND(B209&gt;=Cal_Start_Week,B209&lt;=Cal_End_Week),"YES","")</f>
        <v/>
      </c>
    </row>
    <row r="210" customFormat="false" ht="15" hidden="false" customHeight="false" outlineLevel="0" collapsed="false">
      <c r="A210" s="31" t="str">
        <f aca="false">Demand_History!C210</f>
        <v>KIT-003</v>
      </c>
      <c r="B210" s="31" t="n">
        <f aca="false">Demand_History!A210</f>
        <v>1</v>
      </c>
      <c r="C210" s="32" t="n">
        <f aca="false">Demand_History!D210</f>
        <v>45</v>
      </c>
      <c r="D210" s="33" t="str">
        <f aca="false">IF(B210&gt;=2,C209,"")</f>
        <v/>
      </c>
      <c r="E210" s="33" t="str">
        <f aca="false">IF(B210&gt;=5,AVERAGE(C206:C209),"")</f>
        <v/>
      </c>
      <c r="F210" s="33" t="str">
        <f aca="false">IF(B210&gt;=9,AVERAGE(C202:C209),"")</f>
        <v/>
      </c>
      <c r="G210" s="33" t="str">
        <f aca="false">IF(B210=1,"",IF(B210=2,C209,SES_Alpha*C209+(1-SES_Alpha)*G209))</f>
        <v/>
      </c>
      <c r="H210" s="33" t="str">
        <f aca="false">IF(D210="","",D210-C210)</f>
        <v/>
      </c>
      <c r="I210" s="33" t="str">
        <f aca="false">IF(E210="","",E210-C210)</f>
        <v/>
      </c>
      <c r="J210" s="33" t="str">
        <f aca="false">IF(F210="","",F210-C210)</f>
        <v/>
      </c>
      <c r="K210" s="33" t="str">
        <f aca="false">IF(G210="","",G210-C210)</f>
        <v/>
      </c>
      <c r="L210" s="33" t="str">
        <f aca="false">IF(H210="","",ABS(H210))</f>
        <v/>
      </c>
      <c r="M210" s="33" t="str">
        <f aca="false">IF(I210="","",ABS(I210))</f>
        <v/>
      </c>
      <c r="N210" s="33" t="str">
        <f aca="false">IF(J210="","",ABS(J210))</f>
        <v/>
      </c>
      <c r="O210" s="33" t="str">
        <f aca="false">IF(K210="","",ABS(K210))</f>
        <v/>
      </c>
      <c r="P210" s="34" t="str">
        <f aca="false">IF(B210&gt;=Eval_Start_Week,"YES","")</f>
        <v/>
      </c>
      <c r="Q210" s="34" t="str">
        <f aca="false">IF(AND(B210&gt;=Cal_Start_Week,B210&lt;=Cal_End_Week),"YES","")</f>
        <v/>
      </c>
    </row>
    <row r="211" customFormat="false" ht="15" hidden="false" customHeight="false" outlineLevel="0" collapsed="false">
      <c r="A211" s="31" t="str">
        <f aca="false">Demand_History!C211</f>
        <v>KIT-003</v>
      </c>
      <c r="B211" s="31" t="n">
        <f aca="false">Demand_History!A211</f>
        <v>2</v>
      </c>
      <c r="C211" s="32" t="n">
        <f aca="false">Demand_History!D211</f>
        <v>51</v>
      </c>
      <c r="D211" s="33" t="n">
        <f aca="false">IF(B211&gt;=2,C210,"")</f>
        <v>45</v>
      </c>
      <c r="E211" s="33" t="str">
        <f aca="false">IF(B211&gt;=5,AVERAGE(C207:C210),"")</f>
        <v/>
      </c>
      <c r="F211" s="33" t="str">
        <f aca="false">IF(B211&gt;=9,AVERAGE(C203:C210),"")</f>
        <v/>
      </c>
      <c r="G211" s="33" t="n">
        <f aca="false">IF(B211=1,"",IF(B211=2,C210,SES_Alpha*C210+(1-SES_Alpha)*G210))</f>
        <v>45</v>
      </c>
      <c r="H211" s="33" t="n">
        <f aca="false">IF(D211="","",D211-C211)</f>
        <v>-6</v>
      </c>
      <c r="I211" s="33" t="str">
        <f aca="false">IF(E211="","",E211-C211)</f>
        <v/>
      </c>
      <c r="J211" s="33" t="str">
        <f aca="false">IF(F211="","",F211-C211)</f>
        <v/>
      </c>
      <c r="K211" s="33" t="n">
        <f aca="false">IF(G211="","",G211-C211)</f>
        <v>-6</v>
      </c>
      <c r="L211" s="33" t="n">
        <f aca="false">IF(H211="","",ABS(H211))</f>
        <v>6</v>
      </c>
      <c r="M211" s="33" t="str">
        <f aca="false">IF(I211="","",ABS(I211))</f>
        <v/>
      </c>
      <c r="N211" s="33" t="str">
        <f aca="false">IF(J211="","",ABS(J211))</f>
        <v/>
      </c>
      <c r="O211" s="33" t="n">
        <f aca="false">IF(K211="","",ABS(K211))</f>
        <v>6</v>
      </c>
      <c r="P211" s="34" t="str">
        <f aca="false">IF(B211&gt;=Eval_Start_Week,"YES","")</f>
        <v/>
      </c>
      <c r="Q211" s="34" t="str">
        <f aca="false">IF(AND(B211&gt;=Cal_Start_Week,B211&lt;=Cal_End_Week),"YES","")</f>
        <v/>
      </c>
    </row>
    <row r="212" customFormat="false" ht="15" hidden="false" customHeight="false" outlineLevel="0" collapsed="false">
      <c r="A212" s="31" t="str">
        <f aca="false">Demand_History!C212</f>
        <v>KIT-003</v>
      </c>
      <c r="B212" s="31" t="n">
        <f aca="false">Demand_History!A212</f>
        <v>3</v>
      </c>
      <c r="C212" s="32" t="n">
        <f aca="false">Demand_History!D212</f>
        <v>36</v>
      </c>
      <c r="D212" s="33" t="n">
        <f aca="false">IF(B212&gt;=2,C211,"")</f>
        <v>51</v>
      </c>
      <c r="E212" s="33" t="str">
        <f aca="false">IF(B212&gt;=5,AVERAGE(C208:C211),"")</f>
        <v/>
      </c>
      <c r="F212" s="33" t="str">
        <f aca="false">IF(B212&gt;=9,AVERAGE(C204:C211),"")</f>
        <v/>
      </c>
      <c r="G212" s="33" t="n">
        <f aca="false">IF(B212=1,"",IF(B212=2,C211,SES_Alpha*C211+(1-SES_Alpha)*G211))</f>
        <v>46.8</v>
      </c>
      <c r="H212" s="33" t="n">
        <f aca="false">IF(D212="","",D212-C212)</f>
        <v>15</v>
      </c>
      <c r="I212" s="33" t="str">
        <f aca="false">IF(E212="","",E212-C212)</f>
        <v/>
      </c>
      <c r="J212" s="33" t="str">
        <f aca="false">IF(F212="","",F212-C212)</f>
        <v/>
      </c>
      <c r="K212" s="33" t="n">
        <f aca="false">IF(G212="","",G212-C212)</f>
        <v>10.8</v>
      </c>
      <c r="L212" s="33" t="n">
        <f aca="false">IF(H212="","",ABS(H212))</f>
        <v>15</v>
      </c>
      <c r="M212" s="33" t="str">
        <f aca="false">IF(I212="","",ABS(I212))</f>
        <v/>
      </c>
      <c r="N212" s="33" t="str">
        <f aca="false">IF(J212="","",ABS(J212))</f>
        <v/>
      </c>
      <c r="O212" s="33" t="n">
        <f aca="false">IF(K212="","",ABS(K212))</f>
        <v>10.8</v>
      </c>
      <c r="P212" s="34" t="str">
        <f aca="false">IF(B212&gt;=Eval_Start_Week,"YES","")</f>
        <v/>
      </c>
      <c r="Q212" s="34" t="str">
        <f aca="false">IF(AND(B212&gt;=Cal_Start_Week,B212&lt;=Cal_End_Week),"YES","")</f>
        <v/>
      </c>
    </row>
    <row r="213" customFormat="false" ht="15" hidden="false" customHeight="false" outlineLevel="0" collapsed="false">
      <c r="A213" s="31" t="str">
        <f aca="false">Demand_History!C213</f>
        <v>KIT-003</v>
      </c>
      <c r="B213" s="31" t="n">
        <f aca="false">Demand_History!A213</f>
        <v>4</v>
      </c>
      <c r="C213" s="32" t="n">
        <f aca="false">Demand_History!D213</f>
        <v>33</v>
      </c>
      <c r="D213" s="33" t="n">
        <f aca="false">IF(B213&gt;=2,C212,"")</f>
        <v>36</v>
      </c>
      <c r="E213" s="33" t="str">
        <f aca="false">IF(B213&gt;=5,AVERAGE(C209:C212),"")</f>
        <v/>
      </c>
      <c r="F213" s="33" t="str">
        <f aca="false">IF(B213&gt;=9,AVERAGE(C205:C212),"")</f>
        <v/>
      </c>
      <c r="G213" s="33" t="n">
        <f aca="false">IF(B213=1,"",IF(B213=2,C212,SES_Alpha*C212+(1-SES_Alpha)*G212))</f>
        <v>43.56</v>
      </c>
      <c r="H213" s="33" t="n">
        <f aca="false">IF(D213="","",D213-C213)</f>
        <v>3</v>
      </c>
      <c r="I213" s="33" t="str">
        <f aca="false">IF(E213="","",E213-C213)</f>
        <v/>
      </c>
      <c r="J213" s="33" t="str">
        <f aca="false">IF(F213="","",F213-C213)</f>
        <v/>
      </c>
      <c r="K213" s="33" t="n">
        <f aca="false">IF(G213="","",G213-C213)</f>
        <v>10.56</v>
      </c>
      <c r="L213" s="33" t="n">
        <f aca="false">IF(H213="","",ABS(H213))</f>
        <v>3</v>
      </c>
      <c r="M213" s="33" t="str">
        <f aca="false">IF(I213="","",ABS(I213))</f>
        <v/>
      </c>
      <c r="N213" s="33" t="str">
        <f aca="false">IF(J213="","",ABS(J213))</f>
        <v/>
      </c>
      <c r="O213" s="33" t="n">
        <f aca="false">IF(K213="","",ABS(K213))</f>
        <v>10.56</v>
      </c>
      <c r="P213" s="34" t="str">
        <f aca="false">IF(B213&gt;=Eval_Start_Week,"YES","")</f>
        <v/>
      </c>
      <c r="Q213" s="34" t="str">
        <f aca="false">IF(AND(B213&gt;=Cal_Start_Week,B213&lt;=Cal_End_Week),"YES","")</f>
        <v/>
      </c>
    </row>
    <row r="214" customFormat="false" ht="15" hidden="false" customHeight="false" outlineLevel="0" collapsed="false">
      <c r="A214" s="31" t="str">
        <f aca="false">Demand_History!C214</f>
        <v>KIT-003</v>
      </c>
      <c r="B214" s="31" t="n">
        <f aca="false">Demand_History!A214</f>
        <v>5</v>
      </c>
      <c r="C214" s="32" t="n">
        <f aca="false">Demand_History!D214</f>
        <v>49</v>
      </c>
      <c r="D214" s="33" t="n">
        <f aca="false">IF(B214&gt;=2,C213,"")</f>
        <v>33</v>
      </c>
      <c r="E214" s="33" t="n">
        <f aca="false">IF(B214&gt;=5,AVERAGE(C210:C213),"")</f>
        <v>41.25</v>
      </c>
      <c r="F214" s="33" t="str">
        <f aca="false">IF(B214&gt;=9,AVERAGE(C206:C213),"")</f>
        <v/>
      </c>
      <c r="G214" s="33" t="n">
        <f aca="false">IF(B214=1,"",IF(B214=2,C213,SES_Alpha*C213+(1-SES_Alpha)*G213))</f>
        <v>40.392</v>
      </c>
      <c r="H214" s="33" t="n">
        <f aca="false">IF(D214="","",D214-C214)</f>
        <v>-16</v>
      </c>
      <c r="I214" s="33" t="n">
        <f aca="false">IF(E214="","",E214-C214)</f>
        <v>-7.75</v>
      </c>
      <c r="J214" s="33" t="str">
        <f aca="false">IF(F214="","",F214-C214)</f>
        <v/>
      </c>
      <c r="K214" s="33" t="n">
        <f aca="false">IF(G214="","",G214-C214)</f>
        <v>-8.608</v>
      </c>
      <c r="L214" s="33" t="n">
        <f aca="false">IF(H214="","",ABS(H214))</f>
        <v>16</v>
      </c>
      <c r="M214" s="33" t="n">
        <f aca="false">IF(I214="","",ABS(I214))</f>
        <v>7.75</v>
      </c>
      <c r="N214" s="33" t="str">
        <f aca="false">IF(J214="","",ABS(J214))</f>
        <v/>
      </c>
      <c r="O214" s="33" t="n">
        <f aca="false">IF(K214="","",ABS(K214))</f>
        <v>8.608</v>
      </c>
      <c r="P214" s="34" t="str">
        <f aca="false">IF(B214&gt;=Eval_Start_Week,"YES","")</f>
        <v/>
      </c>
      <c r="Q214" s="34" t="str">
        <f aca="false">IF(AND(B214&gt;=Cal_Start_Week,B214&lt;=Cal_End_Week),"YES","")</f>
        <v/>
      </c>
    </row>
    <row r="215" customFormat="false" ht="15" hidden="false" customHeight="false" outlineLevel="0" collapsed="false">
      <c r="A215" s="31" t="str">
        <f aca="false">Demand_History!C215</f>
        <v>KIT-003</v>
      </c>
      <c r="B215" s="31" t="n">
        <f aca="false">Demand_History!A215</f>
        <v>6</v>
      </c>
      <c r="C215" s="32" t="n">
        <f aca="false">Demand_History!D215</f>
        <v>48</v>
      </c>
      <c r="D215" s="33" t="n">
        <f aca="false">IF(B215&gt;=2,C214,"")</f>
        <v>49</v>
      </c>
      <c r="E215" s="33" t="n">
        <f aca="false">IF(B215&gt;=5,AVERAGE(C211:C214),"")</f>
        <v>42.25</v>
      </c>
      <c r="F215" s="33" t="str">
        <f aca="false">IF(B215&gt;=9,AVERAGE(C207:C214),"")</f>
        <v/>
      </c>
      <c r="G215" s="33" t="n">
        <f aca="false">IF(B215=1,"",IF(B215=2,C214,SES_Alpha*C214+(1-SES_Alpha)*G214))</f>
        <v>42.9744</v>
      </c>
      <c r="H215" s="33" t="n">
        <f aca="false">IF(D215="","",D215-C215)</f>
        <v>1</v>
      </c>
      <c r="I215" s="33" t="n">
        <f aca="false">IF(E215="","",E215-C215)</f>
        <v>-5.75</v>
      </c>
      <c r="J215" s="33" t="str">
        <f aca="false">IF(F215="","",F215-C215)</f>
        <v/>
      </c>
      <c r="K215" s="33" t="n">
        <f aca="false">IF(G215="","",G215-C215)</f>
        <v>-5.0256</v>
      </c>
      <c r="L215" s="33" t="n">
        <f aca="false">IF(H215="","",ABS(H215))</f>
        <v>1</v>
      </c>
      <c r="M215" s="33" t="n">
        <f aca="false">IF(I215="","",ABS(I215))</f>
        <v>5.75</v>
      </c>
      <c r="N215" s="33" t="str">
        <f aca="false">IF(J215="","",ABS(J215))</f>
        <v/>
      </c>
      <c r="O215" s="33" t="n">
        <f aca="false">IF(K215="","",ABS(K215))</f>
        <v>5.0256</v>
      </c>
      <c r="P215" s="34" t="str">
        <f aca="false">IF(B215&gt;=Eval_Start_Week,"YES","")</f>
        <v/>
      </c>
      <c r="Q215" s="34" t="str">
        <f aca="false">IF(AND(B215&gt;=Cal_Start_Week,B215&lt;=Cal_End_Week),"YES","")</f>
        <v/>
      </c>
    </row>
    <row r="216" customFormat="false" ht="15" hidden="false" customHeight="false" outlineLevel="0" collapsed="false">
      <c r="A216" s="31" t="str">
        <f aca="false">Demand_History!C216</f>
        <v>KIT-003</v>
      </c>
      <c r="B216" s="31" t="n">
        <f aca="false">Demand_History!A216</f>
        <v>7</v>
      </c>
      <c r="C216" s="32" t="n">
        <f aca="false">Demand_History!D216</f>
        <v>47</v>
      </c>
      <c r="D216" s="33" t="n">
        <f aca="false">IF(B216&gt;=2,C215,"")</f>
        <v>48</v>
      </c>
      <c r="E216" s="33" t="n">
        <f aca="false">IF(B216&gt;=5,AVERAGE(C212:C215),"")</f>
        <v>41.5</v>
      </c>
      <c r="F216" s="33" t="str">
        <f aca="false">IF(B216&gt;=9,AVERAGE(C208:C215),"")</f>
        <v/>
      </c>
      <c r="G216" s="33" t="n">
        <f aca="false">IF(B216=1,"",IF(B216=2,C215,SES_Alpha*C215+(1-SES_Alpha)*G215))</f>
        <v>44.48208</v>
      </c>
      <c r="H216" s="33" t="n">
        <f aca="false">IF(D216="","",D216-C216)</f>
        <v>1</v>
      </c>
      <c r="I216" s="33" t="n">
        <f aca="false">IF(E216="","",E216-C216)</f>
        <v>-5.5</v>
      </c>
      <c r="J216" s="33" t="str">
        <f aca="false">IF(F216="","",F216-C216)</f>
        <v/>
      </c>
      <c r="K216" s="33" t="n">
        <f aca="false">IF(G216="","",G216-C216)</f>
        <v>-2.51792</v>
      </c>
      <c r="L216" s="33" t="n">
        <f aca="false">IF(H216="","",ABS(H216))</f>
        <v>1</v>
      </c>
      <c r="M216" s="33" t="n">
        <f aca="false">IF(I216="","",ABS(I216))</f>
        <v>5.5</v>
      </c>
      <c r="N216" s="33" t="str">
        <f aca="false">IF(J216="","",ABS(J216))</f>
        <v/>
      </c>
      <c r="O216" s="33" t="n">
        <f aca="false">IF(K216="","",ABS(K216))</f>
        <v>2.51792</v>
      </c>
      <c r="P216" s="34" t="str">
        <f aca="false">IF(B216&gt;=Eval_Start_Week,"YES","")</f>
        <v/>
      </c>
      <c r="Q216" s="34" t="str">
        <f aca="false">IF(AND(B216&gt;=Cal_Start_Week,B216&lt;=Cal_End_Week),"YES","")</f>
        <v/>
      </c>
    </row>
    <row r="217" customFormat="false" ht="15" hidden="false" customHeight="false" outlineLevel="0" collapsed="false">
      <c r="A217" s="31" t="str">
        <f aca="false">Demand_History!C217</f>
        <v>KIT-003</v>
      </c>
      <c r="B217" s="31" t="n">
        <f aca="false">Demand_History!A217</f>
        <v>8</v>
      </c>
      <c r="C217" s="32" t="n">
        <f aca="false">Demand_History!D217</f>
        <v>49</v>
      </c>
      <c r="D217" s="33" t="n">
        <f aca="false">IF(B217&gt;=2,C216,"")</f>
        <v>47</v>
      </c>
      <c r="E217" s="33" t="n">
        <f aca="false">IF(B217&gt;=5,AVERAGE(C213:C216),"")</f>
        <v>44.25</v>
      </c>
      <c r="F217" s="33" t="str">
        <f aca="false">IF(B217&gt;=9,AVERAGE(C209:C216),"")</f>
        <v/>
      </c>
      <c r="G217" s="33" t="n">
        <f aca="false">IF(B217=1,"",IF(B217=2,C216,SES_Alpha*C216+(1-SES_Alpha)*G216))</f>
        <v>45.237456</v>
      </c>
      <c r="H217" s="33" t="n">
        <f aca="false">IF(D217="","",D217-C217)</f>
        <v>-2</v>
      </c>
      <c r="I217" s="33" t="n">
        <f aca="false">IF(E217="","",E217-C217)</f>
        <v>-4.75</v>
      </c>
      <c r="J217" s="33" t="str">
        <f aca="false">IF(F217="","",F217-C217)</f>
        <v/>
      </c>
      <c r="K217" s="33" t="n">
        <f aca="false">IF(G217="","",G217-C217)</f>
        <v>-3.76254400000001</v>
      </c>
      <c r="L217" s="33" t="n">
        <f aca="false">IF(H217="","",ABS(H217))</f>
        <v>2</v>
      </c>
      <c r="M217" s="33" t="n">
        <f aca="false">IF(I217="","",ABS(I217))</f>
        <v>4.75</v>
      </c>
      <c r="N217" s="33" t="str">
        <f aca="false">IF(J217="","",ABS(J217))</f>
        <v/>
      </c>
      <c r="O217" s="33" t="n">
        <f aca="false">IF(K217="","",ABS(K217))</f>
        <v>3.76254400000001</v>
      </c>
      <c r="P217" s="34" t="str">
        <f aca="false">IF(B217&gt;=Eval_Start_Week,"YES","")</f>
        <v/>
      </c>
      <c r="Q217" s="34" t="str">
        <f aca="false">IF(AND(B217&gt;=Cal_Start_Week,B217&lt;=Cal_End_Week),"YES","")</f>
        <v/>
      </c>
    </row>
    <row r="218" customFormat="false" ht="15" hidden="false" customHeight="false" outlineLevel="0" collapsed="false">
      <c r="A218" s="31" t="str">
        <f aca="false">Demand_History!C218</f>
        <v>KIT-003</v>
      </c>
      <c r="B218" s="31" t="n">
        <f aca="false">Demand_History!A218</f>
        <v>9</v>
      </c>
      <c r="C218" s="32" t="n">
        <f aca="false">Demand_History!D218</f>
        <v>44</v>
      </c>
      <c r="D218" s="33" t="n">
        <f aca="false">IF(B218&gt;=2,C217,"")</f>
        <v>49</v>
      </c>
      <c r="E218" s="33" t="n">
        <f aca="false">IF(B218&gt;=5,AVERAGE(C214:C217),"")</f>
        <v>48.25</v>
      </c>
      <c r="F218" s="33" t="n">
        <f aca="false">IF(B218&gt;=9,AVERAGE(C210:C217),"")</f>
        <v>44.75</v>
      </c>
      <c r="G218" s="33" t="n">
        <f aca="false">IF(B218=1,"",IF(B218=2,C217,SES_Alpha*C217+(1-SES_Alpha)*G217))</f>
        <v>46.3662192</v>
      </c>
      <c r="H218" s="33" t="n">
        <f aca="false">IF(D218="","",D218-C218)</f>
        <v>5</v>
      </c>
      <c r="I218" s="33" t="n">
        <f aca="false">IF(E218="","",E218-C218)</f>
        <v>4.25</v>
      </c>
      <c r="J218" s="33" t="n">
        <f aca="false">IF(F218="","",F218-C218)</f>
        <v>0.75</v>
      </c>
      <c r="K218" s="33" t="n">
        <f aca="false">IF(G218="","",G218-C218)</f>
        <v>2.36621919999999</v>
      </c>
      <c r="L218" s="33" t="n">
        <f aca="false">IF(H218="","",ABS(H218))</f>
        <v>5</v>
      </c>
      <c r="M218" s="33" t="n">
        <f aca="false">IF(I218="","",ABS(I218))</f>
        <v>4.25</v>
      </c>
      <c r="N218" s="33" t="n">
        <f aca="false">IF(J218="","",ABS(J218))</f>
        <v>0.75</v>
      </c>
      <c r="O218" s="33" t="n">
        <f aca="false">IF(K218="","",ABS(K218))</f>
        <v>2.36621919999999</v>
      </c>
      <c r="P218" s="34" t="str">
        <f aca="false">IF(B218&gt;=Eval_Start_Week,"YES","")</f>
        <v/>
      </c>
      <c r="Q218" s="34" t="str">
        <f aca="false">IF(AND(B218&gt;=Cal_Start_Week,B218&lt;=Cal_End_Week),"YES","")</f>
        <v/>
      </c>
    </row>
    <row r="219" customFormat="false" ht="15" hidden="false" customHeight="false" outlineLevel="0" collapsed="false">
      <c r="A219" s="31" t="str">
        <f aca="false">Demand_History!C219</f>
        <v>KIT-003</v>
      </c>
      <c r="B219" s="31" t="n">
        <f aca="false">Demand_History!A219</f>
        <v>10</v>
      </c>
      <c r="C219" s="32" t="n">
        <f aca="false">Demand_History!D219</f>
        <v>39</v>
      </c>
      <c r="D219" s="33" t="n">
        <f aca="false">IF(B219&gt;=2,C218,"")</f>
        <v>44</v>
      </c>
      <c r="E219" s="33" t="n">
        <f aca="false">IF(B219&gt;=5,AVERAGE(C215:C218),"")</f>
        <v>47</v>
      </c>
      <c r="F219" s="33" t="n">
        <f aca="false">IF(B219&gt;=9,AVERAGE(C211:C218),"")</f>
        <v>44.625</v>
      </c>
      <c r="G219" s="33" t="n">
        <f aca="false">IF(B219=1,"",IF(B219=2,C218,SES_Alpha*C218+(1-SES_Alpha)*G218))</f>
        <v>45.65635344</v>
      </c>
      <c r="H219" s="33" t="n">
        <f aca="false">IF(D219="","",D219-C219)</f>
        <v>5</v>
      </c>
      <c r="I219" s="33" t="n">
        <f aca="false">IF(E219="","",E219-C219)</f>
        <v>8</v>
      </c>
      <c r="J219" s="33" t="n">
        <f aca="false">IF(F219="","",F219-C219)</f>
        <v>5.625</v>
      </c>
      <c r="K219" s="33" t="n">
        <f aca="false">IF(G219="","",G219-C219)</f>
        <v>6.65635343999999</v>
      </c>
      <c r="L219" s="33" t="n">
        <f aca="false">IF(H219="","",ABS(H219))</f>
        <v>5</v>
      </c>
      <c r="M219" s="33" t="n">
        <f aca="false">IF(I219="","",ABS(I219))</f>
        <v>8</v>
      </c>
      <c r="N219" s="33" t="n">
        <f aca="false">IF(J219="","",ABS(J219))</f>
        <v>5.625</v>
      </c>
      <c r="O219" s="33" t="n">
        <f aca="false">IF(K219="","",ABS(K219))</f>
        <v>6.65635343999999</v>
      </c>
      <c r="P219" s="34" t="str">
        <f aca="false">IF(B219&gt;=Eval_Start_Week,"YES","")</f>
        <v/>
      </c>
      <c r="Q219" s="34" t="str">
        <f aca="false">IF(AND(B219&gt;=Cal_Start_Week,B219&lt;=Cal_End_Week),"YES","")</f>
        <v/>
      </c>
    </row>
    <row r="220" customFormat="false" ht="15" hidden="false" customHeight="false" outlineLevel="0" collapsed="false">
      <c r="A220" s="31" t="str">
        <f aca="false">Demand_History!C220</f>
        <v>KIT-003</v>
      </c>
      <c r="B220" s="31" t="n">
        <f aca="false">Demand_History!A220</f>
        <v>11</v>
      </c>
      <c r="C220" s="32" t="n">
        <f aca="false">Demand_History!D220</f>
        <v>49</v>
      </c>
      <c r="D220" s="33" t="n">
        <f aca="false">IF(B220&gt;=2,C219,"")</f>
        <v>39</v>
      </c>
      <c r="E220" s="33" t="n">
        <f aca="false">IF(B220&gt;=5,AVERAGE(C216:C219),"")</f>
        <v>44.75</v>
      </c>
      <c r="F220" s="33" t="n">
        <f aca="false">IF(B220&gt;=9,AVERAGE(C212:C219),"")</f>
        <v>43.125</v>
      </c>
      <c r="G220" s="33" t="n">
        <f aca="false">IF(B220=1,"",IF(B220=2,C219,SES_Alpha*C219+(1-SES_Alpha)*G219))</f>
        <v>43.659447408</v>
      </c>
      <c r="H220" s="33" t="n">
        <f aca="false">IF(D220="","",D220-C220)</f>
        <v>-10</v>
      </c>
      <c r="I220" s="33" t="n">
        <f aca="false">IF(E220="","",E220-C220)</f>
        <v>-4.25</v>
      </c>
      <c r="J220" s="33" t="n">
        <f aca="false">IF(F220="","",F220-C220)</f>
        <v>-5.875</v>
      </c>
      <c r="K220" s="33" t="n">
        <f aca="false">IF(G220="","",G220-C220)</f>
        <v>-5.34055259200001</v>
      </c>
      <c r="L220" s="33" t="n">
        <f aca="false">IF(H220="","",ABS(H220))</f>
        <v>10</v>
      </c>
      <c r="M220" s="33" t="n">
        <f aca="false">IF(I220="","",ABS(I220))</f>
        <v>4.25</v>
      </c>
      <c r="N220" s="33" t="n">
        <f aca="false">IF(J220="","",ABS(J220))</f>
        <v>5.875</v>
      </c>
      <c r="O220" s="33" t="n">
        <f aca="false">IF(K220="","",ABS(K220))</f>
        <v>5.34055259200001</v>
      </c>
      <c r="P220" s="34" t="str">
        <f aca="false">IF(B220&gt;=Eval_Start_Week,"YES","")</f>
        <v/>
      </c>
      <c r="Q220" s="34" t="str">
        <f aca="false">IF(AND(B220&gt;=Cal_Start_Week,B220&lt;=Cal_End_Week),"YES","")</f>
        <v/>
      </c>
    </row>
    <row r="221" customFormat="false" ht="15" hidden="false" customHeight="false" outlineLevel="0" collapsed="false">
      <c r="A221" s="31" t="str">
        <f aca="false">Demand_History!C221</f>
        <v>KIT-003</v>
      </c>
      <c r="B221" s="31" t="n">
        <f aca="false">Demand_History!A221</f>
        <v>12</v>
      </c>
      <c r="C221" s="32" t="n">
        <f aca="false">Demand_History!D221</f>
        <v>44</v>
      </c>
      <c r="D221" s="33" t="n">
        <f aca="false">IF(B221&gt;=2,C220,"")</f>
        <v>49</v>
      </c>
      <c r="E221" s="33" t="n">
        <f aca="false">IF(B221&gt;=5,AVERAGE(C217:C220),"")</f>
        <v>45.25</v>
      </c>
      <c r="F221" s="33" t="n">
        <f aca="false">IF(B221&gt;=9,AVERAGE(C213:C220),"")</f>
        <v>44.75</v>
      </c>
      <c r="G221" s="33" t="n">
        <f aca="false">IF(B221=1,"",IF(B221=2,C220,SES_Alpha*C220+(1-SES_Alpha)*G220))</f>
        <v>45.2616131856</v>
      </c>
      <c r="H221" s="33" t="n">
        <f aca="false">IF(D221="","",D221-C221)</f>
        <v>5</v>
      </c>
      <c r="I221" s="33" t="n">
        <f aca="false">IF(E221="","",E221-C221)</f>
        <v>1.25</v>
      </c>
      <c r="J221" s="33" t="n">
        <f aca="false">IF(F221="","",F221-C221)</f>
        <v>0.75</v>
      </c>
      <c r="K221" s="33" t="n">
        <f aca="false">IF(G221="","",G221-C221)</f>
        <v>1.26161318559999</v>
      </c>
      <c r="L221" s="33" t="n">
        <f aca="false">IF(H221="","",ABS(H221))</f>
        <v>5</v>
      </c>
      <c r="M221" s="33" t="n">
        <f aca="false">IF(I221="","",ABS(I221))</f>
        <v>1.25</v>
      </c>
      <c r="N221" s="33" t="n">
        <f aca="false">IF(J221="","",ABS(J221))</f>
        <v>0.75</v>
      </c>
      <c r="O221" s="33" t="n">
        <f aca="false">IF(K221="","",ABS(K221))</f>
        <v>1.26161318559999</v>
      </c>
      <c r="P221" s="34" t="str">
        <f aca="false">IF(B221&gt;=Eval_Start_Week,"YES","")</f>
        <v/>
      </c>
      <c r="Q221" s="34" t="str">
        <f aca="false">IF(AND(B221&gt;=Cal_Start_Week,B221&lt;=Cal_End_Week),"YES","")</f>
        <v/>
      </c>
    </row>
    <row r="222" customFormat="false" ht="15" hidden="false" customHeight="false" outlineLevel="0" collapsed="false">
      <c r="A222" s="31" t="str">
        <f aca="false">Demand_History!C222</f>
        <v>KIT-003</v>
      </c>
      <c r="B222" s="31" t="n">
        <f aca="false">Demand_History!A222</f>
        <v>13</v>
      </c>
      <c r="C222" s="32" t="n">
        <f aca="false">Demand_History!D222</f>
        <v>40</v>
      </c>
      <c r="D222" s="33" t="n">
        <f aca="false">IF(B222&gt;=2,C221,"")</f>
        <v>44</v>
      </c>
      <c r="E222" s="33" t="n">
        <f aca="false">IF(B222&gt;=5,AVERAGE(C218:C221),"")</f>
        <v>44</v>
      </c>
      <c r="F222" s="33" t="n">
        <f aca="false">IF(B222&gt;=9,AVERAGE(C214:C221),"")</f>
        <v>46.125</v>
      </c>
      <c r="G222" s="33" t="n">
        <f aca="false">IF(B222=1,"",IF(B222=2,C221,SES_Alpha*C221+(1-SES_Alpha)*G221))</f>
        <v>44.88312922992</v>
      </c>
      <c r="H222" s="33" t="n">
        <f aca="false">IF(D222="","",D222-C222)</f>
        <v>4</v>
      </c>
      <c r="I222" s="33" t="n">
        <f aca="false">IF(E222="","",E222-C222)</f>
        <v>4</v>
      </c>
      <c r="J222" s="33" t="n">
        <f aca="false">IF(F222="","",F222-C222)</f>
        <v>6.125</v>
      </c>
      <c r="K222" s="33" t="n">
        <f aca="false">IF(G222="","",G222-C222)</f>
        <v>4.88312922991999</v>
      </c>
      <c r="L222" s="33" t="n">
        <f aca="false">IF(H222="","",ABS(H222))</f>
        <v>4</v>
      </c>
      <c r="M222" s="33" t="n">
        <f aca="false">IF(I222="","",ABS(I222))</f>
        <v>4</v>
      </c>
      <c r="N222" s="33" t="n">
        <f aca="false">IF(J222="","",ABS(J222))</f>
        <v>6.125</v>
      </c>
      <c r="O222" s="33" t="n">
        <f aca="false">IF(K222="","",ABS(K222))</f>
        <v>4.88312922991999</v>
      </c>
      <c r="P222" s="34" t="str">
        <f aca="false">IF(B222&gt;=Eval_Start_Week,"YES","")</f>
        <v/>
      </c>
      <c r="Q222" s="34" t="str">
        <f aca="false">IF(AND(B222&gt;=Cal_Start_Week,B222&lt;=Cal_End_Week),"YES","")</f>
        <v/>
      </c>
    </row>
    <row r="223" customFormat="false" ht="15" hidden="false" customHeight="false" outlineLevel="0" collapsed="false">
      <c r="A223" s="31" t="str">
        <f aca="false">Demand_History!C223</f>
        <v>KIT-003</v>
      </c>
      <c r="B223" s="31" t="n">
        <f aca="false">Demand_History!A223</f>
        <v>14</v>
      </c>
      <c r="C223" s="32" t="n">
        <f aca="false">Demand_History!D223</f>
        <v>56</v>
      </c>
      <c r="D223" s="33" t="n">
        <f aca="false">IF(B223&gt;=2,C222,"")</f>
        <v>40</v>
      </c>
      <c r="E223" s="33" t="n">
        <f aca="false">IF(B223&gt;=5,AVERAGE(C219:C222),"")</f>
        <v>43</v>
      </c>
      <c r="F223" s="33" t="n">
        <f aca="false">IF(B223&gt;=9,AVERAGE(C215:C222),"")</f>
        <v>45</v>
      </c>
      <c r="G223" s="33" t="n">
        <f aca="false">IF(B223=1,"",IF(B223=2,C222,SES_Alpha*C222+(1-SES_Alpha)*G222))</f>
        <v>43.418190460944</v>
      </c>
      <c r="H223" s="33" t="n">
        <f aca="false">IF(D223="","",D223-C223)</f>
        <v>-16</v>
      </c>
      <c r="I223" s="33" t="n">
        <f aca="false">IF(E223="","",E223-C223)</f>
        <v>-13</v>
      </c>
      <c r="J223" s="33" t="n">
        <f aca="false">IF(F223="","",F223-C223)</f>
        <v>-11</v>
      </c>
      <c r="K223" s="33" t="n">
        <f aca="false">IF(G223="","",G223-C223)</f>
        <v>-12.581809539056</v>
      </c>
      <c r="L223" s="33" t="n">
        <f aca="false">IF(H223="","",ABS(H223))</f>
        <v>16</v>
      </c>
      <c r="M223" s="33" t="n">
        <f aca="false">IF(I223="","",ABS(I223))</f>
        <v>13</v>
      </c>
      <c r="N223" s="33" t="n">
        <f aca="false">IF(J223="","",ABS(J223))</f>
        <v>11</v>
      </c>
      <c r="O223" s="33" t="n">
        <f aca="false">IF(K223="","",ABS(K223))</f>
        <v>12.581809539056</v>
      </c>
      <c r="P223" s="34" t="str">
        <f aca="false">IF(B223&gt;=Eval_Start_Week,"YES","")</f>
        <v/>
      </c>
      <c r="Q223" s="34" t="str">
        <f aca="false">IF(AND(B223&gt;=Cal_Start_Week,B223&lt;=Cal_End_Week),"YES","")</f>
        <v/>
      </c>
    </row>
    <row r="224" customFormat="false" ht="15" hidden="false" customHeight="false" outlineLevel="0" collapsed="false">
      <c r="A224" s="31" t="str">
        <f aca="false">Demand_History!C224</f>
        <v>KIT-003</v>
      </c>
      <c r="B224" s="31" t="n">
        <f aca="false">Demand_History!A224</f>
        <v>15</v>
      </c>
      <c r="C224" s="32" t="n">
        <f aca="false">Demand_History!D224</f>
        <v>52</v>
      </c>
      <c r="D224" s="33" t="n">
        <f aca="false">IF(B224&gt;=2,C223,"")</f>
        <v>56</v>
      </c>
      <c r="E224" s="33" t="n">
        <f aca="false">IF(B224&gt;=5,AVERAGE(C220:C223),"")</f>
        <v>47.25</v>
      </c>
      <c r="F224" s="33" t="n">
        <f aca="false">IF(B224&gt;=9,AVERAGE(C216:C223),"")</f>
        <v>46</v>
      </c>
      <c r="G224" s="33" t="n">
        <f aca="false">IF(B224=1,"",IF(B224=2,C223,SES_Alpha*C223+(1-SES_Alpha)*G223))</f>
        <v>47.1927333226608</v>
      </c>
      <c r="H224" s="33" t="n">
        <f aca="false">IF(D224="","",D224-C224)</f>
        <v>4</v>
      </c>
      <c r="I224" s="33" t="n">
        <f aca="false">IF(E224="","",E224-C224)</f>
        <v>-4.75</v>
      </c>
      <c r="J224" s="33" t="n">
        <f aca="false">IF(F224="","",F224-C224)</f>
        <v>-6</v>
      </c>
      <c r="K224" s="33" t="n">
        <f aca="false">IF(G224="","",G224-C224)</f>
        <v>-4.80726667733921</v>
      </c>
      <c r="L224" s="33" t="n">
        <f aca="false">IF(H224="","",ABS(H224))</f>
        <v>4</v>
      </c>
      <c r="M224" s="33" t="n">
        <f aca="false">IF(I224="","",ABS(I224))</f>
        <v>4.75</v>
      </c>
      <c r="N224" s="33" t="n">
        <f aca="false">IF(J224="","",ABS(J224))</f>
        <v>6</v>
      </c>
      <c r="O224" s="33" t="n">
        <f aca="false">IF(K224="","",ABS(K224))</f>
        <v>4.80726667733921</v>
      </c>
      <c r="P224" s="34" t="str">
        <f aca="false">IF(B224&gt;=Eval_Start_Week,"YES","")</f>
        <v/>
      </c>
      <c r="Q224" s="34" t="str">
        <f aca="false">IF(AND(B224&gt;=Cal_Start_Week,B224&lt;=Cal_End_Week),"YES","")</f>
        <v/>
      </c>
    </row>
    <row r="225" customFormat="false" ht="15" hidden="false" customHeight="false" outlineLevel="0" collapsed="false">
      <c r="A225" s="31" t="str">
        <f aca="false">Demand_History!C225</f>
        <v>KIT-003</v>
      </c>
      <c r="B225" s="31" t="n">
        <f aca="false">Demand_History!A225</f>
        <v>16</v>
      </c>
      <c r="C225" s="32" t="n">
        <f aca="false">Demand_History!D225</f>
        <v>56</v>
      </c>
      <c r="D225" s="33" t="n">
        <f aca="false">IF(B225&gt;=2,C224,"")</f>
        <v>52</v>
      </c>
      <c r="E225" s="33" t="n">
        <f aca="false">IF(B225&gt;=5,AVERAGE(C221:C224),"")</f>
        <v>48</v>
      </c>
      <c r="F225" s="33" t="n">
        <f aca="false">IF(B225&gt;=9,AVERAGE(C217:C224),"")</f>
        <v>46.625</v>
      </c>
      <c r="G225" s="33" t="n">
        <f aca="false">IF(B225=1,"",IF(B225=2,C224,SES_Alpha*C224+(1-SES_Alpha)*G224))</f>
        <v>48.6349133258626</v>
      </c>
      <c r="H225" s="33" t="n">
        <f aca="false">IF(D225="","",D225-C225)</f>
        <v>-4</v>
      </c>
      <c r="I225" s="33" t="n">
        <f aca="false">IF(E225="","",E225-C225)</f>
        <v>-8</v>
      </c>
      <c r="J225" s="33" t="n">
        <f aca="false">IF(F225="","",F225-C225)</f>
        <v>-9.375</v>
      </c>
      <c r="K225" s="33" t="n">
        <f aca="false">IF(G225="","",G225-C225)</f>
        <v>-7.36508667413744</v>
      </c>
      <c r="L225" s="33" t="n">
        <f aca="false">IF(H225="","",ABS(H225))</f>
        <v>4</v>
      </c>
      <c r="M225" s="33" t="n">
        <f aca="false">IF(I225="","",ABS(I225))</f>
        <v>8</v>
      </c>
      <c r="N225" s="33" t="n">
        <f aca="false">IF(J225="","",ABS(J225))</f>
        <v>9.375</v>
      </c>
      <c r="O225" s="33" t="n">
        <f aca="false">IF(K225="","",ABS(K225))</f>
        <v>7.36508667413744</v>
      </c>
      <c r="P225" s="34" t="str">
        <f aca="false">IF(B225&gt;=Eval_Start_Week,"YES","")</f>
        <v/>
      </c>
      <c r="Q225" s="34" t="str">
        <f aca="false">IF(AND(B225&gt;=Cal_Start_Week,B225&lt;=Cal_End_Week),"YES","")</f>
        <v/>
      </c>
    </row>
    <row r="226" customFormat="false" ht="15" hidden="false" customHeight="false" outlineLevel="0" collapsed="false">
      <c r="A226" s="31" t="str">
        <f aca="false">Demand_History!C226</f>
        <v>KIT-003</v>
      </c>
      <c r="B226" s="31" t="n">
        <f aca="false">Demand_History!A226</f>
        <v>17</v>
      </c>
      <c r="C226" s="32" t="n">
        <f aca="false">Demand_History!D226</f>
        <v>46</v>
      </c>
      <c r="D226" s="33" t="n">
        <f aca="false">IF(B226&gt;=2,C225,"")</f>
        <v>56</v>
      </c>
      <c r="E226" s="33" t="n">
        <f aca="false">IF(B226&gt;=5,AVERAGE(C222:C225),"")</f>
        <v>51</v>
      </c>
      <c r="F226" s="33" t="n">
        <f aca="false">IF(B226&gt;=9,AVERAGE(C218:C225),"")</f>
        <v>47.5</v>
      </c>
      <c r="G226" s="33" t="n">
        <f aca="false">IF(B226=1,"",IF(B226=2,C225,SES_Alpha*C225+(1-SES_Alpha)*G225))</f>
        <v>50.8444393281038</v>
      </c>
      <c r="H226" s="33" t="n">
        <f aca="false">IF(D226="","",D226-C226)</f>
        <v>10</v>
      </c>
      <c r="I226" s="33" t="n">
        <f aca="false">IF(E226="","",E226-C226)</f>
        <v>5</v>
      </c>
      <c r="J226" s="33" t="n">
        <f aca="false">IF(F226="","",F226-C226)</f>
        <v>1.5</v>
      </c>
      <c r="K226" s="33" t="n">
        <f aca="false">IF(G226="","",G226-C226)</f>
        <v>4.84443932810379</v>
      </c>
      <c r="L226" s="33" t="n">
        <f aca="false">IF(H226="","",ABS(H226))</f>
        <v>10</v>
      </c>
      <c r="M226" s="33" t="n">
        <f aca="false">IF(I226="","",ABS(I226))</f>
        <v>5</v>
      </c>
      <c r="N226" s="33" t="n">
        <f aca="false">IF(J226="","",ABS(J226))</f>
        <v>1.5</v>
      </c>
      <c r="O226" s="33" t="n">
        <f aca="false">IF(K226="","",ABS(K226))</f>
        <v>4.84443932810379</v>
      </c>
      <c r="P226" s="34" t="str">
        <f aca="false">IF(B226&gt;=Eval_Start_Week,"YES","")</f>
        <v/>
      </c>
      <c r="Q226" s="34" t="str">
        <f aca="false">IF(AND(B226&gt;=Cal_Start_Week,B226&lt;=Cal_End_Week),"YES","")</f>
        <v/>
      </c>
    </row>
    <row r="227" customFormat="false" ht="15" hidden="false" customHeight="false" outlineLevel="0" collapsed="false">
      <c r="A227" s="31" t="str">
        <f aca="false">Demand_History!C227</f>
        <v>KIT-003</v>
      </c>
      <c r="B227" s="31" t="n">
        <f aca="false">Demand_History!A227</f>
        <v>18</v>
      </c>
      <c r="C227" s="32" t="n">
        <f aca="false">Demand_History!D227</f>
        <v>49</v>
      </c>
      <c r="D227" s="33" t="n">
        <f aca="false">IF(B227&gt;=2,C226,"")</f>
        <v>46</v>
      </c>
      <c r="E227" s="33" t="n">
        <f aca="false">IF(B227&gt;=5,AVERAGE(C223:C226),"")</f>
        <v>52.5</v>
      </c>
      <c r="F227" s="33" t="n">
        <f aca="false">IF(B227&gt;=9,AVERAGE(C219:C226),"")</f>
        <v>47.75</v>
      </c>
      <c r="G227" s="33" t="n">
        <f aca="false">IF(B227=1,"",IF(B227=2,C226,SES_Alpha*C226+(1-SES_Alpha)*G226))</f>
        <v>49.3911075296726</v>
      </c>
      <c r="H227" s="33" t="n">
        <f aca="false">IF(D227="","",D227-C227)</f>
        <v>-3</v>
      </c>
      <c r="I227" s="33" t="n">
        <f aca="false">IF(E227="","",E227-C227)</f>
        <v>3.5</v>
      </c>
      <c r="J227" s="33" t="n">
        <f aca="false">IF(F227="","",F227-C227)</f>
        <v>-1.25</v>
      </c>
      <c r="K227" s="33" t="n">
        <f aca="false">IF(G227="","",G227-C227)</f>
        <v>0.391107529672645</v>
      </c>
      <c r="L227" s="33" t="n">
        <f aca="false">IF(H227="","",ABS(H227))</f>
        <v>3</v>
      </c>
      <c r="M227" s="33" t="n">
        <f aca="false">IF(I227="","",ABS(I227))</f>
        <v>3.5</v>
      </c>
      <c r="N227" s="33" t="n">
        <f aca="false">IF(J227="","",ABS(J227))</f>
        <v>1.25</v>
      </c>
      <c r="O227" s="33" t="n">
        <f aca="false">IF(K227="","",ABS(K227))</f>
        <v>0.391107529672645</v>
      </c>
      <c r="P227" s="34" t="str">
        <f aca="false">IF(B227&gt;=Eval_Start_Week,"YES","")</f>
        <v/>
      </c>
      <c r="Q227" s="34" t="str">
        <f aca="false">IF(AND(B227&gt;=Cal_Start_Week,B227&lt;=Cal_End_Week),"YES","")</f>
        <v/>
      </c>
    </row>
    <row r="228" customFormat="false" ht="15" hidden="false" customHeight="false" outlineLevel="0" collapsed="false">
      <c r="A228" s="31" t="str">
        <f aca="false">Demand_History!C228</f>
        <v>KIT-003</v>
      </c>
      <c r="B228" s="31" t="n">
        <f aca="false">Demand_History!A228</f>
        <v>19</v>
      </c>
      <c r="C228" s="32" t="n">
        <f aca="false">Demand_History!D228</f>
        <v>47</v>
      </c>
      <c r="D228" s="33" t="n">
        <f aca="false">IF(B228&gt;=2,C227,"")</f>
        <v>49</v>
      </c>
      <c r="E228" s="33" t="n">
        <f aca="false">IF(B228&gt;=5,AVERAGE(C224:C227),"")</f>
        <v>50.75</v>
      </c>
      <c r="F228" s="33" t="n">
        <f aca="false">IF(B228&gt;=9,AVERAGE(C220:C227),"")</f>
        <v>49</v>
      </c>
      <c r="G228" s="33" t="n">
        <f aca="false">IF(B228=1,"",IF(B228=2,C227,SES_Alpha*C227+(1-SES_Alpha)*G227))</f>
        <v>49.2737752707709</v>
      </c>
      <c r="H228" s="33" t="n">
        <f aca="false">IF(D228="","",D228-C228)</f>
        <v>2</v>
      </c>
      <c r="I228" s="33" t="n">
        <f aca="false">IF(E228="","",E228-C228)</f>
        <v>3.75</v>
      </c>
      <c r="J228" s="33" t="n">
        <f aca="false">IF(F228="","",F228-C228)</f>
        <v>2</v>
      </c>
      <c r="K228" s="33" t="n">
        <f aca="false">IF(G228="","",G228-C228)</f>
        <v>2.27377527077086</v>
      </c>
      <c r="L228" s="33" t="n">
        <f aca="false">IF(H228="","",ABS(H228))</f>
        <v>2</v>
      </c>
      <c r="M228" s="33" t="n">
        <f aca="false">IF(I228="","",ABS(I228))</f>
        <v>3.75</v>
      </c>
      <c r="N228" s="33" t="n">
        <f aca="false">IF(J228="","",ABS(J228))</f>
        <v>2</v>
      </c>
      <c r="O228" s="33" t="n">
        <f aca="false">IF(K228="","",ABS(K228))</f>
        <v>2.27377527077086</v>
      </c>
      <c r="P228" s="34" t="str">
        <f aca="false">IF(B228&gt;=Eval_Start_Week,"YES","")</f>
        <v/>
      </c>
      <c r="Q228" s="34" t="str">
        <f aca="false">IF(AND(B228&gt;=Cal_Start_Week,B228&lt;=Cal_End_Week),"YES","")</f>
        <v/>
      </c>
    </row>
    <row r="229" customFormat="false" ht="15" hidden="false" customHeight="false" outlineLevel="0" collapsed="false">
      <c r="A229" s="31" t="str">
        <f aca="false">Demand_History!C229</f>
        <v>KIT-003</v>
      </c>
      <c r="B229" s="31" t="n">
        <f aca="false">Demand_History!A229</f>
        <v>20</v>
      </c>
      <c r="C229" s="32" t="n">
        <f aca="false">Demand_History!D229</f>
        <v>48</v>
      </c>
      <c r="D229" s="33" t="n">
        <f aca="false">IF(B229&gt;=2,C228,"")</f>
        <v>47</v>
      </c>
      <c r="E229" s="33" t="n">
        <f aca="false">IF(B229&gt;=5,AVERAGE(C225:C228),"")</f>
        <v>49.5</v>
      </c>
      <c r="F229" s="33" t="n">
        <f aca="false">IF(B229&gt;=9,AVERAGE(C221:C228),"")</f>
        <v>48.75</v>
      </c>
      <c r="G229" s="33" t="n">
        <f aca="false">IF(B229=1,"",IF(B229=2,C228,SES_Alpha*C228+(1-SES_Alpha)*G228))</f>
        <v>48.5916426895396</v>
      </c>
      <c r="H229" s="33" t="n">
        <f aca="false">IF(D229="","",D229-C229)</f>
        <v>-1</v>
      </c>
      <c r="I229" s="33" t="n">
        <f aca="false">IF(E229="","",E229-C229)</f>
        <v>1.5</v>
      </c>
      <c r="J229" s="33" t="n">
        <f aca="false">IF(F229="","",F229-C229)</f>
        <v>0.75</v>
      </c>
      <c r="K229" s="33" t="n">
        <f aca="false">IF(G229="","",G229-C229)</f>
        <v>0.591642689539597</v>
      </c>
      <c r="L229" s="33" t="n">
        <f aca="false">IF(H229="","",ABS(H229))</f>
        <v>1</v>
      </c>
      <c r="M229" s="33" t="n">
        <f aca="false">IF(I229="","",ABS(I229))</f>
        <v>1.5</v>
      </c>
      <c r="N229" s="33" t="n">
        <f aca="false">IF(J229="","",ABS(J229))</f>
        <v>0.75</v>
      </c>
      <c r="O229" s="33" t="n">
        <f aca="false">IF(K229="","",ABS(K229))</f>
        <v>0.591642689539597</v>
      </c>
      <c r="P229" s="34" t="str">
        <f aca="false">IF(B229&gt;=Eval_Start_Week,"YES","")</f>
        <v/>
      </c>
      <c r="Q229" s="34" t="str">
        <f aca="false">IF(AND(B229&gt;=Cal_Start_Week,B229&lt;=Cal_End_Week),"YES","")</f>
        <v/>
      </c>
    </row>
    <row r="230" customFormat="false" ht="15" hidden="false" customHeight="false" outlineLevel="0" collapsed="false">
      <c r="A230" s="31" t="str">
        <f aca="false">Demand_History!C230</f>
        <v>KIT-003</v>
      </c>
      <c r="B230" s="31" t="n">
        <f aca="false">Demand_History!A230</f>
        <v>21</v>
      </c>
      <c r="C230" s="32" t="n">
        <f aca="false">Demand_History!D230</f>
        <v>57</v>
      </c>
      <c r="D230" s="33" t="n">
        <f aca="false">IF(B230&gt;=2,C229,"")</f>
        <v>48</v>
      </c>
      <c r="E230" s="33" t="n">
        <f aca="false">IF(B230&gt;=5,AVERAGE(C226:C229),"")</f>
        <v>47.5</v>
      </c>
      <c r="F230" s="33" t="n">
        <f aca="false">IF(B230&gt;=9,AVERAGE(C222:C229),"")</f>
        <v>49.25</v>
      </c>
      <c r="G230" s="33" t="n">
        <f aca="false">IF(B230=1,"",IF(B230=2,C229,SES_Alpha*C229+(1-SES_Alpha)*G229))</f>
        <v>48.4141498826777</v>
      </c>
      <c r="H230" s="33" t="n">
        <f aca="false">IF(D230="","",D230-C230)</f>
        <v>-9</v>
      </c>
      <c r="I230" s="33" t="n">
        <f aca="false">IF(E230="","",E230-C230)</f>
        <v>-9.5</v>
      </c>
      <c r="J230" s="33" t="n">
        <f aca="false">IF(F230="","",F230-C230)</f>
        <v>-7.75</v>
      </c>
      <c r="K230" s="33" t="n">
        <f aca="false">IF(G230="","",G230-C230)</f>
        <v>-8.58585011732229</v>
      </c>
      <c r="L230" s="33" t="n">
        <f aca="false">IF(H230="","",ABS(H230))</f>
        <v>9</v>
      </c>
      <c r="M230" s="33" t="n">
        <f aca="false">IF(I230="","",ABS(I230))</f>
        <v>9.5</v>
      </c>
      <c r="N230" s="33" t="n">
        <f aca="false">IF(J230="","",ABS(J230))</f>
        <v>7.75</v>
      </c>
      <c r="O230" s="33" t="n">
        <f aca="false">IF(K230="","",ABS(K230))</f>
        <v>8.58585011732229</v>
      </c>
      <c r="P230" s="34" t="str">
        <f aca="false">IF(B230&gt;=Eval_Start_Week,"YES","")</f>
        <v/>
      </c>
      <c r="Q230" s="34" t="str">
        <f aca="false">IF(AND(B230&gt;=Cal_Start_Week,B230&lt;=Cal_End_Week),"YES","")</f>
        <v/>
      </c>
    </row>
    <row r="231" customFormat="false" ht="15" hidden="false" customHeight="false" outlineLevel="0" collapsed="false">
      <c r="A231" s="31" t="str">
        <f aca="false">Demand_History!C231</f>
        <v>KIT-003</v>
      </c>
      <c r="B231" s="31" t="n">
        <f aca="false">Demand_History!A231</f>
        <v>22</v>
      </c>
      <c r="C231" s="32" t="n">
        <f aca="false">Demand_History!D231</f>
        <v>50</v>
      </c>
      <c r="D231" s="33" t="n">
        <f aca="false">IF(B231&gt;=2,C230,"")</f>
        <v>57</v>
      </c>
      <c r="E231" s="33" t="n">
        <f aca="false">IF(B231&gt;=5,AVERAGE(C227:C230),"")</f>
        <v>50.25</v>
      </c>
      <c r="F231" s="33" t="n">
        <f aca="false">IF(B231&gt;=9,AVERAGE(C223:C230),"")</f>
        <v>51.375</v>
      </c>
      <c r="G231" s="33" t="n">
        <f aca="false">IF(B231=1,"",IF(B231=2,C230,SES_Alpha*C230+(1-SES_Alpha)*G230))</f>
        <v>50.9899049178744</v>
      </c>
      <c r="H231" s="33" t="n">
        <f aca="false">IF(D231="","",D231-C231)</f>
        <v>7</v>
      </c>
      <c r="I231" s="33" t="n">
        <f aca="false">IF(E231="","",E231-C231)</f>
        <v>0.25</v>
      </c>
      <c r="J231" s="33" t="n">
        <f aca="false">IF(F231="","",F231-C231)</f>
        <v>1.375</v>
      </c>
      <c r="K231" s="33" t="n">
        <f aca="false">IF(G231="","",G231-C231)</f>
        <v>0.989904917874398</v>
      </c>
      <c r="L231" s="33" t="n">
        <f aca="false">IF(H231="","",ABS(H231))</f>
        <v>7</v>
      </c>
      <c r="M231" s="33" t="n">
        <f aca="false">IF(I231="","",ABS(I231))</f>
        <v>0.25</v>
      </c>
      <c r="N231" s="33" t="n">
        <f aca="false">IF(J231="","",ABS(J231))</f>
        <v>1.375</v>
      </c>
      <c r="O231" s="33" t="n">
        <f aca="false">IF(K231="","",ABS(K231))</f>
        <v>0.989904917874398</v>
      </c>
      <c r="P231" s="34" t="str">
        <f aca="false">IF(B231&gt;=Eval_Start_Week,"YES","")</f>
        <v/>
      </c>
      <c r="Q231" s="34" t="str">
        <f aca="false">IF(AND(B231&gt;=Cal_Start_Week,B231&lt;=Cal_End_Week),"YES","")</f>
        <v/>
      </c>
    </row>
    <row r="232" customFormat="false" ht="15" hidden="false" customHeight="false" outlineLevel="0" collapsed="false">
      <c r="A232" s="31" t="str">
        <f aca="false">Demand_History!C232</f>
        <v>KIT-003</v>
      </c>
      <c r="B232" s="31" t="n">
        <f aca="false">Demand_History!A232</f>
        <v>23</v>
      </c>
      <c r="C232" s="32" t="n">
        <f aca="false">Demand_History!D232</f>
        <v>60</v>
      </c>
      <c r="D232" s="33" t="n">
        <f aca="false">IF(B232&gt;=2,C231,"")</f>
        <v>50</v>
      </c>
      <c r="E232" s="33" t="n">
        <f aca="false">IF(B232&gt;=5,AVERAGE(C228:C231),"")</f>
        <v>50.5</v>
      </c>
      <c r="F232" s="33" t="n">
        <f aca="false">IF(B232&gt;=9,AVERAGE(C224:C231),"")</f>
        <v>50.625</v>
      </c>
      <c r="G232" s="33" t="n">
        <f aca="false">IF(B232=1,"",IF(B232=2,C231,SES_Alpha*C231+(1-SES_Alpha)*G231))</f>
        <v>50.6929334425121</v>
      </c>
      <c r="H232" s="33" t="n">
        <f aca="false">IF(D232="","",D232-C232)</f>
        <v>-10</v>
      </c>
      <c r="I232" s="33" t="n">
        <f aca="false">IF(E232="","",E232-C232)</f>
        <v>-9.5</v>
      </c>
      <c r="J232" s="33" t="n">
        <f aca="false">IF(F232="","",F232-C232)</f>
        <v>-9.375</v>
      </c>
      <c r="K232" s="33" t="n">
        <f aca="false">IF(G232="","",G232-C232)</f>
        <v>-9.30706655748792</v>
      </c>
      <c r="L232" s="33" t="n">
        <f aca="false">IF(H232="","",ABS(H232))</f>
        <v>10</v>
      </c>
      <c r="M232" s="33" t="n">
        <f aca="false">IF(I232="","",ABS(I232))</f>
        <v>9.5</v>
      </c>
      <c r="N232" s="33" t="n">
        <f aca="false">IF(J232="","",ABS(J232))</f>
        <v>9.375</v>
      </c>
      <c r="O232" s="33" t="n">
        <f aca="false">IF(K232="","",ABS(K232))</f>
        <v>9.30706655748792</v>
      </c>
      <c r="P232" s="34" t="str">
        <f aca="false">IF(B232&gt;=Eval_Start_Week,"YES","")</f>
        <v/>
      </c>
      <c r="Q232" s="34" t="str">
        <f aca="false">IF(AND(B232&gt;=Cal_Start_Week,B232&lt;=Cal_End_Week),"YES","")</f>
        <v/>
      </c>
    </row>
    <row r="233" customFormat="false" ht="15" hidden="false" customHeight="false" outlineLevel="0" collapsed="false">
      <c r="A233" s="31" t="str">
        <f aca="false">Demand_History!C233</f>
        <v>KIT-003</v>
      </c>
      <c r="B233" s="31" t="n">
        <f aca="false">Demand_History!A233</f>
        <v>24</v>
      </c>
      <c r="C233" s="32" t="n">
        <f aca="false">Demand_History!D233</f>
        <v>60</v>
      </c>
      <c r="D233" s="33" t="n">
        <f aca="false">IF(B233&gt;=2,C232,"")</f>
        <v>60</v>
      </c>
      <c r="E233" s="33" t="n">
        <f aca="false">IF(B233&gt;=5,AVERAGE(C229:C232),"")</f>
        <v>53.75</v>
      </c>
      <c r="F233" s="33" t="n">
        <f aca="false">IF(B233&gt;=9,AVERAGE(C225:C232),"")</f>
        <v>51.625</v>
      </c>
      <c r="G233" s="33" t="n">
        <f aca="false">IF(B233=1,"",IF(B233=2,C232,SES_Alpha*C232+(1-SES_Alpha)*G232))</f>
        <v>53.4850534097585</v>
      </c>
      <c r="H233" s="33" t="n">
        <f aca="false">IF(D233="","",D233-C233)</f>
        <v>0</v>
      </c>
      <c r="I233" s="33" t="n">
        <f aca="false">IF(E233="","",E233-C233)</f>
        <v>-6.25</v>
      </c>
      <c r="J233" s="33" t="n">
        <f aca="false">IF(F233="","",F233-C233)</f>
        <v>-8.375</v>
      </c>
      <c r="K233" s="33" t="n">
        <f aca="false">IF(G233="","",G233-C233)</f>
        <v>-6.51494659024155</v>
      </c>
      <c r="L233" s="33" t="n">
        <f aca="false">IF(H233="","",ABS(H233))</f>
        <v>0</v>
      </c>
      <c r="M233" s="33" t="n">
        <f aca="false">IF(I233="","",ABS(I233))</f>
        <v>6.25</v>
      </c>
      <c r="N233" s="33" t="n">
        <f aca="false">IF(J233="","",ABS(J233))</f>
        <v>8.375</v>
      </c>
      <c r="O233" s="33" t="n">
        <f aca="false">IF(K233="","",ABS(K233))</f>
        <v>6.51494659024155</v>
      </c>
      <c r="P233" s="34" t="str">
        <f aca="false">IF(B233&gt;=Eval_Start_Week,"YES","")</f>
        <v/>
      </c>
      <c r="Q233" s="34" t="str">
        <f aca="false">IF(AND(B233&gt;=Cal_Start_Week,B233&lt;=Cal_End_Week),"YES","")</f>
        <v/>
      </c>
    </row>
    <row r="234" customFormat="false" ht="15" hidden="false" customHeight="false" outlineLevel="0" collapsed="false">
      <c r="A234" s="31" t="str">
        <f aca="false">Demand_History!C234</f>
        <v>KIT-003</v>
      </c>
      <c r="B234" s="31" t="n">
        <f aca="false">Demand_History!A234</f>
        <v>25</v>
      </c>
      <c r="C234" s="32" t="n">
        <f aca="false">Demand_History!D234</f>
        <v>74</v>
      </c>
      <c r="D234" s="33" t="n">
        <f aca="false">IF(B234&gt;=2,C233,"")</f>
        <v>60</v>
      </c>
      <c r="E234" s="33" t="n">
        <f aca="false">IF(B234&gt;=5,AVERAGE(C230:C233),"")</f>
        <v>56.75</v>
      </c>
      <c r="F234" s="33" t="n">
        <f aca="false">IF(B234&gt;=9,AVERAGE(C226:C233),"")</f>
        <v>52.125</v>
      </c>
      <c r="G234" s="33" t="n">
        <f aca="false">IF(B234=1,"",IF(B234=2,C233,SES_Alpha*C233+(1-SES_Alpha)*G233))</f>
        <v>55.4395373868309</v>
      </c>
      <c r="H234" s="33" t="n">
        <f aca="false">IF(D234="","",D234-C234)</f>
        <v>-14</v>
      </c>
      <c r="I234" s="33" t="n">
        <f aca="false">IF(E234="","",E234-C234)</f>
        <v>-17.25</v>
      </c>
      <c r="J234" s="33" t="n">
        <f aca="false">IF(F234="","",F234-C234)</f>
        <v>-21.875</v>
      </c>
      <c r="K234" s="33" t="n">
        <f aca="false">IF(G234="","",G234-C234)</f>
        <v>-18.5604626131691</v>
      </c>
      <c r="L234" s="33" t="n">
        <f aca="false">IF(H234="","",ABS(H234))</f>
        <v>14</v>
      </c>
      <c r="M234" s="33" t="n">
        <f aca="false">IF(I234="","",ABS(I234))</f>
        <v>17.25</v>
      </c>
      <c r="N234" s="33" t="n">
        <f aca="false">IF(J234="","",ABS(J234))</f>
        <v>21.875</v>
      </c>
      <c r="O234" s="33" t="n">
        <f aca="false">IF(K234="","",ABS(K234))</f>
        <v>18.5604626131691</v>
      </c>
      <c r="P234" s="34" t="str">
        <f aca="false">IF(B234&gt;=Eval_Start_Week,"YES","")</f>
        <v/>
      </c>
      <c r="Q234" s="34" t="str">
        <f aca="false">IF(AND(B234&gt;=Cal_Start_Week,B234&lt;=Cal_End_Week),"YES","")</f>
        <v/>
      </c>
    </row>
    <row r="235" customFormat="false" ht="15" hidden="false" customHeight="false" outlineLevel="0" collapsed="false">
      <c r="A235" s="31" t="str">
        <f aca="false">Demand_History!C235</f>
        <v>KIT-003</v>
      </c>
      <c r="B235" s="31" t="n">
        <f aca="false">Demand_History!A235</f>
        <v>26</v>
      </c>
      <c r="C235" s="32" t="n">
        <f aca="false">Demand_History!D235</f>
        <v>47</v>
      </c>
      <c r="D235" s="33" t="n">
        <f aca="false">IF(B235&gt;=2,C234,"")</f>
        <v>74</v>
      </c>
      <c r="E235" s="33" t="n">
        <f aca="false">IF(B235&gt;=5,AVERAGE(C231:C234),"")</f>
        <v>61</v>
      </c>
      <c r="F235" s="33" t="n">
        <f aca="false">IF(B235&gt;=9,AVERAGE(C227:C234),"")</f>
        <v>55.625</v>
      </c>
      <c r="G235" s="33" t="n">
        <f aca="false">IF(B235=1,"",IF(B235=2,C234,SES_Alpha*C234+(1-SES_Alpha)*G234))</f>
        <v>61.0076761707816</v>
      </c>
      <c r="H235" s="33" t="n">
        <f aca="false">IF(D235="","",D235-C235)</f>
        <v>27</v>
      </c>
      <c r="I235" s="33" t="n">
        <f aca="false">IF(E235="","",E235-C235)</f>
        <v>14</v>
      </c>
      <c r="J235" s="33" t="n">
        <f aca="false">IF(F235="","",F235-C235)</f>
        <v>8.625</v>
      </c>
      <c r="K235" s="33" t="n">
        <f aca="false">IF(G235="","",G235-C235)</f>
        <v>14.0076761707816</v>
      </c>
      <c r="L235" s="33" t="n">
        <f aca="false">IF(H235="","",ABS(H235))</f>
        <v>27</v>
      </c>
      <c r="M235" s="33" t="n">
        <f aca="false">IF(I235="","",ABS(I235))</f>
        <v>14</v>
      </c>
      <c r="N235" s="33" t="n">
        <f aca="false">IF(J235="","",ABS(J235))</f>
        <v>8.625</v>
      </c>
      <c r="O235" s="33" t="n">
        <f aca="false">IF(K235="","",ABS(K235))</f>
        <v>14.0076761707816</v>
      </c>
      <c r="P235" s="34" t="str">
        <f aca="false">IF(B235&gt;=Eval_Start_Week,"YES","")</f>
        <v/>
      </c>
      <c r="Q235" s="34" t="str">
        <f aca="false">IF(AND(B235&gt;=Cal_Start_Week,B235&lt;=Cal_End_Week),"YES","")</f>
        <v/>
      </c>
    </row>
    <row r="236" customFormat="false" ht="15" hidden="false" customHeight="false" outlineLevel="0" collapsed="false">
      <c r="A236" s="31" t="str">
        <f aca="false">Demand_History!C236</f>
        <v>KIT-003</v>
      </c>
      <c r="B236" s="31" t="n">
        <f aca="false">Demand_History!A236</f>
        <v>27</v>
      </c>
      <c r="C236" s="32" t="n">
        <f aca="false">Demand_History!D236</f>
        <v>66</v>
      </c>
      <c r="D236" s="33" t="n">
        <f aca="false">IF(B236&gt;=2,C235,"")</f>
        <v>47</v>
      </c>
      <c r="E236" s="33" t="n">
        <f aca="false">IF(B236&gt;=5,AVERAGE(C232:C235),"")</f>
        <v>60.25</v>
      </c>
      <c r="F236" s="33" t="n">
        <f aca="false">IF(B236&gt;=9,AVERAGE(C228:C235),"")</f>
        <v>55.375</v>
      </c>
      <c r="G236" s="33" t="n">
        <f aca="false">IF(B236=1,"",IF(B236=2,C235,SES_Alpha*C235+(1-SES_Alpha)*G235))</f>
        <v>56.8053733195471</v>
      </c>
      <c r="H236" s="33" t="n">
        <f aca="false">IF(D236="","",D236-C236)</f>
        <v>-19</v>
      </c>
      <c r="I236" s="33" t="n">
        <f aca="false">IF(E236="","",E236-C236)</f>
        <v>-5.75</v>
      </c>
      <c r="J236" s="33" t="n">
        <f aca="false">IF(F236="","",F236-C236)</f>
        <v>-10.625</v>
      </c>
      <c r="K236" s="33" t="n">
        <f aca="false">IF(G236="","",G236-C236)</f>
        <v>-9.19462668045286</v>
      </c>
      <c r="L236" s="33" t="n">
        <f aca="false">IF(H236="","",ABS(H236))</f>
        <v>19</v>
      </c>
      <c r="M236" s="33" t="n">
        <f aca="false">IF(I236="","",ABS(I236))</f>
        <v>5.75</v>
      </c>
      <c r="N236" s="33" t="n">
        <f aca="false">IF(J236="","",ABS(J236))</f>
        <v>10.625</v>
      </c>
      <c r="O236" s="33" t="n">
        <f aca="false">IF(K236="","",ABS(K236))</f>
        <v>9.19462668045286</v>
      </c>
      <c r="P236" s="34" t="str">
        <f aca="false">IF(B236&gt;=Eval_Start_Week,"YES","")</f>
        <v/>
      </c>
      <c r="Q236" s="34" t="str">
        <f aca="false">IF(AND(B236&gt;=Cal_Start_Week,B236&lt;=Cal_End_Week),"YES","")</f>
        <v/>
      </c>
    </row>
    <row r="237" customFormat="false" ht="15" hidden="false" customHeight="false" outlineLevel="0" collapsed="false">
      <c r="A237" s="31" t="str">
        <f aca="false">Demand_History!C237</f>
        <v>KIT-003</v>
      </c>
      <c r="B237" s="31" t="n">
        <f aca="false">Demand_History!A237</f>
        <v>28</v>
      </c>
      <c r="C237" s="32" t="n">
        <f aca="false">Demand_History!D237</f>
        <v>59</v>
      </c>
      <c r="D237" s="33" t="n">
        <f aca="false">IF(B237&gt;=2,C236,"")</f>
        <v>66</v>
      </c>
      <c r="E237" s="33" t="n">
        <f aca="false">IF(B237&gt;=5,AVERAGE(C233:C236),"")</f>
        <v>61.75</v>
      </c>
      <c r="F237" s="33" t="n">
        <f aca="false">IF(B237&gt;=9,AVERAGE(C229:C236),"")</f>
        <v>57.75</v>
      </c>
      <c r="G237" s="33" t="n">
        <f aca="false">IF(B237=1,"",IF(B237=2,C236,SES_Alpha*C236+(1-SES_Alpha)*G236))</f>
        <v>59.563761323683</v>
      </c>
      <c r="H237" s="33" t="n">
        <f aca="false">IF(D237="","",D237-C237)</f>
        <v>7</v>
      </c>
      <c r="I237" s="33" t="n">
        <f aca="false">IF(E237="","",E237-C237)</f>
        <v>2.75</v>
      </c>
      <c r="J237" s="33" t="n">
        <f aca="false">IF(F237="","",F237-C237)</f>
        <v>-1.25</v>
      </c>
      <c r="K237" s="33" t="n">
        <f aca="false">IF(G237="","",G237-C237)</f>
        <v>0.563761323682996</v>
      </c>
      <c r="L237" s="33" t="n">
        <f aca="false">IF(H237="","",ABS(H237))</f>
        <v>7</v>
      </c>
      <c r="M237" s="33" t="n">
        <f aca="false">IF(I237="","",ABS(I237))</f>
        <v>2.75</v>
      </c>
      <c r="N237" s="33" t="n">
        <f aca="false">IF(J237="","",ABS(J237))</f>
        <v>1.25</v>
      </c>
      <c r="O237" s="33" t="n">
        <f aca="false">IF(K237="","",ABS(K237))</f>
        <v>0.563761323682996</v>
      </c>
      <c r="P237" s="34" t="str">
        <f aca="false">IF(B237&gt;=Eval_Start_Week,"YES","")</f>
        <v/>
      </c>
      <c r="Q237" s="34" t="str">
        <f aca="false">IF(AND(B237&gt;=Cal_Start_Week,B237&lt;=Cal_End_Week),"YES","")</f>
        <v/>
      </c>
    </row>
    <row r="238" customFormat="false" ht="15" hidden="false" customHeight="false" outlineLevel="0" collapsed="false">
      <c r="A238" s="31" t="str">
        <f aca="false">Demand_History!C238</f>
        <v>KIT-003</v>
      </c>
      <c r="B238" s="31" t="n">
        <f aca="false">Demand_History!A238</f>
        <v>29</v>
      </c>
      <c r="C238" s="32" t="n">
        <f aca="false">Demand_History!D238</f>
        <v>60</v>
      </c>
      <c r="D238" s="33" t="n">
        <f aca="false">IF(B238&gt;=2,C237,"")</f>
        <v>59</v>
      </c>
      <c r="E238" s="33" t="n">
        <f aca="false">IF(B238&gt;=5,AVERAGE(C234:C237),"")</f>
        <v>61.5</v>
      </c>
      <c r="F238" s="33" t="n">
        <f aca="false">IF(B238&gt;=9,AVERAGE(C230:C237),"")</f>
        <v>59.125</v>
      </c>
      <c r="G238" s="33" t="n">
        <f aca="false">IF(B238=1,"",IF(B238=2,C237,SES_Alpha*C237+(1-SES_Alpha)*G237))</f>
        <v>59.3946329265781</v>
      </c>
      <c r="H238" s="33" t="n">
        <f aca="false">IF(D238="","",D238-C238)</f>
        <v>-1</v>
      </c>
      <c r="I238" s="33" t="n">
        <f aca="false">IF(E238="","",E238-C238)</f>
        <v>1.5</v>
      </c>
      <c r="J238" s="33" t="n">
        <f aca="false">IF(F238="","",F238-C238)</f>
        <v>-0.875</v>
      </c>
      <c r="K238" s="33" t="n">
        <f aca="false">IF(G238="","",G238-C238)</f>
        <v>-0.605367073421903</v>
      </c>
      <c r="L238" s="33" t="n">
        <f aca="false">IF(H238="","",ABS(H238))</f>
        <v>1</v>
      </c>
      <c r="M238" s="33" t="n">
        <f aca="false">IF(I238="","",ABS(I238))</f>
        <v>1.5</v>
      </c>
      <c r="N238" s="33" t="n">
        <f aca="false">IF(J238="","",ABS(J238))</f>
        <v>0.875</v>
      </c>
      <c r="O238" s="33" t="n">
        <f aca="false">IF(K238="","",ABS(K238))</f>
        <v>0.605367073421903</v>
      </c>
      <c r="P238" s="34" t="str">
        <f aca="false">IF(B238&gt;=Eval_Start_Week,"YES","")</f>
        <v/>
      </c>
      <c r="Q238" s="34" t="str">
        <f aca="false">IF(AND(B238&gt;=Cal_Start_Week,B238&lt;=Cal_End_Week),"YES","")</f>
        <v/>
      </c>
    </row>
    <row r="239" customFormat="false" ht="15" hidden="false" customHeight="false" outlineLevel="0" collapsed="false">
      <c r="A239" s="31" t="str">
        <f aca="false">Demand_History!C239</f>
        <v>KIT-003</v>
      </c>
      <c r="B239" s="31" t="n">
        <f aca="false">Demand_History!A239</f>
        <v>30</v>
      </c>
      <c r="C239" s="32" t="n">
        <f aca="false">Demand_History!D239</f>
        <v>48</v>
      </c>
      <c r="D239" s="33" t="n">
        <f aca="false">IF(B239&gt;=2,C238,"")</f>
        <v>60</v>
      </c>
      <c r="E239" s="33" t="n">
        <f aca="false">IF(B239&gt;=5,AVERAGE(C235:C238),"")</f>
        <v>58</v>
      </c>
      <c r="F239" s="33" t="n">
        <f aca="false">IF(B239&gt;=9,AVERAGE(C231:C238),"")</f>
        <v>59.5</v>
      </c>
      <c r="G239" s="33" t="n">
        <f aca="false">IF(B239=1,"",IF(B239=2,C238,SES_Alpha*C238+(1-SES_Alpha)*G238))</f>
        <v>59.5762430486047</v>
      </c>
      <c r="H239" s="33" t="n">
        <f aca="false">IF(D239="","",D239-C239)</f>
        <v>12</v>
      </c>
      <c r="I239" s="33" t="n">
        <f aca="false">IF(E239="","",E239-C239)</f>
        <v>10</v>
      </c>
      <c r="J239" s="33" t="n">
        <f aca="false">IF(F239="","",F239-C239)</f>
        <v>11.5</v>
      </c>
      <c r="K239" s="33" t="n">
        <f aca="false">IF(G239="","",G239-C239)</f>
        <v>11.5762430486047</v>
      </c>
      <c r="L239" s="33" t="n">
        <f aca="false">IF(H239="","",ABS(H239))</f>
        <v>12</v>
      </c>
      <c r="M239" s="33" t="n">
        <f aca="false">IF(I239="","",ABS(I239))</f>
        <v>10</v>
      </c>
      <c r="N239" s="33" t="n">
        <f aca="false">IF(J239="","",ABS(J239))</f>
        <v>11.5</v>
      </c>
      <c r="O239" s="33" t="n">
        <f aca="false">IF(K239="","",ABS(K239))</f>
        <v>11.5762430486047</v>
      </c>
      <c r="P239" s="34" t="str">
        <f aca="false">IF(B239&gt;=Eval_Start_Week,"YES","")</f>
        <v/>
      </c>
      <c r="Q239" s="34" t="str">
        <f aca="false">IF(AND(B239&gt;=Cal_Start_Week,B239&lt;=Cal_End_Week),"YES","")</f>
        <v/>
      </c>
    </row>
    <row r="240" customFormat="false" ht="15" hidden="false" customHeight="false" outlineLevel="0" collapsed="false">
      <c r="A240" s="31" t="str">
        <f aca="false">Demand_History!C240</f>
        <v>KIT-003</v>
      </c>
      <c r="B240" s="31" t="n">
        <f aca="false">Demand_History!A240</f>
        <v>31</v>
      </c>
      <c r="C240" s="32" t="n">
        <f aca="false">Demand_History!D240</f>
        <v>57</v>
      </c>
      <c r="D240" s="33" t="n">
        <f aca="false">IF(B240&gt;=2,C239,"")</f>
        <v>48</v>
      </c>
      <c r="E240" s="33" t="n">
        <f aca="false">IF(B240&gt;=5,AVERAGE(C236:C239),"")</f>
        <v>58.25</v>
      </c>
      <c r="F240" s="33" t="n">
        <f aca="false">IF(B240&gt;=9,AVERAGE(C232:C239),"")</f>
        <v>59.25</v>
      </c>
      <c r="G240" s="33" t="n">
        <f aca="false">IF(B240=1,"",IF(B240=2,C239,SES_Alpha*C239+(1-SES_Alpha)*G239))</f>
        <v>56.1033701340233</v>
      </c>
      <c r="H240" s="33" t="n">
        <f aca="false">IF(D240="","",D240-C240)</f>
        <v>-9</v>
      </c>
      <c r="I240" s="33" t="n">
        <f aca="false">IF(E240="","",E240-C240)</f>
        <v>1.25</v>
      </c>
      <c r="J240" s="33" t="n">
        <f aca="false">IF(F240="","",F240-C240)</f>
        <v>2.25</v>
      </c>
      <c r="K240" s="33" t="n">
        <f aca="false">IF(G240="","",G240-C240)</f>
        <v>-0.896629865976735</v>
      </c>
      <c r="L240" s="33" t="n">
        <f aca="false">IF(H240="","",ABS(H240))</f>
        <v>9</v>
      </c>
      <c r="M240" s="33" t="n">
        <f aca="false">IF(I240="","",ABS(I240))</f>
        <v>1.25</v>
      </c>
      <c r="N240" s="33" t="n">
        <f aca="false">IF(J240="","",ABS(J240))</f>
        <v>2.25</v>
      </c>
      <c r="O240" s="33" t="n">
        <f aca="false">IF(K240="","",ABS(K240))</f>
        <v>0.896629865976735</v>
      </c>
      <c r="P240" s="34" t="str">
        <f aca="false">IF(B240&gt;=Eval_Start_Week,"YES","")</f>
        <v/>
      </c>
      <c r="Q240" s="34" t="str">
        <f aca="false">IF(AND(B240&gt;=Cal_Start_Week,B240&lt;=Cal_End_Week),"YES","")</f>
        <v/>
      </c>
    </row>
    <row r="241" customFormat="false" ht="15" hidden="false" customHeight="false" outlineLevel="0" collapsed="false">
      <c r="A241" s="31" t="str">
        <f aca="false">Demand_History!C241</f>
        <v>KIT-003</v>
      </c>
      <c r="B241" s="31" t="n">
        <f aca="false">Demand_History!A241</f>
        <v>32</v>
      </c>
      <c r="C241" s="32" t="n">
        <f aca="false">Demand_History!D241</f>
        <v>68</v>
      </c>
      <c r="D241" s="33" t="n">
        <f aca="false">IF(B241&gt;=2,C240,"")</f>
        <v>57</v>
      </c>
      <c r="E241" s="33" t="n">
        <f aca="false">IF(B241&gt;=5,AVERAGE(C237:C240),"")</f>
        <v>56</v>
      </c>
      <c r="F241" s="33" t="n">
        <f aca="false">IF(B241&gt;=9,AVERAGE(C233:C240),"")</f>
        <v>58.875</v>
      </c>
      <c r="G241" s="33" t="n">
        <f aca="false">IF(B241=1,"",IF(B241=2,C240,SES_Alpha*C240+(1-SES_Alpha)*G240))</f>
        <v>56.3723590938163</v>
      </c>
      <c r="H241" s="33" t="n">
        <f aca="false">IF(D241="","",D241-C241)</f>
        <v>-11</v>
      </c>
      <c r="I241" s="33" t="n">
        <f aca="false">IF(E241="","",E241-C241)</f>
        <v>-12</v>
      </c>
      <c r="J241" s="33" t="n">
        <f aca="false">IF(F241="","",F241-C241)</f>
        <v>-9.125</v>
      </c>
      <c r="K241" s="33" t="n">
        <f aca="false">IF(G241="","",G241-C241)</f>
        <v>-11.6276409061837</v>
      </c>
      <c r="L241" s="33" t="n">
        <f aca="false">IF(H241="","",ABS(H241))</f>
        <v>11</v>
      </c>
      <c r="M241" s="33" t="n">
        <f aca="false">IF(I241="","",ABS(I241))</f>
        <v>12</v>
      </c>
      <c r="N241" s="33" t="n">
        <f aca="false">IF(J241="","",ABS(J241))</f>
        <v>9.125</v>
      </c>
      <c r="O241" s="33" t="n">
        <f aca="false">IF(K241="","",ABS(K241))</f>
        <v>11.6276409061837</v>
      </c>
      <c r="P241" s="34" t="str">
        <f aca="false">IF(B241&gt;=Eval_Start_Week,"YES","")</f>
        <v/>
      </c>
      <c r="Q241" s="34" t="str">
        <f aca="false">IF(AND(B241&gt;=Cal_Start_Week,B241&lt;=Cal_End_Week),"YES","")</f>
        <v/>
      </c>
    </row>
    <row r="242" customFormat="false" ht="15" hidden="false" customHeight="false" outlineLevel="0" collapsed="false">
      <c r="A242" s="31" t="str">
        <f aca="false">Demand_History!C242</f>
        <v>KIT-003</v>
      </c>
      <c r="B242" s="31" t="n">
        <f aca="false">Demand_History!A242</f>
        <v>33</v>
      </c>
      <c r="C242" s="32" t="n">
        <f aca="false">Demand_History!D242</f>
        <v>61</v>
      </c>
      <c r="D242" s="33" t="n">
        <f aca="false">IF(B242&gt;=2,C241,"")</f>
        <v>68</v>
      </c>
      <c r="E242" s="33" t="n">
        <f aca="false">IF(B242&gt;=5,AVERAGE(C238:C241),"")</f>
        <v>58.25</v>
      </c>
      <c r="F242" s="33" t="n">
        <f aca="false">IF(B242&gt;=9,AVERAGE(C234:C241),"")</f>
        <v>59.875</v>
      </c>
      <c r="G242" s="33" t="n">
        <f aca="false">IF(B242=1,"",IF(B242=2,C241,SES_Alpha*C241+(1-SES_Alpha)*G241))</f>
        <v>59.8606513656714</v>
      </c>
      <c r="H242" s="33" t="n">
        <f aca="false">IF(D242="","",D242-C242)</f>
        <v>7</v>
      </c>
      <c r="I242" s="33" t="n">
        <f aca="false">IF(E242="","",E242-C242)</f>
        <v>-2.75</v>
      </c>
      <c r="J242" s="33" t="n">
        <f aca="false">IF(F242="","",F242-C242)</f>
        <v>-1.125</v>
      </c>
      <c r="K242" s="33" t="n">
        <f aca="false">IF(G242="","",G242-C242)</f>
        <v>-1.13934863432861</v>
      </c>
      <c r="L242" s="33" t="n">
        <f aca="false">IF(H242="","",ABS(H242))</f>
        <v>7</v>
      </c>
      <c r="M242" s="33" t="n">
        <f aca="false">IF(I242="","",ABS(I242))</f>
        <v>2.75</v>
      </c>
      <c r="N242" s="33" t="n">
        <f aca="false">IF(J242="","",ABS(J242))</f>
        <v>1.125</v>
      </c>
      <c r="O242" s="33" t="n">
        <f aca="false">IF(K242="","",ABS(K242))</f>
        <v>1.13934863432861</v>
      </c>
      <c r="P242" s="34" t="str">
        <f aca="false">IF(B242&gt;=Eval_Start_Week,"YES","")</f>
        <v/>
      </c>
      <c r="Q242" s="34" t="str">
        <f aca="false">IF(AND(B242&gt;=Cal_Start_Week,B242&lt;=Cal_End_Week),"YES","")</f>
        <v/>
      </c>
    </row>
    <row r="243" customFormat="false" ht="15" hidden="false" customHeight="false" outlineLevel="0" collapsed="false">
      <c r="A243" s="31" t="str">
        <f aca="false">Demand_History!C243</f>
        <v>KIT-003</v>
      </c>
      <c r="B243" s="31" t="n">
        <f aca="false">Demand_History!A243</f>
        <v>34</v>
      </c>
      <c r="C243" s="32" t="n">
        <f aca="false">Demand_History!D243</f>
        <v>63</v>
      </c>
      <c r="D243" s="33" t="n">
        <f aca="false">IF(B243&gt;=2,C242,"")</f>
        <v>61</v>
      </c>
      <c r="E243" s="33" t="n">
        <f aca="false">IF(B243&gt;=5,AVERAGE(C239:C242),"")</f>
        <v>58.5</v>
      </c>
      <c r="F243" s="33" t="n">
        <f aca="false">IF(B243&gt;=9,AVERAGE(C235:C242),"")</f>
        <v>58.25</v>
      </c>
      <c r="G243" s="33" t="n">
        <f aca="false">IF(B243=1,"",IF(B243=2,C242,SES_Alpha*C242+(1-SES_Alpha)*G242))</f>
        <v>60.20245595597</v>
      </c>
      <c r="H243" s="33" t="n">
        <f aca="false">IF(D243="","",D243-C243)</f>
        <v>-2</v>
      </c>
      <c r="I243" s="33" t="n">
        <f aca="false">IF(E243="","",E243-C243)</f>
        <v>-4.5</v>
      </c>
      <c r="J243" s="33" t="n">
        <f aca="false">IF(F243="","",F243-C243)</f>
        <v>-4.75</v>
      </c>
      <c r="K243" s="33" t="n">
        <f aca="false">IF(G243="","",G243-C243)</f>
        <v>-2.79754404403002</v>
      </c>
      <c r="L243" s="33" t="n">
        <f aca="false">IF(H243="","",ABS(H243))</f>
        <v>2</v>
      </c>
      <c r="M243" s="33" t="n">
        <f aca="false">IF(I243="","",ABS(I243))</f>
        <v>4.5</v>
      </c>
      <c r="N243" s="33" t="n">
        <f aca="false">IF(J243="","",ABS(J243))</f>
        <v>4.75</v>
      </c>
      <c r="O243" s="33" t="n">
        <f aca="false">IF(K243="","",ABS(K243))</f>
        <v>2.79754404403002</v>
      </c>
      <c r="P243" s="34" t="str">
        <f aca="false">IF(B243&gt;=Eval_Start_Week,"YES","")</f>
        <v/>
      </c>
      <c r="Q243" s="34" t="str">
        <f aca="false">IF(AND(B243&gt;=Cal_Start_Week,B243&lt;=Cal_End_Week),"YES","")</f>
        <v/>
      </c>
    </row>
    <row r="244" customFormat="false" ht="15" hidden="false" customHeight="false" outlineLevel="0" collapsed="false">
      <c r="A244" s="31" t="str">
        <f aca="false">Demand_History!C244</f>
        <v>KIT-003</v>
      </c>
      <c r="B244" s="31" t="n">
        <f aca="false">Demand_History!A244</f>
        <v>35</v>
      </c>
      <c r="C244" s="32" t="n">
        <f aca="false">Demand_History!D244</f>
        <v>60</v>
      </c>
      <c r="D244" s="33" t="n">
        <f aca="false">IF(B244&gt;=2,C243,"")</f>
        <v>63</v>
      </c>
      <c r="E244" s="33" t="n">
        <f aca="false">IF(B244&gt;=5,AVERAGE(C240:C243),"")</f>
        <v>62.25</v>
      </c>
      <c r="F244" s="33" t="n">
        <f aca="false">IF(B244&gt;=9,AVERAGE(C236:C243),"")</f>
        <v>60.25</v>
      </c>
      <c r="G244" s="33" t="n">
        <f aca="false">IF(B244=1,"",IF(B244=2,C243,SES_Alpha*C243+(1-SES_Alpha)*G243))</f>
        <v>61.041719169179</v>
      </c>
      <c r="H244" s="33" t="n">
        <f aca="false">IF(D244="","",D244-C244)</f>
        <v>3</v>
      </c>
      <c r="I244" s="33" t="n">
        <f aca="false">IF(E244="","",E244-C244)</f>
        <v>2.25</v>
      </c>
      <c r="J244" s="33" t="n">
        <f aca="false">IF(F244="","",F244-C244)</f>
        <v>0.25</v>
      </c>
      <c r="K244" s="33" t="n">
        <f aca="false">IF(G244="","",G244-C244)</f>
        <v>1.04171916917898</v>
      </c>
      <c r="L244" s="33" t="n">
        <f aca="false">IF(H244="","",ABS(H244))</f>
        <v>3</v>
      </c>
      <c r="M244" s="33" t="n">
        <f aca="false">IF(I244="","",ABS(I244))</f>
        <v>2.25</v>
      </c>
      <c r="N244" s="33" t="n">
        <f aca="false">IF(J244="","",ABS(J244))</f>
        <v>0.25</v>
      </c>
      <c r="O244" s="33" t="n">
        <f aca="false">IF(K244="","",ABS(K244))</f>
        <v>1.04171916917898</v>
      </c>
      <c r="P244" s="34" t="str">
        <f aca="false">IF(B244&gt;=Eval_Start_Week,"YES","")</f>
        <v/>
      </c>
      <c r="Q244" s="34" t="str">
        <f aca="false">IF(AND(B244&gt;=Cal_Start_Week,B244&lt;=Cal_End_Week),"YES","")</f>
        <v/>
      </c>
    </row>
    <row r="245" customFormat="false" ht="15" hidden="false" customHeight="false" outlineLevel="0" collapsed="false">
      <c r="A245" s="31" t="str">
        <f aca="false">Demand_History!C245</f>
        <v>KIT-003</v>
      </c>
      <c r="B245" s="31" t="n">
        <f aca="false">Demand_History!A245</f>
        <v>36</v>
      </c>
      <c r="C245" s="32" t="n">
        <f aca="false">Demand_History!D245</f>
        <v>74</v>
      </c>
      <c r="D245" s="33" t="n">
        <f aca="false">IF(B245&gt;=2,C244,"")</f>
        <v>60</v>
      </c>
      <c r="E245" s="33" t="n">
        <f aca="false">IF(B245&gt;=5,AVERAGE(C241:C244),"")</f>
        <v>63</v>
      </c>
      <c r="F245" s="33" t="n">
        <f aca="false">IF(B245&gt;=9,AVERAGE(C237:C244),"")</f>
        <v>59.5</v>
      </c>
      <c r="G245" s="33" t="n">
        <f aca="false">IF(B245=1,"",IF(B245=2,C244,SES_Alpha*C244+(1-SES_Alpha)*G244))</f>
        <v>60.7292034184253</v>
      </c>
      <c r="H245" s="33" t="n">
        <f aca="false">IF(D245="","",D245-C245)</f>
        <v>-14</v>
      </c>
      <c r="I245" s="33" t="n">
        <f aca="false">IF(E245="","",E245-C245)</f>
        <v>-11</v>
      </c>
      <c r="J245" s="33" t="n">
        <f aca="false">IF(F245="","",F245-C245)</f>
        <v>-14.5</v>
      </c>
      <c r="K245" s="33" t="n">
        <f aca="false">IF(G245="","",G245-C245)</f>
        <v>-13.2707965815747</v>
      </c>
      <c r="L245" s="33" t="n">
        <f aca="false">IF(H245="","",ABS(H245))</f>
        <v>14</v>
      </c>
      <c r="M245" s="33" t="n">
        <f aca="false">IF(I245="","",ABS(I245))</f>
        <v>11</v>
      </c>
      <c r="N245" s="33" t="n">
        <f aca="false">IF(J245="","",ABS(J245))</f>
        <v>14.5</v>
      </c>
      <c r="O245" s="33" t="n">
        <f aca="false">IF(K245="","",ABS(K245))</f>
        <v>13.2707965815747</v>
      </c>
      <c r="P245" s="34" t="str">
        <f aca="false">IF(B245&gt;=Eval_Start_Week,"YES","")</f>
        <v/>
      </c>
      <c r="Q245" s="34" t="str">
        <f aca="false">IF(AND(B245&gt;=Cal_Start_Week,B245&lt;=Cal_End_Week),"YES","")</f>
        <v/>
      </c>
    </row>
    <row r="246" customFormat="false" ht="15" hidden="false" customHeight="false" outlineLevel="0" collapsed="false">
      <c r="A246" s="31" t="str">
        <f aca="false">Demand_History!C246</f>
        <v>KIT-003</v>
      </c>
      <c r="B246" s="31" t="n">
        <f aca="false">Demand_History!A246</f>
        <v>37</v>
      </c>
      <c r="C246" s="32" t="n">
        <f aca="false">Demand_History!D246</f>
        <v>64</v>
      </c>
      <c r="D246" s="33" t="n">
        <f aca="false">IF(B246&gt;=2,C245,"")</f>
        <v>74</v>
      </c>
      <c r="E246" s="33" t="n">
        <f aca="false">IF(B246&gt;=5,AVERAGE(C242:C245),"")</f>
        <v>64.5</v>
      </c>
      <c r="F246" s="33" t="n">
        <f aca="false">IF(B246&gt;=9,AVERAGE(C238:C245),"")</f>
        <v>61.375</v>
      </c>
      <c r="G246" s="33" t="n">
        <f aca="false">IF(B246=1,"",IF(B246=2,C245,SES_Alpha*C245+(1-SES_Alpha)*G245))</f>
        <v>64.7104423928977</v>
      </c>
      <c r="H246" s="33" t="n">
        <f aca="false">IF(D246="","",D246-C246)</f>
        <v>10</v>
      </c>
      <c r="I246" s="33" t="n">
        <f aca="false">IF(E246="","",E246-C246)</f>
        <v>0.5</v>
      </c>
      <c r="J246" s="33" t="n">
        <f aca="false">IF(F246="","",F246-C246)</f>
        <v>-2.625</v>
      </c>
      <c r="K246" s="33" t="n">
        <f aca="false">IF(G246="","",G246-C246)</f>
        <v>0.71044239289769</v>
      </c>
      <c r="L246" s="33" t="n">
        <f aca="false">IF(H246="","",ABS(H246))</f>
        <v>10</v>
      </c>
      <c r="M246" s="33" t="n">
        <f aca="false">IF(I246="","",ABS(I246))</f>
        <v>0.5</v>
      </c>
      <c r="N246" s="33" t="n">
        <f aca="false">IF(J246="","",ABS(J246))</f>
        <v>2.625</v>
      </c>
      <c r="O246" s="33" t="n">
        <f aca="false">IF(K246="","",ABS(K246))</f>
        <v>0.71044239289769</v>
      </c>
      <c r="P246" s="34" t="str">
        <f aca="false">IF(B246&gt;=Eval_Start_Week,"YES","")</f>
        <v/>
      </c>
      <c r="Q246" s="34" t="str">
        <f aca="false">IF(AND(B246&gt;=Cal_Start_Week,B246&lt;=Cal_End_Week),"YES","")</f>
        <v>YES</v>
      </c>
    </row>
    <row r="247" customFormat="false" ht="15" hidden="false" customHeight="false" outlineLevel="0" collapsed="false">
      <c r="A247" s="31" t="str">
        <f aca="false">Demand_History!C247</f>
        <v>KIT-003</v>
      </c>
      <c r="B247" s="31" t="n">
        <f aca="false">Demand_History!A247</f>
        <v>38</v>
      </c>
      <c r="C247" s="32" t="n">
        <f aca="false">Demand_History!D247</f>
        <v>45</v>
      </c>
      <c r="D247" s="33" t="n">
        <f aca="false">IF(B247&gt;=2,C246,"")</f>
        <v>64</v>
      </c>
      <c r="E247" s="33" t="n">
        <f aca="false">IF(B247&gt;=5,AVERAGE(C243:C246),"")</f>
        <v>65.25</v>
      </c>
      <c r="F247" s="33" t="n">
        <f aca="false">IF(B247&gt;=9,AVERAGE(C239:C246),"")</f>
        <v>61.875</v>
      </c>
      <c r="G247" s="33" t="n">
        <f aca="false">IF(B247=1,"",IF(B247=2,C246,SES_Alpha*C246+(1-SES_Alpha)*G246))</f>
        <v>64.4973096750284</v>
      </c>
      <c r="H247" s="33" t="n">
        <f aca="false">IF(D247="","",D247-C247)</f>
        <v>19</v>
      </c>
      <c r="I247" s="33" t="n">
        <f aca="false">IF(E247="","",E247-C247)</f>
        <v>20.25</v>
      </c>
      <c r="J247" s="33" t="n">
        <f aca="false">IF(F247="","",F247-C247)</f>
        <v>16.875</v>
      </c>
      <c r="K247" s="33" t="n">
        <f aca="false">IF(G247="","",G247-C247)</f>
        <v>19.4973096750284</v>
      </c>
      <c r="L247" s="33" t="n">
        <f aca="false">IF(H247="","",ABS(H247))</f>
        <v>19</v>
      </c>
      <c r="M247" s="33" t="n">
        <f aca="false">IF(I247="","",ABS(I247))</f>
        <v>20.25</v>
      </c>
      <c r="N247" s="33" t="n">
        <f aca="false">IF(J247="","",ABS(J247))</f>
        <v>16.875</v>
      </c>
      <c r="O247" s="33" t="n">
        <f aca="false">IF(K247="","",ABS(K247))</f>
        <v>19.4973096750284</v>
      </c>
      <c r="P247" s="34" t="str">
        <f aca="false">IF(B247&gt;=Eval_Start_Week,"YES","")</f>
        <v/>
      </c>
      <c r="Q247" s="34" t="str">
        <f aca="false">IF(AND(B247&gt;=Cal_Start_Week,B247&lt;=Cal_End_Week),"YES","")</f>
        <v>YES</v>
      </c>
    </row>
    <row r="248" customFormat="false" ht="15" hidden="false" customHeight="false" outlineLevel="0" collapsed="false">
      <c r="A248" s="31" t="str">
        <f aca="false">Demand_History!C248</f>
        <v>KIT-003</v>
      </c>
      <c r="B248" s="31" t="n">
        <f aca="false">Demand_History!A248</f>
        <v>39</v>
      </c>
      <c r="C248" s="32" t="n">
        <f aca="false">Demand_History!D248</f>
        <v>59</v>
      </c>
      <c r="D248" s="33" t="n">
        <f aca="false">IF(B248&gt;=2,C247,"")</f>
        <v>45</v>
      </c>
      <c r="E248" s="33" t="n">
        <f aca="false">IF(B248&gt;=5,AVERAGE(C244:C247),"")</f>
        <v>60.75</v>
      </c>
      <c r="F248" s="33" t="n">
        <f aca="false">IF(B248&gt;=9,AVERAGE(C240:C247),"")</f>
        <v>61.5</v>
      </c>
      <c r="G248" s="33" t="n">
        <f aca="false">IF(B248=1,"",IF(B248=2,C247,SES_Alpha*C247+(1-SES_Alpha)*G247))</f>
        <v>58.6481167725199</v>
      </c>
      <c r="H248" s="33" t="n">
        <f aca="false">IF(D248="","",D248-C248)</f>
        <v>-14</v>
      </c>
      <c r="I248" s="33" t="n">
        <f aca="false">IF(E248="","",E248-C248)</f>
        <v>1.75</v>
      </c>
      <c r="J248" s="33" t="n">
        <f aca="false">IF(F248="","",F248-C248)</f>
        <v>2.5</v>
      </c>
      <c r="K248" s="33" t="n">
        <f aca="false">IF(G248="","",G248-C248)</f>
        <v>-0.351883227480137</v>
      </c>
      <c r="L248" s="33" t="n">
        <f aca="false">IF(H248="","",ABS(H248))</f>
        <v>14</v>
      </c>
      <c r="M248" s="33" t="n">
        <f aca="false">IF(I248="","",ABS(I248))</f>
        <v>1.75</v>
      </c>
      <c r="N248" s="33" t="n">
        <f aca="false">IF(J248="","",ABS(J248))</f>
        <v>2.5</v>
      </c>
      <c r="O248" s="33" t="n">
        <f aca="false">IF(K248="","",ABS(K248))</f>
        <v>0.351883227480137</v>
      </c>
      <c r="P248" s="34" t="str">
        <f aca="false">IF(B248&gt;=Eval_Start_Week,"YES","")</f>
        <v/>
      </c>
      <c r="Q248" s="34" t="str">
        <f aca="false">IF(AND(B248&gt;=Cal_Start_Week,B248&lt;=Cal_End_Week),"YES","")</f>
        <v>YES</v>
      </c>
    </row>
    <row r="249" customFormat="false" ht="15" hidden="false" customHeight="false" outlineLevel="0" collapsed="false">
      <c r="A249" s="31" t="str">
        <f aca="false">Demand_History!C249</f>
        <v>KIT-003</v>
      </c>
      <c r="B249" s="31" t="n">
        <f aca="false">Demand_History!A249</f>
        <v>40</v>
      </c>
      <c r="C249" s="32" t="n">
        <f aca="false">Demand_History!D249</f>
        <v>47</v>
      </c>
      <c r="D249" s="33" t="n">
        <f aca="false">IF(B249&gt;=2,C248,"")</f>
        <v>59</v>
      </c>
      <c r="E249" s="33" t="n">
        <f aca="false">IF(B249&gt;=5,AVERAGE(C245:C248),"")</f>
        <v>60.5</v>
      </c>
      <c r="F249" s="33" t="n">
        <f aca="false">IF(B249&gt;=9,AVERAGE(C241:C248),"")</f>
        <v>61.75</v>
      </c>
      <c r="G249" s="33" t="n">
        <f aca="false">IF(B249=1,"",IF(B249=2,C248,SES_Alpha*C248+(1-SES_Alpha)*G248))</f>
        <v>58.7536817407639</v>
      </c>
      <c r="H249" s="33" t="n">
        <f aca="false">IF(D249="","",D249-C249)</f>
        <v>12</v>
      </c>
      <c r="I249" s="33" t="n">
        <f aca="false">IF(E249="","",E249-C249)</f>
        <v>13.5</v>
      </c>
      <c r="J249" s="33" t="n">
        <f aca="false">IF(F249="","",F249-C249)</f>
        <v>14.75</v>
      </c>
      <c r="K249" s="33" t="n">
        <f aca="false">IF(G249="","",G249-C249)</f>
        <v>11.7536817407639</v>
      </c>
      <c r="L249" s="33" t="n">
        <f aca="false">IF(H249="","",ABS(H249))</f>
        <v>12</v>
      </c>
      <c r="M249" s="33" t="n">
        <f aca="false">IF(I249="","",ABS(I249))</f>
        <v>13.5</v>
      </c>
      <c r="N249" s="33" t="n">
        <f aca="false">IF(J249="","",ABS(J249))</f>
        <v>14.75</v>
      </c>
      <c r="O249" s="33" t="n">
        <f aca="false">IF(K249="","",ABS(K249))</f>
        <v>11.7536817407639</v>
      </c>
      <c r="P249" s="34" t="str">
        <f aca="false">IF(B249&gt;=Eval_Start_Week,"YES","")</f>
        <v/>
      </c>
      <c r="Q249" s="34" t="str">
        <f aca="false">IF(AND(B249&gt;=Cal_Start_Week,B249&lt;=Cal_End_Week),"YES","")</f>
        <v>YES</v>
      </c>
    </row>
    <row r="250" customFormat="false" ht="15" hidden="false" customHeight="false" outlineLevel="0" collapsed="false">
      <c r="A250" s="31" t="str">
        <f aca="false">Demand_History!C250</f>
        <v>KIT-003</v>
      </c>
      <c r="B250" s="31" t="n">
        <f aca="false">Demand_History!A250</f>
        <v>41</v>
      </c>
      <c r="C250" s="32" t="n">
        <f aca="false">Demand_History!D250</f>
        <v>36</v>
      </c>
      <c r="D250" s="33" t="n">
        <f aca="false">IF(B250&gt;=2,C249,"")</f>
        <v>47</v>
      </c>
      <c r="E250" s="33" t="n">
        <f aca="false">IF(B250&gt;=5,AVERAGE(C246:C249),"")</f>
        <v>53.75</v>
      </c>
      <c r="F250" s="33" t="n">
        <f aca="false">IF(B250&gt;=9,AVERAGE(C242:C249),"")</f>
        <v>59.125</v>
      </c>
      <c r="G250" s="33" t="n">
        <f aca="false">IF(B250=1,"",IF(B250=2,C249,SES_Alpha*C249+(1-SES_Alpha)*G249))</f>
        <v>55.2275772185347</v>
      </c>
      <c r="H250" s="33" t="n">
        <f aca="false">IF(D250="","",D250-C250)</f>
        <v>11</v>
      </c>
      <c r="I250" s="33" t="n">
        <f aca="false">IF(E250="","",E250-C250)</f>
        <v>17.75</v>
      </c>
      <c r="J250" s="33" t="n">
        <f aca="false">IF(F250="","",F250-C250)</f>
        <v>23.125</v>
      </c>
      <c r="K250" s="33" t="n">
        <f aca="false">IF(G250="","",G250-C250)</f>
        <v>19.2275772185347</v>
      </c>
      <c r="L250" s="33" t="n">
        <f aca="false">IF(H250="","",ABS(H250))</f>
        <v>11</v>
      </c>
      <c r="M250" s="33" t="n">
        <f aca="false">IF(I250="","",ABS(I250))</f>
        <v>17.75</v>
      </c>
      <c r="N250" s="33" t="n">
        <f aca="false">IF(J250="","",ABS(J250))</f>
        <v>23.125</v>
      </c>
      <c r="O250" s="33" t="n">
        <f aca="false">IF(K250="","",ABS(K250))</f>
        <v>19.2275772185347</v>
      </c>
      <c r="P250" s="34" t="str">
        <f aca="false">IF(B250&gt;=Eval_Start_Week,"YES","")</f>
        <v/>
      </c>
      <c r="Q250" s="34" t="str">
        <f aca="false">IF(AND(B250&gt;=Cal_Start_Week,B250&lt;=Cal_End_Week),"YES","")</f>
        <v>YES</v>
      </c>
    </row>
    <row r="251" customFormat="false" ht="15" hidden="false" customHeight="false" outlineLevel="0" collapsed="false">
      <c r="A251" s="31" t="str">
        <f aca="false">Demand_History!C251</f>
        <v>KIT-003</v>
      </c>
      <c r="B251" s="31" t="n">
        <f aca="false">Demand_History!A251</f>
        <v>42</v>
      </c>
      <c r="C251" s="32" t="n">
        <f aca="false">Demand_History!D251</f>
        <v>61</v>
      </c>
      <c r="D251" s="33" t="n">
        <f aca="false">IF(B251&gt;=2,C250,"")</f>
        <v>36</v>
      </c>
      <c r="E251" s="33" t="n">
        <f aca="false">IF(B251&gt;=5,AVERAGE(C247:C250),"")</f>
        <v>46.75</v>
      </c>
      <c r="F251" s="33" t="n">
        <f aca="false">IF(B251&gt;=9,AVERAGE(C243:C250),"")</f>
        <v>56</v>
      </c>
      <c r="G251" s="33" t="n">
        <f aca="false">IF(B251=1,"",IF(B251=2,C250,SES_Alpha*C250+(1-SES_Alpha)*G250))</f>
        <v>49.4593040529743</v>
      </c>
      <c r="H251" s="33" t="n">
        <f aca="false">IF(D251="","",D251-C251)</f>
        <v>-25</v>
      </c>
      <c r="I251" s="33" t="n">
        <f aca="false">IF(E251="","",E251-C251)</f>
        <v>-14.25</v>
      </c>
      <c r="J251" s="33" t="n">
        <f aca="false">IF(F251="","",F251-C251)</f>
        <v>-5</v>
      </c>
      <c r="K251" s="33" t="n">
        <f aca="false">IF(G251="","",G251-C251)</f>
        <v>-11.5406959470257</v>
      </c>
      <c r="L251" s="33" t="n">
        <f aca="false">IF(H251="","",ABS(H251))</f>
        <v>25</v>
      </c>
      <c r="M251" s="33" t="n">
        <f aca="false">IF(I251="","",ABS(I251))</f>
        <v>14.25</v>
      </c>
      <c r="N251" s="33" t="n">
        <f aca="false">IF(J251="","",ABS(J251))</f>
        <v>5</v>
      </c>
      <c r="O251" s="33" t="n">
        <f aca="false">IF(K251="","",ABS(K251))</f>
        <v>11.5406959470257</v>
      </c>
      <c r="P251" s="34" t="str">
        <f aca="false">IF(B251&gt;=Eval_Start_Week,"YES","")</f>
        <v/>
      </c>
      <c r="Q251" s="34" t="str">
        <f aca="false">IF(AND(B251&gt;=Cal_Start_Week,B251&lt;=Cal_End_Week),"YES","")</f>
        <v>YES</v>
      </c>
    </row>
    <row r="252" customFormat="false" ht="15" hidden="false" customHeight="false" outlineLevel="0" collapsed="false">
      <c r="A252" s="31" t="str">
        <f aca="false">Demand_History!C252</f>
        <v>KIT-003</v>
      </c>
      <c r="B252" s="31" t="n">
        <f aca="false">Demand_History!A252</f>
        <v>43</v>
      </c>
      <c r="C252" s="32" t="n">
        <f aca="false">Demand_History!D252</f>
        <v>79</v>
      </c>
      <c r="D252" s="33" t="n">
        <f aca="false">IF(B252&gt;=2,C251,"")</f>
        <v>61</v>
      </c>
      <c r="E252" s="33" t="n">
        <f aca="false">IF(B252&gt;=5,AVERAGE(C248:C251),"")</f>
        <v>50.75</v>
      </c>
      <c r="F252" s="33" t="n">
        <f aca="false">IF(B252&gt;=9,AVERAGE(C244:C251),"")</f>
        <v>55.75</v>
      </c>
      <c r="G252" s="33" t="n">
        <f aca="false">IF(B252=1,"",IF(B252=2,C251,SES_Alpha*C251+(1-SES_Alpha)*G251))</f>
        <v>52.921512837082</v>
      </c>
      <c r="H252" s="33" t="n">
        <f aca="false">IF(D252="","",D252-C252)</f>
        <v>-18</v>
      </c>
      <c r="I252" s="33" t="n">
        <f aca="false">IF(E252="","",E252-C252)</f>
        <v>-28.25</v>
      </c>
      <c r="J252" s="33" t="n">
        <f aca="false">IF(F252="","",F252-C252)</f>
        <v>-23.25</v>
      </c>
      <c r="K252" s="33" t="n">
        <f aca="false">IF(G252="","",G252-C252)</f>
        <v>-26.078487162918</v>
      </c>
      <c r="L252" s="33" t="n">
        <f aca="false">IF(H252="","",ABS(H252))</f>
        <v>18</v>
      </c>
      <c r="M252" s="33" t="n">
        <f aca="false">IF(I252="","",ABS(I252))</f>
        <v>28.25</v>
      </c>
      <c r="N252" s="33" t="n">
        <f aca="false">IF(J252="","",ABS(J252))</f>
        <v>23.25</v>
      </c>
      <c r="O252" s="33" t="n">
        <f aca="false">IF(K252="","",ABS(K252))</f>
        <v>26.078487162918</v>
      </c>
      <c r="P252" s="34" t="str">
        <f aca="false">IF(B252&gt;=Eval_Start_Week,"YES","")</f>
        <v/>
      </c>
      <c r="Q252" s="34" t="str">
        <f aca="false">IF(AND(B252&gt;=Cal_Start_Week,B252&lt;=Cal_End_Week),"YES","")</f>
        <v>YES</v>
      </c>
    </row>
    <row r="253" customFormat="false" ht="15" hidden="false" customHeight="false" outlineLevel="0" collapsed="false">
      <c r="A253" s="31" t="str">
        <f aca="false">Demand_History!C253</f>
        <v>KIT-003</v>
      </c>
      <c r="B253" s="31" t="n">
        <f aca="false">Demand_History!A253</f>
        <v>44</v>
      </c>
      <c r="C253" s="32" t="n">
        <f aca="false">Demand_History!D253</f>
        <v>68</v>
      </c>
      <c r="D253" s="33" t="n">
        <f aca="false">IF(B253&gt;=2,C252,"")</f>
        <v>79</v>
      </c>
      <c r="E253" s="33" t="n">
        <f aca="false">IF(B253&gt;=5,AVERAGE(C249:C252),"")</f>
        <v>55.75</v>
      </c>
      <c r="F253" s="33" t="n">
        <f aca="false">IF(B253&gt;=9,AVERAGE(C245:C252),"")</f>
        <v>58.125</v>
      </c>
      <c r="G253" s="33" t="n">
        <f aca="false">IF(B253=1,"",IF(B253=2,C252,SES_Alpha*C252+(1-SES_Alpha)*G252))</f>
        <v>60.7450589859574</v>
      </c>
      <c r="H253" s="33" t="n">
        <f aca="false">IF(D253="","",D253-C253)</f>
        <v>11</v>
      </c>
      <c r="I253" s="33" t="n">
        <f aca="false">IF(E253="","",E253-C253)</f>
        <v>-12.25</v>
      </c>
      <c r="J253" s="33" t="n">
        <f aca="false">IF(F253="","",F253-C253)</f>
        <v>-9.875</v>
      </c>
      <c r="K253" s="33" t="n">
        <f aca="false">IF(G253="","",G253-C253)</f>
        <v>-7.2549410140426</v>
      </c>
      <c r="L253" s="33" t="n">
        <f aca="false">IF(H253="","",ABS(H253))</f>
        <v>11</v>
      </c>
      <c r="M253" s="33" t="n">
        <f aca="false">IF(I253="","",ABS(I253))</f>
        <v>12.25</v>
      </c>
      <c r="N253" s="33" t="n">
        <f aca="false">IF(J253="","",ABS(J253))</f>
        <v>9.875</v>
      </c>
      <c r="O253" s="33" t="n">
        <f aca="false">IF(K253="","",ABS(K253))</f>
        <v>7.2549410140426</v>
      </c>
      <c r="P253" s="34" t="str">
        <f aca="false">IF(B253&gt;=Eval_Start_Week,"YES","")</f>
        <v/>
      </c>
      <c r="Q253" s="34" t="str">
        <f aca="false">IF(AND(B253&gt;=Cal_Start_Week,B253&lt;=Cal_End_Week),"YES","")</f>
        <v>YES</v>
      </c>
    </row>
    <row r="254" customFormat="false" ht="15" hidden="false" customHeight="false" outlineLevel="0" collapsed="false">
      <c r="A254" s="31" t="str">
        <f aca="false">Demand_History!C254</f>
        <v>KIT-003</v>
      </c>
      <c r="B254" s="31" t="n">
        <f aca="false">Demand_History!A254</f>
        <v>45</v>
      </c>
      <c r="C254" s="32" t="n">
        <f aca="false">Demand_History!D254</f>
        <v>57</v>
      </c>
      <c r="D254" s="33" t="n">
        <f aca="false">IF(B254&gt;=2,C253,"")</f>
        <v>68</v>
      </c>
      <c r="E254" s="33" t="n">
        <f aca="false">IF(B254&gt;=5,AVERAGE(C250:C253),"")</f>
        <v>61</v>
      </c>
      <c r="F254" s="33" t="n">
        <f aca="false">IF(B254&gt;=9,AVERAGE(C246:C253),"")</f>
        <v>57.375</v>
      </c>
      <c r="G254" s="33" t="n">
        <f aca="false">IF(B254=1,"",IF(B254=2,C253,SES_Alpha*C253+(1-SES_Alpha)*G253))</f>
        <v>62.9215412901702</v>
      </c>
      <c r="H254" s="33" t="n">
        <f aca="false">IF(D254="","",D254-C254)</f>
        <v>11</v>
      </c>
      <c r="I254" s="33" t="n">
        <f aca="false">IF(E254="","",E254-C254)</f>
        <v>4</v>
      </c>
      <c r="J254" s="33" t="n">
        <f aca="false">IF(F254="","",F254-C254)</f>
        <v>0.375</v>
      </c>
      <c r="K254" s="33" t="n">
        <f aca="false">IF(G254="","",G254-C254)</f>
        <v>5.92154129017018</v>
      </c>
      <c r="L254" s="33" t="n">
        <f aca="false">IF(H254="","",ABS(H254))</f>
        <v>11</v>
      </c>
      <c r="M254" s="33" t="n">
        <f aca="false">IF(I254="","",ABS(I254))</f>
        <v>4</v>
      </c>
      <c r="N254" s="33" t="n">
        <f aca="false">IF(J254="","",ABS(J254))</f>
        <v>0.375</v>
      </c>
      <c r="O254" s="33" t="n">
        <f aca="false">IF(K254="","",ABS(K254))</f>
        <v>5.92154129017018</v>
      </c>
      <c r="P254" s="34" t="str">
        <f aca="false">IF(B254&gt;=Eval_Start_Week,"YES","")</f>
        <v/>
      </c>
      <c r="Q254" s="34" t="str">
        <f aca="false">IF(AND(B254&gt;=Cal_Start_Week,B254&lt;=Cal_End_Week),"YES","")</f>
        <v>YES</v>
      </c>
    </row>
    <row r="255" customFormat="false" ht="15" hidden="false" customHeight="false" outlineLevel="0" collapsed="false">
      <c r="A255" s="31" t="str">
        <f aca="false">Demand_History!C255</f>
        <v>KIT-003</v>
      </c>
      <c r="B255" s="31" t="n">
        <f aca="false">Demand_History!A255</f>
        <v>46</v>
      </c>
      <c r="C255" s="32" t="n">
        <f aca="false">Demand_History!D255</f>
        <v>59</v>
      </c>
      <c r="D255" s="33" t="n">
        <f aca="false">IF(B255&gt;=2,C254,"")</f>
        <v>57</v>
      </c>
      <c r="E255" s="33" t="n">
        <f aca="false">IF(B255&gt;=5,AVERAGE(C251:C254),"")</f>
        <v>66.25</v>
      </c>
      <c r="F255" s="33" t="n">
        <f aca="false">IF(B255&gt;=9,AVERAGE(C247:C254),"")</f>
        <v>56.5</v>
      </c>
      <c r="G255" s="33" t="n">
        <f aca="false">IF(B255=1,"",IF(B255=2,C254,SES_Alpha*C254+(1-SES_Alpha)*G254))</f>
        <v>61.1450789031191</v>
      </c>
      <c r="H255" s="33" t="n">
        <f aca="false">IF(D255="","",D255-C255)</f>
        <v>-2</v>
      </c>
      <c r="I255" s="33" t="n">
        <f aca="false">IF(E255="","",E255-C255)</f>
        <v>7.25</v>
      </c>
      <c r="J255" s="33" t="n">
        <f aca="false">IF(F255="","",F255-C255)</f>
        <v>-2.5</v>
      </c>
      <c r="K255" s="33" t="n">
        <f aca="false">IF(G255="","",G255-C255)</f>
        <v>2.14507890311911</v>
      </c>
      <c r="L255" s="33" t="n">
        <f aca="false">IF(H255="","",ABS(H255))</f>
        <v>2</v>
      </c>
      <c r="M255" s="33" t="n">
        <f aca="false">IF(I255="","",ABS(I255))</f>
        <v>7.25</v>
      </c>
      <c r="N255" s="33" t="n">
        <f aca="false">IF(J255="","",ABS(J255))</f>
        <v>2.5</v>
      </c>
      <c r="O255" s="33" t="n">
        <f aca="false">IF(K255="","",ABS(K255))</f>
        <v>2.14507890311911</v>
      </c>
      <c r="P255" s="34" t="str">
        <f aca="false">IF(B255&gt;=Eval_Start_Week,"YES","")</f>
        <v/>
      </c>
      <c r="Q255" s="34" t="str">
        <f aca="false">IF(AND(B255&gt;=Cal_Start_Week,B255&lt;=Cal_End_Week),"YES","")</f>
        <v>YES</v>
      </c>
    </row>
    <row r="256" customFormat="false" ht="15" hidden="false" customHeight="false" outlineLevel="0" collapsed="false">
      <c r="A256" s="31" t="str">
        <f aca="false">Demand_History!C256</f>
        <v>KIT-003</v>
      </c>
      <c r="B256" s="31" t="n">
        <f aca="false">Demand_History!A256</f>
        <v>47</v>
      </c>
      <c r="C256" s="32" t="n">
        <f aca="false">Demand_History!D256</f>
        <v>80</v>
      </c>
      <c r="D256" s="33" t="n">
        <f aca="false">IF(B256&gt;=2,C255,"")</f>
        <v>59</v>
      </c>
      <c r="E256" s="33" t="n">
        <f aca="false">IF(B256&gt;=5,AVERAGE(C252:C255),"")</f>
        <v>65.75</v>
      </c>
      <c r="F256" s="33" t="n">
        <f aca="false">IF(B256&gt;=9,AVERAGE(C248:C255),"")</f>
        <v>58.25</v>
      </c>
      <c r="G256" s="33" t="n">
        <f aca="false">IF(B256=1,"",IF(B256=2,C255,SES_Alpha*C255+(1-SES_Alpha)*G255))</f>
        <v>60.5015552321834</v>
      </c>
      <c r="H256" s="33" t="n">
        <f aca="false">IF(D256="","",D256-C256)</f>
        <v>-21</v>
      </c>
      <c r="I256" s="33" t="n">
        <f aca="false">IF(E256="","",E256-C256)</f>
        <v>-14.25</v>
      </c>
      <c r="J256" s="33" t="n">
        <f aca="false">IF(F256="","",F256-C256)</f>
        <v>-21.75</v>
      </c>
      <c r="K256" s="33" t="n">
        <f aca="false">IF(G256="","",G256-C256)</f>
        <v>-19.4984447678166</v>
      </c>
      <c r="L256" s="33" t="n">
        <f aca="false">IF(H256="","",ABS(H256))</f>
        <v>21</v>
      </c>
      <c r="M256" s="33" t="n">
        <f aca="false">IF(I256="","",ABS(I256))</f>
        <v>14.25</v>
      </c>
      <c r="N256" s="33" t="n">
        <f aca="false">IF(J256="","",ABS(J256))</f>
        <v>21.75</v>
      </c>
      <c r="O256" s="33" t="n">
        <f aca="false">IF(K256="","",ABS(K256))</f>
        <v>19.4984447678166</v>
      </c>
      <c r="P256" s="34" t="str">
        <f aca="false">IF(B256&gt;=Eval_Start_Week,"YES","")</f>
        <v/>
      </c>
      <c r="Q256" s="34" t="str">
        <f aca="false">IF(AND(B256&gt;=Cal_Start_Week,B256&lt;=Cal_End_Week),"YES","")</f>
        <v>YES</v>
      </c>
    </row>
    <row r="257" customFormat="false" ht="15" hidden="false" customHeight="false" outlineLevel="0" collapsed="false">
      <c r="A257" s="31" t="str">
        <f aca="false">Demand_History!C257</f>
        <v>KIT-003</v>
      </c>
      <c r="B257" s="31" t="n">
        <f aca="false">Demand_History!A257</f>
        <v>48</v>
      </c>
      <c r="C257" s="32" t="n">
        <f aca="false">Demand_History!D257</f>
        <v>71</v>
      </c>
      <c r="D257" s="33" t="n">
        <f aca="false">IF(B257&gt;=2,C256,"")</f>
        <v>80</v>
      </c>
      <c r="E257" s="33" t="n">
        <f aca="false">IF(B257&gt;=5,AVERAGE(C253:C256),"")</f>
        <v>66</v>
      </c>
      <c r="F257" s="33" t="n">
        <f aca="false">IF(B257&gt;=9,AVERAGE(C249:C256),"")</f>
        <v>60.875</v>
      </c>
      <c r="G257" s="33" t="n">
        <f aca="false">IF(B257=1,"",IF(B257=2,C256,SES_Alpha*C256+(1-SES_Alpha)*G256))</f>
        <v>66.3510886625284</v>
      </c>
      <c r="H257" s="33" t="n">
        <f aca="false">IF(D257="","",D257-C257)</f>
        <v>9</v>
      </c>
      <c r="I257" s="33" t="n">
        <f aca="false">IF(E257="","",E257-C257)</f>
        <v>-5</v>
      </c>
      <c r="J257" s="33" t="n">
        <f aca="false">IF(F257="","",F257-C257)</f>
        <v>-10.125</v>
      </c>
      <c r="K257" s="33" t="n">
        <f aca="false">IF(G257="","",G257-C257)</f>
        <v>-4.64891133747165</v>
      </c>
      <c r="L257" s="33" t="n">
        <f aca="false">IF(H257="","",ABS(H257))</f>
        <v>9</v>
      </c>
      <c r="M257" s="33" t="n">
        <f aca="false">IF(I257="","",ABS(I257))</f>
        <v>5</v>
      </c>
      <c r="N257" s="33" t="n">
        <f aca="false">IF(J257="","",ABS(J257))</f>
        <v>10.125</v>
      </c>
      <c r="O257" s="33" t="n">
        <f aca="false">IF(K257="","",ABS(K257))</f>
        <v>4.64891133747165</v>
      </c>
      <c r="P257" s="34" t="str">
        <f aca="false">IF(B257&gt;=Eval_Start_Week,"YES","")</f>
        <v/>
      </c>
      <c r="Q257" s="34" t="str">
        <f aca="false">IF(AND(B257&gt;=Cal_Start_Week,B257&lt;=Cal_End_Week),"YES","")</f>
        <v>YES</v>
      </c>
    </row>
    <row r="258" customFormat="false" ht="15" hidden="false" customHeight="false" outlineLevel="0" collapsed="false">
      <c r="A258" s="31" t="str">
        <f aca="false">Demand_History!C258</f>
        <v>KIT-003</v>
      </c>
      <c r="B258" s="31" t="n">
        <f aca="false">Demand_History!A258</f>
        <v>49</v>
      </c>
      <c r="C258" s="32" t="n">
        <f aca="false">Demand_History!D258</f>
        <v>70</v>
      </c>
      <c r="D258" s="33" t="n">
        <f aca="false">IF(B258&gt;=2,C257,"")</f>
        <v>71</v>
      </c>
      <c r="E258" s="33" t="n">
        <f aca="false">IF(B258&gt;=5,AVERAGE(C254:C257),"")</f>
        <v>66.75</v>
      </c>
      <c r="F258" s="33" t="n">
        <f aca="false">IF(B258&gt;=9,AVERAGE(C250:C257),"")</f>
        <v>63.875</v>
      </c>
      <c r="G258" s="33" t="n">
        <f aca="false">IF(B258=1,"",IF(B258=2,C257,SES_Alpha*C257+(1-SES_Alpha)*G257))</f>
        <v>67.7457620637699</v>
      </c>
      <c r="H258" s="33" t="n">
        <f aca="false">IF(D258="","",D258-C258)</f>
        <v>1</v>
      </c>
      <c r="I258" s="33" t="n">
        <f aca="false">IF(E258="","",E258-C258)</f>
        <v>-3.25</v>
      </c>
      <c r="J258" s="33" t="n">
        <f aca="false">IF(F258="","",F258-C258)</f>
        <v>-6.125</v>
      </c>
      <c r="K258" s="33" t="n">
        <f aca="false">IF(G258="","",G258-C258)</f>
        <v>-2.25423793623015</v>
      </c>
      <c r="L258" s="33" t="n">
        <f aca="false">IF(H258="","",ABS(H258))</f>
        <v>1</v>
      </c>
      <c r="M258" s="33" t="n">
        <f aca="false">IF(I258="","",ABS(I258))</f>
        <v>3.25</v>
      </c>
      <c r="N258" s="33" t="n">
        <f aca="false">IF(J258="","",ABS(J258))</f>
        <v>6.125</v>
      </c>
      <c r="O258" s="33" t="n">
        <f aca="false">IF(K258="","",ABS(K258))</f>
        <v>2.25423793623015</v>
      </c>
      <c r="P258" s="34" t="str">
        <f aca="false">IF(B258&gt;=Eval_Start_Week,"YES","")</f>
        <v/>
      </c>
      <c r="Q258" s="34" t="str">
        <f aca="false">IF(AND(B258&gt;=Cal_Start_Week,B258&lt;=Cal_End_Week),"YES","")</f>
        <v>YES</v>
      </c>
    </row>
    <row r="259" customFormat="false" ht="15" hidden="false" customHeight="false" outlineLevel="0" collapsed="false">
      <c r="A259" s="31" t="str">
        <f aca="false">Demand_History!C259</f>
        <v>KIT-003</v>
      </c>
      <c r="B259" s="31" t="n">
        <f aca="false">Demand_History!A259</f>
        <v>50</v>
      </c>
      <c r="C259" s="32" t="n">
        <f aca="false">Demand_History!D259</f>
        <v>70</v>
      </c>
      <c r="D259" s="33" t="n">
        <f aca="false">IF(B259&gt;=2,C258,"")</f>
        <v>70</v>
      </c>
      <c r="E259" s="33" t="n">
        <f aca="false">IF(B259&gt;=5,AVERAGE(C255:C258),"")</f>
        <v>70</v>
      </c>
      <c r="F259" s="33" t="n">
        <f aca="false">IF(B259&gt;=9,AVERAGE(C251:C258),"")</f>
        <v>68.125</v>
      </c>
      <c r="G259" s="33" t="n">
        <f aca="false">IF(B259=1,"",IF(B259=2,C258,SES_Alpha*C258+(1-SES_Alpha)*G258))</f>
        <v>68.4220334446389</v>
      </c>
      <c r="H259" s="33" t="n">
        <f aca="false">IF(D259="","",D259-C259)</f>
        <v>0</v>
      </c>
      <c r="I259" s="33" t="n">
        <f aca="false">IF(E259="","",E259-C259)</f>
        <v>0</v>
      </c>
      <c r="J259" s="33" t="n">
        <f aca="false">IF(F259="","",F259-C259)</f>
        <v>-1.875</v>
      </c>
      <c r="K259" s="33" t="n">
        <f aca="false">IF(G259="","",G259-C259)</f>
        <v>-1.57796655536112</v>
      </c>
      <c r="L259" s="33" t="n">
        <f aca="false">IF(H259="","",ABS(H259))</f>
        <v>0</v>
      </c>
      <c r="M259" s="33" t="n">
        <f aca="false">IF(I259="","",ABS(I259))</f>
        <v>0</v>
      </c>
      <c r="N259" s="33" t="n">
        <f aca="false">IF(J259="","",ABS(J259))</f>
        <v>1.875</v>
      </c>
      <c r="O259" s="33" t="n">
        <f aca="false">IF(K259="","",ABS(K259))</f>
        <v>1.57796655536112</v>
      </c>
      <c r="P259" s="34" t="str">
        <f aca="false">IF(B259&gt;=Eval_Start_Week,"YES","")</f>
        <v/>
      </c>
      <c r="Q259" s="34" t="str">
        <f aca="false">IF(AND(B259&gt;=Cal_Start_Week,B259&lt;=Cal_End_Week),"YES","")</f>
        <v>YES</v>
      </c>
    </row>
    <row r="260" customFormat="false" ht="15" hidden="false" customHeight="false" outlineLevel="0" collapsed="false">
      <c r="A260" s="31" t="str">
        <f aca="false">Demand_History!C260</f>
        <v>KIT-003</v>
      </c>
      <c r="B260" s="31" t="n">
        <f aca="false">Demand_History!A260</f>
        <v>51</v>
      </c>
      <c r="C260" s="32" t="n">
        <f aca="false">Demand_History!D260</f>
        <v>71</v>
      </c>
      <c r="D260" s="33" t="n">
        <f aca="false">IF(B260&gt;=2,C259,"")</f>
        <v>70</v>
      </c>
      <c r="E260" s="33" t="n">
        <f aca="false">IF(B260&gt;=5,AVERAGE(C256:C259),"")</f>
        <v>72.75</v>
      </c>
      <c r="F260" s="33" t="n">
        <f aca="false">IF(B260&gt;=9,AVERAGE(C252:C259),"")</f>
        <v>69.25</v>
      </c>
      <c r="G260" s="33" t="n">
        <f aca="false">IF(B260=1,"",IF(B260=2,C259,SES_Alpha*C259+(1-SES_Alpha)*G259))</f>
        <v>68.8954234112472</v>
      </c>
      <c r="H260" s="33" t="n">
        <f aca="false">IF(D260="","",D260-C260)</f>
        <v>-1</v>
      </c>
      <c r="I260" s="33" t="n">
        <f aca="false">IF(E260="","",E260-C260)</f>
        <v>1.75</v>
      </c>
      <c r="J260" s="33" t="n">
        <f aca="false">IF(F260="","",F260-C260)</f>
        <v>-1.75</v>
      </c>
      <c r="K260" s="33" t="n">
        <f aca="false">IF(G260="","",G260-C260)</f>
        <v>-2.10457658875279</v>
      </c>
      <c r="L260" s="33" t="n">
        <f aca="false">IF(H260="","",ABS(H260))</f>
        <v>1</v>
      </c>
      <c r="M260" s="33" t="n">
        <f aca="false">IF(I260="","",ABS(I260))</f>
        <v>1.75</v>
      </c>
      <c r="N260" s="33" t="n">
        <f aca="false">IF(J260="","",ABS(J260))</f>
        <v>1.75</v>
      </c>
      <c r="O260" s="33" t="n">
        <f aca="false">IF(K260="","",ABS(K260))</f>
        <v>2.10457658875279</v>
      </c>
      <c r="P260" s="34" t="str">
        <f aca="false">IF(B260&gt;=Eval_Start_Week,"YES","")</f>
        <v/>
      </c>
      <c r="Q260" s="34" t="str">
        <f aca="false">IF(AND(B260&gt;=Cal_Start_Week,B260&lt;=Cal_End_Week),"YES","")</f>
        <v>YES</v>
      </c>
    </row>
    <row r="261" customFormat="false" ht="15" hidden="false" customHeight="false" outlineLevel="0" collapsed="false">
      <c r="A261" s="31" t="str">
        <f aca="false">Demand_History!C261</f>
        <v>KIT-003</v>
      </c>
      <c r="B261" s="31" t="n">
        <f aca="false">Demand_History!A261</f>
        <v>52</v>
      </c>
      <c r="C261" s="32" t="n">
        <f aca="false">Demand_History!D261</f>
        <v>80</v>
      </c>
      <c r="D261" s="33" t="n">
        <f aca="false">IF(B261&gt;=2,C260,"")</f>
        <v>71</v>
      </c>
      <c r="E261" s="33" t="n">
        <f aca="false">IF(B261&gt;=5,AVERAGE(C257:C260),"")</f>
        <v>70.5</v>
      </c>
      <c r="F261" s="33" t="n">
        <f aca="false">IF(B261&gt;=9,AVERAGE(C253:C260),"")</f>
        <v>68.25</v>
      </c>
      <c r="G261" s="33" t="n">
        <f aca="false">IF(B261=1,"",IF(B261=2,C260,SES_Alpha*C260+(1-SES_Alpha)*G260))</f>
        <v>69.5267963878731</v>
      </c>
      <c r="H261" s="33" t="n">
        <f aca="false">IF(D261="","",D261-C261)</f>
        <v>-9</v>
      </c>
      <c r="I261" s="33" t="n">
        <f aca="false">IF(E261="","",E261-C261)</f>
        <v>-9.5</v>
      </c>
      <c r="J261" s="33" t="n">
        <f aca="false">IF(F261="","",F261-C261)</f>
        <v>-11.75</v>
      </c>
      <c r="K261" s="33" t="n">
        <f aca="false">IF(G261="","",G261-C261)</f>
        <v>-10.473203612127</v>
      </c>
      <c r="L261" s="33" t="n">
        <f aca="false">IF(H261="","",ABS(H261))</f>
        <v>9</v>
      </c>
      <c r="M261" s="33" t="n">
        <f aca="false">IF(I261="","",ABS(I261))</f>
        <v>9.5</v>
      </c>
      <c r="N261" s="33" t="n">
        <f aca="false">IF(J261="","",ABS(J261))</f>
        <v>11.75</v>
      </c>
      <c r="O261" s="33" t="n">
        <f aca="false">IF(K261="","",ABS(K261))</f>
        <v>10.473203612127</v>
      </c>
      <c r="P261" s="34" t="str">
        <f aca="false">IF(B261&gt;=Eval_Start_Week,"YES","")</f>
        <v/>
      </c>
      <c r="Q261" s="34" t="str">
        <f aca="false">IF(AND(B261&gt;=Cal_Start_Week,B261&lt;=Cal_End_Week),"YES","")</f>
        <v>YES</v>
      </c>
    </row>
    <row r="262" customFormat="false" ht="15" hidden="false" customHeight="false" outlineLevel="0" collapsed="false">
      <c r="A262" s="31" t="str">
        <f aca="false">Demand_History!C262</f>
        <v>KIT-003</v>
      </c>
      <c r="B262" s="31" t="n">
        <f aca="false">Demand_History!A262</f>
        <v>53</v>
      </c>
      <c r="C262" s="32" t="n">
        <f aca="false">Demand_History!D262</f>
        <v>78</v>
      </c>
      <c r="D262" s="33" t="n">
        <f aca="false">IF(B262&gt;=2,C261,"")</f>
        <v>80</v>
      </c>
      <c r="E262" s="33" t="n">
        <f aca="false">IF(B262&gt;=5,AVERAGE(C258:C261),"")</f>
        <v>72.75</v>
      </c>
      <c r="F262" s="33" t="n">
        <f aca="false">IF(B262&gt;=9,AVERAGE(C254:C261),"")</f>
        <v>69.75</v>
      </c>
      <c r="G262" s="33" t="n">
        <f aca="false">IF(B262=1,"",IF(B262=2,C261,SES_Alpha*C261+(1-SES_Alpha)*G261))</f>
        <v>72.6687574715111</v>
      </c>
      <c r="H262" s="33" t="n">
        <f aca="false">IF(D262="","",D262-C262)</f>
        <v>2</v>
      </c>
      <c r="I262" s="33" t="n">
        <f aca="false">IF(E262="","",E262-C262)</f>
        <v>-5.25</v>
      </c>
      <c r="J262" s="33" t="n">
        <f aca="false">IF(F262="","",F262-C262)</f>
        <v>-8.25</v>
      </c>
      <c r="K262" s="33" t="n">
        <f aca="false">IF(G262="","",G262-C262)</f>
        <v>-5.33124252848887</v>
      </c>
      <c r="L262" s="33" t="n">
        <f aca="false">IF(H262="","",ABS(H262))</f>
        <v>2</v>
      </c>
      <c r="M262" s="33" t="n">
        <f aca="false">IF(I262="","",ABS(I262))</f>
        <v>5.25</v>
      </c>
      <c r="N262" s="33" t="n">
        <f aca="false">IF(J262="","",ABS(J262))</f>
        <v>8.25</v>
      </c>
      <c r="O262" s="33" t="n">
        <f aca="false">IF(K262="","",ABS(K262))</f>
        <v>5.33124252848887</v>
      </c>
      <c r="P262" s="34" t="str">
        <f aca="false">IF(B262&gt;=Eval_Start_Week,"YES","")</f>
        <v>YES</v>
      </c>
      <c r="Q262" s="34" t="str">
        <f aca="false">IF(AND(B262&gt;=Cal_Start_Week,B262&lt;=Cal_End_Week),"YES","")</f>
        <v>YES</v>
      </c>
    </row>
    <row r="263" customFormat="false" ht="15" hidden="false" customHeight="false" outlineLevel="0" collapsed="false">
      <c r="A263" s="31" t="str">
        <f aca="false">Demand_History!C263</f>
        <v>KIT-003</v>
      </c>
      <c r="B263" s="31" t="n">
        <f aca="false">Demand_History!A263</f>
        <v>54</v>
      </c>
      <c r="C263" s="32" t="n">
        <f aca="false">Demand_History!D263</f>
        <v>75</v>
      </c>
      <c r="D263" s="33" t="n">
        <f aca="false">IF(B263&gt;=2,C262,"")</f>
        <v>78</v>
      </c>
      <c r="E263" s="33" t="n">
        <f aca="false">IF(B263&gt;=5,AVERAGE(C259:C262),"")</f>
        <v>74.75</v>
      </c>
      <c r="F263" s="33" t="n">
        <f aca="false">IF(B263&gt;=9,AVERAGE(C255:C262),"")</f>
        <v>72.375</v>
      </c>
      <c r="G263" s="33" t="n">
        <f aca="false">IF(B263=1,"",IF(B263=2,C262,SES_Alpha*C262+(1-SES_Alpha)*G262))</f>
        <v>74.2681302300578</v>
      </c>
      <c r="H263" s="33" t="n">
        <f aca="false">IF(D263="","",D263-C263)</f>
        <v>3</v>
      </c>
      <c r="I263" s="33" t="n">
        <f aca="false">IF(E263="","",E263-C263)</f>
        <v>-0.25</v>
      </c>
      <c r="J263" s="33" t="n">
        <f aca="false">IF(F263="","",F263-C263)</f>
        <v>-2.625</v>
      </c>
      <c r="K263" s="33" t="n">
        <f aca="false">IF(G263="","",G263-C263)</f>
        <v>-0.731869769942222</v>
      </c>
      <c r="L263" s="33" t="n">
        <f aca="false">IF(H263="","",ABS(H263))</f>
        <v>3</v>
      </c>
      <c r="M263" s="33" t="n">
        <f aca="false">IF(I263="","",ABS(I263))</f>
        <v>0.25</v>
      </c>
      <c r="N263" s="33" t="n">
        <f aca="false">IF(J263="","",ABS(J263))</f>
        <v>2.625</v>
      </c>
      <c r="O263" s="33" t="n">
        <f aca="false">IF(K263="","",ABS(K263))</f>
        <v>0.731869769942222</v>
      </c>
      <c r="P263" s="34" t="str">
        <f aca="false">IF(B263&gt;=Eval_Start_Week,"YES","")</f>
        <v>YES</v>
      </c>
      <c r="Q263" s="34" t="str">
        <f aca="false">IF(AND(B263&gt;=Cal_Start_Week,B263&lt;=Cal_End_Week),"YES","")</f>
        <v>YES</v>
      </c>
    </row>
    <row r="264" customFormat="false" ht="15" hidden="false" customHeight="false" outlineLevel="0" collapsed="false">
      <c r="A264" s="31" t="str">
        <f aca="false">Demand_History!C264</f>
        <v>KIT-003</v>
      </c>
      <c r="B264" s="31" t="n">
        <f aca="false">Demand_History!A264</f>
        <v>55</v>
      </c>
      <c r="C264" s="32" t="n">
        <f aca="false">Demand_History!D264</f>
        <v>62</v>
      </c>
      <c r="D264" s="33" t="n">
        <f aca="false">IF(B264&gt;=2,C263,"")</f>
        <v>75</v>
      </c>
      <c r="E264" s="33" t="n">
        <f aca="false">IF(B264&gt;=5,AVERAGE(C260:C263),"")</f>
        <v>76</v>
      </c>
      <c r="F264" s="33" t="n">
        <f aca="false">IF(B264&gt;=9,AVERAGE(C256:C263),"")</f>
        <v>74.375</v>
      </c>
      <c r="G264" s="33" t="n">
        <f aca="false">IF(B264=1,"",IF(B264=2,C263,SES_Alpha*C263+(1-SES_Alpha)*G263))</f>
        <v>74.4876911610404</v>
      </c>
      <c r="H264" s="33" t="n">
        <f aca="false">IF(D264="","",D264-C264)</f>
        <v>13</v>
      </c>
      <c r="I264" s="33" t="n">
        <f aca="false">IF(E264="","",E264-C264)</f>
        <v>14</v>
      </c>
      <c r="J264" s="33" t="n">
        <f aca="false">IF(F264="","",F264-C264)</f>
        <v>12.375</v>
      </c>
      <c r="K264" s="33" t="n">
        <f aca="false">IF(G264="","",G264-C264)</f>
        <v>12.4876911610404</v>
      </c>
      <c r="L264" s="33" t="n">
        <f aca="false">IF(H264="","",ABS(H264))</f>
        <v>13</v>
      </c>
      <c r="M264" s="33" t="n">
        <f aca="false">IF(I264="","",ABS(I264))</f>
        <v>14</v>
      </c>
      <c r="N264" s="33" t="n">
        <f aca="false">IF(J264="","",ABS(J264))</f>
        <v>12.375</v>
      </c>
      <c r="O264" s="33" t="n">
        <f aca="false">IF(K264="","",ABS(K264))</f>
        <v>12.4876911610404</v>
      </c>
      <c r="P264" s="34" t="str">
        <f aca="false">IF(B264&gt;=Eval_Start_Week,"YES","")</f>
        <v>YES</v>
      </c>
      <c r="Q264" s="34" t="str">
        <f aca="false">IF(AND(B264&gt;=Cal_Start_Week,B264&lt;=Cal_End_Week),"YES","")</f>
        <v>YES</v>
      </c>
    </row>
    <row r="265" customFormat="false" ht="15" hidden="false" customHeight="false" outlineLevel="0" collapsed="false">
      <c r="A265" s="31" t="str">
        <f aca="false">Demand_History!C265</f>
        <v>KIT-003</v>
      </c>
      <c r="B265" s="31" t="n">
        <f aca="false">Demand_History!A265</f>
        <v>56</v>
      </c>
      <c r="C265" s="32" t="n">
        <f aca="false">Demand_History!D265</f>
        <v>79</v>
      </c>
      <c r="D265" s="33" t="n">
        <f aca="false">IF(B265&gt;=2,C264,"")</f>
        <v>62</v>
      </c>
      <c r="E265" s="33" t="n">
        <f aca="false">IF(B265&gt;=5,AVERAGE(C261:C264),"")</f>
        <v>73.75</v>
      </c>
      <c r="F265" s="33" t="n">
        <f aca="false">IF(B265&gt;=9,AVERAGE(C257:C264),"")</f>
        <v>72.125</v>
      </c>
      <c r="G265" s="33" t="n">
        <f aca="false">IF(B265=1,"",IF(B265=2,C264,SES_Alpha*C264+(1-SES_Alpha)*G264))</f>
        <v>70.7413838127283</v>
      </c>
      <c r="H265" s="33" t="n">
        <f aca="false">IF(D265="","",D265-C265)</f>
        <v>-17</v>
      </c>
      <c r="I265" s="33" t="n">
        <f aca="false">IF(E265="","",E265-C265)</f>
        <v>-5.25</v>
      </c>
      <c r="J265" s="33" t="n">
        <f aca="false">IF(F265="","",F265-C265)</f>
        <v>-6.875</v>
      </c>
      <c r="K265" s="33" t="n">
        <f aca="false">IF(G265="","",G265-C265)</f>
        <v>-8.2586161872717</v>
      </c>
      <c r="L265" s="33" t="n">
        <f aca="false">IF(H265="","",ABS(H265))</f>
        <v>17</v>
      </c>
      <c r="M265" s="33" t="n">
        <f aca="false">IF(I265="","",ABS(I265))</f>
        <v>5.25</v>
      </c>
      <c r="N265" s="33" t="n">
        <f aca="false">IF(J265="","",ABS(J265))</f>
        <v>6.875</v>
      </c>
      <c r="O265" s="33" t="n">
        <f aca="false">IF(K265="","",ABS(K265))</f>
        <v>8.2586161872717</v>
      </c>
      <c r="P265" s="34" t="str">
        <f aca="false">IF(B265&gt;=Eval_Start_Week,"YES","")</f>
        <v>YES</v>
      </c>
      <c r="Q265" s="34" t="str">
        <f aca="false">IF(AND(B265&gt;=Cal_Start_Week,B265&lt;=Cal_End_Week),"YES","")</f>
        <v>YES</v>
      </c>
    </row>
    <row r="266" customFormat="false" ht="15" hidden="false" customHeight="false" outlineLevel="0" collapsed="false">
      <c r="A266" s="31" t="str">
        <f aca="false">Demand_History!C266</f>
        <v>KIT-003</v>
      </c>
      <c r="B266" s="31" t="n">
        <f aca="false">Demand_History!A266</f>
        <v>57</v>
      </c>
      <c r="C266" s="32" t="n">
        <f aca="false">Demand_History!D266</f>
        <v>67</v>
      </c>
      <c r="D266" s="33" t="n">
        <f aca="false">IF(B266&gt;=2,C265,"")</f>
        <v>79</v>
      </c>
      <c r="E266" s="33" t="n">
        <f aca="false">IF(B266&gt;=5,AVERAGE(C262:C265),"")</f>
        <v>73.5</v>
      </c>
      <c r="F266" s="33" t="n">
        <f aca="false">IF(B266&gt;=9,AVERAGE(C258:C265),"")</f>
        <v>73.125</v>
      </c>
      <c r="G266" s="33" t="n">
        <f aca="false">IF(B266=1,"",IF(B266=2,C265,SES_Alpha*C265+(1-SES_Alpha)*G265))</f>
        <v>73.2189686689098</v>
      </c>
      <c r="H266" s="33" t="n">
        <f aca="false">IF(D266="","",D266-C266)</f>
        <v>12</v>
      </c>
      <c r="I266" s="33" t="n">
        <f aca="false">IF(E266="","",E266-C266)</f>
        <v>6.5</v>
      </c>
      <c r="J266" s="33" t="n">
        <f aca="false">IF(F266="","",F266-C266)</f>
        <v>6.125</v>
      </c>
      <c r="K266" s="33" t="n">
        <f aca="false">IF(G266="","",G266-C266)</f>
        <v>6.21896866890981</v>
      </c>
      <c r="L266" s="33" t="n">
        <f aca="false">IF(H266="","",ABS(H266))</f>
        <v>12</v>
      </c>
      <c r="M266" s="33" t="n">
        <f aca="false">IF(I266="","",ABS(I266))</f>
        <v>6.5</v>
      </c>
      <c r="N266" s="33" t="n">
        <f aca="false">IF(J266="","",ABS(J266))</f>
        <v>6.125</v>
      </c>
      <c r="O266" s="33" t="n">
        <f aca="false">IF(K266="","",ABS(K266))</f>
        <v>6.21896866890981</v>
      </c>
      <c r="P266" s="34" t="str">
        <f aca="false">IF(B266&gt;=Eval_Start_Week,"YES","")</f>
        <v>YES</v>
      </c>
      <c r="Q266" s="34" t="str">
        <f aca="false">IF(AND(B266&gt;=Cal_Start_Week,B266&lt;=Cal_End_Week),"YES","")</f>
        <v>YES</v>
      </c>
    </row>
    <row r="267" customFormat="false" ht="15" hidden="false" customHeight="false" outlineLevel="0" collapsed="false">
      <c r="A267" s="31" t="str">
        <f aca="false">Demand_History!C267</f>
        <v>KIT-003</v>
      </c>
      <c r="B267" s="31" t="n">
        <f aca="false">Demand_History!A267</f>
        <v>58</v>
      </c>
      <c r="C267" s="32" t="n">
        <f aca="false">Demand_History!D267</f>
        <v>86</v>
      </c>
      <c r="D267" s="33" t="n">
        <f aca="false">IF(B267&gt;=2,C266,"")</f>
        <v>67</v>
      </c>
      <c r="E267" s="33" t="n">
        <f aca="false">IF(B267&gt;=5,AVERAGE(C263:C266),"")</f>
        <v>70.75</v>
      </c>
      <c r="F267" s="33" t="n">
        <f aca="false">IF(B267&gt;=9,AVERAGE(C259:C266),"")</f>
        <v>72.75</v>
      </c>
      <c r="G267" s="33" t="n">
        <f aca="false">IF(B267=1,"",IF(B267=2,C266,SES_Alpha*C266+(1-SES_Alpha)*G266))</f>
        <v>71.3532780682369</v>
      </c>
      <c r="H267" s="33" t="n">
        <f aca="false">IF(D267="","",D267-C267)</f>
        <v>-19</v>
      </c>
      <c r="I267" s="33" t="n">
        <f aca="false">IF(E267="","",E267-C267)</f>
        <v>-15.25</v>
      </c>
      <c r="J267" s="33" t="n">
        <f aca="false">IF(F267="","",F267-C267)</f>
        <v>-13.25</v>
      </c>
      <c r="K267" s="33" t="n">
        <f aca="false">IF(G267="","",G267-C267)</f>
        <v>-14.6467219317631</v>
      </c>
      <c r="L267" s="33" t="n">
        <f aca="false">IF(H267="","",ABS(H267))</f>
        <v>19</v>
      </c>
      <c r="M267" s="33" t="n">
        <f aca="false">IF(I267="","",ABS(I267))</f>
        <v>15.25</v>
      </c>
      <c r="N267" s="33" t="n">
        <f aca="false">IF(J267="","",ABS(J267))</f>
        <v>13.25</v>
      </c>
      <c r="O267" s="33" t="n">
        <f aca="false">IF(K267="","",ABS(K267))</f>
        <v>14.6467219317631</v>
      </c>
      <c r="P267" s="34" t="str">
        <f aca="false">IF(B267&gt;=Eval_Start_Week,"YES","")</f>
        <v>YES</v>
      </c>
      <c r="Q267" s="34" t="str">
        <f aca="false">IF(AND(B267&gt;=Cal_Start_Week,B267&lt;=Cal_End_Week),"YES","")</f>
        <v>YES</v>
      </c>
    </row>
    <row r="268" customFormat="false" ht="15" hidden="false" customHeight="false" outlineLevel="0" collapsed="false">
      <c r="A268" s="31" t="str">
        <f aca="false">Demand_History!C268</f>
        <v>KIT-003</v>
      </c>
      <c r="B268" s="31" t="n">
        <f aca="false">Demand_History!A268</f>
        <v>59</v>
      </c>
      <c r="C268" s="32" t="n">
        <f aca="false">Demand_History!D268</f>
        <v>62</v>
      </c>
      <c r="D268" s="33" t="n">
        <f aca="false">IF(B268&gt;=2,C267,"")</f>
        <v>86</v>
      </c>
      <c r="E268" s="33" t="n">
        <f aca="false">IF(B268&gt;=5,AVERAGE(C264:C267),"")</f>
        <v>73.5</v>
      </c>
      <c r="F268" s="33" t="n">
        <f aca="false">IF(B268&gt;=9,AVERAGE(C260:C267),"")</f>
        <v>74.75</v>
      </c>
      <c r="G268" s="33" t="n">
        <f aca="false">IF(B268=1,"",IF(B268=2,C267,SES_Alpha*C267+(1-SES_Alpha)*G267))</f>
        <v>75.7472946477658</v>
      </c>
      <c r="H268" s="33" t="n">
        <f aca="false">IF(D268="","",D268-C268)</f>
        <v>24</v>
      </c>
      <c r="I268" s="33" t="n">
        <f aca="false">IF(E268="","",E268-C268)</f>
        <v>11.5</v>
      </c>
      <c r="J268" s="33" t="n">
        <f aca="false">IF(F268="","",F268-C268)</f>
        <v>12.75</v>
      </c>
      <c r="K268" s="33" t="n">
        <f aca="false">IF(G268="","",G268-C268)</f>
        <v>13.7472946477658</v>
      </c>
      <c r="L268" s="33" t="n">
        <f aca="false">IF(H268="","",ABS(H268))</f>
        <v>24</v>
      </c>
      <c r="M268" s="33" t="n">
        <f aca="false">IF(I268="","",ABS(I268))</f>
        <v>11.5</v>
      </c>
      <c r="N268" s="33" t="n">
        <f aca="false">IF(J268="","",ABS(J268))</f>
        <v>12.75</v>
      </c>
      <c r="O268" s="33" t="n">
        <f aca="false">IF(K268="","",ABS(K268))</f>
        <v>13.7472946477658</v>
      </c>
      <c r="P268" s="34" t="str">
        <f aca="false">IF(B268&gt;=Eval_Start_Week,"YES","")</f>
        <v>YES</v>
      </c>
      <c r="Q268" s="34" t="str">
        <f aca="false">IF(AND(B268&gt;=Cal_Start_Week,B268&lt;=Cal_End_Week),"YES","")</f>
        <v>YES</v>
      </c>
    </row>
    <row r="269" customFormat="false" ht="15" hidden="false" customHeight="false" outlineLevel="0" collapsed="false">
      <c r="A269" s="31" t="str">
        <f aca="false">Demand_History!C269</f>
        <v>KIT-003</v>
      </c>
      <c r="B269" s="31" t="n">
        <f aca="false">Demand_History!A269</f>
        <v>60</v>
      </c>
      <c r="C269" s="32" t="n">
        <f aca="false">Demand_History!D269</f>
        <v>74</v>
      </c>
      <c r="D269" s="33" t="n">
        <f aca="false">IF(B269&gt;=2,C268,"")</f>
        <v>62</v>
      </c>
      <c r="E269" s="33" t="n">
        <f aca="false">IF(B269&gt;=5,AVERAGE(C265:C268),"")</f>
        <v>73.5</v>
      </c>
      <c r="F269" s="33" t="n">
        <f aca="false">IF(B269&gt;=9,AVERAGE(C261:C268),"")</f>
        <v>73.625</v>
      </c>
      <c r="G269" s="33" t="n">
        <f aca="false">IF(B269=1,"",IF(B269=2,C268,SES_Alpha*C268+(1-SES_Alpha)*G268))</f>
        <v>71.6231062534361</v>
      </c>
      <c r="H269" s="33" t="n">
        <f aca="false">IF(D269="","",D269-C269)</f>
        <v>-12</v>
      </c>
      <c r="I269" s="33" t="n">
        <f aca="false">IF(E269="","",E269-C269)</f>
        <v>-0.5</v>
      </c>
      <c r="J269" s="33" t="n">
        <f aca="false">IF(F269="","",F269-C269)</f>
        <v>-0.375</v>
      </c>
      <c r="K269" s="33" t="n">
        <f aca="false">IF(G269="","",G269-C269)</f>
        <v>-2.37689374656395</v>
      </c>
      <c r="L269" s="33" t="n">
        <f aca="false">IF(H269="","",ABS(H269))</f>
        <v>12</v>
      </c>
      <c r="M269" s="33" t="n">
        <f aca="false">IF(I269="","",ABS(I269))</f>
        <v>0.5</v>
      </c>
      <c r="N269" s="33" t="n">
        <f aca="false">IF(J269="","",ABS(J269))</f>
        <v>0.375</v>
      </c>
      <c r="O269" s="33" t="n">
        <f aca="false">IF(K269="","",ABS(K269))</f>
        <v>2.37689374656395</v>
      </c>
      <c r="P269" s="34" t="str">
        <f aca="false">IF(B269&gt;=Eval_Start_Week,"YES","")</f>
        <v>YES</v>
      </c>
      <c r="Q269" s="34" t="str">
        <f aca="false">IF(AND(B269&gt;=Cal_Start_Week,B269&lt;=Cal_End_Week),"YES","")</f>
        <v>YES</v>
      </c>
    </row>
    <row r="270" customFormat="false" ht="15" hidden="false" customHeight="false" outlineLevel="0" collapsed="false">
      <c r="A270" s="31" t="str">
        <f aca="false">Demand_History!C270</f>
        <v>KIT-003</v>
      </c>
      <c r="B270" s="31" t="n">
        <f aca="false">Demand_History!A270</f>
        <v>61</v>
      </c>
      <c r="C270" s="32" t="n">
        <f aca="false">Demand_History!D270</f>
        <v>76</v>
      </c>
      <c r="D270" s="33" t="n">
        <f aca="false">IF(B270&gt;=2,C269,"")</f>
        <v>74</v>
      </c>
      <c r="E270" s="33" t="n">
        <f aca="false">IF(B270&gt;=5,AVERAGE(C266:C269),"")</f>
        <v>72.25</v>
      </c>
      <c r="F270" s="33" t="n">
        <f aca="false">IF(B270&gt;=9,AVERAGE(C262:C269),"")</f>
        <v>72.875</v>
      </c>
      <c r="G270" s="33" t="n">
        <f aca="false">IF(B270=1,"",IF(B270=2,C269,SES_Alpha*C269+(1-SES_Alpha)*G269))</f>
        <v>72.3361743774052</v>
      </c>
      <c r="H270" s="33" t="n">
        <f aca="false">IF(D270="","",D270-C270)</f>
        <v>-2</v>
      </c>
      <c r="I270" s="33" t="n">
        <f aca="false">IF(E270="","",E270-C270)</f>
        <v>-3.75</v>
      </c>
      <c r="J270" s="33" t="n">
        <f aca="false">IF(F270="","",F270-C270)</f>
        <v>-3.125</v>
      </c>
      <c r="K270" s="33" t="n">
        <f aca="false">IF(G270="","",G270-C270)</f>
        <v>-3.66382562259477</v>
      </c>
      <c r="L270" s="33" t="n">
        <f aca="false">IF(H270="","",ABS(H270))</f>
        <v>2</v>
      </c>
      <c r="M270" s="33" t="n">
        <f aca="false">IF(I270="","",ABS(I270))</f>
        <v>3.75</v>
      </c>
      <c r="N270" s="33" t="n">
        <f aca="false">IF(J270="","",ABS(J270))</f>
        <v>3.125</v>
      </c>
      <c r="O270" s="33" t="n">
        <f aca="false">IF(K270="","",ABS(K270))</f>
        <v>3.66382562259477</v>
      </c>
      <c r="P270" s="34" t="str">
        <f aca="false">IF(B270&gt;=Eval_Start_Week,"YES","")</f>
        <v>YES</v>
      </c>
      <c r="Q270" s="34" t="str">
        <f aca="false">IF(AND(B270&gt;=Cal_Start_Week,B270&lt;=Cal_End_Week),"YES","")</f>
        <v>YES</v>
      </c>
    </row>
    <row r="271" customFormat="false" ht="15" hidden="false" customHeight="false" outlineLevel="0" collapsed="false">
      <c r="A271" s="31" t="str">
        <f aca="false">Demand_History!C271</f>
        <v>KIT-003</v>
      </c>
      <c r="B271" s="31" t="n">
        <f aca="false">Demand_History!A271</f>
        <v>62</v>
      </c>
      <c r="C271" s="32" t="n">
        <f aca="false">Demand_History!D271</f>
        <v>62</v>
      </c>
      <c r="D271" s="33" t="n">
        <f aca="false">IF(B271&gt;=2,C270,"")</f>
        <v>76</v>
      </c>
      <c r="E271" s="33" t="n">
        <f aca="false">IF(B271&gt;=5,AVERAGE(C267:C270),"")</f>
        <v>74.5</v>
      </c>
      <c r="F271" s="33" t="n">
        <f aca="false">IF(B271&gt;=9,AVERAGE(C263:C270),"")</f>
        <v>72.625</v>
      </c>
      <c r="G271" s="33" t="n">
        <f aca="false">IF(B271=1,"",IF(B271=2,C270,SES_Alpha*C270+(1-SES_Alpha)*G270))</f>
        <v>73.4353220641837</v>
      </c>
      <c r="H271" s="33" t="n">
        <f aca="false">IF(D271="","",D271-C271)</f>
        <v>14</v>
      </c>
      <c r="I271" s="33" t="n">
        <f aca="false">IF(E271="","",E271-C271)</f>
        <v>12.5</v>
      </c>
      <c r="J271" s="33" t="n">
        <f aca="false">IF(F271="","",F271-C271)</f>
        <v>10.625</v>
      </c>
      <c r="K271" s="33" t="n">
        <f aca="false">IF(G271="","",G271-C271)</f>
        <v>11.4353220641837</v>
      </c>
      <c r="L271" s="33" t="n">
        <f aca="false">IF(H271="","",ABS(H271))</f>
        <v>14</v>
      </c>
      <c r="M271" s="33" t="n">
        <f aca="false">IF(I271="","",ABS(I271))</f>
        <v>12.5</v>
      </c>
      <c r="N271" s="33" t="n">
        <f aca="false">IF(J271="","",ABS(J271))</f>
        <v>10.625</v>
      </c>
      <c r="O271" s="33" t="n">
        <f aca="false">IF(K271="","",ABS(K271))</f>
        <v>11.4353220641837</v>
      </c>
      <c r="P271" s="34" t="str">
        <f aca="false">IF(B271&gt;=Eval_Start_Week,"YES","")</f>
        <v>YES</v>
      </c>
      <c r="Q271" s="34" t="str">
        <f aca="false">IF(AND(B271&gt;=Cal_Start_Week,B271&lt;=Cal_End_Week),"YES","")</f>
        <v>YES</v>
      </c>
    </row>
    <row r="272" customFormat="false" ht="15" hidden="false" customHeight="false" outlineLevel="0" collapsed="false">
      <c r="A272" s="31" t="str">
        <f aca="false">Demand_History!C272</f>
        <v>KIT-003</v>
      </c>
      <c r="B272" s="31" t="n">
        <f aca="false">Demand_History!A272</f>
        <v>63</v>
      </c>
      <c r="C272" s="32" t="n">
        <f aca="false">Demand_History!D272</f>
        <v>96</v>
      </c>
      <c r="D272" s="33" t="n">
        <f aca="false">IF(B272&gt;=2,C271,"")</f>
        <v>62</v>
      </c>
      <c r="E272" s="33" t="n">
        <f aca="false">IF(B272&gt;=5,AVERAGE(C268:C271),"")</f>
        <v>68.5</v>
      </c>
      <c r="F272" s="33" t="n">
        <f aca="false">IF(B272&gt;=9,AVERAGE(C264:C271),"")</f>
        <v>71</v>
      </c>
      <c r="G272" s="33" t="n">
        <f aca="false">IF(B272=1,"",IF(B272=2,C271,SES_Alpha*C271+(1-SES_Alpha)*G271))</f>
        <v>70.0047254449286</v>
      </c>
      <c r="H272" s="33" t="n">
        <f aca="false">IF(D272="","",D272-C272)</f>
        <v>-34</v>
      </c>
      <c r="I272" s="33" t="n">
        <f aca="false">IF(E272="","",E272-C272)</f>
        <v>-27.5</v>
      </c>
      <c r="J272" s="33" t="n">
        <f aca="false">IF(F272="","",F272-C272)</f>
        <v>-25</v>
      </c>
      <c r="K272" s="33" t="n">
        <f aca="false">IF(G272="","",G272-C272)</f>
        <v>-25.9952745550714</v>
      </c>
      <c r="L272" s="33" t="n">
        <f aca="false">IF(H272="","",ABS(H272))</f>
        <v>34</v>
      </c>
      <c r="M272" s="33" t="n">
        <f aca="false">IF(I272="","",ABS(I272))</f>
        <v>27.5</v>
      </c>
      <c r="N272" s="33" t="n">
        <f aca="false">IF(J272="","",ABS(J272))</f>
        <v>25</v>
      </c>
      <c r="O272" s="33" t="n">
        <f aca="false">IF(K272="","",ABS(K272))</f>
        <v>25.9952745550714</v>
      </c>
      <c r="P272" s="34" t="str">
        <f aca="false">IF(B272&gt;=Eval_Start_Week,"YES","")</f>
        <v>YES</v>
      </c>
      <c r="Q272" s="34" t="str">
        <f aca="false">IF(AND(B272&gt;=Cal_Start_Week,B272&lt;=Cal_End_Week),"YES","")</f>
        <v>YES</v>
      </c>
    </row>
    <row r="273" customFormat="false" ht="15" hidden="false" customHeight="false" outlineLevel="0" collapsed="false">
      <c r="A273" s="31" t="str">
        <f aca="false">Demand_History!C273</f>
        <v>KIT-003</v>
      </c>
      <c r="B273" s="31" t="n">
        <f aca="false">Demand_History!A273</f>
        <v>64</v>
      </c>
      <c r="C273" s="32" t="n">
        <f aca="false">Demand_History!D273</f>
        <v>93</v>
      </c>
      <c r="D273" s="33" t="n">
        <f aca="false">IF(B273&gt;=2,C272,"")</f>
        <v>96</v>
      </c>
      <c r="E273" s="33" t="n">
        <f aca="false">IF(B273&gt;=5,AVERAGE(C269:C272),"")</f>
        <v>77</v>
      </c>
      <c r="F273" s="33" t="n">
        <f aca="false">IF(B273&gt;=9,AVERAGE(C265:C272),"")</f>
        <v>75.25</v>
      </c>
      <c r="G273" s="33" t="n">
        <f aca="false">IF(B273=1,"",IF(B273=2,C272,SES_Alpha*C272+(1-SES_Alpha)*G272))</f>
        <v>77.80330781145</v>
      </c>
      <c r="H273" s="33" t="n">
        <f aca="false">IF(D273="","",D273-C273)</f>
        <v>3</v>
      </c>
      <c r="I273" s="33" t="n">
        <f aca="false">IF(E273="","",E273-C273)</f>
        <v>-16</v>
      </c>
      <c r="J273" s="33" t="n">
        <f aca="false">IF(F273="","",F273-C273)</f>
        <v>-17.75</v>
      </c>
      <c r="K273" s="33" t="n">
        <f aca="false">IF(G273="","",G273-C273)</f>
        <v>-15.19669218855</v>
      </c>
      <c r="L273" s="33" t="n">
        <f aca="false">IF(H273="","",ABS(H273))</f>
        <v>3</v>
      </c>
      <c r="M273" s="33" t="n">
        <f aca="false">IF(I273="","",ABS(I273))</f>
        <v>16</v>
      </c>
      <c r="N273" s="33" t="n">
        <f aca="false">IF(J273="","",ABS(J273))</f>
        <v>17.75</v>
      </c>
      <c r="O273" s="33" t="n">
        <f aca="false">IF(K273="","",ABS(K273))</f>
        <v>15.19669218855</v>
      </c>
      <c r="P273" s="34" t="str">
        <f aca="false">IF(B273&gt;=Eval_Start_Week,"YES","")</f>
        <v>YES</v>
      </c>
      <c r="Q273" s="34" t="str">
        <f aca="false">IF(AND(B273&gt;=Cal_Start_Week,B273&lt;=Cal_End_Week),"YES","")</f>
        <v>YES</v>
      </c>
    </row>
    <row r="274" customFormat="false" ht="15" hidden="false" customHeight="false" outlineLevel="0" collapsed="false">
      <c r="A274" s="31" t="str">
        <f aca="false">Demand_History!C274</f>
        <v>KIT-003</v>
      </c>
      <c r="B274" s="31" t="n">
        <f aca="false">Demand_History!A274</f>
        <v>65</v>
      </c>
      <c r="C274" s="32" t="n">
        <f aca="false">Demand_History!D274</f>
        <v>73</v>
      </c>
      <c r="D274" s="33" t="n">
        <f aca="false">IF(B274&gt;=2,C273,"")</f>
        <v>93</v>
      </c>
      <c r="E274" s="33" t="n">
        <f aca="false">IF(B274&gt;=5,AVERAGE(C270:C273),"")</f>
        <v>81.75</v>
      </c>
      <c r="F274" s="33" t="n">
        <f aca="false">IF(B274&gt;=9,AVERAGE(C266:C273),"")</f>
        <v>77</v>
      </c>
      <c r="G274" s="33" t="n">
        <f aca="false">IF(B274=1,"",IF(B274=2,C273,SES_Alpha*C273+(1-SES_Alpha)*G273))</f>
        <v>82.362315468015</v>
      </c>
      <c r="H274" s="33" t="n">
        <f aca="false">IF(D274="","",D274-C274)</f>
        <v>20</v>
      </c>
      <c r="I274" s="33" t="n">
        <f aca="false">IF(E274="","",E274-C274)</f>
        <v>8.75</v>
      </c>
      <c r="J274" s="33" t="n">
        <f aca="false">IF(F274="","",F274-C274)</f>
        <v>4</v>
      </c>
      <c r="K274" s="33" t="n">
        <f aca="false">IF(G274="","",G274-C274)</f>
        <v>9.36231546801498</v>
      </c>
      <c r="L274" s="33" t="n">
        <f aca="false">IF(H274="","",ABS(H274))</f>
        <v>20</v>
      </c>
      <c r="M274" s="33" t="n">
        <f aca="false">IF(I274="","",ABS(I274))</f>
        <v>8.75</v>
      </c>
      <c r="N274" s="33" t="n">
        <f aca="false">IF(J274="","",ABS(J274))</f>
        <v>4</v>
      </c>
      <c r="O274" s="33" t="n">
        <f aca="false">IF(K274="","",ABS(K274))</f>
        <v>9.36231546801498</v>
      </c>
      <c r="P274" s="34" t="str">
        <f aca="false">IF(B274&gt;=Eval_Start_Week,"YES","")</f>
        <v>YES</v>
      </c>
      <c r="Q274" s="34" t="str">
        <f aca="false">IF(AND(B274&gt;=Cal_Start_Week,B274&lt;=Cal_End_Week),"YES","")</f>
        <v>YES</v>
      </c>
    </row>
    <row r="275" customFormat="false" ht="15" hidden="false" customHeight="false" outlineLevel="0" collapsed="false">
      <c r="A275" s="31" t="str">
        <f aca="false">Demand_History!C275</f>
        <v>KIT-003</v>
      </c>
      <c r="B275" s="31" t="n">
        <f aca="false">Demand_History!A275</f>
        <v>66</v>
      </c>
      <c r="C275" s="32" t="n">
        <f aca="false">Demand_History!D275</f>
        <v>87</v>
      </c>
      <c r="D275" s="33" t="n">
        <f aca="false">IF(B275&gt;=2,C274,"")</f>
        <v>73</v>
      </c>
      <c r="E275" s="33" t="n">
        <f aca="false">IF(B275&gt;=5,AVERAGE(C271:C274),"")</f>
        <v>81</v>
      </c>
      <c r="F275" s="33" t="n">
        <f aca="false">IF(B275&gt;=9,AVERAGE(C267:C274),"")</f>
        <v>77.75</v>
      </c>
      <c r="G275" s="33" t="n">
        <f aca="false">IF(B275=1,"",IF(B275=2,C274,SES_Alpha*C274+(1-SES_Alpha)*G274))</f>
        <v>79.5536208276105</v>
      </c>
      <c r="H275" s="33" t="n">
        <f aca="false">IF(D275="","",D275-C275)</f>
        <v>-14</v>
      </c>
      <c r="I275" s="33" t="n">
        <f aca="false">IF(E275="","",E275-C275)</f>
        <v>-6</v>
      </c>
      <c r="J275" s="33" t="n">
        <f aca="false">IF(F275="","",F275-C275)</f>
        <v>-9.25</v>
      </c>
      <c r="K275" s="33" t="n">
        <f aca="false">IF(G275="","",G275-C275)</f>
        <v>-7.44637917238953</v>
      </c>
      <c r="L275" s="33" t="n">
        <f aca="false">IF(H275="","",ABS(H275))</f>
        <v>14</v>
      </c>
      <c r="M275" s="33" t="n">
        <f aca="false">IF(I275="","",ABS(I275))</f>
        <v>6</v>
      </c>
      <c r="N275" s="33" t="n">
        <f aca="false">IF(J275="","",ABS(J275))</f>
        <v>9.25</v>
      </c>
      <c r="O275" s="33" t="n">
        <f aca="false">IF(K275="","",ABS(K275))</f>
        <v>7.44637917238953</v>
      </c>
      <c r="P275" s="34" t="str">
        <f aca="false">IF(B275&gt;=Eval_Start_Week,"YES","")</f>
        <v>YES</v>
      </c>
      <c r="Q275" s="34" t="str">
        <f aca="false">IF(AND(B275&gt;=Cal_Start_Week,B275&lt;=Cal_End_Week),"YES","")</f>
        <v>YES</v>
      </c>
    </row>
    <row r="276" customFormat="false" ht="15" hidden="false" customHeight="false" outlineLevel="0" collapsed="false">
      <c r="A276" s="31" t="str">
        <f aca="false">Demand_History!C276</f>
        <v>KIT-003</v>
      </c>
      <c r="B276" s="31" t="n">
        <f aca="false">Demand_History!A276</f>
        <v>67</v>
      </c>
      <c r="C276" s="32" t="n">
        <f aca="false">Demand_History!D276</f>
        <v>83</v>
      </c>
      <c r="D276" s="33" t="n">
        <f aca="false">IF(B276&gt;=2,C275,"")</f>
        <v>87</v>
      </c>
      <c r="E276" s="33" t="n">
        <f aca="false">IF(B276&gt;=5,AVERAGE(C272:C275),"")</f>
        <v>87.25</v>
      </c>
      <c r="F276" s="33" t="n">
        <f aca="false">IF(B276&gt;=9,AVERAGE(C268:C275),"")</f>
        <v>77.875</v>
      </c>
      <c r="G276" s="33" t="n">
        <f aca="false">IF(B276=1,"",IF(B276=2,C275,SES_Alpha*C275+(1-SES_Alpha)*G275))</f>
        <v>81.7875345793273</v>
      </c>
      <c r="H276" s="33" t="n">
        <f aca="false">IF(D276="","",D276-C276)</f>
        <v>4</v>
      </c>
      <c r="I276" s="33" t="n">
        <f aca="false">IF(E276="","",E276-C276)</f>
        <v>4.25</v>
      </c>
      <c r="J276" s="33" t="n">
        <f aca="false">IF(F276="","",F276-C276)</f>
        <v>-5.125</v>
      </c>
      <c r="K276" s="33" t="n">
        <f aca="false">IF(G276="","",G276-C276)</f>
        <v>-1.21246542067267</v>
      </c>
      <c r="L276" s="33" t="n">
        <f aca="false">IF(H276="","",ABS(H276))</f>
        <v>4</v>
      </c>
      <c r="M276" s="33" t="n">
        <f aca="false">IF(I276="","",ABS(I276))</f>
        <v>4.25</v>
      </c>
      <c r="N276" s="33" t="n">
        <f aca="false">IF(J276="","",ABS(J276))</f>
        <v>5.125</v>
      </c>
      <c r="O276" s="33" t="n">
        <f aca="false">IF(K276="","",ABS(K276))</f>
        <v>1.21246542067267</v>
      </c>
      <c r="P276" s="34" t="str">
        <f aca="false">IF(B276&gt;=Eval_Start_Week,"YES","")</f>
        <v>YES</v>
      </c>
      <c r="Q276" s="34" t="str">
        <f aca="false">IF(AND(B276&gt;=Cal_Start_Week,B276&lt;=Cal_End_Week),"YES","")</f>
        <v>YES</v>
      </c>
    </row>
    <row r="277" customFormat="false" ht="15" hidden="false" customHeight="false" outlineLevel="0" collapsed="false">
      <c r="A277" s="31" t="str">
        <f aca="false">Demand_History!C277</f>
        <v>KIT-003</v>
      </c>
      <c r="B277" s="31" t="n">
        <f aca="false">Demand_History!A277</f>
        <v>68</v>
      </c>
      <c r="C277" s="32" t="n">
        <f aca="false">Demand_History!D277</f>
        <v>51</v>
      </c>
      <c r="D277" s="33" t="n">
        <f aca="false">IF(B277&gt;=2,C276,"")</f>
        <v>83</v>
      </c>
      <c r="E277" s="33" t="n">
        <f aca="false">IF(B277&gt;=5,AVERAGE(C273:C276),"")</f>
        <v>84</v>
      </c>
      <c r="F277" s="33" t="n">
        <f aca="false">IF(B277&gt;=9,AVERAGE(C269:C276),"")</f>
        <v>80.5</v>
      </c>
      <c r="G277" s="33" t="n">
        <f aca="false">IF(B277=1,"",IF(B277=2,C276,SES_Alpha*C276+(1-SES_Alpha)*G276))</f>
        <v>82.1512742055291</v>
      </c>
      <c r="H277" s="33" t="n">
        <f aca="false">IF(D277="","",D277-C277)</f>
        <v>32</v>
      </c>
      <c r="I277" s="33" t="n">
        <f aca="false">IF(E277="","",E277-C277)</f>
        <v>33</v>
      </c>
      <c r="J277" s="33" t="n">
        <f aca="false">IF(F277="","",F277-C277)</f>
        <v>29.5</v>
      </c>
      <c r="K277" s="33" t="n">
        <f aca="false">IF(G277="","",G277-C277)</f>
        <v>31.1512742055291</v>
      </c>
      <c r="L277" s="33" t="n">
        <f aca="false">IF(H277="","",ABS(H277))</f>
        <v>32</v>
      </c>
      <c r="M277" s="33" t="n">
        <f aca="false">IF(I277="","",ABS(I277))</f>
        <v>33</v>
      </c>
      <c r="N277" s="33" t="n">
        <f aca="false">IF(J277="","",ABS(J277))</f>
        <v>29.5</v>
      </c>
      <c r="O277" s="33" t="n">
        <f aca="false">IF(K277="","",ABS(K277))</f>
        <v>31.1512742055291</v>
      </c>
      <c r="P277" s="34" t="str">
        <f aca="false">IF(B277&gt;=Eval_Start_Week,"YES","")</f>
        <v>YES</v>
      </c>
      <c r="Q277" s="34" t="str">
        <f aca="false">IF(AND(B277&gt;=Cal_Start_Week,B277&lt;=Cal_End_Week),"YES","")</f>
        <v>YES</v>
      </c>
    </row>
    <row r="278" customFormat="false" ht="15" hidden="false" customHeight="false" outlineLevel="0" collapsed="false">
      <c r="A278" s="31" t="str">
        <f aca="false">Demand_History!C278</f>
        <v>KIT-003</v>
      </c>
      <c r="B278" s="31" t="n">
        <f aca="false">Demand_History!A278</f>
        <v>69</v>
      </c>
      <c r="C278" s="32" t="n">
        <f aca="false">Demand_History!D278</f>
        <v>83</v>
      </c>
      <c r="D278" s="33" t="n">
        <f aca="false">IF(B278&gt;=2,C277,"")</f>
        <v>51</v>
      </c>
      <c r="E278" s="33" t="n">
        <f aca="false">IF(B278&gt;=5,AVERAGE(C274:C277),"")</f>
        <v>73.5</v>
      </c>
      <c r="F278" s="33" t="n">
        <f aca="false">IF(B278&gt;=9,AVERAGE(C270:C277),"")</f>
        <v>77.625</v>
      </c>
      <c r="G278" s="33" t="n">
        <f aca="false">IF(B278=1,"",IF(B278=2,C277,SES_Alpha*C277+(1-SES_Alpha)*G277))</f>
        <v>72.8058919438704</v>
      </c>
      <c r="H278" s="33" t="n">
        <f aca="false">IF(D278="","",D278-C278)</f>
        <v>-32</v>
      </c>
      <c r="I278" s="33" t="n">
        <f aca="false">IF(E278="","",E278-C278)</f>
        <v>-9.5</v>
      </c>
      <c r="J278" s="33" t="n">
        <f aca="false">IF(F278="","",F278-C278)</f>
        <v>-5.375</v>
      </c>
      <c r="K278" s="33" t="n">
        <f aca="false">IF(G278="","",G278-C278)</f>
        <v>-10.1941080561296</v>
      </c>
      <c r="L278" s="33" t="n">
        <f aca="false">IF(H278="","",ABS(H278))</f>
        <v>32</v>
      </c>
      <c r="M278" s="33" t="n">
        <f aca="false">IF(I278="","",ABS(I278))</f>
        <v>9.5</v>
      </c>
      <c r="N278" s="33" t="n">
        <f aca="false">IF(J278="","",ABS(J278))</f>
        <v>5.375</v>
      </c>
      <c r="O278" s="33" t="n">
        <f aca="false">IF(K278="","",ABS(K278))</f>
        <v>10.1941080561296</v>
      </c>
      <c r="P278" s="34" t="str">
        <f aca="false">IF(B278&gt;=Eval_Start_Week,"YES","")</f>
        <v>YES</v>
      </c>
      <c r="Q278" s="34" t="str">
        <f aca="false">IF(AND(B278&gt;=Cal_Start_Week,B278&lt;=Cal_End_Week),"YES","")</f>
        <v>YES</v>
      </c>
    </row>
    <row r="279" customFormat="false" ht="15" hidden="false" customHeight="false" outlineLevel="0" collapsed="false">
      <c r="A279" s="31" t="str">
        <f aca="false">Demand_History!C279</f>
        <v>KIT-003</v>
      </c>
      <c r="B279" s="31" t="n">
        <f aca="false">Demand_History!A279</f>
        <v>70</v>
      </c>
      <c r="C279" s="32" t="n">
        <f aca="false">Demand_History!D279</f>
        <v>80</v>
      </c>
      <c r="D279" s="33" t="n">
        <f aca="false">IF(B279&gt;=2,C278,"")</f>
        <v>83</v>
      </c>
      <c r="E279" s="33" t="n">
        <f aca="false">IF(B279&gt;=5,AVERAGE(C275:C278),"")</f>
        <v>76</v>
      </c>
      <c r="F279" s="33" t="n">
        <f aca="false">IF(B279&gt;=9,AVERAGE(C271:C278),"")</f>
        <v>78.5</v>
      </c>
      <c r="G279" s="33" t="n">
        <f aca="false">IF(B279=1,"",IF(B279=2,C278,SES_Alpha*C278+(1-SES_Alpha)*G278))</f>
        <v>75.8641243607093</v>
      </c>
      <c r="H279" s="33" t="n">
        <f aca="false">IF(D279="","",D279-C279)</f>
        <v>3</v>
      </c>
      <c r="I279" s="33" t="n">
        <f aca="false">IF(E279="","",E279-C279)</f>
        <v>-4</v>
      </c>
      <c r="J279" s="33" t="n">
        <f aca="false">IF(F279="","",F279-C279)</f>
        <v>-1.5</v>
      </c>
      <c r="K279" s="33" t="n">
        <f aca="false">IF(G279="","",G279-C279)</f>
        <v>-4.13587563929073</v>
      </c>
      <c r="L279" s="33" t="n">
        <f aca="false">IF(H279="","",ABS(H279))</f>
        <v>3</v>
      </c>
      <c r="M279" s="33" t="n">
        <f aca="false">IF(I279="","",ABS(I279))</f>
        <v>4</v>
      </c>
      <c r="N279" s="33" t="n">
        <f aca="false">IF(J279="","",ABS(J279))</f>
        <v>1.5</v>
      </c>
      <c r="O279" s="33" t="n">
        <f aca="false">IF(K279="","",ABS(K279))</f>
        <v>4.13587563929073</v>
      </c>
      <c r="P279" s="34" t="str">
        <f aca="false">IF(B279&gt;=Eval_Start_Week,"YES","")</f>
        <v>YES</v>
      </c>
      <c r="Q279" s="34" t="str">
        <f aca="false">IF(AND(B279&gt;=Cal_Start_Week,B279&lt;=Cal_End_Week),"YES","")</f>
        <v>YES</v>
      </c>
    </row>
    <row r="280" customFormat="false" ht="15" hidden="false" customHeight="false" outlineLevel="0" collapsed="false">
      <c r="A280" s="31" t="str">
        <f aca="false">Demand_History!C280</f>
        <v>KIT-003</v>
      </c>
      <c r="B280" s="31" t="n">
        <f aca="false">Demand_History!A280</f>
        <v>71</v>
      </c>
      <c r="C280" s="32" t="n">
        <f aca="false">Demand_History!D280</f>
        <v>82</v>
      </c>
      <c r="D280" s="33" t="n">
        <f aca="false">IF(B280&gt;=2,C279,"")</f>
        <v>80</v>
      </c>
      <c r="E280" s="33" t="n">
        <f aca="false">IF(B280&gt;=5,AVERAGE(C276:C279),"")</f>
        <v>74.25</v>
      </c>
      <c r="F280" s="33" t="n">
        <f aca="false">IF(B280&gt;=9,AVERAGE(C272:C279),"")</f>
        <v>80.75</v>
      </c>
      <c r="G280" s="33" t="n">
        <f aca="false">IF(B280=1,"",IF(B280=2,C279,SES_Alpha*C279+(1-SES_Alpha)*G279))</f>
        <v>77.1048870524965</v>
      </c>
      <c r="H280" s="33" t="n">
        <f aca="false">IF(D280="","",D280-C280)</f>
        <v>-2</v>
      </c>
      <c r="I280" s="33" t="n">
        <f aca="false">IF(E280="","",E280-C280)</f>
        <v>-7.75</v>
      </c>
      <c r="J280" s="33" t="n">
        <f aca="false">IF(F280="","",F280-C280)</f>
        <v>-1.25</v>
      </c>
      <c r="K280" s="33" t="n">
        <f aca="false">IF(G280="","",G280-C280)</f>
        <v>-4.89511294750352</v>
      </c>
      <c r="L280" s="33" t="n">
        <f aca="false">IF(H280="","",ABS(H280))</f>
        <v>2</v>
      </c>
      <c r="M280" s="33" t="n">
        <f aca="false">IF(I280="","",ABS(I280))</f>
        <v>7.75</v>
      </c>
      <c r="N280" s="33" t="n">
        <f aca="false">IF(J280="","",ABS(J280))</f>
        <v>1.25</v>
      </c>
      <c r="O280" s="33" t="n">
        <f aca="false">IF(K280="","",ABS(K280))</f>
        <v>4.89511294750352</v>
      </c>
      <c r="P280" s="34" t="str">
        <f aca="false">IF(B280&gt;=Eval_Start_Week,"YES","")</f>
        <v>YES</v>
      </c>
      <c r="Q280" s="34" t="str">
        <f aca="false">IF(AND(B280&gt;=Cal_Start_Week,B280&lt;=Cal_End_Week),"YES","")</f>
        <v>YES</v>
      </c>
    </row>
    <row r="281" customFormat="false" ht="15" hidden="false" customHeight="false" outlineLevel="0" collapsed="false">
      <c r="A281" s="31" t="str">
        <f aca="false">Demand_History!C281</f>
        <v>KIT-003</v>
      </c>
      <c r="B281" s="31" t="n">
        <f aca="false">Demand_History!A281</f>
        <v>72</v>
      </c>
      <c r="C281" s="32" t="n">
        <f aca="false">Demand_History!D281</f>
        <v>69</v>
      </c>
      <c r="D281" s="33" t="n">
        <f aca="false">IF(B281&gt;=2,C280,"")</f>
        <v>82</v>
      </c>
      <c r="E281" s="33" t="n">
        <f aca="false">IF(B281&gt;=5,AVERAGE(C277:C280),"")</f>
        <v>74</v>
      </c>
      <c r="F281" s="33" t="n">
        <f aca="false">IF(B281&gt;=9,AVERAGE(C273:C280),"")</f>
        <v>79</v>
      </c>
      <c r="G281" s="33" t="n">
        <f aca="false">IF(B281=1,"",IF(B281=2,C280,SES_Alpha*C280+(1-SES_Alpha)*G280))</f>
        <v>78.5734209367475</v>
      </c>
      <c r="H281" s="33" t="n">
        <f aca="false">IF(D281="","",D281-C281)</f>
        <v>13</v>
      </c>
      <c r="I281" s="33" t="n">
        <f aca="false">IF(E281="","",E281-C281)</f>
        <v>5</v>
      </c>
      <c r="J281" s="33" t="n">
        <f aca="false">IF(F281="","",F281-C281)</f>
        <v>10</v>
      </c>
      <c r="K281" s="33" t="n">
        <f aca="false">IF(G281="","",G281-C281)</f>
        <v>9.57342093674752</v>
      </c>
      <c r="L281" s="33" t="n">
        <f aca="false">IF(H281="","",ABS(H281))</f>
        <v>13</v>
      </c>
      <c r="M281" s="33" t="n">
        <f aca="false">IF(I281="","",ABS(I281))</f>
        <v>5</v>
      </c>
      <c r="N281" s="33" t="n">
        <f aca="false">IF(J281="","",ABS(J281))</f>
        <v>10</v>
      </c>
      <c r="O281" s="33" t="n">
        <f aca="false">IF(K281="","",ABS(K281))</f>
        <v>9.57342093674752</v>
      </c>
      <c r="P281" s="34" t="str">
        <f aca="false">IF(B281&gt;=Eval_Start_Week,"YES","")</f>
        <v>YES</v>
      </c>
      <c r="Q281" s="34" t="str">
        <f aca="false">IF(AND(B281&gt;=Cal_Start_Week,B281&lt;=Cal_End_Week),"YES","")</f>
        <v>YES</v>
      </c>
    </row>
    <row r="282" customFormat="false" ht="15" hidden="false" customHeight="false" outlineLevel="0" collapsed="false">
      <c r="A282" s="31" t="str">
        <f aca="false">Demand_History!C282</f>
        <v>KIT-003</v>
      </c>
      <c r="B282" s="31" t="n">
        <f aca="false">Demand_History!A282</f>
        <v>73</v>
      </c>
      <c r="C282" s="32" t="n">
        <f aca="false">Demand_History!D282</f>
        <v>79</v>
      </c>
      <c r="D282" s="33" t="n">
        <f aca="false">IF(B282&gt;=2,C281,"")</f>
        <v>69</v>
      </c>
      <c r="E282" s="33" t="n">
        <f aca="false">IF(B282&gt;=5,AVERAGE(C278:C281),"")</f>
        <v>78.5</v>
      </c>
      <c r="F282" s="33" t="n">
        <f aca="false">IF(B282&gt;=9,AVERAGE(C274:C281),"")</f>
        <v>76</v>
      </c>
      <c r="G282" s="33" t="n">
        <f aca="false">IF(B282=1,"",IF(B282=2,C281,SES_Alpha*C281+(1-SES_Alpha)*G281))</f>
        <v>75.7013946557233</v>
      </c>
      <c r="H282" s="33" t="n">
        <f aca="false">IF(D282="","",D282-C282)</f>
        <v>-10</v>
      </c>
      <c r="I282" s="33" t="n">
        <f aca="false">IF(E282="","",E282-C282)</f>
        <v>-0.5</v>
      </c>
      <c r="J282" s="33" t="n">
        <f aca="false">IF(F282="","",F282-C282)</f>
        <v>-3</v>
      </c>
      <c r="K282" s="33" t="n">
        <f aca="false">IF(G282="","",G282-C282)</f>
        <v>-3.29860534427674</v>
      </c>
      <c r="L282" s="33" t="n">
        <f aca="false">IF(H282="","",ABS(H282))</f>
        <v>10</v>
      </c>
      <c r="M282" s="33" t="n">
        <f aca="false">IF(I282="","",ABS(I282))</f>
        <v>0.5</v>
      </c>
      <c r="N282" s="33" t="n">
        <f aca="false">IF(J282="","",ABS(J282))</f>
        <v>3</v>
      </c>
      <c r="O282" s="33" t="n">
        <f aca="false">IF(K282="","",ABS(K282))</f>
        <v>3.29860534427674</v>
      </c>
      <c r="P282" s="34" t="str">
        <f aca="false">IF(B282&gt;=Eval_Start_Week,"YES","")</f>
        <v>YES</v>
      </c>
      <c r="Q282" s="34" t="str">
        <f aca="false">IF(AND(B282&gt;=Cal_Start_Week,B282&lt;=Cal_End_Week),"YES","")</f>
        <v>YES</v>
      </c>
    </row>
    <row r="283" customFormat="false" ht="15" hidden="false" customHeight="false" outlineLevel="0" collapsed="false">
      <c r="A283" s="31" t="str">
        <f aca="false">Demand_History!C283</f>
        <v>KIT-003</v>
      </c>
      <c r="B283" s="31" t="n">
        <f aca="false">Demand_History!A283</f>
        <v>74</v>
      </c>
      <c r="C283" s="32" t="n">
        <f aca="false">Demand_History!D283</f>
        <v>81</v>
      </c>
      <c r="D283" s="33" t="n">
        <f aca="false">IF(B283&gt;=2,C282,"")</f>
        <v>79</v>
      </c>
      <c r="E283" s="33" t="n">
        <f aca="false">IF(B283&gt;=5,AVERAGE(C279:C282),"")</f>
        <v>77.5</v>
      </c>
      <c r="F283" s="33" t="n">
        <f aca="false">IF(B283&gt;=9,AVERAGE(C275:C282),"")</f>
        <v>76.75</v>
      </c>
      <c r="G283" s="33" t="n">
        <f aca="false">IF(B283=1,"",IF(B283=2,C282,SES_Alpha*C282+(1-SES_Alpha)*G282))</f>
        <v>76.6909762590063</v>
      </c>
      <c r="H283" s="33" t="n">
        <f aca="false">IF(D283="","",D283-C283)</f>
        <v>-2</v>
      </c>
      <c r="I283" s="33" t="n">
        <f aca="false">IF(E283="","",E283-C283)</f>
        <v>-3.5</v>
      </c>
      <c r="J283" s="33" t="n">
        <f aca="false">IF(F283="","",F283-C283)</f>
        <v>-4.25</v>
      </c>
      <c r="K283" s="33" t="n">
        <f aca="false">IF(G283="","",G283-C283)</f>
        <v>-4.30902374099372</v>
      </c>
      <c r="L283" s="33" t="n">
        <f aca="false">IF(H283="","",ABS(H283))</f>
        <v>2</v>
      </c>
      <c r="M283" s="33" t="n">
        <f aca="false">IF(I283="","",ABS(I283))</f>
        <v>3.5</v>
      </c>
      <c r="N283" s="33" t="n">
        <f aca="false">IF(J283="","",ABS(J283))</f>
        <v>4.25</v>
      </c>
      <c r="O283" s="33" t="n">
        <f aca="false">IF(K283="","",ABS(K283))</f>
        <v>4.30902374099372</v>
      </c>
      <c r="P283" s="34" t="str">
        <f aca="false">IF(B283&gt;=Eval_Start_Week,"YES","")</f>
        <v>YES</v>
      </c>
      <c r="Q283" s="34" t="str">
        <f aca="false">IF(AND(B283&gt;=Cal_Start_Week,B283&lt;=Cal_End_Week),"YES","")</f>
        <v>YES</v>
      </c>
    </row>
    <row r="284" customFormat="false" ht="15" hidden="false" customHeight="false" outlineLevel="0" collapsed="false">
      <c r="A284" s="31" t="str">
        <f aca="false">Demand_History!C284</f>
        <v>KIT-003</v>
      </c>
      <c r="B284" s="31" t="n">
        <f aca="false">Demand_History!A284</f>
        <v>75</v>
      </c>
      <c r="C284" s="32" t="n">
        <f aca="false">Demand_History!D284</f>
        <v>97</v>
      </c>
      <c r="D284" s="33" t="n">
        <f aca="false">IF(B284&gt;=2,C283,"")</f>
        <v>81</v>
      </c>
      <c r="E284" s="33" t="n">
        <f aca="false">IF(B284&gt;=5,AVERAGE(C280:C283),"")</f>
        <v>77.75</v>
      </c>
      <c r="F284" s="33" t="n">
        <f aca="false">IF(B284&gt;=9,AVERAGE(C276:C283),"")</f>
        <v>76</v>
      </c>
      <c r="G284" s="33" t="n">
        <f aca="false">IF(B284=1,"",IF(B284=2,C283,SES_Alpha*C283+(1-SES_Alpha)*G283))</f>
        <v>77.9836833813044</v>
      </c>
      <c r="H284" s="33" t="n">
        <f aca="false">IF(D284="","",D284-C284)</f>
        <v>-16</v>
      </c>
      <c r="I284" s="33" t="n">
        <f aca="false">IF(E284="","",E284-C284)</f>
        <v>-19.25</v>
      </c>
      <c r="J284" s="33" t="n">
        <f aca="false">IF(F284="","",F284-C284)</f>
        <v>-21</v>
      </c>
      <c r="K284" s="33" t="n">
        <f aca="false">IF(G284="","",G284-C284)</f>
        <v>-19.0163166186956</v>
      </c>
      <c r="L284" s="33" t="n">
        <f aca="false">IF(H284="","",ABS(H284))</f>
        <v>16</v>
      </c>
      <c r="M284" s="33" t="n">
        <f aca="false">IF(I284="","",ABS(I284))</f>
        <v>19.25</v>
      </c>
      <c r="N284" s="33" t="n">
        <f aca="false">IF(J284="","",ABS(J284))</f>
        <v>21</v>
      </c>
      <c r="O284" s="33" t="n">
        <f aca="false">IF(K284="","",ABS(K284))</f>
        <v>19.0163166186956</v>
      </c>
      <c r="P284" s="34" t="str">
        <f aca="false">IF(B284&gt;=Eval_Start_Week,"YES","")</f>
        <v>YES</v>
      </c>
      <c r="Q284" s="34" t="str">
        <f aca="false">IF(AND(B284&gt;=Cal_Start_Week,B284&lt;=Cal_End_Week),"YES","")</f>
        <v>YES</v>
      </c>
    </row>
    <row r="285" customFormat="false" ht="15" hidden="false" customHeight="false" outlineLevel="0" collapsed="false">
      <c r="A285" s="31" t="str">
        <f aca="false">Demand_History!C285</f>
        <v>KIT-003</v>
      </c>
      <c r="B285" s="31" t="n">
        <f aca="false">Demand_History!A285</f>
        <v>76</v>
      </c>
      <c r="C285" s="32" t="n">
        <f aca="false">Demand_History!D285</f>
        <v>88</v>
      </c>
      <c r="D285" s="33" t="n">
        <f aca="false">IF(B285&gt;=2,C284,"")</f>
        <v>97</v>
      </c>
      <c r="E285" s="33" t="n">
        <f aca="false">IF(B285&gt;=5,AVERAGE(C281:C284),"")</f>
        <v>81.5</v>
      </c>
      <c r="F285" s="33" t="n">
        <f aca="false">IF(B285&gt;=9,AVERAGE(C277:C284),"")</f>
        <v>77.75</v>
      </c>
      <c r="G285" s="33" t="n">
        <f aca="false">IF(B285=1,"",IF(B285=2,C284,SES_Alpha*C284+(1-SES_Alpha)*G284))</f>
        <v>83.6885783669131</v>
      </c>
      <c r="H285" s="33" t="n">
        <f aca="false">IF(D285="","",D285-C285)</f>
        <v>9</v>
      </c>
      <c r="I285" s="33" t="n">
        <f aca="false">IF(E285="","",E285-C285)</f>
        <v>-6.5</v>
      </c>
      <c r="J285" s="33" t="n">
        <f aca="false">IF(F285="","",F285-C285)</f>
        <v>-10.25</v>
      </c>
      <c r="K285" s="33" t="n">
        <f aca="false">IF(G285="","",G285-C285)</f>
        <v>-4.31142163308694</v>
      </c>
      <c r="L285" s="33" t="n">
        <f aca="false">IF(H285="","",ABS(H285))</f>
        <v>9</v>
      </c>
      <c r="M285" s="33" t="n">
        <f aca="false">IF(I285="","",ABS(I285))</f>
        <v>6.5</v>
      </c>
      <c r="N285" s="33" t="n">
        <f aca="false">IF(J285="","",ABS(J285))</f>
        <v>10.25</v>
      </c>
      <c r="O285" s="33" t="n">
        <f aca="false">IF(K285="","",ABS(K285))</f>
        <v>4.31142163308694</v>
      </c>
      <c r="P285" s="34" t="str">
        <f aca="false">IF(B285&gt;=Eval_Start_Week,"YES","")</f>
        <v>YES</v>
      </c>
      <c r="Q285" s="34" t="str">
        <f aca="false">IF(AND(B285&gt;=Cal_Start_Week,B285&lt;=Cal_End_Week),"YES","")</f>
        <v>YES</v>
      </c>
    </row>
    <row r="286" customFormat="false" ht="15" hidden="false" customHeight="false" outlineLevel="0" collapsed="false">
      <c r="A286" s="31" t="str">
        <f aca="false">Demand_History!C286</f>
        <v>KIT-003</v>
      </c>
      <c r="B286" s="31" t="n">
        <f aca="false">Demand_History!A286</f>
        <v>77</v>
      </c>
      <c r="C286" s="32" t="n">
        <f aca="false">Demand_History!D286</f>
        <v>84</v>
      </c>
      <c r="D286" s="33" t="n">
        <f aca="false">IF(B286&gt;=2,C285,"")</f>
        <v>88</v>
      </c>
      <c r="E286" s="33" t="n">
        <f aca="false">IF(B286&gt;=5,AVERAGE(C282:C285),"")</f>
        <v>86.25</v>
      </c>
      <c r="F286" s="33" t="n">
        <f aca="false">IF(B286&gt;=9,AVERAGE(C278:C285),"")</f>
        <v>82.375</v>
      </c>
      <c r="G286" s="33" t="n">
        <f aca="false">IF(B286=1,"",IF(B286=2,C285,SES_Alpha*C285+(1-SES_Alpha)*G285))</f>
        <v>84.9820048568391</v>
      </c>
      <c r="H286" s="33" t="n">
        <f aca="false">IF(D286="","",D286-C286)</f>
        <v>4</v>
      </c>
      <c r="I286" s="33" t="n">
        <f aca="false">IF(E286="","",E286-C286)</f>
        <v>2.25</v>
      </c>
      <c r="J286" s="33" t="n">
        <f aca="false">IF(F286="","",F286-C286)</f>
        <v>-1.625</v>
      </c>
      <c r="K286" s="33" t="n">
        <f aca="false">IF(G286="","",G286-C286)</f>
        <v>0.98200485683914</v>
      </c>
      <c r="L286" s="33" t="n">
        <f aca="false">IF(H286="","",ABS(H286))</f>
        <v>4</v>
      </c>
      <c r="M286" s="33" t="n">
        <f aca="false">IF(I286="","",ABS(I286))</f>
        <v>2.25</v>
      </c>
      <c r="N286" s="33" t="n">
        <f aca="false">IF(J286="","",ABS(J286))</f>
        <v>1.625</v>
      </c>
      <c r="O286" s="33" t="n">
        <f aca="false">IF(K286="","",ABS(K286))</f>
        <v>0.98200485683914</v>
      </c>
      <c r="P286" s="34" t="str">
        <f aca="false">IF(B286&gt;=Eval_Start_Week,"YES","")</f>
        <v>YES</v>
      </c>
      <c r="Q286" s="34" t="str">
        <f aca="false">IF(AND(B286&gt;=Cal_Start_Week,B286&lt;=Cal_End_Week),"YES","")</f>
        <v>YES</v>
      </c>
    </row>
    <row r="287" customFormat="false" ht="15" hidden="false" customHeight="false" outlineLevel="0" collapsed="false">
      <c r="A287" s="31" t="str">
        <f aca="false">Demand_History!C287</f>
        <v>KIT-003</v>
      </c>
      <c r="B287" s="31" t="n">
        <f aca="false">Demand_History!A287</f>
        <v>78</v>
      </c>
      <c r="C287" s="32" t="n">
        <f aca="false">Demand_History!D287</f>
        <v>103</v>
      </c>
      <c r="D287" s="33" t="n">
        <f aca="false">IF(B287&gt;=2,C286,"")</f>
        <v>84</v>
      </c>
      <c r="E287" s="33" t="n">
        <f aca="false">IF(B287&gt;=5,AVERAGE(C283:C286),"")</f>
        <v>87.5</v>
      </c>
      <c r="F287" s="33" t="n">
        <f aca="false">IF(B287&gt;=9,AVERAGE(C279:C286),"")</f>
        <v>82.5</v>
      </c>
      <c r="G287" s="33" t="n">
        <f aca="false">IF(B287=1,"",IF(B287=2,C286,SES_Alpha*C286+(1-SES_Alpha)*G286))</f>
        <v>84.6874033997874</v>
      </c>
      <c r="H287" s="33" t="n">
        <f aca="false">IF(D287="","",D287-C287)</f>
        <v>-19</v>
      </c>
      <c r="I287" s="33" t="n">
        <f aca="false">IF(E287="","",E287-C287)</f>
        <v>-15.5</v>
      </c>
      <c r="J287" s="33" t="n">
        <f aca="false">IF(F287="","",F287-C287)</f>
        <v>-20.5</v>
      </c>
      <c r="K287" s="33" t="n">
        <f aca="false">IF(G287="","",G287-C287)</f>
        <v>-18.3125966002126</v>
      </c>
      <c r="L287" s="33" t="n">
        <f aca="false">IF(H287="","",ABS(H287))</f>
        <v>19</v>
      </c>
      <c r="M287" s="33" t="n">
        <f aca="false">IF(I287="","",ABS(I287))</f>
        <v>15.5</v>
      </c>
      <c r="N287" s="33" t="n">
        <f aca="false">IF(J287="","",ABS(J287))</f>
        <v>20.5</v>
      </c>
      <c r="O287" s="33" t="n">
        <f aca="false">IF(K287="","",ABS(K287))</f>
        <v>18.3125966002126</v>
      </c>
      <c r="P287" s="34" t="str">
        <f aca="false">IF(B287&gt;=Eval_Start_Week,"YES","")</f>
        <v>YES</v>
      </c>
      <c r="Q287" s="34" t="str">
        <f aca="false">IF(AND(B287&gt;=Cal_Start_Week,B287&lt;=Cal_End_Week),"YES","")</f>
        <v>YES</v>
      </c>
    </row>
    <row r="288" customFormat="false" ht="15" hidden="false" customHeight="false" outlineLevel="0" collapsed="false">
      <c r="A288" s="31" t="str">
        <f aca="false">Demand_History!C288</f>
        <v>KIT-003</v>
      </c>
      <c r="B288" s="31" t="n">
        <f aca="false">Demand_History!A288</f>
        <v>79</v>
      </c>
      <c r="C288" s="32" t="n">
        <f aca="false">Demand_History!D288</f>
        <v>79</v>
      </c>
      <c r="D288" s="33" t="n">
        <f aca="false">IF(B288&gt;=2,C287,"")</f>
        <v>103</v>
      </c>
      <c r="E288" s="33" t="n">
        <f aca="false">IF(B288&gt;=5,AVERAGE(C284:C287),"")</f>
        <v>93</v>
      </c>
      <c r="F288" s="33" t="n">
        <f aca="false">IF(B288&gt;=9,AVERAGE(C280:C287),"")</f>
        <v>85.375</v>
      </c>
      <c r="G288" s="33" t="n">
        <f aca="false">IF(B288=1,"",IF(B288=2,C287,SES_Alpha*C287+(1-SES_Alpha)*G287))</f>
        <v>90.1811823798512</v>
      </c>
      <c r="H288" s="33" t="n">
        <f aca="false">IF(D288="","",D288-C288)</f>
        <v>24</v>
      </c>
      <c r="I288" s="33" t="n">
        <f aca="false">IF(E288="","",E288-C288)</f>
        <v>14</v>
      </c>
      <c r="J288" s="33" t="n">
        <f aca="false">IF(F288="","",F288-C288)</f>
        <v>6.375</v>
      </c>
      <c r="K288" s="33" t="n">
        <f aca="false">IF(G288="","",G288-C288)</f>
        <v>11.1811823798512</v>
      </c>
      <c r="L288" s="33" t="n">
        <f aca="false">IF(H288="","",ABS(H288))</f>
        <v>24</v>
      </c>
      <c r="M288" s="33" t="n">
        <f aca="false">IF(I288="","",ABS(I288))</f>
        <v>14</v>
      </c>
      <c r="N288" s="33" t="n">
        <f aca="false">IF(J288="","",ABS(J288))</f>
        <v>6.375</v>
      </c>
      <c r="O288" s="33" t="n">
        <f aca="false">IF(K288="","",ABS(K288))</f>
        <v>11.1811823798512</v>
      </c>
      <c r="P288" s="34" t="str">
        <f aca="false">IF(B288&gt;=Eval_Start_Week,"YES","")</f>
        <v>YES</v>
      </c>
      <c r="Q288" s="34" t="str">
        <f aca="false">IF(AND(B288&gt;=Cal_Start_Week,B288&lt;=Cal_End_Week),"YES","")</f>
        <v>YES</v>
      </c>
    </row>
    <row r="289" customFormat="false" ht="15" hidden="false" customHeight="false" outlineLevel="0" collapsed="false">
      <c r="A289" s="31" t="str">
        <f aca="false">Demand_History!C289</f>
        <v>KIT-003</v>
      </c>
      <c r="B289" s="31" t="n">
        <f aca="false">Demand_History!A289</f>
        <v>80</v>
      </c>
      <c r="C289" s="32" t="n">
        <f aca="false">Demand_History!D289</f>
        <v>81</v>
      </c>
      <c r="D289" s="33" t="n">
        <f aca="false">IF(B289&gt;=2,C288,"")</f>
        <v>79</v>
      </c>
      <c r="E289" s="33" t="n">
        <f aca="false">IF(B289&gt;=5,AVERAGE(C285:C288),"")</f>
        <v>88.5</v>
      </c>
      <c r="F289" s="33" t="n">
        <f aca="false">IF(B289&gt;=9,AVERAGE(C281:C288),"")</f>
        <v>85</v>
      </c>
      <c r="G289" s="33" t="n">
        <f aca="false">IF(B289=1,"",IF(B289=2,C288,SES_Alpha*C288+(1-SES_Alpha)*G288))</f>
        <v>86.8268276658958</v>
      </c>
      <c r="H289" s="33" t="n">
        <f aca="false">IF(D289="","",D289-C289)</f>
        <v>-2</v>
      </c>
      <c r="I289" s="33" t="n">
        <f aca="false">IF(E289="","",E289-C289)</f>
        <v>7.5</v>
      </c>
      <c r="J289" s="33" t="n">
        <f aca="false">IF(F289="","",F289-C289)</f>
        <v>4</v>
      </c>
      <c r="K289" s="33" t="n">
        <f aca="false">IF(G289="","",G289-C289)</f>
        <v>5.82682766589582</v>
      </c>
      <c r="L289" s="33" t="n">
        <f aca="false">IF(H289="","",ABS(H289))</f>
        <v>2</v>
      </c>
      <c r="M289" s="33" t="n">
        <f aca="false">IF(I289="","",ABS(I289))</f>
        <v>7.5</v>
      </c>
      <c r="N289" s="33" t="n">
        <f aca="false">IF(J289="","",ABS(J289))</f>
        <v>4</v>
      </c>
      <c r="O289" s="33" t="n">
        <f aca="false">IF(K289="","",ABS(K289))</f>
        <v>5.82682766589582</v>
      </c>
      <c r="P289" s="34" t="str">
        <f aca="false">IF(B289&gt;=Eval_Start_Week,"YES","")</f>
        <v>YES</v>
      </c>
      <c r="Q289" s="34" t="str">
        <f aca="false">IF(AND(B289&gt;=Cal_Start_Week,B289&lt;=Cal_End_Week),"YES","")</f>
        <v>YES</v>
      </c>
    </row>
    <row r="290" customFormat="false" ht="15" hidden="false" customHeight="false" outlineLevel="0" collapsed="false">
      <c r="A290" s="31" t="str">
        <f aca="false">Demand_History!C290</f>
        <v>KIT-003</v>
      </c>
      <c r="B290" s="31" t="n">
        <f aca="false">Demand_History!A290</f>
        <v>81</v>
      </c>
      <c r="C290" s="32" t="n">
        <f aca="false">Demand_History!D290</f>
        <v>64</v>
      </c>
      <c r="D290" s="33" t="n">
        <f aca="false">IF(B290&gt;=2,C289,"")</f>
        <v>81</v>
      </c>
      <c r="E290" s="33" t="n">
        <f aca="false">IF(B290&gt;=5,AVERAGE(C286:C289),"")</f>
        <v>86.75</v>
      </c>
      <c r="F290" s="33" t="n">
        <f aca="false">IF(B290&gt;=9,AVERAGE(C282:C289),"")</f>
        <v>86.5</v>
      </c>
      <c r="G290" s="33" t="n">
        <f aca="false">IF(B290=1,"",IF(B290=2,C289,SES_Alpha*C289+(1-SES_Alpha)*G289))</f>
        <v>85.0787793661271</v>
      </c>
      <c r="H290" s="33" t="n">
        <f aca="false">IF(D290="","",D290-C290)</f>
        <v>17</v>
      </c>
      <c r="I290" s="33" t="n">
        <f aca="false">IF(E290="","",E290-C290)</f>
        <v>22.75</v>
      </c>
      <c r="J290" s="33" t="n">
        <f aca="false">IF(F290="","",F290-C290)</f>
        <v>22.5</v>
      </c>
      <c r="K290" s="33" t="n">
        <f aca="false">IF(G290="","",G290-C290)</f>
        <v>21.0787793661271</v>
      </c>
      <c r="L290" s="33" t="n">
        <f aca="false">IF(H290="","",ABS(H290))</f>
        <v>17</v>
      </c>
      <c r="M290" s="33" t="n">
        <f aca="false">IF(I290="","",ABS(I290))</f>
        <v>22.75</v>
      </c>
      <c r="N290" s="33" t="n">
        <f aca="false">IF(J290="","",ABS(J290))</f>
        <v>22.5</v>
      </c>
      <c r="O290" s="33" t="n">
        <f aca="false">IF(K290="","",ABS(K290))</f>
        <v>21.0787793661271</v>
      </c>
      <c r="P290" s="34" t="str">
        <f aca="false">IF(B290&gt;=Eval_Start_Week,"YES","")</f>
        <v>YES</v>
      </c>
      <c r="Q290" s="34" t="str">
        <f aca="false">IF(AND(B290&gt;=Cal_Start_Week,B290&lt;=Cal_End_Week),"YES","")</f>
        <v>YES</v>
      </c>
    </row>
    <row r="291" customFormat="false" ht="15" hidden="false" customHeight="false" outlineLevel="0" collapsed="false">
      <c r="A291" s="31" t="str">
        <f aca="false">Demand_History!C291</f>
        <v>KIT-003</v>
      </c>
      <c r="B291" s="31" t="n">
        <f aca="false">Demand_History!A291</f>
        <v>82</v>
      </c>
      <c r="C291" s="32" t="n">
        <f aca="false">Demand_History!D291</f>
        <v>106</v>
      </c>
      <c r="D291" s="33" t="n">
        <f aca="false">IF(B291&gt;=2,C290,"")</f>
        <v>64</v>
      </c>
      <c r="E291" s="33" t="n">
        <f aca="false">IF(B291&gt;=5,AVERAGE(C287:C290),"")</f>
        <v>81.75</v>
      </c>
      <c r="F291" s="33" t="n">
        <f aca="false">IF(B291&gt;=9,AVERAGE(C283:C290),"")</f>
        <v>84.625</v>
      </c>
      <c r="G291" s="33" t="n">
        <f aca="false">IF(B291=1,"",IF(B291=2,C290,SES_Alpha*C290+(1-SES_Alpha)*G290))</f>
        <v>78.7551455562889</v>
      </c>
      <c r="H291" s="33" t="n">
        <f aca="false">IF(D291="","",D291-C291)</f>
        <v>-42</v>
      </c>
      <c r="I291" s="33" t="n">
        <f aca="false">IF(E291="","",E291-C291)</f>
        <v>-24.25</v>
      </c>
      <c r="J291" s="33" t="n">
        <f aca="false">IF(F291="","",F291-C291)</f>
        <v>-21.375</v>
      </c>
      <c r="K291" s="33" t="n">
        <f aca="false">IF(G291="","",G291-C291)</f>
        <v>-27.2448544437111</v>
      </c>
      <c r="L291" s="33" t="n">
        <f aca="false">IF(H291="","",ABS(H291))</f>
        <v>42</v>
      </c>
      <c r="M291" s="33" t="n">
        <f aca="false">IF(I291="","",ABS(I291))</f>
        <v>24.25</v>
      </c>
      <c r="N291" s="33" t="n">
        <f aca="false">IF(J291="","",ABS(J291))</f>
        <v>21.375</v>
      </c>
      <c r="O291" s="33" t="n">
        <f aca="false">IF(K291="","",ABS(K291))</f>
        <v>27.2448544437111</v>
      </c>
      <c r="P291" s="34" t="str">
        <f aca="false">IF(B291&gt;=Eval_Start_Week,"YES","")</f>
        <v>YES</v>
      </c>
      <c r="Q291" s="34" t="str">
        <f aca="false">IF(AND(B291&gt;=Cal_Start_Week,B291&lt;=Cal_End_Week),"YES","")</f>
        <v>YES</v>
      </c>
    </row>
    <row r="292" customFormat="false" ht="15" hidden="false" customHeight="false" outlineLevel="0" collapsed="false">
      <c r="A292" s="31" t="str">
        <f aca="false">Demand_History!C292</f>
        <v>KIT-003</v>
      </c>
      <c r="B292" s="31" t="n">
        <f aca="false">Demand_History!A292</f>
        <v>83</v>
      </c>
      <c r="C292" s="32" t="n">
        <f aca="false">Demand_History!D292</f>
        <v>99</v>
      </c>
      <c r="D292" s="33" t="n">
        <f aca="false">IF(B292&gt;=2,C291,"")</f>
        <v>106</v>
      </c>
      <c r="E292" s="33" t="n">
        <f aca="false">IF(B292&gt;=5,AVERAGE(C288:C291),"")</f>
        <v>82.5</v>
      </c>
      <c r="F292" s="33" t="n">
        <f aca="false">IF(B292&gt;=9,AVERAGE(C284:C291),"")</f>
        <v>87.75</v>
      </c>
      <c r="G292" s="33" t="n">
        <f aca="false">IF(B292=1,"",IF(B292=2,C291,SES_Alpha*C291+(1-SES_Alpha)*G291))</f>
        <v>86.9286018894022</v>
      </c>
      <c r="H292" s="33" t="n">
        <f aca="false">IF(D292="","",D292-C292)</f>
        <v>7</v>
      </c>
      <c r="I292" s="33" t="n">
        <f aca="false">IF(E292="","",E292-C292)</f>
        <v>-16.5</v>
      </c>
      <c r="J292" s="33" t="n">
        <f aca="false">IF(F292="","",F292-C292)</f>
        <v>-11.25</v>
      </c>
      <c r="K292" s="33" t="n">
        <f aca="false">IF(G292="","",G292-C292)</f>
        <v>-12.0713981105978</v>
      </c>
      <c r="L292" s="33" t="n">
        <f aca="false">IF(H292="","",ABS(H292))</f>
        <v>7</v>
      </c>
      <c r="M292" s="33" t="n">
        <f aca="false">IF(I292="","",ABS(I292))</f>
        <v>16.5</v>
      </c>
      <c r="N292" s="33" t="n">
        <f aca="false">IF(J292="","",ABS(J292))</f>
        <v>11.25</v>
      </c>
      <c r="O292" s="33" t="n">
        <f aca="false">IF(K292="","",ABS(K292))</f>
        <v>12.0713981105978</v>
      </c>
      <c r="P292" s="34" t="str">
        <f aca="false">IF(B292&gt;=Eval_Start_Week,"YES","")</f>
        <v>YES</v>
      </c>
      <c r="Q292" s="34" t="str">
        <f aca="false">IF(AND(B292&gt;=Cal_Start_Week,B292&lt;=Cal_End_Week),"YES","")</f>
        <v>YES</v>
      </c>
    </row>
    <row r="293" customFormat="false" ht="15" hidden="false" customHeight="false" outlineLevel="0" collapsed="false">
      <c r="A293" s="31" t="str">
        <f aca="false">Demand_History!C293</f>
        <v>KIT-003</v>
      </c>
      <c r="B293" s="31" t="n">
        <f aca="false">Demand_History!A293</f>
        <v>84</v>
      </c>
      <c r="C293" s="32" t="n">
        <f aca="false">Demand_History!D293</f>
        <v>99</v>
      </c>
      <c r="D293" s="33" t="n">
        <f aca="false">IF(B293&gt;=2,C292,"")</f>
        <v>99</v>
      </c>
      <c r="E293" s="33" t="n">
        <f aca="false">IF(B293&gt;=5,AVERAGE(C289:C292),"")</f>
        <v>87.5</v>
      </c>
      <c r="F293" s="33" t="n">
        <f aca="false">IF(B293&gt;=9,AVERAGE(C285:C292),"")</f>
        <v>88</v>
      </c>
      <c r="G293" s="33" t="n">
        <f aca="false">IF(B293=1,"",IF(B293=2,C292,SES_Alpha*C292+(1-SES_Alpha)*G292))</f>
        <v>90.5500213225816</v>
      </c>
      <c r="H293" s="33" t="n">
        <f aca="false">IF(D293="","",D293-C293)</f>
        <v>0</v>
      </c>
      <c r="I293" s="33" t="n">
        <f aca="false">IF(E293="","",E293-C293)</f>
        <v>-11.5</v>
      </c>
      <c r="J293" s="33" t="n">
        <f aca="false">IF(F293="","",F293-C293)</f>
        <v>-11</v>
      </c>
      <c r="K293" s="33" t="n">
        <f aca="false">IF(G293="","",G293-C293)</f>
        <v>-8.44997867741843</v>
      </c>
      <c r="L293" s="33" t="n">
        <f aca="false">IF(H293="","",ABS(H293))</f>
        <v>0</v>
      </c>
      <c r="M293" s="33" t="n">
        <f aca="false">IF(I293="","",ABS(I293))</f>
        <v>11.5</v>
      </c>
      <c r="N293" s="33" t="n">
        <f aca="false">IF(J293="","",ABS(J293))</f>
        <v>11</v>
      </c>
      <c r="O293" s="33" t="n">
        <f aca="false">IF(K293="","",ABS(K293))</f>
        <v>8.44997867741843</v>
      </c>
      <c r="P293" s="34" t="str">
        <f aca="false">IF(B293&gt;=Eval_Start_Week,"YES","")</f>
        <v>YES</v>
      </c>
      <c r="Q293" s="34" t="str">
        <f aca="false">IF(AND(B293&gt;=Cal_Start_Week,B293&lt;=Cal_End_Week),"YES","")</f>
        <v>YES</v>
      </c>
    </row>
    <row r="294" customFormat="false" ht="15" hidden="false" customHeight="false" outlineLevel="0" collapsed="false">
      <c r="A294" s="31" t="str">
        <f aca="false">Demand_History!C294</f>
        <v>KIT-003</v>
      </c>
      <c r="B294" s="31" t="n">
        <f aca="false">Demand_History!A294</f>
        <v>85</v>
      </c>
      <c r="C294" s="32" t="n">
        <f aca="false">Demand_History!D294</f>
        <v>97</v>
      </c>
      <c r="D294" s="33" t="n">
        <f aca="false">IF(B294&gt;=2,C293,"")</f>
        <v>99</v>
      </c>
      <c r="E294" s="33" t="n">
        <f aca="false">IF(B294&gt;=5,AVERAGE(C290:C293),"")</f>
        <v>92</v>
      </c>
      <c r="F294" s="33" t="n">
        <f aca="false">IF(B294&gt;=9,AVERAGE(C286:C293),"")</f>
        <v>89.375</v>
      </c>
      <c r="G294" s="33" t="n">
        <f aca="false">IF(B294=1,"",IF(B294=2,C293,SES_Alpha*C293+(1-SES_Alpha)*G293))</f>
        <v>93.0850149258071</v>
      </c>
      <c r="H294" s="33" t="n">
        <f aca="false">IF(D294="","",D294-C294)</f>
        <v>2</v>
      </c>
      <c r="I294" s="33" t="n">
        <f aca="false">IF(E294="","",E294-C294)</f>
        <v>-5</v>
      </c>
      <c r="J294" s="33" t="n">
        <f aca="false">IF(F294="","",F294-C294)</f>
        <v>-7.625</v>
      </c>
      <c r="K294" s="33" t="n">
        <f aca="false">IF(G294="","",G294-C294)</f>
        <v>-3.9149850741929</v>
      </c>
      <c r="L294" s="33" t="n">
        <f aca="false">IF(H294="","",ABS(H294))</f>
        <v>2</v>
      </c>
      <c r="M294" s="33" t="n">
        <f aca="false">IF(I294="","",ABS(I294))</f>
        <v>5</v>
      </c>
      <c r="N294" s="33" t="n">
        <f aca="false">IF(J294="","",ABS(J294))</f>
        <v>7.625</v>
      </c>
      <c r="O294" s="33" t="n">
        <f aca="false">IF(K294="","",ABS(K294))</f>
        <v>3.9149850741929</v>
      </c>
      <c r="P294" s="34" t="str">
        <f aca="false">IF(B294&gt;=Eval_Start_Week,"YES","")</f>
        <v>YES</v>
      </c>
      <c r="Q294" s="34" t="str">
        <f aca="false">IF(AND(B294&gt;=Cal_Start_Week,B294&lt;=Cal_End_Week),"YES","")</f>
        <v>YES</v>
      </c>
    </row>
    <row r="295" customFormat="false" ht="15" hidden="false" customHeight="false" outlineLevel="0" collapsed="false">
      <c r="A295" s="31" t="str">
        <f aca="false">Demand_History!C295</f>
        <v>KIT-003</v>
      </c>
      <c r="B295" s="31" t="n">
        <f aca="false">Demand_History!A295</f>
        <v>86</v>
      </c>
      <c r="C295" s="32" t="n">
        <f aca="false">Demand_History!D295</f>
        <v>90</v>
      </c>
      <c r="D295" s="33" t="n">
        <f aca="false">IF(B295&gt;=2,C294,"")</f>
        <v>97</v>
      </c>
      <c r="E295" s="33" t="n">
        <f aca="false">IF(B295&gt;=5,AVERAGE(C291:C294),"")</f>
        <v>100.25</v>
      </c>
      <c r="F295" s="33" t="n">
        <f aca="false">IF(B295&gt;=9,AVERAGE(C287:C294),"")</f>
        <v>91</v>
      </c>
      <c r="G295" s="33" t="n">
        <f aca="false">IF(B295=1,"",IF(B295=2,C294,SES_Alpha*C294+(1-SES_Alpha)*G294))</f>
        <v>94.259510448065</v>
      </c>
      <c r="H295" s="33" t="n">
        <f aca="false">IF(D295="","",D295-C295)</f>
        <v>7</v>
      </c>
      <c r="I295" s="33" t="n">
        <f aca="false">IF(E295="","",E295-C295)</f>
        <v>10.25</v>
      </c>
      <c r="J295" s="33" t="n">
        <f aca="false">IF(F295="","",F295-C295)</f>
        <v>1</v>
      </c>
      <c r="K295" s="33" t="n">
        <f aca="false">IF(G295="","",G295-C295)</f>
        <v>4.25951044806496</v>
      </c>
      <c r="L295" s="33" t="n">
        <f aca="false">IF(H295="","",ABS(H295))</f>
        <v>7</v>
      </c>
      <c r="M295" s="33" t="n">
        <f aca="false">IF(I295="","",ABS(I295))</f>
        <v>10.25</v>
      </c>
      <c r="N295" s="33" t="n">
        <f aca="false">IF(J295="","",ABS(J295))</f>
        <v>1</v>
      </c>
      <c r="O295" s="33" t="n">
        <f aca="false">IF(K295="","",ABS(K295))</f>
        <v>4.25951044806496</v>
      </c>
      <c r="P295" s="34" t="str">
        <f aca="false">IF(B295&gt;=Eval_Start_Week,"YES","")</f>
        <v>YES</v>
      </c>
      <c r="Q295" s="34" t="str">
        <f aca="false">IF(AND(B295&gt;=Cal_Start_Week,B295&lt;=Cal_End_Week),"YES","")</f>
        <v>YES</v>
      </c>
    </row>
    <row r="296" customFormat="false" ht="15" hidden="false" customHeight="false" outlineLevel="0" collapsed="false">
      <c r="A296" s="31" t="str">
        <f aca="false">Demand_History!C296</f>
        <v>KIT-003</v>
      </c>
      <c r="B296" s="31" t="n">
        <f aca="false">Demand_History!A296</f>
        <v>87</v>
      </c>
      <c r="C296" s="32" t="n">
        <f aca="false">Demand_History!D296</f>
        <v>92</v>
      </c>
      <c r="D296" s="33" t="n">
        <f aca="false">IF(B296&gt;=2,C295,"")</f>
        <v>90</v>
      </c>
      <c r="E296" s="33" t="n">
        <f aca="false">IF(B296&gt;=5,AVERAGE(C292:C295),"")</f>
        <v>96.25</v>
      </c>
      <c r="F296" s="33" t="n">
        <f aca="false">IF(B296&gt;=9,AVERAGE(C288:C295),"")</f>
        <v>89.375</v>
      </c>
      <c r="G296" s="33" t="n">
        <f aca="false">IF(B296=1,"",IF(B296=2,C295,SES_Alpha*C295+(1-SES_Alpha)*G295))</f>
        <v>92.9816573136455</v>
      </c>
      <c r="H296" s="33" t="n">
        <f aca="false">IF(D296="","",D296-C296)</f>
        <v>-2</v>
      </c>
      <c r="I296" s="33" t="n">
        <f aca="false">IF(E296="","",E296-C296)</f>
        <v>4.25</v>
      </c>
      <c r="J296" s="33" t="n">
        <f aca="false">IF(F296="","",F296-C296)</f>
        <v>-2.625</v>
      </c>
      <c r="K296" s="33" t="n">
        <f aca="false">IF(G296="","",G296-C296)</f>
        <v>0.981657313645471</v>
      </c>
      <c r="L296" s="33" t="n">
        <f aca="false">IF(H296="","",ABS(H296))</f>
        <v>2</v>
      </c>
      <c r="M296" s="33" t="n">
        <f aca="false">IF(I296="","",ABS(I296))</f>
        <v>4.25</v>
      </c>
      <c r="N296" s="33" t="n">
        <f aca="false">IF(J296="","",ABS(J296))</f>
        <v>2.625</v>
      </c>
      <c r="O296" s="33" t="n">
        <f aca="false">IF(K296="","",ABS(K296))</f>
        <v>0.981657313645471</v>
      </c>
      <c r="P296" s="34" t="str">
        <f aca="false">IF(B296&gt;=Eval_Start_Week,"YES","")</f>
        <v>YES</v>
      </c>
      <c r="Q296" s="34" t="str">
        <f aca="false">IF(AND(B296&gt;=Cal_Start_Week,B296&lt;=Cal_End_Week),"YES","")</f>
        <v>YES</v>
      </c>
    </row>
    <row r="297" customFormat="false" ht="15" hidden="false" customHeight="false" outlineLevel="0" collapsed="false">
      <c r="A297" s="31" t="str">
        <f aca="false">Demand_History!C297</f>
        <v>KIT-003</v>
      </c>
      <c r="B297" s="31" t="n">
        <f aca="false">Demand_History!A297</f>
        <v>88</v>
      </c>
      <c r="C297" s="32" t="n">
        <f aca="false">Demand_History!D297</f>
        <v>87</v>
      </c>
      <c r="D297" s="33" t="n">
        <f aca="false">IF(B297&gt;=2,C296,"")</f>
        <v>92</v>
      </c>
      <c r="E297" s="33" t="n">
        <f aca="false">IF(B297&gt;=5,AVERAGE(C293:C296),"")</f>
        <v>94.5</v>
      </c>
      <c r="F297" s="33" t="n">
        <f aca="false">IF(B297&gt;=9,AVERAGE(C289:C296),"")</f>
        <v>91</v>
      </c>
      <c r="G297" s="33" t="n">
        <f aca="false">IF(B297=1,"",IF(B297=2,C296,SES_Alpha*C296+(1-SES_Alpha)*G296))</f>
        <v>92.6871601195518</v>
      </c>
      <c r="H297" s="33" t="n">
        <f aca="false">IF(D297="","",D297-C297)</f>
        <v>5</v>
      </c>
      <c r="I297" s="33" t="n">
        <f aca="false">IF(E297="","",E297-C297)</f>
        <v>7.5</v>
      </c>
      <c r="J297" s="33" t="n">
        <f aca="false">IF(F297="","",F297-C297)</f>
        <v>4</v>
      </c>
      <c r="K297" s="33" t="n">
        <f aca="false">IF(G297="","",G297-C297)</f>
        <v>5.68716011955182</v>
      </c>
      <c r="L297" s="33" t="n">
        <f aca="false">IF(H297="","",ABS(H297))</f>
        <v>5</v>
      </c>
      <c r="M297" s="33" t="n">
        <f aca="false">IF(I297="","",ABS(I297))</f>
        <v>7.5</v>
      </c>
      <c r="N297" s="33" t="n">
        <f aca="false">IF(J297="","",ABS(J297))</f>
        <v>4</v>
      </c>
      <c r="O297" s="33" t="n">
        <f aca="false">IF(K297="","",ABS(K297))</f>
        <v>5.68716011955182</v>
      </c>
      <c r="P297" s="34" t="str">
        <f aca="false">IF(B297&gt;=Eval_Start_Week,"YES","")</f>
        <v>YES</v>
      </c>
      <c r="Q297" s="34" t="str">
        <f aca="false">IF(AND(B297&gt;=Cal_Start_Week,B297&lt;=Cal_End_Week),"YES","")</f>
        <v>YES</v>
      </c>
    </row>
    <row r="298" customFormat="false" ht="15" hidden="false" customHeight="false" outlineLevel="0" collapsed="false">
      <c r="A298" s="31" t="str">
        <f aca="false">Demand_History!C298</f>
        <v>KIT-003</v>
      </c>
      <c r="B298" s="31" t="n">
        <f aca="false">Demand_History!A298</f>
        <v>89</v>
      </c>
      <c r="C298" s="32" t="n">
        <f aca="false">Demand_History!D298</f>
        <v>88</v>
      </c>
      <c r="D298" s="33" t="n">
        <f aca="false">IF(B298&gt;=2,C297,"")</f>
        <v>87</v>
      </c>
      <c r="E298" s="33" t="n">
        <f aca="false">IF(B298&gt;=5,AVERAGE(C294:C297),"")</f>
        <v>91.5</v>
      </c>
      <c r="F298" s="33" t="n">
        <f aca="false">IF(B298&gt;=9,AVERAGE(C290:C297),"")</f>
        <v>91.75</v>
      </c>
      <c r="G298" s="33" t="n">
        <f aca="false">IF(B298=1,"",IF(B298=2,C297,SES_Alpha*C297+(1-SES_Alpha)*G297))</f>
        <v>90.9810120836863</v>
      </c>
      <c r="H298" s="33" t="n">
        <f aca="false">IF(D298="","",D298-C298)</f>
        <v>-1</v>
      </c>
      <c r="I298" s="33" t="n">
        <f aca="false">IF(E298="","",E298-C298)</f>
        <v>3.5</v>
      </c>
      <c r="J298" s="33" t="n">
        <f aca="false">IF(F298="","",F298-C298)</f>
        <v>3.75</v>
      </c>
      <c r="K298" s="33" t="n">
        <f aca="false">IF(G298="","",G298-C298)</f>
        <v>2.98101208368627</v>
      </c>
      <c r="L298" s="33" t="n">
        <f aca="false">IF(H298="","",ABS(H298))</f>
        <v>1</v>
      </c>
      <c r="M298" s="33" t="n">
        <f aca="false">IF(I298="","",ABS(I298))</f>
        <v>3.5</v>
      </c>
      <c r="N298" s="33" t="n">
        <f aca="false">IF(J298="","",ABS(J298))</f>
        <v>3.75</v>
      </c>
      <c r="O298" s="33" t="n">
        <f aca="false">IF(K298="","",ABS(K298))</f>
        <v>2.98101208368627</v>
      </c>
      <c r="P298" s="34" t="str">
        <f aca="false">IF(B298&gt;=Eval_Start_Week,"YES","")</f>
        <v>YES</v>
      </c>
      <c r="Q298" s="34" t="str">
        <f aca="false">IF(AND(B298&gt;=Cal_Start_Week,B298&lt;=Cal_End_Week),"YES","")</f>
        <v/>
      </c>
    </row>
    <row r="299" customFormat="false" ht="15" hidden="false" customHeight="false" outlineLevel="0" collapsed="false">
      <c r="A299" s="31" t="str">
        <f aca="false">Demand_History!C299</f>
        <v>KIT-003</v>
      </c>
      <c r="B299" s="31" t="n">
        <f aca="false">Demand_History!A299</f>
        <v>90</v>
      </c>
      <c r="C299" s="32" t="n">
        <f aca="false">Demand_History!D299</f>
        <v>92</v>
      </c>
      <c r="D299" s="33" t="n">
        <f aca="false">IF(B299&gt;=2,C298,"")</f>
        <v>88</v>
      </c>
      <c r="E299" s="33" t="n">
        <f aca="false">IF(B299&gt;=5,AVERAGE(C295:C298),"")</f>
        <v>89.25</v>
      </c>
      <c r="F299" s="33" t="n">
        <f aca="false">IF(B299&gt;=9,AVERAGE(C291:C298),"")</f>
        <v>94.75</v>
      </c>
      <c r="G299" s="33" t="n">
        <f aca="false">IF(B299=1,"",IF(B299=2,C298,SES_Alpha*C298+(1-SES_Alpha)*G298))</f>
        <v>90.0867084585804</v>
      </c>
      <c r="H299" s="33" t="n">
        <f aca="false">IF(D299="","",D299-C299)</f>
        <v>-4</v>
      </c>
      <c r="I299" s="33" t="n">
        <f aca="false">IF(E299="","",E299-C299)</f>
        <v>-2.75</v>
      </c>
      <c r="J299" s="33" t="n">
        <f aca="false">IF(F299="","",F299-C299)</f>
        <v>2.75</v>
      </c>
      <c r="K299" s="33" t="n">
        <f aca="false">IF(G299="","",G299-C299)</f>
        <v>-1.91329154141962</v>
      </c>
      <c r="L299" s="33" t="n">
        <f aca="false">IF(H299="","",ABS(H299))</f>
        <v>4</v>
      </c>
      <c r="M299" s="33" t="n">
        <f aca="false">IF(I299="","",ABS(I299))</f>
        <v>2.75</v>
      </c>
      <c r="N299" s="33" t="n">
        <f aca="false">IF(J299="","",ABS(J299))</f>
        <v>2.75</v>
      </c>
      <c r="O299" s="33" t="n">
        <f aca="false">IF(K299="","",ABS(K299))</f>
        <v>1.91329154141962</v>
      </c>
      <c r="P299" s="34" t="str">
        <f aca="false">IF(B299&gt;=Eval_Start_Week,"YES","")</f>
        <v>YES</v>
      </c>
      <c r="Q299" s="34" t="str">
        <f aca="false">IF(AND(B299&gt;=Cal_Start_Week,B299&lt;=Cal_End_Week),"YES","")</f>
        <v/>
      </c>
    </row>
    <row r="300" customFormat="false" ht="15" hidden="false" customHeight="false" outlineLevel="0" collapsed="false">
      <c r="A300" s="31" t="str">
        <f aca="false">Demand_History!C300</f>
        <v>KIT-003</v>
      </c>
      <c r="B300" s="31" t="n">
        <f aca="false">Demand_History!A300</f>
        <v>91</v>
      </c>
      <c r="C300" s="32" t="n">
        <f aca="false">Demand_History!D300</f>
        <v>111</v>
      </c>
      <c r="D300" s="33" t="n">
        <f aca="false">IF(B300&gt;=2,C299,"")</f>
        <v>92</v>
      </c>
      <c r="E300" s="33" t="n">
        <f aca="false">IF(B300&gt;=5,AVERAGE(C296:C299),"")</f>
        <v>89.75</v>
      </c>
      <c r="F300" s="33" t="n">
        <f aca="false">IF(B300&gt;=9,AVERAGE(C292:C299),"")</f>
        <v>93</v>
      </c>
      <c r="G300" s="33" t="n">
        <f aca="false">IF(B300=1,"",IF(B300=2,C299,SES_Alpha*C299+(1-SES_Alpha)*G299))</f>
        <v>90.6606959210063</v>
      </c>
      <c r="H300" s="33" t="n">
        <f aca="false">IF(D300="","",D300-C300)</f>
        <v>-19</v>
      </c>
      <c r="I300" s="33" t="n">
        <f aca="false">IF(E300="","",E300-C300)</f>
        <v>-21.25</v>
      </c>
      <c r="J300" s="33" t="n">
        <f aca="false">IF(F300="","",F300-C300)</f>
        <v>-18</v>
      </c>
      <c r="K300" s="33" t="n">
        <f aca="false">IF(G300="","",G300-C300)</f>
        <v>-20.3393040789938</v>
      </c>
      <c r="L300" s="33" t="n">
        <f aca="false">IF(H300="","",ABS(H300))</f>
        <v>19</v>
      </c>
      <c r="M300" s="33" t="n">
        <f aca="false">IF(I300="","",ABS(I300))</f>
        <v>21.25</v>
      </c>
      <c r="N300" s="33" t="n">
        <f aca="false">IF(J300="","",ABS(J300))</f>
        <v>18</v>
      </c>
      <c r="O300" s="33" t="n">
        <f aca="false">IF(K300="","",ABS(K300))</f>
        <v>20.3393040789938</v>
      </c>
      <c r="P300" s="34" t="str">
        <f aca="false">IF(B300&gt;=Eval_Start_Week,"YES","")</f>
        <v>YES</v>
      </c>
      <c r="Q300" s="34" t="str">
        <f aca="false">IF(AND(B300&gt;=Cal_Start_Week,B300&lt;=Cal_End_Week),"YES","")</f>
        <v/>
      </c>
    </row>
    <row r="301" customFormat="false" ht="15" hidden="false" customHeight="false" outlineLevel="0" collapsed="false">
      <c r="A301" s="31" t="str">
        <f aca="false">Demand_History!C301</f>
        <v>KIT-003</v>
      </c>
      <c r="B301" s="31" t="n">
        <f aca="false">Demand_History!A301</f>
        <v>92</v>
      </c>
      <c r="C301" s="32" t="n">
        <f aca="false">Demand_History!D301</f>
        <v>99</v>
      </c>
      <c r="D301" s="33" t="n">
        <f aca="false">IF(B301&gt;=2,C300,"")</f>
        <v>111</v>
      </c>
      <c r="E301" s="33" t="n">
        <f aca="false">IF(B301&gt;=5,AVERAGE(C297:C300),"")</f>
        <v>94.5</v>
      </c>
      <c r="F301" s="33" t="n">
        <f aca="false">IF(B301&gt;=9,AVERAGE(C293:C300),"")</f>
        <v>94.5</v>
      </c>
      <c r="G301" s="33" t="n">
        <f aca="false">IF(B301=1,"",IF(B301=2,C300,SES_Alpha*C300+(1-SES_Alpha)*G300))</f>
        <v>96.7624871447044</v>
      </c>
      <c r="H301" s="33" t="n">
        <f aca="false">IF(D301="","",D301-C301)</f>
        <v>12</v>
      </c>
      <c r="I301" s="33" t="n">
        <f aca="false">IF(E301="","",E301-C301)</f>
        <v>-4.5</v>
      </c>
      <c r="J301" s="33" t="n">
        <f aca="false">IF(F301="","",F301-C301)</f>
        <v>-4.5</v>
      </c>
      <c r="K301" s="33" t="n">
        <f aca="false">IF(G301="","",G301-C301)</f>
        <v>-2.23751285529563</v>
      </c>
      <c r="L301" s="33" t="n">
        <f aca="false">IF(H301="","",ABS(H301))</f>
        <v>12</v>
      </c>
      <c r="M301" s="33" t="n">
        <f aca="false">IF(I301="","",ABS(I301))</f>
        <v>4.5</v>
      </c>
      <c r="N301" s="33" t="n">
        <f aca="false">IF(J301="","",ABS(J301))</f>
        <v>4.5</v>
      </c>
      <c r="O301" s="33" t="n">
        <f aca="false">IF(K301="","",ABS(K301))</f>
        <v>2.23751285529563</v>
      </c>
      <c r="P301" s="34" t="str">
        <f aca="false">IF(B301&gt;=Eval_Start_Week,"YES","")</f>
        <v>YES</v>
      </c>
      <c r="Q301" s="34" t="str">
        <f aca="false">IF(AND(B301&gt;=Cal_Start_Week,B301&lt;=Cal_End_Week),"YES","")</f>
        <v/>
      </c>
    </row>
    <row r="302" customFormat="false" ht="15" hidden="false" customHeight="false" outlineLevel="0" collapsed="false">
      <c r="A302" s="31" t="str">
        <f aca="false">Demand_History!C302</f>
        <v>KIT-003</v>
      </c>
      <c r="B302" s="31" t="n">
        <f aca="false">Demand_History!A302</f>
        <v>93</v>
      </c>
      <c r="C302" s="32" t="n">
        <f aca="false">Demand_History!D302</f>
        <v>92</v>
      </c>
      <c r="D302" s="33" t="n">
        <f aca="false">IF(B302&gt;=2,C301,"")</f>
        <v>99</v>
      </c>
      <c r="E302" s="33" t="n">
        <f aca="false">IF(B302&gt;=5,AVERAGE(C298:C301),"")</f>
        <v>97.5</v>
      </c>
      <c r="F302" s="33" t="n">
        <f aca="false">IF(B302&gt;=9,AVERAGE(C294:C301),"")</f>
        <v>94.5</v>
      </c>
      <c r="G302" s="33" t="n">
        <f aca="false">IF(B302=1,"",IF(B302=2,C301,SES_Alpha*C301+(1-SES_Alpha)*G301))</f>
        <v>97.4337410012931</v>
      </c>
      <c r="H302" s="33" t="n">
        <f aca="false">IF(D302="","",D302-C302)</f>
        <v>7</v>
      </c>
      <c r="I302" s="33" t="n">
        <f aca="false">IF(E302="","",E302-C302)</f>
        <v>5.5</v>
      </c>
      <c r="J302" s="33" t="n">
        <f aca="false">IF(F302="","",F302-C302)</f>
        <v>2.5</v>
      </c>
      <c r="K302" s="33" t="n">
        <f aca="false">IF(G302="","",G302-C302)</f>
        <v>5.43374100129306</v>
      </c>
      <c r="L302" s="33" t="n">
        <f aca="false">IF(H302="","",ABS(H302))</f>
        <v>7</v>
      </c>
      <c r="M302" s="33" t="n">
        <f aca="false">IF(I302="","",ABS(I302))</f>
        <v>5.5</v>
      </c>
      <c r="N302" s="33" t="n">
        <f aca="false">IF(J302="","",ABS(J302))</f>
        <v>2.5</v>
      </c>
      <c r="O302" s="33" t="n">
        <f aca="false">IF(K302="","",ABS(K302))</f>
        <v>5.43374100129306</v>
      </c>
      <c r="P302" s="34" t="str">
        <f aca="false">IF(B302&gt;=Eval_Start_Week,"YES","")</f>
        <v>YES</v>
      </c>
      <c r="Q302" s="34" t="str">
        <f aca="false">IF(AND(B302&gt;=Cal_Start_Week,B302&lt;=Cal_End_Week),"YES","")</f>
        <v/>
      </c>
    </row>
    <row r="303" customFormat="false" ht="15" hidden="false" customHeight="false" outlineLevel="0" collapsed="false">
      <c r="A303" s="31" t="str">
        <f aca="false">Demand_History!C303</f>
        <v>KIT-003</v>
      </c>
      <c r="B303" s="31" t="n">
        <f aca="false">Demand_History!A303</f>
        <v>94</v>
      </c>
      <c r="C303" s="32" t="n">
        <f aca="false">Demand_History!D303</f>
        <v>85</v>
      </c>
      <c r="D303" s="33" t="n">
        <f aca="false">IF(B303&gt;=2,C302,"")</f>
        <v>92</v>
      </c>
      <c r="E303" s="33" t="n">
        <f aca="false">IF(B303&gt;=5,AVERAGE(C299:C302),"")</f>
        <v>98.5</v>
      </c>
      <c r="F303" s="33" t="n">
        <f aca="false">IF(B303&gt;=9,AVERAGE(C295:C302),"")</f>
        <v>93.875</v>
      </c>
      <c r="G303" s="33" t="n">
        <f aca="false">IF(B303=1,"",IF(B303=2,C302,SES_Alpha*C302+(1-SES_Alpha)*G302))</f>
        <v>95.8036187009051</v>
      </c>
      <c r="H303" s="33" t="n">
        <f aca="false">IF(D303="","",D303-C303)</f>
        <v>7</v>
      </c>
      <c r="I303" s="33" t="n">
        <f aca="false">IF(E303="","",E303-C303)</f>
        <v>13.5</v>
      </c>
      <c r="J303" s="33" t="n">
        <f aca="false">IF(F303="","",F303-C303)</f>
        <v>8.875</v>
      </c>
      <c r="K303" s="33" t="n">
        <f aca="false">IF(G303="","",G303-C303)</f>
        <v>10.8036187009051</v>
      </c>
      <c r="L303" s="33" t="n">
        <f aca="false">IF(H303="","",ABS(H303))</f>
        <v>7</v>
      </c>
      <c r="M303" s="33" t="n">
        <f aca="false">IF(I303="","",ABS(I303))</f>
        <v>13.5</v>
      </c>
      <c r="N303" s="33" t="n">
        <f aca="false">IF(J303="","",ABS(J303))</f>
        <v>8.875</v>
      </c>
      <c r="O303" s="33" t="n">
        <f aca="false">IF(K303="","",ABS(K303))</f>
        <v>10.8036187009051</v>
      </c>
      <c r="P303" s="34" t="str">
        <f aca="false">IF(B303&gt;=Eval_Start_Week,"YES","")</f>
        <v>YES</v>
      </c>
      <c r="Q303" s="34" t="str">
        <f aca="false">IF(AND(B303&gt;=Cal_Start_Week,B303&lt;=Cal_End_Week),"YES","")</f>
        <v/>
      </c>
    </row>
    <row r="304" customFormat="false" ht="15" hidden="false" customHeight="false" outlineLevel="0" collapsed="false">
      <c r="A304" s="31" t="str">
        <f aca="false">Demand_History!C304</f>
        <v>KIT-003</v>
      </c>
      <c r="B304" s="31" t="n">
        <f aca="false">Demand_History!A304</f>
        <v>95</v>
      </c>
      <c r="C304" s="32" t="n">
        <f aca="false">Demand_History!D304</f>
        <v>85</v>
      </c>
      <c r="D304" s="33" t="n">
        <f aca="false">IF(B304&gt;=2,C303,"")</f>
        <v>85</v>
      </c>
      <c r="E304" s="33" t="n">
        <f aca="false">IF(B304&gt;=5,AVERAGE(C300:C303),"")</f>
        <v>96.75</v>
      </c>
      <c r="F304" s="33" t="n">
        <f aca="false">IF(B304&gt;=9,AVERAGE(C296:C303),"")</f>
        <v>93.25</v>
      </c>
      <c r="G304" s="33" t="n">
        <f aca="false">IF(B304=1,"",IF(B304=2,C303,SES_Alpha*C303+(1-SES_Alpha)*G303))</f>
        <v>92.5625330906336</v>
      </c>
      <c r="H304" s="33" t="n">
        <f aca="false">IF(D304="","",D304-C304)</f>
        <v>0</v>
      </c>
      <c r="I304" s="33" t="n">
        <f aca="false">IF(E304="","",E304-C304)</f>
        <v>11.75</v>
      </c>
      <c r="J304" s="33" t="n">
        <f aca="false">IF(F304="","",F304-C304)</f>
        <v>8.25</v>
      </c>
      <c r="K304" s="33" t="n">
        <f aca="false">IF(G304="","",G304-C304)</f>
        <v>7.56253309063359</v>
      </c>
      <c r="L304" s="33" t="n">
        <f aca="false">IF(H304="","",ABS(H304))</f>
        <v>0</v>
      </c>
      <c r="M304" s="33" t="n">
        <f aca="false">IF(I304="","",ABS(I304))</f>
        <v>11.75</v>
      </c>
      <c r="N304" s="33" t="n">
        <f aca="false">IF(J304="","",ABS(J304))</f>
        <v>8.25</v>
      </c>
      <c r="O304" s="33" t="n">
        <f aca="false">IF(K304="","",ABS(K304))</f>
        <v>7.56253309063359</v>
      </c>
      <c r="P304" s="34" t="str">
        <f aca="false">IF(B304&gt;=Eval_Start_Week,"YES","")</f>
        <v>YES</v>
      </c>
      <c r="Q304" s="34" t="str">
        <f aca="false">IF(AND(B304&gt;=Cal_Start_Week,B304&lt;=Cal_End_Week),"YES","")</f>
        <v/>
      </c>
    </row>
    <row r="305" customFormat="false" ht="15" hidden="false" customHeight="false" outlineLevel="0" collapsed="false">
      <c r="A305" s="31" t="str">
        <f aca="false">Demand_History!C305</f>
        <v>KIT-003</v>
      </c>
      <c r="B305" s="31" t="n">
        <f aca="false">Demand_History!A305</f>
        <v>96</v>
      </c>
      <c r="C305" s="32" t="n">
        <f aca="false">Demand_History!D305</f>
        <v>115</v>
      </c>
      <c r="D305" s="33" t="n">
        <f aca="false">IF(B305&gt;=2,C304,"")</f>
        <v>85</v>
      </c>
      <c r="E305" s="33" t="n">
        <f aca="false">IF(B305&gt;=5,AVERAGE(C301:C304),"")</f>
        <v>90.25</v>
      </c>
      <c r="F305" s="33" t="n">
        <f aca="false">IF(B305&gt;=9,AVERAGE(C297:C304),"")</f>
        <v>92.375</v>
      </c>
      <c r="G305" s="33" t="n">
        <f aca="false">IF(B305=1,"",IF(B305=2,C304,SES_Alpha*C304+(1-SES_Alpha)*G304))</f>
        <v>90.2937731634435</v>
      </c>
      <c r="H305" s="33" t="n">
        <f aca="false">IF(D305="","",D305-C305)</f>
        <v>-30</v>
      </c>
      <c r="I305" s="33" t="n">
        <f aca="false">IF(E305="","",E305-C305)</f>
        <v>-24.75</v>
      </c>
      <c r="J305" s="33" t="n">
        <f aca="false">IF(F305="","",F305-C305)</f>
        <v>-22.625</v>
      </c>
      <c r="K305" s="33" t="n">
        <f aca="false">IF(G305="","",G305-C305)</f>
        <v>-24.7062268365565</v>
      </c>
      <c r="L305" s="33" t="n">
        <f aca="false">IF(H305="","",ABS(H305))</f>
        <v>30</v>
      </c>
      <c r="M305" s="33" t="n">
        <f aca="false">IF(I305="","",ABS(I305))</f>
        <v>24.75</v>
      </c>
      <c r="N305" s="33" t="n">
        <f aca="false">IF(J305="","",ABS(J305))</f>
        <v>22.625</v>
      </c>
      <c r="O305" s="33" t="n">
        <f aca="false">IF(K305="","",ABS(K305))</f>
        <v>24.7062268365565</v>
      </c>
      <c r="P305" s="34" t="str">
        <f aca="false">IF(B305&gt;=Eval_Start_Week,"YES","")</f>
        <v>YES</v>
      </c>
      <c r="Q305" s="34" t="str">
        <f aca="false">IF(AND(B305&gt;=Cal_Start_Week,B305&lt;=Cal_End_Week),"YES","")</f>
        <v/>
      </c>
    </row>
    <row r="306" customFormat="false" ht="15" hidden="false" customHeight="false" outlineLevel="0" collapsed="false">
      <c r="A306" s="31" t="str">
        <f aca="false">Demand_History!C306</f>
        <v>KIT-003</v>
      </c>
      <c r="B306" s="31" t="n">
        <f aca="false">Demand_History!A306</f>
        <v>97</v>
      </c>
      <c r="C306" s="32" t="n">
        <f aca="false">Demand_History!D306</f>
        <v>101</v>
      </c>
      <c r="D306" s="33" t="n">
        <f aca="false">IF(B306&gt;=2,C305,"")</f>
        <v>115</v>
      </c>
      <c r="E306" s="33" t="n">
        <f aca="false">IF(B306&gt;=5,AVERAGE(C302:C305),"")</f>
        <v>94.25</v>
      </c>
      <c r="F306" s="33" t="n">
        <f aca="false">IF(B306&gt;=9,AVERAGE(C298:C305),"")</f>
        <v>95.875</v>
      </c>
      <c r="G306" s="33" t="n">
        <f aca="false">IF(B306=1,"",IF(B306=2,C305,SES_Alpha*C305+(1-SES_Alpha)*G305))</f>
        <v>97.7056412144105</v>
      </c>
      <c r="H306" s="33" t="n">
        <f aca="false">IF(D306="","",D306-C306)</f>
        <v>14</v>
      </c>
      <c r="I306" s="33" t="n">
        <f aca="false">IF(E306="","",E306-C306)</f>
        <v>-6.75</v>
      </c>
      <c r="J306" s="33" t="n">
        <f aca="false">IF(F306="","",F306-C306)</f>
        <v>-5.125</v>
      </c>
      <c r="K306" s="33" t="n">
        <f aca="false">IF(G306="","",G306-C306)</f>
        <v>-3.29435878558954</v>
      </c>
      <c r="L306" s="33" t="n">
        <f aca="false">IF(H306="","",ABS(H306))</f>
        <v>14</v>
      </c>
      <c r="M306" s="33" t="n">
        <f aca="false">IF(I306="","",ABS(I306))</f>
        <v>6.75</v>
      </c>
      <c r="N306" s="33" t="n">
        <f aca="false">IF(J306="","",ABS(J306))</f>
        <v>5.125</v>
      </c>
      <c r="O306" s="33" t="n">
        <f aca="false">IF(K306="","",ABS(K306))</f>
        <v>3.29435878558954</v>
      </c>
      <c r="P306" s="34" t="str">
        <f aca="false">IF(B306&gt;=Eval_Start_Week,"YES","")</f>
        <v>YES</v>
      </c>
      <c r="Q306" s="34" t="str">
        <f aca="false">IF(AND(B306&gt;=Cal_Start_Week,B306&lt;=Cal_End_Week),"YES","")</f>
        <v/>
      </c>
    </row>
    <row r="307" customFormat="false" ht="15" hidden="false" customHeight="false" outlineLevel="0" collapsed="false">
      <c r="A307" s="31" t="str">
        <f aca="false">Demand_History!C307</f>
        <v>KIT-003</v>
      </c>
      <c r="B307" s="31" t="n">
        <f aca="false">Demand_History!A307</f>
        <v>98</v>
      </c>
      <c r="C307" s="32" t="n">
        <f aca="false">Demand_History!D307</f>
        <v>96</v>
      </c>
      <c r="D307" s="33" t="n">
        <f aca="false">IF(B307&gt;=2,C306,"")</f>
        <v>101</v>
      </c>
      <c r="E307" s="33" t="n">
        <f aca="false">IF(B307&gt;=5,AVERAGE(C303:C306),"")</f>
        <v>96.5</v>
      </c>
      <c r="F307" s="33" t="n">
        <f aca="false">IF(B307&gt;=9,AVERAGE(C299:C306),"")</f>
        <v>97.5</v>
      </c>
      <c r="G307" s="33" t="n">
        <f aca="false">IF(B307=1,"",IF(B307=2,C306,SES_Alpha*C306+(1-SES_Alpha)*G306))</f>
        <v>98.6939488500873</v>
      </c>
      <c r="H307" s="33" t="n">
        <f aca="false">IF(D307="","",D307-C307)</f>
        <v>5</v>
      </c>
      <c r="I307" s="33" t="n">
        <f aca="false">IF(E307="","",E307-C307)</f>
        <v>0.5</v>
      </c>
      <c r="J307" s="33" t="n">
        <f aca="false">IF(F307="","",F307-C307)</f>
        <v>1.5</v>
      </c>
      <c r="K307" s="33" t="n">
        <f aca="false">IF(G307="","",G307-C307)</f>
        <v>2.69394885008731</v>
      </c>
      <c r="L307" s="33" t="n">
        <f aca="false">IF(H307="","",ABS(H307))</f>
        <v>5</v>
      </c>
      <c r="M307" s="33" t="n">
        <f aca="false">IF(I307="","",ABS(I307))</f>
        <v>0.5</v>
      </c>
      <c r="N307" s="33" t="n">
        <f aca="false">IF(J307="","",ABS(J307))</f>
        <v>1.5</v>
      </c>
      <c r="O307" s="33" t="n">
        <f aca="false">IF(K307="","",ABS(K307))</f>
        <v>2.69394885008731</v>
      </c>
      <c r="P307" s="34" t="str">
        <f aca="false">IF(B307&gt;=Eval_Start_Week,"YES","")</f>
        <v>YES</v>
      </c>
      <c r="Q307" s="34" t="str">
        <f aca="false">IF(AND(B307&gt;=Cal_Start_Week,B307&lt;=Cal_End_Week),"YES","")</f>
        <v/>
      </c>
    </row>
    <row r="308" customFormat="false" ht="15" hidden="false" customHeight="false" outlineLevel="0" collapsed="false">
      <c r="A308" s="31" t="str">
        <f aca="false">Demand_History!C308</f>
        <v>KIT-003</v>
      </c>
      <c r="B308" s="31" t="n">
        <f aca="false">Demand_History!A308</f>
        <v>99</v>
      </c>
      <c r="C308" s="32" t="n">
        <f aca="false">Demand_History!D308</f>
        <v>91</v>
      </c>
      <c r="D308" s="33" t="n">
        <f aca="false">IF(B308&gt;=2,C307,"")</f>
        <v>96</v>
      </c>
      <c r="E308" s="33" t="n">
        <f aca="false">IF(B308&gt;=5,AVERAGE(C304:C307),"")</f>
        <v>99.25</v>
      </c>
      <c r="F308" s="33" t="n">
        <f aca="false">IF(B308&gt;=9,AVERAGE(C300:C307),"")</f>
        <v>98</v>
      </c>
      <c r="G308" s="33" t="n">
        <f aca="false">IF(B308=1,"",IF(B308=2,C307,SES_Alpha*C307+(1-SES_Alpha)*G307))</f>
        <v>97.8857641950611</v>
      </c>
      <c r="H308" s="33" t="n">
        <f aca="false">IF(D308="","",D308-C308)</f>
        <v>5</v>
      </c>
      <c r="I308" s="33" t="n">
        <f aca="false">IF(E308="","",E308-C308)</f>
        <v>8.25</v>
      </c>
      <c r="J308" s="33" t="n">
        <f aca="false">IF(F308="","",F308-C308)</f>
        <v>7</v>
      </c>
      <c r="K308" s="33" t="n">
        <f aca="false">IF(G308="","",G308-C308)</f>
        <v>6.88576419506111</v>
      </c>
      <c r="L308" s="33" t="n">
        <f aca="false">IF(H308="","",ABS(H308))</f>
        <v>5</v>
      </c>
      <c r="M308" s="33" t="n">
        <f aca="false">IF(I308="","",ABS(I308))</f>
        <v>8.25</v>
      </c>
      <c r="N308" s="33" t="n">
        <f aca="false">IF(J308="","",ABS(J308))</f>
        <v>7</v>
      </c>
      <c r="O308" s="33" t="n">
        <f aca="false">IF(K308="","",ABS(K308))</f>
        <v>6.88576419506111</v>
      </c>
      <c r="P308" s="34" t="str">
        <f aca="false">IF(B308&gt;=Eval_Start_Week,"YES","")</f>
        <v>YES</v>
      </c>
      <c r="Q308" s="34" t="str">
        <f aca="false">IF(AND(B308&gt;=Cal_Start_Week,B308&lt;=Cal_End_Week),"YES","")</f>
        <v/>
      </c>
    </row>
    <row r="309" customFormat="false" ht="15" hidden="false" customHeight="false" outlineLevel="0" collapsed="false">
      <c r="A309" s="31" t="str">
        <f aca="false">Demand_History!C309</f>
        <v>KIT-003</v>
      </c>
      <c r="B309" s="31" t="n">
        <f aca="false">Demand_History!A309</f>
        <v>100</v>
      </c>
      <c r="C309" s="32" t="n">
        <f aca="false">Demand_History!D309</f>
        <v>81</v>
      </c>
      <c r="D309" s="33" t="n">
        <f aca="false">IF(B309&gt;=2,C308,"")</f>
        <v>91</v>
      </c>
      <c r="E309" s="33" t="n">
        <f aca="false">IF(B309&gt;=5,AVERAGE(C305:C308),"")</f>
        <v>100.75</v>
      </c>
      <c r="F309" s="33" t="n">
        <f aca="false">IF(B309&gt;=9,AVERAGE(C301:C308),"")</f>
        <v>95.5</v>
      </c>
      <c r="G309" s="33" t="n">
        <f aca="false">IF(B309=1,"",IF(B309=2,C308,SES_Alpha*C308+(1-SES_Alpha)*G308))</f>
        <v>95.8200349365428</v>
      </c>
      <c r="H309" s="33" t="n">
        <f aca="false">IF(D309="","",D309-C309)</f>
        <v>10</v>
      </c>
      <c r="I309" s="33" t="n">
        <f aca="false">IF(E309="","",E309-C309)</f>
        <v>19.75</v>
      </c>
      <c r="J309" s="33" t="n">
        <f aca="false">IF(F309="","",F309-C309)</f>
        <v>14.5</v>
      </c>
      <c r="K309" s="33" t="n">
        <f aca="false">IF(G309="","",G309-C309)</f>
        <v>14.8200349365428</v>
      </c>
      <c r="L309" s="33" t="n">
        <f aca="false">IF(H309="","",ABS(H309))</f>
        <v>10</v>
      </c>
      <c r="M309" s="33" t="n">
        <f aca="false">IF(I309="","",ABS(I309))</f>
        <v>19.75</v>
      </c>
      <c r="N309" s="33" t="n">
        <f aca="false">IF(J309="","",ABS(J309))</f>
        <v>14.5</v>
      </c>
      <c r="O309" s="33" t="n">
        <f aca="false">IF(K309="","",ABS(K309))</f>
        <v>14.8200349365428</v>
      </c>
      <c r="P309" s="34" t="str">
        <f aca="false">IF(B309&gt;=Eval_Start_Week,"YES","")</f>
        <v>YES</v>
      </c>
      <c r="Q309" s="34" t="str">
        <f aca="false">IF(AND(B309&gt;=Cal_Start_Week,B309&lt;=Cal_End_Week),"YES","")</f>
        <v/>
      </c>
    </row>
    <row r="310" customFormat="false" ht="15" hidden="false" customHeight="false" outlineLevel="0" collapsed="false">
      <c r="A310" s="31" t="str">
        <f aca="false">Demand_History!C310</f>
        <v>KIT-003</v>
      </c>
      <c r="B310" s="31" t="n">
        <f aca="false">Demand_History!A310</f>
        <v>101</v>
      </c>
      <c r="C310" s="32" t="n">
        <f aca="false">Demand_History!D310</f>
        <v>96</v>
      </c>
      <c r="D310" s="33" t="n">
        <f aca="false">IF(B310&gt;=2,C309,"")</f>
        <v>81</v>
      </c>
      <c r="E310" s="33" t="n">
        <f aca="false">IF(B310&gt;=5,AVERAGE(C306:C309),"")</f>
        <v>92.25</v>
      </c>
      <c r="F310" s="33" t="n">
        <f aca="false">IF(B310&gt;=9,AVERAGE(C302:C309),"")</f>
        <v>93.25</v>
      </c>
      <c r="G310" s="33" t="n">
        <f aca="false">IF(B310=1,"",IF(B310=2,C309,SES_Alpha*C309+(1-SES_Alpha)*G309))</f>
        <v>91.3740244555799</v>
      </c>
      <c r="H310" s="33" t="n">
        <f aca="false">IF(D310="","",D310-C310)</f>
        <v>-15</v>
      </c>
      <c r="I310" s="33" t="n">
        <f aca="false">IF(E310="","",E310-C310)</f>
        <v>-3.75</v>
      </c>
      <c r="J310" s="33" t="n">
        <f aca="false">IF(F310="","",F310-C310)</f>
        <v>-2.75</v>
      </c>
      <c r="K310" s="33" t="n">
        <f aca="false">IF(G310="","",G310-C310)</f>
        <v>-4.62597554442007</v>
      </c>
      <c r="L310" s="33" t="n">
        <f aca="false">IF(H310="","",ABS(H310))</f>
        <v>15</v>
      </c>
      <c r="M310" s="33" t="n">
        <f aca="false">IF(I310="","",ABS(I310))</f>
        <v>3.75</v>
      </c>
      <c r="N310" s="33" t="n">
        <f aca="false">IF(J310="","",ABS(J310))</f>
        <v>2.75</v>
      </c>
      <c r="O310" s="33" t="n">
        <f aca="false">IF(K310="","",ABS(K310))</f>
        <v>4.62597554442007</v>
      </c>
      <c r="P310" s="34" t="str">
        <f aca="false">IF(B310&gt;=Eval_Start_Week,"YES","")</f>
        <v>YES</v>
      </c>
      <c r="Q310" s="34" t="str">
        <f aca="false">IF(AND(B310&gt;=Cal_Start_Week,B310&lt;=Cal_End_Week),"YES","")</f>
        <v/>
      </c>
    </row>
    <row r="311" customFormat="false" ht="15" hidden="false" customHeight="false" outlineLevel="0" collapsed="false">
      <c r="A311" s="31" t="str">
        <f aca="false">Demand_History!C311</f>
        <v>KIT-003</v>
      </c>
      <c r="B311" s="31" t="n">
        <f aca="false">Demand_History!A311</f>
        <v>102</v>
      </c>
      <c r="C311" s="32" t="n">
        <f aca="false">Demand_History!D311</f>
        <v>109</v>
      </c>
      <c r="D311" s="33" t="n">
        <f aca="false">IF(B311&gt;=2,C310,"")</f>
        <v>96</v>
      </c>
      <c r="E311" s="33" t="n">
        <f aca="false">IF(B311&gt;=5,AVERAGE(C307:C310),"")</f>
        <v>91</v>
      </c>
      <c r="F311" s="33" t="n">
        <f aca="false">IF(B311&gt;=9,AVERAGE(C303:C310),"")</f>
        <v>93.75</v>
      </c>
      <c r="G311" s="33" t="n">
        <f aca="false">IF(B311=1,"",IF(B311=2,C310,SES_Alpha*C310+(1-SES_Alpha)*G310))</f>
        <v>92.761817118906</v>
      </c>
      <c r="H311" s="33" t="n">
        <f aca="false">IF(D311="","",D311-C311)</f>
        <v>-13</v>
      </c>
      <c r="I311" s="33" t="n">
        <f aca="false">IF(E311="","",E311-C311)</f>
        <v>-18</v>
      </c>
      <c r="J311" s="33" t="n">
        <f aca="false">IF(F311="","",F311-C311)</f>
        <v>-15.25</v>
      </c>
      <c r="K311" s="33" t="n">
        <f aca="false">IF(G311="","",G311-C311)</f>
        <v>-16.238182881094</v>
      </c>
      <c r="L311" s="33" t="n">
        <f aca="false">IF(H311="","",ABS(H311))</f>
        <v>13</v>
      </c>
      <c r="M311" s="33" t="n">
        <f aca="false">IF(I311="","",ABS(I311))</f>
        <v>18</v>
      </c>
      <c r="N311" s="33" t="n">
        <f aca="false">IF(J311="","",ABS(J311))</f>
        <v>15.25</v>
      </c>
      <c r="O311" s="33" t="n">
        <f aca="false">IF(K311="","",ABS(K311))</f>
        <v>16.238182881094</v>
      </c>
      <c r="P311" s="34" t="str">
        <f aca="false">IF(B311&gt;=Eval_Start_Week,"YES","")</f>
        <v>YES</v>
      </c>
      <c r="Q311" s="34" t="str">
        <f aca="false">IF(AND(B311&gt;=Cal_Start_Week,B311&lt;=Cal_End_Week),"YES","")</f>
        <v/>
      </c>
    </row>
    <row r="312" customFormat="false" ht="15" hidden="false" customHeight="false" outlineLevel="0" collapsed="false">
      <c r="A312" s="31" t="str">
        <f aca="false">Demand_History!C312</f>
        <v>KIT-003</v>
      </c>
      <c r="B312" s="31" t="n">
        <f aca="false">Demand_History!A312</f>
        <v>103</v>
      </c>
      <c r="C312" s="32" t="n">
        <f aca="false">Demand_History!D312</f>
        <v>92</v>
      </c>
      <c r="D312" s="33" t="n">
        <f aca="false">IF(B312&gt;=2,C311,"")</f>
        <v>109</v>
      </c>
      <c r="E312" s="33" t="n">
        <f aca="false">IF(B312&gt;=5,AVERAGE(C308:C311),"")</f>
        <v>94.25</v>
      </c>
      <c r="F312" s="33" t="n">
        <f aca="false">IF(B312&gt;=9,AVERAGE(C304:C311),"")</f>
        <v>96.75</v>
      </c>
      <c r="G312" s="33" t="n">
        <f aca="false">IF(B312=1,"",IF(B312=2,C311,SES_Alpha*C311+(1-SES_Alpha)*G311))</f>
        <v>97.6332719832342</v>
      </c>
      <c r="H312" s="33" t="n">
        <f aca="false">IF(D312="","",D312-C312)</f>
        <v>17</v>
      </c>
      <c r="I312" s="33" t="n">
        <f aca="false">IF(E312="","",E312-C312)</f>
        <v>2.25</v>
      </c>
      <c r="J312" s="33" t="n">
        <f aca="false">IF(F312="","",F312-C312)</f>
        <v>4.75</v>
      </c>
      <c r="K312" s="33" t="n">
        <f aca="false">IF(G312="","",G312-C312)</f>
        <v>5.63327198323415</v>
      </c>
      <c r="L312" s="33" t="n">
        <f aca="false">IF(H312="","",ABS(H312))</f>
        <v>17</v>
      </c>
      <c r="M312" s="33" t="n">
        <f aca="false">IF(I312="","",ABS(I312))</f>
        <v>2.25</v>
      </c>
      <c r="N312" s="33" t="n">
        <f aca="false">IF(J312="","",ABS(J312))</f>
        <v>4.75</v>
      </c>
      <c r="O312" s="33" t="n">
        <f aca="false">IF(K312="","",ABS(K312))</f>
        <v>5.63327198323415</v>
      </c>
      <c r="P312" s="34" t="str">
        <f aca="false">IF(B312&gt;=Eval_Start_Week,"YES","")</f>
        <v>YES</v>
      </c>
      <c r="Q312" s="34" t="str">
        <f aca="false">IF(AND(B312&gt;=Cal_Start_Week,B312&lt;=Cal_End_Week),"YES","")</f>
        <v/>
      </c>
    </row>
    <row r="313" customFormat="false" ht="15" hidden="false" customHeight="false" outlineLevel="0" collapsed="false">
      <c r="A313" s="31" t="str">
        <f aca="false">Demand_History!C313</f>
        <v>KIT-003</v>
      </c>
      <c r="B313" s="31" t="n">
        <f aca="false">Demand_History!A313</f>
        <v>104</v>
      </c>
      <c r="C313" s="32" t="n">
        <f aca="false">Demand_History!D313</f>
        <v>95</v>
      </c>
      <c r="D313" s="33" t="n">
        <f aca="false">IF(B313&gt;=2,C312,"")</f>
        <v>92</v>
      </c>
      <c r="E313" s="33" t="n">
        <f aca="false">IF(B313&gt;=5,AVERAGE(C309:C312),"")</f>
        <v>94.5</v>
      </c>
      <c r="F313" s="33" t="n">
        <f aca="false">IF(B313&gt;=9,AVERAGE(C305:C312),"")</f>
        <v>97.625</v>
      </c>
      <c r="G313" s="33" t="n">
        <f aca="false">IF(B313=1,"",IF(B313=2,C312,SES_Alpha*C312+(1-SES_Alpha)*G312))</f>
        <v>95.9432903882639</v>
      </c>
      <c r="H313" s="33" t="n">
        <f aca="false">IF(D313="","",D313-C313)</f>
        <v>-3</v>
      </c>
      <c r="I313" s="33" t="n">
        <f aca="false">IF(E313="","",E313-C313)</f>
        <v>-0.5</v>
      </c>
      <c r="J313" s="33" t="n">
        <f aca="false">IF(F313="","",F313-C313)</f>
        <v>2.625</v>
      </c>
      <c r="K313" s="33" t="n">
        <f aca="false">IF(G313="","",G313-C313)</f>
        <v>0.94329038826389</v>
      </c>
      <c r="L313" s="33" t="n">
        <f aca="false">IF(H313="","",ABS(H313))</f>
        <v>3</v>
      </c>
      <c r="M313" s="33" t="n">
        <f aca="false">IF(I313="","",ABS(I313))</f>
        <v>0.5</v>
      </c>
      <c r="N313" s="33" t="n">
        <f aca="false">IF(J313="","",ABS(J313))</f>
        <v>2.625</v>
      </c>
      <c r="O313" s="33" t="n">
        <f aca="false">IF(K313="","",ABS(K313))</f>
        <v>0.94329038826389</v>
      </c>
      <c r="P313" s="34" t="str">
        <f aca="false">IF(B313&gt;=Eval_Start_Week,"YES","")</f>
        <v>YES</v>
      </c>
      <c r="Q313" s="34" t="str">
        <f aca="false">IF(AND(B313&gt;=Cal_Start_Week,B313&lt;=Cal_End_Week),"YES","")</f>
        <v/>
      </c>
    </row>
    <row r="314" customFormat="false" ht="15" hidden="false" customHeight="false" outlineLevel="0" collapsed="false">
      <c r="A314" s="31" t="str">
        <f aca="false">Demand_History!C314</f>
        <v>KIT-004</v>
      </c>
      <c r="B314" s="31" t="n">
        <f aca="false">Demand_History!A314</f>
        <v>1</v>
      </c>
      <c r="C314" s="32" t="n">
        <f aca="false">Demand_History!D314</f>
        <v>91</v>
      </c>
      <c r="D314" s="33" t="str">
        <f aca="false">IF(B314&gt;=2,C313,"")</f>
        <v/>
      </c>
      <c r="E314" s="33" t="str">
        <f aca="false">IF(B314&gt;=5,AVERAGE(C310:C313),"")</f>
        <v/>
      </c>
      <c r="F314" s="33" t="str">
        <f aca="false">IF(B314&gt;=9,AVERAGE(C306:C313),"")</f>
        <v/>
      </c>
      <c r="G314" s="33" t="str">
        <f aca="false">IF(B314=1,"",IF(B314=2,C313,SES_Alpha*C313+(1-SES_Alpha)*G313))</f>
        <v/>
      </c>
      <c r="H314" s="33" t="str">
        <f aca="false">IF(D314="","",D314-C314)</f>
        <v/>
      </c>
      <c r="I314" s="33" t="str">
        <f aca="false">IF(E314="","",E314-C314)</f>
        <v/>
      </c>
      <c r="J314" s="33" t="str">
        <f aca="false">IF(F314="","",F314-C314)</f>
        <v/>
      </c>
      <c r="K314" s="33" t="str">
        <f aca="false">IF(G314="","",G314-C314)</f>
        <v/>
      </c>
      <c r="L314" s="33" t="str">
        <f aca="false">IF(H314="","",ABS(H314))</f>
        <v/>
      </c>
      <c r="M314" s="33" t="str">
        <f aca="false">IF(I314="","",ABS(I314))</f>
        <v/>
      </c>
      <c r="N314" s="33" t="str">
        <f aca="false">IF(J314="","",ABS(J314))</f>
        <v/>
      </c>
      <c r="O314" s="33" t="str">
        <f aca="false">IF(K314="","",ABS(K314))</f>
        <v/>
      </c>
      <c r="P314" s="34" t="str">
        <f aca="false">IF(B314&gt;=Eval_Start_Week,"YES","")</f>
        <v/>
      </c>
      <c r="Q314" s="34" t="str">
        <f aca="false">IF(AND(B314&gt;=Cal_Start_Week,B314&lt;=Cal_End_Week),"YES","")</f>
        <v/>
      </c>
    </row>
    <row r="315" customFormat="false" ht="15" hidden="false" customHeight="false" outlineLevel="0" collapsed="false">
      <c r="A315" s="31" t="str">
        <f aca="false">Demand_History!C315</f>
        <v>KIT-004</v>
      </c>
      <c r="B315" s="31" t="n">
        <f aca="false">Demand_History!A315</f>
        <v>2</v>
      </c>
      <c r="C315" s="32" t="n">
        <f aca="false">Demand_History!D315</f>
        <v>75</v>
      </c>
      <c r="D315" s="33" t="n">
        <f aca="false">IF(B315&gt;=2,C314,"")</f>
        <v>91</v>
      </c>
      <c r="E315" s="33" t="str">
        <f aca="false">IF(B315&gt;=5,AVERAGE(C311:C314),"")</f>
        <v/>
      </c>
      <c r="F315" s="33" t="str">
        <f aca="false">IF(B315&gt;=9,AVERAGE(C307:C314),"")</f>
        <v/>
      </c>
      <c r="G315" s="33" t="n">
        <f aca="false">IF(B315=1,"",IF(B315=2,C314,SES_Alpha*C314+(1-SES_Alpha)*G314))</f>
        <v>91</v>
      </c>
      <c r="H315" s="33" t="n">
        <f aca="false">IF(D315="","",D315-C315)</f>
        <v>16</v>
      </c>
      <c r="I315" s="33" t="str">
        <f aca="false">IF(E315="","",E315-C315)</f>
        <v/>
      </c>
      <c r="J315" s="33" t="str">
        <f aca="false">IF(F315="","",F315-C315)</f>
        <v/>
      </c>
      <c r="K315" s="33" t="n">
        <f aca="false">IF(G315="","",G315-C315)</f>
        <v>16</v>
      </c>
      <c r="L315" s="33" t="n">
        <f aca="false">IF(H315="","",ABS(H315))</f>
        <v>16</v>
      </c>
      <c r="M315" s="33" t="str">
        <f aca="false">IF(I315="","",ABS(I315))</f>
        <v/>
      </c>
      <c r="N315" s="33" t="str">
        <f aca="false">IF(J315="","",ABS(J315))</f>
        <v/>
      </c>
      <c r="O315" s="33" t="n">
        <f aca="false">IF(K315="","",ABS(K315))</f>
        <v>16</v>
      </c>
      <c r="P315" s="34" t="str">
        <f aca="false">IF(B315&gt;=Eval_Start_Week,"YES","")</f>
        <v/>
      </c>
      <c r="Q315" s="34" t="str">
        <f aca="false">IF(AND(B315&gt;=Cal_Start_Week,B315&lt;=Cal_End_Week),"YES","")</f>
        <v/>
      </c>
    </row>
    <row r="316" customFormat="false" ht="15" hidden="false" customHeight="false" outlineLevel="0" collapsed="false">
      <c r="A316" s="31" t="str">
        <f aca="false">Demand_History!C316</f>
        <v>KIT-004</v>
      </c>
      <c r="B316" s="31" t="n">
        <f aca="false">Demand_History!A316</f>
        <v>3</v>
      </c>
      <c r="C316" s="32" t="n">
        <f aca="false">Demand_History!D316</f>
        <v>88</v>
      </c>
      <c r="D316" s="33" t="n">
        <f aca="false">IF(B316&gt;=2,C315,"")</f>
        <v>75</v>
      </c>
      <c r="E316" s="33" t="str">
        <f aca="false">IF(B316&gt;=5,AVERAGE(C312:C315),"")</f>
        <v/>
      </c>
      <c r="F316" s="33" t="str">
        <f aca="false">IF(B316&gt;=9,AVERAGE(C308:C315),"")</f>
        <v/>
      </c>
      <c r="G316" s="33" t="n">
        <f aca="false">IF(B316=1,"",IF(B316=2,C315,SES_Alpha*C315+(1-SES_Alpha)*G315))</f>
        <v>86.2</v>
      </c>
      <c r="H316" s="33" t="n">
        <f aca="false">IF(D316="","",D316-C316)</f>
        <v>-13</v>
      </c>
      <c r="I316" s="33" t="str">
        <f aca="false">IF(E316="","",E316-C316)</f>
        <v/>
      </c>
      <c r="J316" s="33" t="str">
        <f aca="false">IF(F316="","",F316-C316)</f>
        <v/>
      </c>
      <c r="K316" s="33" t="n">
        <f aca="false">IF(G316="","",G316-C316)</f>
        <v>-1.80000000000001</v>
      </c>
      <c r="L316" s="33" t="n">
        <f aca="false">IF(H316="","",ABS(H316))</f>
        <v>13</v>
      </c>
      <c r="M316" s="33" t="str">
        <f aca="false">IF(I316="","",ABS(I316))</f>
        <v/>
      </c>
      <c r="N316" s="33" t="str">
        <f aca="false">IF(J316="","",ABS(J316))</f>
        <v/>
      </c>
      <c r="O316" s="33" t="n">
        <f aca="false">IF(K316="","",ABS(K316))</f>
        <v>1.80000000000001</v>
      </c>
      <c r="P316" s="34" t="str">
        <f aca="false">IF(B316&gt;=Eval_Start_Week,"YES","")</f>
        <v/>
      </c>
      <c r="Q316" s="34" t="str">
        <f aca="false">IF(AND(B316&gt;=Cal_Start_Week,B316&lt;=Cal_End_Week),"YES","")</f>
        <v/>
      </c>
    </row>
    <row r="317" customFormat="false" ht="15" hidden="false" customHeight="false" outlineLevel="0" collapsed="false">
      <c r="A317" s="31" t="str">
        <f aca="false">Demand_History!C317</f>
        <v>KIT-004</v>
      </c>
      <c r="B317" s="31" t="n">
        <f aca="false">Demand_History!A317</f>
        <v>4</v>
      </c>
      <c r="C317" s="32" t="n">
        <f aca="false">Demand_History!D317</f>
        <v>82</v>
      </c>
      <c r="D317" s="33" t="n">
        <f aca="false">IF(B317&gt;=2,C316,"")</f>
        <v>88</v>
      </c>
      <c r="E317" s="33" t="str">
        <f aca="false">IF(B317&gt;=5,AVERAGE(C313:C316),"")</f>
        <v/>
      </c>
      <c r="F317" s="33" t="str">
        <f aca="false">IF(B317&gt;=9,AVERAGE(C309:C316),"")</f>
        <v/>
      </c>
      <c r="G317" s="33" t="n">
        <f aca="false">IF(B317=1,"",IF(B317=2,C316,SES_Alpha*C316+(1-SES_Alpha)*G316))</f>
        <v>86.74</v>
      </c>
      <c r="H317" s="33" t="n">
        <f aca="false">IF(D317="","",D317-C317)</f>
        <v>6</v>
      </c>
      <c r="I317" s="33" t="str">
        <f aca="false">IF(E317="","",E317-C317)</f>
        <v/>
      </c>
      <c r="J317" s="33" t="str">
        <f aca="false">IF(F317="","",F317-C317)</f>
        <v/>
      </c>
      <c r="K317" s="33" t="n">
        <f aca="false">IF(G317="","",G317-C317)</f>
        <v>4.73999999999998</v>
      </c>
      <c r="L317" s="33" t="n">
        <f aca="false">IF(H317="","",ABS(H317))</f>
        <v>6</v>
      </c>
      <c r="M317" s="33" t="str">
        <f aca="false">IF(I317="","",ABS(I317))</f>
        <v/>
      </c>
      <c r="N317" s="33" t="str">
        <f aca="false">IF(J317="","",ABS(J317))</f>
        <v/>
      </c>
      <c r="O317" s="33" t="n">
        <f aca="false">IF(K317="","",ABS(K317))</f>
        <v>4.73999999999998</v>
      </c>
      <c r="P317" s="34" t="str">
        <f aca="false">IF(B317&gt;=Eval_Start_Week,"YES","")</f>
        <v/>
      </c>
      <c r="Q317" s="34" t="str">
        <f aca="false">IF(AND(B317&gt;=Cal_Start_Week,B317&lt;=Cal_End_Week),"YES","")</f>
        <v/>
      </c>
    </row>
    <row r="318" customFormat="false" ht="15" hidden="false" customHeight="false" outlineLevel="0" collapsed="false">
      <c r="A318" s="31" t="str">
        <f aca="false">Demand_History!C318</f>
        <v>KIT-004</v>
      </c>
      <c r="B318" s="31" t="n">
        <f aca="false">Demand_History!A318</f>
        <v>5</v>
      </c>
      <c r="C318" s="32" t="n">
        <f aca="false">Demand_History!D318</f>
        <v>99</v>
      </c>
      <c r="D318" s="33" t="n">
        <f aca="false">IF(B318&gt;=2,C317,"")</f>
        <v>82</v>
      </c>
      <c r="E318" s="33" t="n">
        <f aca="false">IF(B318&gt;=5,AVERAGE(C314:C317),"")</f>
        <v>84</v>
      </c>
      <c r="F318" s="33" t="str">
        <f aca="false">IF(B318&gt;=9,AVERAGE(C310:C317),"")</f>
        <v/>
      </c>
      <c r="G318" s="33" t="n">
        <f aca="false">IF(B318=1,"",IF(B318=2,C317,SES_Alpha*C317+(1-SES_Alpha)*G317))</f>
        <v>85.318</v>
      </c>
      <c r="H318" s="33" t="n">
        <f aca="false">IF(D318="","",D318-C318)</f>
        <v>-17</v>
      </c>
      <c r="I318" s="33" t="n">
        <f aca="false">IF(E318="","",E318-C318)</f>
        <v>-15</v>
      </c>
      <c r="J318" s="33" t="str">
        <f aca="false">IF(F318="","",F318-C318)</f>
        <v/>
      </c>
      <c r="K318" s="33" t="n">
        <f aca="false">IF(G318="","",G318-C318)</f>
        <v>-13.682</v>
      </c>
      <c r="L318" s="33" t="n">
        <f aca="false">IF(H318="","",ABS(H318))</f>
        <v>17</v>
      </c>
      <c r="M318" s="33" t="n">
        <f aca="false">IF(I318="","",ABS(I318))</f>
        <v>15</v>
      </c>
      <c r="N318" s="33" t="str">
        <f aca="false">IF(J318="","",ABS(J318))</f>
        <v/>
      </c>
      <c r="O318" s="33" t="n">
        <f aca="false">IF(K318="","",ABS(K318))</f>
        <v>13.682</v>
      </c>
      <c r="P318" s="34" t="str">
        <f aca="false">IF(B318&gt;=Eval_Start_Week,"YES","")</f>
        <v/>
      </c>
      <c r="Q318" s="34" t="str">
        <f aca="false">IF(AND(B318&gt;=Cal_Start_Week,B318&lt;=Cal_End_Week),"YES","")</f>
        <v/>
      </c>
    </row>
    <row r="319" customFormat="false" ht="15" hidden="false" customHeight="false" outlineLevel="0" collapsed="false">
      <c r="A319" s="31" t="str">
        <f aca="false">Demand_History!C319</f>
        <v>KIT-004</v>
      </c>
      <c r="B319" s="31" t="n">
        <f aca="false">Demand_History!A319</f>
        <v>6</v>
      </c>
      <c r="C319" s="32" t="n">
        <f aca="false">Demand_History!D319</f>
        <v>83</v>
      </c>
      <c r="D319" s="33" t="n">
        <f aca="false">IF(B319&gt;=2,C318,"")</f>
        <v>99</v>
      </c>
      <c r="E319" s="33" t="n">
        <f aca="false">IF(B319&gt;=5,AVERAGE(C315:C318),"")</f>
        <v>86</v>
      </c>
      <c r="F319" s="33" t="str">
        <f aca="false">IF(B319&gt;=9,AVERAGE(C311:C318),"")</f>
        <v/>
      </c>
      <c r="G319" s="33" t="n">
        <f aca="false">IF(B319=1,"",IF(B319=2,C318,SES_Alpha*C318+(1-SES_Alpha)*G318))</f>
        <v>89.4226</v>
      </c>
      <c r="H319" s="33" t="n">
        <f aca="false">IF(D319="","",D319-C319)</f>
        <v>16</v>
      </c>
      <c r="I319" s="33" t="n">
        <f aca="false">IF(E319="","",E319-C319)</f>
        <v>3</v>
      </c>
      <c r="J319" s="33" t="str">
        <f aca="false">IF(F319="","",F319-C319)</f>
        <v/>
      </c>
      <c r="K319" s="33" t="n">
        <f aca="false">IF(G319="","",G319-C319)</f>
        <v>6.42259999999999</v>
      </c>
      <c r="L319" s="33" t="n">
        <f aca="false">IF(H319="","",ABS(H319))</f>
        <v>16</v>
      </c>
      <c r="M319" s="33" t="n">
        <f aca="false">IF(I319="","",ABS(I319))</f>
        <v>3</v>
      </c>
      <c r="N319" s="33" t="str">
        <f aca="false">IF(J319="","",ABS(J319))</f>
        <v/>
      </c>
      <c r="O319" s="33" t="n">
        <f aca="false">IF(K319="","",ABS(K319))</f>
        <v>6.42259999999999</v>
      </c>
      <c r="P319" s="34" t="str">
        <f aca="false">IF(B319&gt;=Eval_Start_Week,"YES","")</f>
        <v/>
      </c>
      <c r="Q319" s="34" t="str">
        <f aca="false">IF(AND(B319&gt;=Cal_Start_Week,B319&lt;=Cal_End_Week),"YES","")</f>
        <v/>
      </c>
    </row>
    <row r="320" customFormat="false" ht="15" hidden="false" customHeight="false" outlineLevel="0" collapsed="false">
      <c r="A320" s="31" t="str">
        <f aca="false">Demand_History!C320</f>
        <v>KIT-004</v>
      </c>
      <c r="B320" s="31" t="n">
        <f aca="false">Demand_History!A320</f>
        <v>7</v>
      </c>
      <c r="C320" s="32" t="n">
        <f aca="false">Demand_History!D320</f>
        <v>96</v>
      </c>
      <c r="D320" s="33" t="n">
        <f aca="false">IF(B320&gt;=2,C319,"")</f>
        <v>83</v>
      </c>
      <c r="E320" s="33" t="n">
        <f aca="false">IF(B320&gt;=5,AVERAGE(C316:C319),"")</f>
        <v>88</v>
      </c>
      <c r="F320" s="33" t="str">
        <f aca="false">IF(B320&gt;=9,AVERAGE(C312:C319),"")</f>
        <v/>
      </c>
      <c r="G320" s="33" t="n">
        <f aca="false">IF(B320=1,"",IF(B320=2,C319,SES_Alpha*C319+(1-SES_Alpha)*G319))</f>
        <v>87.49582</v>
      </c>
      <c r="H320" s="33" t="n">
        <f aca="false">IF(D320="","",D320-C320)</f>
        <v>-13</v>
      </c>
      <c r="I320" s="33" t="n">
        <f aca="false">IF(E320="","",E320-C320)</f>
        <v>-8</v>
      </c>
      <c r="J320" s="33" t="str">
        <f aca="false">IF(F320="","",F320-C320)</f>
        <v/>
      </c>
      <c r="K320" s="33" t="n">
        <f aca="false">IF(G320="","",G320-C320)</f>
        <v>-8.50418000000002</v>
      </c>
      <c r="L320" s="33" t="n">
        <f aca="false">IF(H320="","",ABS(H320))</f>
        <v>13</v>
      </c>
      <c r="M320" s="33" t="n">
        <f aca="false">IF(I320="","",ABS(I320))</f>
        <v>8</v>
      </c>
      <c r="N320" s="33" t="str">
        <f aca="false">IF(J320="","",ABS(J320))</f>
        <v/>
      </c>
      <c r="O320" s="33" t="n">
        <f aca="false">IF(K320="","",ABS(K320))</f>
        <v>8.50418000000002</v>
      </c>
      <c r="P320" s="34" t="str">
        <f aca="false">IF(B320&gt;=Eval_Start_Week,"YES","")</f>
        <v/>
      </c>
      <c r="Q320" s="34" t="str">
        <f aca="false">IF(AND(B320&gt;=Cal_Start_Week,B320&lt;=Cal_End_Week),"YES","")</f>
        <v/>
      </c>
    </row>
    <row r="321" customFormat="false" ht="15" hidden="false" customHeight="false" outlineLevel="0" collapsed="false">
      <c r="A321" s="31" t="str">
        <f aca="false">Demand_History!C321</f>
        <v>KIT-004</v>
      </c>
      <c r="B321" s="31" t="n">
        <f aca="false">Demand_History!A321</f>
        <v>8</v>
      </c>
      <c r="C321" s="32" t="n">
        <f aca="false">Demand_History!D321</f>
        <v>105</v>
      </c>
      <c r="D321" s="33" t="n">
        <f aca="false">IF(B321&gt;=2,C320,"")</f>
        <v>96</v>
      </c>
      <c r="E321" s="33" t="n">
        <f aca="false">IF(B321&gt;=5,AVERAGE(C317:C320),"")</f>
        <v>90</v>
      </c>
      <c r="F321" s="33" t="str">
        <f aca="false">IF(B321&gt;=9,AVERAGE(C313:C320),"")</f>
        <v/>
      </c>
      <c r="G321" s="33" t="n">
        <f aca="false">IF(B321=1,"",IF(B321=2,C320,SES_Alpha*C320+(1-SES_Alpha)*G320))</f>
        <v>90.047074</v>
      </c>
      <c r="H321" s="33" t="n">
        <f aca="false">IF(D321="","",D321-C321)</f>
        <v>-9</v>
      </c>
      <c r="I321" s="33" t="n">
        <f aca="false">IF(E321="","",E321-C321)</f>
        <v>-15</v>
      </c>
      <c r="J321" s="33" t="str">
        <f aca="false">IF(F321="","",F321-C321)</f>
        <v/>
      </c>
      <c r="K321" s="33" t="n">
        <f aca="false">IF(G321="","",G321-C321)</f>
        <v>-14.952926</v>
      </c>
      <c r="L321" s="33" t="n">
        <f aca="false">IF(H321="","",ABS(H321))</f>
        <v>9</v>
      </c>
      <c r="M321" s="33" t="n">
        <f aca="false">IF(I321="","",ABS(I321))</f>
        <v>15</v>
      </c>
      <c r="N321" s="33" t="str">
        <f aca="false">IF(J321="","",ABS(J321))</f>
        <v/>
      </c>
      <c r="O321" s="33" t="n">
        <f aca="false">IF(K321="","",ABS(K321))</f>
        <v>14.952926</v>
      </c>
      <c r="P321" s="34" t="str">
        <f aca="false">IF(B321&gt;=Eval_Start_Week,"YES","")</f>
        <v/>
      </c>
      <c r="Q321" s="34" t="str">
        <f aca="false">IF(AND(B321&gt;=Cal_Start_Week,B321&lt;=Cal_End_Week),"YES","")</f>
        <v/>
      </c>
    </row>
    <row r="322" customFormat="false" ht="15" hidden="false" customHeight="false" outlineLevel="0" collapsed="false">
      <c r="A322" s="31" t="str">
        <f aca="false">Demand_History!C322</f>
        <v>KIT-004</v>
      </c>
      <c r="B322" s="31" t="n">
        <f aca="false">Demand_History!A322</f>
        <v>9</v>
      </c>
      <c r="C322" s="32" t="n">
        <f aca="false">Demand_History!D322</f>
        <v>87</v>
      </c>
      <c r="D322" s="33" t="n">
        <f aca="false">IF(B322&gt;=2,C321,"")</f>
        <v>105</v>
      </c>
      <c r="E322" s="33" t="n">
        <f aca="false">IF(B322&gt;=5,AVERAGE(C318:C321),"")</f>
        <v>95.75</v>
      </c>
      <c r="F322" s="33" t="n">
        <f aca="false">IF(B322&gt;=9,AVERAGE(C314:C321),"")</f>
        <v>89.875</v>
      </c>
      <c r="G322" s="33" t="n">
        <f aca="false">IF(B322=1,"",IF(B322=2,C321,SES_Alpha*C321+(1-SES_Alpha)*G321))</f>
        <v>94.5329518</v>
      </c>
      <c r="H322" s="33" t="n">
        <f aca="false">IF(D322="","",D322-C322)</f>
        <v>18</v>
      </c>
      <c r="I322" s="33" t="n">
        <f aca="false">IF(E322="","",E322-C322)</f>
        <v>8.75</v>
      </c>
      <c r="J322" s="33" t="n">
        <f aca="false">IF(F322="","",F322-C322)</f>
        <v>2.875</v>
      </c>
      <c r="K322" s="33" t="n">
        <f aca="false">IF(G322="","",G322-C322)</f>
        <v>7.53295179999998</v>
      </c>
      <c r="L322" s="33" t="n">
        <f aca="false">IF(H322="","",ABS(H322))</f>
        <v>18</v>
      </c>
      <c r="M322" s="33" t="n">
        <f aca="false">IF(I322="","",ABS(I322))</f>
        <v>8.75</v>
      </c>
      <c r="N322" s="33" t="n">
        <f aca="false">IF(J322="","",ABS(J322))</f>
        <v>2.875</v>
      </c>
      <c r="O322" s="33" t="n">
        <f aca="false">IF(K322="","",ABS(K322))</f>
        <v>7.53295179999998</v>
      </c>
      <c r="P322" s="34" t="str">
        <f aca="false">IF(B322&gt;=Eval_Start_Week,"YES","")</f>
        <v/>
      </c>
      <c r="Q322" s="34" t="str">
        <f aca="false">IF(AND(B322&gt;=Cal_Start_Week,B322&lt;=Cal_End_Week),"YES","")</f>
        <v/>
      </c>
    </row>
    <row r="323" customFormat="false" ht="15" hidden="false" customHeight="false" outlineLevel="0" collapsed="false">
      <c r="A323" s="31" t="str">
        <f aca="false">Demand_History!C323</f>
        <v>KIT-004</v>
      </c>
      <c r="B323" s="31" t="n">
        <f aca="false">Demand_History!A323</f>
        <v>10</v>
      </c>
      <c r="C323" s="32" t="n">
        <f aca="false">Demand_History!D323</f>
        <v>84</v>
      </c>
      <c r="D323" s="33" t="n">
        <f aca="false">IF(B323&gt;=2,C322,"")</f>
        <v>87</v>
      </c>
      <c r="E323" s="33" t="n">
        <f aca="false">IF(B323&gt;=5,AVERAGE(C319:C322),"")</f>
        <v>92.75</v>
      </c>
      <c r="F323" s="33" t="n">
        <f aca="false">IF(B323&gt;=9,AVERAGE(C315:C322),"")</f>
        <v>89.375</v>
      </c>
      <c r="G323" s="33" t="n">
        <f aca="false">IF(B323=1,"",IF(B323=2,C322,SES_Alpha*C322+(1-SES_Alpha)*G322))</f>
        <v>92.27306626</v>
      </c>
      <c r="H323" s="33" t="n">
        <f aca="false">IF(D323="","",D323-C323)</f>
        <v>3</v>
      </c>
      <c r="I323" s="33" t="n">
        <f aca="false">IF(E323="","",E323-C323)</f>
        <v>8.75</v>
      </c>
      <c r="J323" s="33" t="n">
        <f aca="false">IF(F323="","",F323-C323)</f>
        <v>5.375</v>
      </c>
      <c r="K323" s="33" t="n">
        <f aca="false">IF(G323="","",G323-C323)</f>
        <v>8.27306625999998</v>
      </c>
      <c r="L323" s="33" t="n">
        <f aca="false">IF(H323="","",ABS(H323))</f>
        <v>3</v>
      </c>
      <c r="M323" s="33" t="n">
        <f aca="false">IF(I323="","",ABS(I323))</f>
        <v>8.75</v>
      </c>
      <c r="N323" s="33" t="n">
        <f aca="false">IF(J323="","",ABS(J323))</f>
        <v>5.375</v>
      </c>
      <c r="O323" s="33" t="n">
        <f aca="false">IF(K323="","",ABS(K323))</f>
        <v>8.27306625999998</v>
      </c>
      <c r="P323" s="34" t="str">
        <f aca="false">IF(B323&gt;=Eval_Start_Week,"YES","")</f>
        <v/>
      </c>
      <c r="Q323" s="34" t="str">
        <f aca="false">IF(AND(B323&gt;=Cal_Start_Week,B323&lt;=Cal_End_Week),"YES","")</f>
        <v/>
      </c>
    </row>
    <row r="324" customFormat="false" ht="15" hidden="false" customHeight="false" outlineLevel="0" collapsed="false">
      <c r="A324" s="31" t="str">
        <f aca="false">Demand_History!C324</f>
        <v>KIT-004</v>
      </c>
      <c r="B324" s="31" t="n">
        <f aca="false">Demand_History!A324</f>
        <v>11</v>
      </c>
      <c r="C324" s="32" t="n">
        <f aca="false">Demand_History!D324</f>
        <v>92</v>
      </c>
      <c r="D324" s="33" t="n">
        <f aca="false">IF(B324&gt;=2,C323,"")</f>
        <v>84</v>
      </c>
      <c r="E324" s="33" t="n">
        <f aca="false">IF(B324&gt;=5,AVERAGE(C320:C323),"")</f>
        <v>93</v>
      </c>
      <c r="F324" s="33" t="n">
        <f aca="false">IF(B324&gt;=9,AVERAGE(C316:C323),"")</f>
        <v>90.5</v>
      </c>
      <c r="G324" s="33" t="n">
        <f aca="false">IF(B324=1,"",IF(B324=2,C323,SES_Alpha*C323+(1-SES_Alpha)*G323))</f>
        <v>89.791146382</v>
      </c>
      <c r="H324" s="33" t="n">
        <f aca="false">IF(D324="","",D324-C324)</f>
        <v>-8</v>
      </c>
      <c r="I324" s="33" t="n">
        <f aca="false">IF(E324="","",E324-C324)</f>
        <v>1</v>
      </c>
      <c r="J324" s="33" t="n">
        <f aca="false">IF(F324="","",F324-C324)</f>
        <v>-1.5</v>
      </c>
      <c r="K324" s="33" t="n">
        <f aca="false">IF(G324="","",G324-C324)</f>
        <v>-2.20885361800002</v>
      </c>
      <c r="L324" s="33" t="n">
        <f aca="false">IF(H324="","",ABS(H324))</f>
        <v>8</v>
      </c>
      <c r="M324" s="33" t="n">
        <f aca="false">IF(I324="","",ABS(I324))</f>
        <v>1</v>
      </c>
      <c r="N324" s="33" t="n">
        <f aca="false">IF(J324="","",ABS(J324))</f>
        <v>1.5</v>
      </c>
      <c r="O324" s="33" t="n">
        <f aca="false">IF(K324="","",ABS(K324))</f>
        <v>2.20885361800002</v>
      </c>
      <c r="P324" s="34" t="str">
        <f aca="false">IF(B324&gt;=Eval_Start_Week,"YES","")</f>
        <v/>
      </c>
      <c r="Q324" s="34" t="str">
        <f aca="false">IF(AND(B324&gt;=Cal_Start_Week,B324&lt;=Cal_End_Week),"YES","")</f>
        <v/>
      </c>
    </row>
    <row r="325" customFormat="false" ht="15" hidden="false" customHeight="false" outlineLevel="0" collapsed="false">
      <c r="A325" s="31" t="str">
        <f aca="false">Demand_History!C325</f>
        <v>KIT-004</v>
      </c>
      <c r="B325" s="31" t="n">
        <f aca="false">Demand_History!A325</f>
        <v>12</v>
      </c>
      <c r="C325" s="32" t="n">
        <f aca="false">Demand_History!D325</f>
        <v>90</v>
      </c>
      <c r="D325" s="33" t="n">
        <f aca="false">IF(B325&gt;=2,C324,"")</f>
        <v>92</v>
      </c>
      <c r="E325" s="33" t="n">
        <f aca="false">IF(B325&gt;=5,AVERAGE(C321:C324),"")</f>
        <v>92</v>
      </c>
      <c r="F325" s="33" t="n">
        <f aca="false">IF(B325&gt;=9,AVERAGE(C317:C324),"")</f>
        <v>91</v>
      </c>
      <c r="G325" s="33" t="n">
        <f aca="false">IF(B325=1,"",IF(B325=2,C324,SES_Alpha*C324+(1-SES_Alpha)*G324))</f>
        <v>90.4538024674</v>
      </c>
      <c r="H325" s="33" t="n">
        <f aca="false">IF(D325="","",D325-C325)</f>
        <v>2</v>
      </c>
      <c r="I325" s="33" t="n">
        <f aca="false">IF(E325="","",E325-C325)</f>
        <v>2</v>
      </c>
      <c r="J325" s="33" t="n">
        <f aca="false">IF(F325="","",F325-C325)</f>
        <v>1</v>
      </c>
      <c r="K325" s="33" t="n">
        <f aca="false">IF(G325="","",G325-C325)</f>
        <v>0.453802467399981</v>
      </c>
      <c r="L325" s="33" t="n">
        <f aca="false">IF(H325="","",ABS(H325))</f>
        <v>2</v>
      </c>
      <c r="M325" s="33" t="n">
        <f aca="false">IF(I325="","",ABS(I325))</f>
        <v>2</v>
      </c>
      <c r="N325" s="33" t="n">
        <f aca="false">IF(J325="","",ABS(J325))</f>
        <v>1</v>
      </c>
      <c r="O325" s="33" t="n">
        <f aca="false">IF(K325="","",ABS(K325))</f>
        <v>0.453802467399981</v>
      </c>
      <c r="P325" s="34" t="str">
        <f aca="false">IF(B325&gt;=Eval_Start_Week,"YES","")</f>
        <v/>
      </c>
      <c r="Q325" s="34" t="str">
        <f aca="false">IF(AND(B325&gt;=Cal_Start_Week,B325&lt;=Cal_End_Week),"YES","")</f>
        <v/>
      </c>
    </row>
    <row r="326" customFormat="false" ht="15" hidden="false" customHeight="false" outlineLevel="0" collapsed="false">
      <c r="A326" s="31" t="str">
        <f aca="false">Demand_History!C326</f>
        <v>KIT-004</v>
      </c>
      <c r="B326" s="31" t="n">
        <f aca="false">Demand_History!A326</f>
        <v>13</v>
      </c>
      <c r="C326" s="32" t="n">
        <f aca="false">Demand_History!D326</f>
        <v>80</v>
      </c>
      <c r="D326" s="33" t="n">
        <f aca="false">IF(B326&gt;=2,C325,"")</f>
        <v>90</v>
      </c>
      <c r="E326" s="33" t="n">
        <f aca="false">IF(B326&gt;=5,AVERAGE(C322:C325),"")</f>
        <v>88.25</v>
      </c>
      <c r="F326" s="33" t="n">
        <f aca="false">IF(B326&gt;=9,AVERAGE(C318:C325),"")</f>
        <v>92</v>
      </c>
      <c r="G326" s="33" t="n">
        <f aca="false">IF(B326=1,"",IF(B326=2,C325,SES_Alpha*C325+(1-SES_Alpha)*G325))</f>
        <v>90.31766172718</v>
      </c>
      <c r="H326" s="33" t="n">
        <f aca="false">IF(D326="","",D326-C326)</f>
        <v>10</v>
      </c>
      <c r="I326" s="33" t="n">
        <f aca="false">IF(E326="","",E326-C326)</f>
        <v>8.25</v>
      </c>
      <c r="J326" s="33" t="n">
        <f aca="false">IF(F326="","",F326-C326)</f>
        <v>12</v>
      </c>
      <c r="K326" s="33" t="n">
        <f aca="false">IF(G326="","",G326-C326)</f>
        <v>10.31766172718</v>
      </c>
      <c r="L326" s="33" t="n">
        <f aca="false">IF(H326="","",ABS(H326))</f>
        <v>10</v>
      </c>
      <c r="M326" s="33" t="n">
        <f aca="false">IF(I326="","",ABS(I326))</f>
        <v>8.25</v>
      </c>
      <c r="N326" s="33" t="n">
        <f aca="false">IF(J326="","",ABS(J326))</f>
        <v>12</v>
      </c>
      <c r="O326" s="33" t="n">
        <f aca="false">IF(K326="","",ABS(K326))</f>
        <v>10.31766172718</v>
      </c>
      <c r="P326" s="34" t="str">
        <f aca="false">IF(B326&gt;=Eval_Start_Week,"YES","")</f>
        <v/>
      </c>
      <c r="Q326" s="34" t="str">
        <f aca="false">IF(AND(B326&gt;=Cal_Start_Week,B326&lt;=Cal_End_Week),"YES","")</f>
        <v/>
      </c>
    </row>
    <row r="327" customFormat="false" ht="15" hidden="false" customHeight="false" outlineLevel="0" collapsed="false">
      <c r="A327" s="31" t="str">
        <f aca="false">Demand_History!C327</f>
        <v>KIT-004</v>
      </c>
      <c r="B327" s="31" t="n">
        <f aca="false">Demand_History!A327</f>
        <v>14</v>
      </c>
      <c r="C327" s="32" t="n">
        <f aca="false">Demand_History!D327</f>
        <v>94</v>
      </c>
      <c r="D327" s="33" t="n">
        <f aca="false">IF(B327&gt;=2,C326,"")</f>
        <v>80</v>
      </c>
      <c r="E327" s="33" t="n">
        <f aca="false">IF(B327&gt;=5,AVERAGE(C323:C326),"")</f>
        <v>86.5</v>
      </c>
      <c r="F327" s="33" t="n">
        <f aca="false">IF(B327&gt;=9,AVERAGE(C319:C326),"")</f>
        <v>89.625</v>
      </c>
      <c r="G327" s="33" t="n">
        <f aca="false">IF(B327=1,"",IF(B327=2,C326,SES_Alpha*C326+(1-SES_Alpha)*G326))</f>
        <v>87.222363209026</v>
      </c>
      <c r="H327" s="33" t="n">
        <f aca="false">IF(D327="","",D327-C327)</f>
        <v>-14</v>
      </c>
      <c r="I327" s="33" t="n">
        <f aca="false">IF(E327="","",E327-C327)</f>
        <v>-7.5</v>
      </c>
      <c r="J327" s="33" t="n">
        <f aca="false">IF(F327="","",F327-C327)</f>
        <v>-4.375</v>
      </c>
      <c r="K327" s="33" t="n">
        <f aca="false">IF(G327="","",G327-C327)</f>
        <v>-6.77763679097401</v>
      </c>
      <c r="L327" s="33" t="n">
        <f aca="false">IF(H327="","",ABS(H327))</f>
        <v>14</v>
      </c>
      <c r="M327" s="33" t="n">
        <f aca="false">IF(I327="","",ABS(I327))</f>
        <v>7.5</v>
      </c>
      <c r="N327" s="33" t="n">
        <f aca="false">IF(J327="","",ABS(J327))</f>
        <v>4.375</v>
      </c>
      <c r="O327" s="33" t="n">
        <f aca="false">IF(K327="","",ABS(K327))</f>
        <v>6.77763679097401</v>
      </c>
      <c r="P327" s="34" t="str">
        <f aca="false">IF(B327&gt;=Eval_Start_Week,"YES","")</f>
        <v/>
      </c>
      <c r="Q327" s="34" t="str">
        <f aca="false">IF(AND(B327&gt;=Cal_Start_Week,B327&lt;=Cal_End_Week),"YES","")</f>
        <v/>
      </c>
    </row>
    <row r="328" customFormat="false" ht="15" hidden="false" customHeight="false" outlineLevel="0" collapsed="false">
      <c r="A328" s="31" t="str">
        <f aca="false">Demand_History!C328</f>
        <v>KIT-004</v>
      </c>
      <c r="B328" s="31" t="n">
        <f aca="false">Demand_History!A328</f>
        <v>15</v>
      </c>
      <c r="C328" s="32" t="n">
        <f aca="false">Demand_History!D328</f>
        <v>109</v>
      </c>
      <c r="D328" s="33" t="n">
        <f aca="false">IF(B328&gt;=2,C327,"")</f>
        <v>94</v>
      </c>
      <c r="E328" s="33" t="n">
        <f aca="false">IF(B328&gt;=5,AVERAGE(C324:C327),"")</f>
        <v>89</v>
      </c>
      <c r="F328" s="33" t="n">
        <f aca="false">IF(B328&gt;=9,AVERAGE(C320:C327),"")</f>
        <v>91</v>
      </c>
      <c r="G328" s="33" t="n">
        <f aca="false">IF(B328=1,"",IF(B328=2,C327,SES_Alpha*C327+(1-SES_Alpha)*G327))</f>
        <v>89.2556542463182</v>
      </c>
      <c r="H328" s="33" t="n">
        <f aca="false">IF(D328="","",D328-C328)</f>
        <v>-15</v>
      </c>
      <c r="I328" s="33" t="n">
        <f aca="false">IF(E328="","",E328-C328)</f>
        <v>-20</v>
      </c>
      <c r="J328" s="33" t="n">
        <f aca="false">IF(F328="","",F328-C328)</f>
        <v>-18</v>
      </c>
      <c r="K328" s="33" t="n">
        <f aca="false">IF(G328="","",G328-C328)</f>
        <v>-19.7443457536818</v>
      </c>
      <c r="L328" s="33" t="n">
        <f aca="false">IF(H328="","",ABS(H328))</f>
        <v>15</v>
      </c>
      <c r="M328" s="33" t="n">
        <f aca="false">IF(I328="","",ABS(I328))</f>
        <v>20</v>
      </c>
      <c r="N328" s="33" t="n">
        <f aca="false">IF(J328="","",ABS(J328))</f>
        <v>18</v>
      </c>
      <c r="O328" s="33" t="n">
        <f aca="false">IF(K328="","",ABS(K328))</f>
        <v>19.7443457536818</v>
      </c>
      <c r="P328" s="34" t="str">
        <f aca="false">IF(B328&gt;=Eval_Start_Week,"YES","")</f>
        <v/>
      </c>
      <c r="Q328" s="34" t="str">
        <f aca="false">IF(AND(B328&gt;=Cal_Start_Week,B328&lt;=Cal_End_Week),"YES","")</f>
        <v/>
      </c>
    </row>
    <row r="329" customFormat="false" ht="15" hidden="false" customHeight="false" outlineLevel="0" collapsed="false">
      <c r="A329" s="31" t="str">
        <f aca="false">Demand_History!C329</f>
        <v>KIT-004</v>
      </c>
      <c r="B329" s="31" t="n">
        <f aca="false">Demand_History!A329</f>
        <v>16</v>
      </c>
      <c r="C329" s="32" t="n">
        <f aca="false">Demand_History!D329</f>
        <v>88</v>
      </c>
      <c r="D329" s="33" t="n">
        <f aca="false">IF(B329&gt;=2,C328,"")</f>
        <v>109</v>
      </c>
      <c r="E329" s="33" t="n">
        <f aca="false">IF(B329&gt;=5,AVERAGE(C325:C328),"")</f>
        <v>93.25</v>
      </c>
      <c r="F329" s="33" t="n">
        <f aca="false">IF(B329&gt;=9,AVERAGE(C321:C328),"")</f>
        <v>92.625</v>
      </c>
      <c r="G329" s="33" t="n">
        <f aca="false">IF(B329=1,"",IF(B329=2,C328,SES_Alpha*C328+(1-SES_Alpha)*G328))</f>
        <v>95.1789579724227</v>
      </c>
      <c r="H329" s="33" t="n">
        <f aca="false">IF(D329="","",D329-C329)</f>
        <v>21</v>
      </c>
      <c r="I329" s="33" t="n">
        <f aca="false">IF(E329="","",E329-C329)</f>
        <v>5.25</v>
      </c>
      <c r="J329" s="33" t="n">
        <f aca="false">IF(F329="","",F329-C329)</f>
        <v>4.625</v>
      </c>
      <c r="K329" s="33" t="n">
        <f aca="false">IF(G329="","",G329-C329)</f>
        <v>7.17895797242272</v>
      </c>
      <c r="L329" s="33" t="n">
        <f aca="false">IF(H329="","",ABS(H329))</f>
        <v>21</v>
      </c>
      <c r="M329" s="33" t="n">
        <f aca="false">IF(I329="","",ABS(I329))</f>
        <v>5.25</v>
      </c>
      <c r="N329" s="33" t="n">
        <f aca="false">IF(J329="","",ABS(J329))</f>
        <v>4.625</v>
      </c>
      <c r="O329" s="33" t="n">
        <f aca="false">IF(K329="","",ABS(K329))</f>
        <v>7.17895797242272</v>
      </c>
      <c r="P329" s="34" t="str">
        <f aca="false">IF(B329&gt;=Eval_Start_Week,"YES","")</f>
        <v/>
      </c>
      <c r="Q329" s="34" t="str">
        <f aca="false">IF(AND(B329&gt;=Cal_Start_Week,B329&lt;=Cal_End_Week),"YES","")</f>
        <v/>
      </c>
    </row>
    <row r="330" customFormat="false" ht="15" hidden="false" customHeight="false" outlineLevel="0" collapsed="false">
      <c r="A330" s="31" t="str">
        <f aca="false">Demand_History!C330</f>
        <v>KIT-004</v>
      </c>
      <c r="B330" s="31" t="n">
        <f aca="false">Demand_History!A330</f>
        <v>17</v>
      </c>
      <c r="C330" s="32" t="n">
        <f aca="false">Demand_History!D330</f>
        <v>88</v>
      </c>
      <c r="D330" s="33" t="n">
        <f aca="false">IF(B330&gt;=2,C329,"")</f>
        <v>88</v>
      </c>
      <c r="E330" s="33" t="n">
        <f aca="false">IF(B330&gt;=5,AVERAGE(C326:C329),"")</f>
        <v>92.75</v>
      </c>
      <c r="F330" s="33" t="n">
        <f aca="false">IF(B330&gt;=9,AVERAGE(C322:C329),"")</f>
        <v>90.5</v>
      </c>
      <c r="G330" s="33" t="n">
        <f aca="false">IF(B330=1,"",IF(B330=2,C329,SES_Alpha*C329+(1-SES_Alpha)*G329))</f>
        <v>93.0252705806959</v>
      </c>
      <c r="H330" s="33" t="n">
        <f aca="false">IF(D330="","",D330-C330)</f>
        <v>0</v>
      </c>
      <c r="I330" s="33" t="n">
        <f aca="false">IF(E330="","",E330-C330)</f>
        <v>4.75</v>
      </c>
      <c r="J330" s="33" t="n">
        <f aca="false">IF(F330="","",F330-C330)</f>
        <v>2.5</v>
      </c>
      <c r="K330" s="33" t="n">
        <f aca="false">IF(G330="","",G330-C330)</f>
        <v>5.02527058069589</v>
      </c>
      <c r="L330" s="33" t="n">
        <f aca="false">IF(H330="","",ABS(H330))</f>
        <v>0</v>
      </c>
      <c r="M330" s="33" t="n">
        <f aca="false">IF(I330="","",ABS(I330))</f>
        <v>4.75</v>
      </c>
      <c r="N330" s="33" t="n">
        <f aca="false">IF(J330="","",ABS(J330))</f>
        <v>2.5</v>
      </c>
      <c r="O330" s="33" t="n">
        <f aca="false">IF(K330="","",ABS(K330))</f>
        <v>5.02527058069589</v>
      </c>
      <c r="P330" s="34" t="str">
        <f aca="false">IF(B330&gt;=Eval_Start_Week,"YES","")</f>
        <v/>
      </c>
      <c r="Q330" s="34" t="str">
        <f aca="false">IF(AND(B330&gt;=Cal_Start_Week,B330&lt;=Cal_End_Week),"YES","")</f>
        <v/>
      </c>
    </row>
    <row r="331" customFormat="false" ht="15" hidden="false" customHeight="false" outlineLevel="0" collapsed="false">
      <c r="A331" s="31" t="str">
        <f aca="false">Demand_History!C331</f>
        <v>KIT-004</v>
      </c>
      <c r="B331" s="31" t="n">
        <f aca="false">Demand_History!A331</f>
        <v>18</v>
      </c>
      <c r="C331" s="32" t="n">
        <f aca="false">Demand_History!D331</f>
        <v>80</v>
      </c>
      <c r="D331" s="33" t="n">
        <f aca="false">IF(B331&gt;=2,C330,"")</f>
        <v>88</v>
      </c>
      <c r="E331" s="33" t="n">
        <f aca="false">IF(B331&gt;=5,AVERAGE(C327:C330),"")</f>
        <v>94.75</v>
      </c>
      <c r="F331" s="33" t="n">
        <f aca="false">IF(B331&gt;=9,AVERAGE(C323:C330),"")</f>
        <v>90.625</v>
      </c>
      <c r="G331" s="33" t="n">
        <f aca="false">IF(B331=1,"",IF(B331=2,C330,SES_Alpha*C330+(1-SES_Alpha)*G330))</f>
        <v>91.5176894064871</v>
      </c>
      <c r="H331" s="33" t="n">
        <f aca="false">IF(D331="","",D331-C331)</f>
        <v>8</v>
      </c>
      <c r="I331" s="33" t="n">
        <f aca="false">IF(E331="","",E331-C331)</f>
        <v>14.75</v>
      </c>
      <c r="J331" s="33" t="n">
        <f aca="false">IF(F331="","",F331-C331)</f>
        <v>10.625</v>
      </c>
      <c r="K331" s="33" t="n">
        <f aca="false">IF(G331="","",G331-C331)</f>
        <v>11.5176894064871</v>
      </c>
      <c r="L331" s="33" t="n">
        <f aca="false">IF(H331="","",ABS(H331))</f>
        <v>8</v>
      </c>
      <c r="M331" s="33" t="n">
        <f aca="false">IF(I331="","",ABS(I331))</f>
        <v>14.75</v>
      </c>
      <c r="N331" s="33" t="n">
        <f aca="false">IF(J331="","",ABS(J331))</f>
        <v>10.625</v>
      </c>
      <c r="O331" s="33" t="n">
        <f aca="false">IF(K331="","",ABS(K331))</f>
        <v>11.5176894064871</v>
      </c>
      <c r="P331" s="34" t="str">
        <f aca="false">IF(B331&gt;=Eval_Start_Week,"YES","")</f>
        <v/>
      </c>
      <c r="Q331" s="34" t="str">
        <f aca="false">IF(AND(B331&gt;=Cal_Start_Week,B331&lt;=Cal_End_Week),"YES","")</f>
        <v/>
      </c>
    </row>
    <row r="332" customFormat="false" ht="15" hidden="false" customHeight="false" outlineLevel="0" collapsed="false">
      <c r="A332" s="31" t="str">
        <f aca="false">Demand_History!C332</f>
        <v>KIT-004</v>
      </c>
      <c r="B332" s="31" t="n">
        <f aca="false">Demand_History!A332</f>
        <v>19</v>
      </c>
      <c r="C332" s="32" t="n">
        <f aca="false">Demand_History!D332</f>
        <v>93</v>
      </c>
      <c r="D332" s="33" t="n">
        <f aca="false">IF(B332&gt;=2,C331,"")</f>
        <v>80</v>
      </c>
      <c r="E332" s="33" t="n">
        <f aca="false">IF(B332&gt;=5,AVERAGE(C328:C331),"")</f>
        <v>91.25</v>
      </c>
      <c r="F332" s="33" t="n">
        <f aca="false">IF(B332&gt;=9,AVERAGE(C324:C331),"")</f>
        <v>90.125</v>
      </c>
      <c r="G332" s="33" t="n">
        <f aca="false">IF(B332=1,"",IF(B332=2,C331,SES_Alpha*C331+(1-SES_Alpha)*G331))</f>
        <v>88.062382584541</v>
      </c>
      <c r="H332" s="33" t="n">
        <f aca="false">IF(D332="","",D332-C332)</f>
        <v>-13</v>
      </c>
      <c r="I332" s="33" t="n">
        <f aca="false">IF(E332="","",E332-C332)</f>
        <v>-1.75</v>
      </c>
      <c r="J332" s="33" t="n">
        <f aca="false">IF(F332="","",F332-C332)</f>
        <v>-2.875</v>
      </c>
      <c r="K332" s="33" t="n">
        <f aca="false">IF(G332="","",G332-C332)</f>
        <v>-4.93761741545903</v>
      </c>
      <c r="L332" s="33" t="n">
        <f aca="false">IF(H332="","",ABS(H332))</f>
        <v>13</v>
      </c>
      <c r="M332" s="33" t="n">
        <f aca="false">IF(I332="","",ABS(I332))</f>
        <v>1.75</v>
      </c>
      <c r="N332" s="33" t="n">
        <f aca="false">IF(J332="","",ABS(J332))</f>
        <v>2.875</v>
      </c>
      <c r="O332" s="33" t="n">
        <f aca="false">IF(K332="","",ABS(K332))</f>
        <v>4.93761741545903</v>
      </c>
      <c r="P332" s="34" t="str">
        <f aca="false">IF(B332&gt;=Eval_Start_Week,"YES","")</f>
        <v/>
      </c>
      <c r="Q332" s="34" t="str">
        <f aca="false">IF(AND(B332&gt;=Cal_Start_Week,B332&lt;=Cal_End_Week),"YES","")</f>
        <v/>
      </c>
    </row>
    <row r="333" customFormat="false" ht="15" hidden="false" customHeight="false" outlineLevel="0" collapsed="false">
      <c r="A333" s="31" t="str">
        <f aca="false">Demand_History!C333</f>
        <v>KIT-004</v>
      </c>
      <c r="B333" s="31" t="n">
        <f aca="false">Demand_History!A333</f>
        <v>20</v>
      </c>
      <c r="C333" s="32" t="n">
        <f aca="false">Demand_History!D333</f>
        <v>78</v>
      </c>
      <c r="D333" s="33" t="n">
        <f aca="false">IF(B333&gt;=2,C332,"")</f>
        <v>93</v>
      </c>
      <c r="E333" s="33" t="n">
        <f aca="false">IF(B333&gt;=5,AVERAGE(C329:C332),"")</f>
        <v>87.25</v>
      </c>
      <c r="F333" s="33" t="n">
        <f aca="false">IF(B333&gt;=9,AVERAGE(C325:C332),"")</f>
        <v>90.25</v>
      </c>
      <c r="G333" s="33" t="n">
        <f aca="false">IF(B333=1,"",IF(B333=2,C332,SES_Alpha*C332+(1-SES_Alpha)*G332))</f>
        <v>89.5436678091787</v>
      </c>
      <c r="H333" s="33" t="n">
        <f aca="false">IF(D333="","",D333-C333)</f>
        <v>15</v>
      </c>
      <c r="I333" s="33" t="n">
        <f aca="false">IF(E333="","",E333-C333)</f>
        <v>9.25</v>
      </c>
      <c r="J333" s="33" t="n">
        <f aca="false">IF(F333="","",F333-C333)</f>
        <v>12.25</v>
      </c>
      <c r="K333" s="33" t="n">
        <f aca="false">IF(G333="","",G333-C333)</f>
        <v>11.5436678091787</v>
      </c>
      <c r="L333" s="33" t="n">
        <f aca="false">IF(H333="","",ABS(H333))</f>
        <v>15</v>
      </c>
      <c r="M333" s="33" t="n">
        <f aca="false">IF(I333="","",ABS(I333))</f>
        <v>9.25</v>
      </c>
      <c r="N333" s="33" t="n">
        <f aca="false">IF(J333="","",ABS(J333))</f>
        <v>12.25</v>
      </c>
      <c r="O333" s="33" t="n">
        <f aca="false">IF(K333="","",ABS(K333))</f>
        <v>11.5436678091787</v>
      </c>
      <c r="P333" s="34" t="str">
        <f aca="false">IF(B333&gt;=Eval_Start_Week,"YES","")</f>
        <v/>
      </c>
      <c r="Q333" s="34" t="str">
        <f aca="false">IF(AND(B333&gt;=Cal_Start_Week,B333&lt;=Cal_End_Week),"YES","")</f>
        <v/>
      </c>
    </row>
    <row r="334" customFormat="false" ht="15" hidden="false" customHeight="false" outlineLevel="0" collapsed="false">
      <c r="A334" s="31" t="str">
        <f aca="false">Demand_History!C334</f>
        <v>KIT-004</v>
      </c>
      <c r="B334" s="31" t="n">
        <f aca="false">Demand_History!A334</f>
        <v>21</v>
      </c>
      <c r="C334" s="32" t="n">
        <f aca="false">Demand_History!D334</f>
        <v>79</v>
      </c>
      <c r="D334" s="33" t="n">
        <f aca="false">IF(B334&gt;=2,C333,"")</f>
        <v>78</v>
      </c>
      <c r="E334" s="33" t="n">
        <f aca="false">IF(B334&gt;=5,AVERAGE(C330:C333),"")</f>
        <v>84.75</v>
      </c>
      <c r="F334" s="33" t="n">
        <f aca="false">IF(B334&gt;=9,AVERAGE(C326:C333),"")</f>
        <v>88.75</v>
      </c>
      <c r="G334" s="33" t="n">
        <f aca="false">IF(B334=1,"",IF(B334=2,C333,SES_Alpha*C333+(1-SES_Alpha)*G333))</f>
        <v>86.0805674664251</v>
      </c>
      <c r="H334" s="33" t="n">
        <f aca="false">IF(D334="","",D334-C334)</f>
        <v>-1</v>
      </c>
      <c r="I334" s="33" t="n">
        <f aca="false">IF(E334="","",E334-C334)</f>
        <v>5.75</v>
      </c>
      <c r="J334" s="33" t="n">
        <f aca="false">IF(F334="","",F334-C334)</f>
        <v>9.75</v>
      </c>
      <c r="K334" s="33" t="n">
        <f aca="false">IF(G334="","",G334-C334)</f>
        <v>7.08056746642507</v>
      </c>
      <c r="L334" s="33" t="n">
        <f aca="false">IF(H334="","",ABS(H334))</f>
        <v>1</v>
      </c>
      <c r="M334" s="33" t="n">
        <f aca="false">IF(I334="","",ABS(I334))</f>
        <v>5.75</v>
      </c>
      <c r="N334" s="33" t="n">
        <f aca="false">IF(J334="","",ABS(J334))</f>
        <v>9.75</v>
      </c>
      <c r="O334" s="33" t="n">
        <f aca="false">IF(K334="","",ABS(K334))</f>
        <v>7.08056746642507</v>
      </c>
      <c r="P334" s="34" t="str">
        <f aca="false">IF(B334&gt;=Eval_Start_Week,"YES","")</f>
        <v/>
      </c>
      <c r="Q334" s="34" t="str">
        <f aca="false">IF(AND(B334&gt;=Cal_Start_Week,B334&lt;=Cal_End_Week),"YES","")</f>
        <v/>
      </c>
    </row>
    <row r="335" customFormat="false" ht="15" hidden="false" customHeight="false" outlineLevel="0" collapsed="false">
      <c r="A335" s="31" t="str">
        <f aca="false">Demand_History!C335</f>
        <v>KIT-004</v>
      </c>
      <c r="B335" s="31" t="n">
        <f aca="false">Demand_History!A335</f>
        <v>22</v>
      </c>
      <c r="C335" s="32" t="n">
        <f aca="false">Demand_History!D335</f>
        <v>102</v>
      </c>
      <c r="D335" s="33" t="n">
        <f aca="false">IF(B335&gt;=2,C334,"")</f>
        <v>79</v>
      </c>
      <c r="E335" s="33" t="n">
        <f aca="false">IF(B335&gt;=5,AVERAGE(C331:C334),"")</f>
        <v>82.5</v>
      </c>
      <c r="F335" s="33" t="n">
        <f aca="false">IF(B335&gt;=9,AVERAGE(C327:C334),"")</f>
        <v>88.625</v>
      </c>
      <c r="G335" s="33" t="n">
        <f aca="false">IF(B335=1,"",IF(B335=2,C334,SES_Alpha*C334+(1-SES_Alpha)*G334))</f>
        <v>83.9563972264975</v>
      </c>
      <c r="H335" s="33" t="n">
        <f aca="false">IF(D335="","",D335-C335)</f>
        <v>-23</v>
      </c>
      <c r="I335" s="33" t="n">
        <f aca="false">IF(E335="","",E335-C335)</f>
        <v>-19.5</v>
      </c>
      <c r="J335" s="33" t="n">
        <f aca="false">IF(F335="","",F335-C335)</f>
        <v>-13.375</v>
      </c>
      <c r="K335" s="33" t="n">
        <f aca="false">IF(G335="","",G335-C335)</f>
        <v>-18.0436027735025</v>
      </c>
      <c r="L335" s="33" t="n">
        <f aca="false">IF(H335="","",ABS(H335))</f>
        <v>23</v>
      </c>
      <c r="M335" s="33" t="n">
        <f aca="false">IF(I335="","",ABS(I335))</f>
        <v>19.5</v>
      </c>
      <c r="N335" s="33" t="n">
        <f aca="false">IF(J335="","",ABS(J335))</f>
        <v>13.375</v>
      </c>
      <c r="O335" s="33" t="n">
        <f aca="false">IF(K335="","",ABS(K335))</f>
        <v>18.0436027735025</v>
      </c>
      <c r="P335" s="34" t="str">
        <f aca="false">IF(B335&gt;=Eval_Start_Week,"YES","")</f>
        <v/>
      </c>
      <c r="Q335" s="34" t="str">
        <f aca="false">IF(AND(B335&gt;=Cal_Start_Week,B335&lt;=Cal_End_Week),"YES","")</f>
        <v/>
      </c>
    </row>
    <row r="336" customFormat="false" ht="15" hidden="false" customHeight="false" outlineLevel="0" collapsed="false">
      <c r="A336" s="31" t="str">
        <f aca="false">Demand_History!C336</f>
        <v>KIT-004</v>
      </c>
      <c r="B336" s="31" t="n">
        <f aca="false">Demand_History!A336</f>
        <v>23</v>
      </c>
      <c r="C336" s="32" t="n">
        <f aca="false">Demand_History!D336</f>
        <v>81</v>
      </c>
      <c r="D336" s="33" t="n">
        <f aca="false">IF(B336&gt;=2,C335,"")</f>
        <v>102</v>
      </c>
      <c r="E336" s="33" t="n">
        <f aca="false">IF(B336&gt;=5,AVERAGE(C332:C335),"")</f>
        <v>88</v>
      </c>
      <c r="F336" s="33" t="n">
        <f aca="false">IF(B336&gt;=9,AVERAGE(C328:C335),"")</f>
        <v>89.625</v>
      </c>
      <c r="G336" s="33" t="n">
        <f aca="false">IF(B336=1,"",IF(B336=2,C335,SES_Alpha*C335+(1-SES_Alpha)*G335))</f>
        <v>89.3694780585483</v>
      </c>
      <c r="H336" s="33" t="n">
        <f aca="false">IF(D336="","",D336-C336)</f>
        <v>21</v>
      </c>
      <c r="I336" s="33" t="n">
        <f aca="false">IF(E336="","",E336-C336)</f>
        <v>7</v>
      </c>
      <c r="J336" s="33" t="n">
        <f aca="false">IF(F336="","",F336-C336)</f>
        <v>8.625</v>
      </c>
      <c r="K336" s="33" t="n">
        <f aca="false">IF(G336="","",G336-C336)</f>
        <v>8.36947805854827</v>
      </c>
      <c r="L336" s="33" t="n">
        <f aca="false">IF(H336="","",ABS(H336))</f>
        <v>21</v>
      </c>
      <c r="M336" s="33" t="n">
        <f aca="false">IF(I336="","",ABS(I336))</f>
        <v>7</v>
      </c>
      <c r="N336" s="33" t="n">
        <f aca="false">IF(J336="","",ABS(J336))</f>
        <v>8.625</v>
      </c>
      <c r="O336" s="33" t="n">
        <f aca="false">IF(K336="","",ABS(K336))</f>
        <v>8.36947805854827</v>
      </c>
      <c r="P336" s="34" t="str">
        <f aca="false">IF(B336&gt;=Eval_Start_Week,"YES","")</f>
        <v/>
      </c>
      <c r="Q336" s="34" t="str">
        <f aca="false">IF(AND(B336&gt;=Cal_Start_Week,B336&lt;=Cal_End_Week),"YES","")</f>
        <v/>
      </c>
    </row>
    <row r="337" customFormat="false" ht="15" hidden="false" customHeight="false" outlineLevel="0" collapsed="false">
      <c r="A337" s="31" t="str">
        <f aca="false">Demand_History!C337</f>
        <v>KIT-004</v>
      </c>
      <c r="B337" s="31" t="n">
        <f aca="false">Demand_History!A337</f>
        <v>24</v>
      </c>
      <c r="C337" s="32" t="n">
        <f aca="false">Demand_History!D337</f>
        <v>100</v>
      </c>
      <c r="D337" s="33" t="n">
        <f aca="false">IF(B337&gt;=2,C336,"")</f>
        <v>81</v>
      </c>
      <c r="E337" s="33" t="n">
        <f aca="false">IF(B337&gt;=5,AVERAGE(C333:C336),"")</f>
        <v>85</v>
      </c>
      <c r="F337" s="33" t="n">
        <f aca="false">IF(B337&gt;=9,AVERAGE(C329:C336),"")</f>
        <v>86.125</v>
      </c>
      <c r="G337" s="33" t="n">
        <f aca="false">IF(B337=1,"",IF(B337=2,C336,SES_Alpha*C336+(1-SES_Alpha)*G336))</f>
        <v>86.8586346409838</v>
      </c>
      <c r="H337" s="33" t="n">
        <f aca="false">IF(D337="","",D337-C337)</f>
        <v>-19</v>
      </c>
      <c r="I337" s="33" t="n">
        <f aca="false">IF(E337="","",E337-C337)</f>
        <v>-15</v>
      </c>
      <c r="J337" s="33" t="n">
        <f aca="false">IF(F337="","",F337-C337)</f>
        <v>-13.875</v>
      </c>
      <c r="K337" s="33" t="n">
        <f aca="false">IF(G337="","",G337-C337)</f>
        <v>-13.1413653590162</v>
      </c>
      <c r="L337" s="33" t="n">
        <f aca="false">IF(H337="","",ABS(H337))</f>
        <v>19</v>
      </c>
      <c r="M337" s="33" t="n">
        <f aca="false">IF(I337="","",ABS(I337))</f>
        <v>15</v>
      </c>
      <c r="N337" s="33" t="n">
        <f aca="false">IF(J337="","",ABS(J337))</f>
        <v>13.875</v>
      </c>
      <c r="O337" s="33" t="n">
        <f aca="false">IF(K337="","",ABS(K337))</f>
        <v>13.1413653590162</v>
      </c>
      <c r="P337" s="34" t="str">
        <f aca="false">IF(B337&gt;=Eval_Start_Week,"YES","")</f>
        <v/>
      </c>
      <c r="Q337" s="34" t="str">
        <f aca="false">IF(AND(B337&gt;=Cal_Start_Week,B337&lt;=Cal_End_Week),"YES","")</f>
        <v/>
      </c>
    </row>
    <row r="338" customFormat="false" ht="15" hidden="false" customHeight="false" outlineLevel="0" collapsed="false">
      <c r="A338" s="31" t="str">
        <f aca="false">Demand_History!C338</f>
        <v>KIT-004</v>
      </c>
      <c r="B338" s="31" t="n">
        <f aca="false">Demand_History!A338</f>
        <v>25</v>
      </c>
      <c r="C338" s="32" t="n">
        <f aca="false">Demand_History!D338</f>
        <v>105</v>
      </c>
      <c r="D338" s="33" t="n">
        <f aca="false">IF(B338&gt;=2,C337,"")</f>
        <v>100</v>
      </c>
      <c r="E338" s="33" t="n">
        <f aca="false">IF(B338&gt;=5,AVERAGE(C334:C337),"")</f>
        <v>90.5</v>
      </c>
      <c r="F338" s="33" t="n">
        <f aca="false">IF(B338&gt;=9,AVERAGE(C330:C337),"")</f>
        <v>87.625</v>
      </c>
      <c r="G338" s="33" t="n">
        <f aca="false">IF(B338=1,"",IF(B338=2,C337,SES_Alpha*C337+(1-SES_Alpha)*G337))</f>
        <v>90.8010442486886</v>
      </c>
      <c r="H338" s="33" t="n">
        <f aca="false">IF(D338="","",D338-C338)</f>
        <v>-5</v>
      </c>
      <c r="I338" s="33" t="n">
        <f aca="false">IF(E338="","",E338-C338)</f>
        <v>-14.5</v>
      </c>
      <c r="J338" s="33" t="n">
        <f aca="false">IF(F338="","",F338-C338)</f>
        <v>-17.375</v>
      </c>
      <c r="K338" s="33" t="n">
        <f aca="false">IF(G338="","",G338-C338)</f>
        <v>-14.1989557513114</v>
      </c>
      <c r="L338" s="33" t="n">
        <f aca="false">IF(H338="","",ABS(H338))</f>
        <v>5</v>
      </c>
      <c r="M338" s="33" t="n">
        <f aca="false">IF(I338="","",ABS(I338))</f>
        <v>14.5</v>
      </c>
      <c r="N338" s="33" t="n">
        <f aca="false">IF(J338="","",ABS(J338))</f>
        <v>17.375</v>
      </c>
      <c r="O338" s="33" t="n">
        <f aca="false">IF(K338="","",ABS(K338))</f>
        <v>14.1989557513114</v>
      </c>
      <c r="P338" s="34" t="str">
        <f aca="false">IF(B338&gt;=Eval_Start_Week,"YES","")</f>
        <v/>
      </c>
      <c r="Q338" s="34" t="str">
        <f aca="false">IF(AND(B338&gt;=Cal_Start_Week,B338&lt;=Cal_End_Week),"YES","")</f>
        <v/>
      </c>
    </row>
    <row r="339" customFormat="false" ht="15" hidden="false" customHeight="false" outlineLevel="0" collapsed="false">
      <c r="A339" s="31" t="str">
        <f aca="false">Demand_History!C339</f>
        <v>KIT-004</v>
      </c>
      <c r="B339" s="31" t="n">
        <f aca="false">Demand_History!A339</f>
        <v>26</v>
      </c>
      <c r="C339" s="32" t="n">
        <f aca="false">Demand_History!D339</f>
        <v>92</v>
      </c>
      <c r="D339" s="33" t="n">
        <f aca="false">IF(B339&gt;=2,C338,"")</f>
        <v>105</v>
      </c>
      <c r="E339" s="33" t="n">
        <f aca="false">IF(B339&gt;=5,AVERAGE(C335:C338),"")</f>
        <v>97</v>
      </c>
      <c r="F339" s="33" t="n">
        <f aca="false">IF(B339&gt;=9,AVERAGE(C331:C338),"")</f>
        <v>89.75</v>
      </c>
      <c r="G339" s="33" t="n">
        <f aca="false">IF(B339=1,"",IF(B339=2,C338,SES_Alpha*C338+(1-SES_Alpha)*G338))</f>
        <v>95.0607309740821</v>
      </c>
      <c r="H339" s="33" t="n">
        <f aca="false">IF(D339="","",D339-C339)</f>
        <v>13</v>
      </c>
      <c r="I339" s="33" t="n">
        <f aca="false">IF(E339="","",E339-C339)</f>
        <v>5</v>
      </c>
      <c r="J339" s="33" t="n">
        <f aca="false">IF(F339="","",F339-C339)</f>
        <v>-2.25</v>
      </c>
      <c r="K339" s="33" t="n">
        <f aca="false">IF(G339="","",G339-C339)</f>
        <v>3.06073097408205</v>
      </c>
      <c r="L339" s="33" t="n">
        <f aca="false">IF(H339="","",ABS(H339))</f>
        <v>13</v>
      </c>
      <c r="M339" s="33" t="n">
        <f aca="false">IF(I339="","",ABS(I339))</f>
        <v>5</v>
      </c>
      <c r="N339" s="33" t="n">
        <f aca="false">IF(J339="","",ABS(J339))</f>
        <v>2.25</v>
      </c>
      <c r="O339" s="33" t="n">
        <f aca="false">IF(K339="","",ABS(K339))</f>
        <v>3.06073097408205</v>
      </c>
      <c r="P339" s="34" t="str">
        <f aca="false">IF(B339&gt;=Eval_Start_Week,"YES","")</f>
        <v/>
      </c>
      <c r="Q339" s="34" t="str">
        <f aca="false">IF(AND(B339&gt;=Cal_Start_Week,B339&lt;=Cal_End_Week),"YES","")</f>
        <v/>
      </c>
    </row>
    <row r="340" customFormat="false" ht="15" hidden="false" customHeight="false" outlineLevel="0" collapsed="false">
      <c r="A340" s="31" t="str">
        <f aca="false">Demand_History!C340</f>
        <v>KIT-004</v>
      </c>
      <c r="B340" s="31" t="n">
        <f aca="false">Demand_History!A340</f>
        <v>27</v>
      </c>
      <c r="C340" s="32" t="n">
        <f aca="false">Demand_History!D340</f>
        <v>95</v>
      </c>
      <c r="D340" s="33" t="n">
        <f aca="false">IF(B340&gt;=2,C339,"")</f>
        <v>92</v>
      </c>
      <c r="E340" s="33" t="n">
        <f aca="false">IF(B340&gt;=5,AVERAGE(C336:C339),"")</f>
        <v>94.5</v>
      </c>
      <c r="F340" s="33" t="n">
        <f aca="false">IF(B340&gt;=9,AVERAGE(C332:C339),"")</f>
        <v>91.25</v>
      </c>
      <c r="G340" s="33" t="n">
        <f aca="false">IF(B340=1,"",IF(B340=2,C339,SES_Alpha*C339+(1-SES_Alpha)*G339))</f>
        <v>94.1425116818574</v>
      </c>
      <c r="H340" s="33" t="n">
        <f aca="false">IF(D340="","",D340-C340)</f>
        <v>-3</v>
      </c>
      <c r="I340" s="33" t="n">
        <f aca="false">IF(E340="","",E340-C340)</f>
        <v>-0.5</v>
      </c>
      <c r="J340" s="33" t="n">
        <f aca="false">IF(F340="","",F340-C340)</f>
        <v>-3.75</v>
      </c>
      <c r="K340" s="33" t="n">
        <f aca="false">IF(G340="","",G340-C340)</f>
        <v>-0.857488318142572</v>
      </c>
      <c r="L340" s="33" t="n">
        <f aca="false">IF(H340="","",ABS(H340))</f>
        <v>3</v>
      </c>
      <c r="M340" s="33" t="n">
        <f aca="false">IF(I340="","",ABS(I340))</f>
        <v>0.5</v>
      </c>
      <c r="N340" s="33" t="n">
        <f aca="false">IF(J340="","",ABS(J340))</f>
        <v>3.75</v>
      </c>
      <c r="O340" s="33" t="n">
        <f aca="false">IF(K340="","",ABS(K340))</f>
        <v>0.857488318142572</v>
      </c>
      <c r="P340" s="34" t="str">
        <f aca="false">IF(B340&gt;=Eval_Start_Week,"YES","")</f>
        <v/>
      </c>
      <c r="Q340" s="34" t="str">
        <f aca="false">IF(AND(B340&gt;=Cal_Start_Week,B340&lt;=Cal_End_Week),"YES","")</f>
        <v/>
      </c>
    </row>
    <row r="341" customFormat="false" ht="15" hidden="false" customHeight="false" outlineLevel="0" collapsed="false">
      <c r="A341" s="31" t="str">
        <f aca="false">Demand_History!C341</f>
        <v>KIT-004</v>
      </c>
      <c r="B341" s="31" t="n">
        <f aca="false">Demand_History!A341</f>
        <v>28</v>
      </c>
      <c r="C341" s="32" t="n">
        <f aca="false">Demand_History!D341</f>
        <v>109</v>
      </c>
      <c r="D341" s="33" t="n">
        <f aca="false">IF(B341&gt;=2,C340,"")</f>
        <v>95</v>
      </c>
      <c r="E341" s="33" t="n">
        <f aca="false">IF(B341&gt;=5,AVERAGE(C337:C340),"")</f>
        <v>98</v>
      </c>
      <c r="F341" s="33" t="n">
        <f aca="false">IF(B341&gt;=9,AVERAGE(C333:C340),"")</f>
        <v>91.5</v>
      </c>
      <c r="G341" s="33" t="n">
        <f aca="false">IF(B341=1,"",IF(B341=2,C340,SES_Alpha*C340+(1-SES_Alpha)*G340))</f>
        <v>94.3997581773002</v>
      </c>
      <c r="H341" s="33" t="n">
        <f aca="false">IF(D341="","",D341-C341)</f>
        <v>-14</v>
      </c>
      <c r="I341" s="33" t="n">
        <f aca="false">IF(E341="","",E341-C341)</f>
        <v>-11</v>
      </c>
      <c r="J341" s="33" t="n">
        <f aca="false">IF(F341="","",F341-C341)</f>
        <v>-17.5</v>
      </c>
      <c r="K341" s="33" t="n">
        <f aca="false">IF(G341="","",G341-C341)</f>
        <v>-14.6002418226998</v>
      </c>
      <c r="L341" s="33" t="n">
        <f aca="false">IF(H341="","",ABS(H341))</f>
        <v>14</v>
      </c>
      <c r="M341" s="33" t="n">
        <f aca="false">IF(I341="","",ABS(I341))</f>
        <v>11</v>
      </c>
      <c r="N341" s="33" t="n">
        <f aca="false">IF(J341="","",ABS(J341))</f>
        <v>17.5</v>
      </c>
      <c r="O341" s="33" t="n">
        <f aca="false">IF(K341="","",ABS(K341))</f>
        <v>14.6002418226998</v>
      </c>
      <c r="P341" s="34" t="str">
        <f aca="false">IF(B341&gt;=Eval_Start_Week,"YES","")</f>
        <v/>
      </c>
      <c r="Q341" s="34" t="str">
        <f aca="false">IF(AND(B341&gt;=Cal_Start_Week,B341&lt;=Cal_End_Week),"YES","")</f>
        <v/>
      </c>
    </row>
    <row r="342" customFormat="false" ht="15" hidden="false" customHeight="false" outlineLevel="0" collapsed="false">
      <c r="A342" s="31" t="str">
        <f aca="false">Demand_History!C342</f>
        <v>KIT-004</v>
      </c>
      <c r="B342" s="31" t="n">
        <f aca="false">Demand_History!A342</f>
        <v>29</v>
      </c>
      <c r="C342" s="32" t="n">
        <f aca="false">Demand_History!D342</f>
        <v>88</v>
      </c>
      <c r="D342" s="33" t="n">
        <f aca="false">IF(B342&gt;=2,C341,"")</f>
        <v>109</v>
      </c>
      <c r="E342" s="33" t="n">
        <f aca="false">IF(B342&gt;=5,AVERAGE(C338:C341),"")</f>
        <v>100.25</v>
      </c>
      <c r="F342" s="33" t="n">
        <f aca="false">IF(B342&gt;=9,AVERAGE(C334:C341),"")</f>
        <v>95.375</v>
      </c>
      <c r="G342" s="33" t="n">
        <f aca="false">IF(B342=1,"",IF(B342=2,C341,SES_Alpha*C341+(1-SES_Alpha)*G341))</f>
        <v>98.7798307241101</v>
      </c>
      <c r="H342" s="33" t="n">
        <f aca="false">IF(D342="","",D342-C342)</f>
        <v>21</v>
      </c>
      <c r="I342" s="33" t="n">
        <f aca="false">IF(E342="","",E342-C342)</f>
        <v>12.25</v>
      </c>
      <c r="J342" s="33" t="n">
        <f aca="false">IF(F342="","",F342-C342)</f>
        <v>7.375</v>
      </c>
      <c r="K342" s="33" t="n">
        <f aca="false">IF(G342="","",G342-C342)</f>
        <v>10.7798307241101</v>
      </c>
      <c r="L342" s="33" t="n">
        <f aca="false">IF(H342="","",ABS(H342))</f>
        <v>21</v>
      </c>
      <c r="M342" s="33" t="n">
        <f aca="false">IF(I342="","",ABS(I342))</f>
        <v>12.25</v>
      </c>
      <c r="N342" s="33" t="n">
        <f aca="false">IF(J342="","",ABS(J342))</f>
        <v>7.375</v>
      </c>
      <c r="O342" s="33" t="n">
        <f aca="false">IF(K342="","",ABS(K342))</f>
        <v>10.7798307241101</v>
      </c>
      <c r="P342" s="34" t="str">
        <f aca="false">IF(B342&gt;=Eval_Start_Week,"YES","")</f>
        <v/>
      </c>
      <c r="Q342" s="34" t="str">
        <f aca="false">IF(AND(B342&gt;=Cal_Start_Week,B342&lt;=Cal_End_Week),"YES","")</f>
        <v/>
      </c>
    </row>
    <row r="343" customFormat="false" ht="15" hidden="false" customHeight="false" outlineLevel="0" collapsed="false">
      <c r="A343" s="31" t="str">
        <f aca="false">Demand_History!C343</f>
        <v>KIT-004</v>
      </c>
      <c r="B343" s="31" t="n">
        <f aca="false">Demand_History!A343</f>
        <v>30</v>
      </c>
      <c r="C343" s="32" t="n">
        <f aca="false">Demand_History!D343</f>
        <v>84</v>
      </c>
      <c r="D343" s="33" t="n">
        <f aca="false">IF(B343&gt;=2,C342,"")</f>
        <v>88</v>
      </c>
      <c r="E343" s="33" t="n">
        <f aca="false">IF(B343&gt;=5,AVERAGE(C339:C342),"")</f>
        <v>96</v>
      </c>
      <c r="F343" s="33" t="n">
        <f aca="false">IF(B343&gt;=9,AVERAGE(C335:C342),"")</f>
        <v>96.5</v>
      </c>
      <c r="G343" s="33" t="n">
        <f aca="false">IF(B343=1,"",IF(B343=2,C342,SES_Alpha*C342+(1-SES_Alpha)*G342))</f>
        <v>95.5458815068771</v>
      </c>
      <c r="H343" s="33" t="n">
        <f aca="false">IF(D343="","",D343-C343)</f>
        <v>4</v>
      </c>
      <c r="I343" s="33" t="n">
        <f aca="false">IF(E343="","",E343-C343)</f>
        <v>12</v>
      </c>
      <c r="J343" s="33" t="n">
        <f aca="false">IF(F343="","",F343-C343)</f>
        <v>12.5</v>
      </c>
      <c r="K343" s="33" t="n">
        <f aca="false">IF(G343="","",G343-C343)</f>
        <v>11.5458815068771</v>
      </c>
      <c r="L343" s="33" t="n">
        <f aca="false">IF(H343="","",ABS(H343))</f>
        <v>4</v>
      </c>
      <c r="M343" s="33" t="n">
        <f aca="false">IF(I343="","",ABS(I343))</f>
        <v>12</v>
      </c>
      <c r="N343" s="33" t="n">
        <f aca="false">IF(J343="","",ABS(J343))</f>
        <v>12.5</v>
      </c>
      <c r="O343" s="33" t="n">
        <f aca="false">IF(K343="","",ABS(K343))</f>
        <v>11.5458815068771</v>
      </c>
      <c r="P343" s="34" t="str">
        <f aca="false">IF(B343&gt;=Eval_Start_Week,"YES","")</f>
        <v/>
      </c>
      <c r="Q343" s="34" t="str">
        <f aca="false">IF(AND(B343&gt;=Cal_Start_Week,B343&lt;=Cal_End_Week),"YES","")</f>
        <v/>
      </c>
    </row>
    <row r="344" customFormat="false" ht="15" hidden="false" customHeight="false" outlineLevel="0" collapsed="false">
      <c r="A344" s="31" t="str">
        <f aca="false">Demand_History!C344</f>
        <v>KIT-004</v>
      </c>
      <c r="B344" s="31" t="n">
        <f aca="false">Demand_History!A344</f>
        <v>31</v>
      </c>
      <c r="C344" s="32" t="n">
        <f aca="false">Demand_History!D344</f>
        <v>77</v>
      </c>
      <c r="D344" s="33" t="n">
        <f aca="false">IF(B344&gt;=2,C343,"")</f>
        <v>84</v>
      </c>
      <c r="E344" s="33" t="n">
        <f aca="false">IF(B344&gt;=5,AVERAGE(C340:C343),"")</f>
        <v>94</v>
      </c>
      <c r="F344" s="33" t="n">
        <f aca="false">IF(B344&gt;=9,AVERAGE(C336:C343),"")</f>
        <v>94.25</v>
      </c>
      <c r="G344" s="33" t="n">
        <f aca="false">IF(B344=1,"",IF(B344=2,C343,SES_Alpha*C343+(1-SES_Alpha)*G343))</f>
        <v>92.082117054814</v>
      </c>
      <c r="H344" s="33" t="n">
        <f aca="false">IF(D344="","",D344-C344)</f>
        <v>7</v>
      </c>
      <c r="I344" s="33" t="n">
        <f aca="false">IF(E344="","",E344-C344)</f>
        <v>17</v>
      </c>
      <c r="J344" s="33" t="n">
        <f aca="false">IF(F344="","",F344-C344)</f>
        <v>17.25</v>
      </c>
      <c r="K344" s="33" t="n">
        <f aca="false">IF(G344="","",G344-C344)</f>
        <v>15.082117054814</v>
      </c>
      <c r="L344" s="33" t="n">
        <f aca="false">IF(H344="","",ABS(H344))</f>
        <v>7</v>
      </c>
      <c r="M344" s="33" t="n">
        <f aca="false">IF(I344="","",ABS(I344))</f>
        <v>17</v>
      </c>
      <c r="N344" s="33" t="n">
        <f aca="false">IF(J344="","",ABS(J344))</f>
        <v>17.25</v>
      </c>
      <c r="O344" s="33" t="n">
        <f aca="false">IF(K344="","",ABS(K344))</f>
        <v>15.082117054814</v>
      </c>
      <c r="P344" s="34" t="str">
        <f aca="false">IF(B344&gt;=Eval_Start_Week,"YES","")</f>
        <v/>
      </c>
      <c r="Q344" s="34" t="str">
        <f aca="false">IF(AND(B344&gt;=Cal_Start_Week,B344&lt;=Cal_End_Week),"YES","")</f>
        <v/>
      </c>
    </row>
    <row r="345" customFormat="false" ht="15" hidden="false" customHeight="false" outlineLevel="0" collapsed="false">
      <c r="A345" s="31" t="str">
        <f aca="false">Demand_History!C345</f>
        <v>KIT-004</v>
      </c>
      <c r="B345" s="31" t="n">
        <f aca="false">Demand_History!A345</f>
        <v>32</v>
      </c>
      <c r="C345" s="32" t="n">
        <f aca="false">Demand_History!D345</f>
        <v>90</v>
      </c>
      <c r="D345" s="33" t="n">
        <f aca="false">IF(B345&gt;=2,C344,"")</f>
        <v>77</v>
      </c>
      <c r="E345" s="33" t="n">
        <f aca="false">IF(B345&gt;=5,AVERAGE(C341:C344),"")</f>
        <v>89.5</v>
      </c>
      <c r="F345" s="33" t="n">
        <f aca="false">IF(B345&gt;=9,AVERAGE(C337:C344),"")</f>
        <v>93.75</v>
      </c>
      <c r="G345" s="33" t="n">
        <f aca="false">IF(B345=1,"",IF(B345=2,C344,SES_Alpha*C344+(1-SES_Alpha)*G344))</f>
        <v>87.5574819383698</v>
      </c>
      <c r="H345" s="33" t="n">
        <f aca="false">IF(D345="","",D345-C345)</f>
        <v>-13</v>
      </c>
      <c r="I345" s="33" t="n">
        <f aca="false">IF(E345="","",E345-C345)</f>
        <v>-0.5</v>
      </c>
      <c r="J345" s="33" t="n">
        <f aca="false">IF(F345="","",F345-C345)</f>
        <v>3.75</v>
      </c>
      <c r="K345" s="33" t="n">
        <f aca="false">IF(G345="","",G345-C345)</f>
        <v>-2.44251806163024</v>
      </c>
      <c r="L345" s="33" t="n">
        <f aca="false">IF(H345="","",ABS(H345))</f>
        <v>13</v>
      </c>
      <c r="M345" s="33" t="n">
        <f aca="false">IF(I345="","",ABS(I345))</f>
        <v>0.5</v>
      </c>
      <c r="N345" s="33" t="n">
        <f aca="false">IF(J345="","",ABS(J345))</f>
        <v>3.75</v>
      </c>
      <c r="O345" s="33" t="n">
        <f aca="false">IF(K345="","",ABS(K345))</f>
        <v>2.44251806163024</v>
      </c>
      <c r="P345" s="34" t="str">
        <f aca="false">IF(B345&gt;=Eval_Start_Week,"YES","")</f>
        <v/>
      </c>
      <c r="Q345" s="34" t="str">
        <f aca="false">IF(AND(B345&gt;=Cal_Start_Week,B345&lt;=Cal_End_Week),"YES","")</f>
        <v/>
      </c>
    </row>
    <row r="346" customFormat="false" ht="15" hidden="false" customHeight="false" outlineLevel="0" collapsed="false">
      <c r="A346" s="31" t="str">
        <f aca="false">Demand_History!C346</f>
        <v>KIT-004</v>
      </c>
      <c r="B346" s="31" t="n">
        <f aca="false">Demand_History!A346</f>
        <v>33</v>
      </c>
      <c r="C346" s="32" t="n">
        <f aca="false">Demand_History!D346</f>
        <v>104</v>
      </c>
      <c r="D346" s="33" t="n">
        <f aca="false">IF(B346&gt;=2,C345,"")</f>
        <v>90</v>
      </c>
      <c r="E346" s="33" t="n">
        <f aca="false">IF(B346&gt;=5,AVERAGE(C342:C345),"")</f>
        <v>84.75</v>
      </c>
      <c r="F346" s="33" t="n">
        <f aca="false">IF(B346&gt;=9,AVERAGE(C338:C345),"")</f>
        <v>92.5</v>
      </c>
      <c r="G346" s="33" t="n">
        <f aca="false">IF(B346=1,"",IF(B346=2,C345,SES_Alpha*C345+(1-SES_Alpha)*G345))</f>
        <v>88.2902373568588</v>
      </c>
      <c r="H346" s="33" t="n">
        <f aca="false">IF(D346="","",D346-C346)</f>
        <v>-14</v>
      </c>
      <c r="I346" s="33" t="n">
        <f aca="false">IF(E346="","",E346-C346)</f>
        <v>-19.25</v>
      </c>
      <c r="J346" s="33" t="n">
        <f aca="false">IF(F346="","",F346-C346)</f>
        <v>-11.5</v>
      </c>
      <c r="K346" s="33" t="n">
        <f aca="false">IF(G346="","",G346-C346)</f>
        <v>-15.7097626431412</v>
      </c>
      <c r="L346" s="33" t="n">
        <f aca="false">IF(H346="","",ABS(H346))</f>
        <v>14</v>
      </c>
      <c r="M346" s="33" t="n">
        <f aca="false">IF(I346="","",ABS(I346))</f>
        <v>19.25</v>
      </c>
      <c r="N346" s="33" t="n">
        <f aca="false">IF(J346="","",ABS(J346))</f>
        <v>11.5</v>
      </c>
      <c r="O346" s="33" t="n">
        <f aca="false">IF(K346="","",ABS(K346))</f>
        <v>15.7097626431412</v>
      </c>
      <c r="P346" s="34" t="str">
        <f aca="false">IF(B346&gt;=Eval_Start_Week,"YES","")</f>
        <v/>
      </c>
      <c r="Q346" s="34" t="str">
        <f aca="false">IF(AND(B346&gt;=Cal_Start_Week,B346&lt;=Cal_End_Week),"YES","")</f>
        <v/>
      </c>
    </row>
    <row r="347" customFormat="false" ht="15" hidden="false" customHeight="false" outlineLevel="0" collapsed="false">
      <c r="A347" s="31" t="str">
        <f aca="false">Demand_History!C347</f>
        <v>KIT-004</v>
      </c>
      <c r="B347" s="31" t="n">
        <f aca="false">Demand_History!A347</f>
        <v>34</v>
      </c>
      <c r="C347" s="32" t="n">
        <f aca="false">Demand_History!D347</f>
        <v>99</v>
      </c>
      <c r="D347" s="33" t="n">
        <f aca="false">IF(B347&gt;=2,C346,"")</f>
        <v>104</v>
      </c>
      <c r="E347" s="33" t="n">
        <f aca="false">IF(B347&gt;=5,AVERAGE(C343:C346),"")</f>
        <v>88.75</v>
      </c>
      <c r="F347" s="33" t="n">
        <f aca="false">IF(B347&gt;=9,AVERAGE(C339:C346),"")</f>
        <v>92.375</v>
      </c>
      <c r="G347" s="33" t="n">
        <f aca="false">IF(B347=1,"",IF(B347=2,C346,SES_Alpha*C346+(1-SES_Alpha)*G346))</f>
        <v>93.0031661498012</v>
      </c>
      <c r="H347" s="33" t="n">
        <f aca="false">IF(D347="","",D347-C347)</f>
        <v>5</v>
      </c>
      <c r="I347" s="33" t="n">
        <f aca="false">IF(E347="","",E347-C347)</f>
        <v>-10.25</v>
      </c>
      <c r="J347" s="33" t="n">
        <f aca="false">IF(F347="","",F347-C347)</f>
        <v>-6.625</v>
      </c>
      <c r="K347" s="33" t="n">
        <f aca="false">IF(G347="","",G347-C347)</f>
        <v>-5.99683385019883</v>
      </c>
      <c r="L347" s="33" t="n">
        <f aca="false">IF(H347="","",ABS(H347))</f>
        <v>5</v>
      </c>
      <c r="M347" s="33" t="n">
        <f aca="false">IF(I347="","",ABS(I347))</f>
        <v>10.25</v>
      </c>
      <c r="N347" s="33" t="n">
        <f aca="false">IF(J347="","",ABS(J347))</f>
        <v>6.625</v>
      </c>
      <c r="O347" s="33" t="n">
        <f aca="false">IF(K347="","",ABS(K347))</f>
        <v>5.99683385019883</v>
      </c>
      <c r="P347" s="34" t="str">
        <f aca="false">IF(B347&gt;=Eval_Start_Week,"YES","")</f>
        <v/>
      </c>
      <c r="Q347" s="34" t="str">
        <f aca="false">IF(AND(B347&gt;=Cal_Start_Week,B347&lt;=Cal_End_Week),"YES","")</f>
        <v/>
      </c>
    </row>
    <row r="348" customFormat="false" ht="15" hidden="false" customHeight="false" outlineLevel="0" collapsed="false">
      <c r="A348" s="31" t="str">
        <f aca="false">Demand_History!C348</f>
        <v>KIT-004</v>
      </c>
      <c r="B348" s="31" t="n">
        <f aca="false">Demand_History!A348</f>
        <v>35</v>
      </c>
      <c r="C348" s="32" t="n">
        <f aca="false">Demand_History!D348</f>
        <v>81</v>
      </c>
      <c r="D348" s="33" t="n">
        <f aca="false">IF(B348&gt;=2,C347,"")</f>
        <v>99</v>
      </c>
      <c r="E348" s="33" t="n">
        <f aca="false">IF(B348&gt;=5,AVERAGE(C344:C347),"")</f>
        <v>92.5</v>
      </c>
      <c r="F348" s="33" t="n">
        <f aca="false">IF(B348&gt;=9,AVERAGE(C340:C347),"")</f>
        <v>93.25</v>
      </c>
      <c r="G348" s="33" t="n">
        <f aca="false">IF(B348=1,"",IF(B348=2,C347,SES_Alpha*C347+(1-SES_Alpha)*G347))</f>
        <v>94.8022163048608</v>
      </c>
      <c r="H348" s="33" t="n">
        <f aca="false">IF(D348="","",D348-C348)</f>
        <v>18</v>
      </c>
      <c r="I348" s="33" t="n">
        <f aca="false">IF(E348="","",E348-C348)</f>
        <v>11.5</v>
      </c>
      <c r="J348" s="33" t="n">
        <f aca="false">IF(F348="","",F348-C348)</f>
        <v>12.25</v>
      </c>
      <c r="K348" s="33" t="n">
        <f aca="false">IF(G348="","",G348-C348)</f>
        <v>13.8022163048608</v>
      </c>
      <c r="L348" s="33" t="n">
        <f aca="false">IF(H348="","",ABS(H348))</f>
        <v>18</v>
      </c>
      <c r="M348" s="33" t="n">
        <f aca="false">IF(I348="","",ABS(I348))</f>
        <v>11.5</v>
      </c>
      <c r="N348" s="33" t="n">
        <f aca="false">IF(J348="","",ABS(J348))</f>
        <v>12.25</v>
      </c>
      <c r="O348" s="33" t="n">
        <f aca="false">IF(K348="","",ABS(K348))</f>
        <v>13.8022163048608</v>
      </c>
      <c r="P348" s="34" t="str">
        <f aca="false">IF(B348&gt;=Eval_Start_Week,"YES","")</f>
        <v/>
      </c>
      <c r="Q348" s="34" t="str">
        <f aca="false">IF(AND(B348&gt;=Cal_Start_Week,B348&lt;=Cal_End_Week),"YES","")</f>
        <v/>
      </c>
    </row>
    <row r="349" customFormat="false" ht="15" hidden="false" customHeight="false" outlineLevel="0" collapsed="false">
      <c r="A349" s="31" t="str">
        <f aca="false">Demand_History!C349</f>
        <v>KIT-004</v>
      </c>
      <c r="B349" s="31" t="n">
        <f aca="false">Demand_History!A349</f>
        <v>36</v>
      </c>
      <c r="C349" s="32" t="n">
        <f aca="false">Demand_History!D349</f>
        <v>82</v>
      </c>
      <c r="D349" s="33" t="n">
        <f aca="false">IF(B349&gt;=2,C348,"")</f>
        <v>81</v>
      </c>
      <c r="E349" s="33" t="n">
        <f aca="false">IF(B349&gt;=5,AVERAGE(C345:C348),"")</f>
        <v>93.5</v>
      </c>
      <c r="F349" s="33" t="n">
        <f aca="false">IF(B349&gt;=9,AVERAGE(C341:C348),"")</f>
        <v>91.5</v>
      </c>
      <c r="G349" s="33" t="n">
        <f aca="false">IF(B349=1,"",IF(B349=2,C348,SES_Alpha*C348+(1-SES_Alpha)*G348))</f>
        <v>90.6615514134026</v>
      </c>
      <c r="H349" s="33" t="n">
        <f aca="false">IF(D349="","",D349-C349)</f>
        <v>-1</v>
      </c>
      <c r="I349" s="33" t="n">
        <f aca="false">IF(E349="","",E349-C349)</f>
        <v>11.5</v>
      </c>
      <c r="J349" s="33" t="n">
        <f aca="false">IF(F349="","",F349-C349)</f>
        <v>9.5</v>
      </c>
      <c r="K349" s="33" t="n">
        <f aca="false">IF(G349="","",G349-C349)</f>
        <v>8.66155141340256</v>
      </c>
      <c r="L349" s="33" t="n">
        <f aca="false">IF(H349="","",ABS(H349))</f>
        <v>1</v>
      </c>
      <c r="M349" s="33" t="n">
        <f aca="false">IF(I349="","",ABS(I349))</f>
        <v>11.5</v>
      </c>
      <c r="N349" s="33" t="n">
        <f aca="false">IF(J349="","",ABS(J349))</f>
        <v>9.5</v>
      </c>
      <c r="O349" s="33" t="n">
        <f aca="false">IF(K349="","",ABS(K349))</f>
        <v>8.66155141340256</v>
      </c>
      <c r="P349" s="34" t="str">
        <f aca="false">IF(B349&gt;=Eval_Start_Week,"YES","")</f>
        <v/>
      </c>
      <c r="Q349" s="34" t="str">
        <f aca="false">IF(AND(B349&gt;=Cal_Start_Week,B349&lt;=Cal_End_Week),"YES","")</f>
        <v/>
      </c>
    </row>
    <row r="350" customFormat="false" ht="15" hidden="false" customHeight="false" outlineLevel="0" collapsed="false">
      <c r="A350" s="31" t="str">
        <f aca="false">Demand_History!C350</f>
        <v>KIT-004</v>
      </c>
      <c r="B350" s="31" t="n">
        <f aca="false">Demand_History!A350</f>
        <v>37</v>
      </c>
      <c r="C350" s="32" t="n">
        <f aca="false">Demand_History!D350</f>
        <v>85</v>
      </c>
      <c r="D350" s="33" t="n">
        <f aca="false">IF(B350&gt;=2,C349,"")</f>
        <v>82</v>
      </c>
      <c r="E350" s="33" t="n">
        <f aca="false">IF(B350&gt;=5,AVERAGE(C346:C349),"")</f>
        <v>91.5</v>
      </c>
      <c r="F350" s="33" t="n">
        <f aca="false">IF(B350&gt;=9,AVERAGE(C342:C349),"")</f>
        <v>88.125</v>
      </c>
      <c r="G350" s="33" t="n">
        <f aca="false">IF(B350=1,"",IF(B350=2,C349,SES_Alpha*C349+(1-SES_Alpha)*G349))</f>
        <v>88.0630859893818</v>
      </c>
      <c r="H350" s="33" t="n">
        <f aca="false">IF(D350="","",D350-C350)</f>
        <v>-3</v>
      </c>
      <c r="I350" s="33" t="n">
        <f aca="false">IF(E350="","",E350-C350)</f>
        <v>6.5</v>
      </c>
      <c r="J350" s="33" t="n">
        <f aca="false">IF(F350="","",F350-C350)</f>
        <v>3.125</v>
      </c>
      <c r="K350" s="33" t="n">
        <f aca="false">IF(G350="","",G350-C350)</f>
        <v>3.06308598938179</v>
      </c>
      <c r="L350" s="33" t="n">
        <f aca="false">IF(H350="","",ABS(H350))</f>
        <v>3</v>
      </c>
      <c r="M350" s="33" t="n">
        <f aca="false">IF(I350="","",ABS(I350))</f>
        <v>6.5</v>
      </c>
      <c r="N350" s="33" t="n">
        <f aca="false">IF(J350="","",ABS(J350))</f>
        <v>3.125</v>
      </c>
      <c r="O350" s="33" t="n">
        <f aca="false">IF(K350="","",ABS(K350))</f>
        <v>3.06308598938179</v>
      </c>
      <c r="P350" s="34" t="str">
        <f aca="false">IF(B350&gt;=Eval_Start_Week,"YES","")</f>
        <v/>
      </c>
      <c r="Q350" s="34" t="str">
        <f aca="false">IF(AND(B350&gt;=Cal_Start_Week,B350&lt;=Cal_End_Week),"YES","")</f>
        <v>YES</v>
      </c>
    </row>
    <row r="351" customFormat="false" ht="15" hidden="false" customHeight="false" outlineLevel="0" collapsed="false">
      <c r="A351" s="31" t="str">
        <f aca="false">Demand_History!C351</f>
        <v>KIT-004</v>
      </c>
      <c r="B351" s="31" t="n">
        <f aca="false">Demand_History!A351</f>
        <v>38</v>
      </c>
      <c r="C351" s="32" t="n">
        <f aca="false">Demand_History!D351</f>
        <v>93</v>
      </c>
      <c r="D351" s="33" t="n">
        <f aca="false">IF(B351&gt;=2,C350,"")</f>
        <v>85</v>
      </c>
      <c r="E351" s="33" t="n">
        <f aca="false">IF(B351&gt;=5,AVERAGE(C347:C350),"")</f>
        <v>86.75</v>
      </c>
      <c r="F351" s="33" t="n">
        <f aca="false">IF(B351&gt;=9,AVERAGE(C343:C350),"")</f>
        <v>87.75</v>
      </c>
      <c r="G351" s="33" t="n">
        <f aca="false">IF(B351=1,"",IF(B351=2,C350,SES_Alpha*C350+(1-SES_Alpha)*G350))</f>
        <v>87.1441601925673</v>
      </c>
      <c r="H351" s="33" t="n">
        <f aca="false">IF(D351="","",D351-C351)</f>
        <v>-8</v>
      </c>
      <c r="I351" s="33" t="n">
        <f aca="false">IF(E351="","",E351-C351)</f>
        <v>-6.25</v>
      </c>
      <c r="J351" s="33" t="n">
        <f aca="false">IF(F351="","",F351-C351)</f>
        <v>-5.25</v>
      </c>
      <c r="K351" s="33" t="n">
        <f aca="false">IF(G351="","",G351-C351)</f>
        <v>-5.85583980743274</v>
      </c>
      <c r="L351" s="33" t="n">
        <f aca="false">IF(H351="","",ABS(H351))</f>
        <v>8</v>
      </c>
      <c r="M351" s="33" t="n">
        <f aca="false">IF(I351="","",ABS(I351))</f>
        <v>6.25</v>
      </c>
      <c r="N351" s="33" t="n">
        <f aca="false">IF(J351="","",ABS(J351))</f>
        <v>5.25</v>
      </c>
      <c r="O351" s="33" t="n">
        <f aca="false">IF(K351="","",ABS(K351))</f>
        <v>5.85583980743274</v>
      </c>
      <c r="P351" s="34" t="str">
        <f aca="false">IF(B351&gt;=Eval_Start_Week,"YES","")</f>
        <v/>
      </c>
      <c r="Q351" s="34" t="str">
        <f aca="false">IF(AND(B351&gt;=Cal_Start_Week,B351&lt;=Cal_End_Week),"YES","")</f>
        <v>YES</v>
      </c>
    </row>
    <row r="352" customFormat="false" ht="15" hidden="false" customHeight="false" outlineLevel="0" collapsed="false">
      <c r="A352" s="31" t="str">
        <f aca="false">Demand_History!C352</f>
        <v>KIT-004</v>
      </c>
      <c r="B352" s="31" t="n">
        <f aca="false">Demand_History!A352</f>
        <v>39</v>
      </c>
      <c r="C352" s="32" t="n">
        <f aca="false">Demand_History!D352</f>
        <v>88</v>
      </c>
      <c r="D352" s="33" t="n">
        <f aca="false">IF(B352&gt;=2,C351,"")</f>
        <v>93</v>
      </c>
      <c r="E352" s="33" t="n">
        <f aca="false">IF(B352&gt;=5,AVERAGE(C348:C351),"")</f>
        <v>85.25</v>
      </c>
      <c r="F352" s="33" t="n">
        <f aca="false">IF(B352&gt;=9,AVERAGE(C344:C351),"")</f>
        <v>88.875</v>
      </c>
      <c r="G352" s="33" t="n">
        <f aca="false">IF(B352=1,"",IF(B352=2,C351,SES_Alpha*C351+(1-SES_Alpha)*G351))</f>
        <v>88.9009121347971</v>
      </c>
      <c r="H352" s="33" t="n">
        <f aca="false">IF(D352="","",D352-C352)</f>
        <v>5</v>
      </c>
      <c r="I352" s="33" t="n">
        <f aca="false">IF(E352="","",E352-C352)</f>
        <v>-2.75</v>
      </c>
      <c r="J352" s="33" t="n">
        <f aca="false">IF(F352="","",F352-C352)</f>
        <v>0.875</v>
      </c>
      <c r="K352" s="33" t="n">
        <f aca="false">IF(G352="","",G352-C352)</f>
        <v>0.900912134797068</v>
      </c>
      <c r="L352" s="33" t="n">
        <f aca="false">IF(H352="","",ABS(H352))</f>
        <v>5</v>
      </c>
      <c r="M352" s="33" t="n">
        <f aca="false">IF(I352="","",ABS(I352))</f>
        <v>2.75</v>
      </c>
      <c r="N352" s="33" t="n">
        <f aca="false">IF(J352="","",ABS(J352))</f>
        <v>0.875</v>
      </c>
      <c r="O352" s="33" t="n">
        <f aca="false">IF(K352="","",ABS(K352))</f>
        <v>0.900912134797068</v>
      </c>
      <c r="P352" s="34" t="str">
        <f aca="false">IF(B352&gt;=Eval_Start_Week,"YES","")</f>
        <v/>
      </c>
      <c r="Q352" s="34" t="str">
        <f aca="false">IF(AND(B352&gt;=Cal_Start_Week,B352&lt;=Cal_End_Week),"YES","")</f>
        <v>YES</v>
      </c>
    </row>
    <row r="353" customFormat="false" ht="15" hidden="false" customHeight="false" outlineLevel="0" collapsed="false">
      <c r="A353" s="31" t="str">
        <f aca="false">Demand_History!C353</f>
        <v>KIT-004</v>
      </c>
      <c r="B353" s="31" t="n">
        <f aca="false">Demand_History!A353</f>
        <v>40</v>
      </c>
      <c r="C353" s="32" t="n">
        <f aca="false">Demand_History!D353</f>
        <v>92</v>
      </c>
      <c r="D353" s="33" t="n">
        <f aca="false">IF(B353&gt;=2,C352,"")</f>
        <v>88</v>
      </c>
      <c r="E353" s="33" t="n">
        <f aca="false">IF(B353&gt;=5,AVERAGE(C349:C352),"")</f>
        <v>87</v>
      </c>
      <c r="F353" s="33" t="n">
        <f aca="false">IF(B353&gt;=9,AVERAGE(C345:C352),"")</f>
        <v>90.25</v>
      </c>
      <c r="G353" s="33" t="n">
        <f aca="false">IF(B353=1,"",IF(B353=2,C352,SES_Alpha*C352+(1-SES_Alpha)*G352))</f>
        <v>88.6306384943579</v>
      </c>
      <c r="H353" s="33" t="n">
        <f aca="false">IF(D353="","",D353-C353)</f>
        <v>-4</v>
      </c>
      <c r="I353" s="33" t="n">
        <f aca="false">IF(E353="","",E353-C353)</f>
        <v>-5</v>
      </c>
      <c r="J353" s="33" t="n">
        <f aca="false">IF(F353="","",F353-C353)</f>
        <v>-1.75</v>
      </c>
      <c r="K353" s="33" t="n">
        <f aca="false">IF(G353="","",G353-C353)</f>
        <v>-3.36936150564206</v>
      </c>
      <c r="L353" s="33" t="n">
        <f aca="false">IF(H353="","",ABS(H353))</f>
        <v>4</v>
      </c>
      <c r="M353" s="33" t="n">
        <f aca="false">IF(I353="","",ABS(I353))</f>
        <v>5</v>
      </c>
      <c r="N353" s="33" t="n">
        <f aca="false">IF(J353="","",ABS(J353))</f>
        <v>1.75</v>
      </c>
      <c r="O353" s="33" t="n">
        <f aca="false">IF(K353="","",ABS(K353))</f>
        <v>3.36936150564206</v>
      </c>
      <c r="P353" s="34" t="str">
        <f aca="false">IF(B353&gt;=Eval_Start_Week,"YES","")</f>
        <v/>
      </c>
      <c r="Q353" s="34" t="str">
        <f aca="false">IF(AND(B353&gt;=Cal_Start_Week,B353&lt;=Cal_End_Week),"YES","")</f>
        <v>YES</v>
      </c>
    </row>
    <row r="354" customFormat="false" ht="15" hidden="false" customHeight="false" outlineLevel="0" collapsed="false">
      <c r="A354" s="31" t="str">
        <f aca="false">Demand_History!C354</f>
        <v>KIT-004</v>
      </c>
      <c r="B354" s="31" t="n">
        <f aca="false">Demand_History!A354</f>
        <v>41</v>
      </c>
      <c r="C354" s="32" t="n">
        <f aca="false">Demand_History!D354</f>
        <v>93</v>
      </c>
      <c r="D354" s="33" t="n">
        <f aca="false">IF(B354&gt;=2,C353,"")</f>
        <v>92</v>
      </c>
      <c r="E354" s="33" t="n">
        <f aca="false">IF(B354&gt;=5,AVERAGE(C350:C353),"")</f>
        <v>89.5</v>
      </c>
      <c r="F354" s="33" t="n">
        <f aca="false">IF(B354&gt;=9,AVERAGE(C346:C353),"")</f>
        <v>90.5</v>
      </c>
      <c r="G354" s="33" t="n">
        <f aca="false">IF(B354=1,"",IF(B354=2,C353,SES_Alpha*C353+(1-SES_Alpha)*G353))</f>
        <v>89.6414469460506</v>
      </c>
      <c r="H354" s="33" t="n">
        <f aca="false">IF(D354="","",D354-C354)</f>
        <v>-1</v>
      </c>
      <c r="I354" s="33" t="n">
        <f aca="false">IF(E354="","",E354-C354)</f>
        <v>-3.5</v>
      </c>
      <c r="J354" s="33" t="n">
        <f aca="false">IF(F354="","",F354-C354)</f>
        <v>-2.5</v>
      </c>
      <c r="K354" s="33" t="n">
        <f aca="false">IF(G354="","",G354-C354)</f>
        <v>-3.35855305394945</v>
      </c>
      <c r="L354" s="33" t="n">
        <f aca="false">IF(H354="","",ABS(H354))</f>
        <v>1</v>
      </c>
      <c r="M354" s="33" t="n">
        <f aca="false">IF(I354="","",ABS(I354))</f>
        <v>3.5</v>
      </c>
      <c r="N354" s="33" t="n">
        <f aca="false">IF(J354="","",ABS(J354))</f>
        <v>2.5</v>
      </c>
      <c r="O354" s="33" t="n">
        <f aca="false">IF(K354="","",ABS(K354))</f>
        <v>3.35855305394945</v>
      </c>
      <c r="P354" s="34" t="str">
        <f aca="false">IF(B354&gt;=Eval_Start_Week,"YES","")</f>
        <v/>
      </c>
      <c r="Q354" s="34" t="str">
        <f aca="false">IF(AND(B354&gt;=Cal_Start_Week,B354&lt;=Cal_End_Week),"YES","")</f>
        <v>YES</v>
      </c>
    </row>
    <row r="355" customFormat="false" ht="15" hidden="false" customHeight="false" outlineLevel="0" collapsed="false">
      <c r="A355" s="31" t="str">
        <f aca="false">Demand_History!C355</f>
        <v>KIT-004</v>
      </c>
      <c r="B355" s="31" t="n">
        <f aca="false">Demand_History!A355</f>
        <v>42</v>
      </c>
      <c r="C355" s="32" t="n">
        <f aca="false">Demand_History!D355</f>
        <v>87</v>
      </c>
      <c r="D355" s="33" t="n">
        <f aca="false">IF(B355&gt;=2,C354,"")</f>
        <v>93</v>
      </c>
      <c r="E355" s="33" t="n">
        <f aca="false">IF(B355&gt;=5,AVERAGE(C351:C354),"")</f>
        <v>91.5</v>
      </c>
      <c r="F355" s="33" t="n">
        <f aca="false">IF(B355&gt;=9,AVERAGE(C347:C354),"")</f>
        <v>89.125</v>
      </c>
      <c r="G355" s="33" t="n">
        <f aca="false">IF(B355=1,"",IF(B355=2,C354,SES_Alpha*C354+(1-SES_Alpha)*G354))</f>
        <v>90.6490128622354</v>
      </c>
      <c r="H355" s="33" t="n">
        <f aca="false">IF(D355="","",D355-C355)</f>
        <v>6</v>
      </c>
      <c r="I355" s="33" t="n">
        <f aca="false">IF(E355="","",E355-C355)</f>
        <v>4.5</v>
      </c>
      <c r="J355" s="33" t="n">
        <f aca="false">IF(F355="","",F355-C355)</f>
        <v>2.125</v>
      </c>
      <c r="K355" s="33" t="n">
        <f aca="false">IF(G355="","",G355-C355)</f>
        <v>3.64901286223538</v>
      </c>
      <c r="L355" s="33" t="n">
        <f aca="false">IF(H355="","",ABS(H355))</f>
        <v>6</v>
      </c>
      <c r="M355" s="33" t="n">
        <f aca="false">IF(I355="","",ABS(I355))</f>
        <v>4.5</v>
      </c>
      <c r="N355" s="33" t="n">
        <f aca="false">IF(J355="","",ABS(J355))</f>
        <v>2.125</v>
      </c>
      <c r="O355" s="33" t="n">
        <f aca="false">IF(K355="","",ABS(K355))</f>
        <v>3.64901286223538</v>
      </c>
      <c r="P355" s="34" t="str">
        <f aca="false">IF(B355&gt;=Eval_Start_Week,"YES","")</f>
        <v/>
      </c>
      <c r="Q355" s="34" t="str">
        <f aca="false">IF(AND(B355&gt;=Cal_Start_Week,B355&lt;=Cal_End_Week),"YES","")</f>
        <v>YES</v>
      </c>
    </row>
    <row r="356" customFormat="false" ht="15" hidden="false" customHeight="false" outlineLevel="0" collapsed="false">
      <c r="A356" s="31" t="str">
        <f aca="false">Demand_History!C356</f>
        <v>KIT-004</v>
      </c>
      <c r="B356" s="31" t="n">
        <f aca="false">Demand_History!A356</f>
        <v>43</v>
      </c>
      <c r="C356" s="32" t="n">
        <f aca="false">Demand_History!D356</f>
        <v>90</v>
      </c>
      <c r="D356" s="33" t="n">
        <f aca="false">IF(B356&gt;=2,C355,"")</f>
        <v>87</v>
      </c>
      <c r="E356" s="33" t="n">
        <f aca="false">IF(B356&gt;=5,AVERAGE(C352:C355),"")</f>
        <v>90</v>
      </c>
      <c r="F356" s="33" t="n">
        <f aca="false">IF(B356&gt;=9,AVERAGE(C348:C355),"")</f>
        <v>87.625</v>
      </c>
      <c r="G356" s="33" t="n">
        <f aca="false">IF(B356=1,"",IF(B356=2,C355,SES_Alpha*C355+(1-SES_Alpha)*G355))</f>
        <v>89.5543090035648</v>
      </c>
      <c r="H356" s="33" t="n">
        <f aca="false">IF(D356="","",D356-C356)</f>
        <v>-3</v>
      </c>
      <c r="I356" s="33" t="n">
        <f aca="false">IF(E356="","",E356-C356)</f>
        <v>0</v>
      </c>
      <c r="J356" s="33" t="n">
        <f aca="false">IF(F356="","",F356-C356)</f>
        <v>-2.375</v>
      </c>
      <c r="K356" s="33" t="n">
        <f aca="false">IF(G356="","",G356-C356)</f>
        <v>-0.445690996435246</v>
      </c>
      <c r="L356" s="33" t="n">
        <f aca="false">IF(H356="","",ABS(H356))</f>
        <v>3</v>
      </c>
      <c r="M356" s="33" t="n">
        <f aca="false">IF(I356="","",ABS(I356))</f>
        <v>0</v>
      </c>
      <c r="N356" s="33" t="n">
        <f aca="false">IF(J356="","",ABS(J356))</f>
        <v>2.375</v>
      </c>
      <c r="O356" s="33" t="n">
        <f aca="false">IF(K356="","",ABS(K356))</f>
        <v>0.445690996435246</v>
      </c>
      <c r="P356" s="34" t="str">
        <f aca="false">IF(B356&gt;=Eval_Start_Week,"YES","")</f>
        <v/>
      </c>
      <c r="Q356" s="34" t="str">
        <f aca="false">IF(AND(B356&gt;=Cal_Start_Week,B356&lt;=Cal_End_Week),"YES","")</f>
        <v>YES</v>
      </c>
    </row>
    <row r="357" customFormat="false" ht="15" hidden="false" customHeight="false" outlineLevel="0" collapsed="false">
      <c r="A357" s="31" t="str">
        <f aca="false">Demand_History!C357</f>
        <v>KIT-004</v>
      </c>
      <c r="B357" s="31" t="n">
        <f aca="false">Demand_History!A357</f>
        <v>44</v>
      </c>
      <c r="C357" s="32" t="n">
        <f aca="false">Demand_History!D357</f>
        <v>92</v>
      </c>
      <c r="D357" s="33" t="n">
        <f aca="false">IF(B357&gt;=2,C356,"")</f>
        <v>90</v>
      </c>
      <c r="E357" s="33" t="n">
        <f aca="false">IF(B357&gt;=5,AVERAGE(C353:C356),"")</f>
        <v>90.5</v>
      </c>
      <c r="F357" s="33" t="n">
        <f aca="false">IF(B357&gt;=9,AVERAGE(C349:C356),"")</f>
        <v>88.75</v>
      </c>
      <c r="G357" s="33" t="n">
        <f aca="false">IF(B357=1,"",IF(B357=2,C356,SES_Alpha*C356+(1-SES_Alpha)*G356))</f>
        <v>89.6880163024953</v>
      </c>
      <c r="H357" s="33" t="n">
        <f aca="false">IF(D357="","",D357-C357)</f>
        <v>-2</v>
      </c>
      <c r="I357" s="33" t="n">
        <f aca="false">IF(E357="","",E357-C357)</f>
        <v>-1.5</v>
      </c>
      <c r="J357" s="33" t="n">
        <f aca="false">IF(F357="","",F357-C357)</f>
        <v>-3.25</v>
      </c>
      <c r="K357" s="33" t="n">
        <f aca="false">IF(G357="","",G357-C357)</f>
        <v>-2.31198369750467</v>
      </c>
      <c r="L357" s="33" t="n">
        <f aca="false">IF(H357="","",ABS(H357))</f>
        <v>2</v>
      </c>
      <c r="M357" s="33" t="n">
        <f aca="false">IF(I357="","",ABS(I357))</f>
        <v>1.5</v>
      </c>
      <c r="N357" s="33" t="n">
        <f aca="false">IF(J357="","",ABS(J357))</f>
        <v>3.25</v>
      </c>
      <c r="O357" s="33" t="n">
        <f aca="false">IF(K357="","",ABS(K357))</f>
        <v>2.31198369750467</v>
      </c>
      <c r="P357" s="34" t="str">
        <f aca="false">IF(B357&gt;=Eval_Start_Week,"YES","")</f>
        <v/>
      </c>
      <c r="Q357" s="34" t="str">
        <f aca="false">IF(AND(B357&gt;=Cal_Start_Week,B357&lt;=Cal_End_Week),"YES","")</f>
        <v>YES</v>
      </c>
    </row>
    <row r="358" customFormat="false" ht="15" hidden="false" customHeight="false" outlineLevel="0" collapsed="false">
      <c r="A358" s="31" t="str">
        <f aca="false">Demand_History!C358</f>
        <v>KIT-004</v>
      </c>
      <c r="B358" s="31" t="n">
        <f aca="false">Demand_History!A358</f>
        <v>45</v>
      </c>
      <c r="C358" s="32" t="n">
        <f aca="false">Demand_History!D358</f>
        <v>89</v>
      </c>
      <c r="D358" s="33" t="n">
        <f aca="false">IF(B358&gt;=2,C357,"")</f>
        <v>92</v>
      </c>
      <c r="E358" s="33" t="n">
        <f aca="false">IF(B358&gt;=5,AVERAGE(C354:C357),"")</f>
        <v>90.5</v>
      </c>
      <c r="F358" s="33" t="n">
        <f aca="false">IF(B358&gt;=9,AVERAGE(C350:C357),"")</f>
        <v>90</v>
      </c>
      <c r="G358" s="33" t="n">
        <f aca="false">IF(B358=1,"",IF(B358=2,C357,SES_Alpha*C357+(1-SES_Alpha)*G357))</f>
        <v>90.3816114117467</v>
      </c>
      <c r="H358" s="33" t="n">
        <f aca="false">IF(D358="","",D358-C358)</f>
        <v>3</v>
      </c>
      <c r="I358" s="33" t="n">
        <f aca="false">IF(E358="","",E358-C358)</f>
        <v>1.5</v>
      </c>
      <c r="J358" s="33" t="n">
        <f aca="false">IF(F358="","",F358-C358)</f>
        <v>1</v>
      </c>
      <c r="K358" s="33" t="n">
        <f aca="false">IF(G358="","",G358-C358)</f>
        <v>1.38161141174672</v>
      </c>
      <c r="L358" s="33" t="n">
        <f aca="false">IF(H358="","",ABS(H358))</f>
        <v>3</v>
      </c>
      <c r="M358" s="33" t="n">
        <f aca="false">IF(I358="","",ABS(I358))</f>
        <v>1.5</v>
      </c>
      <c r="N358" s="33" t="n">
        <f aca="false">IF(J358="","",ABS(J358))</f>
        <v>1</v>
      </c>
      <c r="O358" s="33" t="n">
        <f aca="false">IF(K358="","",ABS(K358))</f>
        <v>1.38161141174672</v>
      </c>
      <c r="P358" s="34" t="str">
        <f aca="false">IF(B358&gt;=Eval_Start_Week,"YES","")</f>
        <v/>
      </c>
      <c r="Q358" s="34" t="str">
        <f aca="false">IF(AND(B358&gt;=Cal_Start_Week,B358&lt;=Cal_End_Week),"YES","")</f>
        <v>YES</v>
      </c>
    </row>
    <row r="359" customFormat="false" ht="15" hidden="false" customHeight="false" outlineLevel="0" collapsed="false">
      <c r="A359" s="31" t="str">
        <f aca="false">Demand_History!C359</f>
        <v>KIT-004</v>
      </c>
      <c r="B359" s="31" t="n">
        <f aca="false">Demand_History!A359</f>
        <v>46</v>
      </c>
      <c r="C359" s="32" t="n">
        <f aca="false">Demand_History!D359</f>
        <v>95</v>
      </c>
      <c r="D359" s="33" t="n">
        <f aca="false">IF(B359&gt;=2,C358,"")</f>
        <v>89</v>
      </c>
      <c r="E359" s="33" t="n">
        <f aca="false">IF(B359&gt;=5,AVERAGE(C355:C358),"")</f>
        <v>89.5</v>
      </c>
      <c r="F359" s="33" t="n">
        <f aca="false">IF(B359&gt;=9,AVERAGE(C351:C358),"")</f>
        <v>90.5</v>
      </c>
      <c r="G359" s="33" t="n">
        <f aca="false">IF(B359=1,"",IF(B359=2,C358,SES_Alpha*C358+(1-SES_Alpha)*G358))</f>
        <v>89.9671279882227</v>
      </c>
      <c r="H359" s="33" t="n">
        <f aca="false">IF(D359="","",D359-C359)</f>
        <v>-6</v>
      </c>
      <c r="I359" s="33" t="n">
        <f aca="false">IF(E359="","",E359-C359)</f>
        <v>-5.5</v>
      </c>
      <c r="J359" s="33" t="n">
        <f aca="false">IF(F359="","",F359-C359)</f>
        <v>-4.5</v>
      </c>
      <c r="K359" s="33" t="n">
        <f aca="false">IF(G359="","",G359-C359)</f>
        <v>-5.0328720117773</v>
      </c>
      <c r="L359" s="33" t="n">
        <f aca="false">IF(H359="","",ABS(H359))</f>
        <v>6</v>
      </c>
      <c r="M359" s="33" t="n">
        <f aca="false">IF(I359="","",ABS(I359))</f>
        <v>5.5</v>
      </c>
      <c r="N359" s="33" t="n">
        <f aca="false">IF(J359="","",ABS(J359))</f>
        <v>4.5</v>
      </c>
      <c r="O359" s="33" t="n">
        <f aca="false">IF(K359="","",ABS(K359))</f>
        <v>5.0328720117773</v>
      </c>
      <c r="P359" s="34" t="str">
        <f aca="false">IF(B359&gt;=Eval_Start_Week,"YES","")</f>
        <v/>
      </c>
      <c r="Q359" s="34" t="str">
        <f aca="false">IF(AND(B359&gt;=Cal_Start_Week,B359&lt;=Cal_End_Week),"YES","")</f>
        <v>YES</v>
      </c>
    </row>
    <row r="360" customFormat="false" ht="15" hidden="false" customHeight="false" outlineLevel="0" collapsed="false">
      <c r="A360" s="31" t="str">
        <f aca="false">Demand_History!C360</f>
        <v>KIT-004</v>
      </c>
      <c r="B360" s="31" t="n">
        <f aca="false">Demand_History!A360</f>
        <v>47</v>
      </c>
      <c r="C360" s="32" t="n">
        <f aca="false">Demand_History!D360</f>
        <v>108</v>
      </c>
      <c r="D360" s="33" t="n">
        <f aca="false">IF(B360&gt;=2,C359,"")</f>
        <v>95</v>
      </c>
      <c r="E360" s="33" t="n">
        <f aca="false">IF(B360&gt;=5,AVERAGE(C356:C359),"")</f>
        <v>91.5</v>
      </c>
      <c r="F360" s="33" t="n">
        <f aca="false">IF(B360&gt;=9,AVERAGE(C352:C359),"")</f>
        <v>90.75</v>
      </c>
      <c r="G360" s="33" t="n">
        <f aca="false">IF(B360=1,"",IF(B360=2,C359,SES_Alpha*C359+(1-SES_Alpha)*G359))</f>
        <v>91.4769895917559</v>
      </c>
      <c r="H360" s="33" t="n">
        <f aca="false">IF(D360="","",D360-C360)</f>
        <v>-13</v>
      </c>
      <c r="I360" s="33" t="n">
        <f aca="false">IF(E360="","",E360-C360)</f>
        <v>-16.5</v>
      </c>
      <c r="J360" s="33" t="n">
        <f aca="false">IF(F360="","",F360-C360)</f>
        <v>-17.25</v>
      </c>
      <c r="K360" s="33" t="n">
        <f aca="false">IF(G360="","",G360-C360)</f>
        <v>-16.5230104082441</v>
      </c>
      <c r="L360" s="33" t="n">
        <f aca="false">IF(H360="","",ABS(H360))</f>
        <v>13</v>
      </c>
      <c r="M360" s="33" t="n">
        <f aca="false">IF(I360="","",ABS(I360))</f>
        <v>16.5</v>
      </c>
      <c r="N360" s="33" t="n">
        <f aca="false">IF(J360="","",ABS(J360))</f>
        <v>17.25</v>
      </c>
      <c r="O360" s="33" t="n">
        <f aca="false">IF(K360="","",ABS(K360))</f>
        <v>16.5230104082441</v>
      </c>
      <c r="P360" s="34" t="str">
        <f aca="false">IF(B360&gt;=Eval_Start_Week,"YES","")</f>
        <v/>
      </c>
      <c r="Q360" s="34" t="str">
        <f aca="false">IF(AND(B360&gt;=Cal_Start_Week,B360&lt;=Cal_End_Week),"YES","")</f>
        <v>YES</v>
      </c>
    </row>
    <row r="361" customFormat="false" ht="15" hidden="false" customHeight="false" outlineLevel="0" collapsed="false">
      <c r="A361" s="31" t="str">
        <f aca="false">Demand_History!C361</f>
        <v>KIT-004</v>
      </c>
      <c r="B361" s="31" t="n">
        <f aca="false">Demand_History!A361</f>
        <v>48</v>
      </c>
      <c r="C361" s="32" t="n">
        <f aca="false">Demand_History!D361</f>
        <v>96</v>
      </c>
      <c r="D361" s="33" t="n">
        <f aca="false">IF(B361&gt;=2,C360,"")</f>
        <v>108</v>
      </c>
      <c r="E361" s="33" t="n">
        <f aca="false">IF(B361&gt;=5,AVERAGE(C357:C360),"")</f>
        <v>96</v>
      </c>
      <c r="F361" s="33" t="n">
        <f aca="false">IF(B361&gt;=9,AVERAGE(C353:C360),"")</f>
        <v>93.25</v>
      </c>
      <c r="G361" s="33" t="n">
        <f aca="false">IF(B361=1,"",IF(B361=2,C360,SES_Alpha*C360+(1-SES_Alpha)*G360))</f>
        <v>96.4338927142291</v>
      </c>
      <c r="H361" s="33" t="n">
        <f aca="false">IF(D361="","",D361-C361)</f>
        <v>12</v>
      </c>
      <c r="I361" s="33" t="n">
        <f aca="false">IF(E361="","",E361-C361)</f>
        <v>0</v>
      </c>
      <c r="J361" s="33" t="n">
        <f aca="false">IF(F361="","",F361-C361)</f>
        <v>-2.75</v>
      </c>
      <c r="K361" s="33" t="n">
        <f aca="false">IF(G361="","",G361-C361)</f>
        <v>0.433892714229103</v>
      </c>
      <c r="L361" s="33" t="n">
        <f aca="false">IF(H361="","",ABS(H361))</f>
        <v>12</v>
      </c>
      <c r="M361" s="33" t="n">
        <f aca="false">IF(I361="","",ABS(I361))</f>
        <v>0</v>
      </c>
      <c r="N361" s="33" t="n">
        <f aca="false">IF(J361="","",ABS(J361))</f>
        <v>2.75</v>
      </c>
      <c r="O361" s="33" t="n">
        <f aca="false">IF(K361="","",ABS(K361))</f>
        <v>0.433892714229103</v>
      </c>
      <c r="P361" s="34" t="str">
        <f aca="false">IF(B361&gt;=Eval_Start_Week,"YES","")</f>
        <v/>
      </c>
      <c r="Q361" s="34" t="str">
        <f aca="false">IF(AND(B361&gt;=Cal_Start_Week,B361&lt;=Cal_End_Week),"YES","")</f>
        <v>YES</v>
      </c>
    </row>
    <row r="362" customFormat="false" ht="15" hidden="false" customHeight="false" outlineLevel="0" collapsed="false">
      <c r="A362" s="31" t="str">
        <f aca="false">Demand_History!C362</f>
        <v>KIT-004</v>
      </c>
      <c r="B362" s="31" t="n">
        <f aca="false">Demand_History!A362</f>
        <v>49</v>
      </c>
      <c r="C362" s="32" t="n">
        <f aca="false">Demand_History!D362</f>
        <v>91</v>
      </c>
      <c r="D362" s="33" t="n">
        <f aca="false">IF(B362&gt;=2,C361,"")</f>
        <v>96</v>
      </c>
      <c r="E362" s="33" t="n">
        <f aca="false">IF(B362&gt;=5,AVERAGE(C358:C361),"")</f>
        <v>97</v>
      </c>
      <c r="F362" s="33" t="n">
        <f aca="false">IF(B362&gt;=9,AVERAGE(C354:C361),"")</f>
        <v>93.75</v>
      </c>
      <c r="G362" s="33" t="n">
        <f aca="false">IF(B362=1,"",IF(B362=2,C361,SES_Alpha*C361+(1-SES_Alpha)*G361))</f>
        <v>96.3037248999604</v>
      </c>
      <c r="H362" s="33" t="n">
        <f aca="false">IF(D362="","",D362-C362)</f>
        <v>5</v>
      </c>
      <c r="I362" s="33" t="n">
        <f aca="false">IF(E362="","",E362-C362)</f>
        <v>6</v>
      </c>
      <c r="J362" s="33" t="n">
        <f aca="false">IF(F362="","",F362-C362)</f>
        <v>2.75</v>
      </c>
      <c r="K362" s="33" t="n">
        <f aca="false">IF(G362="","",G362-C362)</f>
        <v>5.30372489996036</v>
      </c>
      <c r="L362" s="33" t="n">
        <f aca="false">IF(H362="","",ABS(H362))</f>
        <v>5</v>
      </c>
      <c r="M362" s="33" t="n">
        <f aca="false">IF(I362="","",ABS(I362))</f>
        <v>6</v>
      </c>
      <c r="N362" s="33" t="n">
        <f aca="false">IF(J362="","",ABS(J362))</f>
        <v>2.75</v>
      </c>
      <c r="O362" s="33" t="n">
        <f aca="false">IF(K362="","",ABS(K362))</f>
        <v>5.30372489996036</v>
      </c>
      <c r="P362" s="34" t="str">
        <f aca="false">IF(B362&gt;=Eval_Start_Week,"YES","")</f>
        <v/>
      </c>
      <c r="Q362" s="34" t="str">
        <f aca="false">IF(AND(B362&gt;=Cal_Start_Week,B362&lt;=Cal_End_Week),"YES","")</f>
        <v>YES</v>
      </c>
    </row>
    <row r="363" customFormat="false" ht="15" hidden="false" customHeight="false" outlineLevel="0" collapsed="false">
      <c r="A363" s="31" t="str">
        <f aca="false">Demand_History!C363</f>
        <v>KIT-004</v>
      </c>
      <c r="B363" s="31" t="n">
        <f aca="false">Demand_History!A363</f>
        <v>50</v>
      </c>
      <c r="C363" s="32" t="n">
        <f aca="false">Demand_History!D363</f>
        <v>74</v>
      </c>
      <c r="D363" s="33" t="n">
        <f aca="false">IF(B363&gt;=2,C362,"")</f>
        <v>91</v>
      </c>
      <c r="E363" s="33" t="n">
        <f aca="false">IF(B363&gt;=5,AVERAGE(C359:C362),"")</f>
        <v>97.5</v>
      </c>
      <c r="F363" s="33" t="n">
        <f aca="false">IF(B363&gt;=9,AVERAGE(C355:C362),"")</f>
        <v>93.5</v>
      </c>
      <c r="G363" s="33" t="n">
        <f aca="false">IF(B363=1,"",IF(B363=2,C362,SES_Alpha*C362+(1-SES_Alpha)*G362))</f>
        <v>94.7126074299722</v>
      </c>
      <c r="H363" s="33" t="n">
        <f aca="false">IF(D363="","",D363-C363)</f>
        <v>17</v>
      </c>
      <c r="I363" s="33" t="n">
        <f aca="false">IF(E363="","",E363-C363)</f>
        <v>23.5</v>
      </c>
      <c r="J363" s="33" t="n">
        <f aca="false">IF(F363="","",F363-C363)</f>
        <v>19.5</v>
      </c>
      <c r="K363" s="33" t="n">
        <f aca="false">IF(G363="","",G363-C363)</f>
        <v>20.7126074299722</v>
      </c>
      <c r="L363" s="33" t="n">
        <f aca="false">IF(H363="","",ABS(H363))</f>
        <v>17</v>
      </c>
      <c r="M363" s="33" t="n">
        <f aca="false">IF(I363="","",ABS(I363))</f>
        <v>23.5</v>
      </c>
      <c r="N363" s="33" t="n">
        <f aca="false">IF(J363="","",ABS(J363))</f>
        <v>19.5</v>
      </c>
      <c r="O363" s="33" t="n">
        <f aca="false">IF(K363="","",ABS(K363))</f>
        <v>20.7126074299722</v>
      </c>
      <c r="P363" s="34" t="str">
        <f aca="false">IF(B363&gt;=Eval_Start_Week,"YES","")</f>
        <v/>
      </c>
      <c r="Q363" s="34" t="str">
        <f aca="false">IF(AND(B363&gt;=Cal_Start_Week,B363&lt;=Cal_End_Week),"YES","")</f>
        <v>YES</v>
      </c>
    </row>
    <row r="364" customFormat="false" ht="15" hidden="false" customHeight="false" outlineLevel="0" collapsed="false">
      <c r="A364" s="31" t="str">
        <f aca="false">Demand_History!C364</f>
        <v>KIT-004</v>
      </c>
      <c r="B364" s="31" t="n">
        <f aca="false">Demand_History!A364</f>
        <v>51</v>
      </c>
      <c r="C364" s="32" t="n">
        <f aca="false">Demand_History!D364</f>
        <v>94</v>
      </c>
      <c r="D364" s="33" t="n">
        <f aca="false">IF(B364&gt;=2,C363,"")</f>
        <v>74</v>
      </c>
      <c r="E364" s="33" t="n">
        <f aca="false">IF(B364&gt;=5,AVERAGE(C360:C363),"")</f>
        <v>92.25</v>
      </c>
      <c r="F364" s="33" t="n">
        <f aca="false">IF(B364&gt;=9,AVERAGE(C356:C363),"")</f>
        <v>91.875</v>
      </c>
      <c r="G364" s="33" t="n">
        <f aca="false">IF(B364=1,"",IF(B364=2,C363,SES_Alpha*C363+(1-SES_Alpha)*G363))</f>
        <v>88.4988252009806</v>
      </c>
      <c r="H364" s="33" t="n">
        <f aca="false">IF(D364="","",D364-C364)</f>
        <v>-20</v>
      </c>
      <c r="I364" s="33" t="n">
        <f aca="false">IF(E364="","",E364-C364)</f>
        <v>-1.75</v>
      </c>
      <c r="J364" s="33" t="n">
        <f aca="false">IF(F364="","",F364-C364)</f>
        <v>-2.125</v>
      </c>
      <c r="K364" s="33" t="n">
        <f aca="false">IF(G364="","",G364-C364)</f>
        <v>-5.50117479901944</v>
      </c>
      <c r="L364" s="33" t="n">
        <f aca="false">IF(H364="","",ABS(H364))</f>
        <v>20</v>
      </c>
      <c r="M364" s="33" t="n">
        <f aca="false">IF(I364="","",ABS(I364))</f>
        <v>1.75</v>
      </c>
      <c r="N364" s="33" t="n">
        <f aca="false">IF(J364="","",ABS(J364))</f>
        <v>2.125</v>
      </c>
      <c r="O364" s="33" t="n">
        <f aca="false">IF(K364="","",ABS(K364))</f>
        <v>5.50117479901944</v>
      </c>
      <c r="P364" s="34" t="str">
        <f aca="false">IF(B364&gt;=Eval_Start_Week,"YES","")</f>
        <v/>
      </c>
      <c r="Q364" s="34" t="str">
        <f aca="false">IF(AND(B364&gt;=Cal_Start_Week,B364&lt;=Cal_End_Week),"YES","")</f>
        <v>YES</v>
      </c>
    </row>
    <row r="365" customFormat="false" ht="15" hidden="false" customHeight="false" outlineLevel="0" collapsed="false">
      <c r="A365" s="31" t="str">
        <f aca="false">Demand_History!C365</f>
        <v>KIT-004</v>
      </c>
      <c r="B365" s="31" t="n">
        <f aca="false">Demand_History!A365</f>
        <v>52</v>
      </c>
      <c r="C365" s="32" t="n">
        <f aca="false">Demand_History!D365</f>
        <v>71</v>
      </c>
      <c r="D365" s="33" t="n">
        <f aca="false">IF(B365&gt;=2,C364,"")</f>
        <v>94</v>
      </c>
      <c r="E365" s="33" t="n">
        <f aca="false">IF(B365&gt;=5,AVERAGE(C361:C364),"")</f>
        <v>88.75</v>
      </c>
      <c r="F365" s="33" t="n">
        <f aca="false">IF(B365&gt;=9,AVERAGE(C357:C364),"")</f>
        <v>92.375</v>
      </c>
      <c r="G365" s="33" t="n">
        <f aca="false">IF(B365=1,"",IF(B365=2,C364,SES_Alpha*C364+(1-SES_Alpha)*G364))</f>
        <v>90.1491776406864</v>
      </c>
      <c r="H365" s="33" t="n">
        <f aca="false">IF(D365="","",D365-C365)</f>
        <v>23</v>
      </c>
      <c r="I365" s="33" t="n">
        <f aca="false">IF(E365="","",E365-C365)</f>
        <v>17.75</v>
      </c>
      <c r="J365" s="33" t="n">
        <f aca="false">IF(F365="","",F365-C365)</f>
        <v>21.375</v>
      </c>
      <c r="K365" s="33" t="n">
        <f aca="false">IF(G365="","",G365-C365)</f>
        <v>19.1491776406864</v>
      </c>
      <c r="L365" s="33" t="n">
        <f aca="false">IF(H365="","",ABS(H365))</f>
        <v>23</v>
      </c>
      <c r="M365" s="33" t="n">
        <f aca="false">IF(I365="","",ABS(I365))</f>
        <v>17.75</v>
      </c>
      <c r="N365" s="33" t="n">
        <f aca="false">IF(J365="","",ABS(J365))</f>
        <v>21.375</v>
      </c>
      <c r="O365" s="33" t="n">
        <f aca="false">IF(K365="","",ABS(K365))</f>
        <v>19.1491776406864</v>
      </c>
      <c r="P365" s="34" t="str">
        <f aca="false">IF(B365&gt;=Eval_Start_Week,"YES","")</f>
        <v/>
      </c>
      <c r="Q365" s="34" t="str">
        <f aca="false">IF(AND(B365&gt;=Cal_Start_Week,B365&lt;=Cal_End_Week),"YES","")</f>
        <v>YES</v>
      </c>
    </row>
    <row r="366" customFormat="false" ht="15" hidden="false" customHeight="false" outlineLevel="0" collapsed="false">
      <c r="A366" s="31" t="str">
        <f aca="false">Demand_History!C366</f>
        <v>KIT-004</v>
      </c>
      <c r="B366" s="31" t="n">
        <f aca="false">Demand_History!A366</f>
        <v>53</v>
      </c>
      <c r="C366" s="32" t="n">
        <f aca="false">Demand_History!D366</f>
        <v>76</v>
      </c>
      <c r="D366" s="33" t="n">
        <f aca="false">IF(B366&gt;=2,C365,"")</f>
        <v>71</v>
      </c>
      <c r="E366" s="33" t="n">
        <f aca="false">IF(B366&gt;=5,AVERAGE(C362:C365),"")</f>
        <v>82.5</v>
      </c>
      <c r="F366" s="33" t="n">
        <f aca="false">IF(B366&gt;=9,AVERAGE(C358:C365),"")</f>
        <v>89.75</v>
      </c>
      <c r="G366" s="33" t="n">
        <f aca="false">IF(B366=1,"",IF(B366=2,C365,SES_Alpha*C365+(1-SES_Alpha)*G365))</f>
        <v>84.4044243484805</v>
      </c>
      <c r="H366" s="33" t="n">
        <f aca="false">IF(D366="","",D366-C366)</f>
        <v>-5</v>
      </c>
      <c r="I366" s="33" t="n">
        <f aca="false">IF(E366="","",E366-C366)</f>
        <v>6.5</v>
      </c>
      <c r="J366" s="33" t="n">
        <f aca="false">IF(F366="","",F366-C366)</f>
        <v>13.75</v>
      </c>
      <c r="K366" s="33" t="n">
        <f aca="false">IF(G366="","",G366-C366)</f>
        <v>8.40442434848048</v>
      </c>
      <c r="L366" s="33" t="n">
        <f aca="false">IF(H366="","",ABS(H366))</f>
        <v>5</v>
      </c>
      <c r="M366" s="33" t="n">
        <f aca="false">IF(I366="","",ABS(I366))</f>
        <v>6.5</v>
      </c>
      <c r="N366" s="33" t="n">
        <f aca="false">IF(J366="","",ABS(J366))</f>
        <v>13.75</v>
      </c>
      <c r="O366" s="33" t="n">
        <f aca="false">IF(K366="","",ABS(K366))</f>
        <v>8.40442434848048</v>
      </c>
      <c r="P366" s="34" t="str">
        <f aca="false">IF(B366&gt;=Eval_Start_Week,"YES","")</f>
        <v>YES</v>
      </c>
      <c r="Q366" s="34" t="str">
        <f aca="false">IF(AND(B366&gt;=Cal_Start_Week,B366&lt;=Cal_End_Week),"YES","")</f>
        <v>YES</v>
      </c>
    </row>
    <row r="367" customFormat="false" ht="15" hidden="false" customHeight="false" outlineLevel="0" collapsed="false">
      <c r="A367" s="31" t="str">
        <f aca="false">Demand_History!C367</f>
        <v>KIT-004</v>
      </c>
      <c r="B367" s="31" t="n">
        <f aca="false">Demand_History!A367</f>
        <v>54</v>
      </c>
      <c r="C367" s="32" t="n">
        <f aca="false">Demand_History!D367</f>
        <v>98</v>
      </c>
      <c r="D367" s="33" t="n">
        <f aca="false">IF(B367&gt;=2,C366,"")</f>
        <v>76</v>
      </c>
      <c r="E367" s="33" t="n">
        <f aca="false">IF(B367&gt;=5,AVERAGE(C363:C366),"")</f>
        <v>78.75</v>
      </c>
      <c r="F367" s="33" t="n">
        <f aca="false">IF(B367&gt;=9,AVERAGE(C359:C366),"")</f>
        <v>88.125</v>
      </c>
      <c r="G367" s="33" t="n">
        <f aca="false">IF(B367=1,"",IF(B367=2,C366,SES_Alpha*C366+(1-SES_Alpha)*G366))</f>
        <v>81.8830970439363</v>
      </c>
      <c r="H367" s="33" t="n">
        <f aca="false">IF(D367="","",D367-C367)</f>
        <v>-22</v>
      </c>
      <c r="I367" s="33" t="n">
        <f aca="false">IF(E367="","",E367-C367)</f>
        <v>-19.25</v>
      </c>
      <c r="J367" s="33" t="n">
        <f aca="false">IF(F367="","",F367-C367)</f>
        <v>-9.875</v>
      </c>
      <c r="K367" s="33" t="n">
        <f aca="false">IF(G367="","",G367-C367)</f>
        <v>-16.1169029560637</v>
      </c>
      <c r="L367" s="33" t="n">
        <f aca="false">IF(H367="","",ABS(H367))</f>
        <v>22</v>
      </c>
      <c r="M367" s="33" t="n">
        <f aca="false">IF(I367="","",ABS(I367))</f>
        <v>19.25</v>
      </c>
      <c r="N367" s="33" t="n">
        <f aca="false">IF(J367="","",ABS(J367))</f>
        <v>9.875</v>
      </c>
      <c r="O367" s="33" t="n">
        <f aca="false">IF(K367="","",ABS(K367))</f>
        <v>16.1169029560637</v>
      </c>
      <c r="P367" s="34" t="str">
        <f aca="false">IF(B367&gt;=Eval_Start_Week,"YES","")</f>
        <v>YES</v>
      </c>
      <c r="Q367" s="34" t="str">
        <f aca="false">IF(AND(B367&gt;=Cal_Start_Week,B367&lt;=Cal_End_Week),"YES","")</f>
        <v>YES</v>
      </c>
    </row>
    <row r="368" customFormat="false" ht="15" hidden="false" customHeight="false" outlineLevel="0" collapsed="false">
      <c r="A368" s="31" t="str">
        <f aca="false">Demand_History!C368</f>
        <v>KIT-004</v>
      </c>
      <c r="B368" s="31" t="n">
        <f aca="false">Demand_History!A368</f>
        <v>55</v>
      </c>
      <c r="C368" s="32" t="n">
        <f aca="false">Demand_History!D368</f>
        <v>97</v>
      </c>
      <c r="D368" s="33" t="n">
        <f aca="false">IF(B368&gt;=2,C367,"")</f>
        <v>98</v>
      </c>
      <c r="E368" s="33" t="n">
        <f aca="false">IF(B368&gt;=5,AVERAGE(C364:C367),"")</f>
        <v>84.75</v>
      </c>
      <c r="F368" s="33" t="n">
        <f aca="false">IF(B368&gt;=9,AVERAGE(C360:C367),"")</f>
        <v>88.5</v>
      </c>
      <c r="G368" s="33" t="n">
        <f aca="false">IF(B368=1,"",IF(B368=2,C367,SES_Alpha*C367+(1-SES_Alpha)*G367))</f>
        <v>86.7181679307554</v>
      </c>
      <c r="H368" s="33" t="n">
        <f aca="false">IF(D368="","",D368-C368)</f>
        <v>1</v>
      </c>
      <c r="I368" s="33" t="n">
        <f aca="false">IF(E368="","",E368-C368)</f>
        <v>-12.25</v>
      </c>
      <c r="J368" s="33" t="n">
        <f aca="false">IF(F368="","",F368-C368)</f>
        <v>-8.5</v>
      </c>
      <c r="K368" s="33" t="n">
        <f aca="false">IF(G368="","",G368-C368)</f>
        <v>-10.2818320692446</v>
      </c>
      <c r="L368" s="33" t="n">
        <f aca="false">IF(H368="","",ABS(H368))</f>
        <v>1</v>
      </c>
      <c r="M368" s="33" t="n">
        <f aca="false">IF(I368="","",ABS(I368))</f>
        <v>12.25</v>
      </c>
      <c r="N368" s="33" t="n">
        <f aca="false">IF(J368="","",ABS(J368))</f>
        <v>8.5</v>
      </c>
      <c r="O368" s="33" t="n">
        <f aca="false">IF(K368="","",ABS(K368))</f>
        <v>10.2818320692446</v>
      </c>
      <c r="P368" s="34" t="str">
        <f aca="false">IF(B368&gt;=Eval_Start_Week,"YES","")</f>
        <v>YES</v>
      </c>
      <c r="Q368" s="34" t="str">
        <f aca="false">IF(AND(B368&gt;=Cal_Start_Week,B368&lt;=Cal_End_Week),"YES","")</f>
        <v>YES</v>
      </c>
    </row>
    <row r="369" customFormat="false" ht="15" hidden="false" customHeight="false" outlineLevel="0" collapsed="false">
      <c r="A369" s="31" t="str">
        <f aca="false">Demand_History!C369</f>
        <v>KIT-004</v>
      </c>
      <c r="B369" s="31" t="n">
        <f aca="false">Demand_History!A369</f>
        <v>56</v>
      </c>
      <c r="C369" s="32" t="n">
        <f aca="false">Demand_History!D369</f>
        <v>89</v>
      </c>
      <c r="D369" s="33" t="n">
        <f aca="false">IF(B369&gt;=2,C368,"")</f>
        <v>97</v>
      </c>
      <c r="E369" s="33" t="n">
        <f aca="false">IF(B369&gt;=5,AVERAGE(C365:C368),"")</f>
        <v>85.5</v>
      </c>
      <c r="F369" s="33" t="n">
        <f aca="false">IF(B369&gt;=9,AVERAGE(C361:C368),"")</f>
        <v>87.125</v>
      </c>
      <c r="G369" s="33" t="n">
        <f aca="false">IF(B369=1,"",IF(B369=2,C368,SES_Alpha*C368+(1-SES_Alpha)*G368))</f>
        <v>89.8027175515288</v>
      </c>
      <c r="H369" s="33" t="n">
        <f aca="false">IF(D369="","",D369-C369)</f>
        <v>8</v>
      </c>
      <c r="I369" s="33" t="n">
        <f aca="false">IF(E369="","",E369-C369)</f>
        <v>-3.5</v>
      </c>
      <c r="J369" s="33" t="n">
        <f aca="false">IF(F369="","",F369-C369)</f>
        <v>-1.875</v>
      </c>
      <c r="K369" s="33" t="n">
        <f aca="false">IF(G369="","",G369-C369)</f>
        <v>0.802717551528787</v>
      </c>
      <c r="L369" s="33" t="n">
        <f aca="false">IF(H369="","",ABS(H369))</f>
        <v>8</v>
      </c>
      <c r="M369" s="33" t="n">
        <f aca="false">IF(I369="","",ABS(I369))</f>
        <v>3.5</v>
      </c>
      <c r="N369" s="33" t="n">
        <f aca="false">IF(J369="","",ABS(J369))</f>
        <v>1.875</v>
      </c>
      <c r="O369" s="33" t="n">
        <f aca="false">IF(K369="","",ABS(K369))</f>
        <v>0.802717551528787</v>
      </c>
      <c r="P369" s="34" t="str">
        <f aca="false">IF(B369&gt;=Eval_Start_Week,"YES","")</f>
        <v>YES</v>
      </c>
      <c r="Q369" s="34" t="str">
        <f aca="false">IF(AND(B369&gt;=Cal_Start_Week,B369&lt;=Cal_End_Week),"YES","")</f>
        <v>YES</v>
      </c>
    </row>
    <row r="370" customFormat="false" ht="15" hidden="false" customHeight="false" outlineLevel="0" collapsed="false">
      <c r="A370" s="31" t="str">
        <f aca="false">Demand_History!C370</f>
        <v>KIT-004</v>
      </c>
      <c r="B370" s="31" t="n">
        <f aca="false">Demand_History!A370</f>
        <v>57</v>
      </c>
      <c r="C370" s="32" t="n">
        <f aca="false">Demand_History!D370</f>
        <v>74</v>
      </c>
      <c r="D370" s="33" t="n">
        <f aca="false">IF(B370&gt;=2,C369,"")</f>
        <v>89</v>
      </c>
      <c r="E370" s="33" t="n">
        <f aca="false">IF(B370&gt;=5,AVERAGE(C366:C369),"")</f>
        <v>90</v>
      </c>
      <c r="F370" s="33" t="n">
        <f aca="false">IF(B370&gt;=9,AVERAGE(C362:C369),"")</f>
        <v>86.25</v>
      </c>
      <c r="G370" s="33" t="n">
        <f aca="false">IF(B370=1,"",IF(B370=2,C369,SES_Alpha*C369+(1-SES_Alpha)*G369))</f>
        <v>89.5619022860702</v>
      </c>
      <c r="H370" s="33" t="n">
        <f aca="false">IF(D370="","",D370-C370)</f>
        <v>15</v>
      </c>
      <c r="I370" s="33" t="n">
        <f aca="false">IF(E370="","",E370-C370)</f>
        <v>16</v>
      </c>
      <c r="J370" s="33" t="n">
        <f aca="false">IF(F370="","",F370-C370)</f>
        <v>12.25</v>
      </c>
      <c r="K370" s="33" t="n">
        <f aca="false">IF(G370="","",G370-C370)</f>
        <v>15.5619022860702</v>
      </c>
      <c r="L370" s="33" t="n">
        <f aca="false">IF(H370="","",ABS(H370))</f>
        <v>15</v>
      </c>
      <c r="M370" s="33" t="n">
        <f aca="false">IF(I370="","",ABS(I370))</f>
        <v>16</v>
      </c>
      <c r="N370" s="33" t="n">
        <f aca="false">IF(J370="","",ABS(J370))</f>
        <v>12.25</v>
      </c>
      <c r="O370" s="33" t="n">
        <f aca="false">IF(K370="","",ABS(K370))</f>
        <v>15.5619022860702</v>
      </c>
      <c r="P370" s="34" t="str">
        <f aca="false">IF(B370&gt;=Eval_Start_Week,"YES","")</f>
        <v>YES</v>
      </c>
      <c r="Q370" s="34" t="str">
        <f aca="false">IF(AND(B370&gt;=Cal_Start_Week,B370&lt;=Cal_End_Week),"YES","")</f>
        <v>YES</v>
      </c>
    </row>
    <row r="371" customFormat="false" ht="15" hidden="false" customHeight="false" outlineLevel="0" collapsed="false">
      <c r="A371" s="31" t="str">
        <f aca="false">Demand_History!C371</f>
        <v>KIT-004</v>
      </c>
      <c r="B371" s="31" t="n">
        <f aca="false">Demand_History!A371</f>
        <v>58</v>
      </c>
      <c r="C371" s="32" t="n">
        <f aca="false">Demand_History!D371</f>
        <v>86</v>
      </c>
      <c r="D371" s="33" t="n">
        <f aca="false">IF(B371&gt;=2,C370,"")</f>
        <v>74</v>
      </c>
      <c r="E371" s="33" t="n">
        <f aca="false">IF(B371&gt;=5,AVERAGE(C367:C370),"")</f>
        <v>89.5</v>
      </c>
      <c r="F371" s="33" t="n">
        <f aca="false">IF(B371&gt;=9,AVERAGE(C363:C370),"")</f>
        <v>84.125</v>
      </c>
      <c r="G371" s="33" t="n">
        <f aca="false">IF(B371=1,"",IF(B371=2,C370,SES_Alpha*C370+(1-SES_Alpha)*G370))</f>
        <v>84.8933316002491</v>
      </c>
      <c r="H371" s="33" t="n">
        <f aca="false">IF(D371="","",D371-C371)</f>
        <v>-12</v>
      </c>
      <c r="I371" s="33" t="n">
        <f aca="false">IF(E371="","",E371-C371)</f>
        <v>3.5</v>
      </c>
      <c r="J371" s="33" t="n">
        <f aca="false">IF(F371="","",F371-C371)</f>
        <v>-1.875</v>
      </c>
      <c r="K371" s="33" t="n">
        <f aca="false">IF(G371="","",G371-C371)</f>
        <v>-1.1066683997509</v>
      </c>
      <c r="L371" s="33" t="n">
        <f aca="false">IF(H371="","",ABS(H371))</f>
        <v>12</v>
      </c>
      <c r="M371" s="33" t="n">
        <f aca="false">IF(I371="","",ABS(I371))</f>
        <v>3.5</v>
      </c>
      <c r="N371" s="33" t="n">
        <f aca="false">IF(J371="","",ABS(J371))</f>
        <v>1.875</v>
      </c>
      <c r="O371" s="33" t="n">
        <f aca="false">IF(K371="","",ABS(K371))</f>
        <v>1.1066683997509</v>
      </c>
      <c r="P371" s="34" t="str">
        <f aca="false">IF(B371&gt;=Eval_Start_Week,"YES","")</f>
        <v>YES</v>
      </c>
      <c r="Q371" s="34" t="str">
        <f aca="false">IF(AND(B371&gt;=Cal_Start_Week,B371&lt;=Cal_End_Week),"YES","")</f>
        <v>YES</v>
      </c>
    </row>
    <row r="372" customFormat="false" ht="15" hidden="false" customHeight="false" outlineLevel="0" collapsed="false">
      <c r="A372" s="31" t="str">
        <f aca="false">Demand_History!C372</f>
        <v>KIT-004</v>
      </c>
      <c r="B372" s="31" t="n">
        <f aca="false">Demand_History!A372</f>
        <v>59</v>
      </c>
      <c r="C372" s="32" t="n">
        <f aca="false">Demand_History!D372</f>
        <v>83</v>
      </c>
      <c r="D372" s="33" t="n">
        <f aca="false">IF(B372&gt;=2,C371,"")</f>
        <v>86</v>
      </c>
      <c r="E372" s="33" t="n">
        <f aca="false">IF(B372&gt;=5,AVERAGE(C368:C371),"")</f>
        <v>86.5</v>
      </c>
      <c r="F372" s="33" t="n">
        <f aca="false">IF(B372&gt;=9,AVERAGE(C364:C371),"")</f>
        <v>85.625</v>
      </c>
      <c r="G372" s="33" t="n">
        <f aca="false">IF(B372=1,"",IF(B372=2,C371,SES_Alpha*C371+(1-SES_Alpha)*G371))</f>
        <v>85.2253321201744</v>
      </c>
      <c r="H372" s="33" t="n">
        <f aca="false">IF(D372="","",D372-C372)</f>
        <v>3</v>
      </c>
      <c r="I372" s="33" t="n">
        <f aca="false">IF(E372="","",E372-C372)</f>
        <v>3.5</v>
      </c>
      <c r="J372" s="33" t="n">
        <f aca="false">IF(F372="","",F372-C372)</f>
        <v>2.625</v>
      </c>
      <c r="K372" s="33" t="n">
        <f aca="false">IF(G372="","",G372-C372)</f>
        <v>2.22533212017437</v>
      </c>
      <c r="L372" s="33" t="n">
        <f aca="false">IF(H372="","",ABS(H372))</f>
        <v>3</v>
      </c>
      <c r="M372" s="33" t="n">
        <f aca="false">IF(I372="","",ABS(I372))</f>
        <v>3.5</v>
      </c>
      <c r="N372" s="33" t="n">
        <f aca="false">IF(J372="","",ABS(J372))</f>
        <v>2.625</v>
      </c>
      <c r="O372" s="33" t="n">
        <f aca="false">IF(K372="","",ABS(K372))</f>
        <v>2.22533212017437</v>
      </c>
      <c r="P372" s="34" t="str">
        <f aca="false">IF(B372&gt;=Eval_Start_Week,"YES","")</f>
        <v>YES</v>
      </c>
      <c r="Q372" s="34" t="str">
        <f aca="false">IF(AND(B372&gt;=Cal_Start_Week,B372&lt;=Cal_End_Week),"YES","")</f>
        <v>YES</v>
      </c>
    </row>
    <row r="373" customFormat="false" ht="15" hidden="false" customHeight="false" outlineLevel="0" collapsed="false">
      <c r="A373" s="31" t="str">
        <f aca="false">Demand_History!C373</f>
        <v>KIT-004</v>
      </c>
      <c r="B373" s="31" t="n">
        <f aca="false">Demand_History!A373</f>
        <v>60</v>
      </c>
      <c r="C373" s="32" t="n">
        <f aca="false">Demand_History!D373</f>
        <v>96</v>
      </c>
      <c r="D373" s="33" t="n">
        <f aca="false">IF(B373&gt;=2,C372,"")</f>
        <v>83</v>
      </c>
      <c r="E373" s="33" t="n">
        <f aca="false">IF(B373&gt;=5,AVERAGE(C369:C372),"")</f>
        <v>83</v>
      </c>
      <c r="F373" s="33" t="n">
        <f aca="false">IF(B373&gt;=9,AVERAGE(C365:C372),"")</f>
        <v>84.25</v>
      </c>
      <c r="G373" s="33" t="n">
        <f aca="false">IF(B373=1,"",IF(B373=2,C372,SES_Alpha*C372+(1-SES_Alpha)*G372))</f>
        <v>84.5577324841221</v>
      </c>
      <c r="H373" s="33" t="n">
        <f aca="false">IF(D373="","",D373-C373)</f>
        <v>-13</v>
      </c>
      <c r="I373" s="33" t="n">
        <f aca="false">IF(E373="","",E373-C373)</f>
        <v>-13</v>
      </c>
      <c r="J373" s="33" t="n">
        <f aca="false">IF(F373="","",F373-C373)</f>
        <v>-11.75</v>
      </c>
      <c r="K373" s="33" t="n">
        <f aca="false">IF(G373="","",G373-C373)</f>
        <v>-11.4422675158779</v>
      </c>
      <c r="L373" s="33" t="n">
        <f aca="false">IF(H373="","",ABS(H373))</f>
        <v>13</v>
      </c>
      <c r="M373" s="33" t="n">
        <f aca="false">IF(I373="","",ABS(I373))</f>
        <v>13</v>
      </c>
      <c r="N373" s="33" t="n">
        <f aca="false">IF(J373="","",ABS(J373))</f>
        <v>11.75</v>
      </c>
      <c r="O373" s="33" t="n">
        <f aca="false">IF(K373="","",ABS(K373))</f>
        <v>11.4422675158779</v>
      </c>
      <c r="P373" s="34" t="str">
        <f aca="false">IF(B373&gt;=Eval_Start_Week,"YES","")</f>
        <v>YES</v>
      </c>
      <c r="Q373" s="34" t="str">
        <f aca="false">IF(AND(B373&gt;=Cal_Start_Week,B373&lt;=Cal_End_Week),"YES","")</f>
        <v>YES</v>
      </c>
    </row>
    <row r="374" customFormat="false" ht="15" hidden="false" customHeight="false" outlineLevel="0" collapsed="false">
      <c r="A374" s="31" t="str">
        <f aca="false">Demand_History!C374</f>
        <v>KIT-004</v>
      </c>
      <c r="B374" s="31" t="n">
        <f aca="false">Demand_History!A374</f>
        <v>61</v>
      </c>
      <c r="C374" s="32" t="n">
        <f aca="false">Demand_History!D374</f>
        <v>112</v>
      </c>
      <c r="D374" s="33" t="n">
        <f aca="false">IF(B374&gt;=2,C373,"")</f>
        <v>96</v>
      </c>
      <c r="E374" s="33" t="n">
        <f aca="false">IF(B374&gt;=5,AVERAGE(C370:C373),"")</f>
        <v>84.75</v>
      </c>
      <c r="F374" s="33" t="n">
        <f aca="false">IF(B374&gt;=9,AVERAGE(C366:C373),"")</f>
        <v>87.375</v>
      </c>
      <c r="G374" s="33" t="n">
        <f aca="false">IF(B374=1,"",IF(B374=2,C373,SES_Alpha*C373+(1-SES_Alpha)*G373))</f>
        <v>87.9904127388854</v>
      </c>
      <c r="H374" s="33" t="n">
        <f aca="false">IF(D374="","",D374-C374)</f>
        <v>-16</v>
      </c>
      <c r="I374" s="33" t="n">
        <f aca="false">IF(E374="","",E374-C374)</f>
        <v>-27.25</v>
      </c>
      <c r="J374" s="33" t="n">
        <f aca="false">IF(F374="","",F374-C374)</f>
        <v>-24.625</v>
      </c>
      <c r="K374" s="33" t="n">
        <f aca="false">IF(G374="","",G374-C374)</f>
        <v>-24.0095872611146</v>
      </c>
      <c r="L374" s="33" t="n">
        <f aca="false">IF(H374="","",ABS(H374))</f>
        <v>16</v>
      </c>
      <c r="M374" s="33" t="n">
        <f aca="false">IF(I374="","",ABS(I374))</f>
        <v>27.25</v>
      </c>
      <c r="N374" s="33" t="n">
        <f aca="false">IF(J374="","",ABS(J374))</f>
        <v>24.625</v>
      </c>
      <c r="O374" s="33" t="n">
        <f aca="false">IF(K374="","",ABS(K374))</f>
        <v>24.0095872611146</v>
      </c>
      <c r="P374" s="34" t="str">
        <f aca="false">IF(B374&gt;=Eval_Start_Week,"YES","")</f>
        <v>YES</v>
      </c>
      <c r="Q374" s="34" t="str">
        <f aca="false">IF(AND(B374&gt;=Cal_Start_Week,B374&lt;=Cal_End_Week),"YES","")</f>
        <v>YES</v>
      </c>
    </row>
    <row r="375" customFormat="false" ht="15" hidden="false" customHeight="false" outlineLevel="0" collapsed="false">
      <c r="A375" s="31" t="str">
        <f aca="false">Demand_History!C375</f>
        <v>KIT-004</v>
      </c>
      <c r="B375" s="31" t="n">
        <f aca="false">Demand_History!A375</f>
        <v>62</v>
      </c>
      <c r="C375" s="32" t="n">
        <f aca="false">Demand_History!D375</f>
        <v>92</v>
      </c>
      <c r="D375" s="33" t="n">
        <f aca="false">IF(B375&gt;=2,C374,"")</f>
        <v>112</v>
      </c>
      <c r="E375" s="33" t="n">
        <f aca="false">IF(B375&gt;=5,AVERAGE(C371:C374),"")</f>
        <v>94.25</v>
      </c>
      <c r="F375" s="33" t="n">
        <f aca="false">IF(B375&gt;=9,AVERAGE(C367:C374),"")</f>
        <v>91.875</v>
      </c>
      <c r="G375" s="33" t="n">
        <f aca="false">IF(B375=1,"",IF(B375=2,C374,SES_Alpha*C374+(1-SES_Alpha)*G374))</f>
        <v>95.1932889172198</v>
      </c>
      <c r="H375" s="33" t="n">
        <f aca="false">IF(D375="","",D375-C375)</f>
        <v>20</v>
      </c>
      <c r="I375" s="33" t="n">
        <f aca="false">IF(E375="","",E375-C375)</f>
        <v>2.25</v>
      </c>
      <c r="J375" s="33" t="n">
        <f aca="false">IF(F375="","",F375-C375)</f>
        <v>-0.125</v>
      </c>
      <c r="K375" s="33" t="n">
        <f aca="false">IF(G375="","",G375-C375)</f>
        <v>3.1932889172198</v>
      </c>
      <c r="L375" s="33" t="n">
        <f aca="false">IF(H375="","",ABS(H375))</f>
        <v>20</v>
      </c>
      <c r="M375" s="33" t="n">
        <f aca="false">IF(I375="","",ABS(I375))</f>
        <v>2.25</v>
      </c>
      <c r="N375" s="33" t="n">
        <f aca="false">IF(J375="","",ABS(J375))</f>
        <v>0.125</v>
      </c>
      <c r="O375" s="33" t="n">
        <f aca="false">IF(K375="","",ABS(K375))</f>
        <v>3.1932889172198</v>
      </c>
      <c r="P375" s="34" t="str">
        <f aca="false">IF(B375&gt;=Eval_Start_Week,"YES","")</f>
        <v>YES</v>
      </c>
      <c r="Q375" s="34" t="str">
        <f aca="false">IF(AND(B375&gt;=Cal_Start_Week,B375&lt;=Cal_End_Week),"YES","")</f>
        <v>YES</v>
      </c>
    </row>
    <row r="376" customFormat="false" ht="15" hidden="false" customHeight="false" outlineLevel="0" collapsed="false">
      <c r="A376" s="31" t="str">
        <f aca="false">Demand_History!C376</f>
        <v>KIT-004</v>
      </c>
      <c r="B376" s="31" t="n">
        <f aca="false">Demand_History!A376</f>
        <v>63</v>
      </c>
      <c r="C376" s="32" t="n">
        <f aca="false">Demand_History!D376</f>
        <v>83</v>
      </c>
      <c r="D376" s="33" t="n">
        <f aca="false">IF(B376&gt;=2,C375,"")</f>
        <v>92</v>
      </c>
      <c r="E376" s="33" t="n">
        <f aca="false">IF(B376&gt;=5,AVERAGE(C372:C375),"")</f>
        <v>95.75</v>
      </c>
      <c r="F376" s="33" t="n">
        <f aca="false">IF(B376&gt;=9,AVERAGE(C368:C375),"")</f>
        <v>91.125</v>
      </c>
      <c r="G376" s="33" t="n">
        <f aca="false">IF(B376=1,"",IF(B376=2,C375,SES_Alpha*C375+(1-SES_Alpha)*G375))</f>
        <v>94.2353022420539</v>
      </c>
      <c r="H376" s="33" t="n">
        <f aca="false">IF(D376="","",D376-C376)</f>
        <v>9</v>
      </c>
      <c r="I376" s="33" t="n">
        <f aca="false">IF(E376="","",E376-C376)</f>
        <v>12.75</v>
      </c>
      <c r="J376" s="33" t="n">
        <f aca="false">IF(F376="","",F376-C376)</f>
        <v>8.125</v>
      </c>
      <c r="K376" s="33" t="n">
        <f aca="false">IF(G376="","",G376-C376)</f>
        <v>11.2353022420538</v>
      </c>
      <c r="L376" s="33" t="n">
        <f aca="false">IF(H376="","",ABS(H376))</f>
        <v>9</v>
      </c>
      <c r="M376" s="33" t="n">
        <f aca="false">IF(I376="","",ABS(I376))</f>
        <v>12.75</v>
      </c>
      <c r="N376" s="33" t="n">
        <f aca="false">IF(J376="","",ABS(J376))</f>
        <v>8.125</v>
      </c>
      <c r="O376" s="33" t="n">
        <f aca="false">IF(K376="","",ABS(K376))</f>
        <v>11.2353022420538</v>
      </c>
      <c r="P376" s="34" t="str">
        <f aca="false">IF(B376&gt;=Eval_Start_Week,"YES","")</f>
        <v>YES</v>
      </c>
      <c r="Q376" s="34" t="str">
        <f aca="false">IF(AND(B376&gt;=Cal_Start_Week,B376&lt;=Cal_End_Week),"YES","")</f>
        <v>YES</v>
      </c>
    </row>
    <row r="377" customFormat="false" ht="15" hidden="false" customHeight="false" outlineLevel="0" collapsed="false">
      <c r="A377" s="31" t="str">
        <f aca="false">Demand_History!C377</f>
        <v>KIT-004</v>
      </c>
      <c r="B377" s="31" t="n">
        <f aca="false">Demand_History!A377</f>
        <v>64</v>
      </c>
      <c r="C377" s="32" t="n">
        <f aca="false">Demand_History!D377</f>
        <v>79</v>
      </c>
      <c r="D377" s="33" t="n">
        <f aca="false">IF(B377&gt;=2,C376,"")</f>
        <v>83</v>
      </c>
      <c r="E377" s="33" t="n">
        <f aca="false">IF(B377&gt;=5,AVERAGE(C373:C376),"")</f>
        <v>95.75</v>
      </c>
      <c r="F377" s="33" t="n">
        <f aca="false">IF(B377&gt;=9,AVERAGE(C369:C376),"")</f>
        <v>89.375</v>
      </c>
      <c r="G377" s="33" t="n">
        <f aca="false">IF(B377=1,"",IF(B377=2,C376,SES_Alpha*C376+(1-SES_Alpha)*G376))</f>
        <v>90.8647115694377</v>
      </c>
      <c r="H377" s="33" t="n">
        <f aca="false">IF(D377="","",D377-C377)</f>
        <v>4</v>
      </c>
      <c r="I377" s="33" t="n">
        <f aca="false">IF(E377="","",E377-C377)</f>
        <v>16.75</v>
      </c>
      <c r="J377" s="33" t="n">
        <f aca="false">IF(F377="","",F377-C377)</f>
        <v>10.375</v>
      </c>
      <c r="K377" s="33" t="n">
        <f aca="false">IF(G377="","",G377-C377)</f>
        <v>11.8647115694377</v>
      </c>
      <c r="L377" s="33" t="n">
        <f aca="false">IF(H377="","",ABS(H377))</f>
        <v>4</v>
      </c>
      <c r="M377" s="33" t="n">
        <f aca="false">IF(I377="","",ABS(I377))</f>
        <v>16.75</v>
      </c>
      <c r="N377" s="33" t="n">
        <f aca="false">IF(J377="","",ABS(J377))</f>
        <v>10.375</v>
      </c>
      <c r="O377" s="33" t="n">
        <f aca="false">IF(K377="","",ABS(K377))</f>
        <v>11.8647115694377</v>
      </c>
      <c r="P377" s="34" t="str">
        <f aca="false">IF(B377&gt;=Eval_Start_Week,"YES","")</f>
        <v>YES</v>
      </c>
      <c r="Q377" s="34" t="str">
        <f aca="false">IF(AND(B377&gt;=Cal_Start_Week,B377&lt;=Cal_End_Week),"YES","")</f>
        <v>YES</v>
      </c>
    </row>
    <row r="378" customFormat="false" ht="15" hidden="false" customHeight="false" outlineLevel="0" collapsed="false">
      <c r="A378" s="31" t="str">
        <f aca="false">Demand_History!C378</f>
        <v>KIT-004</v>
      </c>
      <c r="B378" s="31" t="n">
        <f aca="false">Demand_History!A378</f>
        <v>65</v>
      </c>
      <c r="C378" s="32" t="n">
        <f aca="false">Demand_History!D378</f>
        <v>89</v>
      </c>
      <c r="D378" s="33" t="n">
        <f aca="false">IF(B378&gt;=2,C377,"")</f>
        <v>79</v>
      </c>
      <c r="E378" s="33" t="n">
        <f aca="false">IF(B378&gt;=5,AVERAGE(C374:C377),"")</f>
        <v>91.5</v>
      </c>
      <c r="F378" s="33" t="n">
        <f aca="false">IF(B378&gt;=9,AVERAGE(C370:C377),"")</f>
        <v>88.125</v>
      </c>
      <c r="G378" s="33" t="n">
        <f aca="false">IF(B378=1,"",IF(B378=2,C377,SES_Alpha*C377+(1-SES_Alpha)*G377))</f>
        <v>87.3052980986064</v>
      </c>
      <c r="H378" s="33" t="n">
        <f aca="false">IF(D378="","",D378-C378)</f>
        <v>-10</v>
      </c>
      <c r="I378" s="33" t="n">
        <f aca="false">IF(E378="","",E378-C378)</f>
        <v>2.5</v>
      </c>
      <c r="J378" s="33" t="n">
        <f aca="false">IF(F378="","",F378-C378)</f>
        <v>-0.875</v>
      </c>
      <c r="K378" s="33" t="n">
        <f aca="false">IF(G378="","",G378-C378)</f>
        <v>-1.69470190139361</v>
      </c>
      <c r="L378" s="33" t="n">
        <f aca="false">IF(H378="","",ABS(H378))</f>
        <v>10</v>
      </c>
      <c r="M378" s="33" t="n">
        <f aca="false">IF(I378="","",ABS(I378))</f>
        <v>2.5</v>
      </c>
      <c r="N378" s="33" t="n">
        <f aca="false">IF(J378="","",ABS(J378))</f>
        <v>0.875</v>
      </c>
      <c r="O378" s="33" t="n">
        <f aca="false">IF(K378="","",ABS(K378))</f>
        <v>1.69470190139361</v>
      </c>
      <c r="P378" s="34" t="str">
        <f aca="false">IF(B378&gt;=Eval_Start_Week,"YES","")</f>
        <v>YES</v>
      </c>
      <c r="Q378" s="34" t="str">
        <f aca="false">IF(AND(B378&gt;=Cal_Start_Week,B378&lt;=Cal_End_Week),"YES","")</f>
        <v>YES</v>
      </c>
    </row>
    <row r="379" customFormat="false" ht="15" hidden="false" customHeight="false" outlineLevel="0" collapsed="false">
      <c r="A379" s="31" t="str">
        <f aca="false">Demand_History!C379</f>
        <v>KIT-004</v>
      </c>
      <c r="B379" s="31" t="n">
        <f aca="false">Demand_History!A379</f>
        <v>66</v>
      </c>
      <c r="C379" s="32" t="n">
        <f aca="false">Demand_History!D379</f>
        <v>88</v>
      </c>
      <c r="D379" s="33" t="n">
        <f aca="false">IF(B379&gt;=2,C378,"")</f>
        <v>89</v>
      </c>
      <c r="E379" s="33" t="n">
        <f aca="false">IF(B379&gt;=5,AVERAGE(C375:C378),"")</f>
        <v>85.75</v>
      </c>
      <c r="F379" s="33" t="n">
        <f aca="false">IF(B379&gt;=9,AVERAGE(C371:C378),"")</f>
        <v>90</v>
      </c>
      <c r="G379" s="33" t="n">
        <f aca="false">IF(B379=1,"",IF(B379=2,C378,SES_Alpha*C378+(1-SES_Alpha)*G378))</f>
        <v>87.8137086690245</v>
      </c>
      <c r="H379" s="33" t="n">
        <f aca="false">IF(D379="","",D379-C379)</f>
        <v>1</v>
      </c>
      <c r="I379" s="33" t="n">
        <f aca="false">IF(E379="","",E379-C379)</f>
        <v>-2.25</v>
      </c>
      <c r="J379" s="33" t="n">
        <f aca="false">IF(F379="","",F379-C379)</f>
        <v>2</v>
      </c>
      <c r="K379" s="33" t="n">
        <f aca="false">IF(G379="","",G379-C379)</f>
        <v>-0.186291330975536</v>
      </c>
      <c r="L379" s="33" t="n">
        <f aca="false">IF(H379="","",ABS(H379))</f>
        <v>1</v>
      </c>
      <c r="M379" s="33" t="n">
        <f aca="false">IF(I379="","",ABS(I379))</f>
        <v>2.25</v>
      </c>
      <c r="N379" s="33" t="n">
        <f aca="false">IF(J379="","",ABS(J379))</f>
        <v>2</v>
      </c>
      <c r="O379" s="33" t="n">
        <f aca="false">IF(K379="","",ABS(K379))</f>
        <v>0.186291330975536</v>
      </c>
      <c r="P379" s="34" t="str">
        <f aca="false">IF(B379&gt;=Eval_Start_Week,"YES","")</f>
        <v>YES</v>
      </c>
      <c r="Q379" s="34" t="str">
        <f aca="false">IF(AND(B379&gt;=Cal_Start_Week,B379&lt;=Cal_End_Week),"YES","")</f>
        <v>YES</v>
      </c>
    </row>
    <row r="380" customFormat="false" ht="15" hidden="false" customHeight="false" outlineLevel="0" collapsed="false">
      <c r="A380" s="31" t="str">
        <f aca="false">Demand_History!C380</f>
        <v>KIT-004</v>
      </c>
      <c r="B380" s="31" t="n">
        <f aca="false">Demand_History!A380</f>
        <v>67</v>
      </c>
      <c r="C380" s="32" t="n">
        <f aca="false">Demand_History!D380</f>
        <v>79</v>
      </c>
      <c r="D380" s="33" t="n">
        <f aca="false">IF(B380&gt;=2,C379,"")</f>
        <v>88</v>
      </c>
      <c r="E380" s="33" t="n">
        <f aca="false">IF(B380&gt;=5,AVERAGE(C376:C379),"")</f>
        <v>84.75</v>
      </c>
      <c r="F380" s="33" t="n">
        <f aca="false">IF(B380&gt;=9,AVERAGE(C372:C379),"")</f>
        <v>90.25</v>
      </c>
      <c r="G380" s="33" t="n">
        <f aca="false">IF(B380=1,"",IF(B380=2,C379,SES_Alpha*C379+(1-SES_Alpha)*G379))</f>
        <v>87.8695960683171</v>
      </c>
      <c r="H380" s="33" t="n">
        <f aca="false">IF(D380="","",D380-C380)</f>
        <v>9</v>
      </c>
      <c r="I380" s="33" t="n">
        <f aca="false">IF(E380="","",E380-C380)</f>
        <v>5.75</v>
      </c>
      <c r="J380" s="33" t="n">
        <f aca="false">IF(F380="","",F380-C380)</f>
        <v>11.25</v>
      </c>
      <c r="K380" s="33" t="n">
        <f aca="false">IF(G380="","",G380-C380)</f>
        <v>8.86959606831712</v>
      </c>
      <c r="L380" s="33" t="n">
        <f aca="false">IF(H380="","",ABS(H380))</f>
        <v>9</v>
      </c>
      <c r="M380" s="33" t="n">
        <f aca="false">IF(I380="","",ABS(I380))</f>
        <v>5.75</v>
      </c>
      <c r="N380" s="33" t="n">
        <f aca="false">IF(J380="","",ABS(J380))</f>
        <v>11.25</v>
      </c>
      <c r="O380" s="33" t="n">
        <f aca="false">IF(K380="","",ABS(K380))</f>
        <v>8.86959606831712</v>
      </c>
      <c r="P380" s="34" t="str">
        <f aca="false">IF(B380&gt;=Eval_Start_Week,"YES","")</f>
        <v>YES</v>
      </c>
      <c r="Q380" s="34" t="str">
        <f aca="false">IF(AND(B380&gt;=Cal_Start_Week,B380&lt;=Cal_End_Week),"YES","")</f>
        <v>YES</v>
      </c>
    </row>
    <row r="381" customFormat="false" ht="15" hidden="false" customHeight="false" outlineLevel="0" collapsed="false">
      <c r="A381" s="31" t="str">
        <f aca="false">Demand_History!C381</f>
        <v>KIT-004</v>
      </c>
      <c r="B381" s="31" t="n">
        <f aca="false">Demand_History!A381</f>
        <v>68</v>
      </c>
      <c r="C381" s="32" t="n">
        <f aca="false">Demand_History!D381</f>
        <v>91</v>
      </c>
      <c r="D381" s="33" t="n">
        <f aca="false">IF(B381&gt;=2,C380,"")</f>
        <v>79</v>
      </c>
      <c r="E381" s="33" t="n">
        <f aca="false">IF(B381&gt;=5,AVERAGE(C377:C380),"")</f>
        <v>83.75</v>
      </c>
      <c r="F381" s="33" t="n">
        <f aca="false">IF(B381&gt;=9,AVERAGE(C373:C380),"")</f>
        <v>89.75</v>
      </c>
      <c r="G381" s="33" t="n">
        <f aca="false">IF(B381=1,"",IF(B381=2,C380,SES_Alpha*C380+(1-SES_Alpha)*G380))</f>
        <v>85.208717247822</v>
      </c>
      <c r="H381" s="33" t="n">
        <f aca="false">IF(D381="","",D381-C381)</f>
        <v>-12</v>
      </c>
      <c r="I381" s="33" t="n">
        <f aca="false">IF(E381="","",E381-C381)</f>
        <v>-7.25</v>
      </c>
      <c r="J381" s="33" t="n">
        <f aca="false">IF(F381="","",F381-C381)</f>
        <v>-1.25</v>
      </c>
      <c r="K381" s="33" t="n">
        <f aca="false">IF(G381="","",G381-C381)</f>
        <v>-5.79128275217802</v>
      </c>
      <c r="L381" s="33" t="n">
        <f aca="false">IF(H381="","",ABS(H381))</f>
        <v>12</v>
      </c>
      <c r="M381" s="33" t="n">
        <f aca="false">IF(I381="","",ABS(I381))</f>
        <v>7.25</v>
      </c>
      <c r="N381" s="33" t="n">
        <f aca="false">IF(J381="","",ABS(J381))</f>
        <v>1.25</v>
      </c>
      <c r="O381" s="33" t="n">
        <f aca="false">IF(K381="","",ABS(K381))</f>
        <v>5.79128275217802</v>
      </c>
      <c r="P381" s="34" t="str">
        <f aca="false">IF(B381&gt;=Eval_Start_Week,"YES","")</f>
        <v>YES</v>
      </c>
      <c r="Q381" s="34" t="str">
        <f aca="false">IF(AND(B381&gt;=Cal_Start_Week,B381&lt;=Cal_End_Week),"YES","")</f>
        <v>YES</v>
      </c>
    </row>
    <row r="382" customFormat="false" ht="15" hidden="false" customHeight="false" outlineLevel="0" collapsed="false">
      <c r="A382" s="31" t="str">
        <f aca="false">Demand_History!C382</f>
        <v>KIT-004</v>
      </c>
      <c r="B382" s="31" t="n">
        <f aca="false">Demand_History!A382</f>
        <v>69</v>
      </c>
      <c r="C382" s="32" t="n">
        <f aca="false">Demand_History!D382</f>
        <v>79</v>
      </c>
      <c r="D382" s="33" t="n">
        <f aca="false">IF(B382&gt;=2,C381,"")</f>
        <v>91</v>
      </c>
      <c r="E382" s="33" t="n">
        <f aca="false">IF(B382&gt;=5,AVERAGE(C378:C381),"")</f>
        <v>86.75</v>
      </c>
      <c r="F382" s="33" t="n">
        <f aca="false">IF(B382&gt;=9,AVERAGE(C374:C381),"")</f>
        <v>89.125</v>
      </c>
      <c r="G382" s="33" t="n">
        <f aca="false">IF(B382=1,"",IF(B382=2,C381,SES_Alpha*C381+(1-SES_Alpha)*G381))</f>
        <v>86.9461020734754</v>
      </c>
      <c r="H382" s="33" t="n">
        <f aca="false">IF(D382="","",D382-C382)</f>
        <v>12</v>
      </c>
      <c r="I382" s="33" t="n">
        <f aca="false">IF(E382="","",E382-C382)</f>
        <v>7.75</v>
      </c>
      <c r="J382" s="33" t="n">
        <f aca="false">IF(F382="","",F382-C382)</f>
        <v>10.125</v>
      </c>
      <c r="K382" s="33" t="n">
        <f aca="false">IF(G382="","",G382-C382)</f>
        <v>7.94610207347539</v>
      </c>
      <c r="L382" s="33" t="n">
        <f aca="false">IF(H382="","",ABS(H382))</f>
        <v>12</v>
      </c>
      <c r="M382" s="33" t="n">
        <f aca="false">IF(I382="","",ABS(I382))</f>
        <v>7.75</v>
      </c>
      <c r="N382" s="33" t="n">
        <f aca="false">IF(J382="","",ABS(J382))</f>
        <v>10.125</v>
      </c>
      <c r="O382" s="33" t="n">
        <f aca="false">IF(K382="","",ABS(K382))</f>
        <v>7.94610207347539</v>
      </c>
      <c r="P382" s="34" t="str">
        <f aca="false">IF(B382&gt;=Eval_Start_Week,"YES","")</f>
        <v>YES</v>
      </c>
      <c r="Q382" s="34" t="str">
        <f aca="false">IF(AND(B382&gt;=Cal_Start_Week,B382&lt;=Cal_End_Week),"YES","")</f>
        <v>YES</v>
      </c>
    </row>
    <row r="383" customFormat="false" ht="15" hidden="false" customHeight="false" outlineLevel="0" collapsed="false">
      <c r="A383" s="31" t="str">
        <f aca="false">Demand_History!C383</f>
        <v>KIT-004</v>
      </c>
      <c r="B383" s="31" t="n">
        <f aca="false">Demand_History!A383</f>
        <v>70</v>
      </c>
      <c r="C383" s="32" t="n">
        <f aca="false">Demand_History!D383</f>
        <v>101</v>
      </c>
      <c r="D383" s="33" t="n">
        <f aca="false">IF(B383&gt;=2,C382,"")</f>
        <v>79</v>
      </c>
      <c r="E383" s="33" t="n">
        <f aca="false">IF(B383&gt;=5,AVERAGE(C379:C382),"")</f>
        <v>84.25</v>
      </c>
      <c r="F383" s="33" t="n">
        <f aca="false">IF(B383&gt;=9,AVERAGE(C375:C382),"")</f>
        <v>85</v>
      </c>
      <c r="G383" s="33" t="n">
        <f aca="false">IF(B383=1,"",IF(B383=2,C382,SES_Alpha*C382+(1-SES_Alpha)*G382))</f>
        <v>84.5622714514328</v>
      </c>
      <c r="H383" s="33" t="n">
        <f aca="false">IF(D383="","",D383-C383)</f>
        <v>-22</v>
      </c>
      <c r="I383" s="33" t="n">
        <f aca="false">IF(E383="","",E383-C383)</f>
        <v>-16.75</v>
      </c>
      <c r="J383" s="33" t="n">
        <f aca="false">IF(F383="","",F383-C383)</f>
        <v>-16</v>
      </c>
      <c r="K383" s="33" t="n">
        <f aca="false">IF(G383="","",G383-C383)</f>
        <v>-16.4377285485672</v>
      </c>
      <c r="L383" s="33" t="n">
        <f aca="false">IF(H383="","",ABS(H383))</f>
        <v>22</v>
      </c>
      <c r="M383" s="33" t="n">
        <f aca="false">IF(I383="","",ABS(I383))</f>
        <v>16.75</v>
      </c>
      <c r="N383" s="33" t="n">
        <f aca="false">IF(J383="","",ABS(J383))</f>
        <v>16</v>
      </c>
      <c r="O383" s="33" t="n">
        <f aca="false">IF(K383="","",ABS(K383))</f>
        <v>16.4377285485672</v>
      </c>
      <c r="P383" s="34" t="str">
        <f aca="false">IF(B383&gt;=Eval_Start_Week,"YES","")</f>
        <v>YES</v>
      </c>
      <c r="Q383" s="34" t="str">
        <f aca="false">IF(AND(B383&gt;=Cal_Start_Week,B383&lt;=Cal_End_Week),"YES","")</f>
        <v>YES</v>
      </c>
    </row>
    <row r="384" customFormat="false" ht="15" hidden="false" customHeight="false" outlineLevel="0" collapsed="false">
      <c r="A384" s="31" t="str">
        <f aca="false">Demand_History!C384</f>
        <v>KIT-004</v>
      </c>
      <c r="B384" s="31" t="n">
        <f aca="false">Demand_History!A384</f>
        <v>71</v>
      </c>
      <c r="C384" s="32" t="n">
        <f aca="false">Demand_History!D384</f>
        <v>100</v>
      </c>
      <c r="D384" s="33" t="n">
        <f aca="false">IF(B384&gt;=2,C383,"")</f>
        <v>101</v>
      </c>
      <c r="E384" s="33" t="n">
        <f aca="false">IF(B384&gt;=5,AVERAGE(C380:C383),"")</f>
        <v>87.5</v>
      </c>
      <c r="F384" s="33" t="n">
        <f aca="false">IF(B384&gt;=9,AVERAGE(C376:C383),"")</f>
        <v>86.125</v>
      </c>
      <c r="G384" s="33" t="n">
        <f aca="false">IF(B384=1,"",IF(B384=2,C383,SES_Alpha*C383+(1-SES_Alpha)*G383))</f>
        <v>89.4935900160029</v>
      </c>
      <c r="H384" s="33" t="n">
        <f aca="false">IF(D384="","",D384-C384)</f>
        <v>1</v>
      </c>
      <c r="I384" s="33" t="n">
        <f aca="false">IF(E384="","",E384-C384)</f>
        <v>-12.5</v>
      </c>
      <c r="J384" s="33" t="n">
        <f aca="false">IF(F384="","",F384-C384)</f>
        <v>-13.875</v>
      </c>
      <c r="K384" s="33" t="n">
        <f aca="false">IF(G384="","",G384-C384)</f>
        <v>-10.5064099839971</v>
      </c>
      <c r="L384" s="33" t="n">
        <f aca="false">IF(H384="","",ABS(H384))</f>
        <v>1</v>
      </c>
      <c r="M384" s="33" t="n">
        <f aca="false">IF(I384="","",ABS(I384))</f>
        <v>12.5</v>
      </c>
      <c r="N384" s="33" t="n">
        <f aca="false">IF(J384="","",ABS(J384))</f>
        <v>13.875</v>
      </c>
      <c r="O384" s="33" t="n">
        <f aca="false">IF(K384="","",ABS(K384))</f>
        <v>10.5064099839971</v>
      </c>
      <c r="P384" s="34" t="str">
        <f aca="false">IF(B384&gt;=Eval_Start_Week,"YES","")</f>
        <v>YES</v>
      </c>
      <c r="Q384" s="34" t="str">
        <f aca="false">IF(AND(B384&gt;=Cal_Start_Week,B384&lt;=Cal_End_Week),"YES","")</f>
        <v>YES</v>
      </c>
    </row>
    <row r="385" customFormat="false" ht="15" hidden="false" customHeight="false" outlineLevel="0" collapsed="false">
      <c r="A385" s="31" t="str">
        <f aca="false">Demand_History!C385</f>
        <v>KIT-004</v>
      </c>
      <c r="B385" s="31" t="n">
        <f aca="false">Demand_History!A385</f>
        <v>72</v>
      </c>
      <c r="C385" s="32" t="n">
        <f aca="false">Demand_History!D385</f>
        <v>100</v>
      </c>
      <c r="D385" s="33" t="n">
        <f aca="false">IF(B385&gt;=2,C384,"")</f>
        <v>100</v>
      </c>
      <c r="E385" s="33" t="n">
        <f aca="false">IF(B385&gt;=5,AVERAGE(C381:C384),"")</f>
        <v>92.75</v>
      </c>
      <c r="F385" s="33" t="n">
        <f aca="false">IF(B385&gt;=9,AVERAGE(C377:C384),"")</f>
        <v>88.25</v>
      </c>
      <c r="G385" s="33" t="n">
        <f aca="false">IF(B385=1,"",IF(B385=2,C384,SES_Alpha*C384+(1-SES_Alpha)*G384))</f>
        <v>92.645513011202</v>
      </c>
      <c r="H385" s="33" t="n">
        <f aca="false">IF(D385="","",D385-C385)</f>
        <v>0</v>
      </c>
      <c r="I385" s="33" t="n">
        <f aca="false">IF(E385="","",E385-C385)</f>
        <v>-7.25</v>
      </c>
      <c r="J385" s="33" t="n">
        <f aca="false">IF(F385="","",F385-C385)</f>
        <v>-11.75</v>
      </c>
      <c r="K385" s="33" t="n">
        <f aca="false">IF(G385="","",G385-C385)</f>
        <v>-7.35448698879796</v>
      </c>
      <c r="L385" s="33" t="n">
        <f aca="false">IF(H385="","",ABS(H385))</f>
        <v>0</v>
      </c>
      <c r="M385" s="33" t="n">
        <f aca="false">IF(I385="","",ABS(I385))</f>
        <v>7.25</v>
      </c>
      <c r="N385" s="33" t="n">
        <f aca="false">IF(J385="","",ABS(J385))</f>
        <v>11.75</v>
      </c>
      <c r="O385" s="33" t="n">
        <f aca="false">IF(K385="","",ABS(K385))</f>
        <v>7.35448698879796</v>
      </c>
      <c r="P385" s="34" t="str">
        <f aca="false">IF(B385&gt;=Eval_Start_Week,"YES","")</f>
        <v>YES</v>
      </c>
      <c r="Q385" s="34" t="str">
        <f aca="false">IF(AND(B385&gt;=Cal_Start_Week,B385&lt;=Cal_End_Week),"YES","")</f>
        <v>YES</v>
      </c>
    </row>
    <row r="386" customFormat="false" ht="15" hidden="false" customHeight="false" outlineLevel="0" collapsed="false">
      <c r="A386" s="31" t="str">
        <f aca="false">Demand_History!C386</f>
        <v>KIT-004</v>
      </c>
      <c r="B386" s="31" t="n">
        <f aca="false">Demand_History!A386</f>
        <v>73</v>
      </c>
      <c r="C386" s="32" t="n">
        <f aca="false">Demand_History!D386</f>
        <v>85</v>
      </c>
      <c r="D386" s="33" t="n">
        <f aca="false">IF(B386&gt;=2,C385,"")</f>
        <v>100</v>
      </c>
      <c r="E386" s="33" t="n">
        <f aca="false">IF(B386&gt;=5,AVERAGE(C382:C385),"")</f>
        <v>95</v>
      </c>
      <c r="F386" s="33" t="n">
        <f aca="false">IF(B386&gt;=9,AVERAGE(C378:C385),"")</f>
        <v>90.875</v>
      </c>
      <c r="G386" s="33" t="n">
        <f aca="false">IF(B386=1,"",IF(B386=2,C385,SES_Alpha*C385+(1-SES_Alpha)*G385))</f>
        <v>94.8518591078414</v>
      </c>
      <c r="H386" s="33" t="n">
        <f aca="false">IF(D386="","",D386-C386)</f>
        <v>15</v>
      </c>
      <c r="I386" s="33" t="n">
        <f aca="false">IF(E386="","",E386-C386)</f>
        <v>10</v>
      </c>
      <c r="J386" s="33" t="n">
        <f aca="false">IF(F386="","",F386-C386)</f>
        <v>5.875</v>
      </c>
      <c r="K386" s="33" t="n">
        <f aca="false">IF(G386="","",G386-C386)</f>
        <v>9.85185910784142</v>
      </c>
      <c r="L386" s="33" t="n">
        <f aca="false">IF(H386="","",ABS(H386))</f>
        <v>15</v>
      </c>
      <c r="M386" s="33" t="n">
        <f aca="false">IF(I386="","",ABS(I386))</f>
        <v>10</v>
      </c>
      <c r="N386" s="33" t="n">
        <f aca="false">IF(J386="","",ABS(J386))</f>
        <v>5.875</v>
      </c>
      <c r="O386" s="33" t="n">
        <f aca="false">IF(K386="","",ABS(K386))</f>
        <v>9.85185910784142</v>
      </c>
      <c r="P386" s="34" t="str">
        <f aca="false">IF(B386&gt;=Eval_Start_Week,"YES","")</f>
        <v>YES</v>
      </c>
      <c r="Q386" s="34" t="str">
        <f aca="false">IF(AND(B386&gt;=Cal_Start_Week,B386&lt;=Cal_End_Week),"YES","")</f>
        <v>YES</v>
      </c>
    </row>
    <row r="387" customFormat="false" ht="15" hidden="false" customHeight="false" outlineLevel="0" collapsed="false">
      <c r="A387" s="31" t="str">
        <f aca="false">Demand_History!C387</f>
        <v>KIT-004</v>
      </c>
      <c r="B387" s="31" t="n">
        <f aca="false">Demand_History!A387</f>
        <v>74</v>
      </c>
      <c r="C387" s="32" t="n">
        <f aca="false">Demand_History!D387</f>
        <v>95</v>
      </c>
      <c r="D387" s="33" t="n">
        <f aca="false">IF(B387&gt;=2,C386,"")</f>
        <v>85</v>
      </c>
      <c r="E387" s="33" t="n">
        <f aca="false">IF(B387&gt;=5,AVERAGE(C383:C386),"")</f>
        <v>96.5</v>
      </c>
      <c r="F387" s="33" t="n">
        <f aca="false">IF(B387&gt;=9,AVERAGE(C379:C386),"")</f>
        <v>90.375</v>
      </c>
      <c r="G387" s="33" t="n">
        <f aca="false">IF(B387=1,"",IF(B387=2,C386,SES_Alpha*C386+(1-SES_Alpha)*G386))</f>
        <v>91.896301375489</v>
      </c>
      <c r="H387" s="33" t="n">
        <f aca="false">IF(D387="","",D387-C387)</f>
        <v>-10</v>
      </c>
      <c r="I387" s="33" t="n">
        <f aca="false">IF(E387="","",E387-C387)</f>
        <v>1.5</v>
      </c>
      <c r="J387" s="33" t="n">
        <f aca="false">IF(F387="","",F387-C387)</f>
        <v>-4.625</v>
      </c>
      <c r="K387" s="33" t="n">
        <f aca="false">IF(G387="","",G387-C387)</f>
        <v>-3.10369862451101</v>
      </c>
      <c r="L387" s="33" t="n">
        <f aca="false">IF(H387="","",ABS(H387))</f>
        <v>10</v>
      </c>
      <c r="M387" s="33" t="n">
        <f aca="false">IF(I387="","",ABS(I387))</f>
        <v>1.5</v>
      </c>
      <c r="N387" s="33" t="n">
        <f aca="false">IF(J387="","",ABS(J387))</f>
        <v>4.625</v>
      </c>
      <c r="O387" s="33" t="n">
        <f aca="false">IF(K387="","",ABS(K387))</f>
        <v>3.10369862451101</v>
      </c>
      <c r="P387" s="34" t="str">
        <f aca="false">IF(B387&gt;=Eval_Start_Week,"YES","")</f>
        <v>YES</v>
      </c>
      <c r="Q387" s="34" t="str">
        <f aca="false">IF(AND(B387&gt;=Cal_Start_Week,B387&lt;=Cal_End_Week),"YES","")</f>
        <v>YES</v>
      </c>
    </row>
    <row r="388" customFormat="false" ht="15" hidden="false" customHeight="false" outlineLevel="0" collapsed="false">
      <c r="A388" s="31" t="str">
        <f aca="false">Demand_History!C388</f>
        <v>KIT-004</v>
      </c>
      <c r="B388" s="31" t="n">
        <f aca="false">Demand_History!A388</f>
        <v>75</v>
      </c>
      <c r="C388" s="32" t="n">
        <f aca="false">Demand_History!D388</f>
        <v>89</v>
      </c>
      <c r="D388" s="33" t="n">
        <f aca="false">IF(B388&gt;=2,C387,"")</f>
        <v>95</v>
      </c>
      <c r="E388" s="33" t="n">
        <f aca="false">IF(B388&gt;=5,AVERAGE(C384:C387),"")</f>
        <v>95</v>
      </c>
      <c r="F388" s="33" t="n">
        <f aca="false">IF(B388&gt;=9,AVERAGE(C380:C387),"")</f>
        <v>91.25</v>
      </c>
      <c r="G388" s="33" t="n">
        <f aca="false">IF(B388=1,"",IF(B388=2,C387,SES_Alpha*C387+(1-SES_Alpha)*G387))</f>
        <v>92.8274109628423</v>
      </c>
      <c r="H388" s="33" t="n">
        <f aca="false">IF(D388="","",D388-C388)</f>
        <v>6</v>
      </c>
      <c r="I388" s="33" t="n">
        <f aca="false">IF(E388="","",E388-C388)</f>
        <v>6</v>
      </c>
      <c r="J388" s="33" t="n">
        <f aca="false">IF(F388="","",F388-C388)</f>
        <v>2.25</v>
      </c>
      <c r="K388" s="33" t="n">
        <f aca="false">IF(G388="","",G388-C388)</f>
        <v>3.82741096284229</v>
      </c>
      <c r="L388" s="33" t="n">
        <f aca="false">IF(H388="","",ABS(H388))</f>
        <v>6</v>
      </c>
      <c r="M388" s="33" t="n">
        <f aca="false">IF(I388="","",ABS(I388))</f>
        <v>6</v>
      </c>
      <c r="N388" s="33" t="n">
        <f aca="false">IF(J388="","",ABS(J388))</f>
        <v>2.25</v>
      </c>
      <c r="O388" s="33" t="n">
        <f aca="false">IF(K388="","",ABS(K388))</f>
        <v>3.82741096284229</v>
      </c>
      <c r="P388" s="34" t="str">
        <f aca="false">IF(B388&gt;=Eval_Start_Week,"YES","")</f>
        <v>YES</v>
      </c>
      <c r="Q388" s="34" t="str">
        <f aca="false">IF(AND(B388&gt;=Cal_Start_Week,B388&lt;=Cal_End_Week),"YES","")</f>
        <v>YES</v>
      </c>
    </row>
    <row r="389" customFormat="false" ht="15" hidden="false" customHeight="false" outlineLevel="0" collapsed="false">
      <c r="A389" s="31" t="str">
        <f aca="false">Demand_History!C389</f>
        <v>KIT-004</v>
      </c>
      <c r="B389" s="31" t="n">
        <f aca="false">Demand_History!A389</f>
        <v>76</v>
      </c>
      <c r="C389" s="32" t="n">
        <f aca="false">Demand_History!D389</f>
        <v>86</v>
      </c>
      <c r="D389" s="33" t="n">
        <f aca="false">IF(B389&gt;=2,C388,"")</f>
        <v>89</v>
      </c>
      <c r="E389" s="33" t="n">
        <f aca="false">IF(B389&gt;=5,AVERAGE(C385:C388),"")</f>
        <v>92.25</v>
      </c>
      <c r="F389" s="33" t="n">
        <f aca="false">IF(B389&gt;=9,AVERAGE(C381:C388),"")</f>
        <v>92.5</v>
      </c>
      <c r="G389" s="33" t="n">
        <f aca="false">IF(B389=1,"",IF(B389=2,C388,SES_Alpha*C388+(1-SES_Alpha)*G388))</f>
        <v>91.6791876739896</v>
      </c>
      <c r="H389" s="33" t="n">
        <f aca="false">IF(D389="","",D389-C389)</f>
        <v>3</v>
      </c>
      <c r="I389" s="33" t="n">
        <f aca="false">IF(E389="","",E389-C389)</f>
        <v>6.25</v>
      </c>
      <c r="J389" s="33" t="n">
        <f aca="false">IF(F389="","",F389-C389)</f>
        <v>6.5</v>
      </c>
      <c r="K389" s="33" t="n">
        <f aca="false">IF(G389="","",G389-C389)</f>
        <v>5.6791876739896</v>
      </c>
      <c r="L389" s="33" t="n">
        <f aca="false">IF(H389="","",ABS(H389))</f>
        <v>3</v>
      </c>
      <c r="M389" s="33" t="n">
        <f aca="false">IF(I389="","",ABS(I389))</f>
        <v>6.25</v>
      </c>
      <c r="N389" s="33" t="n">
        <f aca="false">IF(J389="","",ABS(J389))</f>
        <v>6.5</v>
      </c>
      <c r="O389" s="33" t="n">
        <f aca="false">IF(K389="","",ABS(K389))</f>
        <v>5.6791876739896</v>
      </c>
      <c r="P389" s="34" t="str">
        <f aca="false">IF(B389&gt;=Eval_Start_Week,"YES","")</f>
        <v>YES</v>
      </c>
      <c r="Q389" s="34" t="str">
        <f aca="false">IF(AND(B389&gt;=Cal_Start_Week,B389&lt;=Cal_End_Week),"YES","")</f>
        <v>YES</v>
      </c>
    </row>
    <row r="390" customFormat="false" ht="15" hidden="false" customHeight="false" outlineLevel="0" collapsed="false">
      <c r="A390" s="31" t="str">
        <f aca="false">Demand_History!C390</f>
        <v>KIT-004</v>
      </c>
      <c r="B390" s="31" t="n">
        <f aca="false">Demand_History!A390</f>
        <v>77</v>
      </c>
      <c r="C390" s="32" t="n">
        <f aca="false">Demand_History!D390</f>
        <v>87</v>
      </c>
      <c r="D390" s="33" t="n">
        <f aca="false">IF(B390&gt;=2,C389,"")</f>
        <v>86</v>
      </c>
      <c r="E390" s="33" t="n">
        <f aca="false">IF(B390&gt;=5,AVERAGE(C386:C389),"")</f>
        <v>88.75</v>
      </c>
      <c r="F390" s="33" t="n">
        <f aca="false">IF(B390&gt;=9,AVERAGE(C382:C389),"")</f>
        <v>91.875</v>
      </c>
      <c r="G390" s="33" t="n">
        <f aca="false">IF(B390=1,"",IF(B390=2,C389,SES_Alpha*C389+(1-SES_Alpha)*G389))</f>
        <v>89.9754313717927</v>
      </c>
      <c r="H390" s="33" t="n">
        <f aca="false">IF(D390="","",D390-C390)</f>
        <v>-1</v>
      </c>
      <c r="I390" s="33" t="n">
        <f aca="false">IF(E390="","",E390-C390)</f>
        <v>1.75</v>
      </c>
      <c r="J390" s="33" t="n">
        <f aca="false">IF(F390="","",F390-C390)</f>
        <v>4.875</v>
      </c>
      <c r="K390" s="33" t="n">
        <f aca="false">IF(G390="","",G390-C390)</f>
        <v>2.97543137179271</v>
      </c>
      <c r="L390" s="33" t="n">
        <f aca="false">IF(H390="","",ABS(H390))</f>
        <v>1</v>
      </c>
      <c r="M390" s="33" t="n">
        <f aca="false">IF(I390="","",ABS(I390))</f>
        <v>1.75</v>
      </c>
      <c r="N390" s="33" t="n">
        <f aca="false">IF(J390="","",ABS(J390))</f>
        <v>4.875</v>
      </c>
      <c r="O390" s="33" t="n">
        <f aca="false">IF(K390="","",ABS(K390))</f>
        <v>2.97543137179271</v>
      </c>
      <c r="P390" s="34" t="str">
        <f aca="false">IF(B390&gt;=Eval_Start_Week,"YES","")</f>
        <v>YES</v>
      </c>
      <c r="Q390" s="34" t="str">
        <f aca="false">IF(AND(B390&gt;=Cal_Start_Week,B390&lt;=Cal_End_Week),"YES","")</f>
        <v>YES</v>
      </c>
    </row>
    <row r="391" customFormat="false" ht="15" hidden="false" customHeight="false" outlineLevel="0" collapsed="false">
      <c r="A391" s="31" t="str">
        <f aca="false">Demand_History!C391</f>
        <v>KIT-004</v>
      </c>
      <c r="B391" s="31" t="n">
        <f aca="false">Demand_History!A391</f>
        <v>78</v>
      </c>
      <c r="C391" s="32" t="n">
        <f aca="false">Demand_History!D391</f>
        <v>77</v>
      </c>
      <c r="D391" s="33" t="n">
        <f aca="false">IF(B391&gt;=2,C390,"")</f>
        <v>87</v>
      </c>
      <c r="E391" s="33" t="n">
        <f aca="false">IF(B391&gt;=5,AVERAGE(C387:C390),"")</f>
        <v>89.25</v>
      </c>
      <c r="F391" s="33" t="n">
        <f aca="false">IF(B391&gt;=9,AVERAGE(C383:C390),"")</f>
        <v>92.875</v>
      </c>
      <c r="G391" s="33" t="n">
        <f aca="false">IF(B391=1,"",IF(B391=2,C390,SES_Alpha*C390+(1-SES_Alpha)*G390))</f>
        <v>89.0828019602549</v>
      </c>
      <c r="H391" s="33" t="n">
        <f aca="false">IF(D391="","",D391-C391)</f>
        <v>10</v>
      </c>
      <c r="I391" s="33" t="n">
        <f aca="false">IF(E391="","",E391-C391)</f>
        <v>12.25</v>
      </c>
      <c r="J391" s="33" t="n">
        <f aca="false">IF(F391="","",F391-C391)</f>
        <v>15.875</v>
      </c>
      <c r="K391" s="33" t="n">
        <f aca="false">IF(G391="","",G391-C391)</f>
        <v>12.0828019602549</v>
      </c>
      <c r="L391" s="33" t="n">
        <f aca="false">IF(H391="","",ABS(H391))</f>
        <v>10</v>
      </c>
      <c r="M391" s="33" t="n">
        <f aca="false">IF(I391="","",ABS(I391))</f>
        <v>12.25</v>
      </c>
      <c r="N391" s="33" t="n">
        <f aca="false">IF(J391="","",ABS(J391))</f>
        <v>15.875</v>
      </c>
      <c r="O391" s="33" t="n">
        <f aca="false">IF(K391="","",ABS(K391))</f>
        <v>12.0828019602549</v>
      </c>
      <c r="P391" s="34" t="str">
        <f aca="false">IF(B391&gt;=Eval_Start_Week,"YES","")</f>
        <v>YES</v>
      </c>
      <c r="Q391" s="34" t="str">
        <f aca="false">IF(AND(B391&gt;=Cal_Start_Week,B391&lt;=Cal_End_Week),"YES","")</f>
        <v>YES</v>
      </c>
    </row>
    <row r="392" customFormat="false" ht="15" hidden="false" customHeight="false" outlineLevel="0" collapsed="false">
      <c r="A392" s="31" t="str">
        <f aca="false">Demand_History!C392</f>
        <v>KIT-004</v>
      </c>
      <c r="B392" s="31" t="n">
        <f aca="false">Demand_History!A392</f>
        <v>79</v>
      </c>
      <c r="C392" s="32" t="n">
        <f aca="false">Demand_History!D392</f>
        <v>76</v>
      </c>
      <c r="D392" s="33" t="n">
        <f aca="false">IF(B392&gt;=2,C391,"")</f>
        <v>77</v>
      </c>
      <c r="E392" s="33" t="n">
        <f aca="false">IF(B392&gt;=5,AVERAGE(C388:C391),"")</f>
        <v>84.75</v>
      </c>
      <c r="F392" s="33" t="n">
        <f aca="false">IF(B392&gt;=9,AVERAGE(C384:C391),"")</f>
        <v>89.875</v>
      </c>
      <c r="G392" s="33" t="n">
        <f aca="false">IF(B392=1,"",IF(B392=2,C391,SES_Alpha*C391+(1-SES_Alpha)*G391))</f>
        <v>85.4579613721784</v>
      </c>
      <c r="H392" s="33" t="n">
        <f aca="false">IF(D392="","",D392-C392)</f>
        <v>1</v>
      </c>
      <c r="I392" s="33" t="n">
        <f aca="false">IF(E392="","",E392-C392)</f>
        <v>8.75</v>
      </c>
      <c r="J392" s="33" t="n">
        <f aca="false">IF(F392="","",F392-C392)</f>
        <v>13.875</v>
      </c>
      <c r="K392" s="33" t="n">
        <f aca="false">IF(G392="","",G392-C392)</f>
        <v>9.45796137217842</v>
      </c>
      <c r="L392" s="33" t="n">
        <f aca="false">IF(H392="","",ABS(H392))</f>
        <v>1</v>
      </c>
      <c r="M392" s="33" t="n">
        <f aca="false">IF(I392="","",ABS(I392))</f>
        <v>8.75</v>
      </c>
      <c r="N392" s="33" t="n">
        <f aca="false">IF(J392="","",ABS(J392))</f>
        <v>13.875</v>
      </c>
      <c r="O392" s="33" t="n">
        <f aca="false">IF(K392="","",ABS(K392))</f>
        <v>9.45796137217842</v>
      </c>
      <c r="P392" s="34" t="str">
        <f aca="false">IF(B392&gt;=Eval_Start_Week,"YES","")</f>
        <v>YES</v>
      </c>
      <c r="Q392" s="34" t="str">
        <f aca="false">IF(AND(B392&gt;=Cal_Start_Week,B392&lt;=Cal_End_Week),"YES","")</f>
        <v>YES</v>
      </c>
    </row>
    <row r="393" customFormat="false" ht="15" hidden="false" customHeight="false" outlineLevel="0" collapsed="false">
      <c r="A393" s="31" t="str">
        <f aca="false">Demand_History!C393</f>
        <v>KIT-004</v>
      </c>
      <c r="B393" s="31" t="n">
        <f aca="false">Demand_History!A393</f>
        <v>80</v>
      </c>
      <c r="C393" s="32" t="n">
        <f aca="false">Demand_History!D393</f>
        <v>98</v>
      </c>
      <c r="D393" s="33" t="n">
        <f aca="false">IF(B393&gt;=2,C392,"")</f>
        <v>76</v>
      </c>
      <c r="E393" s="33" t="n">
        <f aca="false">IF(B393&gt;=5,AVERAGE(C389:C392),"")</f>
        <v>81.5</v>
      </c>
      <c r="F393" s="33" t="n">
        <f aca="false">IF(B393&gt;=9,AVERAGE(C385:C392),"")</f>
        <v>86.875</v>
      </c>
      <c r="G393" s="33" t="n">
        <f aca="false">IF(B393=1,"",IF(B393=2,C392,SES_Alpha*C392+(1-SES_Alpha)*G392))</f>
        <v>82.6205729605249</v>
      </c>
      <c r="H393" s="33" t="n">
        <f aca="false">IF(D393="","",D393-C393)</f>
        <v>-22</v>
      </c>
      <c r="I393" s="33" t="n">
        <f aca="false">IF(E393="","",E393-C393)</f>
        <v>-16.5</v>
      </c>
      <c r="J393" s="33" t="n">
        <f aca="false">IF(F393="","",F393-C393)</f>
        <v>-11.125</v>
      </c>
      <c r="K393" s="33" t="n">
        <f aca="false">IF(G393="","",G393-C393)</f>
        <v>-15.3794270394751</v>
      </c>
      <c r="L393" s="33" t="n">
        <f aca="false">IF(H393="","",ABS(H393))</f>
        <v>22</v>
      </c>
      <c r="M393" s="33" t="n">
        <f aca="false">IF(I393="","",ABS(I393))</f>
        <v>16.5</v>
      </c>
      <c r="N393" s="33" t="n">
        <f aca="false">IF(J393="","",ABS(J393))</f>
        <v>11.125</v>
      </c>
      <c r="O393" s="33" t="n">
        <f aca="false">IF(K393="","",ABS(K393))</f>
        <v>15.3794270394751</v>
      </c>
      <c r="P393" s="34" t="str">
        <f aca="false">IF(B393&gt;=Eval_Start_Week,"YES","")</f>
        <v>YES</v>
      </c>
      <c r="Q393" s="34" t="str">
        <f aca="false">IF(AND(B393&gt;=Cal_Start_Week,B393&lt;=Cal_End_Week),"YES","")</f>
        <v>YES</v>
      </c>
    </row>
    <row r="394" customFormat="false" ht="15" hidden="false" customHeight="false" outlineLevel="0" collapsed="false">
      <c r="A394" s="31" t="str">
        <f aca="false">Demand_History!C394</f>
        <v>KIT-004</v>
      </c>
      <c r="B394" s="31" t="n">
        <f aca="false">Demand_History!A394</f>
        <v>81</v>
      </c>
      <c r="C394" s="32" t="n">
        <f aca="false">Demand_History!D394</f>
        <v>88</v>
      </c>
      <c r="D394" s="33" t="n">
        <f aca="false">IF(B394&gt;=2,C393,"")</f>
        <v>98</v>
      </c>
      <c r="E394" s="33" t="n">
        <f aca="false">IF(B394&gt;=5,AVERAGE(C390:C393),"")</f>
        <v>84.5</v>
      </c>
      <c r="F394" s="33" t="n">
        <f aca="false">IF(B394&gt;=9,AVERAGE(C386:C393),"")</f>
        <v>86.625</v>
      </c>
      <c r="G394" s="33" t="n">
        <f aca="false">IF(B394=1,"",IF(B394=2,C393,SES_Alpha*C393+(1-SES_Alpha)*G393))</f>
        <v>87.2344010723674</v>
      </c>
      <c r="H394" s="33" t="n">
        <f aca="false">IF(D394="","",D394-C394)</f>
        <v>10</v>
      </c>
      <c r="I394" s="33" t="n">
        <f aca="false">IF(E394="","",E394-C394)</f>
        <v>-3.5</v>
      </c>
      <c r="J394" s="33" t="n">
        <f aca="false">IF(F394="","",F394-C394)</f>
        <v>-1.375</v>
      </c>
      <c r="K394" s="33" t="n">
        <f aca="false">IF(G394="","",G394-C394)</f>
        <v>-0.765598927632595</v>
      </c>
      <c r="L394" s="33" t="n">
        <f aca="false">IF(H394="","",ABS(H394))</f>
        <v>10</v>
      </c>
      <c r="M394" s="33" t="n">
        <f aca="false">IF(I394="","",ABS(I394))</f>
        <v>3.5</v>
      </c>
      <c r="N394" s="33" t="n">
        <f aca="false">IF(J394="","",ABS(J394))</f>
        <v>1.375</v>
      </c>
      <c r="O394" s="33" t="n">
        <f aca="false">IF(K394="","",ABS(K394))</f>
        <v>0.765598927632595</v>
      </c>
      <c r="P394" s="34" t="str">
        <f aca="false">IF(B394&gt;=Eval_Start_Week,"YES","")</f>
        <v>YES</v>
      </c>
      <c r="Q394" s="34" t="str">
        <f aca="false">IF(AND(B394&gt;=Cal_Start_Week,B394&lt;=Cal_End_Week),"YES","")</f>
        <v>YES</v>
      </c>
    </row>
    <row r="395" customFormat="false" ht="15" hidden="false" customHeight="false" outlineLevel="0" collapsed="false">
      <c r="A395" s="31" t="str">
        <f aca="false">Demand_History!C395</f>
        <v>KIT-004</v>
      </c>
      <c r="B395" s="31" t="n">
        <f aca="false">Demand_History!A395</f>
        <v>82</v>
      </c>
      <c r="C395" s="32" t="n">
        <f aca="false">Demand_History!D395</f>
        <v>92</v>
      </c>
      <c r="D395" s="33" t="n">
        <f aca="false">IF(B395&gt;=2,C394,"")</f>
        <v>88</v>
      </c>
      <c r="E395" s="33" t="n">
        <f aca="false">IF(B395&gt;=5,AVERAGE(C391:C394),"")</f>
        <v>84.75</v>
      </c>
      <c r="F395" s="33" t="n">
        <f aca="false">IF(B395&gt;=9,AVERAGE(C387:C394),"")</f>
        <v>87</v>
      </c>
      <c r="G395" s="33" t="n">
        <f aca="false">IF(B395=1,"",IF(B395=2,C394,SES_Alpha*C394+(1-SES_Alpha)*G394))</f>
        <v>87.4640807506572</v>
      </c>
      <c r="H395" s="33" t="n">
        <f aca="false">IF(D395="","",D395-C395)</f>
        <v>-4</v>
      </c>
      <c r="I395" s="33" t="n">
        <f aca="false">IF(E395="","",E395-C395)</f>
        <v>-7.25</v>
      </c>
      <c r="J395" s="33" t="n">
        <f aca="false">IF(F395="","",F395-C395)</f>
        <v>-5</v>
      </c>
      <c r="K395" s="33" t="n">
        <f aca="false">IF(G395="","",G395-C395)</f>
        <v>-4.53591924934283</v>
      </c>
      <c r="L395" s="33" t="n">
        <f aca="false">IF(H395="","",ABS(H395))</f>
        <v>4</v>
      </c>
      <c r="M395" s="33" t="n">
        <f aca="false">IF(I395="","",ABS(I395))</f>
        <v>7.25</v>
      </c>
      <c r="N395" s="33" t="n">
        <f aca="false">IF(J395="","",ABS(J395))</f>
        <v>5</v>
      </c>
      <c r="O395" s="33" t="n">
        <f aca="false">IF(K395="","",ABS(K395))</f>
        <v>4.53591924934283</v>
      </c>
      <c r="P395" s="34" t="str">
        <f aca="false">IF(B395&gt;=Eval_Start_Week,"YES","")</f>
        <v>YES</v>
      </c>
      <c r="Q395" s="34" t="str">
        <f aca="false">IF(AND(B395&gt;=Cal_Start_Week,B395&lt;=Cal_End_Week),"YES","")</f>
        <v>YES</v>
      </c>
    </row>
    <row r="396" customFormat="false" ht="15" hidden="false" customHeight="false" outlineLevel="0" collapsed="false">
      <c r="A396" s="31" t="str">
        <f aca="false">Demand_History!C396</f>
        <v>KIT-004</v>
      </c>
      <c r="B396" s="31" t="n">
        <f aca="false">Demand_History!A396</f>
        <v>83</v>
      </c>
      <c r="C396" s="32" t="n">
        <f aca="false">Demand_History!D396</f>
        <v>100</v>
      </c>
      <c r="D396" s="33" t="n">
        <f aca="false">IF(B396&gt;=2,C395,"")</f>
        <v>92</v>
      </c>
      <c r="E396" s="33" t="n">
        <f aca="false">IF(B396&gt;=5,AVERAGE(C392:C395),"")</f>
        <v>88.5</v>
      </c>
      <c r="F396" s="33" t="n">
        <f aca="false">IF(B396&gt;=9,AVERAGE(C388:C395),"")</f>
        <v>86.625</v>
      </c>
      <c r="G396" s="33" t="n">
        <f aca="false">IF(B396=1,"",IF(B396=2,C395,SES_Alpha*C395+(1-SES_Alpha)*G395))</f>
        <v>88.82485652546</v>
      </c>
      <c r="H396" s="33" t="n">
        <f aca="false">IF(D396="","",D396-C396)</f>
        <v>-8</v>
      </c>
      <c r="I396" s="33" t="n">
        <f aca="false">IF(E396="","",E396-C396)</f>
        <v>-11.5</v>
      </c>
      <c r="J396" s="33" t="n">
        <f aca="false">IF(F396="","",F396-C396)</f>
        <v>-13.375</v>
      </c>
      <c r="K396" s="33" t="n">
        <f aca="false">IF(G396="","",G396-C396)</f>
        <v>-11.17514347454</v>
      </c>
      <c r="L396" s="33" t="n">
        <f aca="false">IF(H396="","",ABS(H396))</f>
        <v>8</v>
      </c>
      <c r="M396" s="33" t="n">
        <f aca="false">IF(I396="","",ABS(I396))</f>
        <v>11.5</v>
      </c>
      <c r="N396" s="33" t="n">
        <f aca="false">IF(J396="","",ABS(J396))</f>
        <v>13.375</v>
      </c>
      <c r="O396" s="33" t="n">
        <f aca="false">IF(K396="","",ABS(K396))</f>
        <v>11.17514347454</v>
      </c>
      <c r="P396" s="34" t="str">
        <f aca="false">IF(B396&gt;=Eval_Start_Week,"YES","")</f>
        <v>YES</v>
      </c>
      <c r="Q396" s="34" t="str">
        <f aca="false">IF(AND(B396&gt;=Cal_Start_Week,B396&lt;=Cal_End_Week),"YES","")</f>
        <v>YES</v>
      </c>
    </row>
    <row r="397" customFormat="false" ht="15" hidden="false" customHeight="false" outlineLevel="0" collapsed="false">
      <c r="A397" s="31" t="str">
        <f aca="false">Demand_History!C397</f>
        <v>KIT-004</v>
      </c>
      <c r="B397" s="31" t="n">
        <f aca="false">Demand_History!A397</f>
        <v>84</v>
      </c>
      <c r="C397" s="32" t="n">
        <f aca="false">Demand_History!D397</f>
        <v>73</v>
      </c>
      <c r="D397" s="33" t="n">
        <f aca="false">IF(B397&gt;=2,C396,"")</f>
        <v>100</v>
      </c>
      <c r="E397" s="33" t="n">
        <f aca="false">IF(B397&gt;=5,AVERAGE(C393:C396),"")</f>
        <v>94.5</v>
      </c>
      <c r="F397" s="33" t="n">
        <f aca="false">IF(B397&gt;=9,AVERAGE(C389:C396),"")</f>
        <v>88</v>
      </c>
      <c r="G397" s="33" t="n">
        <f aca="false">IF(B397=1,"",IF(B397=2,C396,SES_Alpha*C396+(1-SES_Alpha)*G396))</f>
        <v>92.177399567822</v>
      </c>
      <c r="H397" s="33" t="n">
        <f aca="false">IF(D397="","",D397-C397)</f>
        <v>27</v>
      </c>
      <c r="I397" s="33" t="n">
        <f aca="false">IF(E397="","",E397-C397)</f>
        <v>21.5</v>
      </c>
      <c r="J397" s="33" t="n">
        <f aca="false">IF(F397="","",F397-C397)</f>
        <v>15</v>
      </c>
      <c r="K397" s="33" t="n">
        <f aca="false">IF(G397="","",G397-C397)</f>
        <v>19.177399567822</v>
      </c>
      <c r="L397" s="33" t="n">
        <f aca="false">IF(H397="","",ABS(H397))</f>
        <v>27</v>
      </c>
      <c r="M397" s="33" t="n">
        <f aca="false">IF(I397="","",ABS(I397))</f>
        <v>21.5</v>
      </c>
      <c r="N397" s="33" t="n">
        <f aca="false">IF(J397="","",ABS(J397))</f>
        <v>15</v>
      </c>
      <c r="O397" s="33" t="n">
        <f aca="false">IF(K397="","",ABS(K397))</f>
        <v>19.177399567822</v>
      </c>
      <c r="P397" s="34" t="str">
        <f aca="false">IF(B397&gt;=Eval_Start_Week,"YES","")</f>
        <v>YES</v>
      </c>
      <c r="Q397" s="34" t="str">
        <f aca="false">IF(AND(B397&gt;=Cal_Start_Week,B397&lt;=Cal_End_Week),"YES","")</f>
        <v>YES</v>
      </c>
    </row>
    <row r="398" customFormat="false" ht="15" hidden="false" customHeight="false" outlineLevel="0" collapsed="false">
      <c r="A398" s="31" t="str">
        <f aca="false">Demand_History!C398</f>
        <v>KIT-004</v>
      </c>
      <c r="B398" s="31" t="n">
        <f aca="false">Demand_History!A398</f>
        <v>85</v>
      </c>
      <c r="C398" s="32" t="n">
        <f aca="false">Demand_History!D398</f>
        <v>82</v>
      </c>
      <c r="D398" s="33" t="n">
        <f aca="false">IF(B398&gt;=2,C397,"")</f>
        <v>73</v>
      </c>
      <c r="E398" s="33" t="n">
        <f aca="false">IF(B398&gt;=5,AVERAGE(C394:C397),"")</f>
        <v>88.25</v>
      </c>
      <c r="F398" s="33" t="n">
        <f aca="false">IF(B398&gt;=9,AVERAGE(C390:C397),"")</f>
        <v>86.375</v>
      </c>
      <c r="G398" s="33" t="n">
        <f aca="false">IF(B398=1,"",IF(B398=2,C397,SES_Alpha*C397+(1-SES_Alpha)*G397))</f>
        <v>86.4241796974754</v>
      </c>
      <c r="H398" s="33" t="n">
        <f aca="false">IF(D398="","",D398-C398)</f>
        <v>-9</v>
      </c>
      <c r="I398" s="33" t="n">
        <f aca="false">IF(E398="","",E398-C398)</f>
        <v>6.25</v>
      </c>
      <c r="J398" s="33" t="n">
        <f aca="false">IF(F398="","",F398-C398)</f>
        <v>4.375</v>
      </c>
      <c r="K398" s="33" t="n">
        <f aca="false">IF(G398="","",G398-C398)</f>
        <v>4.42417969747541</v>
      </c>
      <c r="L398" s="33" t="n">
        <f aca="false">IF(H398="","",ABS(H398))</f>
        <v>9</v>
      </c>
      <c r="M398" s="33" t="n">
        <f aca="false">IF(I398="","",ABS(I398))</f>
        <v>6.25</v>
      </c>
      <c r="N398" s="33" t="n">
        <f aca="false">IF(J398="","",ABS(J398))</f>
        <v>4.375</v>
      </c>
      <c r="O398" s="33" t="n">
        <f aca="false">IF(K398="","",ABS(K398))</f>
        <v>4.42417969747541</v>
      </c>
      <c r="P398" s="34" t="str">
        <f aca="false">IF(B398&gt;=Eval_Start_Week,"YES","")</f>
        <v>YES</v>
      </c>
      <c r="Q398" s="34" t="str">
        <f aca="false">IF(AND(B398&gt;=Cal_Start_Week,B398&lt;=Cal_End_Week),"YES","")</f>
        <v>YES</v>
      </c>
    </row>
    <row r="399" customFormat="false" ht="15" hidden="false" customHeight="false" outlineLevel="0" collapsed="false">
      <c r="A399" s="31" t="str">
        <f aca="false">Demand_History!C399</f>
        <v>KIT-004</v>
      </c>
      <c r="B399" s="31" t="n">
        <f aca="false">Demand_History!A399</f>
        <v>86</v>
      </c>
      <c r="C399" s="32" t="n">
        <f aca="false">Demand_History!D399</f>
        <v>92</v>
      </c>
      <c r="D399" s="33" t="n">
        <f aca="false">IF(B399&gt;=2,C398,"")</f>
        <v>82</v>
      </c>
      <c r="E399" s="33" t="n">
        <f aca="false">IF(B399&gt;=5,AVERAGE(C395:C398),"")</f>
        <v>86.75</v>
      </c>
      <c r="F399" s="33" t="n">
        <f aca="false">IF(B399&gt;=9,AVERAGE(C391:C398),"")</f>
        <v>85.75</v>
      </c>
      <c r="G399" s="33" t="n">
        <f aca="false">IF(B399=1,"",IF(B399=2,C398,SES_Alpha*C398+(1-SES_Alpha)*G398))</f>
        <v>85.0969257882328</v>
      </c>
      <c r="H399" s="33" t="n">
        <f aca="false">IF(D399="","",D399-C399)</f>
        <v>-10</v>
      </c>
      <c r="I399" s="33" t="n">
        <f aca="false">IF(E399="","",E399-C399)</f>
        <v>-5.25</v>
      </c>
      <c r="J399" s="33" t="n">
        <f aca="false">IF(F399="","",F399-C399)</f>
        <v>-6.25</v>
      </c>
      <c r="K399" s="33" t="n">
        <f aca="false">IF(G399="","",G399-C399)</f>
        <v>-6.90307421176722</v>
      </c>
      <c r="L399" s="33" t="n">
        <f aca="false">IF(H399="","",ABS(H399))</f>
        <v>10</v>
      </c>
      <c r="M399" s="33" t="n">
        <f aca="false">IF(I399="","",ABS(I399))</f>
        <v>5.25</v>
      </c>
      <c r="N399" s="33" t="n">
        <f aca="false">IF(J399="","",ABS(J399))</f>
        <v>6.25</v>
      </c>
      <c r="O399" s="33" t="n">
        <f aca="false">IF(K399="","",ABS(K399))</f>
        <v>6.90307421176722</v>
      </c>
      <c r="P399" s="34" t="str">
        <f aca="false">IF(B399&gt;=Eval_Start_Week,"YES","")</f>
        <v>YES</v>
      </c>
      <c r="Q399" s="34" t="str">
        <f aca="false">IF(AND(B399&gt;=Cal_Start_Week,B399&lt;=Cal_End_Week),"YES","")</f>
        <v>YES</v>
      </c>
    </row>
    <row r="400" customFormat="false" ht="15" hidden="false" customHeight="false" outlineLevel="0" collapsed="false">
      <c r="A400" s="31" t="str">
        <f aca="false">Demand_History!C400</f>
        <v>KIT-004</v>
      </c>
      <c r="B400" s="31" t="n">
        <f aca="false">Demand_History!A400</f>
        <v>87</v>
      </c>
      <c r="C400" s="32" t="n">
        <f aca="false">Demand_History!D400</f>
        <v>94</v>
      </c>
      <c r="D400" s="33" t="n">
        <f aca="false">IF(B400&gt;=2,C399,"")</f>
        <v>92</v>
      </c>
      <c r="E400" s="33" t="n">
        <f aca="false">IF(B400&gt;=5,AVERAGE(C396:C399),"")</f>
        <v>86.75</v>
      </c>
      <c r="F400" s="33" t="n">
        <f aca="false">IF(B400&gt;=9,AVERAGE(C392:C399),"")</f>
        <v>87.625</v>
      </c>
      <c r="G400" s="33" t="n">
        <f aca="false">IF(B400=1,"",IF(B400=2,C399,SES_Alpha*C399+(1-SES_Alpha)*G399))</f>
        <v>87.167848051763</v>
      </c>
      <c r="H400" s="33" t="n">
        <f aca="false">IF(D400="","",D400-C400)</f>
        <v>-2</v>
      </c>
      <c r="I400" s="33" t="n">
        <f aca="false">IF(E400="","",E400-C400)</f>
        <v>-7.25</v>
      </c>
      <c r="J400" s="33" t="n">
        <f aca="false">IF(F400="","",F400-C400)</f>
        <v>-6.375</v>
      </c>
      <c r="K400" s="33" t="n">
        <f aca="false">IF(G400="","",G400-C400)</f>
        <v>-6.83215194823706</v>
      </c>
      <c r="L400" s="33" t="n">
        <f aca="false">IF(H400="","",ABS(H400))</f>
        <v>2</v>
      </c>
      <c r="M400" s="33" t="n">
        <f aca="false">IF(I400="","",ABS(I400))</f>
        <v>7.25</v>
      </c>
      <c r="N400" s="33" t="n">
        <f aca="false">IF(J400="","",ABS(J400))</f>
        <v>6.375</v>
      </c>
      <c r="O400" s="33" t="n">
        <f aca="false">IF(K400="","",ABS(K400))</f>
        <v>6.83215194823706</v>
      </c>
      <c r="P400" s="34" t="str">
        <f aca="false">IF(B400&gt;=Eval_Start_Week,"YES","")</f>
        <v>YES</v>
      </c>
      <c r="Q400" s="34" t="str">
        <f aca="false">IF(AND(B400&gt;=Cal_Start_Week,B400&lt;=Cal_End_Week),"YES","")</f>
        <v>YES</v>
      </c>
    </row>
    <row r="401" customFormat="false" ht="15" hidden="false" customHeight="false" outlineLevel="0" collapsed="false">
      <c r="A401" s="31" t="str">
        <f aca="false">Demand_History!C401</f>
        <v>KIT-004</v>
      </c>
      <c r="B401" s="31" t="n">
        <f aca="false">Demand_History!A401</f>
        <v>88</v>
      </c>
      <c r="C401" s="32" t="n">
        <f aca="false">Demand_History!D401</f>
        <v>86</v>
      </c>
      <c r="D401" s="33" t="n">
        <f aca="false">IF(B401&gt;=2,C400,"")</f>
        <v>94</v>
      </c>
      <c r="E401" s="33" t="n">
        <f aca="false">IF(B401&gt;=5,AVERAGE(C397:C400),"")</f>
        <v>85.25</v>
      </c>
      <c r="F401" s="33" t="n">
        <f aca="false">IF(B401&gt;=9,AVERAGE(C393:C400),"")</f>
        <v>89.875</v>
      </c>
      <c r="G401" s="33" t="n">
        <f aca="false">IF(B401=1,"",IF(B401=2,C400,SES_Alpha*C400+(1-SES_Alpha)*G400))</f>
        <v>89.2174936362341</v>
      </c>
      <c r="H401" s="33" t="n">
        <f aca="false">IF(D401="","",D401-C401)</f>
        <v>8</v>
      </c>
      <c r="I401" s="33" t="n">
        <f aca="false">IF(E401="","",E401-C401)</f>
        <v>-0.75</v>
      </c>
      <c r="J401" s="33" t="n">
        <f aca="false">IF(F401="","",F401-C401)</f>
        <v>3.875</v>
      </c>
      <c r="K401" s="33" t="n">
        <f aca="false">IF(G401="","",G401-C401)</f>
        <v>3.21749363623405</v>
      </c>
      <c r="L401" s="33" t="n">
        <f aca="false">IF(H401="","",ABS(H401))</f>
        <v>8</v>
      </c>
      <c r="M401" s="33" t="n">
        <f aca="false">IF(I401="","",ABS(I401))</f>
        <v>0.75</v>
      </c>
      <c r="N401" s="33" t="n">
        <f aca="false">IF(J401="","",ABS(J401))</f>
        <v>3.875</v>
      </c>
      <c r="O401" s="33" t="n">
        <f aca="false">IF(K401="","",ABS(K401))</f>
        <v>3.21749363623405</v>
      </c>
      <c r="P401" s="34" t="str">
        <f aca="false">IF(B401&gt;=Eval_Start_Week,"YES","")</f>
        <v>YES</v>
      </c>
      <c r="Q401" s="34" t="str">
        <f aca="false">IF(AND(B401&gt;=Cal_Start_Week,B401&lt;=Cal_End_Week),"YES","")</f>
        <v>YES</v>
      </c>
    </row>
    <row r="402" customFormat="false" ht="15" hidden="false" customHeight="false" outlineLevel="0" collapsed="false">
      <c r="A402" s="31" t="str">
        <f aca="false">Demand_History!C402</f>
        <v>KIT-004</v>
      </c>
      <c r="B402" s="31" t="n">
        <f aca="false">Demand_History!A402</f>
        <v>89</v>
      </c>
      <c r="C402" s="32" t="n">
        <f aca="false">Demand_History!D402</f>
        <v>100</v>
      </c>
      <c r="D402" s="33" t="n">
        <f aca="false">IF(B402&gt;=2,C401,"")</f>
        <v>86</v>
      </c>
      <c r="E402" s="33" t="n">
        <f aca="false">IF(B402&gt;=5,AVERAGE(C398:C401),"")</f>
        <v>88.5</v>
      </c>
      <c r="F402" s="33" t="n">
        <f aca="false">IF(B402&gt;=9,AVERAGE(C394:C401),"")</f>
        <v>88.375</v>
      </c>
      <c r="G402" s="33" t="n">
        <f aca="false">IF(B402=1,"",IF(B402=2,C401,SES_Alpha*C401+(1-SES_Alpha)*G401))</f>
        <v>88.2522455453638</v>
      </c>
      <c r="H402" s="33" t="n">
        <f aca="false">IF(D402="","",D402-C402)</f>
        <v>-14</v>
      </c>
      <c r="I402" s="33" t="n">
        <f aca="false">IF(E402="","",E402-C402)</f>
        <v>-11.5</v>
      </c>
      <c r="J402" s="33" t="n">
        <f aca="false">IF(F402="","",F402-C402)</f>
        <v>-11.625</v>
      </c>
      <c r="K402" s="33" t="n">
        <f aca="false">IF(G402="","",G402-C402)</f>
        <v>-11.7477544546362</v>
      </c>
      <c r="L402" s="33" t="n">
        <f aca="false">IF(H402="","",ABS(H402))</f>
        <v>14</v>
      </c>
      <c r="M402" s="33" t="n">
        <f aca="false">IF(I402="","",ABS(I402))</f>
        <v>11.5</v>
      </c>
      <c r="N402" s="33" t="n">
        <f aca="false">IF(J402="","",ABS(J402))</f>
        <v>11.625</v>
      </c>
      <c r="O402" s="33" t="n">
        <f aca="false">IF(K402="","",ABS(K402))</f>
        <v>11.7477544546362</v>
      </c>
      <c r="P402" s="34" t="str">
        <f aca="false">IF(B402&gt;=Eval_Start_Week,"YES","")</f>
        <v>YES</v>
      </c>
      <c r="Q402" s="34" t="str">
        <f aca="false">IF(AND(B402&gt;=Cal_Start_Week,B402&lt;=Cal_End_Week),"YES","")</f>
        <v/>
      </c>
    </row>
    <row r="403" customFormat="false" ht="15" hidden="false" customHeight="false" outlineLevel="0" collapsed="false">
      <c r="A403" s="31" t="str">
        <f aca="false">Demand_History!C403</f>
        <v>KIT-004</v>
      </c>
      <c r="B403" s="31" t="n">
        <f aca="false">Demand_History!A403</f>
        <v>90</v>
      </c>
      <c r="C403" s="32" t="n">
        <f aca="false">Demand_History!D403</f>
        <v>92</v>
      </c>
      <c r="D403" s="33" t="n">
        <f aca="false">IF(B403&gt;=2,C402,"")</f>
        <v>100</v>
      </c>
      <c r="E403" s="33" t="n">
        <f aca="false">IF(B403&gt;=5,AVERAGE(C399:C402),"")</f>
        <v>93</v>
      </c>
      <c r="F403" s="33" t="n">
        <f aca="false">IF(B403&gt;=9,AVERAGE(C395:C402),"")</f>
        <v>89.875</v>
      </c>
      <c r="G403" s="33" t="n">
        <f aca="false">IF(B403=1,"",IF(B403=2,C402,SES_Alpha*C402+(1-SES_Alpha)*G402))</f>
        <v>91.7765718817547</v>
      </c>
      <c r="H403" s="33" t="n">
        <f aca="false">IF(D403="","",D403-C403)</f>
        <v>8</v>
      </c>
      <c r="I403" s="33" t="n">
        <f aca="false">IF(E403="","",E403-C403)</f>
        <v>1</v>
      </c>
      <c r="J403" s="33" t="n">
        <f aca="false">IF(F403="","",F403-C403)</f>
        <v>-2.125</v>
      </c>
      <c r="K403" s="33" t="n">
        <f aca="false">IF(G403="","",G403-C403)</f>
        <v>-0.223428118245323</v>
      </c>
      <c r="L403" s="33" t="n">
        <f aca="false">IF(H403="","",ABS(H403))</f>
        <v>8</v>
      </c>
      <c r="M403" s="33" t="n">
        <f aca="false">IF(I403="","",ABS(I403))</f>
        <v>1</v>
      </c>
      <c r="N403" s="33" t="n">
        <f aca="false">IF(J403="","",ABS(J403))</f>
        <v>2.125</v>
      </c>
      <c r="O403" s="33" t="n">
        <f aca="false">IF(K403="","",ABS(K403))</f>
        <v>0.223428118245323</v>
      </c>
      <c r="P403" s="34" t="str">
        <f aca="false">IF(B403&gt;=Eval_Start_Week,"YES","")</f>
        <v>YES</v>
      </c>
      <c r="Q403" s="34" t="str">
        <f aca="false">IF(AND(B403&gt;=Cal_Start_Week,B403&lt;=Cal_End_Week),"YES","")</f>
        <v/>
      </c>
    </row>
    <row r="404" customFormat="false" ht="15" hidden="false" customHeight="false" outlineLevel="0" collapsed="false">
      <c r="A404" s="31" t="str">
        <f aca="false">Demand_History!C404</f>
        <v>KIT-004</v>
      </c>
      <c r="B404" s="31" t="n">
        <f aca="false">Demand_History!A404</f>
        <v>91</v>
      </c>
      <c r="C404" s="32" t="n">
        <f aca="false">Demand_History!D404</f>
        <v>78</v>
      </c>
      <c r="D404" s="33" t="n">
        <f aca="false">IF(B404&gt;=2,C403,"")</f>
        <v>92</v>
      </c>
      <c r="E404" s="33" t="n">
        <f aca="false">IF(B404&gt;=5,AVERAGE(C400:C403),"")</f>
        <v>93</v>
      </c>
      <c r="F404" s="33" t="n">
        <f aca="false">IF(B404&gt;=9,AVERAGE(C396:C403),"")</f>
        <v>89.875</v>
      </c>
      <c r="G404" s="33" t="n">
        <f aca="false">IF(B404=1,"",IF(B404=2,C403,SES_Alpha*C403+(1-SES_Alpha)*G403))</f>
        <v>91.8436003172283</v>
      </c>
      <c r="H404" s="33" t="n">
        <f aca="false">IF(D404="","",D404-C404)</f>
        <v>14</v>
      </c>
      <c r="I404" s="33" t="n">
        <f aca="false">IF(E404="","",E404-C404)</f>
        <v>15</v>
      </c>
      <c r="J404" s="33" t="n">
        <f aca="false">IF(F404="","",F404-C404)</f>
        <v>11.875</v>
      </c>
      <c r="K404" s="33" t="n">
        <f aca="false">IF(G404="","",G404-C404)</f>
        <v>13.8436003172283</v>
      </c>
      <c r="L404" s="33" t="n">
        <f aca="false">IF(H404="","",ABS(H404))</f>
        <v>14</v>
      </c>
      <c r="M404" s="33" t="n">
        <f aca="false">IF(I404="","",ABS(I404))</f>
        <v>15</v>
      </c>
      <c r="N404" s="33" t="n">
        <f aca="false">IF(J404="","",ABS(J404))</f>
        <v>11.875</v>
      </c>
      <c r="O404" s="33" t="n">
        <f aca="false">IF(K404="","",ABS(K404))</f>
        <v>13.8436003172283</v>
      </c>
      <c r="P404" s="34" t="str">
        <f aca="false">IF(B404&gt;=Eval_Start_Week,"YES","")</f>
        <v>YES</v>
      </c>
      <c r="Q404" s="34" t="str">
        <f aca="false">IF(AND(B404&gt;=Cal_Start_Week,B404&lt;=Cal_End_Week),"YES","")</f>
        <v/>
      </c>
    </row>
    <row r="405" customFormat="false" ht="15" hidden="false" customHeight="false" outlineLevel="0" collapsed="false">
      <c r="A405" s="31" t="str">
        <f aca="false">Demand_History!C405</f>
        <v>KIT-004</v>
      </c>
      <c r="B405" s="31" t="n">
        <f aca="false">Demand_History!A405</f>
        <v>92</v>
      </c>
      <c r="C405" s="32" t="n">
        <f aca="false">Demand_History!D405</f>
        <v>81</v>
      </c>
      <c r="D405" s="33" t="n">
        <f aca="false">IF(B405&gt;=2,C404,"")</f>
        <v>78</v>
      </c>
      <c r="E405" s="33" t="n">
        <f aca="false">IF(B405&gt;=5,AVERAGE(C401:C404),"")</f>
        <v>89</v>
      </c>
      <c r="F405" s="33" t="n">
        <f aca="false">IF(B405&gt;=9,AVERAGE(C397:C404),"")</f>
        <v>87.125</v>
      </c>
      <c r="G405" s="33" t="n">
        <f aca="false">IF(B405=1,"",IF(B405=2,C404,SES_Alpha*C404+(1-SES_Alpha)*G404))</f>
        <v>87.6905202220598</v>
      </c>
      <c r="H405" s="33" t="n">
        <f aca="false">IF(D405="","",D405-C405)</f>
        <v>-3</v>
      </c>
      <c r="I405" s="33" t="n">
        <f aca="false">IF(E405="","",E405-C405)</f>
        <v>8</v>
      </c>
      <c r="J405" s="33" t="n">
        <f aca="false">IF(F405="","",F405-C405)</f>
        <v>6.125</v>
      </c>
      <c r="K405" s="33" t="n">
        <f aca="false">IF(G405="","",G405-C405)</f>
        <v>6.69052022205977</v>
      </c>
      <c r="L405" s="33" t="n">
        <f aca="false">IF(H405="","",ABS(H405))</f>
        <v>3</v>
      </c>
      <c r="M405" s="33" t="n">
        <f aca="false">IF(I405="","",ABS(I405))</f>
        <v>8</v>
      </c>
      <c r="N405" s="33" t="n">
        <f aca="false">IF(J405="","",ABS(J405))</f>
        <v>6.125</v>
      </c>
      <c r="O405" s="33" t="n">
        <f aca="false">IF(K405="","",ABS(K405))</f>
        <v>6.69052022205977</v>
      </c>
      <c r="P405" s="34" t="str">
        <f aca="false">IF(B405&gt;=Eval_Start_Week,"YES","")</f>
        <v>YES</v>
      </c>
      <c r="Q405" s="34" t="str">
        <f aca="false">IF(AND(B405&gt;=Cal_Start_Week,B405&lt;=Cal_End_Week),"YES","")</f>
        <v/>
      </c>
    </row>
    <row r="406" customFormat="false" ht="15" hidden="false" customHeight="false" outlineLevel="0" collapsed="false">
      <c r="A406" s="31" t="str">
        <f aca="false">Demand_History!C406</f>
        <v>KIT-004</v>
      </c>
      <c r="B406" s="31" t="n">
        <f aca="false">Demand_History!A406</f>
        <v>93</v>
      </c>
      <c r="C406" s="32" t="n">
        <f aca="false">Demand_History!D406</f>
        <v>98</v>
      </c>
      <c r="D406" s="33" t="n">
        <f aca="false">IF(B406&gt;=2,C405,"")</f>
        <v>81</v>
      </c>
      <c r="E406" s="33" t="n">
        <f aca="false">IF(B406&gt;=5,AVERAGE(C402:C405),"")</f>
        <v>87.75</v>
      </c>
      <c r="F406" s="33" t="n">
        <f aca="false">IF(B406&gt;=9,AVERAGE(C398:C405),"")</f>
        <v>88.125</v>
      </c>
      <c r="G406" s="33" t="n">
        <f aca="false">IF(B406=1,"",IF(B406=2,C405,SES_Alpha*C405+(1-SES_Alpha)*G405))</f>
        <v>85.6833641554418</v>
      </c>
      <c r="H406" s="33" t="n">
        <f aca="false">IF(D406="","",D406-C406)</f>
        <v>-17</v>
      </c>
      <c r="I406" s="33" t="n">
        <f aca="false">IF(E406="","",E406-C406)</f>
        <v>-10.25</v>
      </c>
      <c r="J406" s="33" t="n">
        <f aca="false">IF(F406="","",F406-C406)</f>
        <v>-9.875</v>
      </c>
      <c r="K406" s="33" t="n">
        <f aca="false">IF(G406="","",G406-C406)</f>
        <v>-12.3166358445582</v>
      </c>
      <c r="L406" s="33" t="n">
        <f aca="false">IF(H406="","",ABS(H406))</f>
        <v>17</v>
      </c>
      <c r="M406" s="33" t="n">
        <f aca="false">IF(I406="","",ABS(I406))</f>
        <v>10.25</v>
      </c>
      <c r="N406" s="33" t="n">
        <f aca="false">IF(J406="","",ABS(J406))</f>
        <v>9.875</v>
      </c>
      <c r="O406" s="33" t="n">
        <f aca="false">IF(K406="","",ABS(K406))</f>
        <v>12.3166358445582</v>
      </c>
      <c r="P406" s="34" t="str">
        <f aca="false">IF(B406&gt;=Eval_Start_Week,"YES","")</f>
        <v>YES</v>
      </c>
      <c r="Q406" s="34" t="str">
        <f aca="false">IF(AND(B406&gt;=Cal_Start_Week,B406&lt;=Cal_End_Week),"YES","")</f>
        <v/>
      </c>
    </row>
    <row r="407" customFormat="false" ht="15" hidden="false" customHeight="false" outlineLevel="0" collapsed="false">
      <c r="A407" s="31" t="str">
        <f aca="false">Demand_History!C407</f>
        <v>KIT-004</v>
      </c>
      <c r="B407" s="31" t="n">
        <f aca="false">Demand_History!A407</f>
        <v>94</v>
      </c>
      <c r="C407" s="32" t="n">
        <f aca="false">Demand_History!D407</f>
        <v>94</v>
      </c>
      <c r="D407" s="33" t="n">
        <f aca="false">IF(B407&gt;=2,C406,"")</f>
        <v>98</v>
      </c>
      <c r="E407" s="33" t="n">
        <f aca="false">IF(B407&gt;=5,AVERAGE(C403:C406),"")</f>
        <v>87.25</v>
      </c>
      <c r="F407" s="33" t="n">
        <f aca="false">IF(B407&gt;=9,AVERAGE(C399:C406),"")</f>
        <v>90.125</v>
      </c>
      <c r="G407" s="33" t="n">
        <f aca="false">IF(B407=1,"",IF(B407=2,C406,SES_Alpha*C406+(1-SES_Alpha)*G406))</f>
        <v>89.3783549088093</v>
      </c>
      <c r="H407" s="33" t="n">
        <f aca="false">IF(D407="","",D407-C407)</f>
        <v>4</v>
      </c>
      <c r="I407" s="33" t="n">
        <f aca="false">IF(E407="","",E407-C407)</f>
        <v>-6.75</v>
      </c>
      <c r="J407" s="33" t="n">
        <f aca="false">IF(F407="","",F407-C407)</f>
        <v>-3.875</v>
      </c>
      <c r="K407" s="33" t="n">
        <f aca="false">IF(G407="","",G407-C407)</f>
        <v>-4.62164509119071</v>
      </c>
      <c r="L407" s="33" t="n">
        <f aca="false">IF(H407="","",ABS(H407))</f>
        <v>4</v>
      </c>
      <c r="M407" s="33" t="n">
        <f aca="false">IF(I407="","",ABS(I407))</f>
        <v>6.75</v>
      </c>
      <c r="N407" s="33" t="n">
        <f aca="false">IF(J407="","",ABS(J407))</f>
        <v>3.875</v>
      </c>
      <c r="O407" s="33" t="n">
        <f aca="false">IF(K407="","",ABS(K407))</f>
        <v>4.62164509119071</v>
      </c>
      <c r="P407" s="34" t="str">
        <f aca="false">IF(B407&gt;=Eval_Start_Week,"YES","")</f>
        <v>YES</v>
      </c>
      <c r="Q407" s="34" t="str">
        <f aca="false">IF(AND(B407&gt;=Cal_Start_Week,B407&lt;=Cal_End_Week),"YES","")</f>
        <v/>
      </c>
    </row>
    <row r="408" customFormat="false" ht="15" hidden="false" customHeight="false" outlineLevel="0" collapsed="false">
      <c r="A408" s="31" t="str">
        <f aca="false">Demand_History!C408</f>
        <v>KIT-004</v>
      </c>
      <c r="B408" s="31" t="n">
        <f aca="false">Demand_History!A408</f>
        <v>95</v>
      </c>
      <c r="C408" s="32" t="n">
        <f aca="false">Demand_History!D408</f>
        <v>72</v>
      </c>
      <c r="D408" s="33" t="n">
        <f aca="false">IF(B408&gt;=2,C407,"")</f>
        <v>94</v>
      </c>
      <c r="E408" s="33" t="n">
        <f aca="false">IF(B408&gt;=5,AVERAGE(C404:C407),"")</f>
        <v>87.75</v>
      </c>
      <c r="F408" s="33" t="n">
        <f aca="false">IF(B408&gt;=9,AVERAGE(C400:C407),"")</f>
        <v>90.375</v>
      </c>
      <c r="G408" s="33" t="n">
        <f aca="false">IF(B408=1,"",IF(B408=2,C407,SES_Alpha*C407+(1-SES_Alpha)*G407))</f>
        <v>90.7648484361665</v>
      </c>
      <c r="H408" s="33" t="n">
        <f aca="false">IF(D408="","",D408-C408)</f>
        <v>22</v>
      </c>
      <c r="I408" s="33" t="n">
        <f aca="false">IF(E408="","",E408-C408)</f>
        <v>15.75</v>
      </c>
      <c r="J408" s="33" t="n">
        <f aca="false">IF(F408="","",F408-C408)</f>
        <v>18.375</v>
      </c>
      <c r="K408" s="33" t="n">
        <f aca="false">IF(G408="","",G408-C408)</f>
        <v>18.7648484361665</v>
      </c>
      <c r="L408" s="33" t="n">
        <f aca="false">IF(H408="","",ABS(H408))</f>
        <v>22</v>
      </c>
      <c r="M408" s="33" t="n">
        <f aca="false">IF(I408="","",ABS(I408))</f>
        <v>15.75</v>
      </c>
      <c r="N408" s="33" t="n">
        <f aca="false">IF(J408="","",ABS(J408))</f>
        <v>18.375</v>
      </c>
      <c r="O408" s="33" t="n">
        <f aca="false">IF(K408="","",ABS(K408))</f>
        <v>18.7648484361665</v>
      </c>
      <c r="P408" s="34" t="str">
        <f aca="false">IF(B408&gt;=Eval_Start_Week,"YES","")</f>
        <v>YES</v>
      </c>
      <c r="Q408" s="34" t="str">
        <f aca="false">IF(AND(B408&gt;=Cal_Start_Week,B408&lt;=Cal_End_Week),"YES","")</f>
        <v/>
      </c>
    </row>
    <row r="409" customFormat="false" ht="15" hidden="false" customHeight="false" outlineLevel="0" collapsed="false">
      <c r="A409" s="31" t="str">
        <f aca="false">Demand_History!C409</f>
        <v>KIT-004</v>
      </c>
      <c r="B409" s="31" t="n">
        <f aca="false">Demand_History!A409</f>
        <v>96</v>
      </c>
      <c r="C409" s="32" t="n">
        <f aca="false">Demand_History!D409</f>
        <v>103</v>
      </c>
      <c r="D409" s="33" t="n">
        <f aca="false">IF(B409&gt;=2,C408,"")</f>
        <v>72</v>
      </c>
      <c r="E409" s="33" t="n">
        <f aca="false">IF(B409&gt;=5,AVERAGE(C405:C408),"")</f>
        <v>86.25</v>
      </c>
      <c r="F409" s="33" t="n">
        <f aca="false">IF(B409&gt;=9,AVERAGE(C401:C408),"")</f>
        <v>87.625</v>
      </c>
      <c r="G409" s="33" t="n">
        <f aca="false">IF(B409=1,"",IF(B409=2,C408,SES_Alpha*C408+(1-SES_Alpha)*G408))</f>
        <v>85.1353939053165</v>
      </c>
      <c r="H409" s="33" t="n">
        <f aca="false">IF(D409="","",D409-C409)</f>
        <v>-31</v>
      </c>
      <c r="I409" s="33" t="n">
        <f aca="false">IF(E409="","",E409-C409)</f>
        <v>-16.75</v>
      </c>
      <c r="J409" s="33" t="n">
        <f aca="false">IF(F409="","",F409-C409)</f>
        <v>-15.375</v>
      </c>
      <c r="K409" s="33" t="n">
        <f aca="false">IF(G409="","",G409-C409)</f>
        <v>-17.8646060946835</v>
      </c>
      <c r="L409" s="33" t="n">
        <f aca="false">IF(H409="","",ABS(H409))</f>
        <v>31</v>
      </c>
      <c r="M409" s="33" t="n">
        <f aca="false">IF(I409="","",ABS(I409))</f>
        <v>16.75</v>
      </c>
      <c r="N409" s="33" t="n">
        <f aca="false">IF(J409="","",ABS(J409))</f>
        <v>15.375</v>
      </c>
      <c r="O409" s="33" t="n">
        <f aca="false">IF(K409="","",ABS(K409))</f>
        <v>17.8646060946835</v>
      </c>
      <c r="P409" s="34" t="str">
        <f aca="false">IF(B409&gt;=Eval_Start_Week,"YES","")</f>
        <v>YES</v>
      </c>
      <c r="Q409" s="34" t="str">
        <f aca="false">IF(AND(B409&gt;=Cal_Start_Week,B409&lt;=Cal_End_Week),"YES","")</f>
        <v/>
      </c>
    </row>
    <row r="410" customFormat="false" ht="15" hidden="false" customHeight="false" outlineLevel="0" collapsed="false">
      <c r="A410" s="31" t="str">
        <f aca="false">Demand_History!C410</f>
        <v>KIT-004</v>
      </c>
      <c r="B410" s="31" t="n">
        <f aca="false">Demand_History!A410</f>
        <v>97</v>
      </c>
      <c r="C410" s="32" t="n">
        <f aca="false">Demand_History!D410</f>
        <v>96</v>
      </c>
      <c r="D410" s="33" t="n">
        <f aca="false">IF(B410&gt;=2,C409,"")</f>
        <v>103</v>
      </c>
      <c r="E410" s="33" t="n">
        <f aca="false">IF(B410&gt;=5,AVERAGE(C406:C409),"")</f>
        <v>91.75</v>
      </c>
      <c r="F410" s="33" t="n">
        <f aca="false">IF(B410&gt;=9,AVERAGE(C402:C409),"")</f>
        <v>89.75</v>
      </c>
      <c r="G410" s="33" t="n">
        <f aca="false">IF(B410=1,"",IF(B410=2,C409,SES_Alpha*C409+(1-SES_Alpha)*G409))</f>
        <v>90.4947757337216</v>
      </c>
      <c r="H410" s="33" t="n">
        <f aca="false">IF(D410="","",D410-C410)</f>
        <v>7</v>
      </c>
      <c r="I410" s="33" t="n">
        <f aca="false">IF(E410="","",E410-C410)</f>
        <v>-4.25</v>
      </c>
      <c r="J410" s="33" t="n">
        <f aca="false">IF(F410="","",F410-C410)</f>
        <v>-6.25</v>
      </c>
      <c r="K410" s="33" t="n">
        <f aca="false">IF(G410="","",G410-C410)</f>
        <v>-5.50522426627843</v>
      </c>
      <c r="L410" s="33" t="n">
        <f aca="false">IF(H410="","",ABS(H410))</f>
        <v>7</v>
      </c>
      <c r="M410" s="33" t="n">
        <f aca="false">IF(I410="","",ABS(I410))</f>
        <v>4.25</v>
      </c>
      <c r="N410" s="33" t="n">
        <f aca="false">IF(J410="","",ABS(J410))</f>
        <v>6.25</v>
      </c>
      <c r="O410" s="33" t="n">
        <f aca="false">IF(K410="","",ABS(K410))</f>
        <v>5.50522426627843</v>
      </c>
      <c r="P410" s="34" t="str">
        <f aca="false">IF(B410&gt;=Eval_Start_Week,"YES","")</f>
        <v>YES</v>
      </c>
      <c r="Q410" s="34" t="str">
        <f aca="false">IF(AND(B410&gt;=Cal_Start_Week,B410&lt;=Cal_End_Week),"YES","")</f>
        <v/>
      </c>
    </row>
    <row r="411" customFormat="false" ht="15" hidden="false" customHeight="false" outlineLevel="0" collapsed="false">
      <c r="A411" s="31" t="str">
        <f aca="false">Demand_History!C411</f>
        <v>KIT-004</v>
      </c>
      <c r="B411" s="31" t="n">
        <f aca="false">Demand_History!A411</f>
        <v>98</v>
      </c>
      <c r="C411" s="32" t="n">
        <f aca="false">Demand_History!D411</f>
        <v>103</v>
      </c>
      <c r="D411" s="33" t="n">
        <f aca="false">IF(B411&gt;=2,C410,"")</f>
        <v>96</v>
      </c>
      <c r="E411" s="33" t="n">
        <f aca="false">IF(B411&gt;=5,AVERAGE(C407:C410),"")</f>
        <v>91.25</v>
      </c>
      <c r="F411" s="33" t="n">
        <f aca="false">IF(B411&gt;=9,AVERAGE(C403:C410),"")</f>
        <v>89.25</v>
      </c>
      <c r="G411" s="33" t="n">
        <f aca="false">IF(B411=1,"",IF(B411=2,C410,SES_Alpha*C410+(1-SES_Alpha)*G410))</f>
        <v>92.1463430136051</v>
      </c>
      <c r="H411" s="33" t="n">
        <f aca="false">IF(D411="","",D411-C411)</f>
        <v>-7</v>
      </c>
      <c r="I411" s="33" t="n">
        <f aca="false">IF(E411="","",E411-C411)</f>
        <v>-11.75</v>
      </c>
      <c r="J411" s="33" t="n">
        <f aca="false">IF(F411="","",F411-C411)</f>
        <v>-13.75</v>
      </c>
      <c r="K411" s="33" t="n">
        <f aca="false">IF(G411="","",G411-C411)</f>
        <v>-10.8536569863949</v>
      </c>
      <c r="L411" s="33" t="n">
        <f aca="false">IF(H411="","",ABS(H411))</f>
        <v>7</v>
      </c>
      <c r="M411" s="33" t="n">
        <f aca="false">IF(I411="","",ABS(I411))</f>
        <v>11.75</v>
      </c>
      <c r="N411" s="33" t="n">
        <f aca="false">IF(J411="","",ABS(J411))</f>
        <v>13.75</v>
      </c>
      <c r="O411" s="33" t="n">
        <f aca="false">IF(K411="","",ABS(K411))</f>
        <v>10.8536569863949</v>
      </c>
      <c r="P411" s="34" t="str">
        <f aca="false">IF(B411&gt;=Eval_Start_Week,"YES","")</f>
        <v>YES</v>
      </c>
      <c r="Q411" s="34" t="str">
        <f aca="false">IF(AND(B411&gt;=Cal_Start_Week,B411&lt;=Cal_End_Week),"YES","")</f>
        <v/>
      </c>
    </row>
    <row r="412" customFormat="false" ht="15" hidden="false" customHeight="false" outlineLevel="0" collapsed="false">
      <c r="A412" s="31" t="str">
        <f aca="false">Demand_History!C412</f>
        <v>KIT-004</v>
      </c>
      <c r="B412" s="31" t="n">
        <f aca="false">Demand_History!A412</f>
        <v>99</v>
      </c>
      <c r="C412" s="32" t="n">
        <f aca="false">Demand_History!D412</f>
        <v>86</v>
      </c>
      <c r="D412" s="33" t="n">
        <f aca="false">IF(B412&gt;=2,C411,"")</f>
        <v>103</v>
      </c>
      <c r="E412" s="33" t="n">
        <f aca="false">IF(B412&gt;=5,AVERAGE(C408:C411),"")</f>
        <v>93.5</v>
      </c>
      <c r="F412" s="33" t="n">
        <f aca="false">IF(B412&gt;=9,AVERAGE(C404:C411),"")</f>
        <v>90.625</v>
      </c>
      <c r="G412" s="33" t="n">
        <f aca="false">IF(B412=1,"",IF(B412=2,C411,SES_Alpha*C411+(1-SES_Alpha)*G411))</f>
        <v>95.4024401095236</v>
      </c>
      <c r="H412" s="33" t="n">
        <f aca="false">IF(D412="","",D412-C412)</f>
        <v>17</v>
      </c>
      <c r="I412" s="33" t="n">
        <f aca="false">IF(E412="","",E412-C412)</f>
        <v>7.5</v>
      </c>
      <c r="J412" s="33" t="n">
        <f aca="false">IF(F412="","",F412-C412)</f>
        <v>4.625</v>
      </c>
      <c r="K412" s="33" t="n">
        <f aca="false">IF(G412="","",G412-C412)</f>
        <v>9.40244010952355</v>
      </c>
      <c r="L412" s="33" t="n">
        <f aca="false">IF(H412="","",ABS(H412))</f>
        <v>17</v>
      </c>
      <c r="M412" s="33" t="n">
        <f aca="false">IF(I412="","",ABS(I412))</f>
        <v>7.5</v>
      </c>
      <c r="N412" s="33" t="n">
        <f aca="false">IF(J412="","",ABS(J412))</f>
        <v>4.625</v>
      </c>
      <c r="O412" s="33" t="n">
        <f aca="false">IF(K412="","",ABS(K412))</f>
        <v>9.40244010952355</v>
      </c>
      <c r="P412" s="34" t="str">
        <f aca="false">IF(B412&gt;=Eval_Start_Week,"YES","")</f>
        <v>YES</v>
      </c>
      <c r="Q412" s="34" t="str">
        <f aca="false">IF(AND(B412&gt;=Cal_Start_Week,B412&lt;=Cal_End_Week),"YES","")</f>
        <v/>
      </c>
    </row>
    <row r="413" customFormat="false" ht="15" hidden="false" customHeight="false" outlineLevel="0" collapsed="false">
      <c r="A413" s="31" t="str">
        <f aca="false">Demand_History!C413</f>
        <v>KIT-004</v>
      </c>
      <c r="B413" s="31" t="n">
        <f aca="false">Demand_History!A413</f>
        <v>100</v>
      </c>
      <c r="C413" s="32" t="n">
        <f aca="false">Demand_History!D413</f>
        <v>87</v>
      </c>
      <c r="D413" s="33" t="n">
        <f aca="false">IF(B413&gt;=2,C412,"")</f>
        <v>86</v>
      </c>
      <c r="E413" s="33" t="n">
        <f aca="false">IF(B413&gt;=5,AVERAGE(C409:C412),"")</f>
        <v>97</v>
      </c>
      <c r="F413" s="33" t="n">
        <f aca="false">IF(B413&gt;=9,AVERAGE(C405:C412),"")</f>
        <v>91.625</v>
      </c>
      <c r="G413" s="33" t="n">
        <f aca="false">IF(B413=1,"",IF(B413=2,C412,SES_Alpha*C412+(1-SES_Alpha)*G412))</f>
        <v>92.5817080766665</v>
      </c>
      <c r="H413" s="33" t="n">
        <f aca="false">IF(D413="","",D413-C413)</f>
        <v>-1</v>
      </c>
      <c r="I413" s="33" t="n">
        <f aca="false">IF(E413="","",E413-C413)</f>
        <v>10</v>
      </c>
      <c r="J413" s="33" t="n">
        <f aca="false">IF(F413="","",F413-C413)</f>
        <v>4.625</v>
      </c>
      <c r="K413" s="33" t="n">
        <f aca="false">IF(G413="","",G413-C413)</f>
        <v>5.58170807666649</v>
      </c>
      <c r="L413" s="33" t="n">
        <f aca="false">IF(H413="","",ABS(H413))</f>
        <v>1</v>
      </c>
      <c r="M413" s="33" t="n">
        <f aca="false">IF(I413="","",ABS(I413))</f>
        <v>10</v>
      </c>
      <c r="N413" s="33" t="n">
        <f aca="false">IF(J413="","",ABS(J413))</f>
        <v>4.625</v>
      </c>
      <c r="O413" s="33" t="n">
        <f aca="false">IF(K413="","",ABS(K413))</f>
        <v>5.58170807666649</v>
      </c>
      <c r="P413" s="34" t="str">
        <f aca="false">IF(B413&gt;=Eval_Start_Week,"YES","")</f>
        <v>YES</v>
      </c>
      <c r="Q413" s="34" t="str">
        <f aca="false">IF(AND(B413&gt;=Cal_Start_Week,B413&lt;=Cal_End_Week),"YES","")</f>
        <v/>
      </c>
    </row>
    <row r="414" customFormat="false" ht="15" hidden="false" customHeight="false" outlineLevel="0" collapsed="false">
      <c r="A414" s="31" t="str">
        <f aca="false">Demand_History!C414</f>
        <v>KIT-004</v>
      </c>
      <c r="B414" s="31" t="n">
        <f aca="false">Demand_History!A414</f>
        <v>101</v>
      </c>
      <c r="C414" s="32" t="n">
        <f aca="false">Demand_History!D414</f>
        <v>79</v>
      </c>
      <c r="D414" s="33" t="n">
        <f aca="false">IF(B414&gt;=2,C413,"")</f>
        <v>87</v>
      </c>
      <c r="E414" s="33" t="n">
        <f aca="false">IF(B414&gt;=5,AVERAGE(C410:C413),"")</f>
        <v>93</v>
      </c>
      <c r="F414" s="33" t="n">
        <f aca="false">IF(B414&gt;=9,AVERAGE(C406:C413),"")</f>
        <v>92.375</v>
      </c>
      <c r="G414" s="33" t="n">
        <f aca="false">IF(B414=1,"",IF(B414=2,C413,SES_Alpha*C413+(1-SES_Alpha)*G413))</f>
        <v>90.9071956536665</v>
      </c>
      <c r="H414" s="33" t="n">
        <f aca="false">IF(D414="","",D414-C414)</f>
        <v>8</v>
      </c>
      <c r="I414" s="33" t="n">
        <f aca="false">IF(E414="","",E414-C414)</f>
        <v>14</v>
      </c>
      <c r="J414" s="33" t="n">
        <f aca="false">IF(F414="","",F414-C414)</f>
        <v>13.375</v>
      </c>
      <c r="K414" s="33" t="n">
        <f aca="false">IF(G414="","",G414-C414)</f>
        <v>11.9071956536665</v>
      </c>
      <c r="L414" s="33" t="n">
        <f aca="false">IF(H414="","",ABS(H414))</f>
        <v>8</v>
      </c>
      <c r="M414" s="33" t="n">
        <f aca="false">IF(I414="","",ABS(I414))</f>
        <v>14</v>
      </c>
      <c r="N414" s="33" t="n">
        <f aca="false">IF(J414="","",ABS(J414))</f>
        <v>13.375</v>
      </c>
      <c r="O414" s="33" t="n">
        <f aca="false">IF(K414="","",ABS(K414))</f>
        <v>11.9071956536665</v>
      </c>
      <c r="P414" s="34" t="str">
        <f aca="false">IF(B414&gt;=Eval_Start_Week,"YES","")</f>
        <v>YES</v>
      </c>
      <c r="Q414" s="34" t="str">
        <f aca="false">IF(AND(B414&gt;=Cal_Start_Week,B414&lt;=Cal_End_Week),"YES","")</f>
        <v/>
      </c>
    </row>
    <row r="415" customFormat="false" ht="15" hidden="false" customHeight="false" outlineLevel="0" collapsed="false">
      <c r="A415" s="31" t="str">
        <f aca="false">Demand_History!C415</f>
        <v>KIT-004</v>
      </c>
      <c r="B415" s="31" t="n">
        <f aca="false">Demand_History!A415</f>
        <v>102</v>
      </c>
      <c r="C415" s="32" t="n">
        <f aca="false">Demand_History!D415</f>
        <v>114</v>
      </c>
      <c r="D415" s="33" t="n">
        <f aca="false">IF(B415&gt;=2,C414,"")</f>
        <v>79</v>
      </c>
      <c r="E415" s="33" t="n">
        <f aca="false">IF(B415&gt;=5,AVERAGE(C411:C414),"")</f>
        <v>88.75</v>
      </c>
      <c r="F415" s="33" t="n">
        <f aca="false">IF(B415&gt;=9,AVERAGE(C407:C414),"")</f>
        <v>90</v>
      </c>
      <c r="G415" s="33" t="n">
        <f aca="false">IF(B415=1,"",IF(B415=2,C414,SES_Alpha*C414+(1-SES_Alpha)*G414))</f>
        <v>87.3350369575666</v>
      </c>
      <c r="H415" s="33" t="n">
        <f aca="false">IF(D415="","",D415-C415)</f>
        <v>-35</v>
      </c>
      <c r="I415" s="33" t="n">
        <f aca="false">IF(E415="","",E415-C415)</f>
        <v>-25.25</v>
      </c>
      <c r="J415" s="33" t="n">
        <f aca="false">IF(F415="","",F415-C415)</f>
        <v>-24</v>
      </c>
      <c r="K415" s="33" t="n">
        <f aca="false">IF(G415="","",G415-C415)</f>
        <v>-26.6649630424334</v>
      </c>
      <c r="L415" s="33" t="n">
        <f aca="false">IF(H415="","",ABS(H415))</f>
        <v>35</v>
      </c>
      <c r="M415" s="33" t="n">
        <f aca="false">IF(I415="","",ABS(I415))</f>
        <v>25.25</v>
      </c>
      <c r="N415" s="33" t="n">
        <f aca="false">IF(J415="","",ABS(J415))</f>
        <v>24</v>
      </c>
      <c r="O415" s="33" t="n">
        <f aca="false">IF(K415="","",ABS(K415))</f>
        <v>26.6649630424334</v>
      </c>
      <c r="P415" s="34" t="str">
        <f aca="false">IF(B415&gt;=Eval_Start_Week,"YES","")</f>
        <v>YES</v>
      </c>
      <c r="Q415" s="34" t="str">
        <f aca="false">IF(AND(B415&gt;=Cal_Start_Week,B415&lt;=Cal_End_Week),"YES","")</f>
        <v/>
      </c>
    </row>
    <row r="416" customFormat="false" ht="15" hidden="false" customHeight="false" outlineLevel="0" collapsed="false">
      <c r="A416" s="31" t="str">
        <f aca="false">Demand_History!C416</f>
        <v>KIT-004</v>
      </c>
      <c r="B416" s="31" t="n">
        <f aca="false">Demand_History!A416</f>
        <v>103</v>
      </c>
      <c r="C416" s="32" t="n">
        <f aca="false">Demand_History!D416</f>
        <v>88</v>
      </c>
      <c r="D416" s="33" t="n">
        <f aca="false">IF(B416&gt;=2,C415,"")</f>
        <v>114</v>
      </c>
      <c r="E416" s="33" t="n">
        <f aca="false">IF(B416&gt;=5,AVERAGE(C412:C415),"")</f>
        <v>91.5</v>
      </c>
      <c r="F416" s="33" t="n">
        <f aca="false">IF(B416&gt;=9,AVERAGE(C408:C415),"")</f>
        <v>92.5</v>
      </c>
      <c r="G416" s="33" t="n">
        <f aca="false">IF(B416=1,"",IF(B416=2,C415,SES_Alpha*C415+(1-SES_Alpha)*G415))</f>
        <v>95.3345258702966</v>
      </c>
      <c r="H416" s="33" t="n">
        <f aca="false">IF(D416="","",D416-C416)</f>
        <v>26</v>
      </c>
      <c r="I416" s="33" t="n">
        <f aca="false">IF(E416="","",E416-C416)</f>
        <v>3.5</v>
      </c>
      <c r="J416" s="33" t="n">
        <f aca="false">IF(F416="","",F416-C416)</f>
        <v>4.5</v>
      </c>
      <c r="K416" s="33" t="n">
        <f aca="false">IF(G416="","",G416-C416)</f>
        <v>7.3345258702966</v>
      </c>
      <c r="L416" s="33" t="n">
        <f aca="false">IF(H416="","",ABS(H416))</f>
        <v>26</v>
      </c>
      <c r="M416" s="33" t="n">
        <f aca="false">IF(I416="","",ABS(I416))</f>
        <v>3.5</v>
      </c>
      <c r="N416" s="33" t="n">
        <f aca="false">IF(J416="","",ABS(J416))</f>
        <v>4.5</v>
      </c>
      <c r="O416" s="33" t="n">
        <f aca="false">IF(K416="","",ABS(K416))</f>
        <v>7.3345258702966</v>
      </c>
      <c r="P416" s="34" t="str">
        <f aca="false">IF(B416&gt;=Eval_Start_Week,"YES","")</f>
        <v>YES</v>
      </c>
      <c r="Q416" s="34" t="str">
        <f aca="false">IF(AND(B416&gt;=Cal_Start_Week,B416&lt;=Cal_End_Week),"YES","")</f>
        <v/>
      </c>
    </row>
    <row r="417" customFormat="false" ht="15" hidden="false" customHeight="false" outlineLevel="0" collapsed="false">
      <c r="A417" s="31" t="str">
        <f aca="false">Demand_History!C417</f>
        <v>KIT-004</v>
      </c>
      <c r="B417" s="31" t="n">
        <f aca="false">Demand_History!A417</f>
        <v>104</v>
      </c>
      <c r="C417" s="32" t="n">
        <f aca="false">Demand_History!D417</f>
        <v>105</v>
      </c>
      <c r="D417" s="33" t="n">
        <f aca="false">IF(B417&gt;=2,C416,"")</f>
        <v>88</v>
      </c>
      <c r="E417" s="33" t="n">
        <f aca="false">IF(B417&gt;=5,AVERAGE(C413:C416),"")</f>
        <v>92</v>
      </c>
      <c r="F417" s="33" t="n">
        <f aca="false">IF(B417&gt;=9,AVERAGE(C409:C416),"")</f>
        <v>94.5</v>
      </c>
      <c r="G417" s="33" t="n">
        <f aca="false">IF(B417=1,"",IF(B417=2,C416,SES_Alpha*C416+(1-SES_Alpha)*G416))</f>
        <v>93.1341681092076</v>
      </c>
      <c r="H417" s="33" t="n">
        <f aca="false">IF(D417="","",D417-C417)</f>
        <v>-17</v>
      </c>
      <c r="I417" s="33" t="n">
        <f aca="false">IF(E417="","",E417-C417)</f>
        <v>-13</v>
      </c>
      <c r="J417" s="33" t="n">
        <f aca="false">IF(F417="","",F417-C417)</f>
        <v>-10.5</v>
      </c>
      <c r="K417" s="33" t="n">
        <f aca="false">IF(G417="","",G417-C417)</f>
        <v>-11.8658318907924</v>
      </c>
      <c r="L417" s="33" t="n">
        <f aca="false">IF(H417="","",ABS(H417))</f>
        <v>17</v>
      </c>
      <c r="M417" s="33" t="n">
        <f aca="false">IF(I417="","",ABS(I417))</f>
        <v>13</v>
      </c>
      <c r="N417" s="33" t="n">
        <f aca="false">IF(J417="","",ABS(J417))</f>
        <v>10.5</v>
      </c>
      <c r="O417" s="33" t="n">
        <f aca="false">IF(K417="","",ABS(K417))</f>
        <v>11.8658318907924</v>
      </c>
      <c r="P417" s="34" t="str">
        <f aca="false">IF(B417&gt;=Eval_Start_Week,"YES","")</f>
        <v>YES</v>
      </c>
      <c r="Q417" s="34" t="str">
        <f aca="false">IF(AND(B417&gt;=Cal_Start_Week,B417&lt;=Cal_End_Week),"YES","")</f>
        <v/>
      </c>
    </row>
    <row r="418" customFormat="false" ht="15" hidden="false" customHeight="false" outlineLevel="0" collapsed="false">
      <c r="A418" s="31" t="str">
        <f aca="false">Demand_History!C418</f>
        <v>KIT-005</v>
      </c>
      <c r="B418" s="31" t="n">
        <f aca="false">Demand_History!A418</f>
        <v>1</v>
      </c>
      <c r="C418" s="32" t="n">
        <f aca="false">Demand_History!D418</f>
        <v>43</v>
      </c>
      <c r="D418" s="33" t="str">
        <f aca="false">IF(B418&gt;=2,C417,"")</f>
        <v/>
      </c>
      <c r="E418" s="33" t="str">
        <f aca="false">IF(B418&gt;=5,AVERAGE(C414:C417),"")</f>
        <v/>
      </c>
      <c r="F418" s="33" t="str">
        <f aca="false">IF(B418&gt;=9,AVERAGE(C410:C417),"")</f>
        <v/>
      </c>
      <c r="G418" s="33" t="str">
        <f aca="false">IF(B418=1,"",IF(B418=2,C417,SES_Alpha*C417+(1-SES_Alpha)*G417))</f>
        <v/>
      </c>
      <c r="H418" s="33" t="str">
        <f aca="false">IF(D418="","",D418-C418)</f>
        <v/>
      </c>
      <c r="I418" s="33" t="str">
        <f aca="false">IF(E418="","",E418-C418)</f>
        <v/>
      </c>
      <c r="J418" s="33" t="str">
        <f aca="false">IF(F418="","",F418-C418)</f>
        <v/>
      </c>
      <c r="K418" s="33" t="str">
        <f aca="false">IF(G418="","",G418-C418)</f>
        <v/>
      </c>
      <c r="L418" s="33" t="str">
        <f aca="false">IF(H418="","",ABS(H418))</f>
        <v/>
      </c>
      <c r="M418" s="33" t="str">
        <f aca="false">IF(I418="","",ABS(I418))</f>
        <v/>
      </c>
      <c r="N418" s="33" t="str">
        <f aca="false">IF(J418="","",ABS(J418))</f>
        <v/>
      </c>
      <c r="O418" s="33" t="str">
        <f aca="false">IF(K418="","",ABS(K418))</f>
        <v/>
      </c>
      <c r="P418" s="34" t="str">
        <f aca="false">IF(B418&gt;=Eval_Start_Week,"YES","")</f>
        <v/>
      </c>
      <c r="Q418" s="34" t="str">
        <f aca="false">IF(AND(B418&gt;=Cal_Start_Week,B418&lt;=Cal_End_Week),"YES","")</f>
        <v/>
      </c>
    </row>
    <row r="419" customFormat="false" ht="15" hidden="false" customHeight="false" outlineLevel="0" collapsed="false">
      <c r="A419" s="31" t="str">
        <f aca="false">Demand_History!C419</f>
        <v>KIT-005</v>
      </c>
      <c r="B419" s="31" t="n">
        <f aca="false">Demand_History!A419</f>
        <v>2</v>
      </c>
      <c r="C419" s="32" t="n">
        <f aca="false">Demand_History!D419</f>
        <v>48</v>
      </c>
      <c r="D419" s="33" t="n">
        <f aca="false">IF(B419&gt;=2,C418,"")</f>
        <v>43</v>
      </c>
      <c r="E419" s="33" t="str">
        <f aca="false">IF(B419&gt;=5,AVERAGE(C415:C418),"")</f>
        <v/>
      </c>
      <c r="F419" s="33" t="str">
        <f aca="false">IF(B419&gt;=9,AVERAGE(C411:C418),"")</f>
        <v/>
      </c>
      <c r="G419" s="33" t="n">
        <f aca="false">IF(B419=1,"",IF(B419=2,C418,SES_Alpha*C418+(1-SES_Alpha)*G418))</f>
        <v>43</v>
      </c>
      <c r="H419" s="33" t="n">
        <f aca="false">IF(D419="","",D419-C419)</f>
        <v>-5</v>
      </c>
      <c r="I419" s="33" t="str">
        <f aca="false">IF(E419="","",E419-C419)</f>
        <v/>
      </c>
      <c r="J419" s="33" t="str">
        <f aca="false">IF(F419="","",F419-C419)</f>
        <v/>
      </c>
      <c r="K419" s="33" t="n">
        <f aca="false">IF(G419="","",G419-C419)</f>
        <v>-5</v>
      </c>
      <c r="L419" s="33" t="n">
        <f aca="false">IF(H419="","",ABS(H419))</f>
        <v>5</v>
      </c>
      <c r="M419" s="33" t="str">
        <f aca="false">IF(I419="","",ABS(I419))</f>
        <v/>
      </c>
      <c r="N419" s="33" t="str">
        <f aca="false">IF(J419="","",ABS(J419))</f>
        <v/>
      </c>
      <c r="O419" s="33" t="n">
        <f aca="false">IF(K419="","",ABS(K419))</f>
        <v>5</v>
      </c>
      <c r="P419" s="34" t="str">
        <f aca="false">IF(B419&gt;=Eval_Start_Week,"YES","")</f>
        <v/>
      </c>
      <c r="Q419" s="34" t="str">
        <f aca="false">IF(AND(B419&gt;=Cal_Start_Week,B419&lt;=Cal_End_Week),"YES","")</f>
        <v/>
      </c>
    </row>
    <row r="420" customFormat="false" ht="15" hidden="false" customHeight="false" outlineLevel="0" collapsed="false">
      <c r="A420" s="31" t="str">
        <f aca="false">Demand_History!C420</f>
        <v>KIT-005</v>
      </c>
      <c r="B420" s="31" t="n">
        <f aca="false">Demand_History!A420</f>
        <v>3</v>
      </c>
      <c r="C420" s="32" t="n">
        <f aca="false">Demand_History!D420</f>
        <v>36</v>
      </c>
      <c r="D420" s="33" t="n">
        <f aca="false">IF(B420&gt;=2,C419,"")</f>
        <v>48</v>
      </c>
      <c r="E420" s="33" t="str">
        <f aca="false">IF(B420&gt;=5,AVERAGE(C416:C419),"")</f>
        <v/>
      </c>
      <c r="F420" s="33" t="str">
        <f aca="false">IF(B420&gt;=9,AVERAGE(C412:C419),"")</f>
        <v/>
      </c>
      <c r="G420" s="33" t="n">
        <f aca="false">IF(B420=1,"",IF(B420=2,C419,SES_Alpha*C419+(1-SES_Alpha)*G419))</f>
        <v>44.5</v>
      </c>
      <c r="H420" s="33" t="n">
        <f aca="false">IF(D420="","",D420-C420)</f>
        <v>12</v>
      </c>
      <c r="I420" s="33" t="str">
        <f aca="false">IF(E420="","",E420-C420)</f>
        <v/>
      </c>
      <c r="J420" s="33" t="str">
        <f aca="false">IF(F420="","",F420-C420)</f>
        <v/>
      </c>
      <c r="K420" s="33" t="n">
        <f aca="false">IF(G420="","",G420-C420)</f>
        <v>8.5</v>
      </c>
      <c r="L420" s="33" t="n">
        <f aca="false">IF(H420="","",ABS(H420))</f>
        <v>12</v>
      </c>
      <c r="M420" s="33" t="str">
        <f aca="false">IF(I420="","",ABS(I420))</f>
        <v/>
      </c>
      <c r="N420" s="33" t="str">
        <f aca="false">IF(J420="","",ABS(J420))</f>
        <v/>
      </c>
      <c r="O420" s="33" t="n">
        <f aca="false">IF(K420="","",ABS(K420))</f>
        <v>8.5</v>
      </c>
      <c r="P420" s="34" t="str">
        <f aca="false">IF(B420&gt;=Eval_Start_Week,"YES","")</f>
        <v/>
      </c>
      <c r="Q420" s="34" t="str">
        <f aca="false">IF(AND(B420&gt;=Cal_Start_Week,B420&lt;=Cal_End_Week),"YES","")</f>
        <v/>
      </c>
    </row>
    <row r="421" customFormat="false" ht="15" hidden="false" customHeight="false" outlineLevel="0" collapsed="false">
      <c r="A421" s="31" t="str">
        <f aca="false">Demand_History!C421</f>
        <v>KIT-005</v>
      </c>
      <c r="B421" s="31" t="n">
        <f aca="false">Demand_History!A421</f>
        <v>4</v>
      </c>
      <c r="C421" s="32" t="n">
        <f aca="false">Demand_History!D421</f>
        <v>44</v>
      </c>
      <c r="D421" s="33" t="n">
        <f aca="false">IF(B421&gt;=2,C420,"")</f>
        <v>36</v>
      </c>
      <c r="E421" s="33" t="str">
        <f aca="false">IF(B421&gt;=5,AVERAGE(C417:C420),"")</f>
        <v/>
      </c>
      <c r="F421" s="33" t="str">
        <f aca="false">IF(B421&gt;=9,AVERAGE(C413:C420),"")</f>
        <v/>
      </c>
      <c r="G421" s="33" t="n">
        <f aca="false">IF(B421=1,"",IF(B421=2,C420,SES_Alpha*C420+(1-SES_Alpha)*G420))</f>
        <v>41.95</v>
      </c>
      <c r="H421" s="33" t="n">
        <f aca="false">IF(D421="","",D421-C421)</f>
        <v>-8</v>
      </c>
      <c r="I421" s="33" t="str">
        <f aca="false">IF(E421="","",E421-C421)</f>
        <v/>
      </c>
      <c r="J421" s="33" t="str">
        <f aca="false">IF(F421="","",F421-C421)</f>
        <v/>
      </c>
      <c r="K421" s="33" t="n">
        <f aca="false">IF(G421="","",G421-C421)</f>
        <v>-2.05</v>
      </c>
      <c r="L421" s="33" t="n">
        <f aca="false">IF(H421="","",ABS(H421))</f>
        <v>8</v>
      </c>
      <c r="M421" s="33" t="str">
        <f aca="false">IF(I421="","",ABS(I421))</f>
        <v/>
      </c>
      <c r="N421" s="33" t="str">
        <f aca="false">IF(J421="","",ABS(J421))</f>
        <v/>
      </c>
      <c r="O421" s="33" t="n">
        <f aca="false">IF(K421="","",ABS(K421))</f>
        <v>2.05</v>
      </c>
      <c r="P421" s="34" t="str">
        <f aca="false">IF(B421&gt;=Eval_Start_Week,"YES","")</f>
        <v/>
      </c>
      <c r="Q421" s="34" t="str">
        <f aca="false">IF(AND(B421&gt;=Cal_Start_Week,B421&lt;=Cal_End_Week),"YES","")</f>
        <v/>
      </c>
    </row>
    <row r="422" customFormat="false" ht="15" hidden="false" customHeight="false" outlineLevel="0" collapsed="false">
      <c r="A422" s="31" t="str">
        <f aca="false">Demand_History!C422</f>
        <v>KIT-005</v>
      </c>
      <c r="B422" s="31" t="n">
        <f aca="false">Demand_History!A422</f>
        <v>5</v>
      </c>
      <c r="C422" s="32" t="n">
        <f aca="false">Demand_History!D422</f>
        <v>53</v>
      </c>
      <c r="D422" s="33" t="n">
        <f aca="false">IF(B422&gt;=2,C421,"")</f>
        <v>44</v>
      </c>
      <c r="E422" s="33" t="n">
        <f aca="false">IF(B422&gt;=5,AVERAGE(C418:C421),"")</f>
        <v>42.75</v>
      </c>
      <c r="F422" s="33" t="str">
        <f aca="false">IF(B422&gt;=9,AVERAGE(C414:C421),"")</f>
        <v/>
      </c>
      <c r="G422" s="33" t="n">
        <f aca="false">IF(B422=1,"",IF(B422=2,C421,SES_Alpha*C421+(1-SES_Alpha)*G421))</f>
        <v>42.565</v>
      </c>
      <c r="H422" s="33" t="n">
        <f aca="false">IF(D422="","",D422-C422)</f>
        <v>-9</v>
      </c>
      <c r="I422" s="33" t="n">
        <f aca="false">IF(E422="","",E422-C422)</f>
        <v>-10.25</v>
      </c>
      <c r="J422" s="33" t="str">
        <f aca="false">IF(F422="","",F422-C422)</f>
        <v/>
      </c>
      <c r="K422" s="33" t="n">
        <f aca="false">IF(G422="","",G422-C422)</f>
        <v>-10.435</v>
      </c>
      <c r="L422" s="33" t="n">
        <f aca="false">IF(H422="","",ABS(H422))</f>
        <v>9</v>
      </c>
      <c r="M422" s="33" t="n">
        <f aca="false">IF(I422="","",ABS(I422))</f>
        <v>10.25</v>
      </c>
      <c r="N422" s="33" t="str">
        <f aca="false">IF(J422="","",ABS(J422))</f>
        <v/>
      </c>
      <c r="O422" s="33" t="n">
        <f aca="false">IF(K422="","",ABS(K422))</f>
        <v>10.435</v>
      </c>
      <c r="P422" s="34" t="str">
        <f aca="false">IF(B422&gt;=Eval_Start_Week,"YES","")</f>
        <v/>
      </c>
      <c r="Q422" s="34" t="str">
        <f aca="false">IF(AND(B422&gt;=Cal_Start_Week,B422&lt;=Cal_End_Week),"YES","")</f>
        <v/>
      </c>
    </row>
    <row r="423" customFormat="false" ht="15" hidden="false" customHeight="false" outlineLevel="0" collapsed="false">
      <c r="A423" s="31" t="str">
        <f aca="false">Demand_History!C423</f>
        <v>KIT-005</v>
      </c>
      <c r="B423" s="31" t="n">
        <f aca="false">Demand_History!A423</f>
        <v>6</v>
      </c>
      <c r="C423" s="32" t="n">
        <f aca="false">Demand_History!D423</f>
        <v>38</v>
      </c>
      <c r="D423" s="33" t="n">
        <f aca="false">IF(B423&gt;=2,C422,"")</f>
        <v>53</v>
      </c>
      <c r="E423" s="33" t="n">
        <f aca="false">IF(B423&gt;=5,AVERAGE(C419:C422),"")</f>
        <v>45.25</v>
      </c>
      <c r="F423" s="33" t="str">
        <f aca="false">IF(B423&gt;=9,AVERAGE(C415:C422),"")</f>
        <v/>
      </c>
      <c r="G423" s="33" t="n">
        <f aca="false">IF(B423=1,"",IF(B423=2,C422,SES_Alpha*C422+(1-SES_Alpha)*G422))</f>
        <v>45.6955</v>
      </c>
      <c r="H423" s="33" t="n">
        <f aca="false">IF(D423="","",D423-C423)</f>
        <v>15</v>
      </c>
      <c r="I423" s="33" t="n">
        <f aca="false">IF(E423="","",E423-C423)</f>
        <v>7.25</v>
      </c>
      <c r="J423" s="33" t="str">
        <f aca="false">IF(F423="","",F423-C423)</f>
        <v/>
      </c>
      <c r="K423" s="33" t="n">
        <f aca="false">IF(G423="","",G423-C423)</f>
        <v>7.6955</v>
      </c>
      <c r="L423" s="33" t="n">
        <f aca="false">IF(H423="","",ABS(H423))</f>
        <v>15</v>
      </c>
      <c r="M423" s="33" t="n">
        <f aca="false">IF(I423="","",ABS(I423))</f>
        <v>7.25</v>
      </c>
      <c r="N423" s="33" t="str">
        <f aca="false">IF(J423="","",ABS(J423))</f>
        <v/>
      </c>
      <c r="O423" s="33" t="n">
        <f aca="false">IF(K423="","",ABS(K423))</f>
        <v>7.6955</v>
      </c>
      <c r="P423" s="34" t="str">
        <f aca="false">IF(B423&gt;=Eval_Start_Week,"YES","")</f>
        <v/>
      </c>
      <c r="Q423" s="34" t="str">
        <f aca="false">IF(AND(B423&gt;=Cal_Start_Week,B423&lt;=Cal_End_Week),"YES","")</f>
        <v/>
      </c>
    </row>
    <row r="424" customFormat="false" ht="15" hidden="false" customHeight="false" outlineLevel="0" collapsed="false">
      <c r="A424" s="31" t="str">
        <f aca="false">Demand_History!C424</f>
        <v>KIT-005</v>
      </c>
      <c r="B424" s="31" t="n">
        <f aca="false">Demand_History!A424</f>
        <v>7</v>
      </c>
      <c r="C424" s="32" t="n">
        <f aca="false">Demand_History!D424</f>
        <v>53</v>
      </c>
      <c r="D424" s="33" t="n">
        <f aca="false">IF(B424&gt;=2,C423,"")</f>
        <v>38</v>
      </c>
      <c r="E424" s="33" t="n">
        <f aca="false">IF(B424&gt;=5,AVERAGE(C420:C423),"")</f>
        <v>42.75</v>
      </c>
      <c r="F424" s="33" t="str">
        <f aca="false">IF(B424&gt;=9,AVERAGE(C416:C423),"")</f>
        <v/>
      </c>
      <c r="G424" s="33" t="n">
        <f aca="false">IF(B424=1,"",IF(B424=2,C423,SES_Alpha*C423+(1-SES_Alpha)*G423))</f>
        <v>43.38685</v>
      </c>
      <c r="H424" s="33" t="n">
        <f aca="false">IF(D424="","",D424-C424)</f>
        <v>-15</v>
      </c>
      <c r="I424" s="33" t="n">
        <f aca="false">IF(E424="","",E424-C424)</f>
        <v>-10.25</v>
      </c>
      <c r="J424" s="33" t="str">
        <f aca="false">IF(F424="","",F424-C424)</f>
        <v/>
      </c>
      <c r="K424" s="33" t="n">
        <f aca="false">IF(G424="","",G424-C424)</f>
        <v>-9.61315000000001</v>
      </c>
      <c r="L424" s="33" t="n">
        <f aca="false">IF(H424="","",ABS(H424))</f>
        <v>15</v>
      </c>
      <c r="M424" s="33" t="n">
        <f aca="false">IF(I424="","",ABS(I424))</f>
        <v>10.25</v>
      </c>
      <c r="N424" s="33" t="str">
        <f aca="false">IF(J424="","",ABS(J424))</f>
        <v/>
      </c>
      <c r="O424" s="33" t="n">
        <f aca="false">IF(K424="","",ABS(K424))</f>
        <v>9.61315000000001</v>
      </c>
      <c r="P424" s="34" t="str">
        <f aca="false">IF(B424&gt;=Eval_Start_Week,"YES","")</f>
        <v/>
      </c>
      <c r="Q424" s="34" t="str">
        <f aca="false">IF(AND(B424&gt;=Cal_Start_Week,B424&lt;=Cal_End_Week),"YES","")</f>
        <v/>
      </c>
    </row>
    <row r="425" customFormat="false" ht="15" hidden="false" customHeight="false" outlineLevel="0" collapsed="false">
      <c r="A425" s="31" t="str">
        <f aca="false">Demand_History!C425</f>
        <v>KIT-005</v>
      </c>
      <c r="B425" s="31" t="n">
        <f aca="false">Demand_History!A425</f>
        <v>8</v>
      </c>
      <c r="C425" s="32" t="n">
        <f aca="false">Demand_History!D425</f>
        <v>48</v>
      </c>
      <c r="D425" s="33" t="n">
        <f aca="false">IF(B425&gt;=2,C424,"")</f>
        <v>53</v>
      </c>
      <c r="E425" s="33" t="n">
        <f aca="false">IF(B425&gt;=5,AVERAGE(C421:C424),"")</f>
        <v>47</v>
      </c>
      <c r="F425" s="33" t="str">
        <f aca="false">IF(B425&gt;=9,AVERAGE(C417:C424),"")</f>
        <v/>
      </c>
      <c r="G425" s="33" t="n">
        <f aca="false">IF(B425=1,"",IF(B425=2,C424,SES_Alpha*C424+(1-SES_Alpha)*G424))</f>
        <v>46.270795</v>
      </c>
      <c r="H425" s="33" t="n">
        <f aca="false">IF(D425="","",D425-C425)</f>
        <v>5</v>
      </c>
      <c r="I425" s="33" t="n">
        <f aca="false">IF(E425="","",E425-C425)</f>
        <v>-1</v>
      </c>
      <c r="J425" s="33" t="str">
        <f aca="false">IF(F425="","",F425-C425)</f>
        <v/>
      </c>
      <c r="K425" s="33" t="n">
        <f aca="false">IF(G425="","",G425-C425)</f>
        <v>-1.72920500000001</v>
      </c>
      <c r="L425" s="33" t="n">
        <f aca="false">IF(H425="","",ABS(H425))</f>
        <v>5</v>
      </c>
      <c r="M425" s="33" t="n">
        <f aca="false">IF(I425="","",ABS(I425))</f>
        <v>1</v>
      </c>
      <c r="N425" s="33" t="str">
        <f aca="false">IF(J425="","",ABS(J425))</f>
        <v/>
      </c>
      <c r="O425" s="33" t="n">
        <f aca="false">IF(K425="","",ABS(K425))</f>
        <v>1.72920500000001</v>
      </c>
      <c r="P425" s="34" t="str">
        <f aca="false">IF(B425&gt;=Eval_Start_Week,"YES","")</f>
        <v/>
      </c>
      <c r="Q425" s="34" t="str">
        <f aca="false">IF(AND(B425&gt;=Cal_Start_Week,B425&lt;=Cal_End_Week),"YES","")</f>
        <v/>
      </c>
    </row>
    <row r="426" customFormat="false" ht="15" hidden="false" customHeight="false" outlineLevel="0" collapsed="false">
      <c r="A426" s="31" t="str">
        <f aca="false">Demand_History!C426</f>
        <v>KIT-005</v>
      </c>
      <c r="B426" s="31" t="n">
        <f aca="false">Demand_History!A426</f>
        <v>9</v>
      </c>
      <c r="C426" s="32" t="n">
        <f aca="false">Demand_History!D426</f>
        <v>39</v>
      </c>
      <c r="D426" s="33" t="n">
        <f aca="false">IF(B426&gt;=2,C425,"")</f>
        <v>48</v>
      </c>
      <c r="E426" s="33" t="n">
        <f aca="false">IF(B426&gt;=5,AVERAGE(C422:C425),"")</f>
        <v>48</v>
      </c>
      <c r="F426" s="33" t="n">
        <f aca="false">IF(B426&gt;=9,AVERAGE(C418:C425),"")</f>
        <v>45.375</v>
      </c>
      <c r="G426" s="33" t="n">
        <f aca="false">IF(B426=1,"",IF(B426=2,C425,SES_Alpha*C425+(1-SES_Alpha)*G425))</f>
        <v>46.7895565</v>
      </c>
      <c r="H426" s="33" t="n">
        <f aca="false">IF(D426="","",D426-C426)</f>
        <v>9</v>
      </c>
      <c r="I426" s="33" t="n">
        <f aca="false">IF(E426="","",E426-C426)</f>
        <v>9</v>
      </c>
      <c r="J426" s="33" t="n">
        <f aca="false">IF(F426="","",F426-C426)</f>
        <v>6.375</v>
      </c>
      <c r="K426" s="33" t="n">
        <f aca="false">IF(G426="","",G426-C426)</f>
        <v>7.78955649999999</v>
      </c>
      <c r="L426" s="33" t="n">
        <f aca="false">IF(H426="","",ABS(H426))</f>
        <v>9</v>
      </c>
      <c r="M426" s="33" t="n">
        <f aca="false">IF(I426="","",ABS(I426))</f>
        <v>9</v>
      </c>
      <c r="N426" s="33" t="n">
        <f aca="false">IF(J426="","",ABS(J426))</f>
        <v>6.375</v>
      </c>
      <c r="O426" s="33" t="n">
        <f aca="false">IF(K426="","",ABS(K426))</f>
        <v>7.78955649999999</v>
      </c>
      <c r="P426" s="34" t="str">
        <f aca="false">IF(B426&gt;=Eval_Start_Week,"YES","")</f>
        <v/>
      </c>
      <c r="Q426" s="34" t="str">
        <f aca="false">IF(AND(B426&gt;=Cal_Start_Week,B426&lt;=Cal_End_Week),"YES","")</f>
        <v/>
      </c>
    </row>
    <row r="427" customFormat="false" ht="15" hidden="false" customHeight="false" outlineLevel="0" collapsed="false">
      <c r="A427" s="31" t="str">
        <f aca="false">Demand_History!C427</f>
        <v>KIT-005</v>
      </c>
      <c r="B427" s="31" t="n">
        <f aca="false">Demand_History!A427</f>
        <v>10</v>
      </c>
      <c r="C427" s="32" t="n">
        <f aca="false">Demand_History!D427</f>
        <v>42</v>
      </c>
      <c r="D427" s="33" t="n">
        <f aca="false">IF(B427&gt;=2,C426,"")</f>
        <v>39</v>
      </c>
      <c r="E427" s="33" t="n">
        <f aca="false">IF(B427&gt;=5,AVERAGE(C423:C426),"")</f>
        <v>44.5</v>
      </c>
      <c r="F427" s="33" t="n">
        <f aca="false">IF(B427&gt;=9,AVERAGE(C419:C426),"")</f>
        <v>44.875</v>
      </c>
      <c r="G427" s="33" t="n">
        <f aca="false">IF(B427=1,"",IF(B427=2,C426,SES_Alpha*C426+(1-SES_Alpha)*G426))</f>
        <v>44.45268955</v>
      </c>
      <c r="H427" s="33" t="n">
        <f aca="false">IF(D427="","",D427-C427)</f>
        <v>-3</v>
      </c>
      <c r="I427" s="33" t="n">
        <f aca="false">IF(E427="","",E427-C427)</f>
        <v>2.5</v>
      </c>
      <c r="J427" s="33" t="n">
        <f aca="false">IF(F427="","",F427-C427)</f>
        <v>2.875</v>
      </c>
      <c r="K427" s="33" t="n">
        <f aca="false">IF(G427="","",G427-C427)</f>
        <v>2.45268954999999</v>
      </c>
      <c r="L427" s="33" t="n">
        <f aca="false">IF(H427="","",ABS(H427))</f>
        <v>3</v>
      </c>
      <c r="M427" s="33" t="n">
        <f aca="false">IF(I427="","",ABS(I427))</f>
        <v>2.5</v>
      </c>
      <c r="N427" s="33" t="n">
        <f aca="false">IF(J427="","",ABS(J427))</f>
        <v>2.875</v>
      </c>
      <c r="O427" s="33" t="n">
        <f aca="false">IF(K427="","",ABS(K427))</f>
        <v>2.45268954999999</v>
      </c>
      <c r="P427" s="34" t="str">
        <f aca="false">IF(B427&gt;=Eval_Start_Week,"YES","")</f>
        <v/>
      </c>
      <c r="Q427" s="34" t="str">
        <f aca="false">IF(AND(B427&gt;=Cal_Start_Week,B427&lt;=Cal_End_Week),"YES","")</f>
        <v/>
      </c>
    </row>
    <row r="428" customFormat="false" ht="15" hidden="false" customHeight="false" outlineLevel="0" collapsed="false">
      <c r="A428" s="31" t="str">
        <f aca="false">Demand_History!C428</f>
        <v>KIT-005</v>
      </c>
      <c r="B428" s="31" t="n">
        <f aca="false">Demand_History!A428</f>
        <v>11</v>
      </c>
      <c r="C428" s="32" t="n">
        <f aca="false">Demand_History!D428</f>
        <v>42</v>
      </c>
      <c r="D428" s="33" t="n">
        <f aca="false">IF(B428&gt;=2,C427,"")</f>
        <v>42</v>
      </c>
      <c r="E428" s="33" t="n">
        <f aca="false">IF(B428&gt;=5,AVERAGE(C424:C427),"")</f>
        <v>45.5</v>
      </c>
      <c r="F428" s="33" t="n">
        <f aca="false">IF(B428&gt;=9,AVERAGE(C420:C427),"")</f>
        <v>44.125</v>
      </c>
      <c r="G428" s="33" t="n">
        <f aca="false">IF(B428=1,"",IF(B428=2,C427,SES_Alpha*C427+(1-SES_Alpha)*G427))</f>
        <v>43.716882685</v>
      </c>
      <c r="H428" s="33" t="n">
        <f aca="false">IF(D428="","",D428-C428)</f>
        <v>0</v>
      </c>
      <c r="I428" s="33" t="n">
        <f aca="false">IF(E428="","",E428-C428)</f>
        <v>3.5</v>
      </c>
      <c r="J428" s="33" t="n">
        <f aca="false">IF(F428="","",F428-C428)</f>
        <v>2.125</v>
      </c>
      <c r="K428" s="33" t="n">
        <f aca="false">IF(G428="","",G428-C428)</f>
        <v>1.71688268499999</v>
      </c>
      <c r="L428" s="33" t="n">
        <f aca="false">IF(H428="","",ABS(H428))</f>
        <v>0</v>
      </c>
      <c r="M428" s="33" t="n">
        <f aca="false">IF(I428="","",ABS(I428))</f>
        <v>3.5</v>
      </c>
      <c r="N428" s="33" t="n">
        <f aca="false">IF(J428="","",ABS(J428))</f>
        <v>2.125</v>
      </c>
      <c r="O428" s="33" t="n">
        <f aca="false">IF(K428="","",ABS(K428))</f>
        <v>1.71688268499999</v>
      </c>
      <c r="P428" s="34" t="str">
        <f aca="false">IF(B428&gt;=Eval_Start_Week,"YES","")</f>
        <v/>
      </c>
      <c r="Q428" s="34" t="str">
        <f aca="false">IF(AND(B428&gt;=Cal_Start_Week,B428&lt;=Cal_End_Week),"YES","")</f>
        <v/>
      </c>
    </row>
    <row r="429" customFormat="false" ht="15" hidden="false" customHeight="false" outlineLevel="0" collapsed="false">
      <c r="A429" s="31" t="str">
        <f aca="false">Demand_History!C429</f>
        <v>KIT-005</v>
      </c>
      <c r="B429" s="31" t="n">
        <f aca="false">Demand_History!A429</f>
        <v>12</v>
      </c>
      <c r="C429" s="32" t="n">
        <f aca="false">Demand_History!D429</f>
        <v>44</v>
      </c>
      <c r="D429" s="33" t="n">
        <f aca="false">IF(B429&gt;=2,C428,"")</f>
        <v>42</v>
      </c>
      <c r="E429" s="33" t="n">
        <f aca="false">IF(B429&gt;=5,AVERAGE(C425:C428),"")</f>
        <v>42.75</v>
      </c>
      <c r="F429" s="33" t="n">
        <f aca="false">IF(B429&gt;=9,AVERAGE(C421:C428),"")</f>
        <v>44.875</v>
      </c>
      <c r="G429" s="33" t="n">
        <f aca="false">IF(B429=1,"",IF(B429=2,C428,SES_Alpha*C428+(1-SES_Alpha)*G428))</f>
        <v>43.2018178795</v>
      </c>
      <c r="H429" s="33" t="n">
        <f aca="false">IF(D429="","",D429-C429)</f>
        <v>-2</v>
      </c>
      <c r="I429" s="33" t="n">
        <f aca="false">IF(E429="","",E429-C429)</f>
        <v>-1.25</v>
      </c>
      <c r="J429" s="33" t="n">
        <f aca="false">IF(F429="","",F429-C429)</f>
        <v>0.875</v>
      </c>
      <c r="K429" s="33" t="n">
        <f aca="false">IF(G429="","",G429-C429)</f>
        <v>-0.798182120500009</v>
      </c>
      <c r="L429" s="33" t="n">
        <f aca="false">IF(H429="","",ABS(H429))</f>
        <v>2</v>
      </c>
      <c r="M429" s="33" t="n">
        <f aca="false">IF(I429="","",ABS(I429))</f>
        <v>1.25</v>
      </c>
      <c r="N429" s="33" t="n">
        <f aca="false">IF(J429="","",ABS(J429))</f>
        <v>0.875</v>
      </c>
      <c r="O429" s="33" t="n">
        <f aca="false">IF(K429="","",ABS(K429))</f>
        <v>0.798182120500009</v>
      </c>
      <c r="P429" s="34" t="str">
        <f aca="false">IF(B429&gt;=Eval_Start_Week,"YES","")</f>
        <v/>
      </c>
      <c r="Q429" s="34" t="str">
        <f aca="false">IF(AND(B429&gt;=Cal_Start_Week,B429&lt;=Cal_End_Week),"YES","")</f>
        <v/>
      </c>
    </row>
    <row r="430" customFormat="false" ht="15" hidden="false" customHeight="false" outlineLevel="0" collapsed="false">
      <c r="A430" s="31" t="str">
        <f aca="false">Demand_History!C430</f>
        <v>KIT-005</v>
      </c>
      <c r="B430" s="31" t="n">
        <f aca="false">Demand_History!A430</f>
        <v>13</v>
      </c>
      <c r="C430" s="32" t="n">
        <f aca="false">Demand_History!D430</f>
        <v>41</v>
      </c>
      <c r="D430" s="33" t="n">
        <f aca="false">IF(B430&gt;=2,C429,"")</f>
        <v>44</v>
      </c>
      <c r="E430" s="33" t="n">
        <f aca="false">IF(B430&gt;=5,AVERAGE(C426:C429),"")</f>
        <v>41.75</v>
      </c>
      <c r="F430" s="33" t="n">
        <f aca="false">IF(B430&gt;=9,AVERAGE(C422:C429),"")</f>
        <v>44.875</v>
      </c>
      <c r="G430" s="33" t="n">
        <f aca="false">IF(B430=1,"",IF(B430=2,C429,SES_Alpha*C429+(1-SES_Alpha)*G429))</f>
        <v>43.44127251565</v>
      </c>
      <c r="H430" s="33" t="n">
        <f aca="false">IF(D430="","",D430-C430)</f>
        <v>3</v>
      </c>
      <c r="I430" s="33" t="n">
        <f aca="false">IF(E430="","",E430-C430)</f>
        <v>0.75</v>
      </c>
      <c r="J430" s="33" t="n">
        <f aca="false">IF(F430="","",F430-C430)</f>
        <v>3.875</v>
      </c>
      <c r="K430" s="33" t="n">
        <f aca="false">IF(G430="","",G430-C430)</f>
        <v>2.44127251564999</v>
      </c>
      <c r="L430" s="33" t="n">
        <f aca="false">IF(H430="","",ABS(H430))</f>
        <v>3</v>
      </c>
      <c r="M430" s="33" t="n">
        <f aca="false">IF(I430="","",ABS(I430))</f>
        <v>0.75</v>
      </c>
      <c r="N430" s="33" t="n">
        <f aca="false">IF(J430="","",ABS(J430))</f>
        <v>3.875</v>
      </c>
      <c r="O430" s="33" t="n">
        <f aca="false">IF(K430="","",ABS(K430))</f>
        <v>2.44127251564999</v>
      </c>
      <c r="P430" s="34" t="str">
        <f aca="false">IF(B430&gt;=Eval_Start_Week,"YES","")</f>
        <v/>
      </c>
      <c r="Q430" s="34" t="str">
        <f aca="false">IF(AND(B430&gt;=Cal_Start_Week,B430&lt;=Cal_End_Week),"YES","")</f>
        <v/>
      </c>
    </row>
    <row r="431" customFormat="false" ht="15" hidden="false" customHeight="false" outlineLevel="0" collapsed="false">
      <c r="A431" s="31" t="str">
        <f aca="false">Demand_History!C431</f>
        <v>KIT-005</v>
      </c>
      <c r="B431" s="31" t="n">
        <f aca="false">Demand_History!A431</f>
        <v>14</v>
      </c>
      <c r="C431" s="32" t="n">
        <f aca="false">Demand_History!D431</f>
        <v>39</v>
      </c>
      <c r="D431" s="33" t="n">
        <f aca="false">IF(B431&gt;=2,C430,"")</f>
        <v>41</v>
      </c>
      <c r="E431" s="33" t="n">
        <f aca="false">IF(B431&gt;=5,AVERAGE(C427:C430),"")</f>
        <v>42.25</v>
      </c>
      <c r="F431" s="33" t="n">
        <f aca="false">IF(B431&gt;=9,AVERAGE(C423:C430),"")</f>
        <v>43.375</v>
      </c>
      <c r="G431" s="33" t="n">
        <f aca="false">IF(B431=1,"",IF(B431=2,C430,SES_Alpha*C430+(1-SES_Alpha)*G430))</f>
        <v>42.708890760955</v>
      </c>
      <c r="H431" s="33" t="n">
        <f aca="false">IF(D431="","",D431-C431)</f>
        <v>2</v>
      </c>
      <c r="I431" s="33" t="n">
        <f aca="false">IF(E431="","",E431-C431)</f>
        <v>3.25</v>
      </c>
      <c r="J431" s="33" t="n">
        <f aca="false">IF(F431="","",F431-C431)</f>
        <v>4.375</v>
      </c>
      <c r="K431" s="33" t="n">
        <f aca="false">IF(G431="","",G431-C431)</f>
        <v>3.70889076095499</v>
      </c>
      <c r="L431" s="33" t="n">
        <f aca="false">IF(H431="","",ABS(H431))</f>
        <v>2</v>
      </c>
      <c r="M431" s="33" t="n">
        <f aca="false">IF(I431="","",ABS(I431))</f>
        <v>3.25</v>
      </c>
      <c r="N431" s="33" t="n">
        <f aca="false">IF(J431="","",ABS(J431))</f>
        <v>4.375</v>
      </c>
      <c r="O431" s="33" t="n">
        <f aca="false">IF(K431="","",ABS(K431))</f>
        <v>3.70889076095499</v>
      </c>
      <c r="P431" s="34" t="str">
        <f aca="false">IF(B431&gt;=Eval_Start_Week,"YES","")</f>
        <v/>
      </c>
      <c r="Q431" s="34" t="str">
        <f aca="false">IF(AND(B431&gt;=Cal_Start_Week,B431&lt;=Cal_End_Week),"YES","")</f>
        <v/>
      </c>
    </row>
    <row r="432" customFormat="false" ht="15" hidden="false" customHeight="false" outlineLevel="0" collapsed="false">
      <c r="A432" s="31" t="str">
        <f aca="false">Demand_History!C432</f>
        <v>KIT-005</v>
      </c>
      <c r="B432" s="31" t="n">
        <f aca="false">Demand_History!A432</f>
        <v>15</v>
      </c>
      <c r="C432" s="32" t="n">
        <f aca="false">Demand_History!D432</f>
        <v>42</v>
      </c>
      <c r="D432" s="33" t="n">
        <f aca="false">IF(B432&gt;=2,C431,"")</f>
        <v>39</v>
      </c>
      <c r="E432" s="33" t="n">
        <f aca="false">IF(B432&gt;=5,AVERAGE(C428:C431),"")</f>
        <v>41.5</v>
      </c>
      <c r="F432" s="33" t="n">
        <f aca="false">IF(B432&gt;=9,AVERAGE(C424:C431),"")</f>
        <v>43.5</v>
      </c>
      <c r="G432" s="33" t="n">
        <f aca="false">IF(B432=1,"",IF(B432=2,C431,SES_Alpha*C431+(1-SES_Alpha)*G431))</f>
        <v>41.5962235326685</v>
      </c>
      <c r="H432" s="33" t="n">
        <f aca="false">IF(D432="","",D432-C432)</f>
        <v>-3</v>
      </c>
      <c r="I432" s="33" t="n">
        <f aca="false">IF(E432="","",E432-C432)</f>
        <v>-0.5</v>
      </c>
      <c r="J432" s="33" t="n">
        <f aca="false">IF(F432="","",F432-C432)</f>
        <v>1.5</v>
      </c>
      <c r="K432" s="33" t="n">
        <f aca="false">IF(G432="","",G432-C432)</f>
        <v>-0.403776467331511</v>
      </c>
      <c r="L432" s="33" t="n">
        <f aca="false">IF(H432="","",ABS(H432))</f>
        <v>3</v>
      </c>
      <c r="M432" s="33" t="n">
        <f aca="false">IF(I432="","",ABS(I432))</f>
        <v>0.5</v>
      </c>
      <c r="N432" s="33" t="n">
        <f aca="false">IF(J432="","",ABS(J432))</f>
        <v>1.5</v>
      </c>
      <c r="O432" s="33" t="n">
        <f aca="false">IF(K432="","",ABS(K432))</f>
        <v>0.403776467331511</v>
      </c>
      <c r="P432" s="34" t="str">
        <f aca="false">IF(B432&gt;=Eval_Start_Week,"YES","")</f>
        <v/>
      </c>
      <c r="Q432" s="34" t="str">
        <f aca="false">IF(AND(B432&gt;=Cal_Start_Week,B432&lt;=Cal_End_Week),"YES","")</f>
        <v/>
      </c>
    </row>
    <row r="433" customFormat="false" ht="15" hidden="false" customHeight="false" outlineLevel="0" collapsed="false">
      <c r="A433" s="31" t="str">
        <f aca="false">Demand_History!C433</f>
        <v>KIT-005</v>
      </c>
      <c r="B433" s="31" t="n">
        <f aca="false">Demand_History!A433</f>
        <v>16</v>
      </c>
      <c r="C433" s="32" t="n">
        <f aca="false">Demand_History!D433</f>
        <v>37</v>
      </c>
      <c r="D433" s="33" t="n">
        <f aca="false">IF(B433&gt;=2,C432,"")</f>
        <v>42</v>
      </c>
      <c r="E433" s="33" t="n">
        <f aca="false">IF(B433&gt;=5,AVERAGE(C429:C432),"")</f>
        <v>41.5</v>
      </c>
      <c r="F433" s="33" t="n">
        <f aca="false">IF(B433&gt;=9,AVERAGE(C425:C432),"")</f>
        <v>42.125</v>
      </c>
      <c r="G433" s="33" t="n">
        <f aca="false">IF(B433=1,"",IF(B433=2,C432,SES_Alpha*C432+(1-SES_Alpha)*G432))</f>
        <v>41.7173564728679</v>
      </c>
      <c r="H433" s="33" t="n">
        <f aca="false">IF(D433="","",D433-C433)</f>
        <v>5</v>
      </c>
      <c r="I433" s="33" t="n">
        <f aca="false">IF(E433="","",E433-C433)</f>
        <v>4.5</v>
      </c>
      <c r="J433" s="33" t="n">
        <f aca="false">IF(F433="","",F433-C433)</f>
        <v>5.125</v>
      </c>
      <c r="K433" s="33" t="n">
        <f aca="false">IF(G433="","",G433-C433)</f>
        <v>4.71735647286794</v>
      </c>
      <c r="L433" s="33" t="n">
        <f aca="false">IF(H433="","",ABS(H433))</f>
        <v>5</v>
      </c>
      <c r="M433" s="33" t="n">
        <f aca="false">IF(I433="","",ABS(I433))</f>
        <v>4.5</v>
      </c>
      <c r="N433" s="33" t="n">
        <f aca="false">IF(J433="","",ABS(J433))</f>
        <v>5.125</v>
      </c>
      <c r="O433" s="33" t="n">
        <f aca="false">IF(K433="","",ABS(K433))</f>
        <v>4.71735647286794</v>
      </c>
      <c r="P433" s="34" t="str">
        <f aca="false">IF(B433&gt;=Eval_Start_Week,"YES","")</f>
        <v/>
      </c>
      <c r="Q433" s="34" t="str">
        <f aca="false">IF(AND(B433&gt;=Cal_Start_Week,B433&lt;=Cal_End_Week),"YES","")</f>
        <v/>
      </c>
    </row>
    <row r="434" customFormat="false" ht="15" hidden="false" customHeight="false" outlineLevel="0" collapsed="false">
      <c r="A434" s="31" t="str">
        <f aca="false">Demand_History!C434</f>
        <v>KIT-005</v>
      </c>
      <c r="B434" s="31" t="n">
        <f aca="false">Demand_History!A434</f>
        <v>17</v>
      </c>
      <c r="C434" s="32" t="n">
        <f aca="false">Demand_History!D434</f>
        <v>36</v>
      </c>
      <c r="D434" s="33" t="n">
        <f aca="false">IF(B434&gt;=2,C433,"")</f>
        <v>37</v>
      </c>
      <c r="E434" s="33" t="n">
        <f aca="false">IF(B434&gt;=5,AVERAGE(C430:C433),"")</f>
        <v>39.75</v>
      </c>
      <c r="F434" s="33" t="n">
        <f aca="false">IF(B434&gt;=9,AVERAGE(C426:C433),"")</f>
        <v>40.75</v>
      </c>
      <c r="G434" s="33" t="n">
        <f aca="false">IF(B434=1,"",IF(B434=2,C433,SES_Alpha*C433+(1-SES_Alpha)*G433))</f>
        <v>40.3021495310076</v>
      </c>
      <c r="H434" s="33" t="n">
        <f aca="false">IF(D434="","",D434-C434)</f>
        <v>1</v>
      </c>
      <c r="I434" s="33" t="n">
        <f aca="false">IF(E434="","",E434-C434)</f>
        <v>3.75</v>
      </c>
      <c r="J434" s="33" t="n">
        <f aca="false">IF(F434="","",F434-C434)</f>
        <v>4.75</v>
      </c>
      <c r="K434" s="33" t="n">
        <f aca="false">IF(G434="","",G434-C434)</f>
        <v>4.30214953100756</v>
      </c>
      <c r="L434" s="33" t="n">
        <f aca="false">IF(H434="","",ABS(H434))</f>
        <v>1</v>
      </c>
      <c r="M434" s="33" t="n">
        <f aca="false">IF(I434="","",ABS(I434))</f>
        <v>3.75</v>
      </c>
      <c r="N434" s="33" t="n">
        <f aca="false">IF(J434="","",ABS(J434))</f>
        <v>4.75</v>
      </c>
      <c r="O434" s="33" t="n">
        <f aca="false">IF(K434="","",ABS(K434))</f>
        <v>4.30214953100756</v>
      </c>
      <c r="P434" s="34" t="str">
        <f aca="false">IF(B434&gt;=Eval_Start_Week,"YES","")</f>
        <v/>
      </c>
      <c r="Q434" s="34" t="str">
        <f aca="false">IF(AND(B434&gt;=Cal_Start_Week,B434&lt;=Cal_End_Week),"YES","")</f>
        <v/>
      </c>
    </row>
    <row r="435" customFormat="false" ht="15" hidden="false" customHeight="false" outlineLevel="0" collapsed="false">
      <c r="A435" s="31" t="str">
        <f aca="false">Demand_History!C435</f>
        <v>KIT-005</v>
      </c>
      <c r="B435" s="31" t="n">
        <f aca="false">Demand_History!A435</f>
        <v>18</v>
      </c>
      <c r="C435" s="32" t="n">
        <f aca="false">Demand_History!D435</f>
        <v>43</v>
      </c>
      <c r="D435" s="33" t="n">
        <f aca="false">IF(B435&gt;=2,C434,"")</f>
        <v>36</v>
      </c>
      <c r="E435" s="33" t="n">
        <f aca="false">IF(B435&gt;=5,AVERAGE(C431:C434),"")</f>
        <v>38.5</v>
      </c>
      <c r="F435" s="33" t="n">
        <f aca="false">IF(B435&gt;=9,AVERAGE(C427:C434),"")</f>
        <v>40.375</v>
      </c>
      <c r="G435" s="33" t="n">
        <f aca="false">IF(B435=1,"",IF(B435=2,C434,SES_Alpha*C434+(1-SES_Alpha)*G434))</f>
        <v>39.0115046717053</v>
      </c>
      <c r="H435" s="33" t="n">
        <f aca="false">IF(D435="","",D435-C435)</f>
        <v>-7</v>
      </c>
      <c r="I435" s="33" t="n">
        <f aca="false">IF(E435="","",E435-C435)</f>
        <v>-4.5</v>
      </c>
      <c r="J435" s="33" t="n">
        <f aca="false">IF(F435="","",F435-C435)</f>
        <v>-2.625</v>
      </c>
      <c r="K435" s="33" t="n">
        <f aca="false">IF(G435="","",G435-C435)</f>
        <v>-3.98849532829471</v>
      </c>
      <c r="L435" s="33" t="n">
        <f aca="false">IF(H435="","",ABS(H435))</f>
        <v>7</v>
      </c>
      <c r="M435" s="33" t="n">
        <f aca="false">IF(I435="","",ABS(I435))</f>
        <v>4.5</v>
      </c>
      <c r="N435" s="33" t="n">
        <f aca="false">IF(J435="","",ABS(J435))</f>
        <v>2.625</v>
      </c>
      <c r="O435" s="33" t="n">
        <f aca="false">IF(K435="","",ABS(K435))</f>
        <v>3.98849532829471</v>
      </c>
      <c r="P435" s="34" t="str">
        <f aca="false">IF(B435&gt;=Eval_Start_Week,"YES","")</f>
        <v/>
      </c>
      <c r="Q435" s="34" t="str">
        <f aca="false">IF(AND(B435&gt;=Cal_Start_Week,B435&lt;=Cal_End_Week),"YES","")</f>
        <v/>
      </c>
    </row>
    <row r="436" customFormat="false" ht="15" hidden="false" customHeight="false" outlineLevel="0" collapsed="false">
      <c r="A436" s="31" t="str">
        <f aca="false">Demand_History!C436</f>
        <v>KIT-005</v>
      </c>
      <c r="B436" s="31" t="n">
        <f aca="false">Demand_History!A436</f>
        <v>19</v>
      </c>
      <c r="C436" s="32" t="n">
        <f aca="false">Demand_History!D436</f>
        <v>48</v>
      </c>
      <c r="D436" s="33" t="n">
        <f aca="false">IF(B436&gt;=2,C435,"")</f>
        <v>43</v>
      </c>
      <c r="E436" s="33" t="n">
        <f aca="false">IF(B436&gt;=5,AVERAGE(C432:C435),"")</f>
        <v>39.5</v>
      </c>
      <c r="F436" s="33" t="n">
        <f aca="false">IF(B436&gt;=9,AVERAGE(C428:C435),"")</f>
        <v>40.5</v>
      </c>
      <c r="G436" s="33" t="n">
        <f aca="false">IF(B436=1,"",IF(B436=2,C435,SES_Alpha*C435+(1-SES_Alpha)*G435))</f>
        <v>40.2080532701937</v>
      </c>
      <c r="H436" s="33" t="n">
        <f aca="false">IF(D436="","",D436-C436)</f>
        <v>-5</v>
      </c>
      <c r="I436" s="33" t="n">
        <f aca="false">IF(E436="","",E436-C436)</f>
        <v>-8.5</v>
      </c>
      <c r="J436" s="33" t="n">
        <f aca="false">IF(F436="","",F436-C436)</f>
        <v>-7.5</v>
      </c>
      <c r="K436" s="33" t="n">
        <f aca="false">IF(G436="","",G436-C436)</f>
        <v>-7.7919467298063</v>
      </c>
      <c r="L436" s="33" t="n">
        <f aca="false">IF(H436="","",ABS(H436))</f>
        <v>5</v>
      </c>
      <c r="M436" s="33" t="n">
        <f aca="false">IF(I436="","",ABS(I436))</f>
        <v>8.5</v>
      </c>
      <c r="N436" s="33" t="n">
        <f aca="false">IF(J436="","",ABS(J436))</f>
        <v>7.5</v>
      </c>
      <c r="O436" s="33" t="n">
        <f aca="false">IF(K436="","",ABS(K436))</f>
        <v>7.7919467298063</v>
      </c>
      <c r="P436" s="34" t="str">
        <f aca="false">IF(B436&gt;=Eval_Start_Week,"YES","")</f>
        <v/>
      </c>
      <c r="Q436" s="34" t="str">
        <f aca="false">IF(AND(B436&gt;=Cal_Start_Week,B436&lt;=Cal_End_Week),"YES","")</f>
        <v/>
      </c>
    </row>
    <row r="437" customFormat="false" ht="15" hidden="false" customHeight="false" outlineLevel="0" collapsed="false">
      <c r="A437" s="31" t="str">
        <f aca="false">Demand_History!C437</f>
        <v>KIT-005</v>
      </c>
      <c r="B437" s="31" t="n">
        <f aca="false">Demand_History!A437</f>
        <v>20</v>
      </c>
      <c r="C437" s="32" t="n">
        <f aca="false">Demand_History!D437</f>
        <v>34</v>
      </c>
      <c r="D437" s="33" t="n">
        <f aca="false">IF(B437&gt;=2,C436,"")</f>
        <v>48</v>
      </c>
      <c r="E437" s="33" t="n">
        <f aca="false">IF(B437&gt;=5,AVERAGE(C433:C436),"")</f>
        <v>41</v>
      </c>
      <c r="F437" s="33" t="n">
        <f aca="false">IF(B437&gt;=9,AVERAGE(C429:C436),"")</f>
        <v>41.25</v>
      </c>
      <c r="G437" s="33" t="n">
        <f aca="false">IF(B437=1,"",IF(B437=2,C436,SES_Alpha*C436+(1-SES_Alpha)*G436))</f>
        <v>42.5456372891356</v>
      </c>
      <c r="H437" s="33" t="n">
        <f aca="false">IF(D437="","",D437-C437)</f>
        <v>14</v>
      </c>
      <c r="I437" s="33" t="n">
        <f aca="false">IF(E437="","",E437-C437)</f>
        <v>7</v>
      </c>
      <c r="J437" s="33" t="n">
        <f aca="false">IF(F437="","",F437-C437)</f>
        <v>7.25</v>
      </c>
      <c r="K437" s="33" t="n">
        <f aca="false">IF(G437="","",G437-C437)</f>
        <v>8.54563728913558</v>
      </c>
      <c r="L437" s="33" t="n">
        <f aca="false">IF(H437="","",ABS(H437))</f>
        <v>14</v>
      </c>
      <c r="M437" s="33" t="n">
        <f aca="false">IF(I437="","",ABS(I437))</f>
        <v>7</v>
      </c>
      <c r="N437" s="33" t="n">
        <f aca="false">IF(J437="","",ABS(J437))</f>
        <v>7.25</v>
      </c>
      <c r="O437" s="33" t="n">
        <f aca="false">IF(K437="","",ABS(K437))</f>
        <v>8.54563728913558</v>
      </c>
      <c r="P437" s="34" t="str">
        <f aca="false">IF(B437&gt;=Eval_Start_Week,"YES","")</f>
        <v/>
      </c>
      <c r="Q437" s="34" t="str">
        <f aca="false">IF(AND(B437&gt;=Cal_Start_Week,B437&lt;=Cal_End_Week),"YES","")</f>
        <v/>
      </c>
    </row>
    <row r="438" customFormat="false" ht="15" hidden="false" customHeight="false" outlineLevel="0" collapsed="false">
      <c r="A438" s="31" t="str">
        <f aca="false">Demand_History!C438</f>
        <v>KIT-005</v>
      </c>
      <c r="B438" s="31" t="n">
        <f aca="false">Demand_History!A438</f>
        <v>21</v>
      </c>
      <c r="C438" s="32" t="n">
        <f aca="false">Demand_History!D438</f>
        <v>43</v>
      </c>
      <c r="D438" s="33" t="n">
        <f aca="false">IF(B438&gt;=2,C437,"")</f>
        <v>34</v>
      </c>
      <c r="E438" s="33" t="n">
        <f aca="false">IF(B438&gt;=5,AVERAGE(C434:C437),"")</f>
        <v>40.25</v>
      </c>
      <c r="F438" s="33" t="n">
        <f aca="false">IF(B438&gt;=9,AVERAGE(C430:C437),"")</f>
        <v>40</v>
      </c>
      <c r="G438" s="33" t="n">
        <f aca="false">IF(B438=1,"",IF(B438=2,C437,SES_Alpha*C437+(1-SES_Alpha)*G437))</f>
        <v>39.9819461023949</v>
      </c>
      <c r="H438" s="33" t="n">
        <f aca="false">IF(D438="","",D438-C438)</f>
        <v>-9</v>
      </c>
      <c r="I438" s="33" t="n">
        <f aca="false">IF(E438="","",E438-C438)</f>
        <v>-2.75</v>
      </c>
      <c r="J438" s="33" t="n">
        <f aca="false">IF(F438="","",F438-C438)</f>
        <v>-3</v>
      </c>
      <c r="K438" s="33" t="n">
        <f aca="false">IF(G438="","",G438-C438)</f>
        <v>-3.01805389760509</v>
      </c>
      <c r="L438" s="33" t="n">
        <f aca="false">IF(H438="","",ABS(H438))</f>
        <v>9</v>
      </c>
      <c r="M438" s="33" t="n">
        <f aca="false">IF(I438="","",ABS(I438))</f>
        <v>2.75</v>
      </c>
      <c r="N438" s="33" t="n">
        <f aca="false">IF(J438="","",ABS(J438))</f>
        <v>3</v>
      </c>
      <c r="O438" s="33" t="n">
        <f aca="false">IF(K438="","",ABS(K438))</f>
        <v>3.01805389760509</v>
      </c>
      <c r="P438" s="34" t="str">
        <f aca="false">IF(B438&gt;=Eval_Start_Week,"YES","")</f>
        <v/>
      </c>
      <c r="Q438" s="34" t="str">
        <f aca="false">IF(AND(B438&gt;=Cal_Start_Week,B438&lt;=Cal_End_Week),"YES","")</f>
        <v/>
      </c>
    </row>
    <row r="439" customFormat="false" ht="15" hidden="false" customHeight="false" outlineLevel="0" collapsed="false">
      <c r="A439" s="31" t="str">
        <f aca="false">Demand_History!C439</f>
        <v>KIT-005</v>
      </c>
      <c r="B439" s="31" t="n">
        <f aca="false">Demand_History!A439</f>
        <v>22</v>
      </c>
      <c r="C439" s="32" t="n">
        <f aca="false">Demand_History!D439</f>
        <v>38</v>
      </c>
      <c r="D439" s="33" t="n">
        <f aca="false">IF(B439&gt;=2,C438,"")</f>
        <v>43</v>
      </c>
      <c r="E439" s="33" t="n">
        <f aca="false">IF(B439&gt;=5,AVERAGE(C435:C438),"")</f>
        <v>42</v>
      </c>
      <c r="F439" s="33" t="n">
        <f aca="false">IF(B439&gt;=9,AVERAGE(C431:C438),"")</f>
        <v>40.25</v>
      </c>
      <c r="G439" s="33" t="n">
        <f aca="false">IF(B439=1,"",IF(B439=2,C438,SES_Alpha*C438+(1-SES_Alpha)*G438))</f>
        <v>40.8873622716764</v>
      </c>
      <c r="H439" s="33" t="n">
        <f aca="false">IF(D439="","",D439-C439)</f>
        <v>5</v>
      </c>
      <c r="I439" s="33" t="n">
        <f aca="false">IF(E439="","",E439-C439)</f>
        <v>4</v>
      </c>
      <c r="J439" s="33" t="n">
        <f aca="false">IF(F439="","",F439-C439)</f>
        <v>2.25</v>
      </c>
      <c r="K439" s="33" t="n">
        <f aca="false">IF(G439="","",G439-C439)</f>
        <v>2.88736227167644</v>
      </c>
      <c r="L439" s="33" t="n">
        <f aca="false">IF(H439="","",ABS(H439))</f>
        <v>5</v>
      </c>
      <c r="M439" s="33" t="n">
        <f aca="false">IF(I439="","",ABS(I439))</f>
        <v>4</v>
      </c>
      <c r="N439" s="33" t="n">
        <f aca="false">IF(J439="","",ABS(J439))</f>
        <v>2.25</v>
      </c>
      <c r="O439" s="33" t="n">
        <f aca="false">IF(K439="","",ABS(K439))</f>
        <v>2.88736227167644</v>
      </c>
      <c r="P439" s="34" t="str">
        <f aca="false">IF(B439&gt;=Eval_Start_Week,"YES","")</f>
        <v/>
      </c>
      <c r="Q439" s="34" t="str">
        <f aca="false">IF(AND(B439&gt;=Cal_Start_Week,B439&lt;=Cal_End_Week),"YES","")</f>
        <v/>
      </c>
    </row>
    <row r="440" customFormat="false" ht="15" hidden="false" customHeight="false" outlineLevel="0" collapsed="false">
      <c r="A440" s="31" t="str">
        <f aca="false">Demand_History!C440</f>
        <v>KIT-005</v>
      </c>
      <c r="B440" s="31" t="n">
        <f aca="false">Demand_History!A440</f>
        <v>23</v>
      </c>
      <c r="C440" s="32" t="n">
        <f aca="false">Demand_History!D440</f>
        <v>36</v>
      </c>
      <c r="D440" s="33" t="n">
        <f aca="false">IF(B440&gt;=2,C439,"")</f>
        <v>38</v>
      </c>
      <c r="E440" s="33" t="n">
        <f aca="false">IF(B440&gt;=5,AVERAGE(C436:C439),"")</f>
        <v>40.75</v>
      </c>
      <c r="F440" s="33" t="n">
        <f aca="false">IF(B440&gt;=9,AVERAGE(C432:C439),"")</f>
        <v>40.125</v>
      </c>
      <c r="G440" s="33" t="n">
        <f aca="false">IF(B440=1,"",IF(B440=2,C439,SES_Alpha*C439+(1-SES_Alpha)*G439))</f>
        <v>40.0211535901735</v>
      </c>
      <c r="H440" s="33" t="n">
        <f aca="false">IF(D440="","",D440-C440)</f>
        <v>2</v>
      </c>
      <c r="I440" s="33" t="n">
        <f aca="false">IF(E440="","",E440-C440)</f>
        <v>4.75</v>
      </c>
      <c r="J440" s="33" t="n">
        <f aca="false">IF(F440="","",F440-C440)</f>
        <v>4.125</v>
      </c>
      <c r="K440" s="33" t="n">
        <f aca="false">IF(G440="","",G440-C440)</f>
        <v>4.02115359017351</v>
      </c>
      <c r="L440" s="33" t="n">
        <f aca="false">IF(H440="","",ABS(H440))</f>
        <v>2</v>
      </c>
      <c r="M440" s="33" t="n">
        <f aca="false">IF(I440="","",ABS(I440))</f>
        <v>4.75</v>
      </c>
      <c r="N440" s="33" t="n">
        <f aca="false">IF(J440="","",ABS(J440))</f>
        <v>4.125</v>
      </c>
      <c r="O440" s="33" t="n">
        <f aca="false">IF(K440="","",ABS(K440))</f>
        <v>4.02115359017351</v>
      </c>
      <c r="P440" s="34" t="str">
        <f aca="false">IF(B440&gt;=Eval_Start_Week,"YES","")</f>
        <v/>
      </c>
      <c r="Q440" s="34" t="str">
        <f aca="false">IF(AND(B440&gt;=Cal_Start_Week,B440&lt;=Cal_End_Week),"YES","")</f>
        <v/>
      </c>
    </row>
    <row r="441" customFormat="false" ht="15" hidden="false" customHeight="false" outlineLevel="0" collapsed="false">
      <c r="A441" s="31" t="str">
        <f aca="false">Demand_History!C441</f>
        <v>KIT-005</v>
      </c>
      <c r="B441" s="31" t="n">
        <f aca="false">Demand_History!A441</f>
        <v>24</v>
      </c>
      <c r="C441" s="32" t="n">
        <f aca="false">Demand_History!D441</f>
        <v>47</v>
      </c>
      <c r="D441" s="33" t="n">
        <f aca="false">IF(B441&gt;=2,C440,"")</f>
        <v>36</v>
      </c>
      <c r="E441" s="33" t="n">
        <f aca="false">IF(B441&gt;=5,AVERAGE(C437:C440),"")</f>
        <v>37.75</v>
      </c>
      <c r="F441" s="33" t="n">
        <f aca="false">IF(B441&gt;=9,AVERAGE(C433:C440),"")</f>
        <v>39.375</v>
      </c>
      <c r="G441" s="33" t="n">
        <f aca="false">IF(B441=1,"",IF(B441=2,C440,SES_Alpha*C440+(1-SES_Alpha)*G440))</f>
        <v>38.8148075131215</v>
      </c>
      <c r="H441" s="33" t="n">
        <f aca="false">IF(D441="","",D441-C441)</f>
        <v>-11</v>
      </c>
      <c r="I441" s="33" t="n">
        <f aca="false">IF(E441="","",E441-C441)</f>
        <v>-9.25</v>
      </c>
      <c r="J441" s="33" t="n">
        <f aca="false">IF(F441="","",F441-C441)</f>
        <v>-7.625</v>
      </c>
      <c r="K441" s="33" t="n">
        <f aca="false">IF(G441="","",G441-C441)</f>
        <v>-8.18519248687855</v>
      </c>
      <c r="L441" s="33" t="n">
        <f aca="false">IF(H441="","",ABS(H441))</f>
        <v>11</v>
      </c>
      <c r="M441" s="33" t="n">
        <f aca="false">IF(I441="","",ABS(I441))</f>
        <v>9.25</v>
      </c>
      <c r="N441" s="33" t="n">
        <f aca="false">IF(J441="","",ABS(J441))</f>
        <v>7.625</v>
      </c>
      <c r="O441" s="33" t="n">
        <f aca="false">IF(K441="","",ABS(K441))</f>
        <v>8.18519248687855</v>
      </c>
      <c r="P441" s="34" t="str">
        <f aca="false">IF(B441&gt;=Eval_Start_Week,"YES","")</f>
        <v/>
      </c>
      <c r="Q441" s="34" t="str">
        <f aca="false">IF(AND(B441&gt;=Cal_Start_Week,B441&lt;=Cal_End_Week),"YES","")</f>
        <v/>
      </c>
    </row>
    <row r="442" customFormat="false" ht="15" hidden="false" customHeight="false" outlineLevel="0" collapsed="false">
      <c r="A442" s="31" t="str">
        <f aca="false">Demand_History!C442</f>
        <v>KIT-005</v>
      </c>
      <c r="B442" s="31" t="n">
        <f aca="false">Demand_History!A442</f>
        <v>25</v>
      </c>
      <c r="C442" s="32" t="n">
        <f aca="false">Demand_History!D442</f>
        <v>39</v>
      </c>
      <c r="D442" s="33" t="n">
        <f aca="false">IF(B442&gt;=2,C441,"")</f>
        <v>47</v>
      </c>
      <c r="E442" s="33" t="n">
        <f aca="false">IF(B442&gt;=5,AVERAGE(C438:C441),"")</f>
        <v>41</v>
      </c>
      <c r="F442" s="33" t="n">
        <f aca="false">IF(B442&gt;=9,AVERAGE(C434:C441),"")</f>
        <v>40.625</v>
      </c>
      <c r="G442" s="33" t="n">
        <f aca="false">IF(B442=1,"",IF(B442=2,C441,SES_Alpha*C441+(1-SES_Alpha)*G441))</f>
        <v>41.270365259185</v>
      </c>
      <c r="H442" s="33" t="n">
        <f aca="false">IF(D442="","",D442-C442)</f>
        <v>8</v>
      </c>
      <c r="I442" s="33" t="n">
        <f aca="false">IF(E442="","",E442-C442)</f>
        <v>2</v>
      </c>
      <c r="J442" s="33" t="n">
        <f aca="false">IF(F442="","",F442-C442)</f>
        <v>1.625</v>
      </c>
      <c r="K442" s="33" t="n">
        <f aca="false">IF(G442="","",G442-C442)</f>
        <v>2.27036525918501</v>
      </c>
      <c r="L442" s="33" t="n">
        <f aca="false">IF(H442="","",ABS(H442))</f>
        <v>8</v>
      </c>
      <c r="M442" s="33" t="n">
        <f aca="false">IF(I442="","",ABS(I442))</f>
        <v>2</v>
      </c>
      <c r="N442" s="33" t="n">
        <f aca="false">IF(J442="","",ABS(J442))</f>
        <v>1.625</v>
      </c>
      <c r="O442" s="33" t="n">
        <f aca="false">IF(K442="","",ABS(K442))</f>
        <v>2.27036525918501</v>
      </c>
      <c r="P442" s="34" t="str">
        <f aca="false">IF(B442&gt;=Eval_Start_Week,"YES","")</f>
        <v/>
      </c>
      <c r="Q442" s="34" t="str">
        <f aca="false">IF(AND(B442&gt;=Cal_Start_Week,B442&lt;=Cal_End_Week),"YES","")</f>
        <v/>
      </c>
    </row>
    <row r="443" customFormat="false" ht="15" hidden="false" customHeight="false" outlineLevel="0" collapsed="false">
      <c r="A443" s="31" t="str">
        <f aca="false">Demand_History!C443</f>
        <v>KIT-005</v>
      </c>
      <c r="B443" s="31" t="n">
        <f aca="false">Demand_History!A443</f>
        <v>26</v>
      </c>
      <c r="C443" s="32" t="n">
        <f aca="false">Demand_History!D443</f>
        <v>50</v>
      </c>
      <c r="D443" s="33" t="n">
        <f aca="false">IF(B443&gt;=2,C442,"")</f>
        <v>39</v>
      </c>
      <c r="E443" s="33" t="n">
        <f aca="false">IF(B443&gt;=5,AVERAGE(C439:C442),"")</f>
        <v>40</v>
      </c>
      <c r="F443" s="33" t="n">
        <f aca="false">IF(B443&gt;=9,AVERAGE(C435:C442),"")</f>
        <v>41</v>
      </c>
      <c r="G443" s="33" t="n">
        <f aca="false">IF(B443=1,"",IF(B443=2,C442,SES_Alpha*C442+(1-SES_Alpha)*G442))</f>
        <v>40.5892556814295</v>
      </c>
      <c r="H443" s="33" t="n">
        <f aca="false">IF(D443="","",D443-C443)</f>
        <v>-11</v>
      </c>
      <c r="I443" s="33" t="n">
        <f aca="false">IF(E443="","",E443-C443)</f>
        <v>-10</v>
      </c>
      <c r="J443" s="33" t="n">
        <f aca="false">IF(F443="","",F443-C443)</f>
        <v>-9</v>
      </c>
      <c r="K443" s="33" t="n">
        <f aca="false">IF(G443="","",G443-C443)</f>
        <v>-9.41074431857049</v>
      </c>
      <c r="L443" s="33" t="n">
        <f aca="false">IF(H443="","",ABS(H443))</f>
        <v>11</v>
      </c>
      <c r="M443" s="33" t="n">
        <f aca="false">IF(I443="","",ABS(I443))</f>
        <v>10</v>
      </c>
      <c r="N443" s="33" t="n">
        <f aca="false">IF(J443="","",ABS(J443))</f>
        <v>9</v>
      </c>
      <c r="O443" s="33" t="n">
        <f aca="false">IF(K443="","",ABS(K443))</f>
        <v>9.41074431857049</v>
      </c>
      <c r="P443" s="34" t="str">
        <f aca="false">IF(B443&gt;=Eval_Start_Week,"YES","")</f>
        <v/>
      </c>
      <c r="Q443" s="34" t="str">
        <f aca="false">IF(AND(B443&gt;=Cal_Start_Week,B443&lt;=Cal_End_Week),"YES","")</f>
        <v/>
      </c>
    </row>
    <row r="444" customFormat="false" ht="15" hidden="false" customHeight="false" outlineLevel="0" collapsed="false">
      <c r="A444" s="31" t="str">
        <f aca="false">Demand_History!C444</f>
        <v>KIT-005</v>
      </c>
      <c r="B444" s="31" t="n">
        <f aca="false">Demand_History!A444</f>
        <v>27</v>
      </c>
      <c r="C444" s="32" t="n">
        <f aca="false">Demand_History!D444</f>
        <v>37</v>
      </c>
      <c r="D444" s="33" t="n">
        <f aca="false">IF(B444&gt;=2,C443,"")</f>
        <v>50</v>
      </c>
      <c r="E444" s="33" t="n">
        <f aca="false">IF(B444&gt;=5,AVERAGE(C440:C443),"")</f>
        <v>43</v>
      </c>
      <c r="F444" s="33" t="n">
        <f aca="false">IF(B444&gt;=9,AVERAGE(C436:C443),"")</f>
        <v>41.875</v>
      </c>
      <c r="G444" s="33" t="n">
        <f aca="false">IF(B444=1,"",IF(B444=2,C443,SES_Alpha*C443+(1-SES_Alpha)*G443))</f>
        <v>43.4124789770007</v>
      </c>
      <c r="H444" s="33" t="n">
        <f aca="false">IF(D444="","",D444-C444)</f>
        <v>13</v>
      </c>
      <c r="I444" s="33" t="n">
        <f aca="false">IF(E444="","",E444-C444)</f>
        <v>6</v>
      </c>
      <c r="J444" s="33" t="n">
        <f aca="false">IF(F444="","",F444-C444)</f>
        <v>4.875</v>
      </c>
      <c r="K444" s="33" t="n">
        <f aca="false">IF(G444="","",G444-C444)</f>
        <v>6.41247897700065</v>
      </c>
      <c r="L444" s="33" t="n">
        <f aca="false">IF(H444="","",ABS(H444))</f>
        <v>13</v>
      </c>
      <c r="M444" s="33" t="n">
        <f aca="false">IF(I444="","",ABS(I444))</f>
        <v>6</v>
      </c>
      <c r="N444" s="33" t="n">
        <f aca="false">IF(J444="","",ABS(J444))</f>
        <v>4.875</v>
      </c>
      <c r="O444" s="33" t="n">
        <f aca="false">IF(K444="","",ABS(K444))</f>
        <v>6.41247897700065</v>
      </c>
      <c r="P444" s="34" t="str">
        <f aca="false">IF(B444&gt;=Eval_Start_Week,"YES","")</f>
        <v/>
      </c>
      <c r="Q444" s="34" t="str">
        <f aca="false">IF(AND(B444&gt;=Cal_Start_Week,B444&lt;=Cal_End_Week),"YES","")</f>
        <v/>
      </c>
    </row>
    <row r="445" customFormat="false" ht="15" hidden="false" customHeight="false" outlineLevel="0" collapsed="false">
      <c r="A445" s="31" t="str">
        <f aca="false">Demand_History!C445</f>
        <v>KIT-005</v>
      </c>
      <c r="B445" s="31" t="n">
        <f aca="false">Demand_History!A445</f>
        <v>28</v>
      </c>
      <c r="C445" s="32" t="n">
        <f aca="false">Demand_History!D445</f>
        <v>43</v>
      </c>
      <c r="D445" s="33" t="n">
        <f aca="false">IF(B445&gt;=2,C444,"")</f>
        <v>37</v>
      </c>
      <c r="E445" s="33" t="n">
        <f aca="false">IF(B445&gt;=5,AVERAGE(C441:C444),"")</f>
        <v>43.25</v>
      </c>
      <c r="F445" s="33" t="n">
        <f aca="false">IF(B445&gt;=9,AVERAGE(C437:C444),"")</f>
        <v>40.5</v>
      </c>
      <c r="G445" s="33" t="n">
        <f aca="false">IF(B445=1,"",IF(B445=2,C444,SES_Alpha*C444+(1-SES_Alpha)*G444))</f>
        <v>41.4887352839005</v>
      </c>
      <c r="H445" s="33" t="n">
        <f aca="false">IF(D445="","",D445-C445)</f>
        <v>-6</v>
      </c>
      <c r="I445" s="33" t="n">
        <f aca="false">IF(E445="","",E445-C445)</f>
        <v>0.25</v>
      </c>
      <c r="J445" s="33" t="n">
        <f aca="false">IF(F445="","",F445-C445)</f>
        <v>-2.5</v>
      </c>
      <c r="K445" s="33" t="n">
        <f aca="false">IF(G445="","",G445-C445)</f>
        <v>-1.51126471609955</v>
      </c>
      <c r="L445" s="33" t="n">
        <f aca="false">IF(H445="","",ABS(H445))</f>
        <v>6</v>
      </c>
      <c r="M445" s="33" t="n">
        <f aca="false">IF(I445="","",ABS(I445))</f>
        <v>0.25</v>
      </c>
      <c r="N445" s="33" t="n">
        <f aca="false">IF(J445="","",ABS(J445))</f>
        <v>2.5</v>
      </c>
      <c r="O445" s="33" t="n">
        <f aca="false">IF(K445="","",ABS(K445))</f>
        <v>1.51126471609955</v>
      </c>
      <c r="P445" s="34" t="str">
        <f aca="false">IF(B445&gt;=Eval_Start_Week,"YES","")</f>
        <v/>
      </c>
      <c r="Q445" s="34" t="str">
        <f aca="false">IF(AND(B445&gt;=Cal_Start_Week,B445&lt;=Cal_End_Week),"YES","")</f>
        <v/>
      </c>
    </row>
    <row r="446" customFormat="false" ht="15" hidden="false" customHeight="false" outlineLevel="0" collapsed="false">
      <c r="A446" s="31" t="str">
        <f aca="false">Demand_History!C446</f>
        <v>KIT-005</v>
      </c>
      <c r="B446" s="31" t="n">
        <f aca="false">Demand_History!A446</f>
        <v>29</v>
      </c>
      <c r="C446" s="32" t="n">
        <f aca="false">Demand_History!D446</f>
        <v>39</v>
      </c>
      <c r="D446" s="33" t="n">
        <f aca="false">IF(B446&gt;=2,C445,"")</f>
        <v>43</v>
      </c>
      <c r="E446" s="33" t="n">
        <f aca="false">IF(B446&gt;=5,AVERAGE(C442:C445),"")</f>
        <v>42.25</v>
      </c>
      <c r="F446" s="33" t="n">
        <f aca="false">IF(B446&gt;=9,AVERAGE(C438:C445),"")</f>
        <v>41.625</v>
      </c>
      <c r="G446" s="33" t="n">
        <f aca="false">IF(B446=1,"",IF(B446=2,C445,SES_Alpha*C445+(1-SES_Alpha)*G445))</f>
        <v>41.9421146987303</v>
      </c>
      <c r="H446" s="33" t="n">
        <f aca="false">IF(D446="","",D446-C446)</f>
        <v>4</v>
      </c>
      <c r="I446" s="33" t="n">
        <f aca="false">IF(E446="","",E446-C446)</f>
        <v>3.25</v>
      </c>
      <c r="J446" s="33" t="n">
        <f aca="false">IF(F446="","",F446-C446)</f>
        <v>2.625</v>
      </c>
      <c r="K446" s="33" t="n">
        <f aca="false">IF(G446="","",G446-C446)</f>
        <v>2.94211469873031</v>
      </c>
      <c r="L446" s="33" t="n">
        <f aca="false">IF(H446="","",ABS(H446))</f>
        <v>4</v>
      </c>
      <c r="M446" s="33" t="n">
        <f aca="false">IF(I446="","",ABS(I446))</f>
        <v>3.25</v>
      </c>
      <c r="N446" s="33" t="n">
        <f aca="false">IF(J446="","",ABS(J446))</f>
        <v>2.625</v>
      </c>
      <c r="O446" s="33" t="n">
        <f aca="false">IF(K446="","",ABS(K446))</f>
        <v>2.94211469873031</v>
      </c>
      <c r="P446" s="34" t="str">
        <f aca="false">IF(B446&gt;=Eval_Start_Week,"YES","")</f>
        <v/>
      </c>
      <c r="Q446" s="34" t="str">
        <f aca="false">IF(AND(B446&gt;=Cal_Start_Week,B446&lt;=Cal_End_Week),"YES","")</f>
        <v/>
      </c>
    </row>
    <row r="447" customFormat="false" ht="15" hidden="false" customHeight="false" outlineLevel="0" collapsed="false">
      <c r="A447" s="31" t="str">
        <f aca="false">Demand_History!C447</f>
        <v>KIT-005</v>
      </c>
      <c r="B447" s="31" t="n">
        <f aca="false">Demand_History!A447</f>
        <v>30</v>
      </c>
      <c r="C447" s="32" t="n">
        <f aca="false">Demand_History!D447</f>
        <v>36</v>
      </c>
      <c r="D447" s="33" t="n">
        <f aca="false">IF(B447&gt;=2,C446,"")</f>
        <v>39</v>
      </c>
      <c r="E447" s="33" t="n">
        <f aca="false">IF(B447&gt;=5,AVERAGE(C443:C446),"")</f>
        <v>42.25</v>
      </c>
      <c r="F447" s="33" t="n">
        <f aca="false">IF(B447&gt;=9,AVERAGE(C439:C446),"")</f>
        <v>41.125</v>
      </c>
      <c r="G447" s="33" t="n">
        <f aca="false">IF(B447=1,"",IF(B447=2,C446,SES_Alpha*C446+(1-SES_Alpha)*G446))</f>
        <v>41.0594802891112</v>
      </c>
      <c r="H447" s="33" t="n">
        <f aca="false">IF(D447="","",D447-C447)</f>
        <v>3</v>
      </c>
      <c r="I447" s="33" t="n">
        <f aca="false">IF(E447="","",E447-C447)</f>
        <v>6.25</v>
      </c>
      <c r="J447" s="33" t="n">
        <f aca="false">IF(F447="","",F447-C447)</f>
        <v>5.125</v>
      </c>
      <c r="K447" s="33" t="n">
        <f aca="false">IF(G447="","",G447-C447)</f>
        <v>5.05948028911122</v>
      </c>
      <c r="L447" s="33" t="n">
        <f aca="false">IF(H447="","",ABS(H447))</f>
        <v>3</v>
      </c>
      <c r="M447" s="33" t="n">
        <f aca="false">IF(I447="","",ABS(I447))</f>
        <v>6.25</v>
      </c>
      <c r="N447" s="33" t="n">
        <f aca="false">IF(J447="","",ABS(J447))</f>
        <v>5.125</v>
      </c>
      <c r="O447" s="33" t="n">
        <f aca="false">IF(K447="","",ABS(K447))</f>
        <v>5.05948028911122</v>
      </c>
      <c r="P447" s="34" t="str">
        <f aca="false">IF(B447&gt;=Eval_Start_Week,"YES","")</f>
        <v/>
      </c>
      <c r="Q447" s="34" t="str">
        <f aca="false">IF(AND(B447&gt;=Cal_Start_Week,B447&lt;=Cal_End_Week),"YES","")</f>
        <v/>
      </c>
    </row>
    <row r="448" customFormat="false" ht="15" hidden="false" customHeight="false" outlineLevel="0" collapsed="false">
      <c r="A448" s="31" t="str">
        <f aca="false">Demand_History!C448</f>
        <v>KIT-005</v>
      </c>
      <c r="B448" s="31" t="n">
        <f aca="false">Demand_History!A448</f>
        <v>31</v>
      </c>
      <c r="C448" s="32" t="n">
        <f aca="false">Demand_History!D448</f>
        <v>43</v>
      </c>
      <c r="D448" s="33" t="n">
        <f aca="false">IF(B448&gt;=2,C447,"")</f>
        <v>36</v>
      </c>
      <c r="E448" s="33" t="n">
        <f aca="false">IF(B448&gt;=5,AVERAGE(C444:C447),"")</f>
        <v>38.75</v>
      </c>
      <c r="F448" s="33" t="n">
        <f aca="false">IF(B448&gt;=9,AVERAGE(C440:C447),"")</f>
        <v>40.875</v>
      </c>
      <c r="G448" s="33" t="n">
        <f aca="false">IF(B448=1,"",IF(B448=2,C447,SES_Alpha*C447+(1-SES_Alpha)*G447))</f>
        <v>39.5416362023779</v>
      </c>
      <c r="H448" s="33" t="n">
        <f aca="false">IF(D448="","",D448-C448)</f>
        <v>-7</v>
      </c>
      <c r="I448" s="33" t="n">
        <f aca="false">IF(E448="","",E448-C448)</f>
        <v>-4.25</v>
      </c>
      <c r="J448" s="33" t="n">
        <f aca="false">IF(F448="","",F448-C448)</f>
        <v>-2.125</v>
      </c>
      <c r="K448" s="33" t="n">
        <f aca="false">IF(G448="","",G448-C448)</f>
        <v>-3.45836379762215</v>
      </c>
      <c r="L448" s="33" t="n">
        <f aca="false">IF(H448="","",ABS(H448))</f>
        <v>7</v>
      </c>
      <c r="M448" s="33" t="n">
        <f aca="false">IF(I448="","",ABS(I448))</f>
        <v>4.25</v>
      </c>
      <c r="N448" s="33" t="n">
        <f aca="false">IF(J448="","",ABS(J448))</f>
        <v>2.125</v>
      </c>
      <c r="O448" s="33" t="n">
        <f aca="false">IF(K448="","",ABS(K448))</f>
        <v>3.45836379762215</v>
      </c>
      <c r="P448" s="34" t="str">
        <f aca="false">IF(B448&gt;=Eval_Start_Week,"YES","")</f>
        <v/>
      </c>
      <c r="Q448" s="34" t="str">
        <f aca="false">IF(AND(B448&gt;=Cal_Start_Week,B448&lt;=Cal_End_Week),"YES","")</f>
        <v/>
      </c>
    </row>
    <row r="449" customFormat="false" ht="15" hidden="false" customHeight="false" outlineLevel="0" collapsed="false">
      <c r="A449" s="31" t="str">
        <f aca="false">Demand_History!C449</f>
        <v>KIT-005</v>
      </c>
      <c r="B449" s="31" t="n">
        <f aca="false">Demand_History!A449</f>
        <v>32</v>
      </c>
      <c r="C449" s="32" t="n">
        <f aca="false">Demand_History!D449</f>
        <v>39</v>
      </c>
      <c r="D449" s="33" t="n">
        <f aca="false">IF(B449&gt;=2,C448,"")</f>
        <v>43</v>
      </c>
      <c r="E449" s="33" t="n">
        <f aca="false">IF(B449&gt;=5,AVERAGE(C445:C448),"")</f>
        <v>40.25</v>
      </c>
      <c r="F449" s="33" t="n">
        <f aca="false">IF(B449&gt;=9,AVERAGE(C441:C448),"")</f>
        <v>41.75</v>
      </c>
      <c r="G449" s="33" t="n">
        <f aca="false">IF(B449=1,"",IF(B449=2,C448,SES_Alpha*C448+(1-SES_Alpha)*G448))</f>
        <v>40.5791453416645</v>
      </c>
      <c r="H449" s="33" t="n">
        <f aca="false">IF(D449="","",D449-C449)</f>
        <v>4</v>
      </c>
      <c r="I449" s="33" t="n">
        <f aca="false">IF(E449="","",E449-C449)</f>
        <v>1.25</v>
      </c>
      <c r="J449" s="33" t="n">
        <f aca="false">IF(F449="","",F449-C449)</f>
        <v>2.75</v>
      </c>
      <c r="K449" s="33" t="n">
        <f aca="false">IF(G449="","",G449-C449)</f>
        <v>1.57914534166449</v>
      </c>
      <c r="L449" s="33" t="n">
        <f aca="false">IF(H449="","",ABS(H449))</f>
        <v>4</v>
      </c>
      <c r="M449" s="33" t="n">
        <f aca="false">IF(I449="","",ABS(I449))</f>
        <v>1.25</v>
      </c>
      <c r="N449" s="33" t="n">
        <f aca="false">IF(J449="","",ABS(J449))</f>
        <v>2.75</v>
      </c>
      <c r="O449" s="33" t="n">
        <f aca="false">IF(K449="","",ABS(K449))</f>
        <v>1.57914534166449</v>
      </c>
      <c r="P449" s="34" t="str">
        <f aca="false">IF(B449&gt;=Eval_Start_Week,"YES","")</f>
        <v/>
      </c>
      <c r="Q449" s="34" t="str">
        <f aca="false">IF(AND(B449&gt;=Cal_Start_Week,B449&lt;=Cal_End_Week),"YES","")</f>
        <v/>
      </c>
    </row>
    <row r="450" customFormat="false" ht="15" hidden="false" customHeight="false" outlineLevel="0" collapsed="false">
      <c r="A450" s="31" t="str">
        <f aca="false">Demand_History!C450</f>
        <v>KIT-005</v>
      </c>
      <c r="B450" s="31" t="n">
        <f aca="false">Demand_History!A450</f>
        <v>33</v>
      </c>
      <c r="C450" s="32" t="n">
        <f aca="false">Demand_History!D450</f>
        <v>43</v>
      </c>
      <c r="D450" s="33" t="n">
        <f aca="false">IF(B450&gt;=2,C449,"")</f>
        <v>39</v>
      </c>
      <c r="E450" s="33" t="n">
        <f aca="false">IF(B450&gt;=5,AVERAGE(C446:C449),"")</f>
        <v>39.25</v>
      </c>
      <c r="F450" s="33" t="n">
        <f aca="false">IF(B450&gt;=9,AVERAGE(C442:C449),"")</f>
        <v>40.75</v>
      </c>
      <c r="G450" s="33" t="n">
        <f aca="false">IF(B450=1,"",IF(B450=2,C449,SES_Alpha*C449+(1-SES_Alpha)*G449))</f>
        <v>40.1054017391651</v>
      </c>
      <c r="H450" s="33" t="n">
        <f aca="false">IF(D450="","",D450-C450)</f>
        <v>-4</v>
      </c>
      <c r="I450" s="33" t="n">
        <f aca="false">IF(E450="","",E450-C450)</f>
        <v>-3.75</v>
      </c>
      <c r="J450" s="33" t="n">
        <f aca="false">IF(F450="","",F450-C450)</f>
        <v>-2.25</v>
      </c>
      <c r="K450" s="33" t="n">
        <f aca="false">IF(G450="","",G450-C450)</f>
        <v>-2.89459826083485</v>
      </c>
      <c r="L450" s="33" t="n">
        <f aca="false">IF(H450="","",ABS(H450))</f>
        <v>4</v>
      </c>
      <c r="M450" s="33" t="n">
        <f aca="false">IF(I450="","",ABS(I450))</f>
        <v>3.75</v>
      </c>
      <c r="N450" s="33" t="n">
        <f aca="false">IF(J450="","",ABS(J450))</f>
        <v>2.25</v>
      </c>
      <c r="O450" s="33" t="n">
        <f aca="false">IF(K450="","",ABS(K450))</f>
        <v>2.89459826083485</v>
      </c>
      <c r="P450" s="34" t="str">
        <f aca="false">IF(B450&gt;=Eval_Start_Week,"YES","")</f>
        <v/>
      </c>
      <c r="Q450" s="34" t="str">
        <f aca="false">IF(AND(B450&gt;=Cal_Start_Week,B450&lt;=Cal_End_Week),"YES","")</f>
        <v/>
      </c>
    </row>
    <row r="451" customFormat="false" ht="15" hidden="false" customHeight="false" outlineLevel="0" collapsed="false">
      <c r="A451" s="31" t="str">
        <f aca="false">Demand_History!C451</f>
        <v>KIT-005</v>
      </c>
      <c r="B451" s="31" t="n">
        <f aca="false">Demand_History!A451</f>
        <v>34</v>
      </c>
      <c r="C451" s="32" t="n">
        <f aca="false">Demand_History!D451</f>
        <v>39</v>
      </c>
      <c r="D451" s="33" t="n">
        <f aca="false">IF(B451&gt;=2,C450,"")</f>
        <v>43</v>
      </c>
      <c r="E451" s="33" t="n">
        <f aca="false">IF(B451&gt;=5,AVERAGE(C447:C450),"")</f>
        <v>40.25</v>
      </c>
      <c r="F451" s="33" t="n">
        <f aca="false">IF(B451&gt;=9,AVERAGE(C443:C450),"")</f>
        <v>41.25</v>
      </c>
      <c r="G451" s="33" t="n">
        <f aca="false">IF(B451=1,"",IF(B451=2,C450,SES_Alpha*C450+(1-SES_Alpha)*G450))</f>
        <v>40.9737812174156</v>
      </c>
      <c r="H451" s="33" t="n">
        <f aca="false">IF(D451="","",D451-C451)</f>
        <v>4</v>
      </c>
      <c r="I451" s="33" t="n">
        <f aca="false">IF(E451="","",E451-C451)</f>
        <v>1.25</v>
      </c>
      <c r="J451" s="33" t="n">
        <f aca="false">IF(F451="","",F451-C451)</f>
        <v>2.25</v>
      </c>
      <c r="K451" s="33" t="n">
        <f aca="false">IF(G451="","",G451-C451)</f>
        <v>1.9737812174156</v>
      </c>
      <c r="L451" s="33" t="n">
        <f aca="false">IF(H451="","",ABS(H451))</f>
        <v>4</v>
      </c>
      <c r="M451" s="33" t="n">
        <f aca="false">IF(I451="","",ABS(I451))</f>
        <v>1.25</v>
      </c>
      <c r="N451" s="33" t="n">
        <f aca="false">IF(J451="","",ABS(J451))</f>
        <v>2.25</v>
      </c>
      <c r="O451" s="33" t="n">
        <f aca="false">IF(K451="","",ABS(K451))</f>
        <v>1.9737812174156</v>
      </c>
      <c r="P451" s="34" t="str">
        <f aca="false">IF(B451&gt;=Eval_Start_Week,"YES","")</f>
        <v/>
      </c>
      <c r="Q451" s="34" t="str">
        <f aca="false">IF(AND(B451&gt;=Cal_Start_Week,B451&lt;=Cal_End_Week),"YES","")</f>
        <v/>
      </c>
    </row>
    <row r="452" customFormat="false" ht="15" hidden="false" customHeight="false" outlineLevel="0" collapsed="false">
      <c r="A452" s="31" t="str">
        <f aca="false">Demand_History!C452</f>
        <v>KIT-005</v>
      </c>
      <c r="B452" s="31" t="n">
        <f aca="false">Demand_History!A452</f>
        <v>35</v>
      </c>
      <c r="C452" s="32" t="n">
        <f aca="false">Demand_History!D452</f>
        <v>33</v>
      </c>
      <c r="D452" s="33" t="n">
        <f aca="false">IF(B452&gt;=2,C451,"")</f>
        <v>39</v>
      </c>
      <c r="E452" s="33" t="n">
        <f aca="false">IF(B452&gt;=5,AVERAGE(C448:C451),"")</f>
        <v>41</v>
      </c>
      <c r="F452" s="33" t="n">
        <f aca="false">IF(B452&gt;=9,AVERAGE(C444:C451),"")</f>
        <v>39.875</v>
      </c>
      <c r="G452" s="33" t="n">
        <f aca="false">IF(B452=1,"",IF(B452=2,C451,SES_Alpha*C451+(1-SES_Alpha)*G451))</f>
        <v>40.3816468521909</v>
      </c>
      <c r="H452" s="33" t="n">
        <f aca="false">IF(D452="","",D452-C452)</f>
        <v>6</v>
      </c>
      <c r="I452" s="33" t="n">
        <f aca="false">IF(E452="","",E452-C452)</f>
        <v>8</v>
      </c>
      <c r="J452" s="33" t="n">
        <f aca="false">IF(F452="","",F452-C452)</f>
        <v>6.875</v>
      </c>
      <c r="K452" s="33" t="n">
        <f aca="false">IF(G452="","",G452-C452)</f>
        <v>7.38164685219091</v>
      </c>
      <c r="L452" s="33" t="n">
        <f aca="false">IF(H452="","",ABS(H452))</f>
        <v>6</v>
      </c>
      <c r="M452" s="33" t="n">
        <f aca="false">IF(I452="","",ABS(I452))</f>
        <v>8</v>
      </c>
      <c r="N452" s="33" t="n">
        <f aca="false">IF(J452="","",ABS(J452))</f>
        <v>6.875</v>
      </c>
      <c r="O452" s="33" t="n">
        <f aca="false">IF(K452="","",ABS(K452))</f>
        <v>7.38164685219091</v>
      </c>
      <c r="P452" s="34" t="str">
        <f aca="false">IF(B452&gt;=Eval_Start_Week,"YES","")</f>
        <v/>
      </c>
      <c r="Q452" s="34" t="str">
        <f aca="false">IF(AND(B452&gt;=Cal_Start_Week,B452&lt;=Cal_End_Week),"YES","")</f>
        <v/>
      </c>
    </row>
    <row r="453" customFormat="false" ht="15" hidden="false" customHeight="false" outlineLevel="0" collapsed="false">
      <c r="A453" s="31" t="str">
        <f aca="false">Demand_History!C453</f>
        <v>KIT-005</v>
      </c>
      <c r="B453" s="31" t="n">
        <f aca="false">Demand_History!A453</f>
        <v>36</v>
      </c>
      <c r="C453" s="32" t="n">
        <f aca="false">Demand_History!D453</f>
        <v>38</v>
      </c>
      <c r="D453" s="33" t="n">
        <f aca="false">IF(B453&gt;=2,C452,"")</f>
        <v>33</v>
      </c>
      <c r="E453" s="33" t="n">
        <f aca="false">IF(B453&gt;=5,AVERAGE(C449:C452),"")</f>
        <v>38.5</v>
      </c>
      <c r="F453" s="33" t="n">
        <f aca="false">IF(B453&gt;=9,AVERAGE(C445:C452),"")</f>
        <v>39.375</v>
      </c>
      <c r="G453" s="33" t="n">
        <f aca="false">IF(B453=1,"",IF(B453=2,C452,SES_Alpha*C452+(1-SES_Alpha)*G452))</f>
        <v>38.1671527965336</v>
      </c>
      <c r="H453" s="33" t="n">
        <f aca="false">IF(D453="","",D453-C453)</f>
        <v>-5</v>
      </c>
      <c r="I453" s="33" t="n">
        <f aca="false">IF(E453="","",E453-C453)</f>
        <v>0.5</v>
      </c>
      <c r="J453" s="33" t="n">
        <f aca="false">IF(F453="","",F453-C453)</f>
        <v>1.375</v>
      </c>
      <c r="K453" s="33" t="n">
        <f aca="false">IF(G453="","",G453-C453)</f>
        <v>0.167152796533635</v>
      </c>
      <c r="L453" s="33" t="n">
        <f aca="false">IF(H453="","",ABS(H453))</f>
        <v>5</v>
      </c>
      <c r="M453" s="33" t="n">
        <f aca="false">IF(I453="","",ABS(I453))</f>
        <v>0.5</v>
      </c>
      <c r="N453" s="33" t="n">
        <f aca="false">IF(J453="","",ABS(J453))</f>
        <v>1.375</v>
      </c>
      <c r="O453" s="33" t="n">
        <f aca="false">IF(K453="","",ABS(K453))</f>
        <v>0.167152796533635</v>
      </c>
      <c r="P453" s="34" t="str">
        <f aca="false">IF(B453&gt;=Eval_Start_Week,"YES","")</f>
        <v/>
      </c>
      <c r="Q453" s="34" t="str">
        <f aca="false">IF(AND(B453&gt;=Cal_Start_Week,B453&lt;=Cal_End_Week),"YES","")</f>
        <v/>
      </c>
    </row>
    <row r="454" customFormat="false" ht="15" hidden="false" customHeight="false" outlineLevel="0" collapsed="false">
      <c r="A454" s="31" t="str">
        <f aca="false">Demand_History!C454</f>
        <v>KIT-005</v>
      </c>
      <c r="B454" s="31" t="n">
        <f aca="false">Demand_History!A454</f>
        <v>37</v>
      </c>
      <c r="C454" s="32" t="n">
        <f aca="false">Demand_History!D454</f>
        <v>39</v>
      </c>
      <c r="D454" s="33" t="n">
        <f aca="false">IF(B454&gt;=2,C453,"")</f>
        <v>38</v>
      </c>
      <c r="E454" s="33" t="n">
        <f aca="false">IF(B454&gt;=5,AVERAGE(C450:C453),"")</f>
        <v>38.25</v>
      </c>
      <c r="F454" s="33" t="n">
        <f aca="false">IF(B454&gt;=9,AVERAGE(C446:C453),"")</f>
        <v>38.75</v>
      </c>
      <c r="G454" s="33" t="n">
        <f aca="false">IF(B454=1,"",IF(B454=2,C453,SES_Alpha*C453+(1-SES_Alpha)*G453))</f>
        <v>38.1170069575735</v>
      </c>
      <c r="H454" s="33" t="n">
        <f aca="false">IF(D454="","",D454-C454)</f>
        <v>-1</v>
      </c>
      <c r="I454" s="33" t="n">
        <f aca="false">IF(E454="","",E454-C454)</f>
        <v>-0.75</v>
      </c>
      <c r="J454" s="33" t="n">
        <f aca="false">IF(F454="","",F454-C454)</f>
        <v>-0.25</v>
      </c>
      <c r="K454" s="33" t="n">
        <f aca="false">IF(G454="","",G454-C454)</f>
        <v>-0.882993042426456</v>
      </c>
      <c r="L454" s="33" t="n">
        <f aca="false">IF(H454="","",ABS(H454))</f>
        <v>1</v>
      </c>
      <c r="M454" s="33" t="n">
        <f aca="false">IF(I454="","",ABS(I454))</f>
        <v>0.75</v>
      </c>
      <c r="N454" s="33" t="n">
        <f aca="false">IF(J454="","",ABS(J454))</f>
        <v>0.25</v>
      </c>
      <c r="O454" s="33" t="n">
        <f aca="false">IF(K454="","",ABS(K454))</f>
        <v>0.882993042426456</v>
      </c>
      <c r="P454" s="34" t="str">
        <f aca="false">IF(B454&gt;=Eval_Start_Week,"YES","")</f>
        <v/>
      </c>
      <c r="Q454" s="34" t="str">
        <f aca="false">IF(AND(B454&gt;=Cal_Start_Week,B454&lt;=Cal_End_Week),"YES","")</f>
        <v>YES</v>
      </c>
    </row>
    <row r="455" customFormat="false" ht="15" hidden="false" customHeight="false" outlineLevel="0" collapsed="false">
      <c r="A455" s="31" t="str">
        <f aca="false">Demand_History!C455</f>
        <v>KIT-005</v>
      </c>
      <c r="B455" s="31" t="n">
        <f aca="false">Demand_History!A455</f>
        <v>38</v>
      </c>
      <c r="C455" s="32" t="n">
        <f aca="false">Demand_History!D455</f>
        <v>44</v>
      </c>
      <c r="D455" s="33" t="n">
        <f aca="false">IF(B455&gt;=2,C454,"")</f>
        <v>39</v>
      </c>
      <c r="E455" s="33" t="n">
        <f aca="false">IF(B455&gt;=5,AVERAGE(C451:C454),"")</f>
        <v>37.25</v>
      </c>
      <c r="F455" s="33" t="n">
        <f aca="false">IF(B455&gt;=9,AVERAGE(C447:C454),"")</f>
        <v>38.75</v>
      </c>
      <c r="G455" s="33" t="n">
        <f aca="false">IF(B455=1,"",IF(B455=2,C454,SES_Alpha*C454+(1-SES_Alpha)*G454))</f>
        <v>38.3819048703015</v>
      </c>
      <c r="H455" s="33" t="n">
        <f aca="false">IF(D455="","",D455-C455)</f>
        <v>-5</v>
      </c>
      <c r="I455" s="33" t="n">
        <f aca="false">IF(E455="","",E455-C455)</f>
        <v>-6.75</v>
      </c>
      <c r="J455" s="33" t="n">
        <f aca="false">IF(F455="","",F455-C455)</f>
        <v>-5.25</v>
      </c>
      <c r="K455" s="33" t="n">
        <f aca="false">IF(G455="","",G455-C455)</f>
        <v>-5.61809512969852</v>
      </c>
      <c r="L455" s="33" t="n">
        <f aca="false">IF(H455="","",ABS(H455))</f>
        <v>5</v>
      </c>
      <c r="M455" s="33" t="n">
        <f aca="false">IF(I455="","",ABS(I455))</f>
        <v>6.75</v>
      </c>
      <c r="N455" s="33" t="n">
        <f aca="false">IF(J455="","",ABS(J455))</f>
        <v>5.25</v>
      </c>
      <c r="O455" s="33" t="n">
        <f aca="false">IF(K455="","",ABS(K455))</f>
        <v>5.61809512969852</v>
      </c>
      <c r="P455" s="34" t="str">
        <f aca="false">IF(B455&gt;=Eval_Start_Week,"YES","")</f>
        <v/>
      </c>
      <c r="Q455" s="34" t="str">
        <f aca="false">IF(AND(B455&gt;=Cal_Start_Week,B455&lt;=Cal_End_Week),"YES","")</f>
        <v>YES</v>
      </c>
    </row>
    <row r="456" customFormat="false" ht="15" hidden="false" customHeight="false" outlineLevel="0" collapsed="false">
      <c r="A456" s="31" t="str">
        <f aca="false">Demand_History!C456</f>
        <v>KIT-005</v>
      </c>
      <c r="B456" s="31" t="n">
        <f aca="false">Demand_History!A456</f>
        <v>39</v>
      </c>
      <c r="C456" s="32" t="n">
        <f aca="false">Demand_History!D456</f>
        <v>33</v>
      </c>
      <c r="D456" s="33" t="n">
        <f aca="false">IF(B456&gt;=2,C455,"")</f>
        <v>44</v>
      </c>
      <c r="E456" s="33" t="n">
        <f aca="false">IF(B456&gt;=5,AVERAGE(C452:C455),"")</f>
        <v>38.5</v>
      </c>
      <c r="F456" s="33" t="n">
        <f aca="false">IF(B456&gt;=9,AVERAGE(C448:C455),"")</f>
        <v>39.75</v>
      </c>
      <c r="G456" s="33" t="n">
        <f aca="false">IF(B456=1,"",IF(B456=2,C455,SES_Alpha*C455+(1-SES_Alpha)*G455))</f>
        <v>40.067333409211</v>
      </c>
      <c r="H456" s="33" t="n">
        <f aca="false">IF(D456="","",D456-C456)</f>
        <v>11</v>
      </c>
      <c r="I456" s="33" t="n">
        <f aca="false">IF(E456="","",E456-C456)</f>
        <v>5.5</v>
      </c>
      <c r="J456" s="33" t="n">
        <f aca="false">IF(F456="","",F456-C456)</f>
        <v>6.75</v>
      </c>
      <c r="K456" s="33" t="n">
        <f aca="false">IF(G456="","",G456-C456)</f>
        <v>7.06733340921103</v>
      </c>
      <c r="L456" s="33" t="n">
        <f aca="false">IF(H456="","",ABS(H456))</f>
        <v>11</v>
      </c>
      <c r="M456" s="33" t="n">
        <f aca="false">IF(I456="","",ABS(I456))</f>
        <v>5.5</v>
      </c>
      <c r="N456" s="33" t="n">
        <f aca="false">IF(J456="","",ABS(J456))</f>
        <v>6.75</v>
      </c>
      <c r="O456" s="33" t="n">
        <f aca="false">IF(K456="","",ABS(K456))</f>
        <v>7.06733340921103</v>
      </c>
      <c r="P456" s="34" t="str">
        <f aca="false">IF(B456&gt;=Eval_Start_Week,"YES","")</f>
        <v/>
      </c>
      <c r="Q456" s="34" t="str">
        <f aca="false">IF(AND(B456&gt;=Cal_Start_Week,B456&lt;=Cal_End_Week),"YES","")</f>
        <v>YES</v>
      </c>
    </row>
    <row r="457" customFormat="false" ht="15" hidden="false" customHeight="false" outlineLevel="0" collapsed="false">
      <c r="A457" s="31" t="str">
        <f aca="false">Demand_History!C457</f>
        <v>KIT-005</v>
      </c>
      <c r="B457" s="31" t="n">
        <f aca="false">Demand_History!A457</f>
        <v>40</v>
      </c>
      <c r="C457" s="32" t="n">
        <f aca="false">Demand_History!D457</f>
        <v>38</v>
      </c>
      <c r="D457" s="33" t="n">
        <f aca="false">IF(B457&gt;=2,C456,"")</f>
        <v>33</v>
      </c>
      <c r="E457" s="33" t="n">
        <f aca="false">IF(B457&gt;=5,AVERAGE(C453:C456),"")</f>
        <v>38.5</v>
      </c>
      <c r="F457" s="33" t="n">
        <f aca="false">IF(B457&gt;=9,AVERAGE(C449:C456),"")</f>
        <v>38.5</v>
      </c>
      <c r="G457" s="33" t="n">
        <f aca="false">IF(B457=1,"",IF(B457=2,C456,SES_Alpha*C456+(1-SES_Alpha)*G456))</f>
        <v>37.9471333864477</v>
      </c>
      <c r="H457" s="33" t="n">
        <f aca="false">IF(D457="","",D457-C457)</f>
        <v>-5</v>
      </c>
      <c r="I457" s="33" t="n">
        <f aca="false">IF(E457="","",E457-C457)</f>
        <v>0.5</v>
      </c>
      <c r="J457" s="33" t="n">
        <f aca="false">IF(F457="","",F457-C457)</f>
        <v>0.5</v>
      </c>
      <c r="K457" s="33" t="n">
        <f aca="false">IF(G457="","",G457-C457)</f>
        <v>-0.0528666135522826</v>
      </c>
      <c r="L457" s="33" t="n">
        <f aca="false">IF(H457="","",ABS(H457))</f>
        <v>5</v>
      </c>
      <c r="M457" s="33" t="n">
        <f aca="false">IF(I457="","",ABS(I457))</f>
        <v>0.5</v>
      </c>
      <c r="N457" s="33" t="n">
        <f aca="false">IF(J457="","",ABS(J457))</f>
        <v>0.5</v>
      </c>
      <c r="O457" s="33" t="n">
        <f aca="false">IF(K457="","",ABS(K457))</f>
        <v>0.0528666135522826</v>
      </c>
      <c r="P457" s="34" t="str">
        <f aca="false">IF(B457&gt;=Eval_Start_Week,"YES","")</f>
        <v/>
      </c>
      <c r="Q457" s="34" t="str">
        <f aca="false">IF(AND(B457&gt;=Cal_Start_Week,B457&lt;=Cal_End_Week),"YES","")</f>
        <v>YES</v>
      </c>
    </row>
    <row r="458" customFormat="false" ht="15" hidden="false" customHeight="false" outlineLevel="0" collapsed="false">
      <c r="A458" s="31" t="str">
        <f aca="false">Demand_History!C458</f>
        <v>KIT-005</v>
      </c>
      <c r="B458" s="31" t="n">
        <f aca="false">Demand_History!A458</f>
        <v>41</v>
      </c>
      <c r="C458" s="32" t="n">
        <f aca="false">Demand_History!D458</f>
        <v>29</v>
      </c>
      <c r="D458" s="33" t="n">
        <f aca="false">IF(B458&gt;=2,C457,"")</f>
        <v>38</v>
      </c>
      <c r="E458" s="33" t="n">
        <f aca="false">IF(B458&gt;=5,AVERAGE(C454:C457),"")</f>
        <v>38.5</v>
      </c>
      <c r="F458" s="33" t="n">
        <f aca="false">IF(B458&gt;=9,AVERAGE(C450:C457),"")</f>
        <v>38.375</v>
      </c>
      <c r="G458" s="33" t="n">
        <f aca="false">IF(B458=1,"",IF(B458=2,C457,SES_Alpha*C457+(1-SES_Alpha)*G457))</f>
        <v>37.9629933705134</v>
      </c>
      <c r="H458" s="33" t="n">
        <f aca="false">IF(D458="","",D458-C458)</f>
        <v>9</v>
      </c>
      <c r="I458" s="33" t="n">
        <f aca="false">IF(E458="","",E458-C458)</f>
        <v>9.5</v>
      </c>
      <c r="J458" s="33" t="n">
        <f aca="false">IF(F458="","",F458-C458)</f>
        <v>9.375</v>
      </c>
      <c r="K458" s="33" t="n">
        <f aca="false">IF(G458="","",G458-C458)</f>
        <v>8.9629933705134</v>
      </c>
      <c r="L458" s="33" t="n">
        <f aca="false">IF(H458="","",ABS(H458))</f>
        <v>9</v>
      </c>
      <c r="M458" s="33" t="n">
        <f aca="false">IF(I458="","",ABS(I458))</f>
        <v>9.5</v>
      </c>
      <c r="N458" s="33" t="n">
        <f aca="false">IF(J458="","",ABS(J458))</f>
        <v>9.375</v>
      </c>
      <c r="O458" s="33" t="n">
        <f aca="false">IF(K458="","",ABS(K458))</f>
        <v>8.9629933705134</v>
      </c>
      <c r="P458" s="34" t="str">
        <f aca="false">IF(B458&gt;=Eval_Start_Week,"YES","")</f>
        <v/>
      </c>
      <c r="Q458" s="34" t="str">
        <f aca="false">IF(AND(B458&gt;=Cal_Start_Week,B458&lt;=Cal_End_Week),"YES","")</f>
        <v>YES</v>
      </c>
    </row>
    <row r="459" customFormat="false" ht="15" hidden="false" customHeight="false" outlineLevel="0" collapsed="false">
      <c r="A459" s="31" t="str">
        <f aca="false">Demand_History!C459</f>
        <v>KIT-005</v>
      </c>
      <c r="B459" s="31" t="n">
        <f aca="false">Demand_History!A459</f>
        <v>42</v>
      </c>
      <c r="C459" s="32" t="n">
        <f aca="false">Demand_History!D459</f>
        <v>41</v>
      </c>
      <c r="D459" s="33" t="n">
        <f aca="false">IF(B459&gt;=2,C458,"")</f>
        <v>29</v>
      </c>
      <c r="E459" s="33" t="n">
        <f aca="false">IF(B459&gt;=5,AVERAGE(C455:C458),"")</f>
        <v>36</v>
      </c>
      <c r="F459" s="33" t="n">
        <f aca="false">IF(B459&gt;=9,AVERAGE(C451:C458),"")</f>
        <v>36.625</v>
      </c>
      <c r="G459" s="33" t="n">
        <f aca="false">IF(B459=1,"",IF(B459=2,C458,SES_Alpha*C458+(1-SES_Alpha)*G458))</f>
        <v>35.2740953593594</v>
      </c>
      <c r="H459" s="33" t="n">
        <f aca="false">IF(D459="","",D459-C459)</f>
        <v>-12</v>
      </c>
      <c r="I459" s="33" t="n">
        <f aca="false">IF(E459="","",E459-C459)</f>
        <v>-5</v>
      </c>
      <c r="J459" s="33" t="n">
        <f aca="false">IF(F459="","",F459-C459)</f>
        <v>-4.375</v>
      </c>
      <c r="K459" s="33" t="n">
        <f aca="false">IF(G459="","",G459-C459)</f>
        <v>-5.72590464064062</v>
      </c>
      <c r="L459" s="33" t="n">
        <f aca="false">IF(H459="","",ABS(H459))</f>
        <v>12</v>
      </c>
      <c r="M459" s="33" t="n">
        <f aca="false">IF(I459="","",ABS(I459))</f>
        <v>5</v>
      </c>
      <c r="N459" s="33" t="n">
        <f aca="false">IF(J459="","",ABS(J459))</f>
        <v>4.375</v>
      </c>
      <c r="O459" s="33" t="n">
        <f aca="false">IF(K459="","",ABS(K459))</f>
        <v>5.72590464064062</v>
      </c>
      <c r="P459" s="34" t="str">
        <f aca="false">IF(B459&gt;=Eval_Start_Week,"YES","")</f>
        <v/>
      </c>
      <c r="Q459" s="34" t="str">
        <f aca="false">IF(AND(B459&gt;=Cal_Start_Week,B459&lt;=Cal_End_Week),"YES","")</f>
        <v>YES</v>
      </c>
    </row>
    <row r="460" customFormat="false" ht="15" hidden="false" customHeight="false" outlineLevel="0" collapsed="false">
      <c r="A460" s="31" t="str">
        <f aca="false">Demand_History!C460</f>
        <v>KIT-005</v>
      </c>
      <c r="B460" s="31" t="n">
        <f aca="false">Demand_History!A460</f>
        <v>43</v>
      </c>
      <c r="C460" s="32" t="n">
        <f aca="false">Demand_History!D460</f>
        <v>32</v>
      </c>
      <c r="D460" s="33" t="n">
        <f aca="false">IF(B460&gt;=2,C459,"")</f>
        <v>41</v>
      </c>
      <c r="E460" s="33" t="n">
        <f aca="false">IF(B460&gt;=5,AVERAGE(C456:C459),"")</f>
        <v>35.25</v>
      </c>
      <c r="F460" s="33" t="n">
        <f aca="false">IF(B460&gt;=9,AVERAGE(C452:C459),"")</f>
        <v>36.875</v>
      </c>
      <c r="G460" s="33" t="n">
        <f aca="false">IF(B460=1,"",IF(B460=2,C459,SES_Alpha*C459+(1-SES_Alpha)*G459))</f>
        <v>36.9918667515516</v>
      </c>
      <c r="H460" s="33" t="n">
        <f aca="false">IF(D460="","",D460-C460)</f>
        <v>9</v>
      </c>
      <c r="I460" s="33" t="n">
        <f aca="false">IF(E460="","",E460-C460)</f>
        <v>3.25</v>
      </c>
      <c r="J460" s="33" t="n">
        <f aca="false">IF(F460="","",F460-C460)</f>
        <v>4.875</v>
      </c>
      <c r="K460" s="33" t="n">
        <f aca="false">IF(G460="","",G460-C460)</f>
        <v>4.99186675155156</v>
      </c>
      <c r="L460" s="33" t="n">
        <f aca="false">IF(H460="","",ABS(H460))</f>
        <v>9</v>
      </c>
      <c r="M460" s="33" t="n">
        <f aca="false">IF(I460="","",ABS(I460))</f>
        <v>3.25</v>
      </c>
      <c r="N460" s="33" t="n">
        <f aca="false">IF(J460="","",ABS(J460))</f>
        <v>4.875</v>
      </c>
      <c r="O460" s="33" t="n">
        <f aca="false">IF(K460="","",ABS(K460))</f>
        <v>4.99186675155156</v>
      </c>
      <c r="P460" s="34" t="str">
        <f aca="false">IF(B460&gt;=Eval_Start_Week,"YES","")</f>
        <v/>
      </c>
      <c r="Q460" s="34" t="str">
        <f aca="false">IF(AND(B460&gt;=Cal_Start_Week,B460&lt;=Cal_End_Week),"YES","")</f>
        <v>YES</v>
      </c>
    </row>
    <row r="461" customFormat="false" ht="15" hidden="false" customHeight="false" outlineLevel="0" collapsed="false">
      <c r="A461" s="31" t="str">
        <f aca="false">Demand_History!C461</f>
        <v>KIT-005</v>
      </c>
      <c r="B461" s="31" t="n">
        <f aca="false">Demand_History!A461</f>
        <v>44</v>
      </c>
      <c r="C461" s="32" t="n">
        <f aca="false">Demand_History!D461</f>
        <v>28</v>
      </c>
      <c r="D461" s="33" t="n">
        <f aca="false">IF(B461&gt;=2,C460,"")</f>
        <v>32</v>
      </c>
      <c r="E461" s="33" t="n">
        <f aca="false">IF(B461&gt;=5,AVERAGE(C457:C460),"")</f>
        <v>35</v>
      </c>
      <c r="F461" s="33" t="n">
        <f aca="false">IF(B461&gt;=9,AVERAGE(C453:C460),"")</f>
        <v>36.75</v>
      </c>
      <c r="G461" s="33" t="n">
        <f aca="false">IF(B461=1,"",IF(B461=2,C460,SES_Alpha*C460+(1-SES_Alpha)*G460))</f>
        <v>35.4943067260861</v>
      </c>
      <c r="H461" s="33" t="n">
        <f aca="false">IF(D461="","",D461-C461)</f>
        <v>4</v>
      </c>
      <c r="I461" s="33" t="n">
        <f aca="false">IF(E461="","",E461-C461)</f>
        <v>7</v>
      </c>
      <c r="J461" s="33" t="n">
        <f aca="false">IF(F461="","",F461-C461)</f>
        <v>8.75</v>
      </c>
      <c r="K461" s="33" t="n">
        <f aca="false">IF(G461="","",G461-C461)</f>
        <v>7.49430672608609</v>
      </c>
      <c r="L461" s="33" t="n">
        <f aca="false">IF(H461="","",ABS(H461))</f>
        <v>4</v>
      </c>
      <c r="M461" s="33" t="n">
        <f aca="false">IF(I461="","",ABS(I461))</f>
        <v>7</v>
      </c>
      <c r="N461" s="33" t="n">
        <f aca="false">IF(J461="","",ABS(J461))</f>
        <v>8.75</v>
      </c>
      <c r="O461" s="33" t="n">
        <f aca="false">IF(K461="","",ABS(K461))</f>
        <v>7.49430672608609</v>
      </c>
      <c r="P461" s="34" t="str">
        <f aca="false">IF(B461&gt;=Eval_Start_Week,"YES","")</f>
        <v/>
      </c>
      <c r="Q461" s="34" t="str">
        <f aca="false">IF(AND(B461&gt;=Cal_Start_Week,B461&lt;=Cal_End_Week),"YES","")</f>
        <v>YES</v>
      </c>
    </row>
    <row r="462" customFormat="false" ht="15" hidden="false" customHeight="false" outlineLevel="0" collapsed="false">
      <c r="A462" s="31" t="str">
        <f aca="false">Demand_History!C462</f>
        <v>KIT-005</v>
      </c>
      <c r="B462" s="31" t="n">
        <f aca="false">Demand_History!A462</f>
        <v>45</v>
      </c>
      <c r="C462" s="32" t="n">
        <f aca="false">Demand_History!D462</f>
        <v>36</v>
      </c>
      <c r="D462" s="33" t="n">
        <f aca="false">IF(B462&gt;=2,C461,"")</f>
        <v>28</v>
      </c>
      <c r="E462" s="33" t="n">
        <f aca="false">IF(B462&gt;=5,AVERAGE(C458:C461),"")</f>
        <v>32.5</v>
      </c>
      <c r="F462" s="33" t="n">
        <f aca="false">IF(B462&gt;=9,AVERAGE(C454:C461),"")</f>
        <v>35.5</v>
      </c>
      <c r="G462" s="33" t="n">
        <f aca="false">IF(B462=1,"",IF(B462=2,C461,SES_Alpha*C461+(1-SES_Alpha)*G461))</f>
        <v>33.2460147082603</v>
      </c>
      <c r="H462" s="33" t="n">
        <f aca="false">IF(D462="","",D462-C462)</f>
        <v>-8</v>
      </c>
      <c r="I462" s="33" t="n">
        <f aca="false">IF(E462="","",E462-C462)</f>
        <v>-3.5</v>
      </c>
      <c r="J462" s="33" t="n">
        <f aca="false">IF(F462="","",F462-C462)</f>
        <v>-0.5</v>
      </c>
      <c r="K462" s="33" t="n">
        <f aca="false">IF(G462="","",G462-C462)</f>
        <v>-2.75398529173974</v>
      </c>
      <c r="L462" s="33" t="n">
        <f aca="false">IF(H462="","",ABS(H462))</f>
        <v>8</v>
      </c>
      <c r="M462" s="33" t="n">
        <f aca="false">IF(I462="","",ABS(I462))</f>
        <v>3.5</v>
      </c>
      <c r="N462" s="33" t="n">
        <f aca="false">IF(J462="","",ABS(J462))</f>
        <v>0.5</v>
      </c>
      <c r="O462" s="33" t="n">
        <f aca="false">IF(K462="","",ABS(K462))</f>
        <v>2.75398529173974</v>
      </c>
      <c r="P462" s="34" t="str">
        <f aca="false">IF(B462&gt;=Eval_Start_Week,"YES","")</f>
        <v/>
      </c>
      <c r="Q462" s="34" t="str">
        <f aca="false">IF(AND(B462&gt;=Cal_Start_Week,B462&lt;=Cal_End_Week),"YES","")</f>
        <v>YES</v>
      </c>
    </row>
    <row r="463" customFormat="false" ht="15" hidden="false" customHeight="false" outlineLevel="0" collapsed="false">
      <c r="A463" s="31" t="str">
        <f aca="false">Demand_History!C463</f>
        <v>KIT-005</v>
      </c>
      <c r="B463" s="31" t="n">
        <f aca="false">Demand_History!A463</f>
        <v>46</v>
      </c>
      <c r="C463" s="32" t="n">
        <f aca="false">Demand_History!D463</f>
        <v>42</v>
      </c>
      <c r="D463" s="33" t="n">
        <f aca="false">IF(B463&gt;=2,C462,"")</f>
        <v>36</v>
      </c>
      <c r="E463" s="33" t="n">
        <f aca="false">IF(B463&gt;=5,AVERAGE(C459:C462),"")</f>
        <v>34.25</v>
      </c>
      <c r="F463" s="33" t="n">
        <f aca="false">IF(B463&gt;=9,AVERAGE(C455:C462),"")</f>
        <v>35.125</v>
      </c>
      <c r="G463" s="33" t="n">
        <f aca="false">IF(B463=1,"",IF(B463=2,C462,SES_Alpha*C462+(1-SES_Alpha)*G462))</f>
        <v>34.0722102957822</v>
      </c>
      <c r="H463" s="33" t="n">
        <f aca="false">IF(D463="","",D463-C463)</f>
        <v>-6</v>
      </c>
      <c r="I463" s="33" t="n">
        <f aca="false">IF(E463="","",E463-C463)</f>
        <v>-7.75</v>
      </c>
      <c r="J463" s="33" t="n">
        <f aca="false">IF(F463="","",F463-C463)</f>
        <v>-6.875</v>
      </c>
      <c r="K463" s="33" t="n">
        <f aca="false">IF(G463="","",G463-C463)</f>
        <v>-7.92778970421782</v>
      </c>
      <c r="L463" s="33" t="n">
        <f aca="false">IF(H463="","",ABS(H463))</f>
        <v>6</v>
      </c>
      <c r="M463" s="33" t="n">
        <f aca="false">IF(I463="","",ABS(I463))</f>
        <v>7.75</v>
      </c>
      <c r="N463" s="33" t="n">
        <f aca="false">IF(J463="","",ABS(J463))</f>
        <v>6.875</v>
      </c>
      <c r="O463" s="33" t="n">
        <f aca="false">IF(K463="","",ABS(K463))</f>
        <v>7.92778970421782</v>
      </c>
      <c r="P463" s="34" t="str">
        <f aca="false">IF(B463&gt;=Eval_Start_Week,"YES","")</f>
        <v/>
      </c>
      <c r="Q463" s="34" t="str">
        <f aca="false">IF(AND(B463&gt;=Cal_Start_Week,B463&lt;=Cal_End_Week),"YES","")</f>
        <v>YES</v>
      </c>
    </row>
    <row r="464" customFormat="false" ht="15" hidden="false" customHeight="false" outlineLevel="0" collapsed="false">
      <c r="A464" s="31" t="str">
        <f aca="false">Demand_History!C464</f>
        <v>KIT-005</v>
      </c>
      <c r="B464" s="31" t="n">
        <f aca="false">Demand_History!A464</f>
        <v>47</v>
      </c>
      <c r="C464" s="32" t="n">
        <f aca="false">Demand_History!D464</f>
        <v>29</v>
      </c>
      <c r="D464" s="33" t="n">
        <f aca="false">IF(B464&gt;=2,C463,"")</f>
        <v>42</v>
      </c>
      <c r="E464" s="33" t="n">
        <f aca="false">IF(B464&gt;=5,AVERAGE(C460:C463),"")</f>
        <v>34.5</v>
      </c>
      <c r="F464" s="33" t="n">
        <f aca="false">IF(B464&gt;=9,AVERAGE(C456:C463),"")</f>
        <v>34.875</v>
      </c>
      <c r="G464" s="33" t="n">
        <f aca="false">IF(B464=1,"",IF(B464=2,C463,SES_Alpha*C463+(1-SES_Alpha)*G463))</f>
        <v>36.4505472070475</v>
      </c>
      <c r="H464" s="33" t="n">
        <f aca="false">IF(D464="","",D464-C464)</f>
        <v>13</v>
      </c>
      <c r="I464" s="33" t="n">
        <f aca="false">IF(E464="","",E464-C464)</f>
        <v>5.5</v>
      </c>
      <c r="J464" s="33" t="n">
        <f aca="false">IF(F464="","",F464-C464)</f>
        <v>5.875</v>
      </c>
      <c r="K464" s="33" t="n">
        <f aca="false">IF(G464="","",G464-C464)</f>
        <v>7.45054720704752</v>
      </c>
      <c r="L464" s="33" t="n">
        <f aca="false">IF(H464="","",ABS(H464))</f>
        <v>13</v>
      </c>
      <c r="M464" s="33" t="n">
        <f aca="false">IF(I464="","",ABS(I464))</f>
        <v>5.5</v>
      </c>
      <c r="N464" s="33" t="n">
        <f aca="false">IF(J464="","",ABS(J464))</f>
        <v>5.875</v>
      </c>
      <c r="O464" s="33" t="n">
        <f aca="false">IF(K464="","",ABS(K464))</f>
        <v>7.45054720704752</v>
      </c>
      <c r="P464" s="34" t="str">
        <f aca="false">IF(B464&gt;=Eval_Start_Week,"YES","")</f>
        <v/>
      </c>
      <c r="Q464" s="34" t="str">
        <f aca="false">IF(AND(B464&gt;=Cal_Start_Week,B464&lt;=Cal_End_Week),"YES","")</f>
        <v>YES</v>
      </c>
    </row>
    <row r="465" customFormat="false" ht="15" hidden="false" customHeight="false" outlineLevel="0" collapsed="false">
      <c r="A465" s="31" t="str">
        <f aca="false">Demand_History!C465</f>
        <v>KIT-005</v>
      </c>
      <c r="B465" s="31" t="n">
        <f aca="false">Demand_History!A465</f>
        <v>48</v>
      </c>
      <c r="C465" s="32" t="n">
        <f aca="false">Demand_History!D465</f>
        <v>31</v>
      </c>
      <c r="D465" s="33" t="n">
        <f aca="false">IF(B465&gt;=2,C464,"")</f>
        <v>29</v>
      </c>
      <c r="E465" s="33" t="n">
        <f aca="false">IF(B465&gt;=5,AVERAGE(C461:C464),"")</f>
        <v>33.75</v>
      </c>
      <c r="F465" s="33" t="n">
        <f aca="false">IF(B465&gt;=9,AVERAGE(C457:C464),"")</f>
        <v>34.375</v>
      </c>
      <c r="G465" s="33" t="n">
        <f aca="false">IF(B465=1,"",IF(B465=2,C464,SES_Alpha*C464+(1-SES_Alpha)*G464))</f>
        <v>34.2153830449333</v>
      </c>
      <c r="H465" s="33" t="n">
        <f aca="false">IF(D465="","",D465-C465)</f>
        <v>-2</v>
      </c>
      <c r="I465" s="33" t="n">
        <f aca="false">IF(E465="","",E465-C465)</f>
        <v>2.75</v>
      </c>
      <c r="J465" s="33" t="n">
        <f aca="false">IF(F465="","",F465-C465)</f>
        <v>3.375</v>
      </c>
      <c r="K465" s="33" t="n">
        <f aca="false">IF(G465="","",G465-C465)</f>
        <v>3.21538304493326</v>
      </c>
      <c r="L465" s="33" t="n">
        <f aca="false">IF(H465="","",ABS(H465))</f>
        <v>2</v>
      </c>
      <c r="M465" s="33" t="n">
        <f aca="false">IF(I465="","",ABS(I465))</f>
        <v>2.75</v>
      </c>
      <c r="N465" s="33" t="n">
        <f aca="false">IF(J465="","",ABS(J465))</f>
        <v>3.375</v>
      </c>
      <c r="O465" s="33" t="n">
        <f aca="false">IF(K465="","",ABS(K465))</f>
        <v>3.21538304493326</v>
      </c>
      <c r="P465" s="34" t="str">
        <f aca="false">IF(B465&gt;=Eval_Start_Week,"YES","")</f>
        <v/>
      </c>
      <c r="Q465" s="34" t="str">
        <f aca="false">IF(AND(B465&gt;=Cal_Start_Week,B465&lt;=Cal_End_Week),"YES","")</f>
        <v>YES</v>
      </c>
    </row>
    <row r="466" customFormat="false" ht="15" hidden="false" customHeight="false" outlineLevel="0" collapsed="false">
      <c r="A466" s="31" t="str">
        <f aca="false">Demand_History!C466</f>
        <v>KIT-005</v>
      </c>
      <c r="B466" s="31" t="n">
        <f aca="false">Demand_History!A466</f>
        <v>49</v>
      </c>
      <c r="C466" s="32" t="n">
        <f aca="false">Demand_History!D466</f>
        <v>32</v>
      </c>
      <c r="D466" s="33" t="n">
        <f aca="false">IF(B466&gt;=2,C465,"")</f>
        <v>31</v>
      </c>
      <c r="E466" s="33" t="n">
        <f aca="false">IF(B466&gt;=5,AVERAGE(C462:C465),"")</f>
        <v>34.5</v>
      </c>
      <c r="F466" s="33" t="n">
        <f aca="false">IF(B466&gt;=9,AVERAGE(C458:C465),"")</f>
        <v>33.5</v>
      </c>
      <c r="G466" s="33" t="n">
        <f aca="false">IF(B466=1,"",IF(B466=2,C465,SES_Alpha*C465+(1-SES_Alpha)*G465))</f>
        <v>33.2507681314533</v>
      </c>
      <c r="H466" s="33" t="n">
        <f aca="false">IF(D466="","",D466-C466)</f>
        <v>-1</v>
      </c>
      <c r="I466" s="33" t="n">
        <f aca="false">IF(E466="","",E466-C466)</f>
        <v>2.5</v>
      </c>
      <c r="J466" s="33" t="n">
        <f aca="false">IF(F466="","",F466-C466)</f>
        <v>1.5</v>
      </c>
      <c r="K466" s="33" t="n">
        <f aca="false">IF(G466="","",G466-C466)</f>
        <v>1.25076813145328</v>
      </c>
      <c r="L466" s="33" t="n">
        <f aca="false">IF(H466="","",ABS(H466))</f>
        <v>1</v>
      </c>
      <c r="M466" s="33" t="n">
        <f aca="false">IF(I466="","",ABS(I466))</f>
        <v>2.5</v>
      </c>
      <c r="N466" s="33" t="n">
        <f aca="false">IF(J466="","",ABS(J466))</f>
        <v>1.5</v>
      </c>
      <c r="O466" s="33" t="n">
        <f aca="false">IF(K466="","",ABS(K466))</f>
        <v>1.25076813145328</v>
      </c>
      <c r="P466" s="34" t="str">
        <f aca="false">IF(B466&gt;=Eval_Start_Week,"YES","")</f>
        <v/>
      </c>
      <c r="Q466" s="34" t="str">
        <f aca="false">IF(AND(B466&gt;=Cal_Start_Week,B466&lt;=Cal_End_Week),"YES","")</f>
        <v>YES</v>
      </c>
    </row>
    <row r="467" customFormat="false" ht="15" hidden="false" customHeight="false" outlineLevel="0" collapsed="false">
      <c r="A467" s="31" t="str">
        <f aca="false">Demand_History!C467</f>
        <v>KIT-005</v>
      </c>
      <c r="B467" s="31" t="n">
        <f aca="false">Demand_History!A467</f>
        <v>50</v>
      </c>
      <c r="C467" s="32" t="n">
        <f aca="false">Demand_History!D467</f>
        <v>30</v>
      </c>
      <c r="D467" s="33" t="n">
        <f aca="false">IF(B467&gt;=2,C466,"")</f>
        <v>32</v>
      </c>
      <c r="E467" s="33" t="n">
        <f aca="false">IF(B467&gt;=5,AVERAGE(C463:C466),"")</f>
        <v>33.5</v>
      </c>
      <c r="F467" s="33" t="n">
        <f aca="false">IF(B467&gt;=9,AVERAGE(C459:C466),"")</f>
        <v>33.875</v>
      </c>
      <c r="G467" s="33" t="n">
        <f aca="false">IF(B467=1,"",IF(B467=2,C466,SES_Alpha*C466+(1-SES_Alpha)*G466))</f>
        <v>32.8755376920173</v>
      </c>
      <c r="H467" s="33" t="n">
        <f aca="false">IF(D467="","",D467-C467)</f>
        <v>2</v>
      </c>
      <c r="I467" s="33" t="n">
        <f aca="false">IF(E467="","",E467-C467)</f>
        <v>3.5</v>
      </c>
      <c r="J467" s="33" t="n">
        <f aca="false">IF(F467="","",F467-C467)</f>
        <v>3.875</v>
      </c>
      <c r="K467" s="33" t="n">
        <f aca="false">IF(G467="","",G467-C467)</f>
        <v>2.87553769201729</v>
      </c>
      <c r="L467" s="33" t="n">
        <f aca="false">IF(H467="","",ABS(H467))</f>
        <v>2</v>
      </c>
      <c r="M467" s="33" t="n">
        <f aca="false">IF(I467="","",ABS(I467))</f>
        <v>3.5</v>
      </c>
      <c r="N467" s="33" t="n">
        <f aca="false">IF(J467="","",ABS(J467))</f>
        <v>3.875</v>
      </c>
      <c r="O467" s="33" t="n">
        <f aca="false">IF(K467="","",ABS(K467))</f>
        <v>2.87553769201729</v>
      </c>
      <c r="P467" s="34" t="str">
        <f aca="false">IF(B467&gt;=Eval_Start_Week,"YES","")</f>
        <v/>
      </c>
      <c r="Q467" s="34" t="str">
        <f aca="false">IF(AND(B467&gt;=Cal_Start_Week,B467&lt;=Cal_End_Week),"YES","")</f>
        <v>YES</v>
      </c>
    </row>
    <row r="468" customFormat="false" ht="15" hidden="false" customHeight="false" outlineLevel="0" collapsed="false">
      <c r="A468" s="31" t="str">
        <f aca="false">Demand_History!C468</f>
        <v>KIT-005</v>
      </c>
      <c r="B468" s="31" t="n">
        <f aca="false">Demand_History!A468</f>
        <v>51</v>
      </c>
      <c r="C468" s="32" t="n">
        <f aca="false">Demand_History!D468</f>
        <v>37</v>
      </c>
      <c r="D468" s="33" t="n">
        <f aca="false">IF(B468&gt;=2,C467,"")</f>
        <v>30</v>
      </c>
      <c r="E468" s="33" t="n">
        <f aca="false">IF(B468&gt;=5,AVERAGE(C464:C467),"")</f>
        <v>30.5</v>
      </c>
      <c r="F468" s="33" t="n">
        <f aca="false">IF(B468&gt;=9,AVERAGE(C460:C467),"")</f>
        <v>32.5</v>
      </c>
      <c r="G468" s="33" t="n">
        <f aca="false">IF(B468=1,"",IF(B468=2,C467,SES_Alpha*C467+(1-SES_Alpha)*G467))</f>
        <v>32.0128763844121</v>
      </c>
      <c r="H468" s="33" t="n">
        <f aca="false">IF(D468="","",D468-C468)</f>
        <v>-7</v>
      </c>
      <c r="I468" s="33" t="n">
        <f aca="false">IF(E468="","",E468-C468)</f>
        <v>-6.5</v>
      </c>
      <c r="J468" s="33" t="n">
        <f aca="false">IF(F468="","",F468-C468)</f>
        <v>-4.5</v>
      </c>
      <c r="K468" s="33" t="n">
        <f aca="false">IF(G468="","",G468-C468)</f>
        <v>-4.9871236155879</v>
      </c>
      <c r="L468" s="33" t="n">
        <f aca="false">IF(H468="","",ABS(H468))</f>
        <v>7</v>
      </c>
      <c r="M468" s="33" t="n">
        <f aca="false">IF(I468="","",ABS(I468))</f>
        <v>6.5</v>
      </c>
      <c r="N468" s="33" t="n">
        <f aca="false">IF(J468="","",ABS(J468))</f>
        <v>4.5</v>
      </c>
      <c r="O468" s="33" t="n">
        <f aca="false">IF(K468="","",ABS(K468))</f>
        <v>4.9871236155879</v>
      </c>
      <c r="P468" s="34" t="str">
        <f aca="false">IF(B468&gt;=Eval_Start_Week,"YES","")</f>
        <v/>
      </c>
      <c r="Q468" s="34" t="str">
        <f aca="false">IF(AND(B468&gt;=Cal_Start_Week,B468&lt;=Cal_End_Week),"YES","")</f>
        <v>YES</v>
      </c>
    </row>
    <row r="469" customFormat="false" ht="15" hidden="false" customHeight="false" outlineLevel="0" collapsed="false">
      <c r="A469" s="31" t="str">
        <f aca="false">Demand_History!C469</f>
        <v>KIT-005</v>
      </c>
      <c r="B469" s="31" t="n">
        <f aca="false">Demand_History!A469</f>
        <v>52</v>
      </c>
      <c r="C469" s="32" t="n">
        <f aca="false">Demand_History!D469</f>
        <v>31</v>
      </c>
      <c r="D469" s="33" t="n">
        <f aca="false">IF(B469&gt;=2,C468,"")</f>
        <v>37</v>
      </c>
      <c r="E469" s="33" t="n">
        <f aca="false">IF(B469&gt;=5,AVERAGE(C465:C468),"")</f>
        <v>32.5</v>
      </c>
      <c r="F469" s="33" t="n">
        <f aca="false">IF(B469&gt;=9,AVERAGE(C461:C468),"")</f>
        <v>33.125</v>
      </c>
      <c r="G469" s="33" t="n">
        <f aca="false">IF(B469=1,"",IF(B469=2,C468,SES_Alpha*C468+(1-SES_Alpha)*G468))</f>
        <v>33.5090134690885</v>
      </c>
      <c r="H469" s="33" t="n">
        <f aca="false">IF(D469="","",D469-C469)</f>
        <v>6</v>
      </c>
      <c r="I469" s="33" t="n">
        <f aca="false">IF(E469="","",E469-C469)</f>
        <v>1.5</v>
      </c>
      <c r="J469" s="33" t="n">
        <f aca="false">IF(F469="","",F469-C469)</f>
        <v>2.125</v>
      </c>
      <c r="K469" s="33" t="n">
        <f aca="false">IF(G469="","",G469-C469)</f>
        <v>2.50901346908847</v>
      </c>
      <c r="L469" s="33" t="n">
        <f aca="false">IF(H469="","",ABS(H469))</f>
        <v>6</v>
      </c>
      <c r="M469" s="33" t="n">
        <f aca="false">IF(I469="","",ABS(I469))</f>
        <v>1.5</v>
      </c>
      <c r="N469" s="33" t="n">
        <f aca="false">IF(J469="","",ABS(J469))</f>
        <v>2.125</v>
      </c>
      <c r="O469" s="33" t="n">
        <f aca="false">IF(K469="","",ABS(K469))</f>
        <v>2.50901346908847</v>
      </c>
      <c r="P469" s="34" t="str">
        <f aca="false">IF(B469&gt;=Eval_Start_Week,"YES","")</f>
        <v/>
      </c>
      <c r="Q469" s="34" t="str">
        <f aca="false">IF(AND(B469&gt;=Cal_Start_Week,B469&lt;=Cal_End_Week),"YES","")</f>
        <v>YES</v>
      </c>
    </row>
    <row r="470" customFormat="false" ht="15" hidden="false" customHeight="false" outlineLevel="0" collapsed="false">
      <c r="A470" s="31" t="str">
        <f aca="false">Demand_History!C470</f>
        <v>KIT-005</v>
      </c>
      <c r="B470" s="31" t="n">
        <f aca="false">Demand_History!A470</f>
        <v>53</v>
      </c>
      <c r="C470" s="32" t="n">
        <f aca="false">Demand_History!D470</f>
        <v>31</v>
      </c>
      <c r="D470" s="33" t="n">
        <f aca="false">IF(B470&gt;=2,C469,"")</f>
        <v>31</v>
      </c>
      <c r="E470" s="33" t="n">
        <f aca="false">IF(B470&gt;=5,AVERAGE(C466:C469),"")</f>
        <v>32.5</v>
      </c>
      <c r="F470" s="33" t="n">
        <f aca="false">IF(B470&gt;=9,AVERAGE(C462:C469),"")</f>
        <v>33.5</v>
      </c>
      <c r="G470" s="33" t="n">
        <f aca="false">IF(B470=1,"",IF(B470=2,C469,SES_Alpha*C469+(1-SES_Alpha)*G469))</f>
        <v>32.7563094283619</v>
      </c>
      <c r="H470" s="33" t="n">
        <f aca="false">IF(D470="","",D470-C470)</f>
        <v>0</v>
      </c>
      <c r="I470" s="33" t="n">
        <f aca="false">IF(E470="","",E470-C470)</f>
        <v>1.5</v>
      </c>
      <c r="J470" s="33" t="n">
        <f aca="false">IF(F470="","",F470-C470)</f>
        <v>2.5</v>
      </c>
      <c r="K470" s="33" t="n">
        <f aca="false">IF(G470="","",G470-C470)</f>
        <v>1.75630942836193</v>
      </c>
      <c r="L470" s="33" t="n">
        <f aca="false">IF(H470="","",ABS(H470))</f>
        <v>0</v>
      </c>
      <c r="M470" s="33" t="n">
        <f aca="false">IF(I470="","",ABS(I470))</f>
        <v>1.5</v>
      </c>
      <c r="N470" s="33" t="n">
        <f aca="false">IF(J470="","",ABS(J470))</f>
        <v>2.5</v>
      </c>
      <c r="O470" s="33" t="n">
        <f aca="false">IF(K470="","",ABS(K470))</f>
        <v>1.75630942836193</v>
      </c>
      <c r="P470" s="34" t="str">
        <f aca="false">IF(B470&gt;=Eval_Start_Week,"YES","")</f>
        <v>YES</v>
      </c>
      <c r="Q470" s="34" t="str">
        <f aca="false">IF(AND(B470&gt;=Cal_Start_Week,B470&lt;=Cal_End_Week),"YES","")</f>
        <v>YES</v>
      </c>
    </row>
    <row r="471" customFormat="false" ht="15" hidden="false" customHeight="false" outlineLevel="0" collapsed="false">
      <c r="A471" s="31" t="str">
        <f aca="false">Demand_History!C471</f>
        <v>KIT-005</v>
      </c>
      <c r="B471" s="31" t="n">
        <f aca="false">Demand_History!A471</f>
        <v>54</v>
      </c>
      <c r="C471" s="32" t="n">
        <f aca="false">Demand_History!D471</f>
        <v>37</v>
      </c>
      <c r="D471" s="33" t="n">
        <f aca="false">IF(B471&gt;=2,C470,"")</f>
        <v>31</v>
      </c>
      <c r="E471" s="33" t="n">
        <f aca="false">IF(B471&gt;=5,AVERAGE(C467:C470),"")</f>
        <v>32.25</v>
      </c>
      <c r="F471" s="33" t="n">
        <f aca="false">IF(B471&gt;=9,AVERAGE(C463:C470),"")</f>
        <v>32.875</v>
      </c>
      <c r="G471" s="33" t="n">
        <f aca="false">IF(B471=1,"",IF(B471=2,C470,SES_Alpha*C470+(1-SES_Alpha)*G470))</f>
        <v>32.2294165998534</v>
      </c>
      <c r="H471" s="33" t="n">
        <f aca="false">IF(D471="","",D471-C471)</f>
        <v>-6</v>
      </c>
      <c r="I471" s="33" t="n">
        <f aca="false">IF(E471="","",E471-C471)</f>
        <v>-4.75</v>
      </c>
      <c r="J471" s="33" t="n">
        <f aca="false">IF(F471="","",F471-C471)</f>
        <v>-4.125</v>
      </c>
      <c r="K471" s="33" t="n">
        <f aca="false">IF(G471="","",G471-C471)</f>
        <v>-4.77058340014665</v>
      </c>
      <c r="L471" s="33" t="n">
        <f aca="false">IF(H471="","",ABS(H471))</f>
        <v>6</v>
      </c>
      <c r="M471" s="33" t="n">
        <f aca="false">IF(I471="","",ABS(I471))</f>
        <v>4.75</v>
      </c>
      <c r="N471" s="33" t="n">
        <f aca="false">IF(J471="","",ABS(J471))</f>
        <v>4.125</v>
      </c>
      <c r="O471" s="33" t="n">
        <f aca="false">IF(K471="","",ABS(K471))</f>
        <v>4.77058340014665</v>
      </c>
      <c r="P471" s="34" t="str">
        <f aca="false">IF(B471&gt;=Eval_Start_Week,"YES","")</f>
        <v>YES</v>
      </c>
      <c r="Q471" s="34" t="str">
        <f aca="false">IF(AND(B471&gt;=Cal_Start_Week,B471&lt;=Cal_End_Week),"YES","")</f>
        <v>YES</v>
      </c>
    </row>
    <row r="472" customFormat="false" ht="15" hidden="false" customHeight="false" outlineLevel="0" collapsed="false">
      <c r="A472" s="31" t="str">
        <f aca="false">Demand_History!C472</f>
        <v>KIT-005</v>
      </c>
      <c r="B472" s="31" t="n">
        <f aca="false">Demand_History!A472</f>
        <v>55</v>
      </c>
      <c r="C472" s="32" t="n">
        <f aca="false">Demand_History!D472</f>
        <v>31</v>
      </c>
      <c r="D472" s="33" t="n">
        <f aca="false">IF(B472&gt;=2,C471,"")</f>
        <v>37</v>
      </c>
      <c r="E472" s="33" t="n">
        <f aca="false">IF(B472&gt;=5,AVERAGE(C468:C471),"")</f>
        <v>34</v>
      </c>
      <c r="F472" s="33" t="n">
        <f aca="false">IF(B472&gt;=9,AVERAGE(C464:C471),"")</f>
        <v>32.25</v>
      </c>
      <c r="G472" s="33" t="n">
        <f aca="false">IF(B472=1,"",IF(B472=2,C471,SES_Alpha*C471+(1-SES_Alpha)*G471))</f>
        <v>33.6605916198973</v>
      </c>
      <c r="H472" s="33" t="n">
        <f aca="false">IF(D472="","",D472-C472)</f>
        <v>6</v>
      </c>
      <c r="I472" s="33" t="n">
        <f aca="false">IF(E472="","",E472-C472)</f>
        <v>3</v>
      </c>
      <c r="J472" s="33" t="n">
        <f aca="false">IF(F472="","",F472-C472)</f>
        <v>1.25</v>
      </c>
      <c r="K472" s="33" t="n">
        <f aca="false">IF(G472="","",G472-C472)</f>
        <v>2.66059161989735</v>
      </c>
      <c r="L472" s="33" t="n">
        <f aca="false">IF(H472="","",ABS(H472))</f>
        <v>6</v>
      </c>
      <c r="M472" s="33" t="n">
        <f aca="false">IF(I472="","",ABS(I472))</f>
        <v>3</v>
      </c>
      <c r="N472" s="33" t="n">
        <f aca="false">IF(J472="","",ABS(J472))</f>
        <v>1.25</v>
      </c>
      <c r="O472" s="33" t="n">
        <f aca="false">IF(K472="","",ABS(K472))</f>
        <v>2.66059161989735</v>
      </c>
      <c r="P472" s="34" t="str">
        <f aca="false">IF(B472&gt;=Eval_Start_Week,"YES","")</f>
        <v>YES</v>
      </c>
      <c r="Q472" s="34" t="str">
        <f aca="false">IF(AND(B472&gt;=Cal_Start_Week,B472&lt;=Cal_End_Week),"YES","")</f>
        <v>YES</v>
      </c>
    </row>
    <row r="473" customFormat="false" ht="15" hidden="false" customHeight="false" outlineLevel="0" collapsed="false">
      <c r="A473" s="31" t="str">
        <f aca="false">Demand_History!C473</f>
        <v>KIT-005</v>
      </c>
      <c r="B473" s="31" t="n">
        <f aca="false">Demand_History!A473</f>
        <v>56</v>
      </c>
      <c r="C473" s="32" t="n">
        <f aca="false">Demand_History!D473</f>
        <v>36</v>
      </c>
      <c r="D473" s="33" t="n">
        <f aca="false">IF(B473&gt;=2,C472,"")</f>
        <v>31</v>
      </c>
      <c r="E473" s="33" t="n">
        <f aca="false">IF(B473&gt;=5,AVERAGE(C469:C472),"")</f>
        <v>32.5</v>
      </c>
      <c r="F473" s="33" t="n">
        <f aca="false">IF(B473&gt;=9,AVERAGE(C465:C472),"")</f>
        <v>32.5</v>
      </c>
      <c r="G473" s="33" t="n">
        <f aca="false">IF(B473=1,"",IF(B473=2,C472,SES_Alpha*C472+(1-SES_Alpha)*G472))</f>
        <v>32.8624141339281</v>
      </c>
      <c r="H473" s="33" t="n">
        <f aca="false">IF(D473="","",D473-C473)</f>
        <v>-5</v>
      </c>
      <c r="I473" s="33" t="n">
        <f aca="false">IF(E473="","",E473-C473)</f>
        <v>-3.5</v>
      </c>
      <c r="J473" s="33" t="n">
        <f aca="false">IF(F473="","",F473-C473)</f>
        <v>-3.5</v>
      </c>
      <c r="K473" s="33" t="n">
        <f aca="false">IF(G473="","",G473-C473)</f>
        <v>-3.13758586607186</v>
      </c>
      <c r="L473" s="33" t="n">
        <f aca="false">IF(H473="","",ABS(H473))</f>
        <v>5</v>
      </c>
      <c r="M473" s="33" t="n">
        <f aca="false">IF(I473="","",ABS(I473))</f>
        <v>3.5</v>
      </c>
      <c r="N473" s="33" t="n">
        <f aca="false">IF(J473="","",ABS(J473))</f>
        <v>3.5</v>
      </c>
      <c r="O473" s="33" t="n">
        <f aca="false">IF(K473="","",ABS(K473))</f>
        <v>3.13758586607186</v>
      </c>
      <c r="P473" s="34" t="str">
        <f aca="false">IF(B473&gt;=Eval_Start_Week,"YES","")</f>
        <v>YES</v>
      </c>
      <c r="Q473" s="34" t="str">
        <f aca="false">IF(AND(B473&gt;=Cal_Start_Week,B473&lt;=Cal_End_Week),"YES","")</f>
        <v>YES</v>
      </c>
    </row>
    <row r="474" customFormat="false" ht="15" hidden="false" customHeight="false" outlineLevel="0" collapsed="false">
      <c r="A474" s="31" t="str">
        <f aca="false">Demand_History!C474</f>
        <v>KIT-005</v>
      </c>
      <c r="B474" s="31" t="n">
        <f aca="false">Demand_History!A474</f>
        <v>57</v>
      </c>
      <c r="C474" s="32" t="n">
        <f aca="false">Demand_History!D474</f>
        <v>29</v>
      </c>
      <c r="D474" s="33" t="n">
        <f aca="false">IF(B474&gt;=2,C473,"")</f>
        <v>36</v>
      </c>
      <c r="E474" s="33" t="n">
        <f aca="false">IF(B474&gt;=5,AVERAGE(C470:C473),"")</f>
        <v>33.75</v>
      </c>
      <c r="F474" s="33" t="n">
        <f aca="false">IF(B474&gt;=9,AVERAGE(C466:C473),"")</f>
        <v>33.125</v>
      </c>
      <c r="G474" s="33" t="n">
        <f aca="false">IF(B474=1,"",IF(B474=2,C473,SES_Alpha*C473+(1-SES_Alpha)*G473))</f>
        <v>33.8036898937497</v>
      </c>
      <c r="H474" s="33" t="n">
        <f aca="false">IF(D474="","",D474-C474)</f>
        <v>7</v>
      </c>
      <c r="I474" s="33" t="n">
        <f aca="false">IF(E474="","",E474-C474)</f>
        <v>4.75</v>
      </c>
      <c r="J474" s="33" t="n">
        <f aca="false">IF(F474="","",F474-C474)</f>
        <v>4.125</v>
      </c>
      <c r="K474" s="33" t="n">
        <f aca="false">IF(G474="","",G474-C474)</f>
        <v>4.8036898937497</v>
      </c>
      <c r="L474" s="33" t="n">
        <f aca="false">IF(H474="","",ABS(H474))</f>
        <v>7</v>
      </c>
      <c r="M474" s="33" t="n">
        <f aca="false">IF(I474="","",ABS(I474))</f>
        <v>4.75</v>
      </c>
      <c r="N474" s="33" t="n">
        <f aca="false">IF(J474="","",ABS(J474))</f>
        <v>4.125</v>
      </c>
      <c r="O474" s="33" t="n">
        <f aca="false">IF(K474="","",ABS(K474))</f>
        <v>4.8036898937497</v>
      </c>
      <c r="P474" s="34" t="str">
        <f aca="false">IF(B474&gt;=Eval_Start_Week,"YES","")</f>
        <v>YES</v>
      </c>
      <c r="Q474" s="34" t="str">
        <f aca="false">IF(AND(B474&gt;=Cal_Start_Week,B474&lt;=Cal_End_Week),"YES","")</f>
        <v>YES</v>
      </c>
    </row>
    <row r="475" customFormat="false" ht="15" hidden="false" customHeight="false" outlineLevel="0" collapsed="false">
      <c r="A475" s="31" t="str">
        <f aca="false">Demand_History!C475</f>
        <v>KIT-005</v>
      </c>
      <c r="B475" s="31" t="n">
        <f aca="false">Demand_History!A475</f>
        <v>58</v>
      </c>
      <c r="C475" s="32" t="n">
        <f aca="false">Demand_History!D475</f>
        <v>28</v>
      </c>
      <c r="D475" s="33" t="n">
        <f aca="false">IF(B475&gt;=2,C474,"")</f>
        <v>29</v>
      </c>
      <c r="E475" s="33" t="n">
        <f aca="false">IF(B475&gt;=5,AVERAGE(C471:C474),"")</f>
        <v>33.25</v>
      </c>
      <c r="F475" s="33" t="n">
        <f aca="false">IF(B475&gt;=9,AVERAGE(C467:C474),"")</f>
        <v>32.75</v>
      </c>
      <c r="G475" s="33" t="n">
        <f aca="false">IF(B475=1,"",IF(B475=2,C474,SES_Alpha*C474+(1-SES_Alpha)*G474))</f>
        <v>32.3625829256248</v>
      </c>
      <c r="H475" s="33" t="n">
        <f aca="false">IF(D475="","",D475-C475)</f>
        <v>1</v>
      </c>
      <c r="I475" s="33" t="n">
        <f aca="false">IF(E475="","",E475-C475)</f>
        <v>5.25</v>
      </c>
      <c r="J475" s="33" t="n">
        <f aca="false">IF(F475="","",F475-C475)</f>
        <v>4.75</v>
      </c>
      <c r="K475" s="33" t="n">
        <f aca="false">IF(G475="","",G475-C475)</f>
        <v>4.36258292562479</v>
      </c>
      <c r="L475" s="33" t="n">
        <f aca="false">IF(H475="","",ABS(H475))</f>
        <v>1</v>
      </c>
      <c r="M475" s="33" t="n">
        <f aca="false">IF(I475="","",ABS(I475))</f>
        <v>5.25</v>
      </c>
      <c r="N475" s="33" t="n">
        <f aca="false">IF(J475="","",ABS(J475))</f>
        <v>4.75</v>
      </c>
      <c r="O475" s="33" t="n">
        <f aca="false">IF(K475="","",ABS(K475))</f>
        <v>4.36258292562479</v>
      </c>
      <c r="P475" s="34" t="str">
        <f aca="false">IF(B475&gt;=Eval_Start_Week,"YES","")</f>
        <v>YES</v>
      </c>
      <c r="Q475" s="34" t="str">
        <f aca="false">IF(AND(B475&gt;=Cal_Start_Week,B475&lt;=Cal_End_Week),"YES","")</f>
        <v>YES</v>
      </c>
    </row>
    <row r="476" customFormat="false" ht="15" hidden="false" customHeight="false" outlineLevel="0" collapsed="false">
      <c r="A476" s="31" t="str">
        <f aca="false">Demand_History!C476</f>
        <v>KIT-005</v>
      </c>
      <c r="B476" s="31" t="n">
        <f aca="false">Demand_History!A476</f>
        <v>59</v>
      </c>
      <c r="C476" s="32" t="n">
        <f aca="false">Demand_History!D476</f>
        <v>25</v>
      </c>
      <c r="D476" s="33" t="n">
        <f aca="false">IF(B476&gt;=2,C475,"")</f>
        <v>28</v>
      </c>
      <c r="E476" s="33" t="n">
        <f aca="false">IF(B476&gt;=5,AVERAGE(C472:C475),"")</f>
        <v>31</v>
      </c>
      <c r="F476" s="33" t="n">
        <f aca="false">IF(B476&gt;=9,AVERAGE(C468:C475),"")</f>
        <v>32.5</v>
      </c>
      <c r="G476" s="33" t="n">
        <f aca="false">IF(B476=1,"",IF(B476=2,C475,SES_Alpha*C475+(1-SES_Alpha)*G475))</f>
        <v>31.0538080479374</v>
      </c>
      <c r="H476" s="33" t="n">
        <f aca="false">IF(D476="","",D476-C476)</f>
        <v>3</v>
      </c>
      <c r="I476" s="33" t="n">
        <f aca="false">IF(E476="","",E476-C476)</f>
        <v>6</v>
      </c>
      <c r="J476" s="33" t="n">
        <f aca="false">IF(F476="","",F476-C476)</f>
        <v>7.5</v>
      </c>
      <c r="K476" s="33" t="n">
        <f aca="false">IF(G476="","",G476-C476)</f>
        <v>6.05380804793735</v>
      </c>
      <c r="L476" s="33" t="n">
        <f aca="false">IF(H476="","",ABS(H476))</f>
        <v>3</v>
      </c>
      <c r="M476" s="33" t="n">
        <f aca="false">IF(I476="","",ABS(I476))</f>
        <v>6</v>
      </c>
      <c r="N476" s="33" t="n">
        <f aca="false">IF(J476="","",ABS(J476))</f>
        <v>7.5</v>
      </c>
      <c r="O476" s="33" t="n">
        <f aca="false">IF(K476="","",ABS(K476))</f>
        <v>6.05380804793735</v>
      </c>
      <c r="P476" s="34" t="str">
        <f aca="false">IF(B476&gt;=Eval_Start_Week,"YES","")</f>
        <v>YES</v>
      </c>
      <c r="Q476" s="34" t="str">
        <f aca="false">IF(AND(B476&gt;=Cal_Start_Week,B476&lt;=Cal_End_Week),"YES","")</f>
        <v>YES</v>
      </c>
    </row>
    <row r="477" customFormat="false" ht="15" hidden="false" customHeight="false" outlineLevel="0" collapsed="false">
      <c r="A477" s="31" t="str">
        <f aca="false">Demand_History!C477</f>
        <v>KIT-005</v>
      </c>
      <c r="B477" s="31" t="n">
        <f aca="false">Demand_History!A477</f>
        <v>60</v>
      </c>
      <c r="C477" s="32" t="n">
        <f aca="false">Demand_History!D477</f>
        <v>42</v>
      </c>
      <c r="D477" s="33" t="n">
        <f aca="false">IF(B477&gt;=2,C476,"")</f>
        <v>25</v>
      </c>
      <c r="E477" s="33" t="n">
        <f aca="false">IF(B477&gt;=5,AVERAGE(C473:C476),"")</f>
        <v>29.5</v>
      </c>
      <c r="F477" s="33" t="n">
        <f aca="false">IF(B477&gt;=9,AVERAGE(C469:C476),"")</f>
        <v>31</v>
      </c>
      <c r="G477" s="33" t="n">
        <f aca="false">IF(B477=1,"",IF(B477=2,C476,SES_Alpha*C476+(1-SES_Alpha)*G476))</f>
        <v>29.2376656335561</v>
      </c>
      <c r="H477" s="33" t="n">
        <f aca="false">IF(D477="","",D477-C477)</f>
        <v>-17</v>
      </c>
      <c r="I477" s="33" t="n">
        <f aca="false">IF(E477="","",E477-C477)</f>
        <v>-12.5</v>
      </c>
      <c r="J477" s="33" t="n">
        <f aca="false">IF(F477="","",F477-C477)</f>
        <v>-11</v>
      </c>
      <c r="K477" s="33" t="n">
        <f aca="false">IF(G477="","",G477-C477)</f>
        <v>-12.7623343664439</v>
      </c>
      <c r="L477" s="33" t="n">
        <f aca="false">IF(H477="","",ABS(H477))</f>
        <v>17</v>
      </c>
      <c r="M477" s="33" t="n">
        <f aca="false">IF(I477="","",ABS(I477))</f>
        <v>12.5</v>
      </c>
      <c r="N477" s="33" t="n">
        <f aca="false">IF(J477="","",ABS(J477))</f>
        <v>11</v>
      </c>
      <c r="O477" s="33" t="n">
        <f aca="false">IF(K477="","",ABS(K477))</f>
        <v>12.7623343664439</v>
      </c>
      <c r="P477" s="34" t="str">
        <f aca="false">IF(B477&gt;=Eval_Start_Week,"YES","")</f>
        <v>YES</v>
      </c>
      <c r="Q477" s="34" t="str">
        <f aca="false">IF(AND(B477&gt;=Cal_Start_Week,B477&lt;=Cal_End_Week),"YES","")</f>
        <v>YES</v>
      </c>
    </row>
    <row r="478" customFormat="false" ht="15" hidden="false" customHeight="false" outlineLevel="0" collapsed="false">
      <c r="A478" s="31" t="str">
        <f aca="false">Demand_History!C478</f>
        <v>KIT-005</v>
      </c>
      <c r="B478" s="31" t="n">
        <f aca="false">Demand_History!A478</f>
        <v>61</v>
      </c>
      <c r="C478" s="32" t="n">
        <f aca="false">Demand_History!D478</f>
        <v>31</v>
      </c>
      <c r="D478" s="33" t="n">
        <f aca="false">IF(B478&gt;=2,C477,"")</f>
        <v>42</v>
      </c>
      <c r="E478" s="33" t="n">
        <f aca="false">IF(B478&gt;=5,AVERAGE(C474:C477),"")</f>
        <v>31</v>
      </c>
      <c r="F478" s="33" t="n">
        <f aca="false">IF(B478&gt;=9,AVERAGE(C470:C477),"")</f>
        <v>32.375</v>
      </c>
      <c r="G478" s="33" t="n">
        <f aca="false">IF(B478=1,"",IF(B478=2,C477,SES_Alpha*C477+(1-SES_Alpha)*G477))</f>
        <v>33.0663659434893</v>
      </c>
      <c r="H478" s="33" t="n">
        <f aca="false">IF(D478="","",D478-C478)</f>
        <v>11</v>
      </c>
      <c r="I478" s="33" t="n">
        <f aca="false">IF(E478="","",E478-C478)</f>
        <v>0</v>
      </c>
      <c r="J478" s="33" t="n">
        <f aca="false">IF(F478="","",F478-C478)</f>
        <v>1.375</v>
      </c>
      <c r="K478" s="33" t="n">
        <f aca="false">IF(G478="","",G478-C478)</f>
        <v>2.0663659434893</v>
      </c>
      <c r="L478" s="33" t="n">
        <f aca="false">IF(H478="","",ABS(H478))</f>
        <v>11</v>
      </c>
      <c r="M478" s="33" t="n">
        <f aca="false">IF(I478="","",ABS(I478))</f>
        <v>0</v>
      </c>
      <c r="N478" s="33" t="n">
        <f aca="false">IF(J478="","",ABS(J478))</f>
        <v>1.375</v>
      </c>
      <c r="O478" s="33" t="n">
        <f aca="false">IF(K478="","",ABS(K478))</f>
        <v>2.0663659434893</v>
      </c>
      <c r="P478" s="34" t="str">
        <f aca="false">IF(B478&gt;=Eval_Start_Week,"YES","")</f>
        <v>YES</v>
      </c>
      <c r="Q478" s="34" t="str">
        <f aca="false">IF(AND(B478&gt;=Cal_Start_Week,B478&lt;=Cal_End_Week),"YES","")</f>
        <v>YES</v>
      </c>
    </row>
    <row r="479" customFormat="false" ht="15" hidden="false" customHeight="false" outlineLevel="0" collapsed="false">
      <c r="A479" s="31" t="str">
        <f aca="false">Demand_History!C479</f>
        <v>KIT-005</v>
      </c>
      <c r="B479" s="31" t="n">
        <f aca="false">Demand_History!A479</f>
        <v>62</v>
      </c>
      <c r="C479" s="32" t="n">
        <f aca="false">Demand_History!D479</f>
        <v>34</v>
      </c>
      <c r="D479" s="33" t="n">
        <f aca="false">IF(B479&gt;=2,C478,"")</f>
        <v>31</v>
      </c>
      <c r="E479" s="33" t="n">
        <f aca="false">IF(B479&gt;=5,AVERAGE(C475:C478),"")</f>
        <v>31.5</v>
      </c>
      <c r="F479" s="33" t="n">
        <f aca="false">IF(B479&gt;=9,AVERAGE(C471:C478),"")</f>
        <v>32.375</v>
      </c>
      <c r="G479" s="33" t="n">
        <f aca="false">IF(B479=1,"",IF(B479=2,C478,SES_Alpha*C478+(1-SES_Alpha)*G478))</f>
        <v>32.4464561604425</v>
      </c>
      <c r="H479" s="33" t="n">
        <f aca="false">IF(D479="","",D479-C479)</f>
        <v>-3</v>
      </c>
      <c r="I479" s="33" t="n">
        <f aca="false">IF(E479="","",E479-C479)</f>
        <v>-2.5</v>
      </c>
      <c r="J479" s="33" t="n">
        <f aca="false">IF(F479="","",F479-C479)</f>
        <v>-1.625</v>
      </c>
      <c r="K479" s="33" t="n">
        <f aca="false">IF(G479="","",G479-C479)</f>
        <v>-1.55354383955749</v>
      </c>
      <c r="L479" s="33" t="n">
        <f aca="false">IF(H479="","",ABS(H479))</f>
        <v>3</v>
      </c>
      <c r="M479" s="33" t="n">
        <f aca="false">IF(I479="","",ABS(I479))</f>
        <v>2.5</v>
      </c>
      <c r="N479" s="33" t="n">
        <f aca="false">IF(J479="","",ABS(J479))</f>
        <v>1.625</v>
      </c>
      <c r="O479" s="33" t="n">
        <f aca="false">IF(K479="","",ABS(K479))</f>
        <v>1.55354383955749</v>
      </c>
      <c r="P479" s="34" t="str">
        <f aca="false">IF(B479&gt;=Eval_Start_Week,"YES","")</f>
        <v>YES</v>
      </c>
      <c r="Q479" s="34" t="str">
        <f aca="false">IF(AND(B479&gt;=Cal_Start_Week,B479&lt;=Cal_End_Week),"YES","")</f>
        <v>YES</v>
      </c>
    </row>
    <row r="480" customFormat="false" ht="15" hidden="false" customHeight="false" outlineLevel="0" collapsed="false">
      <c r="A480" s="31" t="str">
        <f aca="false">Demand_History!C480</f>
        <v>KIT-005</v>
      </c>
      <c r="B480" s="31" t="n">
        <f aca="false">Demand_History!A480</f>
        <v>63</v>
      </c>
      <c r="C480" s="32" t="n">
        <f aca="false">Demand_History!D480</f>
        <v>32</v>
      </c>
      <c r="D480" s="33" t="n">
        <f aca="false">IF(B480&gt;=2,C479,"")</f>
        <v>34</v>
      </c>
      <c r="E480" s="33" t="n">
        <f aca="false">IF(B480&gt;=5,AVERAGE(C476:C479),"")</f>
        <v>33</v>
      </c>
      <c r="F480" s="33" t="n">
        <f aca="false">IF(B480&gt;=9,AVERAGE(C472:C479),"")</f>
        <v>32</v>
      </c>
      <c r="G480" s="33" t="n">
        <f aca="false">IF(B480=1,"",IF(B480=2,C479,SES_Alpha*C479+(1-SES_Alpha)*G479))</f>
        <v>32.9125193123098</v>
      </c>
      <c r="H480" s="33" t="n">
        <f aca="false">IF(D480="","",D480-C480)</f>
        <v>2</v>
      </c>
      <c r="I480" s="33" t="n">
        <f aca="false">IF(E480="","",E480-C480)</f>
        <v>1</v>
      </c>
      <c r="J480" s="33" t="n">
        <f aca="false">IF(F480="","",F480-C480)</f>
        <v>0</v>
      </c>
      <c r="K480" s="33" t="n">
        <f aca="false">IF(G480="","",G480-C480)</f>
        <v>0.912519312309755</v>
      </c>
      <c r="L480" s="33" t="n">
        <f aca="false">IF(H480="","",ABS(H480))</f>
        <v>2</v>
      </c>
      <c r="M480" s="33" t="n">
        <f aca="false">IF(I480="","",ABS(I480))</f>
        <v>1</v>
      </c>
      <c r="N480" s="33" t="n">
        <f aca="false">IF(J480="","",ABS(J480))</f>
        <v>0</v>
      </c>
      <c r="O480" s="33" t="n">
        <f aca="false">IF(K480="","",ABS(K480))</f>
        <v>0.912519312309755</v>
      </c>
      <c r="P480" s="34" t="str">
        <f aca="false">IF(B480&gt;=Eval_Start_Week,"YES","")</f>
        <v>YES</v>
      </c>
      <c r="Q480" s="34" t="str">
        <f aca="false">IF(AND(B480&gt;=Cal_Start_Week,B480&lt;=Cal_End_Week),"YES","")</f>
        <v>YES</v>
      </c>
    </row>
    <row r="481" customFormat="false" ht="15" hidden="false" customHeight="false" outlineLevel="0" collapsed="false">
      <c r="A481" s="31" t="str">
        <f aca="false">Demand_History!C481</f>
        <v>KIT-005</v>
      </c>
      <c r="B481" s="31" t="n">
        <f aca="false">Demand_History!A481</f>
        <v>64</v>
      </c>
      <c r="C481" s="32" t="n">
        <f aca="false">Demand_History!D481</f>
        <v>33</v>
      </c>
      <c r="D481" s="33" t="n">
        <f aca="false">IF(B481&gt;=2,C480,"")</f>
        <v>32</v>
      </c>
      <c r="E481" s="33" t="n">
        <f aca="false">IF(B481&gt;=5,AVERAGE(C477:C480),"")</f>
        <v>34.75</v>
      </c>
      <c r="F481" s="33" t="n">
        <f aca="false">IF(B481&gt;=9,AVERAGE(C473:C480),"")</f>
        <v>32.125</v>
      </c>
      <c r="G481" s="33" t="n">
        <f aca="false">IF(B481=1,"",IF(B481=2,C480,SES_Alpha*C480+(1-SES_Alpha)*G480))</f>
        <v>32.6387635186168</v>
      </c>
      <c r="H481" s="33" t="n">
        <f aca="false">IF(D481="","",D481-C481)</f>
        <v>-1</v>
      </c>
      <c r="I481" s="33" t="n">
        <f aca="false">IF(E481="","",E481-C481)</f>
        <v>1.75</v>
      </c>
      <c r="J481" s="33" t="n">
        <f aca="false">IF(F481="","",F481-C481)</f>
        <v>-0.875</v>
      </c>
      <c r="K481" s="33" t="n">
        <f aca="false">IF(G481="","",G481-C481)</f>
        <v>-0.361236481383173</v>
      </c>
      <c r="L481" s="33" t="n">
        <f aca="false">IF(H481="","",ABS(H481))</f>
        <v>1</v>
      </c>
      <c r="M481" s="33" t="n">
        <f aca="false">IF(I481="","",ABS(I481))</f>
        <v>1.75</v>
      </c>
      <c r="N481" s="33" t="n">
        <f aca="false">IF(J481="","",ABS(J481))</f>
        <v>0.875</v>
      </c>
      <c r="O481" s="33" t="n">
        <f aca="false">IF(K481="","",ABS(K481))</f>
        <v>0.361236481383173</v>
      </c>
      <c r="P481" s="34" t="str">
        <f aca="false">IF(B481&gt;=Eval_Start_Week,"YES","")</f>
        <v>YES</v>
      </c>
      <c r="Q481" s="34" t="str">
        <f aca="false">IF(AND(B481&gt;=Cal_Start_Week,B481&lt;=Cal_End_Week),"YES","")</f>
        <v>YES</v>
      </c>
    </row>
    <row r="482" customFormat="false" ht="15" hidden="false" customHeight="false" outlineLevel="0" collapsed="false">
      <c r="A482" s="31" t="str">
        <f aca="false">Demand_History!C482</f>
        <v>KIT-005</v>
      </c>
      <c r="B482" s="31" t="n">
        <f aca="false">Demand_History!A482</f>
        <v>65</v>
      </c>
      <c r="C482" s="32" t="n">
        <f aca="false">Demand_History!D482</f>
        <v>32</v>
      </c>
      <c r="D482" s="33" t="n">
        <f aca="false">IF(B482&gt;=2,C481,"")</f>
        <v>33</v>
      </c>
      <c r="E482" s="33" t="n">
        <f aca="false">IF(B482&gt;=5,AVERAGE(C478:C481),"")</f>
        <v>32.5</v>
      </c>
      <c r="F482" s="33" t="n">
        <f aca="false">IF(B482&gt;=9,AVERAGE(C474:C481),"")</f>
        <v>31.75</v>
      </c>
      <c r="G482" s="33" t="n">
        <f aca="false">IF(B482=1,"",IF(B482=2,C481,SES_Alpha*C481+(1-SES_Alpha)*G481))</f>
        <v>32.7471344630318</v>
      </c>
      <c r="H482" s="33" t="n">
        <f aca="false">IF(D482="","",D482-C482)</f>
        <v>1</v>
      </c>
      <c r="I482" s="33" t="n">
        <f aca="false">IF(E482="","",E482-C482)</f>
        <v>0.5</v>
      </c>
      <c r="J482" s="33" t="n">
        <f aca="false">IF(F482="","",F482-C482)</f>
        <v>-0.25</v>
      </c>
      <c r="K482" s="33" t="n">
        <f aca="false">IF(G482="","",G482-C482)</f>
        <v>0.747134463031777</v>
      </c>
      <c r="L482" s="33" t="n">
        <f aca="false">IF(H482="","",ABS(H482))</f>
        <v>1</v>
      </c>
      <c r="M482" s="33" t="n">
        <f aca="false">IF(I482="","",ABS(I482))</f>
        <v>0.5</v>
      </c>
      <c r="N482" s="33" t="n">
        <f aca="false">IF(J482="","",ABS(J482))</f>
        <v>0.25</v>
      </c>
      <c r="O482" s="33" t="n">
        <f aca="false">IF(K482="","",ABS(K482))</f>
        <v>0.747134463031777</v>
      </c>
      <c r="P482" s="34" t="str">
        <f aca="false">IF(B482&gt;=Eval_Start_Week,"YES","")</f>
        <v>YES</v>
      </c>
      <c r="Q482" s="34" t="str">
        <f aca="false">IF(AND(B482&gt;=Cal_Start_Week,B482&lt;=Cal_End_Week),"YES","")</f>
        <v>YES</v>
      </c>
    </row>
    <row r="483" customFormat="false" ht="15" hidden="false" customHeight="false" outlineLevel="0" collapsed="false">
      <c r="A483" s="31" t="str">
        <f aca="false">Demand_History!C483</f>
        <v>KIT-005</v>
      </c>
      <c r="B483" s="31" t="n">
        <f aca="false">Demand_History!A483</f>
        <v>66</v>
      </c>
      <c r="C483" s="32" t="n">
        <f aca="false">Demand_History!D483</f>
        <v>40</v>
      </c>
      <c r="D483" s="33" t="n">
        <f aca="false">IF(B483&gt;=2,C482,"")</f>
        <v>32</v>
      </c>
      <c r="E483" s="33" t="n">
        <f aca="false">IF(B483&gt;=5,AVERAGE(C479:C482),"")</f>
        <v>32.75</v>
      </c>
      <c r="F483" s="33" t="n">
        <f aca="false">IF(B483&gt;=9,AVERAGE(C475:C482),"")</f>
        <v>32.125</v>
      </c>
      <c r="G483" s="33" t="n">
        <f aca="false">IF(B483=1,"",IF(B483=2,C482,SES_Alpha*C482+(1-SES_Alpha)*G482))</f>
        <v>32.5229941241222</v>
      </c>
      <c r="H483" s="33" t="n">
        <f aca="false">IF(D483="","",D483-C483)</f>
        <v>-8</v>
      </c>
      <c r="I483" s="33" t="n">
        <f aca="false">IF(E483="","",E483-C483)</f>
        <v>-7.25</v>
      </c>
      <c r="J483" s="33" t="n">
        <f aca="false">IF(F483="","",F483-C483)</f>
        <v>-7.875</v>
      </c>
      <c r="K483" s="33" t="n">
        <f aca="false">IF(G483="","",G483-C483)</f>
        <v>-7.47700587587776</v>
      </c>
      <c r="L483" s="33" t="n">
        <f aca="false">IF(H483="","",ABS(H483))</f>
        <v>8</v>
      </c>
      <c r="M483" s="33" t="n">
        <f aca="false">IF(I483="","",ABS(I483))</f>
        <v>7.25</v>
      </c>
      <c r="N483" s="33" t="n">
        <f aca="false">IF(J483="","",ABS(J483))</f>
        <v>7.875</v>
      </c>
      <c r="O483" s="33" t="n">
        <f aca="false">IF(K483="","",ABS(K483))</f>
        <v>7.47700587587776</v>
      </c>
      <c r="P483" s="34" t="str">
        <f aca="false">IF(B483&gt;=Eval_Start_Week,"YES","")</f>
        <v>YES</v>
      </c>
      <c r="Q483" s="34" t="str">
        <f aca="false">IF(AND(B483&gt;=Cal_Start_Week,B483&lt;=Cal_End_Week),"YES","")</f>
        <v>YES</v>
      </c>
    </row>
    <row r="484" customFormat="false" ht="15" hidden="false" customHeight="false" outlineLevel="0" collapsed="false">
      <c r="A484" s="31" t="str">
        <f aca="false">Demand_History!C484</f>
        <v>KIT-005</v>
      </c>
      <c r="B484" s="31" t="n">
        <f aca="false">Demand_History!A484</f>
        <v>67</v>
      </c>
      <c r="C484" s="32" t="n">
        <f aca="false">Demand_History!D484</f>
        <v>27</v>
      </c>
      <c r="D484" s="33" t="n">
        <f aca="false">IF(B484&gt;=2,C483,"")</f>
        <v>40</v>
      </c>
      <c r="E484" s="33" t="n">
        <f aca="false">IF(B484&gt;=5,AVERAGE(C480:C483),"")</f>
        <v>34.25</v>
      </c>
      <c r="F484" s="33" t="n">
        <f aca="false">IF(B484&gt;=9,AVERAGE(C476:C483),"")</f>
        <v>33.625</v>
      </c>
      <c r="G484" s="33" t="n">
        <f aca="false">IF(B484=1,"",IF(B484=2,C483,SES_Alpha*C483+(1-SES_Alpha)*G483))</f>
        <v>34.7660958868856</v>
      </c>
      <c r="H484" s="33" t="n">
        <f aca="false">IF(D484="","",D484-C484)</f>
        <v>13</v>
      </c>
      <c r="I484" s="33" t="n">
        <f aca="false">IF(E484="","",E484-C484)</f>
        <v>7.25</v>
      </c>
      <c r="J484" s="33" t="n">
        <f aca="false">IF(F484="","",F484-C484)</f>
        <v>6.625</v>
      </c>
      <c r="K484" s="33" t="n">
        <f aca="false">IF(G484="","",G484-C484)</f>
        <v>7.76609588688557</v>
      </c>
      <c r="L484" s="33" t="n">
        <f aca="false">IF(H484="","",ABS(H484))</f>
        <v>13</v>
      </c>
      <c r="M484" s="33" t="n">
        <f aca="false">IF(I484="","",ABS(I484))</f>
        <v>7.25</v>
      </c>
      <c r="N484" s="33" t="n">
        <f aca="false">IF(J484="","",ABS(J484))</f>
        <v>6.625</v>
      </c>
      <c r="O484" s="33" t="n">
        <f aca="false">IF(K484="","",ABS(K484))</f>
        <v>7.76609588688557</v>
      </c>
      <c r="P484" s="34" t="str">
        <f aca="false">IF(B484&gt;=Eval_Start_Week,"YES","")</f>
        <v>YES</v>
      </c>
      <c r="Q484" s="34" t="str">
        <f aca="false">IF(AND(B484&gt;=Cal_Start_Week,B484&lt;=Cal_End_Week),"YES","")</f>
        <v>YES</v>
      </c>
    </row>
    <row r="485" customFormat="false" ht="15" hidden="false" customHeight="false" outlineLevel="0" collapsed="false">
      <c r="A485" s="31" t="str">
        <f aca="false">Demand_History!C485</f>
        <v>KIT-005</v>
      </c>
      <c r="B485" s="31" t="n">
        <f aca="false">Demand_History!A485</f>
        <v>68</v>
      </c>
      <c r="C485" s="32" t="n">
        <f aca="false">Demand_History!D485</f>
        <v>24</v>
      </c>
      <c r="D485" s="33" t="n">
        <f aca="false">IF(B485&gt;=2,C484,"")</f>
        <v>27</v>
      </c>
      <c r="E485" s="33" t="n">
        <f aca="false">IF(B485&gt;=5,AVERAGE(C481:C484),"")</f>
        <v>33</v>
      </c>
      <c r="F485" s="33" t="n">
        <f aca="false">IF(B485&gt;=9,AVERAGE(C477:C484),"")</f>
        <v>33.875</v>
      </c>
      <c r="G485" s="33" t="n">
        <f aca="false">IF(B485=1,"",IF(B485=2,C484,SES_Alpha*C484+(1-SES_Alpha)*G484))</f>
        <v>32.4362671208199</v>
      </c>
      <c r="H485" s="33" t="n">
        <f aca="false">IF(D485="","",D485-C485)</f>
        <v>3</v>
      </c>
      <c r="I485" s="33" t="n">
        <f aca="false">IF(E485="","",E485-C485)</f>
        <v>9</v>
      </c>
      <c r="J485" s="33" t="n">
        <f aca="false">IF(F485="","",F485-C485)</f>
        <v>9.875</v>
      </c>
      <c r="K485" s="33" t="n">
        <f aca="false">IF(G485="","",G485-C485)</f>
        <v>8.43626712081989</v>
      </c>
      <c r="L485" s="33" t="n">
        <f aca="false">IF(H485="","",ABS(H485))</f>
        <v>3</v>
      </c>
      <c r="M485" s="33" t="n">
        <f aca="false">IF(I485="","",ABS(I485))</f>
        <v>9</v>
      </c>
      <c r="N485" s="33" t="n">
        <f aca="false">IF(J485="","",ABS(J485))</f>
        <v>9.875</v>
      </c>
      <c r="O485" s="33" t="n">
        <f aca="false">IF(K485="","",ABS(K485))</f>
        <v>8.43626712081989</v>
      </c>
      <c r="P485" s="34" t="str">
        <f aca="false">IF(B485&gt;=Eval_Start_Week,"YES","")</f>
        <v>YES</v>
      </c>
      <c r="Q485" s="34" t="str">
        <f aca="false">IF(AND(B485&gt;=Cal_Start_Week,B485&lt;=Cal_End_Week),"YES","")</f>
        <v>YES</v>
      </c>
    </row>
    <row r="486" customFormat="false" ht="15" hidden="false" customHeight="false" outlineLevel="0" collapsed="false">
      <c r="A486" s="31" t="str">
        <f aca="false">Demand_History!C486</f>
        <v>KIT-005</v>
      </c>
      <c r="B486" s="31" t="n">
        <f aca="false">Demand_History!A486</f>
        <v>69</v>
      </c>
      <c r="C486" s="32" t="n">
        <f aca="false">Demand_History!D486</f>
        <v>27</v>
      </c>
      <c r="D486" s="33" t="n">
        <f aca="false">IF(B486&gt;=2,C485,"")</f>
        <v>24</v>
      </c>
      <c r="E486" s="33" t="n">
        <f aca="false">IF(B486&gt;=5,AVERAGE(C482:C485),"")</f>
        <v>30.75</v>
      </c>
      <c r="F486" s="33" t="n">
        <f aca="false">IF(B486&gt;=9,AVERAGE(C478:C485),"")</f>
        <v>31.625</v>
      </c>
      <c r="G486" s="33" t="n">
        <f aca="false">IF(B486=1,"",IF(B486=2,C485,SES_Alpha*C485+(1-SES_Alpha)*G485))</f>
        <v>29.9053869845739</v>
      </c>
      <c r="H486" s="33" t="n">
        <f aca="false">IF(D486="","",D486-C486)</f>
        <v>-3</v>
      </c>
      <c r="I486" s="33" t="n">
        <f aca="false">IF(E486="","",E486-C486)</f>
        <v>3.75</v>
      </c>
      <c r="J486" s="33" t="n">
        <f aca="false">IF(F486="","",F486-C486)</f>
        <v>4.625</v>
      </c>
      <c r="K486" s="33" t="n">
        <f aca="false">IF(G486="","",G486-C486)</f>
        <v>2.90538698457392</v>
      </c>
      <c r="L486" s="33" t="n">
        <f aca="false">IF(H486="","",ABS(H486))</f>
        <v>3</v>
      </c>
      <c r="M486" s="33" t="n">
        <f aca="false">IF(I486="","",ABS(I486))</f>
        <v>3.75</v>
      </c>
      <c r="N486" s="33" t="n">
        <f aca="false">IF(J486="","",ABS(J486))</f>
        <v>4.625</v>
      </c>
      <c r="O486" s="33" t="n">
        <f aca="false">IF(K486="","",ABS(K486))</f>
        <v>2.90538698457392</v>
      </c>
      <c r="P486" s="34" t="str">
        <f aca="false">IF(B486&gt;=Eval_Start_Week,"YES","")</f>
        <v>YES</v>
      </c>
      <c r="Q486" s="34" t="str">
        <f aca="false">IF(AND(B486&gt;=Cal_Start_Week,B486&lt;=Cal_End_Week),"YES","")</f>
        <v>YES</v>
      </c>
    </row>
    <row r="487" customFormat="false" ht="15" hidden="false" customHeight="false" outlineLevel="0" collapsed="false">
      <c r="A487" s="31" t="str">
        <f aca="false">Demand_History!C487</f>
        <v>KIT-005</v>
      </c>
      <c r="B487" s="31" t="n">
        <f aca="false">Demand_History!A487</f>
        <v>70</v>
      </c>
      <c r="C487" s="32" t="n">
        <f aca="false">Demand_History!D487</f>
        <v>25</v>
      </c>
      <c r="D487" s="33" t="n">
        <f aca="false">IF(B487&gt;=2,C486,"")</f>
        <v>27</v>
      </c>
      <c r="E487" s="33" t="n">
        <f aca="false">IF(B487&gt;=5,AVERAGE(C483:C486),"")</f>
        <v>29.5</v>
      </c>
      <c r="F487" s="33" t="n">
        <f aca="false">IF(B487&gt;=9,AVERAGE(C479:C486),"")</f>
        <v>31.125</v>
      </c>
      <c r="G487" s="33" t="n">
        <f aca="false">IF(B487=1,"",IF(B487=2,C486,SES_Alpha*C486+(1-SES_Alpha)*G486))</f>
        <v>29.0337708892017</v>
      </c>
      <c r="H487" s="33" t="n">
        <f aca="false">IF(D487="","",D487-C487)</f>
        <v>2</v>
      </c>
      <c r="I487" s="33" t="n">
        <f aca="false">IF(E487="","",E487-C487)</f>
        <v>4.5</v>
      </c>
      <c r="J487" s="33" t="n">
        <f aca="false">IF(F487="","",F487-C487)</f>
        <v>6.125</v>
      </c>
      <c r="K487" s="33" t="n">
        <f aca="false">IF(G487="","",G487-C487)</f>
        <v>4.03377088920175</v>
      </c>
      <c r="L487" s="33" t="n">
        <f aca="false">IF(H487="","",ABS(H487))</f>
        <v>2</v>
      </c>
      <c r="M487" s="33" t="n">
        <f aca="false">IF(I487="","",ABS(I487))</f>
        <v>4.5</v>
      </c>
      <c r="N487" s="33" t="n">
        <f aca="false">IF(J487="","",ABS(J487))</f>
        <v>6.125</v>
      </c>
      <c r="O487" s="33" t="n">
        <f aca="false">IF(K487="","",ABS(K487))</f>
        <v>4.03377088920175</v>
      </c>
      <c r="P487" s="34" t="str">
        <f aca="false">IF(B487&gt;=Eval_Start_Week,"YES","")</f>
        <v>YES</v>
      </c>
      <c r="Q487" s="34" t="str">
        <f aca="false">IF(AND(B487&gt;=Cal_Start_Week,B487&lt;=Cal_End_Week),"YES","")</f>
        <v>YES</v>
      </c>
    </row>
    <row r="488" customFormat="false" ht="15" hidden="false" customHeight="false" outlineLevel="0" collapsed="false">
      <c r="A488" s="31" t="str">
        <f aca="false">Demand_History!C488</f>
        <v>KIT-005</v>
      </c>
      <c r="B488" s="31" t="n">
        <f aca="false">Demand_History!A488</f>
        <v>71</v>
      </c>
      <c r="C488" s="32" t="n">
        <f aca="false">Demand_History!D488</f>
        <v>34</v>
      </c>
      <c r="D488" s="33" t="n">
        <f aca="false">IF(B488&gt;=2,C487,"")</f>
        <v>25</v>
      </c>
      <c r="E488" s="33" t="n">
        <f aca="false">IF(B488&gt;=5,AVERAGE(C484:C487),"")</f>
        <v>25.75</v>
      </c>
      <c r="F488" s="33" t="n">
        <f aca="false">IF(B488&gt;=9,AVERAGE(C480:C487),"")</f>
        <v>30</v>
      </c>
      <c r="G488" s="33" t="n">
        <f aca="false">IF(B488=1,"",IF(B488=2,C487,SES_Alpha*C487+(1-SES_Alpha)*G487))</f>
        <v>27.8236396224412</v>
      </c>
      <c r="H488" s="33" t="n">
        <f aca="false">IF(D488="","",D488-C488)</f>
        <v>-9</v>
      </c>
      <c r="I488" s="33" t="n">
        <f aca="false">IF(E488="","",E488-C488)</f>
        <v>-8.25</v>
      </c>
      <c r="J488" s="33" t="n">
        <f aca="false">IF(F488="","",F488-C488)</f>
        <v>-4</v>
      </c>
      <c r="K488" s="33" t="n">
        <f aca="false">IF(G488="","",G488-C488)</f>
        <v>-6.17636037755878</v>
      </c>
      <c r="L488" s="33" t="n">
        <f aca="false">IF(H488="","",ABS(H488))</f>
        <v>9</v>
      </c>
      <c r="M488" s="33" t="n">
        <f aca="false">IF(I488="","",ABS(I488))</f>
        <v>8.25</v>
      </c>
      <c r="N488" s="33" t="n">
        <f aca="false">IF(J488="","",ABS(J488))</f>
        <v>4</v>
      </c>
      <c r="O488" s="33" t="n">
        <f aca="false">IF(K488="","",ABS(K488))</f>
        <v>6.17636037755878</v>
      </c>
      <c r="P488" s="34" t="str">
        <f aca="false">IF(B488&gt;=Eval_Start_Week,"YES","")</f>
        <v>YES</v>
      </c>
      <c r="Q488" s="34" t="str">
        <f aca="false">IF(AND(B488&gt;=Cal_Start_Week,B488&lt;=Cal_End_Week),"YES","")</f>
        <v>YES</v>
      </c>
    </row>
    <row r="489" customFormat="false" ht="15" hidden="false" customHeight="false" outlineLevel="0" collapsed="false">
      <c r="A489" s="31" t="str">
        <f aca="false">Demand_History!C489</f>
        <v>KIT-005</v>
      </c>
      <c r="B489" s="31" t="n">
        <f aca="false">Demand_History!A489</f>
        <v>72</v>
      </c>
      <c r="C489" s="32" t="n">
        <f aca="false">Demand_History!D489</f>
        <v>34</v>
      </c>
      <c r="D489" s="33" t="n">
        <f aca="false">IF(B489&gt;=2,C488,"")</f>
        <v>34</v>
      </c>
      <c r="E489" s="33" t="n">
        <f aca="false">IF(B489&gt;=5,AVERAGE(C485:C488),"")</f>
        <v>27.5</v>
      </c>
      <c r="F489" s="33" t="n">
        <f aca="false">IF(B489&gt;=9,AVERAGE(C481:C488),"")</f>
        <v>30.25</v>
      </c>
      <c r="G489" s="33" t="n">
        <f aca="false">IF(B489=1,"",IF(B489=2,C488,SES_Alpha*C488+(1-SES_Alpha)*G488))</f>
        <v>29.6765477357089</v>
      </c>
      <c r="H489" s="33" t="n">
        <f aca="false">IF(D489="","",D489-C489)</f>
        <v>0</v>
      </c>
      <c r="I489" s="33" t="n">
        <f aca="false">IF(E489="","",E489-C489)</f>
        <v>-6.5</v>
      </c>
      <c r="J489" s="33" t="n">
        <f aca="false">IF(F489="","",F489-C489)</f>
        <v>-3.75</v>
      </c>
      <c r="K489" s="33" t="n">
        <f aca="false">IF(G489="","",G489-C489)</f>
        <v>-4.32345226429115</v>
      </c>
      <c r="L489" s="33" t="n">
        <f aca="false">IF(H489="","",ABS(H489))</f>
        <v>0</v>
      </c>
      <c r="M489" s="33" t="n">
        <f aca="false">IF(I489="","",ABS(I489))</f>
        <v>6.5</v>
      </c>
      <c r="N489" s="33" t="n">
        <f aca="false">IF(J489="","",ABS(J489))</f>
        <v>3.75</v>
      </c>
      <c r="O489" s="33" t="n">
        <f aca="false">IF(K489="","",ABS(K489))</f>
        <v>4.32345226429115</v>
      </c>
      <c r="P489" s="34" t="str">
        <f aca="false">IF(B489&gt;=Eval_Start_Week,"YES","")</f>
        <v>YES</v>
      </c>
      <c r="Q489" s="34" t="str">
        <f aca="false">IF(AND(B489&gt;=Cal_Start_Week,B489&lt;=Cal_End_Week),"YES","")</f>
        <v>YES</v>
      </c>
    </row>
    <row r="490" customFormat="false" ht="15" hidden="false" customHeight="false" outlineLevel="0" collapsed="false">
      <c r="A490" s="31" t="str">
        <f aca="false">Demand_History!C490</f>
        <v>KIT-005</v>
      </c>
      <c r="B490" s="31" t="n">
        <f aca="false">Demand_History!A490</f>
        <v>73</v>
      </c>
      <c r="C490" s="32" t="n">
        <f aca="false">Demand_History!D490</f>
        <v>26</v>
      </c>
      <c r="D490" s="33" t="n">
        <f aca="false">IF(B490&gt;=2,C489,"")</f>
        <v>34</v>
      </c>
      <c r="E490" s="33" t="n">
        <f aca="false">IF(B490&gt;=5,AVERAGE(C486:C489),"")</f>
        <v>30</v>
      </c>
      <c r="F490" s="33" t="n">
        <f aca="false">IF(B490&gt;=9,AVERAGE(C482:C489),"")</f>
        <v>30.375</v>
      </c>
      <c r="G490" s="33" t="n">
        <f aca="false">IF(B490=1,"",IF(B490=2,C489,SES_Alpha*C489+(1-SES_Alpha)*G489))</f>
        <v>30.9735834149962</v>
      </c>
      <c r="H490" s="33" t="n">
        <f aca="false">IF(D490="","",D490-C490)</f>
        <v>8</v>
      </c>
      <c r="I490" s="33" t="n">
        <f aca="false">IF(E490="","",E490-C490)</f>
        <v>4</v>
      </c>
      <c r="J490" s="33" t="n">
        <f aca="false">IF(F490="","",F490-C490)</f>
        <v>4.375</v>
      </c>
      <c r="K490" s="33" t="n">
        <f aca="false">IF(G490="","",G490-C490)</f>
        <v>4.9735834149962</v>
      </c>
      <c r="L490" s="33" t="n">
        <f aca="false">IF(H490="","",ABS(H490))</f>
        <v>8</v>
      </c>
      <c r="M490" s="33" t="n">
        <f aca="false">IF(I490="","",ABS(I490))</f>
        <v>4</v>
      </c>
      <c r="N490" s="33" t="n">
        <f aca="false">IF(J490="","",ABS(J490))</f>
        <v>4.375</v>
      </c>
      <c r="O490" s="33" t="n">
        <f aca="false">IF(K490="","",ABS(K490))</f>
        <v>4.9735834149962</v>
      </c>
      <c r="P490" s="34" t="str">
        <f aca="false">IF(B490&gt;=Eval_Start_Week,"YES","")</f>
        <v>YES</v>
      </c>
      <c r="Q490" s="34" t="str">
        <f aca="false">IF(AND(B490&gt;=Cal_Start_Week,B490&lt;=Cal_End_Week),"YES","")</f>
        <v>YES</v>
      </c>
    </row>
    <row r="491" customFormat="false" ht="15" hidden="false" customHeight="false" outlineLevel="0" collapsed="false">
      <c r="A491" s="31" t="str">
        <f aca="false">Demand_History!C491</f>
        <v>KIT-005</v>
      </c>
      <c r="B491" s="31" t="n">
        <f aca="false">Demand_History!A491</f>
        <v>74</v>
      </c>
      <c r="C491" s="32" t="n">
        <f aca="false">Demand_History!D491</f>
        <v>24</v>
      </c>
      <c r="D491" s="33" t="n">
        <f aca="false">IF(B491&gt;=2,C490,"")</f>
        <v>26</v>
      </c>
      <c r="E491" s="33" t="n">
        <f aca="false">IF(B491&gt;=5,AVERAGE(C487:C490),"")</f>
        <v>29.75</v>
      </c>
      <c r="F491" s="33" t="n">
        <f aca="false">IF(B491&gt;=9,AVERAGE(C483:C490),"")</f>
        <v>29.625</v>
      </c>
      <c r="G491" s="33" t="n">
        <f aca="false">IF(B491=1,"",IF(B491=2,C490,SES_Alpha*C490+(1-SES_Alpha)*G490))</f>
        <v>29.4815083904973</v>
      </c>
      <c r="H491" s="33" t="n">
        <f aca="false">IF(D491="","",D491-C491)</f>
        <v>2</v>
      </c>
      <c r="I491" s="33" t="n">
        <f aca="false">IF(E491="","",E491-C491)</f>
        <v>5.75</v>
      </c>
      <c r="J491" s="33" t="n">
        <f aca="false">IF(F491="","",F491-C491)</f>
        <v>5.625</v>
      </c>
      <c r="K491" s="33" t="n">
        <f aca="false">IF(G491="","",G491-C491)</f>
        <v>5.48150839049734</v>
      </c>
      <c r="L491" s="33" t="n">
        <f aca="false">IF(H491="","",ABS(H491))</f>
        <v>2</v>
      </c>
      <c r="M491" s="33" t="n">
        <f aca="false">IF(I491="","",ABS(I491))</f>
        <v>5.75</v>
      </c>
      <c r="N491" s="33" t="n">
        <f aca="false">IF(J491="","",ABS(J491))</f>
        <v>5.625</v>
      </c>
      <c r="O491" s="33" t="n">
        <f aca="false">IF(K491="","",ABS(K491))</f>
        <v>5.48150839049734</v>
      </c>
      <c r="P491" s="34" t="str">
        <f aca="false">IF(B491&gt;=Eval_Start_Week,"YES","")</f>
        <v>YES</v>
      </c>
      <c r="Q491" s="34" t="str">
        <f aca="false">IF(AND(B491&gt;=Cal_Start_Week,B491&lt;=Cal_End_Week),"YES","")</f>
        <v>YES</v>
      </c>
    </row>
    <row r="492" customFormat="false" ht="15" hidden="false" customHeight="false" outlineLevel="0" collapsed="false">
      <c r="A492" s="31" t="str">
        <f aca="false">Demand_History!C492</f>
        <v>KIT-005</v>
      </c>
      <c r="B492" s="31" t="n">
        <f aca="false">Demand_History!A492</f>
        <v>75</v>
      </c>
      <c r="C492" s="32" t="n">
        <f aca="false">Demand_History!D492</f>
        <v>28</v>
      </c>
      <c r="D492" s="33" t="n">
        <f aca="false">IF(B492&gt;=2,C491,"")</f>
        <v>24</v>
      </c>
      <c r="E492" s="33" t="n">
        <f aca="false">IF(B492&gt;=5,AVERAGE(C488:C491),"")</f>
        <v>29.5</v>
      </c>
      <c r="F492" s="33" t="n">
        <f aca="false">IF(B492&gt;=9,AVERAGE(C484:C491),"")</f>
        <v>27.625</v>
      </c>
      <c r="G492" s="33" t="n">
        <f aca="false">IF(B492=1,"",IF(B492=2,C491,SES_Alpha*C491+(1-SES_Alpha)*G491))</f>
        <v>27.8370558733481</v>
      </c>
      <c r="H492" s="33" t="n">
        <f aca="false">IF(D492="","",D492-C492)</f>
        <v>-4</v>
      </c>
      <c r="I492" s="33" t="n">
        <f aca="false">IF(E492="","",E492-C492)</f>
        <v>1.5</v>
      </c>
      <c r="J492" s="33" t="n">
        <f aca="false">IF(F492="","",F492-C492)</f>
        <v>-0.375</v>
      </c>
      <c r="K492" s="33" t="n">
        <f aca="false">IF(G492="","",G492-C492)</f>
        <v>-0.162944126651865</v>
      </c>
      <c r="L492" s="33" t="n">
        <f aca="false">IF(H492="","",ABS(H492))</f>
        <v>4</v>
      </c>
      <c r="M492" s="33" t="n">
        <f aca="false">IF(I492="","",ABS(I492))</f>
        <v>1.5</v>
      </c>
      <c r="N492" s="33" t="n">
        <f aca="false">IF(J492="","",ABS(J492))</f>
        <v>0.375</v>
      </c>
      <c r="O492" s="33" t="n">
        <f aca="false">IF(K492="","",ABS(K492))</f>
        <v>0.162944126651865</v>
      </c>
      <c r="P492" s="34" t="str">
        <f aca="false">IF(B492&gt;=Eval_Start_Week,"YES","")</f>
        <v>YES</v>
      </c>
      <c r="Q492" s="34" t="str">
        <f aca="false">IF(AND(B492&gt;=Cal_Start_Week,B492&lt;=Cal_End_Week),"YES","")</f>
        <v>YES</v>
      </c>
    </row>
    <row r="493" customFormat="false" ht="15" hidden="false" customHeight="false" outlineLevel="0" collapsed="false">
      <c r="A493" s="31" t="str">
        <f aca="false">Demand_History!C493</f>
        <v>KIT-005</v>
      </c>
      <c r="B493" s="31" t="n">
        <f aca="false">Demand_History!A493</f>
        <v>76</v>
      </c>
      <c r="C493" s="32" t="n">
        <f aca="false">Demand_History!D493</f>
        <v>35</v>
      </c>
      <c r="D493" s="33" t="n">
        <f aca="false">IF(B493&gt;=2,C492,"")</f>
        <v>28</v>
      </c>
      <c r="E493" s="33" t="n">
        <f aca="false">IF(B493&gt;=5,AVERAGE(C489:C492),"")</f>
        <v>28</v>
      </c>
      <c r="F493" s="33" t="n">
        <f aca="false">IF(B493&gt;=9,AVERAGE(C485:C492),"")</f>
        <v>27.75</v>
      </c>
      <c r="G493" s="33" t="n">
        <f aca="false">IF(B493=1,"",IF(B493=2,C492,SES_Alpha*C492+(1-SES_Alpha)*G492))</f>
        <v>27.8859391113437</v>
      </c>
      <c r="H493" s="33" t="n">
        <f aca="false">IF(D493="","",D493-C493)</f>
        <v>-7</v>
      </c>
      <c r="I493" s="33" t="n">
        <f aca="false">IF(E493="","",E493-C493)</f>
        <v>-7</v>
      </c>
      <c r="J493" s="33" t="n">
        <f aca="false">IF(F493="","",F493-C493)</f>
        <v>-7.25</v>
      </c>
      <c r="K493" s="33" t="n">
        <f aca="false">IF(G493="","",G493-C493)</f>
        <v>-7.1140608886563</v>
      </c>
      <c r="L493" s="33" t="n">
        <f aca="false">IF(H493="","",ABS(H493))</f>
        <v>7</v>
      </c>
      <c r="M493" s="33" t="n">
        <f aca="false">IF(I493="","",ABS(I493))</f>
        <v>7</v>
      </c>
      <c r="N493" s="33" t="n">
        <f aca="false">IF(J493="","",ABS(J493))</f>
        <v>7.25</v>
      </c>
      <c r="O493" s="33" t="n">
        <f aca="false">IF(K493="","",ABS(K493))</f>
        <v>7.1140608886563</v>
      </c>
      <c r="P493" s="34" t="str">
        <f aca="false">IF(B493&gt;=Eval_Start_Week,"YES","")</f>
        <v>YES</v>
      </c>
      <c r="Q493" s="34" t="str">
        <f aca="false">IF(AND(B493&gt;=Cal_Start_Week,B493&lt;=Cal_End_Week),"YES","")</f>
        <v>YES</v>
      </c>
    </row>
    <row r="494" customFormat="false" ht="15" hidden="false" customHeight="false" outlineLevel="0" collapsed="false">
      <c r="A494" s="31" t="str">
        <f aca="false">Demand_History!C494</f>
        <v>KIT-005</v>
      </c>
      <c r="B494" s="31" t="n">
        <f aca="false">Demand_History!A494</f>
        <v>77</v>
      </c>
      <c r="C494" s="32" t="n">
        <f aca="false">Demand_History!D494</f>
        <v>18</v>
      </c>
      <c r="D494" s="33" t="n">
        <f aca="false">IF(B494&gt;=2,C493,"")</f>
        <v>35</v>
      </c>
      <c r="E494" s="33" t="n">
        <f aca="false">IF(B494&gt;=5,AVERAGE(C490:C493),"")</f>
        <v>28.25</v>
      </c>
      <c r="F494" s="33" t="n">
        <f aca="false">IF(B494&gt;=9,AVERAGE(C486:C493),"")</f>
        <v>29.125</v>
      </c>
      <c r="G494" s="33" t="n">
        <f aca="false">IF(B494=1,"",IF(B494=2,C493,SES_Alpha*C493+(1-SES_Alpha)*G493))</f>
        <v>30.0201573779406</v>
      </c>
      <c r="H494" s="33" t="n">
        <f aca="false">IF(D494="","",D494-C494)</f>
        <v>17</v>
      </c>
      <c r="I494" s="33" t="n">
        <f aca="false">IF(E494="","",E494-C494)</f>
        <v>10.25</v>
      </c>
      <c r="J494" s="33" t="n">
        <f aca="false">IF(F494="","",F494-C494)</f>
        <v>11.125</v>
      </c>
      <c r="K494" s="33" t="n">
        <f aca="false">IF(G494="","",G494-C494)</f>
        <v>12.0201573779406</v>
      </c>
      <c r="L494" s="33" t="n">
        <f aca="false">IF(H494="","",ABS(H494))</f>
        <v>17</v>
      </c>
      <c r="M494" s="33" t="n">
        <f aca="false">IF(I494="","",ABS(I494))</f>
        <v>10.25</v>
      </c>
      <c r="N494" s="33" t="n">
        <f aca="false">IF(J494="","",ABS(J494))</f>
        <v>11.125</v>
      </c>
      <c r="O494" s="33" t="n">
        <f aca="false">IF(K494="","",ABS(K494))</f>
        <v>12.0201573779406</v>
      </c>
      <c r="P494" s="34" t="str">
        <f aca="false">IF(B494&gt;=Eval_Start_Week,"YES","")</f>
        <v>YES</v>
      </c>
      <c r="Q494" s="34" t="str">
        <f aca="false">IF(AND(B494&gt;=Cal_Start_Week,B494&lt;=Cal_End_Week),"YES","")</f>
        <v>YES</v>
      </c>
    </row>
    <row r="495" customFormat="false" ht="15" hidden="false" customHeight="false" outlineLevel="0" collapsed="false">
      <c r="A495" s="31" t="str">
        <f aca="false">Demand_History!C495</f>
        <v>KIT-005</v>
      </c>
      <c r="B495" s="31" t="n">
        <f aca="false">Demand_History!A495</f>
        <v>78</v>
      </c>
      <c r="C495" s="32" t="n">
        <f aca="false">Demand_History!D495</f>
        <v>31</v>
      </c>
      <c r="D495" s="33" t="n">
        <f aca="false">IF(B495&gt;=2,C494,"")</f>
        <v>18</v>
      </c>
      <c r="E495" s="33" t="n">
        <f aca="false">IF(B495&gt;=5,AVERAGE(C491:C494),"")</f>
        <v>26.25</v>
      </c>
      <c r="F495" s="33" t="n">
        <f aca="false">IF(B495&gt;=9,AVERAGE(C487:C494),"")</f>
        <v>28</v>
      </c>
      <c r="G495" s="33" t="n">
        <f aca="false">IF(B495=1,"",IF(B495=2,C494,SES_Alpha*C494+(1-SES_Alpha)*G494))</f>
        <v>26.4141101645584</v>
      </c>
      <c r="H495" s="33" t="n">
        <f aca="false">IF(D495="","",D495-C495)</f>
        <v>-13</v>
      </c>
      <c r="I495" s="33" t="n">
        <f aca="false">IF(E495="","",E495-C495)</f>
        <v>-4.75</v>
      </c>
      <c r="J495" s="33" t="n">
        <f aca="false">IF(F495="","",F495-C495)</f>
        <v>-3</v>
      </c>
      <c r="K495" s="33" t="n">
        <f aca="false">IF(G495="","",G495-C495)</f>
        <v>-4.5858898354416</v>
      </c>
      <c r="L495" s="33" t="n">
        <f aca="false">IF(H495="","",ABS(H495))</f>
        <v>13</v>
      </c>
      <c r="M495" s="33" t="n">
        <f aca="false">IF(I495="","",ABS(I495))</f>
        <v>4.75</v>
      </c>
      <c r="N495" s="33" t="n">
        <f aca="false">IF(J495="","",ABS(J495))</f>
        <v>3</v>
      </c>
      <c r="O495" s="33" t="n">
        <f aca="false">IF(K495="","",ABS(K495))</f>
        <v>4.5858898354416</v>
      </c>
      <c r="P495" s="34" t="str">
        <f aca="false">IF(B495&gt;=Eval_Start_Week,"YES","")</f>
        <v>YES</v>
      </c>
      <c r="Q495" s="34" t="str">
        <f aca="false">IF(AND(B495&gt;=Cal_Start_Week,B495&lt;=Cal_End_Week),"YES","")</f>
        <v>YES</v>
      </c>
    </row>
    <row r="496" customFormat="false" ht="15" hidden="false" customHeight="false" outlineLevel="0" collapsed="false">
      <c r="A496" s="31" t="str">
        <f aca="false">Demand_History!C496</f>
        <v>KIT-005</v>
      </c>
      <c r="B496" s="31" t="n">
        <f aca="false">Demand_History!A496</f>
        <v>79</v>
      </c>
      <c r="C496" s="32" t="n">
        <f aca="false">Demand_History!D496</f>
        <v>24</v>
      </c>
      <c r="D496" s="33" t="n">
        <f aca="false">IF(B496&gt;=2,C495,"")</f>
        <v>31</v>
      </c>
      <c r="E496" s="33" t="n">
        <f aca="false">IF(B496&gt;=5,AVERAGE(C492:C495),"")</f>
        <v>28</v>
      </c>
      <c r="F496" s="33" t="n">
        <f aca="false">IF(B496&gt;=9,AVERAGE(C488:C495),"")</f>
        <v>28.75</v>
      </c>
      <c r="G496" s="33" t="n">
        <f aca="false">IF(B496=1,"",IF(B496=2,C495,SES_Alpha*C495+(1-SES_Alpha)*G495))</f>
        <v>27.7898771151909</v>
      </c>
      <c r="H496" s="33" t="n">
        <f aca="false">IF(D496="","",D496-C496)</f>
        <v>7</v>
      </c>
      <c r="I496" s="33" t="n">
        <f aca="false">IF(E496="","",E496-C496)</f>
        <v>4</v>
      </c>
      <c r="J496" s="33" t="n">
        <f aca="false">IF(F496="","",F496-C496)</f>
        <v>4.75</v>
      </c>
      <c r="K496" s="33" t="n">
        <f aca="false">IF(G496="","",G496-C496)</f>
        <v>3.78987711519088</v>
      </c>
      <c r="L496" s="33" t="n">
        <f aca="false">IF(H496="","",ABS(H496))</f>
        <v>7</v>
      </c>
      <c r="M496" s="33" t="n">
        <f aca="false">IF(I496="","",ABS(I496))</f>
        <v>4</v>
      </c>
      <c r="N496" s="33" t="n">
        <f aca="false">IF(J496="","",ABS(J496))</f>
        <v>4.75</v>
      </c>
      <c r="O496" s="33" t="n">
        <f aca="false">IF(K496="","",ABS(K496))</f>
        <v>3.78987711519088</v>
      </c>
      <c r="P496" s="34" t="str">
        <f aca="false">IF(B496&gt;=Eval_Start_Week,"YES","")</f>
        <v>YES</v>
      </c>
      <c r="Q496" s="34" t="str">
        <f aca="false">IF(AND(B496&gt;=Cal_Start_Week,B496&lt;=Cal_End_Week),"YES","")</f>
        <v>YES</v>
      </c>
    </row>
    <row r="497" customFormat="false" ht="15" hidden="false" customHeight="false" outlineLevel="0" collapsed="false">
      <c r="A497" s="31" t="str">
        <f aca="false">Demand_History!C497</f>
        <v>KIT-005</v>
      </c>
      <c r="B497" s="31" t="n">
        <f aca="false">Demand_History!A497</f>
        <v>80</v>
      </c>
      <c r="C497" s="32" t="n">
        <f aca="false">Demand_History!D497</f>
        <v>33</v>
      </c>
      <c r="D497" s="33" t="n">
        <f aca="false">IF(B497&gt;=2,C496,"")</f>
        <v>24</v>
      </c>
      <c r="E497" s="33" t="n">
        <f aca="false">IF(B497&gt;=5,AVERAGE(C493:C496),"")</f>
        <v>27</v>
      </c>
      <c r="F497" s="33" t="n">
        <f aca="false">IF(B497&gt;=9,AVERAGE(C489:C496),"")</f>
        <v>27.5</v>
      </c>
      <c r="G497" s="33" t="n">
        <f aca="false">IF(B497=1,"",IF(B497=2,C496,SES_Alpha*C496+(1-SES_Alpha)*G496))</f>
        <v>26.6529139806336</v>
      </c>
      <c r="H497" s="33" t="n">
        <f aca="false">IF(D497="","",D497-C497)</f>
        <v>-9</v>
      </c>
      <c r="I497" s="33" t="n">
        <f aca="false">IF(E497="","",E497-C497)</f>
        <v>-6</v>
      </c>
      <c r="J497" s="33" t="n">
        <f aca="false">IF(F497="","",F497-C497)</f>
        <v>-5.5</v>
      </c>
      <c r="K497" s="33" t="n">
        <f aca="false">IF(G497="","",G497-C497)</f>
        <v>-6.34708601936638</v>
      </c>
      <c r="L497" s="33" t="n">
        <f aca="false">IF(H497="","",ABS(H497))</f>
        <v>9</v>
      </c>
      <c r="M497" s="33" t="n">
        <f aca="false">IF(I497="","",ABS(I497))</f>
        <v>6</v>
      </c>
      <c r="N497" s="33" t="n">
        <f aca="false">IF(J497="","",ABS(J497))</f>
        <v>5.5</v>
      </c>
      <c r="O497" s="33" t="n">
        <f aca="false">IF(K497="","",ABS(K497))</f>
        <v>6.34708601936638</v>
      </c>
      <c r="P497" s="34" t="str">
        <f aca="false">IF(B497&gt;=Eval_Start_Week,"YES","")</f>
        <v>YES</v>
      </c>
      <c r="Q497" s="34" t="str">
        <f aca="false">IF(AND(B497&gt;=Cal_Start_Week,B497&lt;=Cal_End_Week),"YES","")</f>
        <v>YES</v>
      </c>
    </row>
    <row r="498" customFormat="false" ht="15" hidden="false" customHeight="false" outlineLevel="0" collapsed="false">
      <c r="A498" s="31" t="str">
        <f aca="false">Demand_History!C498</f>
        <v>KIT-005</v>
      </c>
      <c r="B498" s="31" t="n">
        <f aca="false">Demand_History!A498</f>
        <v>81</v>
      </c>
      <c r="C498" s="32" t="n">
        <f aca="false">Demand_History!D498</f>
        <v>24</v>
      </c>
      <c r="D498" s="33" t="n">
        <f aca="false">IF(B498&gt;=2,C497,"")</f>
        <v>33</v>
      </c>
      <c r="E498" s="33" t="n">
        <f aca="false">IF(B498&gt;=5,AVERAGE(C494:C497),"")</f>
        <v>26.5</v>
      </c>
      <c r="F498" s="33" t="n">
        <f aca="false">IF(B498&gt;=9,AVERAGE(C490:C497),"")</f>
        <v>27.375</v>
      </c>
      <c r="G498" s="33" t="n">
        <f aca="false">IF(B498=1,"",IF(B498=2,C497,SES_Alpha*C497+(1-SES_Alpha)*G497))</f>
        <v>28.5570397864435</v>
      </c>
      <c r="H498" s="33" t="n">
        <f aca="false">IF(D498="","",D498-C498)</f>
        <v>9</v>
      </c>
      <c r="I498" s="33" t="n">
        <f aca="false">IF(E498="","",E498-C498)</f>
        <v>2.5</v>
      </c>
      <c r="J498" s="33" t="n">
        <f aca="false">IF(F498="","",F498-C498)</f>
        <v>3.375</v>
      </c>
      <c r="K498" s="33" t="n">
        <f aca="false">IF(G498="","",G498-C498)</f>
        <v>4.55703978644353</v>
      </c>
      <c r="L498" s="33" t="n">
        <f aca="false">IF(H498="","",ABS(H498))</f>
        <v>9</v>
      </c>
      <c r="M498" s="33" t="n">
        <f aca="false">IF(I498="","",ABS(I498))</f>
        <v>2.5</v>
      </c>
      <c r="N498" s="33" t="n">
        <f aca="false">IF(J498="","",ABS(J498))</f>
        <v>3.375</v>
      </c>
      <c r="O498" s="33" t="n">
        <f aca="false">IF(K498="","",ABS(K498))</f>
        <v>4.55703978644353</v>
      </c>
      <c r="P498" s="34" t="str">
        <f aca="false">IF(B498&gt;=Eval_Start_Week,"YES","")</f>
        <v>YES</v>
      </c>
      <c r="Q498" s="34" t="str">
        <f aca="false">IF(AND(B498&gt;=Cal_Start_Week,B498&lt;=Cal_End_Week),"YES","")</f>
        <v>YES</v>
      </c>
    </row>
    <row r="499" customFormat="false" ht="15" hidden="false" customHeight="false" outlineLevel="0" collapsed="false">
      <c r="A499" s="31" t="str">
        <f aca="false">Demand_History!C499</f>
        <v>KIT-005</v>
      </c>
      <c r="B499" s="31" t="n">
        <f aca="false">Demand_History!A499</f>
        <v>82</v>
      </c>
      <c r="C499" s="32" t="n">
        <f aca="false">Demand_History!D499</f>
        <v>27</v>
      </c>
      <c r="D499" s="33" t="n">
        <f aca="false">IF(B499&gt;=2,C498,"")</f>
        <v>24</v>
      </c>
      <c r="E499" s="33" t="n">
        <f aca="false">IF(B499&gt;=5,AVERAGE(C495:C498),"")</f>
        <v>28</v>
      </c>
      <c r="F499" s="33" t="n">
        <f aca="false">IF(B499&gt;=9,AVERAGE(C491:C498),"")</f>
        <v>27.125</v>
      </c>
      <c r="G499" s="33" t="n">
        <f aca="false">IF(B499=1,"",IF(B499=2,C498,SES_Alpha*C498+(1-SES_Alpha)*G498))</f>
        <v>27.1899278505105</v>
      </c>
      <c r="H499" s="33" t="n">
        <f aca="false">IF(D499="","",D499-C499)</f>
        <v>-3</v>
      </c>
      <c r="I499" s="33" t="n">
        <f aca="false">IF(E499="","",E499-C499)</f>
        <v>1</v>
      </c>
      <c r="J499" s="33" t="n">
        <f aca="false">IF(F499="","",F499-C499)</f>
        <v>0.125</v>
      </c>
      <c r="K499" s="33" t="n">
        <f aca="false">IF(G499="","",G499-C499)</f>
        <v>0.189927850510472</v>
      </c>
      <c r="L499" s="33" t="n">
        <f aca="false">IF(H499="","",ABS(H499))</f>
        <v>3</v>
      </c>
      <c r="M499" s="33" t="n">
        <f aca="false">IF(I499="","",ABS(I499))</f>
        <v>1</v>
      </c>
      <c r="N499" s="33" t="n">
        <f aca="false">IF(J499="","",ABS(J499))</f>
        <v>0.125</v>
      </c>
      <c r="O499" s="33" t="n">
        <f aca="false">IF(K499="","",ABS(K499))</f>
        <v>0.189927850510472</v>
      </c>
      <c r="P499" s="34" t="str">
        <f aca="false">IF(B499&gt;=Eval_Start_Week,"YES","")</f>
        <v>YES</v>
      </c>
      <c r="Q499" s="34" t="str">
        <f aca="false">IF(AND(B499&gt;=Cal_Start_Week,B499&lt;=Cal_End_Week),"YES","")</f>
        <v>YES</v>
      </c>
    </row>
    <row r="500" customFormat="false" ht="15" hidden="false" customHeight="false" outlineLevel="0" collapsed="false">
      <c r="A500" s="31" t="str">
        <f aca="false">Demand_History!C500</f>
        <v>KIT-005</v>
      </c>
      <c r="B500" s="31" t="n">
        <f aca="false">Demand_History!A500</f>
        <v>83</v>
      </c>
      <c r="C500" s="32" t="n">
        <f aca="false">Demand_History!D500</f>
        <v>22</v>
      </c>
      <c r="D500" s="33" t="n">
        <f aca="false">IF(B500&gt;=2,C499,"")</f>
        <v>27</v>
      </c>
      <c r="E500" s="33" t="n">
        <f aca="false">IF(B500&gt;=5,AVERAGE(C496:C499),"")</f>
        <v>27</v>
      </c>
      <c r="F500" s="33" t="n">
        <f aca="false">IF(B500&gt;=9,AVERAGE(C492:C499),"")</f>
        <v>27.5</v>
      </c>
      <c r="G500" s="33" t="n">
        <f aca="false">IF(B500=1,"",IF(B500=2,C499,SES_Alpha*C499+(1-SES_Alpha)*G499))</f>
        <v>27.1329494953573</v>
      </c>
      <c r="H500" s="33" t="n">
        <f aca="false">IF(D500="","",D500-C500)</f>
        <v>5</v>
      </c>
      <c r="I500" s="33" t="n">
        <f aca="false">IF(E500="","",E500-C500)</f>
        <v>5</v>
      </c>
      <c r="J500" s="33" t="n">
        <f aca="false">IF(F500="","",F500-C500)</f>
        <v>5.5</v>
      </c>
      <c r="K500" s="33" t="n">
        <f aca="false">IF(G500="","",G500-C500)</f>
        <v>5.13294949535733</v>
      </c>
      <c r="L500" s="33" t="n">
        <f aca="false">IF(H500="","",ABS(H500))</f>
        <v>5</v>
      </c>
      <c r="M500" s="33" t="n">
        <f aca="false">IF(I500="","",ABS(I500))</f>
        <v>5</v>
      </c>
      <c r="N500" s="33" t="n">
        <f aca="false">IF(J500="","",ABS(J500))</f>
        <v>5.5</v>
      </c>
      <c r="O500" s="33" t="n">
        <f aca="false">IF(K500="","",ABS(K500))</f>
        <v>5.13294949535733</v>
      </c>
      <c r="P500" s="34" t="str">
        <f aca="false">IF(B500&gt;=Eval_Start_Week,"YES","")</f>
        <v>YES</v>
      </c>
      <c r="Q500" s="34" t="str">
        <f aca="false">IF(AND(B500&gt;=Cal_Start_Week,B500&lt;=Cal_End_Week),"YES","")</f>
        <v>YES</v>
      </c>
    </row>
    <row r="501" customFormat="false" ht="15" hidden="false" customHeight="false" outlineLevel="0" collapsed="false">
      <c r="A501" s="31" t="str">
        <f aca="false">Demand_History!C501</f>
        <v>KIT-005</v>
      </c>
      <c r="B501" s="31" t="n">
        <f aca="false">Demand_History!A501</f>
        <v>84</v>
      </c>
      <c r="C501" s="32" t="n">
        <f aca="false">Demand_History!D501</f>
        <v>24</v>
      </c>
      <c r="D501" s="33" t="n">
        <f aca="false">IF(B501&gt;=2,C500,"")</f>
        <v>22</v>
      </c>
      <c r="E501" s="33" t="n">
        <f aca="false">IF(B501&gt;=5,AVERAGE(C497:C500),"")</f>
        <v>26.5</v>
      </c>
      <c r="F501" s="33" t="n">
        <f aca="false">IF(B501&gt;=9,AVERAGE(C493:C500),"")</f>
        <v>26.75</v>
      </c>
      <c r="G501" s="33" t="n">
        <f aca="false">IF(B501=1,"",IF(B501=2,C500,SES_Alpha*C500+(1-SES_Alpha)*G500))</f>
        <v>25.5930646467501</v>
      </c>
      <c r="H501" s="33" t="n">
        <f aca="false">IF(D501="","",D501-C501)</f>
        <v>-2</v>
      </c>
      <c r="I501" s="33" t="n">
        <f aca="false">IF(E501="","",E501-C501)</f>
        <v>2.5</v>
      </c>
      <c r="J501" s="33" t="n">
        <f aca="false">IF(F501="","",F501-C501)</f>
        <v>2.75</v>
      </c>
      <c r="K501" s="33" t="n">
        <f aca="false">IF(G501="","",G501-C501)</f>
        <v>1.59306464675013</v>
      </c>
      <c r="L501" s="33" t="n">
        <f aca="false">IF(H501="","",ABS(H501))</f>
        <v>2</v>
      </c>
      <c r="M501" s="33" t="n">
        <f aca="false">IF(I501="","",ABS(I501))</f>
        <v>2.5</v>
      </c>
      <c r="N501" s="33" t="n">
        <f aca="false">IF(J501="","",ABS(J501))</f>
        <v>2.75</v>
      </c>
      <c r="O501" s="33" t="n">
        <f aca="false">IF(K501="","",ABS(K501))</f>
        <v>1.59306464675013</v>
      </c>
      <c r="P501" s="34" t="str">
        <f aca="false">IF(B501&gt;=Eval_Start_Week,"YES","")</f>
        <v>YES</v>
      </c>
      <c r="Q501" s="34" t="str">
        <f aca="false">IF(AND(B501&gt;=Cal_Start_Week,B501&lt;=Cal_End_Week),"YES","")</f>
        <v>YES</v>
      </c>
    </row>
    <row r="502" customFormat="false" ht="15" hidden="false" customHeight="false" outlineLevel="0" collapsed="false">
      <c r="A502" s="31" t="str">
        <f aca="false">Demand_History!C502</f>
        <v>KIT-005</v>
      </c>
      <c r="B502" s="31" t="n">
        <f aca="false">Demand_History!A502</f>
        <v>85</v>
      </c>
      <c r="C502" s="32" t="n">
        <f aca="false">Demand_History!D502</f>
        <v>33</v>
      </c>
      <c r="D502" s="33" t="n">
        <f aca="false">IF(B502&gt;=2,C501,"")</f>
        <v>24</v>
      </c>
      <c r="E502" s="33" t="n">
        <f aca="false">IF(B502&gt;=5,AVERAGE(C498:C501),"")</f>
        <v>24.25</v>
      </c>
      <c r="F502" s="33" t="n">
        <f aca="false">IF(B502&gt;=9,AVERAGE(C494:C501),"")</f>
        <v>25.375</v>
      </c>
      <c r="G502" s="33" t="n">
        <f aca="false">IF(B502=1,"",IF(B502=2,C501,SES_Alpha*C501+(1-SES_Alpha)*G501))</f>
        <v>25.1151452527251</v>
      </c>
      <c r="H502" s="33" t="n">
        <f aca="false">IF(D502="","",D502-C502)</f>
        <v>-9</v>
      </c>
      <c r="I502" s="33" t="n">
        <f aca="false">IF(E502="","",E502-C502)</f>
        <v>-8.75</v>
      </c>
      <c r="J502" s="33" t="n">
        <f aca="false">IF(F502="","",F502-C502)</f>
        <v>-7.625</v>
      </c>
      <c r="K502" s="33" t="n">
        <f aca="false">IF(G502="","",G502-C502)</f>
        <v>-7.88485474727491</v>
      </c>
      <c r="L502" s="33" t="n">
        <f aca="false">IF(H502="","",ABS(H502))</f>
        <v>9</v>
      </c>
      <c r="M502" s="33" t="n">
        <f aca="false">IF(I502="","",ABS(I502))</f>
        <v>8.75</v>
      </c>
      <c r="N502" s="33" t="n">
        <f aca="false">IF(J502="","",ABS(J502))</f>
        <v>7.625</v>
      </c>
      <c r="O502" s="33" t="n">
        <f aca="false">IF(K502="","",ABS(K502))</f>
        <v>7.88485474727491</v>
      </c>
      <c r="P502" s="34" t="str">
        <f aca="false">IF(B502&gt;=Eval_Start_Week,"YES","")</f>
        <v>YES</v>
      </c>
      <c r="Q502" s="34" t="str">
        <f aca="false">IF(AND(B502&gt;=Cal_Start_Week,B502&lt;=Cal_End_Week),"YES","")</f>
        <v>YES</v>
      </c>
    </row>
    <row r="503" customFormat="false" ht="15" hidden="false" customHeight="false" outlineLevel="0" collapsed="false">
      <c r="A503" s="31" t="str">
        <f aca="false">Demand_History!C503</f>
        <v>KIT-005</v>
      </c>
      <c r="B503" s="31" t="n">
        <f aca="false">Demand_History!A503</f>
        <v>86</v>
      </c>
      <c r="C503" s="32" t="n">
        <f aca="false">Demand_History!D503</f>
        <v>30</v>
      </c>
      <c r="D503" s="33" t="n">
        <f aca="false">IF(B503&gt;=2,C502,"")</f>
        <v>33</v>
      </c>
      <c r="E503" s="33" t="n">
        <f aca="false">IF(B503&gt;=5,AVERAGE(C499:C502),"")</f>
        <v>26.5</v>
      </c>
      <c r="F503" s="33" t="n">
        <f aca="false">IF(B503&gt;=9,AVERAGE(C495:C502),"")</f>
        <v>27.25</v>
      </c>
      <c r="G503" s="33" t="n">
        <f aca="false">IF(B503=1,"",IF(B503=2,C502,SES_Alpha*C502+(1-SES_Alpha)*G502))</f>
        <v>27.4806016769076</v>
      </c>
      <c r="H503" s="33" t="n">
        <f aca="false">IF(D503="","",D503-C503)</f>
        <v>3</v>
      </c>
      <c r="I503" s="33" t="n">
        <f aca="false">IF(E503="","",E503-C503)</f>
        <v>-3.5</v>
      </c>
      <c r="J503" s="33" t="n">
        <f aca="false">IF(F503="","",F503-C503)</f>
        <v>-2.75</v>
      </c>
      <c r="K503" s="33" t="n">
        <f aca="false">IF(G503="","",G503-C503)</f>
        <v>-2.51939832309244</v>
      </c>
      <c r="L503" s="33" t="n">
        <f aca="false">IF(H503="","",ABS(H503))</f>
        <v>3</v>
      </c>
      <c r="M503" s="33" t="n">
        <f aca="false">IF(I503="","",ABS(I503))</f>
        <v>3.5</v>
      </c>
      <c r="N503" s="33" t="n">
        <f aca="false">IF(J503="","",ABS(J503))</f>
        <v>2.75</v>
      </c>
      <c r="O503" s="33" t="n">
        <f aca="false">IF(K503="","",ABS(K503))</f>
        <v>2.51939832309244</v>
      </c>
      <c r="P503" s="34" t="str">
        <f aca="false">IF(B503&gt;=Eval_Start_Week,"YES","")</f>
        <v>YES</v>
      </c>
      <c r="Q503" s="34" t="str">
        <f aca="false">IF(AND(B503&gt;=Cal_Start_Week,B503&lt;=Cal_End_Week),"YES","")</f>
        <v>YES</v>
      </c>
    </row>
    <row r="504" customFormat="false" ht="15" hidden="false" customHeight="false" outlineLevel="0" collapsed="false">
      <c r="A504" s="31" t="str">
        <f aca="false">Demand_History!C504</f>
        <v>KIT-005</v>
      </c>
      <c r="B504" s="31" t="n">
        <f aca="false">Demand_History!A504</f>
        <v>87</v>
      </c>
      <c r="C504" s="32" t="n">
        <f aca="false">Demand_History!D504</f>
        <v>25</v>
      </c>
      <c r="D504" s="33" t="n">
        <f aca="false">IF(B504&gt;=2,C503,"")</f>
        <v>30</v>
      </c>
      <c r="E504" s="33" t="n">
        <f aca="false">IF(B504&gt;=5,AVERAGE(C500:C503),"")</f>
        <v>27.25</v>
      </c>
      <c r="F504" s="33" t="n">
        <f aca="false">IF(B504&gt;=9,AVERAGE(C496:C503),"")</f>
        <v>27.125</v>
      </c>
      <c r="G504" s="33" t="n">
        <f aca="false">IF(B504=1,"",IF(B504=2,C503,SES_Alpha*C503+(1-SES_Alpha)*G503))</f>
        <v>28.2364211738353</v>
      </c>
      <c r="H504" s="33" t="n">
        <f aca="false">IF(D504="","",D504-C504)</f>
        <v>5</v>
      </c>
      <c r="I504" s="33" t="n">
        <f aca="false">IF(E504="","",E504-C504)</f>
        <v>2.25</v>
      </c>
      <c r="J504" s="33" t="n">
        <f aca="false">IF(F504="","",F504-C504)</f>
        <v>2.125</v>
      </c>
      <c r="K504" s="33" t="n">
        <f aca="false">IF(G504="","",G504-C504)</f>
        <v>3.23642117383529</v>
      </c>
      <c r="L504" s="33" t="n">
        <f aca="false">IF(H504="","",ABS(H504))</f>
        <v>5</v>
      </c>
      <c r="M504" s="33" t="n">
        <f aca="false">IF(I504="","",ABS(I504))</f>
        <v>2.25</v>
      </c>
      <c r="N504" s="33" t="n">
        <f aca="false">IF(J504="","",ABS(J504))</f>
        <v>2.125</v>
      </c>
      <c r="O504" s="33" t="n">
        <f aca="false">IF(K504="","",ABS(K504))</f>
        <v>3.23642117383529</v>
      </c>
      <c r="P504" s="34" t="str">
        <f aca="false">IF(B504&gt;=Eval_Start_Week,"YES","")</f>
        <v>YES</v>
      </c>
      <c r="Q504" s="34" t="str">
        <f aca="false">IF(AND(B504&gt;=Cal_Start_Week,B504&lt;=Cal_End_Week),"YES","")</f>
        <v>YES</v>
      </c>
    </row>
    <row r="505" customFormat="false" ht="15" hidden="false" customHeight="false" outlineLevel="0" collapsed="false">
      <c r="A505" s="31" t="str">
        <f aca="false">Demand_History!C505</f>
        <v>KIT-005</v>
      </c>
      <c r="B505" s="31" t="n">
        <f aca="false">Demand_History!A505</f>
        <v>88</v>
      </c>
      <c r="C505" s="32" t="n">
        <f aca="false">Demand_History!D505</f>
        <v>23</v>
      </c>
      <c r="D505" s="33" t="n">
        <f aca="false">IF(B505&gt;=2,C504,"")</f>
        <v>25</v>
      </c>
      <c r="E505" s="33" t="n">
        <f aca="false">IF(B505&gt;=5,AVERAGE(C501:C504),"")</f>
        <v>28</v>
      </c>
      <c r="F505" s="33" t="n">
        <f aca="false">IF(B505&gt;=9,AVERAGE(C497:C504),"")</f>
        <v>27.25</v>
      </c>
      <c r="G505" s="33" t="n">
        <f aca="false">IF(B505=1,"",IF(B505=2,C504,SES_Alpha*C504+(1-SES_Alpha)*G504))</f>
        <v>27.2654948216847</v>
      </c>
      <c r="H505" s="33" t="n">
        <f aca="false">IF(D505="","",D505-C505)</f>
        <v>2</v>
      </c>
      <c r="I505" s="33" t="n">
        <f aca="false">IF(E505="","",E505-C505)</f>
        <v>5</v>
      </c>
      <c r="J505" s="33" t="n">
        <f aca="false">IF(F505="","",F505-C505)</f>
        <v>4.25</v>
      </c>
      <c r="K505" s="33" t="n">
        <f aca="false">IF(G505="","",G505-C505)</f>
        <v>4.26549482168471</v>
      </c>
      <c r="L505" s="33" t="n">
        <f aca="false">IF(H505="","",ABS(H505))</f>
        <v>2</v>
      </c>
      <c r="M505" s="33" t="n">
        <f aca="false">IF(I505="","",ABS(I505))</f>
        <v>5</v>
      </c>
      <c r="N505" s="33" t="n">
        <f aca="false">IF(J505="","",ABS(J505))</f>
        <v>4.25</v>
      </c>
      <c r="O505" s="33" t="n">
        <f aca="false">IF(K505="","",ABS(K505))</f>
        <v>4.26549482168471</v>
      </c>
      <c r="P505" s="34" t="str">
        <f aca="false">IF(B505&gt;=Eval_Start_Week,"YES","")</f>
        <v>YES</v>
      </c>
      <c r="Q505" s="34" t="str">
        <f aca="false">IF(AND(B505&gt;=Cal_Start_Week,B505&lt;=Cal_End_Week),"YES","")</f>
        <v>YES</v>
      </c>
    </row>
    <row r="506" customFormat="false" ht="15" hidden="false" customHeight="false" outlineLevel="0" collapsed="false">
      <c r="A506" s="31" t="str">
        <f aca="false">Demand_History!C506</f>
        <v>KIT-005</v>
      </c>
      <c r="B506" s="31" t="n">
        <f aca="false">Demand_History!A506</f>
        <v>89</v>
      </c>
      <c r="C506" s="32" t="n">
        <f aca="false">Demand_History!D506</f>
        <v>19</v>
      </c>
      <c r="D506" s="33" t="n">
        <f aca="false">IF(B506&gt;=2,C505,"")</f>
        <v>23</v>
      </c>
      <c r="E506" s="33" t="n">
        <f aca="false">IF(B506&gt;=5,AVERAGE(C502:C505),"")</f>
        <v>27.75</v>
      </c>
      <c r="F506" s="33" t="n">
        <f aca="false">IF(B506&gt;=9,AVERAGE(C498:C505),"")</f>
        <v>26</v>
      </c>
      <c r="G506" s="33" t="n">
        <f aca="false">IF(B506=1,"",IF(B506=2,C505,SES_Alpha*C505+(1-SES_Alpha)*G505))</f>
        <v>25.9858463751793</v>
      </c>
      <c r="H506" s="33" t="n">
        <f aca="false">IF(D506="","",D506-C506)</f>
        <v>4</v>
      </c>
      <c r="I506" s="33" t="n">
        <f aca="false">IF(E506="","",E506-C506)</f>
        <v>8.75</v>
      </c>
      <c r="J506" s="33" t="n">
        <f aca="false">IF(F506="","",F506-C506)</f>
        <v>7</v>
      </c>
      <c r="K506" s="33" t="n">
        <f aca="false">IF(G506="","",G506-C506)</f>
        <v>6.98584637517929</v>
      </c>
      <c r="L506" s="33" t="n">
        <f aca="false">IF(H506="","",ABS(H506))</f>
        <v>4</v>
      </c>
      <c r="M506" s="33" t="n">
        <f aca="false">IF(I506="","",ABS(I506))</f>
        <v>8.75</v>
      </c>
      <c r="N506" s="33" t="n">
        <f aca="false">IF(J506="","",ABS(J506))</f>
        <v>7</v>
      </c>
      <c r="O506" s="33" t="n">
        <f aca="false">IF(K506="","",ABS(K506))</f>
        <v>6.98584637517929</v>
      </c>
      <c r="P506" s="34" t="str">
        <f aca="false">IF(B506&gt;=Eval_Start_Week,"YES","")</f>
        <v>YES</v>
      </c>
      <c r="Q506" s="34" t="str">
        <f aca="false">IF(AND(B506&gt;=Cal_Start_Week,B506&lt;=Cal_End_Week),"YES","")</f>
        <v/>
      </c>
    </row>
    <row r="507" customFormat="false" ht="15" hidden="false" customHeight="false" outlineLevel="0" collapsed="false">
      <c r="A507" s="31" t="str">
        <f aca="false">Demand_History!C507</f>
        <v>KIT-005</v>
      </c>
      <c r="B507" s="31" t="n">
        <f aca="false">Demand_History!A507</f>
        <v>90</v>
      </c>
      <c r="C507" s="32" t="n">
        <f aca="false">Demand_History!D507</f>
        <v>25</v>
      </c>
      <c r="D507" s="33" t="n">
        <f aca="false">IF(B507&gt;=2,C506,"")</f>
        <v>19</v>
      </c>
      <c r="E507" s="33" t="n">
        <f aca="false">IF(B507&gt;=5,AVERAGE(C503:C506),"")</f>
        <v>24.25</v>
      </c>
      <c r="F507" s="33" t="n">
        <f aca="false">IF(B507&gt;=9,AVERAGE(C499:C506),"")</f>
        <v>25.375</v>
      </c>
      <c r="G507" s="33" t="n">
        <f aca="false">IF(B507=1,"",IF(B507=2,C506,SES_Alpha*C506+(1-SES_Alpha)*G506))</f>
        <v>23.8900924626255</v>
      </c>
      <c r="H507" s="33" t="n">
        <f aca="false">IF(D507="","",D507-C507)</f>
        <v>-6</v>
      </c>
      <c r="I507" s="33" t="n">
        <f aca="false">IF(E507="","",E507-C507)</f>
        <v>-0.75</v>
      </c>
      <c r="J507" s="33" t="n">
        <f aca="false">IF(F507="","",F507-C507)</f>
        <v>0.375</v>
      </c>
      <c r="K507" s="33" t="n">
        <f aca="false">IF(G507="","",G507-C507)</f>
        <v>-1.1099075373745</v>
      </c>
      <c r="L507" s="33" t="n">
        <f aca="false">IF(H507="","",ABS(H507))</f>
        <v>6</v>
      </c>
      <c r="M507" s="33" t="n">
        <f aca="false">IF(I507="","",ABS(I507))</f>
        <v>0.75</v>
      </c>
      <c r="N507" s="33" t="n">
        <f aca="false">IF(J507="","",ABS(J507))</f>
        <v>0.375</v>
      </c>
      <c r="O507" s="33" t="n">
        <f aca="false">IF(K507="","",ABS(K507))</f>
        <v>1.1099075373745</v>
      </c>
      <c r="P507" s="34" t="str">
        <f aca="false">IF(B507&gt;=Eval_Start_Week,"YES","")</f>
        <v>YES</v>
      </c>
      <c r="Q507" s="34" t="str">
        <f aca="false">IF(AND(B507&gt;=Cal_Start_Week,B507&lt;=Cal_End_Week),"YES","")</f>
        <v/>
      </c>
    </row>
    <row r="508" customFormat="false" ht="15" hidden="false" customHeight="false" outlineLevel="0" collapsed="false">
      <c r="A508" s="31" t="str">
        <f aca="false">Demand_History!C508</f>
        <v>KIT-005</v>
      </c>
      <c r="B508" s="31" t="n">
        <f aca="false">Demand_History!A508</f>
        <v>91</v>
      </c>
      <c r="C508" s="32" t="n">
        <f aca="false">Demand_History!D508</f>
        <v>26</v>
      </c>
      <c r="D508" s="33" t="n">
        <f aca="false">IF(B508&gt;=2,C507,"")</f>
        <v>25</v>
      </c>
      <c r="E508" s="33" t="n">
        <f aca="false">IF(B508&gt;=5,AVERAGE(C504:C507),"")</f>
        <v>23</v>
      </c>
      <c r="F508" s="33" t="n">
        <f aca="false">IF(B508&gt;=9,AVERAGE(C500:C507),"")</f>
        <v>25.125</v>
      </c>
      <c r="G508" s="33" t="n">
        <f aca="false">IF(B508=1,"",IF(B508=2,C507,SES_Alpha*C507+(1-SES_Alpha)*G507))</f>
        <v>24.2230647238378</v>
      </c>
      <c r="H508" s="33" t="n">
        <f aca="false">IF(D508="","",D508-C508)</f>
        <v>-1</v>
      </c>
      <c r="I508" s="33" t="n">
        <f aca="false">IF(E508="","",E508-C508)</f>
        <v>-3</v>
      </c>
      <c r="J508" s="33" t="n">
        <f aca="false">IF(F508="","",F508-C508)</f>
        <v>-0.875</v>
      </c>
      <c r="K508" s="33" t="n">
        <f aca="false">IF(G508="","",G508-C508)</f>
        <v>-1.77693527616215</v>
      </c>
      <c r="L508" s="33" t="n">
        <f aca="false">IF(H508="","",ABS(H508))</f>
        <v>1</v>
      </c>
      <c r="M508" s="33" t="n">
        <f aca="false">IF(I508="","",ABS(I508))</f>
        <v>3</v>
      </c>
      <c r="N508" s="33" t="n">
        <f aca="false">IF(J508="","",ABS(J508))</f>
        <v>0.875</v>
      </c>
      <c r="O508" s="33" t="n">
        <f aca="false">IF(K508="","",ABS(K508))</f>
        <v>1.77693527616215</v>
      </c>
      <c r="P508" s="34" t="str">
        <f aca="false">IF(B508&gt;=Eval_Start_Week,"YES","")</f>
        <v>YES</v>
      </c>
      <c r="Q508" s="34" t="str">
        <f aca="false">IF(AND(B508&gt;=Cal_Start_Week,B508&lt;=Cal_End_Week),"YES","")</f>
        <v/>
      </c>
    </row>
    <row r="509" customFormat="false" ht="15" hidden="false" customHeight="false" outlineLevel="0" collapsed="false">
      <c r="A509" s="31" t="str">
        <f aca="false">Demand_History!C509</f>
        <v>KIT-005</v>
      </c>
      <c r="B509" s="31" t="n">
        <f aca="false">Demand_History!A509</f>
        <v>92</v>
      </c>
      <c r="C509" s="32" t="n">
        <f aca="false">Demand_History!D509</f>
        <v>25</v>
      </c>
      <c r="D509" s="33" t="n">
        <f aca="false">IF(B509&gt;=2,C508,"")</f>
        <v>26</v>
      </c>
      <c r="E509" s="33" t="n">
        <f aca="false">IF(B509&gt;=5,AVERAGE(C505:C508),"")</f>
        <v>23.25</v>
      </c>
      <c r="F509" s="33" t="n">
        <f aca="false">IF(B509&gt;=9,AVERAGE(C501:C508),"")</f>
        <v>25.625</v>
      </c>
      <c r="G509" s="33" t="n">
        <f aca="false">IF(B509=1,"",IF(B509=2,C508,SES_Alpha*C508+(1-SES_Alpha)*G508))</f>
        <v>24.7561453066865</v>
      </c>
      <c r="H509" s="33" t="n">
        <f aca="false">IF(D509="","",D509-C509)</f>
        <v>1</v>
      </c>
      <c r="I509" s="33" t="n">
        <f aca="false">IF(E509="","",E509-C509)</f>
        <v>-1.75</v>
      </c>
      <c r="J509" s="33" t="n">
        <f aca="false">IF(F509="","",F509-C509)</f>
        <v>0.625</v>
      </c>
      <c r="K509" s="33" t="n">
        <f aca="false">IF(G509="","",G509-C509)</f>
        <v>-0.243854693313509</v>
      </c>
      <c r="L509" s="33" t="n">
        <f aca="false">IF(H509="","",ABS(H509))</f>
        <v>1</v>
      </c>
      <c r="M509" s="33" t="n">
        <f aca="false">IF(I509="","",ABS(I509))</f>
        <v>1.75</v>
      </c>
      <c r="N509" s="33" t="n">
        <f aca="false">IF(J509="","",ABS(J509))</f>
        <v>0.625</v>
      </c>
      <c r="O509" s="33" t="n">
        <f aca="false">IF(K509="","",ABS(K509))</f>
        <v>0.243854693313509</v>
      </c>
      <c r="P509" s="34" t="str">
        <f aca="false">IF(B509&gt;=Eval_Start_Week,"YES","")</f>
        <v>YES</v>
      </c>
      <c r="Q509" s="34" t="str">
        <f aca="false">IF(AND(B509&gt;=Cal_Start_Week,B509&lt;=Cal_End_Week),"YES","")</f>
        <v/>
      </c>
    </row>
    <row r="510" customFormat="false" ht="15" hidden="false" customHeight="false" outlineLevel="0" collapsed="false">
      <c r="A510" s="31" t="str">
        <f aca="false">Demand_History!C510</f>
        <v>KIT-005</v>
      </c>
      <c r="B510" s="31" t="n">
        <f aca="false">Demand_History!A510</f>
        <v>93</v>
      </c>
      <c r="C510" s="32" t="n">
        <f aca="false">Demand_History!D510</f>
        <v>25</v>
      </c>
      <c r="D510" s="33" t="n">
        <f aca="false">IF(B510&gt;=2,C509,"")</f>
        <v>25</v>
      </c>
      <c r="E510" s="33" t="n">
        <f aca="false">IF(B510&gt;=5,AVERAGE(C506:C509),"")</f>
        <v>23.75</v>
      </c>
      <c r="F510" s="33" t="n">
        <f aca="false">IF(B510&gt;=9,AVERAGE(C502:C509),"")</f>
        <v>25.75</v>
      </c>
      <c r="G510" s="33" t="n">
        <f aca="false">IF(B510=1,"",IF(B510=2,C509,SES_Alpha*C509+(1-SES_Alpha)*G509))</f>
        <v>24.8293017146805</v>
      </c>
      <c r="H510" s="33" t="n">
        <f aca="false">IF(D510="","",D510-C510)</f>
        <v>0</v>
      </c>
      <c r="I510" s="33" t="n">
        <f aca="false">IF(E510="","",E510-C510)</f>
        <v>-1.25</v>
      </c>
      <c r="J510" s="33" t="n">
        <f aca="false">IF(F510="","",F510-C510)</f>
        <v>0.75</v>
      </c>
      <c r="K510" s="33" t="n">
        <f aca="false">IF(G510="","",G510-C510)</f>
        <v>-0.170698285319457</v>
      </c>
      <c r="L510" s="33" t="n">
        <f aca="false">IF(H510="","",ABS(H510))</f>
        <v>0</v>
      </c>
      <c r="M510" s="33" t="n">
        <f aca="false">IF(I510="","",ABS(I510))</f>
        <v>1.25</v>
      </c>
      <c r="N510" s="33" t="n">
        <f aca="false">IF(J510="","",ABS(J510))</f>
        <v>0.75</v>
      </c>
      <c r="O510" s="33" t="n">
        <f aca="false">IF(K510="","",ABS(K510))</f>
        <v>0.170698285319457</v>
      </c>
      <c r="P510" s="34" t="str">
        <f aca="false">IF(B510&gt;=Eval_Start_Week,"YES","")</f>
        <v>YES</v>
      </c>
      <c r="Q510" s="34" t="str">
        <f aca="false">IF(AND(B510&gt;=Cal_Start_Week,B510&lt;=Cal_End_Week),"YES","")</f>
        <v/>
      </c>
    </row>
    <row r="511" customFormat="false" ht="15" hidden="false" customHeight="false" outlineLevel="0" collapsed="false">
      <c r="A511" s="31" t="str">
        <f aca="false">Demand_History!C511</f>
        <v>KIT-005</v>
      </c>
      <c r="B511" s="31" t="n">
        <f aca="false">Demand_History!A511</f>
        <v>94</v>
      </c>
      <c r="C511" s="32" t="n">
        <f aca="false">Demand_History!D511</f>
        <v>21</v>
      </c>
      <c r="D511" s="33" t="n">
        <f aca="false">IF(B511&gt;=2,C510,"")</f>
        <v>25</v>
      </c>
      <c r="E511" s="33" t="n">
        <f aca="false">IF(B511&gt;=5,AVERAGE(C507:C510),"")</f>
        <v>25.25</v>
      </c>
      <c r="F511" s="33" t="n">
        <f aca="false">IF(B511&gt;=9,AVERAGE(C503:C510),"")</f>
        <v>24.75</v>
      </c>
      <c r="G511" s="33" t="n">
        <f aca="false">IF(B511=1,"",IF(B511=2,C510,SES_Alpha*C510+(1-SES_Alpha)*G510))</f>
        <v>24.8805112002764</v>
      </c>
      <c r="H511" s="33" t="n">
        <f aca="false">IF(D511="","",D511-C511)</f>
        <v>4</v>
      </c>
      <c r="I511" s="33" t="n">
        <f aca="false">IF(E511="","",E511-C511)</f>
        <v>4.25</v>
      </c>
      <c r="J511" s="33" t="n">
        <f aca="false">IF(F511="","",F511-C511)</f>
        <v>3.75</v>
      </c>
      <c r="K511" s="33" t="n">
        <f aca="false">IF(G511="","",G511-C511)</f>
        <v>3.88051120027638</v>
      </c>
      <c r="L511" s="33" t="n">
        <f aca="false">IF(H511="","",ABS(H511))</f>
        <v>4</v>
      </c>
      <c r="M511" s="33" t="n">
        <f aca="false">IF(I511="","",ABS(I511))</f>
        <v>4.25</v>
      </c>
      <c r="N511" s="33" t="n">
        <f aca="false">IF(J511="","",ABS(J511))</f>
        <v>3.75</v>
      </c>
      <c r="O511" s="33" t="n">
        <f aca="false">IF(K511="","",ABS(K511))</f>
        <v>3.88051120027638</v>
      </c>
      <c r="P511" s="34" t="str">
        <f aca="false">IF(B511&gt;=Eval_Start_Week,"YES","")</f>
        <v>YES</v>
      </c>
      <c r="Q511" s="34" t="str">
        <f aca="false">IF(AND(B511&gt;=Cal_Start_Week,B511&lt;=Cal_End_Week),"YES","")</f>
        <v/>
      </c>
    </row>
    <row r="512" customFormat="false" ht="15" hidden="false" customHeight="false" outlineLevel="0" collapsed="false">
      <c r="A512" s="31" t="str">
        <f aca="false">Demand_History!C512</f>
        <v>KIT-005</v>
      </c>
      <c r="B512" s="31" t="n">
        <f aca="false">Demand_History!A512</f>
        <v>95</v>
      </c>
      <c r="C512" s="32" t="n">
        <f aca="false">Demand_History!D512</f>
        <v>25</v>
      </c>
      <c r="D512" s="33" t="n">
        <f aca="false">IF(B512&gt;=2,C511,"")</f>
        <v>21</v>
      </c>
      <c r="E512" s="33" t="n">
        <f aca="false">IF(B512&gt;=5,AVERAGE(C508:C511),"")</f>
        <v>24.25</v>
      </c>
      <c r="F512" s="33" t="n">
        <f aca="false">IF(B512&gt;=9,AVERAGE(C504:C511),"")</f>
        <v>23.625</v>
      </c>
      <c r="G512" s="33" t="n">
        <f aca="false">IF(B512=1,"",IF(B512=2,C511,SES_Alpha*C511+(1-SES_Alpha)*G511))</f>
        <v>23.7163578401935</v>
      </c>
      <c r="H512" s="33" t="n">
        <f aca="false">IF(D512="","",D512-C512)</f>
        <v>-4</v>
      </c>
      <c r="I512" s="33" t="n">
        <f aca="false">IF(E512="","",E512-C512)</f>
        <v>-0.75</v>
      </c>
      <c r="J512" s="33" t="n">
        <f aca="false">IF(F512="","",F512-C512)</f>
        <v>-1.375</v>
      </c>
      <c r="K512" s="33" t="n">
        <f aca="false">IF(G512="","",G512-C512)</f>
        <v>-1.28364215980653</v>
      </c>
      <c r="L512" s="33" t="n">
        <f aca="false">IF(H512="","",ABS(H512))</f>
        <v>4</v>
      </c>
      <c r="M512" s="33" t="n">
        <f aca="false">IF(I512="","",ABS(I512))</f>
        <v>0.75</v>
      </c>
      <c r="N512" s="33" t="n">
        <f aca="false">IF(J512="","",ABS(J512))</f>
        <v>1.375</v>
      </c>
      <c r="O512" s="33" t="n">
        <f aca="false">IF(K512="","",ABS(K512))</f>
        <v>1.28364215980653</v>
      </c>
      <c r="P512" s="34" t="str">
        <f aca="false">IF(B512&gt;=Eval_Start_Week,"YES","")</f>
        <v>YES</v>
      </c>
      <c r="Q512" s="34" t="str">
        <f aca="false">IF(AND(B512&gt;=Cal_Start_Week,B512&lt;=Cal_End_Week),"YES","")</f>
        <v/>
      </c>
    </row>
    <row r="513" customFormat="false" ht="15" hidden="false" customHeight="false" outlineLevel="0" collapsed="false">
      <c r="A513" s="31" t="str">
        <f aca="false">Demand_History!C513</f>
        <v>KIT-005</v>
      </c>
      <c r="B513" s="31" t="n">
        <f aca="false">Demand_History!A513</f>
        <v>96</v>
      </c>
      <c r="C513" s="32" t="n">
        <f aca="false">Demand_History!D513</f>
        <v>25</v>
      </c>
      <c r="D513" s="33" t="n">
        <f aca="false">IF(B513&gt;=2,C512,"")</f>
        <v>25</v>
      </c>
      <c r="E513" s="33" t="n">
        <f aca="false">IF(B513&gt;=5,AVERAGE(C509:C512),"")</f>
        <v>24</v>
      </c>
      <c r="F513" s="33" t="n">
        <f aca="false">IF(B513&gt;=9,AVERAGE(C505:C512),"")</f>
        <v>23.625</v>
      </c>
      <c r="G513" s="33" t="n">
        <f aca="false">IF(B513=1,"",IF(B513=2,C512,SES_Alpha*C512+(1-SES_Alpha)*G512))</f>
        <v>24.1014504881354</v>
      </c>
      <c r="H513" s="33" t="n">
        <f aca="false">IF(D513="","",D513-C513)</f>
        <v>0</v>
      </c>
      <c r="I513" s="33" t="n">
        <f aca="false">IF(E513="","",E513-C513)</f>
        <v>-1</v>
      </c>
      <c r="J513" s="33" t="n">
        <f aca="false">IF(F513="","",F513-C513)</f>
        <v>-1.375</v>
      </c>
      <c r="K513" s="33" t="n">
        <f aca="false">IF(G513="","",G513-C513)</f>
        <v>-0.898549511864573</v>
      </c>
      <c r="L513" s="33" t="n">
        <f aca="false">IF(H513="","",ABS(H513))</f>
        <v>0</v>
      </c>
      <c r="M513" s="33" t="n">
        <f aca="false">IF(I513="","",ABS(I513))</f>
        <v>1</v>
      </c>
      <c r="N513" s="33" t="n">
        <f aca="false">IF(J513="","",ABS(J513))</f>
        <v>1.375</v>
      </c>
      <c r="O513" s="33" t="n">
        <f aca="false">IF(K513="","",ABS(K513))</f>
        <v>0.898549511864573</v>
      </c>
      <c r="P513" s="34" t="str">
        <f aca="false">IF(B513&gt;=Eval_Start_Week,"YES","")</f>
        <v>YES</v>
      </c>
      <c r="Q513" s="34" t="str">
        <f aca="false">IF(AND(B513&gt;=Cal_Start_Week,B513&lt;=Cal_End_Week),"YES","")</f>
        <v/>
      </c>
    </row>
    <row r="514" customFormat="false" ht="15" hidden="false" customHeight="false" outlineLevel="0" collapsed="false">
      <c r="A514" s="31" t="str">
        <f aca="false">Demand_History!C514</f>
        <v>KIT-005</v>
      </c>
      <c r="B514" s="31" t="n">
        <f aca="false">Demand_History!A514</f>
        <v>97</v>
      </c>
      <c r="C514" s="32" t="n">
        <f aca="false">Demand_History!D514</f>
        <v>29</v>
      </c>
      <c r="D514" s="33" t="n">
        <f aca="false">IF(B514&gt;=2,C513,"")</f>
        <v>25</v>
      </c>
      <c r="E514" s="33" t="n">
        <f aca="false">IF(B514&gt;=5,AVERAGE(C510:C513),"")</f>
        <v>24</v>
      </c>
      <c r="F514" s="33" t="n">
        <f aca="false">IF(B514&gt;=9,AVERAGE(C506:C513),"")</f>
        <v>23.875</v>
      </c>
      <c r="G514" s="33" t="n">
        <f aca="false">IF(B514=1,"",IF(B514=2,C513,SES_Alpha*C513+(1-SES_Alpha)*G513))</f>
        <v>24.3710153416948</v>
      </c>
      <c r="H514" s="33" t="n">
        <f aca="false">IF(D514="","",D514-C514)</f>
        <v>-4</v>
      </c>
      <c r="I514" s="33" t="n">
        <f aca="false">IF(E514="","",E514-C514)</f>
        <v>-5</v>
      </c>
      <c r="J514" s="33" t="n">
        <f aca="false">IF(F514="","",F514-C514)</f>
        <v>-5.125</v>
      </c>
      <c r="K514" s="33" t="n">
        <f aca="false">IF(G514="","",G514-C514)</f>
        <v>-4.6289846583052</v>
      </c>
      <c r="L514" s="33" t="n">
        <f aca="false">IF(H514="","",ABS(H514))</f>
        <v>4</v>
      </c>
      <c r="M514" s="33" t="n">
        <f aca="false">IF(I514="","",ABS(I514))</f>
        <v>5</v>
      </c>
      <c r="N514" s="33" t="n">
        <f aca="false">IF(J514="","",ABS(J514))</f>
        <v>5.125</v>
      </c>
      <c r="O514" s="33" t="n">
        <f aca="false">IF(K514="","",ABS(K514))</f>
        <v>4.6289846583052</v>
      </c>
      <c r="P514" s="34" t="str">
        <f aca="false">IF(B514&gt;=Eval_Start_Week,"YES","")</f>
        <v>YES</v>
      </c>
      <c r="Q514" s="34" t="str">
        <f aca="false">IF(AND(B514&gt;=Cal_Start_Week,B514&lt;=Cal_End_Week),"YES","")</f>
        <v/>
      </c>
    </row>
    <row r="515" customFormat="false" ht="15" hidden="false" customHeight="false" outlineLevel="0" collapsed="false">
      <c r="A515" s="31" t="str">
        <f aca="false">Demand_History!C515</f>
        <v>KIT-005</v>
      </c>
      <c r="B515" s="31" t="n">
        <f aca="false">Demand_History!A515</f>
        <v>98</v>
      </c>
      <c r="C515" s="32" t="n">
        <f aca="false">Demand_History!D515</f>
        <v>30</v>
      </c>
      <c r="D515" s="33" t="n">
        <f aca="false">IF(B515&gt;=2,C514,"")</f>
        <v>29</v>
      </c>
      <c r="E515" s="33" t="n">
        <f aca="false">IF(B515&gt;=5,AVERAGE(C511:C514),"")</f>
        <v>25</v>
      </c>
      <c r="F515" s="33" t="n">
        <f aca="false">IF(B515&gt;=9,AVERAGE(C507:C514),"")</f>
        <v>25.125</v>
      </c>
      <c r="G515" s="33" t="n">
        <f aca="false">IF(B515=1,"",IF(B515=2,C514,SES_Alpha*C514+(1-SES_Alpha)*G514))</f>
        <v>25.7597107391864</v>
      </c>
      <c r="H515" s="33" t="n">
        <f aca="false">IF(D515="","",D515-C515)</f>
        <v>-1</v>
      </c>
      <c r="I515" s="33" t="n">
        <f aca="false">IF(E515="","",E515-C515)</f>
        <v>-5</v>
      </c>
      <c r="J515" s="33" t="n">
        <f aca="false">IF(F515="","",F515-C515)</f>
        <v>-4.875</v>
      </c>
      <c r="K515" s="33" t="n">
        <f aca="false">IF(G515="","",G515-C515)</f>
        <v>-4.24028926081364</v>
      </c>
      <c r="L515" s="33" t="n">
        <f aca="false">IF(H515="","",ABS(H515))</f>
        <v>1</v>
      </c>
      <c r="M515" s="33" t="n">
        <f aca="false">IF(I515="","",ABS(I515))</f>
        <v>5</v>
      </c>
      <c r="N515" s="33" t="n">
        <f aca="false">IF(J515="","",ABS(J515))</f>
        <v>4.875</v>
      </c>
      <c r="O515" s="33" t="n">
        <f aca="false">IF(K515="","",ABS(K515))</f>
        <v>4.24028926081364</v>
      </c>
      <c r="P515" s="34" t="str">
        <f aca="false">IF(B515&gt;=Eval_Start_Week,"YES","")</f>
        <v>YES</v>
      </c>
      <c r="Q515" s="34" t="str">
        <f aca="false">IF(AND(B515&gt;=Cal_Start_Week,B515&lt;=Cal_End_Week),"YES","")</f>
        <v/>
      </c>
    </row>
    <row r="516" customFormat="false" ht="15" hidden="false" customHeight="false" outlineLevel="0" collapsed="false">
      <c r="A516" s="31" t="str">
        <f aca="false">Demand_History!C516</f>
        <v>KIT-005</v>
      </c>
      <c r="B516" s="31" t="n">
        <f aca="false">Demand_History!A516</f>
        <v>99</v>
      </c>
      <c r="C516" s="32" t="n">
        <f aca="false">Demand_History!D516</f>
        <v>23</v>
      </c>
      <c r="D516" s="33" t="n">
        <f aca="false">IF(B516&gt;=2,C515,"")</f>
        <v>30</v>
      </c>
      <c r="E516" s="33" t="n">
        <f aca="false">IF(B516&gt;=5,AVERAGE(C512:C515),"")</f>
        <v>27.25</v>
      </c>
      <c r="F516" s="33" t="n">
        <f aca="false">IF(B516&gt;=9,AVERAGE(C508:C515),"")</f>
        <v>25.75</v>
      </c>
      <c r="G516" s="33" t="n">
        <f aca="false">IF(B516=1,"",IF(B516=2,C515,SES_Alpha*C515+(1-SES_Alpha)*G515))</f>
        <v>27.0317975174304</v>
      </c>
      <c r="H516" s="33" t="n">
        <f aca="false">IF(D516="","",D516-C516)</f>
        <v>7</v>
      </c>
      <c r="I516" s="33" t="n">
        <f aca="false">IF(E516="","",E516-C516)</f>
        <v>4.25</v>
      </c>
      <c r="J516" s="33" t="n">
        <f aca="false">IF(F516="","",F516-C516)</f>
        <v>2.75</v>
      </c>
      <c r="K516" s="33" t="n">
        <f aca="false">IF(G516="","",G516-C516)</f>
        <v>4.03179751743045</v>
      </c>
      <c r="L516" s="33" t="n">
        <f aca="false">IF(H516="","",ABS(H516))</f>
        <v>7</v>
      </c>
      <c r="M516" s="33" t="n">
        <f aca="false">IF(I516="","",ABS(I516))</f>
        <v>4.25</v>
      </c>
      <c r="N516" s="33" t="n">
        <f aca="false">IF(J516="","",ABS(J516))</f>
        <v>2.75</v>
      </c>
      <c r="O516" s="33" t="n">
        <f aca="false">IF(K516="","",ABS(K516))</f>
        <v>4.03179751743045</v>
      </c>
      <c r="P516" s="34" t="str">
        <f aca="false">IF(B516&gt;=Eval_Start_Week,"YES","")</f>
        <v>YES</v>
      </c>
      <c r="Q516" s="34" t="str">
        <f aca="false">IF(AND(B516&gt;=Cal_Start_Week,B516&lt;=Cal_End_Week),"YES","")</f>
        <v/>
      </c>
    </row>
    <row r="517" customFormat="false" ht="15" hidden="false" customHeight="false" outlineLevel="0" collapsed="false">
      <c r="A517" s="31" t="str">
        <f aca="false">Demand_History!C517</f>
        <v>KIT-005</v>
      </c>
      <c r="B517" s="31" t="n">
        <f aca="false">Demand_History!A517</f>
        <v>100</v>
      </c>
      <c r="C517" s="32" t="n">
        <f aca="false">Demand_History!D517</f>
        <v>21</v>
      </c>
      <c r="D517" s="33" t="n">
        <f aca="false">IF(B517&gt;=2,C516,"")</f>
        <v>23</v>
      </c>
      <c r="E517" s="33" t="n">
        <f aca="false">IF(B517&gt;=5,AVERAGE(C513:C516),"")</f>
        <v>26.75</v>
      </c>
      <c r="F517" s="33" t="n">
        <f aca="false">IF(B517&gt;=9,AVERAGE(C509:C516),"")</f>
        <v>25.375</v>
      </c>
      <c r="G517" s="33" t="n">
        <f aca="false">IF(B517=1,"",IF(B517=2,C516,SES_Alpha*C516+(1-SES_Alpha)*G516))</f>
        <v>25.8222582622013</v>
      </c>
      <c r="H517" s="33" t="n">
        <f aca="false">IF(D517="","",D517-C517)</f>
        <v>2</v>
      </c>
      <c r="I517" s="33" t="n">
        <f aca="false">IF(E517="","",E517-C517)</f>
        <v>5.75</v>
      </c>
      <c r="J517" s="33" t="n">
        <f aca="false">IF(F517="","",F517-C517)</f>
        <v>4.375</v>
      </c>
      <c r="K517" s="33" t="n">
        <f aca="false">IF(G517="","",G517-C517)</f>
        <v>4.82225826220131</v>
      </c>
      <c r="L517" s="33" t="n">
        <f aca="false">IF(H517="","",ABS(H517))</f>
        <v>2</v>
      </c>
      <c r="M517" s="33" t="n">
        <f aca="false">IF(I517="","",ABS(I517))</f>
        <v>5.75</v>
      </c>
      <c r="N517" s="33" t="n">
        <f aca="false">IF(J517="","",ABS(J517))</f>
        <v>4.375</v>
      </c>
      <c r="O517" s="33" t="n">
        <f aca="false">IF(K517="","",ABS(K517))</f>
        <v>4.82225826220131</v>
      </c>
      <c r="P517" s="34" t="str">
        <f aca="false">IF(B517&gt;=Eval_Start_Week,"YES","")</f>
        <v>YES</v>
      </c>
      <c r="Q517" s="34" t="str">
        <f aca="false">IF(AND(B517&gt;=Cal_Start_Week,B517&lt;=Cal_End_Week),"YES","")</f>
        <v/>
      </c>
    </row>
    <row r="518" customFormat="false" ht="15" hidden="false" customHeight="false" outlineLevel="0" collapsed="false">
      <c r="A518" s="31" t="str">
        <f aca="false">Demand_History!C518</f>
        <v>KIT-005</v>
      </c>
      <c r="B518" s="31" t="n">
        <f aca="false">Demand_History!A518</f>
        <v>101</v>
      </c>
      <c r="C518" s="32" t="n">
        <f aca="false">Demand_History!D518</f>
        <v>23</v>
      </c>
      <c r="D518" s="33" t="n">
        <f aca="false">IF(B518&gt;=2,C517,"")</f>
        <v>21</v>
      </c>
      <c r="E518" s="33" t="n">
        <f aca="false">IF(B518&gt;=5,AVERAGE(C514:C517),"")</f>
        <v>25.75</v>
      </c>
      <c r="F518" s="33" t="n">
        <f aca="false">IF(B518&gt;=9,AVERAGE(C510:C517),"")</f>
        <v>24.875</v>
      </c>
      <c r="G518" s="33" t="n">
        <f aca="false">IF(B518=1,"",IF(B518=2,C517,SES_Alpha*C517+(1-SES_Alpha)*G517))</f>
        <v>24.3755807835409</v>
      </c>
      <c r="H518" s="33" t="n">
        <f aca="false">IF(D518="","",D518-C518)</f>
        <v>-2</v>
      </c>
      <c r="I518" s="33" t="n">
        <f aca="false">IF(E518="","",E518-C518)</f>
        <v>2.75</v>
      </c>
      <c r="J518" s="33" t="n">
        <f aca="false">IF(F518="","",F518-C518)</f>
        <v>1.875</v>
      </c>
      <c r="K518" s="33" t="n">
        <f aca="false">IF(G518="","",G518-C518)</f>
        <v>1.37558078354092</v>
      </c>
      <c r="L518" s="33" t="n">
        <f aca="false">IF(H518="","",ABS(H518))</f>
        <v>2</v>
      </c>
      <c r="M518" s="33" t="n">
        <f aca="false">IF(I518="","",ABS(I518))</f>
        <v>2.75</v>
      </c>
      <c r="N518" s="33" t="n">
        <f aca="false">IF(J518="","",ABS(J518))</f>
        <v>1.875</v>
      </c>
      <c r="O518" s="33" t="n">
        <f aca="false">IF(K518="","",ABS(K518))</f>
        <v>1.37558078354092</v>
      </c>
      <c r="P518" s="34" t="str">
        <f aca="false">IF(B518&gt;=Eval_Start_Week,"YES","")</f>
        <v>YES</v>
      </c>
      <c r="Q518" s="34" t="str">
        <f aca="false">IF(AND(B518&gt;=Cal_Start_Week,B518&lt;=Cal_End_Week),"YES","")</f>
        <v/>
      </c>
    </row>
    <row r="519" customFormat="false" ht="15" hidden="false" customHeight="false" outlineLevel="0" collapsed="false">
      <c r="A519" s="31" t="str">
        <f aca="false">Demand_History!C519</f>
        <v>KIT-005</v>
      </c>
      <c r="B519" s="31" t="n">
        <f aca="false">Demand_History!A519</f>
        <v>102</v>
      </c>
      <c r="C519" s="32" t="n">
        <f aca="false">Demand_History!D519</f>
        <v>21</v>
      </c>
      <c r="D519" s="33" t="n">
        <f aca="false">IF(B519&gt;=2,C518,"")</f>
        <v>23</v>
      </c>
      <c r="E519" s="33" t="n">
        <f aca="false">IF(B519&gt;=5,AVERAGE(C515:C518),"")</f>
        <v>24.25</v>
      </c>
      <c r="F519" s="33" t="n">
        <f aca="false">IF(B519&gt;=9,AVERAGE(C511:C518),"")</f>
        <v>24.625</v>
      </c>
      <c r="G519" s="33" t="n">
        <f aca="false">IF(B519=1,"",IF(B519=2,C518,SES_Alpha*C518+(1-SES_Alpha)*G518))</f>
        <v>23.9629065484786</v>
      </c>
      <c r="H519" s="33" t="n">
        <f aca="false">IF(D519="","",D519-C519)</f>
        <v>2</v>
      </c>
      <c r="I519" s="33" t="n">
        <f aca="false">IF(E519="","",E519-C519)</f>
        <v>3.25</v>
      </c>
      <c r="J519" s="33" t="n">
        <f aca="false">IF(F519="","",F519-C519)</f>
        <v>3.625</v>
      </c>
      <c r="K519" s="33" t="n">
        <f aca="false">IF(G519="","",G519-C519)</f>
        <v>2.96290654847864</v>
      </c>
      <c r="L519" s="33" t="n">
        <f aca="false">IF(H519="","",ABS(H519))</f>
        <v>2</v>
      </c>
      <c r="M519" s="33" t="n">
        <f aca="false">IF(I519="","",ABS(I519))</f>
        <v>3.25</v>
      </c>
      <c r="N519" s="33" t="n">
        <f aca="false">IF(J519="","",ABS(J519))</f>
        <v>3.625</v>
      </c>
      <c r="O519" s="33" t="n">
        <f aca="false">IF(K519="","",ABS(K519))</f>
        <v>2.96290654847864</v>
      </c>
      <c r="P519" s="34" t="str">
        <f aca="false">IF(B519&gt;=Eval_Start_Week,"YES","")</f>
        <v>YES</v>
      </c>
      <c r="Q519" s="34" t="str">
        <f aca="false">IF(AND(B519&gt;=Cal_Start_Week,B519&lt;=Cal_End_Week),"YES","")</f>
        <v/>
      </c>
    </row>
    <row r="520" customFormat="false" ht="15" hidden="false" customHeight="false" outlineLevel="0" collapsed="false">
      <c r="A520" s="31" t="str">
        <f aca="false">Demand_History!C520</f>
        <v>KIT-005</v>
      </c>
      <c r="B520" s="31" t="n">
        <f aca="false">Demand_History!A520</f>
        <v>103</v>
      </c>
      <c r="C520" s="32" t="n">
        <f aca="false">Demand_History!D520</f>
        <v>21</v>
      </c>
      <c r="D520" s="33" t="n">
        <f aca="false">IF(B520&gt;=2,C519,"")</f>
        <v>21</v>
      </c>
      <c r="E520" s="33" t="n">
        <f aca="false">IF(B520&gt;=5,AVERAGE(C516:C519),"")</f>
        <v>22</v>
      </c>
      <c r="F520" s="33" t="n">
        <f aca="false">IF(B520&gt;=9,AVERAGE(C512:C519),"")</f>
        <v>24.625</v>
      </c>
      <c r="G520" s="33" t="n">
        <f aca="false">IF(B520=1,"",IF(B520=2,C519,SES_Alpha*C519+(1-SES_Alpha)*G519))</f>
        <v>23.074034583935</v>
      </c>
      <c r="H520" s="33" t="n">
        <f aca="false">IF(D520="","",D520-C520)</f>
        <v>0</v>
      </c>
      <c r="I520" s="33" t="n">
        <f aca="false">IF(E520="","",E520-C520)</f>
        <v>1</v>
      </c>
      <c r="J520" s="33" t="n">
        <f aca="false">IF(F520="","",F520-C520)</f>
        <v>3.625</v>
      </c>
      <c r="K520" s="33" t="n">
        <f aca="false">IF(G520="","",G520-C520)</f>
        <v>2.07403458393505</v>
      </c>
      <c r="L520" s="33" t="n">
        <f aca="false">IF(H520="","",ABS(H520))</f>
        <v>0</v>
      </c>
      <c r="M520" s="33" t="n">
        <f aca="false">IF(I520="","",ABS(I520))</f>
        <v>1</v>
      </c>
      <c r="N520" s="33" t="n">
        <f aca="false">IF(J520="","",ABS(J520))</f>
        <v>3.625</v>
      </c>
      <c r="O520" s="33" t="n">
        <f aca="false">IF(K520="","",ABS(K520))</f>
        <v>2.07403458393505</v>
      </c>
      <c r="P520" s="34" t="str">
        <f aca="false">IF(B520&gt;=Eval_Start_Week,"YES","")</f>
        <v>YES</v>
      </c>
      <c r="Q520" s="34" t="str">
        <f aca="false">IF(AND(B520&gt;=Cal_Start_Week,B520&lt;=Cal_End_Week),"YES","")</f>
        <v/>
      </c>
    </row>
    <row r="521" customFormat="false" ht="15" hidden="false" customHeight="false" outlineLevel="0" collapsed="false">
      <c r="A521" s="31" t="str">
        <f aca="false">Demand_History!C521</f>
        <v>KIT-005</v>
      </c>
      <c r="B521" s="31" t="n">
        <f aca="false">Demand_History!A521</f>
        <v>104</v>
      </c>
      <c r="C521" s="32" t="n">
        <f aca="false">Demand_History!D521</f>
        <v>23</v>
      </c>
      <c r="D521" s="33" t="n">
        <f aca="false">IF(B521&gt;=2,C520,"")</f>
        <v>21</v>
      </c>
      <c r="E521" s="33" t="n">
        <f aca="false">IF(B521&gt;=5,AVERAGE(C517:C520),"")</f>
        <v>21.5</v>
      </c>
      <c r="F521" s="33" t="n">
        <f aca="false">IF(B521&gt;=9,AVERAGE(C513:C520),"")</f>
        <v>24.125</v>
      </c>
      <c r="G521" s="33" t="n">
        <f aca="false">IF(B521=1,"",IF(B521=2,C520,SES_Alpha*C520+(1-SES_Alpha)*G520))</f>
        <v>22.4518242087545</v>
      </c>
      <c r="H521" s="33" t="n">
        <f aca="false">IF(D521="","",D521-C521)</f>
        <v>-2</v>
      </c>
      <c r="I521" s="33" t="n">
        <f aca="false">IF(E521="","",E521-C521)</f>
        <v>-1.5</v>
      </c>
      <c r="J521" s="33" t="n">
        <f aca="false">IF(F521="","",F521-C521)</f>
        <v>1.125</v>
      </c>
      <c r="K521" s="33" t="n">
        <f aca="false">IF(G521="","",G521-C521)</f>
        <v>-0.54817579124547</v>
      </c>
      <c r="L521" s="33" t="n">
        <f aca="false">IF(H521="","",ABS(H521))</f>
        <v>2</v>
      </c>
      <c r="M521" s="33" t="n">
        <f aca="false">IF(I521="","",ABS(I521))</f>
        <v>1.5</v>
      </c>
      <c r="N521" s="33" t="n">
        <f aca="false">IF(J521="","",ABS(J521))</f>
        <v>1.125</v>
      </c>
      <c r="O521" s="33" t="n">
        <f aca="false">IF(K521="","",ABS(K521))</f>
        <v>0.54817579124547</v>
      </c>
      <c r="P521" s="34" t="str">
        <f aca="false">IF(B521&gt;=Eval_Start_Week,"YES","")</f>
        <v>YES</v>
      </c>
      <c r="Q521" s="34" t="str">
        <f aca="false">IF(AND(B521&gt;=Cal_Start_Week,B521&lt;=Cal_End_Week),"YES","")</f>
        <v/>
      </c>
    </row>
    <row r="522" customFormat="false" ht="15" hidden="false" customHeight="false" outlineLevel="0" collapsed="false">
      <c r="A522" s="31" t="str">
        <f aca="false">Demand_History!C522</f>
        <v>KIT-006</v>
      </c>
      <c r="B522" s="31" t="n">
        <f aca="false">Demand_History!A522</f>
        <v>1</v>
      </c>
      <c r="C522" s="32" t="n">
        <f aca="false">Demand_History!D522</f>
        <v>67</v>
      </c>
      <c r="D522" s="33" t="str">
        <f aca="false">IF(B522&gt;=2,C521,"")</f>
        <v/>
      </c>
      <c r="E522" s="33" t="str">
        <f aca="false">IF(B522&gt;=5,AVERAGE(C518:C521),"")</f>
        <v/>
      </c>
      <c r="F522" s="33" t="str">
        <f aca="false">IF(B522&gt;=9,AVERAGE(C514:C521),"")</f>
        <v/>
      </c>
      <c r="G522" s="33" t="str">
        <f aca="false">IF(B522=1,"",IF(B522=2,C521,SES_Alpha*C521+(1-SES_Alpha)*G521))</f>
        <v/>
      </c>
      <c r="H522" s="33" t="str">
        <f aca="false">IF(D522="","",D522-C522)</f>
        <v/>
      </c>
      <c r="I522" s="33" t="str">
        <f aca="false">IF(E522="","",E522-C522)</f>
        <v/>
      </c>
      <c r="J522" s="33" t="str">
        <f aca="false">IF(F522="","",F522-C522)</f>
        <v/>
      </c>
      <c r="K522" s="33" t="str">
        <f aca="false">IF(G522="","",G522-C522)</f>
        <v/>
      </c>
      <c r="L522" s="33" t="str">
        <f aca="false">IF(H522="","",ABS(H522))</f>
        <v/>
      </c>
      <c r="M522" s="33" t="str">
        <f aca="false">IF(I522="","",ABS(I522))</f>
        <v/>
      </c>
      <c r="N522" s="33" t="str">
        <f aca="false">IF(J522="","",ABS(J522))</f>
        <v/>
      </c>
      <c r="O522" s="33" t="str">
        <f aca="false">IF(K522="","",ABS(K522))</f>
        <v/>
      </c>
      <c r="P522" s="34" t="str">
        <f aca="false">IF(B522&gt;=Eval_Start_Week,"YES","")</f>
        <v/>
      </c>
      <c r="Q522" s="34" t="str">
        <f aca="false">IF(AND(B522&gt;=Cal_Start_Week,B522&lt;=Cal_End_Week),"YES","")</f>
        <v/>
      </c>
    </row>
    <row r="523" customFormat="false" ht="15" hidden="false" customHeight="false" outlineLevel="0" collapsed="false">
      <c r="A523" s="31" t="str">
        <f aca="false">Demand_History!C523</f>
        <v>KIT-006</v>
      </c>
      <c r="B523" s="31" t="n">
        <f aca="false">Demand_History!A523</f>
        <v>2</v>
      </c>
      <c r="C523" s="32" t="n">
        <f aca="false">Demand_History!D523</f>
        <v>53</v>
      </c>
      <c r="D523" s="33" t="n">
        <f aca="false">IF(B523&gt;=2,C522,"")</f>
        <v>67</v>
      </c>
      <c r="E523" s="33" t="str">
        <f aca="false">IF(B523&gt;=5,AVERAGE(C519:C522),"")</f>
        <v/>
      </c>
      <c r="F523" s="33" t="str">
        <f aca="false">IF(B523&gt;=9,AVERAGE(C515:C522),"")</f>
        <v/>
      </c>
      <c r="G523" s="33" t="n">
        <f aca="false">IF(B523=1,"",IF(B523=2,C522,SES_Alpha*C522+(1-SES_Alpha)*G522))</f>
        <v>67</v>
      </c>
      <c r="H523" s="33" t="n">
        <f aca="false">IF(D523="","",D523-C523)</f>
        <v>14</v>
      </c>
      <c r="I523" s="33" t="str">
        <f aca="false">IF(E523="","",E523-C523)</f>
        <v/>
      </c>
      <c r="J523" s="33" t="str">
        <f aca="false">IF(F523="","",F523-C523)</f>
        <v/>
      </c>
      <c r="K523" s="33" t="n">
        <f aca="false">IF(G523="","",G523-C523)</f>
        <v>14</v>
      </c>
      <c r="L523" s="33" t="n">
        <f aca="false">IF(H523="","",ABS(H523))</f>
        <v>14</v>
      </c>
      <c r="M523" s="33" t="str">
        <f aca="false">IF(I523="","",ABS(I523))</f>
        <v/>
      </c>
      <c r="N523" s="33" t="str">
        <f aca="false">IF(J523="","",ABS(J523))</f>
        <v/>
      </c>
      <c r="O523" s="33" t="n">
        <f aca="false">IF(K523="","",ABS(K523))</f>
        <v>14</v>
      </c>
      <c r="P523" s="34" t="str">
        <f aca="false">IF(B523&gt;=Eval_Start_Week,"YES","")</f>
        <v/>
      </c>
      <c r="Q523" s="34" t="str">
        <f aca="false">IF(AND(B523&gt;=Cal_Start_Week,B523&lt;=Cal_End_Week),"YES","")</f>
        <v/>
      </c>
    </row>
    <row r="524" customFormat="false" ht="15" hidden="false" customHeight="false" outlineLevel="0" collapsed="false">
      <c r="A524" s="31" t="str">
        <f aca="false">Demand_History!C524</f>
        <v>KIT-006</v>
      </c>
      <c r="B524" s="31" t="n">
        <f aca="false">Demand_History!A524</f>
        <v>3</v>
      </c>
      <c r="C524" s="32" t="n">
        <f aca="false">Demand_History!D524</f>
        <v>60</v>
      </c>
      <c r="D524" s="33" t="n">
        <f aca="false">IF(B524&gt;=2,C523,"")</f>
        <v>53</v>
      </c>
      <c r="E524" s="33" t="str">
        <f aca="false">IF(B524&gt;=5,AVERAGE(C520:C523),"")</f>
        <v/>
      </c>
      <c r="F524" s="33" t="str">
        <f aca="false">IF(B524&gt;=9,AVERAGE(C516:C523),"")</f>
        <v/>
      </c>
      <c r="G524" s="33" t="n">
        <f aca="false">IF(B524=1,"",IF(B524=2,C523,SES_Alpha*C523+(1-SES_Alpha)*G523))</f>
        <v>62.8</v>
      </c>
      <c r="H524" s="33" t="n">
        <f aca="false">IF(D524="","",D524-C524)</f>
        <v>-7</v>
      </c>
      <c r="I524" s="33" t="str">
        <f aca="false">IF(E524="","",E524-C524)</f>
        <v/>
      </c>
      <c r="J524" s="33" t="str">
        <f aca="false">IF(F524="","",F524-C524)</f>
        <v/>
      </c>
      <c r="K524" s="33" t="n">
        <f aca="false">IF(G524="","",G524-C524)</f>
        <v>2.8</v>
      </c>
      <c r="L524" s="33" t="n">
        <f aca="false">IF(H524="","",ABS(H524))</f>
        <v>7</v>
      </c>
      <c r="M524" s="33" t="str">
        <f aca="false">IF(I524="","",ABS(I524))</f>
        <v/>
      </c>
      <c r="N524" s="33" t="str">
        <f aca="false">IF(J524="","",ABS(J524))</f>
        <v/>
      </c>
      <c r="O524" s="33" t="n">
        <f aca="false">IF(K524="","",ABS(K524))</f>
        <v>2.8</v>
      </c>
      <c r="P524" s="34" t="str">
        <f aca="false">IF(B524&gt;=Eval_Start_Week,"YES","")</f>
        <v/>
      </c>
      <c r="Q524" s="34" t="str">
        <f aca="false">IF(AND(B524&gt;=Cal_Start_Week,B524&lt;=Cal_End_Week),"YES","")</f>
        <v/>
      </c>
    </row>
    <row r="525" customFormat="false" ht="15" hidden="false" customHeight="false" outlineLevel="0" collapsed="false">
      <c r="A525" s="31" t="str">
        <f aca="false">Demand_History!C525</f>
        <v>KIT-006</v>
      </c>
      <c r="B525" s="31" t="n">
        <f aca="false">Demand_History!A525</f>
        <v>4</v>
      </c>
      <c r="C525" s="32" t="n">
        <f aca="false">Demand_History!D525</f>
        <v>51</v>
      </c>
      <c r="D525" s="33" t="n">
        <f aca="false">IF(B525&gt;=2,C524,"")</f>
        <v>60</v>
      </c>
      <c r="E525" s="33" t="str">
        <f aca="false">IF(B525&gt;=5,AVERAGE(C521:C524),"")</f>
        <v/>
      </c>
      <c r="F525" s="33" t="str">
        <f aca="false">IF(B525&gt;=9,AVERAGE(C517:C524),"")</f>
        <v/>
      </c>
      <c r="G525" s="33" t="n">
        <f aca="false">IF(B525=1,"",IF(B525=2,C524,SES_Alpha*C524+(1-SES_Alpha)*G524))</f>
        <v>61.96</v>
      </c>
      <c r="H525" s="33" t="n">
        <f aca="false">IF(D525="","",D525-C525)</f>
        <v>9</v>
      </c>
      <c r="I525" s="33" t="str">
        <f aca="false">IF(E525="","",E525-C525)</f>
        <v/>
      </c>
      <c r="J525" s="33" t="str">
        <f aca="false">IF(F525="","",F525-C525)</f>
        <v/>
      </c>
      <c r="K525" s="33" t="n">
        <f aca="false">IF(G525="","",G525-C525)</f>
        <v>10.96</v>
      </c>
      <c r="L525" s="33" t="n">
        <f aca="false">IF(H525="","",ABS(H525))</f>
        <v>9</v>
      </c>
      <c r="M525" s="33" t="str">
        <f aca="false">IF(I525="","",ABS(I525))</f>
        <v/>
      </c>
      <c r="N525" s="33" t="str">
        <f aca="false">IF(J525="","",ABS(J525))</f>
        <v/>
      </c>
      <c r="O525" s="33" t="n">
        <f aca="false">IF(K525="","",ABS(K525))</f>
        <v>10.96</v>
      </c>
      <c r="P525" s="34" t="str">
        <f aca="false">IF(B525&gt;=Eval_Start_Week,"YES","")</f>
        <v/>
      </c>
      <c r="Q525" s="34" t="str">
        <f aca="false">IF(AND(B525&gt;=Cal_Start_Week,B525&lt;=Cal_End_Week),"YES","")</f>
        <v/>
      </c>
    </row>
    <row r="526" customFormat="false" ht="15" hidden="false" customHeight="false" outlineLevel="0" collapsed="false">
      <c r="A526" s="31" t="str">
        <f aca="false">Demand_History!C526</f>
        <v>KIT-006</v>
      </c>
      <c r="B526" s="31" t="n">
        <f aca="false">Demand_History!A526</f>
        <v>5</v>
      </c>
      <c r="C526" s="32" t="n">
        <f aca="false">Demand_History!D526</f>
        <v>41</v>
      </c>
      <c r="D526" s="33" t="n">
        <f aca="false">IF(B526&gt;=2,C525,"")</f>
        <v>51</v>
      </c>
      <c r="E526" s="33" t="n">
        <f aca="false">IF(B526&gt;=5,AVERAGE(C522:C525),"")</f>
        <v>57.75</v>
      </c>
      <c r="F526" s="33" t="str">
        <f aca="false">IF(B526&gt;=9,AVERAGE(C518:C525),"")</f>
        <v/>
      </c>
      <c r="G526" s="33" t="n">
        <f aca="false">IF(B526=1,"",IF(B526=2,C525,SES_Alpha*C525+(1-SES_Alpha)*G525))</f>
        <v>58.672</v>
      </c>
      <c r="H526" s="33" t="n">
        <f aca="false">IF(D526="","",D526-C526)</f>
        <v>10</v>
      </c>
      <c r="I526" s="33" t="n">
        <f aca="false">IF(E526="","",E526-C526)</f>
        <v>16.75</v>
      </c>
      <c r="J526" s="33" t="str">
        <f aca="false">IF(F526="","",F526-C526)</f>
        <v/>
      </c>
      <c r="K526" s="33" t="n">
        <f aca="false">IF(G526="","",G526-C526)</f>
        <v>17.672</v>
      </c>
      <c r="L526" s="33" t="n">
        <f aca="false">IF(H526="","",ABS(H526))</f>
        <v>10</v>
      </c>
      <c r="M526" s="33" t="n">
        <f aca="false">IF(I526="","",ABS(I526))</f>
        <v>16.75</v>
      </c>
      <c r="N526" s="33" t="str">
        <f aca="false">IF(J526="","",ABS(J526))</f>
        <v/>
      </c>
      <c r="O526" s="33" t="n">
        <f aca="false">IF(K526="","",ABS(K526))</f>
        <v>17.672</v>
      </c>
      <c r="P526" s="34" t="str">
        <f aca="false">IF(B526&gt;=Eval_Start_Week,"YES","")</f>
        <v/>
      </c>
      <c r="Q526" s="34" t="str">
        <f aca="false">IF(AND(B526&gt;=Cal_Start_Week,B526&lt;=Cal_End_Week),"YES","")</f>
        <v/>
      </c>
    </row>
    <row r="527" customFormat="false" ht="15" hidden="false" customHeight="false" outlineLevel="0" collapsed="false">
      <c r="A527" s="31" t="str">
        <f aca="false">Demand_History!C527</f>
        <v>KIT-006</v>
      </c>
      <c r="B527" s="31" t="n">
        <f aca="false">Demand_History!A527</f>
        <v>6</v>
      </c>
      <c r="C527" s="32" t="n">
        <f aca="false">Demand_History!D527</f>
        <v>37</v>
      </c>
      <c r="D527" s="33" t="n">
        <f aca="false">IF(B527&gt;=2,C526,"")</f>
        <v>41</v>
      </c>
      <c r="E527" s="33" t="n">
        <f aca="false">IF(B527&gt;=5,AVERAGE(C523:C526),"")</f>
        <v>51.25</v>
      </c>
      <c r="F527" s="33" t="str">
        <f aca="false">IF(B527&gt;=9,AVERAGE(C519:C526),"")</f>
        <v/>
      </c>
      <c r="G527" s="33" t="n">
        <f aca="false">IF(B527=1,"",IF(B527=2,C526,SES_Alpha*C526+(1-SES_Alpha)*G526))</f>
        <v>53.3704</v>
      </c>
      <c r="H527" s="33" t="n">
        <f aca="false">IF(D527="","",D527-C527)</f>
        <v>4</v>
      </c>
      <c r="I527" s="33" t="n">
        <f aca="false">IF(E527="","",E527-C527)</f>
        <v>14.25</v>
      </c>
      <c r="J527" s="33" t="str">
        <f aca="false">IF(F527="","",F527-C527)</f>
        <v/>
      </c>
      <c r="K527" s="33" t="n">
        <f aca="false">IF(G527="","",G527-C527)</f>
        <v>16.3704</v>
      </c>
      <c r="L527" s="33" t="n">
        <f aca="false">IF(H527="","",ABS(H527))</f>
        <v>4</v>
      </c>
      <c r="M527" s="33" t="n">
        <f aca="false">IF(I527="","",ABS(I527))</f>
        <v>14.25</v>
      </c>
      <c r="N527" s="33" t="str">
        <f aca="false">IF(J527="","",ABS(J527))</f>
        <v/>
      </c>
      <c r="O527" s="33" t="n">
        <f aca="false">IF(K527="","",ABS(K527))</f>
        <v>16.3704</v>
      </c>
      <c r="P527" s="34" t="str">
        <f aca="false">IF(B527&gt;=Eval_Start_Week,"YES","")</f>
        <v/>
      </c>
      <c r="Q527" s="34" t="str">
        <f aca="false">IF(AND(B527&gt;=Cal_Start_Week,B527&lt;=Cal_End_Week),"YES","")</f>
        <v/>
      </c>
    </row>
    <row r="528" customFormat="false" ht="15" hidden="false" customHeight="false" outlineLevel="0" collapsed="false">
      <c r="A528" s="31" t="str">
        <f aca="false">Demand_History!C528</f>
        <v>KIT-006</v>
      </c>
      <c r="B528" s="31" t="n">
        <f aca="false">Demand_History!A528</f>
        <v>7</v>
      </c>
      <c r="C528" s="32" t="n">
        <f aca="false">Demand_History!D528</f>
        <v>50</v>
      </c>
      <c r="D528" s="33" t="n">
        <f aca="false">IF(B528&gt;=2,C527,"")</f>
        <v>37</v>
      </c>
      <c r="E528" s="33" t="n">
        <f aca="false">IF(B528&gt;=5,AVERAGE(C524:C527),"")</f>
        <v>47.25</v>
      </c>
      <c r="F528" s="33" t="str">
        <f aca="false">IF(B528&gt;=9,AVERAGE(C520:C527),"")</f>
        <v/>
      </c>
      <c r="G528" s="33" t="n">
        <f aca="false">IF(B528=1,"",IF(B528=2,C527,SES_Alpha*C527+(1-SES_Alpha)*G527))</f>
        <v>48.45928</v>
      </c>
      <c r="H528" s="33" t="n">
        <f aca="false">IF(D528="","",D528-C528)</f>
        <v>-13</v>
      </c>
      <c r="I528" s="33" t="n">
        <f aca="false">IF(E528="","",E528-C528)</f>
        <v>-2.75</v>
      </c>
      <c r="J528" s="33" t="str">
        <f aca="false">IF(F528="","",F528-C528)</f>
        <v/>
      </c>
      <c r="K528" s="33" t="n">
        <f aca="false">IF(G528="","",G528-C528)</f>
        <v>-1.54072000000001</v>
      </c>
      <c r="L528" s="33" t="n">
        <f aca="false">IF(H528="","",ABS(H528))</f>
        <v>13</v>
      </c>
      <c r="M528" s="33" t="n">
        <f aca="false">IF(I528="","",ABS(I528))</f>
        <v>2.75</v>
      </c>
      <c r="N528" s="33" t="str">
        <f aca="false">IF(J528="","",ABS(J528))</f>
        <v/>
      </c>
      <c r="O528" s="33" t="n">
        <f aca="false">IF(K528="","",ABS(K528))</f>
        <v>1.54072000000001</v>
      </c>
      <c r="P528" s="34" t="str">
        <f aca="false">IF(B528&gt;=Eval_Start_Week,"YES","")</f>
        <v/>
      </c>
      <c r="Q528" s="34" t="str">
        <f aca="false">IF(AND(B528&gt;=Cal_Start_Week,B528&lt;=Cal_End_Week),"YES","")</f>
        <v/>
      </c>
    </row>
    <row r="529" customFormat="false" ht="15" hidden="false" customHeight="false" outlineLevel="0" collapsed="false">
      <c r="A529" s="31" t="str">
        <f aca="false">Demand_History!C529</f>
        <v>KIT-006</v>
      </c>
      <c r="B529" s="31" t="n">
        <f aca="false">Demand_History!A529</f>
        <v>8</v>
      </c>
      <c r="C529" s="32" t="n">
        <f aca="false">Demand_History!D529</f>
        <v>44</v>
      </c>
      <c r="D529" s="33" t="n">
        <f aca="false">IF(B529&gt;=2,C528,"")</f>
        <v>50</v>
      </c>
      <c r="E529" s="33" t="n">
        <f aca="false">IF(B529&gt;=5,AVERAGE(C525:C528),"")</f>
        <v>44.75</v>
      </c>
      <c r="F529" s="33" t="str">
        <f aca="false">IF(B529&gt;=9,AVERAGE(C521:C528),"")</f>
        <v/>
      </c>
      <c r="G529" s="33" t="n">
        <f aca="false">IF(B529=1,"",IF(B529=2,C528,SES_Alpha*C528+(1-SES_Alpha)*G528))</f>
        <v>48.921496</v>
      </c>
      <c r="H529" s="33" t="n">
        <f aca="false">IF(D529="","",D529-C529)</f>
        <v>6</v>
      </c>
      <c r="I529" s="33" t="n">
        <f aca="false">IF(E529="","",E529-C529)</f>
        <v>0.75</v>
      </c>
      <c r="J529" s="33" t="str">
        <f aca="false">IF(F529="","",F529-C529)</f>
        <v/>
      </c>
      <c r="K529" s="33" t="n">
        <f aca="false">IF(G529="","",G529-C529)</f>
        <v>4.92149599999999</v>
      </c>
      <c r="L529" s="33" t="n">
        <f aca="false">IF(H529="","",ABS(H529))</f>
        <v>6</v>
      </c>
      <c r="M529" s="33" t="n">
        <f aca="false">IF(I529="","",ABS(I529))</f>
        <v>0.75</v>
      </c>
      <c r="N529" s="33" t="str">
        <f aca="false">IF(J529="","",ABS(J529))</f>
        <v/>
      </c>
      <c r="O529" s="33" t="n">
        <f aca="false">IF(K529="","",ABS(K529))</f>
        <v>4.92149599999999</v>
      </c>
      <c r="P529" s="34" t="str">
        <f aca="false">IF(B529&gt;=Eval_Start_Week,"YES","")</f>
        <v/>
      </c>
      <c r="Q529" s="34" t="str">
        <f aca="false">IF(AND(B529&gt;=Cal_Start_Week,B529&lt;=Cal_End_Week),"YES","")</f>
        <v/>
      </c>
    </row>
    <row r="530" customFormat="false" ht="15" hidden="false" customHeight="false" outlineLevel="0" collapsed="false">
      <c r="A530" s="31" t="str">
        <f aca="false">Demand_History!C530</f>
        <v>KIT-006</v>
      </c>
      <c r="B530" s="31" t="n">
        <f aca="false">Demand_History!A530</f>
        <v>9</v>
      </c>
      <c r="C530" s="32" t="n">
        <f aca="false">Demand_History!D530</f>
        <v>60</v>
      </c>
      <c r="D530" s="33" t="n">
        <f aca="false">IF(B530&gt;=2,C529,"")</f>
        <v>44</v>
      </c>
      <c r="E530" s="33" t="n">
        <f aca="false">IF(B530&gt;=5,AVERAGE(C526:C529),"")</f>
        <v>43</v>
      </c>
      <c r="F530" s="33" t="n">
        <f aca="false">IF(B530&gt;=9,AVERAGE(C522:C529),"")</f>
        <v>50.375</v>
      </c>
      <c r="G530" s="33" t="n">
        <f aca="false">IF(B530=1,"",IF(B530=2,C529,SES_Alpha*C529+(1-SES_Alpha)*G529))</f>
        <v>47.4450472</v>
      </c>
      <c r="H530" s="33" t="n">
        <f aca="false">IF(D530="","",D530-C530)</f>
        <v>-16</v>
      </c>
      <c r="I530" s="33" t="n">
        <f aca="false">IF(E530="","",E530-C530)</f>
        <v>-17</v>
      </c>
      <c r="J530" s="33" t="n">
        <f aca="false">IF(F530="","",F530-C530)</f>
        <v>-9.625</v>
      </c>
      <c r="K530" s="33" t="n">
        <f aca="false">IF(G530="","",G530-C530)</f>
        <v>-12.5549528</v>
      </c>
      <c r="L530" s="33" t="n">
        <f aca="false">IF(H530="","",ABS(H530))</f>
        <v>16</v>
      </c>
      <c r="M530" s="33" t="n">
        <f aca="false">IF(I530="","",ABS(I530))</f>
        <v>17</v>
      </c>
      <c r="N530" s="33" t="n">
        <f aca="false">IF(J530="","",ABS(J530))</f>
        <v>9.625</v>
      </c>
      <c r="O530" s="33" t="n">
        <f aca="false">IF(K530="","",ABS(K530))</f>
        <v>12.5549528</v>
      </c>
      <c r="P530" s="34" t="str">
        <f aca="false">IF(B530&gt;=Eval_Start_Week,"YES","")</f>
        <v/>
      </c>
      <c r="Q530" s="34" t="str">
        <f aca="false">IF(AND(B530&gt;=Cal_Start_Week,B530&lt;=Cal_End_Week),"YES","")</f>
        <v/>
      </c>
    </row>
    <row r="531" customFormat="false" ht="15" hidden="false" customHeight="false" outlineLevel="0" collapsed="false">
      <c r="A531" s="31" t="str">
        <f aca="false">Demand_History!C531</f>
        <v>KIT-006</v>
      </c>
      <c r="B531" s="31" t="n">
        <f aca="false">Demand_History!A531</f>
        <v>10</v>
      </c>
      <c r="C531" s="32" t="n">
        <f aca="false">Demand_History!D531</f>
        <v>55</v>
      </c>
      <c r="D531" s="33" t="n">
        <f aca="false">IF(B531&gt;=2,C530,"")</f>
        <v>60</v>
      </c>
      <c r="E531" s="33" t="n">
        <f aca="false">IF(B531&gt;=5,AVERAGE(C527:C530),"")</f>
        <v>47.75</v>
      </c>
      <c r="F531" s="33" t="n">
        <f aca="false">IF(B531&gt;=9,AVERAGE(C523:C530),"")</f>
        <v>49.5</v>
      </c>
      <c r="G531" s="33" t="n">
        <f aca="false">IF(B531=1,"",IF(B531=2,C530,SES_Alpha*C530+(1-SES_Alpha)*G530))</f>
        <v>51.21153304</v>
      </c>
      <c r="H531" s="33" t="n">
        <f aca="false">IF(D531="","",D531-C531)</f>
        <v>5</v>
      </c>
      <c r="I531" s="33" t="n">
        <f aca="false">IF(E531="","",E531-C531)</f>
        <v>-7.25</v>
      </c>
      <c r="J531" s="33" t="n">
        <f aca="false">IF(F531="","",F531-C531)</f>
        <v>-5.5</v>
      </c>
      <c r="K531" s="33" t="n">
        <f aca="false">IF(G531="","",G531-C531)</f>
        <v>-3.78846696000001</v>
      </c>
      <c r="L531" s="33" t="n">
        <f aca="false">IF(H531="","",ABS(H531))</f>
        <v>5</v>
      </c>
      <c r="M531" s="33" t="n">
        <f aca="false">IF(I531="","",ABS(I531))</f>
        <v>7.25</v>
      </c>
      <c r="N531" s="33" t="n">
        <f aca="false">IF(J531="","",ABS(J531))</f>
        <v>5.5</v>
      </c>
      <c r="O531" s="33" t="n">
        <f aca="false">IF(K531="","",ABS(K531))</f>
        <v>3.78846696000001</v>
      </c>
      <c r="P531" s="34" t="str">
        <f aca="false">IF(B531&gt;=Eval_Start_Week,"YES","")</f>
        <v/>
      </c>
      <c r="Q531" s="34" t="str">
        <f aca="false">IF(AND(B531&gt;=Cal_Start_Week,B531&lt;=Cal_End_Week),"YES","")</f>
        <v/>
      </c>
    </row>
    <row r="532" customFormat="false" ht="15" hidden="false" customHeight="false" outlineLevel="0" collapsed="false">
      <c r="A532" s="31" t="str">
        <f aca="false">Demand_History!C532</f>
        <v>KIT-006</v>
      </c>
      <c r="B532" s="31" t="n">
        <f aca="false">Demand_History!A532</f>
        <v>11</v>
      </c>
      <c r="C532" s="32" t="n">
        <f aca="false">Demand_History!D532</f>
        <v>29</v>
      </c>
      <c r="D532" s="33" t="n">
        <f aca="false">IF(B532&gt;=2,C531,"")</f>
        <v>55</v>
      </c>
      <c r="E532" s="33" t="n">
        <f aca="false">IF(B532&gt;=5,AVERAGE(C528:C531),"")</f>
        <v>52.25</v>
      </c>
      <c r="F532" s="33" t="n">
        <f aca="false">IF(B532&gt;=9,AVERAGE(C524:C531),"")</f>
        <v>49.75</v>
      </c>
      <c r="G532" s="33" t="n">
        <f aca="false">IF(B532=1,"",IF(B532=2,C531,SES_Alpha*C531+(1-SES_Alpha)*G531))</f>
        <v>52.348073128</v>
      </c>
      <c r="H532" s="33" t="n">
        <f aca="false">IF(D532="","",D532-C532)</f>
        <v>26</v>
      </c>
      <c r="I532" s="33" t="n">
        <f aca="false">IF(E532="","",E532-C532)</f>
        <v>23.25</v>
      </c>
      <c r="J532" s="33" t="n">
        <f aca="false">IF(F532="","",F532-C532)</f>
        <v>20.75</v>
      </c>
      <c r="K532" s="33" t="n">
        <f aca="false">IF(G532="","",G532-C532)</f>
        <v>23.348073128</v>
      </c>
      <c r="L532" s="33" t="n">
        <f aca="false">IF(H532="","",ABS(H532))</f>
        <v>26</v>
      </c>
      <c r="M532" s="33" t="n">
        <f aca="false">IF(I532="","",ABS(I532))</f>
        <v>23.25</v>
      </c>
      <c r="N532" s="33" t="n">
        <f aca="false">IF(J532="","",ABS(J532))</f>
        <v>20.75</v>
      </c>
      <c r="O532" s="33" t="n">
        <f aca="false">IF(K532="","",ABS(K532))</f>
        <v>23.348073128</v>
      </c>
      <c r="P532" s="34" t="str">
        <f aca="false">IF(B532&gt;=Eval_Start_Week,"YES","")</f>
        <v/>
      </c>
      <c r="Q532" s="34" t="str">
        <f aca="false">IF(AND(B532&gt;=Cal_Start_Week,B532&lt;=Cal_End_Week),"YES","")</f>
        <v/>
      </c>
    </row>
    <row r="533" customFormat="false" ht="15" hidden="false" customHeight="false" outlineLevel="0" collapsed="false">
      <c r="A533" s="31" t="str">
        <f aca="false">Demand_History!C533</f>
        <v>KIT-006</v>
      </c>
      <c r="B533" s="31" t="n">
        <f aca="false">Demand_History!A533</f>
        <v>12</v>
      </c>
      <c r="C533" s="32" t="n">
        <f aca="false">Demand_History!D533</f>
        <v>56</v>
      </c>
      <c r="D533" s="33" t="n">
        <f aca="false">IF(B533&gt;=2,C532,"")</f>
        <v>29</v>
      </c>
      <c r="E533" s="33" t="n">
        <f aca="false">IF(B533&gt;=5,AVERAGE(C529:C532),"")</f>
        <v>47</v>
      </c>
      <c r="F533" s="33" t="n">
        <f aca="false">IF(B533&gt;=9,AVERAGE(C525:C532),"")</f>
        <v>45.875</v>
      </c>
      <c r="G533" s="33" t="n">
        <f aca="false">IF(B533=1,"",IF(B533=2,C532,SES_Alpha*C532+(1-SES_Alpha)*G532))</f>
        <v>45.3436511896</v>
      </c>
      <c r="H533" s="33" t="n">
        <f aca="false">IF(D533="","",D533-C533)</f>
        <v>-27</v>
      </c>
      <c r="I533" s="33" t="n">
        <f aca="false">IF(E533="","",E533-C533)</f>
        <v>-9</v>
      </c>
      <c r="J533" s="33" t="n">
        <f aca="false">IF(F533="","",F533-C533)</f>
        <v>-10.125</v>
      </c>
      <c r="K533" s="33" t="n">
        <f aca="false">IF(G533="","",G533-C533)</f>
        <v>-10.6563488104</v>
      </c>
      <c r="L533" s="33" t="n">
        <f aca="false">IF(H533="","",ABS(H533))</f>
        <v>27</v>
      </c>
      <c r="M533" s="33" t="n">
        <f aca="false">IF(I533="","",ABS(I533))</f>
        <v>9</v>
      </c>
      <c r="N533" s="33" t="n">
        <f aca="false">IF(J533="","",ABS(J533))</f>
        <v>10.125</v>
      </c>
      <c r="O533" s="33" t="n">
        <f aca="false">IF(K533="","",ABS(K533))</f>
        <v>10.6563488104</v>
      </c>
      <c r="P533" s="34" t="str">
        <f aca="false">IF(B533&gt;=Eval_Start_Week,"YES","")</f>
        <v/>
      </c>
      <c r="Q533" s="34" t="str">
        <f aca="false">IF(AND(B533&gt;=Cal_Start_Week,B533&lt;=Cal_End_Week),"YES","")</f>
        <v/>
      </c>
    </row>
    <row r="534" customFormat="false" ht="15" hidden="false" customHeight="false" outlineLevel="0" collapsed="false">
      <c r="A534" s="31" t="str">
        <f aca="false">Demand_History!C534</f>
        <v>KIT-006</v>
      </c>
      <c r="B534" s="31" t="n">
        <f aca="false">Demand_History!A534</f>
        <v>13</v>
      </c>
      <c r="C534" s="32" t="n">
        <f aca="false">Demand_History!D534</f>
        <v>29</v>
      </c>
      <c r="D534" s="33" t="n">
        <f aca="false">IF(B534&gt;=2,C533,"")</f>
        <v>56</v>
      </c>
      <c r="E534" s="33" t="n">
        <f aca="false">IF(B534&gt;=5,AVERAGE(C530:C533),"")</f>
        <v>50</v>
      </c>
      <c r="F534" s="33" t="n">
        <f aca="false">IF(B534&gt;=9,AVERAGE(C526:C533),"")</f>
        <v>46.5</v>
      </c>
      <c r="G534" s="33" t="n">
        <f aca="false">IF(B534=1,"",IF(B534=2,C533,SES_Alpha*C533+(1-SES_Alpha)*G533))</f>
        <v>48.54055583272</v>
      </c>
      <c r="H534" s="33" t="n">
        <f aca="false">IF(D534="","",D534-C534)</f>
        <v>27</v>
      </c>
      <c r="I534" s="33" t="n">
        <f aca="false">IF(E534="","",E534-C534)</f>
        <v>21</v>
      </c>
      <c r="J534" s="33" t="n">
        <f aca="false">IF(F534="","",F534-C534)</f>
        <v>17.5</v>
      </c>
      <c r="K534" s="33" t="n">
        <f aca="false">IF(G534="","",G534-C534)</f>
        <v>19.54055583272</v>
      </c>
      <c r="L534" s="33" t="n">
        <f aca="false">IF(H534="","",ABS(H534))</f>
        <v>27</v>
      </c>
      <c r="M534" s="33" t="n">
        <f aca="false">IF(I534="","",ABS(I534))</f>
        <v>21</v>
      </c>
      <c r="N534" s="33" t="n">
        <f aca="false">IF(J534="","",ABS(J534))</f>
        <v>17.5</v>
      </c>
      <c r="O534" s="33" t="n">
        <f aca="false">IF(K534="","",ABS(K534))</f>
        <v>19.54055583272</v>
      </c>
      <c r="P534" s="34" t="str">
        <f aca="false">IF(B534&gt;=Eval_Start_Week,"YES","")</f>
        <v/>
      </c>
      <c r="Q534" s="34" t="str">
        <f aca="false">IF(AND(B534&gt;=Cal_Start_Week,B534&lt;=Cal_End_Week),"YES","")</f>
        <v/>
      </c>
    </row>
    <row r="535" customFormat="false" ht="15" hidden="false" customHeight="false" outlineLevel="0" collapsed="false">
      <c r="A535" s="31" t="str">
        <f aca="false">Demand_History!C535</f>
        <v>KIT-006</v>
      </c>
      <c r="B535" s="31" t="n">
        <f aca="false">Demand_History!A535</f>
        <v>14</v>
      </c>
      <c r="C535" s="32" t="n">
        <f aca="false">Demand_History!D535</f>
        <v>43</v>
      </c>
      <c r="D535" s="33" t="n">
        <f aca="false">IF(B535&gt;=2,C534,"")</f>
        <v>29</v>
      </c>
      <c r="E535" s="33" t="n">
        <f aca="false">IF(B535&gt;=5,AVERAGE(C531:C534),"")</f>
        <v>42.25</v>
      </c>
      <c r="F535" s="33" t="n">
        <f aca="false">IF(B535&gt;=9,AVERAGE(C527:C534),"")</f>
        <v>45</v>
      </c>
      <c r="G535" s="33" t="n">
        <f aca="false">IF(B535=1,"",IF(B535=2,C534,SES_Alpha*C534+(1-SES_Alpha)*G534))</f>
        <v>42.678389082904</v>
      </c>
      <c r="H535" s="33" t="n">
        <f aca="false">IF(D535="","",D535-C535)</f>
        <v>-14</v>
      </c>
      <c r="I535" s="33" t="n">
        <f aca="false">IF(E535="","",E535-C535)</f>
        <v>-0.75</v>
      </c>
      <c r="J535" s="33" t="n">
        <f aca="false">IF(F535="","",F535-C535)</f>
        <v>2</v>
      </c>
      <c r="K535" s="33" t="n">
        <f aca="false">IF(G535="","",G535-C535)</f>
        <v>-0.32161091709601</v>
      </c>
      <c r="L535" s="33" t="n">
        <f aca="false">IF(H535="","",ABS(H535))</f>
        <v>14</v>
      </c>
      <c r="M535" s="33" t="n">
        <f aca="false">IF(I535="","",ABS(I535))</f>
        <v>0.75</v>
      </c>
      <c r="N535" s="33" t="n">
        <f aca="false">IF(J535="","",ABS(J535))</f>
        <v>2</v>
      </c>
      <c r="O535" s="33" t="n">
        <f aca="false">IF(K535="","",ABS(K535))</f>
        <v>0.32161091709601</v>
      </c>
      <c r="P535" s="34" t="str">
        <f aca="false">IF(B535&gt;=Eval_Start_Week,"YES","")</f>
        <v/>
      </c>
      <c r="Q535" s="34" t="str">
        <f aca="false">IF(AND(B535&gt;=Cal_Start_Week,B535&lt;=Cal_End_Week),"YES","")</f>
        <v/>
      </c>
    </row>
    <row r="536" customFormat="false" ht="15" hidden="false" customHeight="false" outlineLevel="0" collapsed="false">
      <c r="A536" s="31" t="str">
        <f aca="false">Demand_History!C536</f>
        <v>KIT-006</v>
      </c>
      <c r="B536" s="31" t="n">
        <f aca="false">Demand_History!A536</f>
        <v>15</v>
      </c>
      <c r="C536" s="32" t="n">
        <f aca="false">Demand_History!D536</f>
        <v>49</v>
      </c>
      <c r="D536" s="33" t="n">
        <f aca="false">IF(B536&gt;=2,C535,"")</f>
        <v>43</v>
      </c>
      <c r="E536" s="33" t="n">
        <f aca="false">IF(B536&gt;=5,AVERAGE(C532:C535),"")</f>
        <v>39.25</v>
      </c>
      <c r="F536" s="33" t="n">
        <f aca="false">IF(B536&gt;=9,AVERAGE(C528:C535),"")</f>
        <v>45.75</v>
      </c>
      <c r="G536" s="33" t="n">
        <f aca="false">IF(B536=1,"",IF(B536=2,C535,SES_Alpha*C535+(1-SES_Alpha)*G535))</f>
        <v>42.7748723580328</v>
      </c>
      <c r="H536" s="33" t="n">
        <f aca="false">IF(D536="","",D536-C536)</f>
        <v>-6</v>
      </c>
      <c r="I536" s="33" t="n">
        <f aca="false">IF(E536="","",E536-C536)</f>
        <v>-9.75</v>
      </c>
      <c r="J536" s="33" t="n">
        <f aca="false">IF(F536="","",F536-C536)</f>
        <v>-3.25</v>
      </c>
      <c r="K536" s="33" t="n">
        <f aca="false">IF(G536="","",G536-C536)</f>
        <v>-6.22512764196721</v>
      </c>
      <c r="L536" s="33" t="n">
        <f aca="false">IF(H536="","",ABS(H536))</f>
        <v>6</v>
      </c>
      <c r="M536" s="33" t="n">
        <f aca="false">IF(I536="","",ABS(I536))</f>
        <v>9.75</v>
      </c>
      <c r="N536" s="33" t="n">
        <f aca="false">IF(J536="","",ABS(J536))</f>
        <v>3.25</v>
      </c>
      <c r="O536" s="33" t="n">
        <f aca="false">IF(K536="","",ABS(K536))</f>
        <v>6.22512764196721</v>
      </c>
      <c r="P536" s="34" t="str">
        <f aca="false">IF(B536&gt;=Eval_Start_Week,"YES","")</f>
        <v/>
      </c>
      <c r="Q536" s="34" t="str">
        <f aca="false">IF(AND(B536&gt;=Cal_Start_Week,B536&lt;=Cal_End_Week),"YES","")</f>
        <v/>
      </c>
    </row>
    <row r="537" customFormat="false" ht="15" hidden="false" customHeight="false" outlineLevel="0" collapsed="false">
      <c r="A537" s="31" t="str">
        <f aca="false">Demand_History!C537</f>
        <v>KIT-006</v>
      </c>
      <c r="B537" s="31" t="n">
        <f aca="false">Demand_History!A537</f>
        <v>16</v>
      </c>
      <c r="C537" s="32" t="n">
        <f aca="false">Demand_History!D537</f>
        <v>15</v>
      </c>
      <c r="D537" s="33" t="n">
        <f aca="false">IF(B537&gt;=2,C536,"")</f>
        <v>49</v>
      </c>
      <c r="E537" s="33" t="n">
        <f aca="false">IF(B537&gt;=5,AVERAGE(C533:C536),"")</f>
        <v>44.25</v>
      </c>
      <c r="F537" s="33" t="n">
        <f aca="false">IF(B537&gt;=9,AVERAGE(C529:C536),"")</f>
        <v>45.625</v>
      </c>
      <c r="G537" s="33" t="n">
        <f aca="false">IF(B537=1,"",IF(B537=2,C536,SES_Alpha*C536+(1-SES_Alpha)*G536))</f>
        <v>44.642410650623</v>
      </c>
      <c r="H537" s="33" t="n">
        <f aca="false">IF(D537="","",D537-C537)</f>
        <v>34</v>
      </c>
      <c r="I537" s="33" t="n">
        <f aca="false">IF(E537="","",E537-C537)</f>
        <v>29.25</v>
      </c>
      <c r="J537" s="33" t="n">
        <f aca="false">IF(F537="","",F537-C537)</f>
        <v>30.625</v>
      </c>
      <c r="K537" s="33" t="n">
        <f aca="false">IF(G537="","",G537-C537)</f>
        <v>29.642410650623</v>
      </c>
      <c r="L537" s="33" t="n">
        <f aca="false">IF(H537="","",ABS(H537))</f>
        <v>34</v>
      </c>
      <c r="M537" s="33" t="n">
        <f aca="false">IF(I537="","",ABS(I537))</f>
        <v>29.25</v>
      </c>
      <c r="N537" s="33" t="n">
        <f aca="false">IF(J537="","",ABS(J537))</f>
        <v>30.625</v>
      </c>
      <c r="O537" s="33" t="n">
        <f aca="false">IF(K537="","",ABS(K537))</f>
        <v>29.642410650623</v>
      </c>
      <c r="P537" s="34" t="str">
        <f aca="false">IF(B537&gt;=Eval_Start_Week,"YES","")</f>
        <v/>
      </c>
      <c r="Q537" s="34" t="str">
        <f aca="false">IF(AND(B537&gt;=Cal_Start_Week,B537&lt;=Cal_End_Week),"YES","")</f>
        <v/>
      </c>
    </row>
    <row r="538" customFormat="false" ht="15" hidden="false" customHeight="false" outlineLevel="0" collapsed="false">
      <c r="A538" s="31" t="str">
        <f aca="false">Demand_History!C538</f>
        <v>KIT-006</v>
      </c>
      <c r="B538" s="31" t="n">
        <f aca="false">Demand_History!A538</f>
        <v>17</v>
      </c>
      <c r="C538" s="32" t="n">
        <f aca="false">Demand_History!D538</f>
        <v>57</v>
      </c>
      <c r="D538" s="33" t="n">
        <f aca="false">IF(B538&gt;=2,C537,"")</f>
        <v>15</v>
      </c>
      <c r="E538" s="33" t="n">
        <f aca="false">IF(B538&gt;=5,AVERAGE(C534:C537),"")</f>
        <v>34</v>
      </c>
      <c r="F538" s="33" t="n">
        <f aca="false">IF(B538&gt;=9,AVERAGE(C530:C537),"")</f>
        <v>42</v>
      </c>
      <c r="G538" s="33" t="n">
        <f aca="false">IF(B538=1,"",IF(B538=2,C537,SES_Alpha*C537+(1-SES_Alpha)*G537))</f>
        <v>35.7496874554361</v>
      </c>
      <c r="H538" s="33" t="n">
        <f aca="false">IF(D538="","",D538-C538)</f>
        <v>-42</v>
      </c>
      <c r="I538" s="33" t="n">
        <f aca="false">IF(E538="","",E538-C538)</f>
        <v>-23</v>
      </c>
      <c r="J538" s="33" t="n">
        <f aca="false">IF(F538="","",F538-C538)</f>
        <v>-15</v>
      </c>
      <c r="K538" s="33" t="n">
        <f aca="false">IF(G538="","",G538-C538)</f>
        <v>-21.2503125445639</v>
      </c>
      <c r="L538" s="33" t="n">
        <f aca="false">IF(H538="","",ABS(H538))</f>
        <v>42</v>
      </c>
      <c r="M538" s="33" t="n">
        <f aca="false">IF(I538="","",ABS(I538))</f>
        <v>23</v>
      </c>
      <c r="N538" s="33" t="n">
        <f aca="false">IF(J538="","",ABS(J538))</f>
        <v>15</v>
      </c>
      <c r="O538" s="33" t="n">
        <f aca="false">IF(K538="","",ABS(K538))</f>
        <v>21.2503125445639</v>
      </c>
      <c r="P538" s="34" t="str">
        <f aca="false">IF(B538&gt;=Eval_Start_Week,"YES","")</f>
        <v/>
      </c>
      <c r="Q538" s="34" t="str">
        <f aca="false">IF(AND(B538&gt;=Cal_Start_Week,B538&lt;=Cal_End_Week),"YES","")</f>
        <v/>
      </c>
    </row>
    <row r="539" customFormat="false" ht="15" hidden="false" customHeight="false" outlineLevel="0" collapsed="false">
      <c r="A539" s="31" t="str">
        <f aca="false">Demand_History!C539</f>
        <v>KIT-006</v>
      </c>
      <c r="B539" s="31" t="n">
        <f aca="false">Demand_History!A539</f>
        <v>18</v>
      </c>
      <c r="C539" s="32" t="n">
        <f aca="false">Demand_History!D539</f>
        <v>58</v>
      </c>
      <c r="D539" s="33" t="n">
        <f aca="false">IF(B539&gt;=2,C538,"")</f>
        <v>57</v>
      </c>
      <c r="E539" s="33" t="n">
        <f aca="false">IF(B539&gt;=5,AVERAGE(C535:C538),"")</f>
        <v>41</v>
      </c>
      <c r="F539" s="33" t="n">
        <f aca="false">IF(B539&gt;=9,AVERAGE(C531:C538),"")</f>
        <v>41.625</v>
      </c>
      <c r="G539" s="33" t="n">
        <f aca="false">IF(B539=1,"",IF(B539=2,C538,SES_Alpha*C538+(1-SES_Alpha)*G538))</f>
        <v>42.1247812188052</v>
      </c>
      <c r="H539" s="33" t="n">
        <f aca="false">IF(D539="","",D539-C539)</f>
        <v>-1</v>
      </c>
      <c r="I539" s="33" t="n">
        <f aca="false">IF(E539="","",E539-C539)</f>
        <v>-17</v>
      </c>
      <c r="J539" s="33" t="n">
        <f aca="false">IF(F539="","",F539-C539)</f>
        <v>-16.375</v>
      </c>
      <c r="K539" s="33" t="n">
        <f aca="false">IF(G539="","",G539-C539)</f>
        <v>-15.8752187811948</v>
      </c>
      <c r="L539" s="33" t="n">
        <f aca="false">IF(H539="","",ABS(H539))</f>
        <v>1</v>
      </c>
      <c r="M539" s="33" t="n">
        <f aca="false">IF(I539="","",ABS(I539))</f>
        <v>17</v>
      </c>
      <c r="N539" s="33" t="n">
        <f aca="false">IF(J539="","",ABS(J539))</f>
        <v>16.375</v>
      </c>
      <c r="O539" s="33" t="n">
        <f aca="false">IF(K539="","",ABS(K539))</f>
        <v>15.8752187811948</v>
      </c>
      <c r="P539" s="34" t="str">
        <f aca="false">IF(B539&gt;=Eval_Start_Week,"YES","")</f>
        <v/>
      </c>
      <c r="Q539" s="34" t="str">
        <f aca="false">IF(AND(B539&gt;=Cal_Start_Week,B539&lt;=Cal_End_Week),"YES","")</f>
        <v/>
      </c>
    </row>
    <row r="540" customFormat="false" ht="15" hidden="false" customHeight="false" outlineLevel="0" collapsed="false">
      <c r="A540" s="31" t="str">
        <f aca="false">Demand_History!C540</f>
        <v>KIT-006</v>
      </c>
      <c r="B540" s="31" t="n">
        <f aca="false">Demand_History!A540</f>
        <v>19</v>
      </c>
      <c r="C540" s="32" t="n">
        <f aca="false">Demand_History!D540</f>
        <v>52</v>
      </c>
      <c r="D540" s="33" t="n">
        <f aca="false">IF(B540&gt;=2,C539,"")</f>
        <v>58</v>
      </c>
      <c r="E540" s="33" t="n">
        <f aca="false">IF(B540&gt;=5,AVERAGE(C536:C539),"")</f>
        <v>44.75</v>
      </c>
      <c r="F540" s="33" t="n">
        <f aca="false">IF(B540&gt;=9,AVERAGE(C532:C539),"")</f>
        <v>42</v>
      </c>
      <c r="G540" s="33" t="n">
        <f aca="false">IF(B540=1,"",IF(B540=2,C539,SES_Alpha*C539+(1-SES_Alpha)*G539))</f>
        <v>46.8873468531637</v>
      </c>
      <c r="H540" s="33" t="n">
        <f aca="false">IF(D540="","",D540-C540)</f>
        <v>6</v>
      </c>
      <c r="I540" s="33" t="n">
        <f aca="false">IF(E540="","",E540-C540)</f>
        <v>-7.25</v>
      </c>
      <c r="J540" s="33" t="n">
        <f aca="false">IF(F540="","",F540-C540)</f>
        <v>-10</v>
      </c>
      <c r="K540" s="33" t="n">
        <f aca="false">IF(G540="","",G540-C540)</f>
        <v>-5.11265314683634</v>
      </c>
      <c r="L540" s="33" t="n">
        <f aca="false">IF(H540="","",ABS(H540))</f>
        <v>6</v>
      </c>
      <c r="M540" s="33" t="n">
        <f aca="false">IF(I540="","",ABS(I540))</f>
        <v>7.25</v>
      </c>
      <c r="N540" s="33" t="n">
        <f aca="false">IF(J540="","",ABS(J540))</f>
        <v>10</v>
      </c>
      <c r="O540" s="33" t="n">
        <f aca="false">IF(K540="","",ABS(K540))</f>
        <v>5.11265314683634</v>
      </c>
      <c r="P540" s="34" t="str">
        <f aca="false">IF(B540&gt;=Eval_Start_Week,"YES","")</f>
        <v/>
      </c>
      <c r="Q540" s="34" t="str">
        <f aca="false">IF(AND(B540&gt;=Cal_Start_Week,B540&lt;=Cal_End_Week),"YES","")</f>
        <v/>
      </c>
    </row>
    <row r="541" customFormat="false" ht="15" hidden="false" customHeight="false" outlineLevel="0" collapsed="false">
      <c r="A541" s="31" t="str">
        <f aca="false">Demand_History!C541</f>
        <v>KIT-006</v>
      </c>
      <c r="B541" s="31" t="n">
        <f aca="false">Demand_History!A541</f>
        <v>20</v>
      </c>
      <c r="C541" s="32" t="n">
        <f aca="false">Demand_History!D541</f>
        <v>47</v>
      </c>
      <c r="D541" s="33" t="n">
        <f aca="false">IF(B541&gt;=2,C540,"")</f>
        <v>52</v>
      </c>
      <c r="E541" s="33" t="n">
        <f aca="false">IF(B541&gt;=5,AVERAGE(C537:C540),"")</f>
        <v>45.5</v>
      </c>
      <c r="F541" s="33" t="n">
        <f aca="false">IF(B541&gt;=9,AVERAGE(C533:C540),"")</f>
        <v>44.875</v>
      </c>
      <c r="G541" s="33" t="n">
        <f aca="false">IF(B541=1,"",IF(B541=2,C540,SES_Alpha*C540+(1-SES_Alpha)*G540))</f>
        <v>48.4211427972146</v>
      </c>
      <c r="H541" s="33" t="n">
        <f aca="false">IF(D541="","",D541-C541)</f>
        <v>5</v>
      </c>
      <c r="I541" s="33" t="n">
        <f aca="false">IF(E541="","",E541-C541)</f>
        <v>-1.5</v>
      </c>
      <c r="J541" s="33" t="n">
        <f aca="false">IF(F541="","",F541-C541)</f>
        <v>-2.125</v>
      </c>
      <c r="K541" s="33" t="n">
        <f aca="false">IF(G541="","",G541-C541)</f>
        <v>1.42114279721456</v>
      </c>
      <c r="L541" s="33" t="n">
        <f aca="false">IF(H541="","",ABS(H541))</f>
        <v>5</v>
      </c>
      <c r="M541" s="33" t="n">
        <f aca="false">IF(I541="","",ABS(I541))</f>
        <v>1.5</v>
      </c>
      <c r="N541" s="33" t="n">
        <f aca="false">IF(J541="","",ABS(J541))</f>
        <v>2.125</v>
      </c>
      <c r="O541" s="33" t="n">
        <f aca="false">IF(K541="","",ABS(K541))</f>
        <v>1.42114279721456</v>
      </c>
      <c r="P541" s="34" t="str">
        <f aca="false">IF(B541&gt;=Eval_Start_Week,"YES","")</f>
        <v/>
      </c>
      <c r="Q541" s="34" t="str">
        <f aca="false">IF(AND(B541&gt;=Cal_Start_Week,B541&lt;=Cal_End_Week),"YES","")</f>
        <v/>
      </c>
    </row>
    <row r="542" customFormat="false" ht="15" hidden="false" customHeight="false" outlineLevel="0" collapsed="false">
      <c r="A542" s="31" t="str">
        <f aca="false">Demand_History!C542</f>
        <v>KIT-006</v>
      </c>
      <c r="B542" s="31" t="n">
        <f aca="false">Demand_History!A542</f>
        <v>21</v>
      </c>
      <c r="C542" s="32" t="n">
        <f aca="false">Demand_History!D542</f>
        <v>48</v>
      </c>
      <c r="D542" s="33" t="n">
        <f aca="false">IF(B542&gt;=2,C541,"")</f>
        <v>47</v>
      </c>
      <c r="E542" s="33" t="n">
        <f aca="false">IF(B542&gt;=5,AVERAGE(C538:C541),"")</f>
        <v>53.5</v>
      </c>
      <c r="F542" s="33" t="n">
        <f aca="false">IF(B542&gt;=9,AVERAGE(C534:C541),"")</f>
        <v>43.75</v>
      </c>
      <c r="G542" s="33" t="n">
        <f aca="false">IF(B542=1,"",IF(B542=2,C541,SES_Alpha*C541+(1-SES_Alpha)*G541))</f>
        <v>47.9947999580502</v>
      </c>
      <c r="H542" s="33" t="n">
        <f aca="false">IF(D542="","",D542-C542)</f>
        <v>-1</v>
      </c>
      <c r="I542" s="33" t="n">
        <f aca="false">IF(E542="","",E542-C542)</f>
        <v>5.5</v>
      </c>
      <c r="J542" s="33" t="n">
        <f aca="false">IF(F542="","",F542-C542)</f>
        <v>-4.25</v>
      </c>
      <c r="K542" s="33" t="n">
        <f aca="false">IF(G542="","",G542-C542)</f>
        <v>-0.00520004194980572</v>
      </c>
      <c r="L542" s="33" t="n">
        <f aca="false">IF(H542="","",ABS(H542))</f>
        <v>1</v>
      </c>
      <c r="M542" s="33" t="n">
        <f aca="false">IF(I542="","",ABS(I542))</f>
        <v>5.5</v>
      </c>
      <c r="N542" s="33" t="n">
        <f aca="false">IF(J542="","",ABS(J542))</f>
        <v>4.25</v>
      </c>
      <c r="O542" s="33" t="n">
        <f aca="false">IF(K542="","",ABS(K542))</f>
        <v>0.00520004194980572</v>
      </c>
      <c r="P542" s="34" t="str">
        <f aca="false">IF(B542&gt;=Eval_Start_Week,"YES","")</f>
        <v/>
      </c>
      <c r="Q542" s="34" t="str">
        <f aca="false">IF(AND(B542&gt;=Cal_Start_Week,B542&lt;=Cal_End_Week),"YES","")</f>
        <v/>
      </c>
    </row>
    <row r="543" customFormat="false" ht="15" hidden="false" customHeight="false" outlineLevel="0" collapsed="false">
      <c r="A543" s="31" t="str">
        <f aca="false">Demand_History!C543</f>
        <v>KIT-006</v>
      </c>
      <c r="B543" s="31" t="n">
        <f aca="false">Demand_History!A543</f>
        <v>22</v>
      </c>
      <c r="C543" s="32" t="n">
        <f aca="false">Demand_History!D543</f>
        <v>36</v>
      </c>
      <c r="D543" s="33" t="n">
        <f aca="false">IF(B543&gt;=2,C542,"")</f>
        <v>48</v>
      </c>
      <c r="E543" s="33" t="n">
        <f aca="false">IF(B543&gt;=5,AVERAGE(C539:C542),"")</f>
        <v>51.25</v>
      </c>
      <c r="F543" s="33" t="n">
        <f aca="false">IF(B543&gt;=9,AVERAGE(C535:C542),"")</f>
        <v>46.125</v>
      </c>
      <c r="G543" s="33" t="n">
        <f aca="false">IF(B543=1,"",IF(B543=2,C542,SES_Alpha*C542+(1-SES_Alpha)*G542))</f>
        <v>47.9963599706351</v>
      </c>
      <c r="H543" s="33" t="n">
        <f aca="false">IF(D543="","",D543-C543)</f>
        <v>12</v>
      </c>
      <c r="I543" s="33" t="n">
        <f aca="false">IF(E543="","",E543-C543)</f>
        <v>15.25</v>
      </c>
      <c r="J543" s="33" t="n">
        <f aca="false">IF(F543="","",F543-C543)</f>
        <v>10.125</v>
      </c>
      <c r="K543" s="33" t="n">
        <f aca="false">IF(G543="","",G543-C543)</f>
        <v>11.9963599706351</v>
      </c>
      <c r="L543" s="33" t="n">
        <f aca="false">IF(H543="","",ABS(H543))</f>
        <v>12</v>
      </c>
      <c r="M543" s="33" t="n">
        <f aca="false">IF(I543="","",ABS(I543))</f>
        <v>15.25</v>
      </c>
      <c r="N543" s="33" t="n">
        <f aca="false">IF(J543="","",ABS(J543))</f>
        <v>10.125</v>
      </c>
      <c r="O543" s="33" t="n">
        <f aca="false">IF(K543="","",ABS(K543))</f>
        <v>11.9963599706351</v>
      </c>
      <c r="P543" s="34" t="str">
        <f aca="false">IF(B543&gt;=Eval_Start_Week,"YES","")</f>
        <v/>
      </c>
      <c r="Q543" s="34" t="str">
        <f aca="false">IF(AND(B543&gt;=Cal_Start_Week,B543&lt;=Cal_End_Week),"YES","")</f>
        <v/>
      </c>
    </row>
    <row r="544" customFormat="false" ht="15" hidden="false" customHeight="false" outlineLevel="0" collapsed="false">
      <c r="A544" s="31" t="str">
        <f aca="false">Demand_History!C544</f>
        <v>KIT-006</v>
      </c>
      <c r="B544" s="31" t="n">
        <f aca="false">Demand_History!A544</f>
        <v>23</v>
      </c>
      <c r="C544" s="32" t="n">
        <f aca="false">Demand_History!D544</f>
        <v>50</v>
      </c>
      <c r="D544" s="33" t="n">
        <f aca="false">IF(B544&gt;=2,C543,"")</f>
        <v>36</v>
      </c>
      <c r="E544" s="33" t="n">
        <f aca="false">IF(B544&gt;=5,AVERAGE(C540:C543),"")</f>
        <v>45.75</v>
      </c>
      <c r="F544" s="33" t="n">
        <f aca="false">IF(B544&gt;=9,AVERAGE(C536:C543),"")</f>
        <v>45.25</v>
      </c>
      <c r="G544" s="33" t="n">
        <f aca="false">IF(B544=1,"",IF(B544=2,C543,SES_Alpha*C543+(1-SES_Alpha)*G543))</f>
        <v>44.3974519794446</v>
      </c>
      <c r="H544" s="33" t="n">
        <f aca="false">IF(D544="","",D544-C544)</f>
        <v>-14</v>
      </c>
      <c r="I544" s="33" t="n">
        <f aca="false">IF(E544="","",E544-C544)</f>
        <v>-4.25</v>
      </c>
      <c r="J544" s="33" t="n">
        <f aca="false">IF(F544="","",F544-C544)</f>
        <v>-4.75</v>
      </c>
      <c r="K544" s="33" t="n">
        <f aca="false">IF(G544="","",G544-C544)</f>
        <v>-5.60254802055541</v>
      </c>
      <c r="L544" s="33" t="n">
        <f aca="false">IF(H544="","",ABS(H544))</f>
        <v>14</v>
      </c>
      <c r="M544" s="33" t="n">
        <f aca="false">IF(I544="","",ABS(I544))</f>
        <v>4.25</v>
      </c>
      <c r="N544" s="33" t="n">
        <f aca="false">IF(J544="","",ABS(J544))</f>
        <v>4.75</v>
      </c>
      <c r="O544" s="33" t="n">
        <f aca="false">IF(K544="","",ABS(K544))</f>
        <v>5.60254802055541</v>
      </c>
      <c r="P544" s="34" t="str">
        <f aca="false">IF(B544&gt;=Eval_Start_Week,"YES","")</f>
        <v/>
      </c>
      <c r="Q544" s="34" t="str">
        <f aca="false">IF(AND(B544&gt;=Cal_Start_Week,B544&lt;=Cal_End_Week),"YES","")</f>
        <v/>
      </c>
    </row>
    <row r="545" customFormat="false" ht="15" hidden="false" customHeight="false" outlineLevel="0" collapsed="false">
      <c r="A545" s="31" t="str">
        <f aca="false">Demand_History!C545</f>
        <v>KIT-006</v>
      </c>
      <c r="B545" s="31" t="n">
        <f aca="false">Demand_History!A545</f>
        <v>24</v>
      </c>
      <c r="C545" s="32" t="n">
        <f aca="false">Demand_History!D545</f>
        <v>44</v>
      </c>
      <c r="D545" s="33" t="n">
        <f aca="false">IF(B545&gt;=2,C544,"")</f>
        <v>50</v>
      </c>
      <c r="E545" s="33" t="n">
        <f aca="false">IF(B545&gt;=5,AVERAGE(C541:C544),"")</f>
        <v>45.25</v>
      </c>
      <c r="F545" s="33" t="n">
        <f aca="false">IF(B545&gt;=9,AVERAGE(C537:C544),"")</f>
        <v>45.375</v>
      </c>
      <c r="G545" s="33" t="n">
        <f aca="false">IF(B545=1,"",IF(B545=2,C544,SES_Alpha*C544+(1-SES_Alpha)*G544))</f>
        <v>46.0782163856112</v>
      </c>
      <c r="H545" s="33" t="n">
        <f aca="false">IF(D545="","",D545-C545)</f>
        <v>6</v>
      </c>
      <c r="I545" s="33" t="n">
        <f aca="false">IF(E545="","",E545-C545)</f>
        <v>1.25</v>
      </c>
      <c r="J545" s="33" t="n">
        <f aca="false">IF(F545="","",F545-C545)</f>
        <v>1.375</v>
      </c>
      <c r="K545" s="33" t="n">
        <f aca="false">IF(G545="","",G545-C545)</f>
        <v>2.07821638561121</v>
      </c>
      <c r="L545" s="33" t="n">
        <f aca="false">IF(H545="","",ABS(H545))</f>
        <v>6</v>
      </c>
      <c r="M545" s="33" t="n">
        <f aca="false">IF(I545="","",ABS(I545))</f>
        <v>1.25</v>
      </c>
      <c r="N545" s="33" t="n">
        <f aca="false">IF(J545="","",ABS(J545))</f>
        <v>1.375</v>
      </c>
      <c r="O545" s="33" t="n">
        <f aca="false">IF(K545="","",ABS(K545))</f>
        <v>2.07821638561121</v>
      </c>
      <c r="P545" s="34" t="str">
        <f aca="false">IF(B545&gt;=Eval_Start_Week,"YES","")</f>
        <v/>
      </c>
      <c r="Q545" s="34" t="str">
        <f aca="false">IF(AND(B545&gt;=Cal_Start_Week,B545&lt;=Cal_End_Week),"YES","")</f>
        <v/>
      </c>
    </row>
    <row r="546" customFormat="false" ht="15" hidden="false" customHeight="false" outlineLevel="0" collapsed="false">
      <c r="A546" s="31" t="str">
        <f aca="false">Demand_History!C546</f>
        <v>KIT-006</v>
      </c>
      <c r="B546" s="31" t="n">
        <f aca="false">Demand_History!A546</f>
        <v>25</v>
      </c>
      <c r="C546" s="32" t="n">
        <f aca="false">Demand_History!D546</f>
        <v>57</v>
      </c>
      <c r="D546" s="33" t="n">
        <f aca="false">IF(B546&gt;=2,C545,"")</f>
        <v>44</v>
      </c>
      <c r="E546" s="33" t="n">
        <f aca="false">IF(B546&gt;=5,AVERAGE(C542:C545),"")</f>
        <v>44.5</v>
      </c>
      <c r="F546" s="33" t="n">
        <f aca="false">IF(B546&gt;=9,AVERAGE(C538:C545),"")</f>
        <v>49</v>
      </c>
      <c r="G546" s="33" t="n">
        <f aca="false">IF(B546=1,"",IF(B546=2,C545,SES_Alpha*C545+(1-SES_Alpha)*G545))</f>
        <v>45.4547514699278</v>
      </c>
      <c r="H546" s="33" t="n">
        <f aca="false">IF(D546="","",D546-C546)</f>
        <v>-13</v>
      </c>
      <c r="I546" s="33" t="n">
        <f aca="false">IF(E546="","",E546-C546)</f>
        <v>-12.5</v>
      </c>
      <c r="J546" s="33" t="n">
        <f aca="false">IF(F546="","",F546-C546)</f>
        <v>-8</v>
      </c>
      <c r="K546" s="33" t="n">
        <f aca="false">IF(G546="","",G546-C546)</f>
        <v>-11.5452485300722</v>
      </c>
      <c r="L546" s="33" t="n">
        <f aca="false">IF(H546="","",ABS(H546))</f>
        <v>13</v>
      </c>
      <c r="M546" s="33" t="n">
        <f aca="false">IF(I546="","",ABS(I546))</f>
        <v>12.5</v>
      </c>
      <c r="N546" s="33" t="n">
        <f aca="false">IF(J546="","",ABS(J546))</f>
        <v>8</v>
      </c>
      <c r="O546" s="33" t="n">
        <f aca="false">IF(K546="","",ABS(K546))</f>
        <v>11.5452485300722</v>
      </c>
      <c r="P546" s="34" t="str">
        <f aca="false">IF(B546&gt;=Eval_Start_Week,"YES","")</f>
        <v/>
      </c>
      <c r="Q546" s="34" t="str">
        <f aca="false">IF(AND(B546&gt;=Cal_Start_Week,B546&lt;=Cal_End_Week),"YES","")</f>
        <v/>
      </c>
    </row>
    <row r="547" customFormat="false" ht="15" hidden="false" customHeight="false" outlineLevel="0" collapsed="false">
      <c r="A547" s="31" t="str">
        <f aca="false">Demand_History!C547</f>
        <v>KIT-006</v>
      </c>
      <c r="B547" s="31" t="n">
        <f aca="false">Demand_History!A547</f>
        <v>26</v>
      </c>
      <c r="C547" s="32" t="n">
        <f aca="false">Demand_History!D547</f>
        <v>32</v>
      </c>
      <c r="D547" s="33" t="n">
        <f aca="false">IF(B547&gt;=2,C546,"")</f>
        <v>57</v>
      </c>
      <c r="E547" s="33" t="n">
        <f aca="false">IF(B547&gt;=5,AVERAGE(C543:C546),"")</f>
        <v>46.75</v>
      </c>
      <c r="F547" s="33" t="n">
        <f aca="false">IF(B547&gt;=9,AVERAGE(C539:C546),"")</f>
        <v>49</v>
      </c>
      <c r="G547" s="33" t="n">
        <f aca="false">IF(B547=1,"",IF(B547=2,C546,SES_Alpha*C546+(1-SES_Alpha)*G546))</f>
        <v>48.9183260289495</v>
      </c>
      <c r="H547" s="33" t="n">
        <f aca="false">IF(D547="","",D547-C547)</f>
        <v>25</v>
      </c>
      <c r="I547" s="33" t="n">
        <f aca="false">IF(E547="","",E547-C547)</f>
        <v>14.75</v>
      </c>
      <c r="J547" s="33" t="n">
        <f aca="false">IF(F547="","",F547-C547)</f>
        <v>17</v>
      </c>
      <c r="K547" s="33" t="n">
        <f aca="false">IF(G547="","",G547-C547)</f>
        <v>16.9183260289495</v>
      </c>
      <c r="L547" s="33" t="n">
        <f aca="false">IF(H547="","",ABS(H547))</f>
        <v>25</v>
      </c>
      <c r="M547" s="33" t="n">
        <f aca="false">IF(I547="","",ABS(I547))</f>
        <v>14.75</v>
      </c>
      <c r="N547" s="33" t="n">
        <f aca="false">IF(J547="","",ABS(J547))</f>
        <v>17</v>
      </c>
      <c r="O547" s="33" t="n">
        <f aca="false">IF(K547="","",ABS(K547))</f>
        <v>16.9183260289495</v>
      </c>
      <c r="P547" s="34" t="str">
        <f aca="false">IF(B547&gt;=Eval_Start_Week,"YES","")</f>
        <v/>
      </c>
      <c r="Q547" s="34" t="str">
        <f aca="false">IF(AND(B547&gt;=Cal_Start_Week,B547&lt;=Cal_End_Week),"YES","")</f>
        <v/>
      </c>
    </row>
    <row r="548" customFormat="false" ht="15" hidden="false" customHeight="false" outlineLevel="0" collapsed="false">
      <c r="A548" s="31" t="str">
        <f aca="false">Demand_History!C548</f>
        <v>KIT-006</v>
      </c>
      <c r="B548" s="31" t="n">
        <f aca="false">Demand_History!A548</f>
        <v>27</v>
      </c>
      <c r="C548" s="32" t="n">
        <f aca="false">Demand_History!D548</f>
        <v>60</v>
      </c>
      <c r="D548" s="33" t="n">
        <f aca="false">IF(B548&gt;=2,C547,"")</f>
        <v>32</v>
      </c>
      <c r="E548" s="33" t="n">
        <f aca="false">IF(B548&gt;=5,AVERAGE(C544:C547),"")</f>
        <v>45.75</v>
      </c>
      <c r="F548" s="33" t="n">
        <f aca="false">IF(B548&gt;=9,AVERAGE(C540:C547),"")</f>
        <v>45.75</v>
      </c>
      <c r="G548" s="33" t="n">
        <f aca="false">IF(B548=1,"",IF(B548=2,C547,SES_Alpha*C547+(1-SES_Alpha)*G547))</f>
        <v>43.8428282202646</v>
      </c>
      <c r="H548" s="33" t="n">
        <f aca="false">IF(D548="","",D548-C548)</f>
        <v>-28</v>
      </c>
      <c r="I548" s="33" t="n">
        <f aca="false">IF(E548="","",E548-C548)</f>
        <v>-14.25</v>
      </c>
      <c r="J548" s="33" t="n">
        <f aca="false">IF(F548="","",F548-C548)</f>
        <v>-14.25</v>
      </c>
      <c r="K548" s="33" t="n">
        <f aca="false">IF(G548="","",G548-C548)</f>
        <v>-16.1571717797354</v>
      </c>
      <c r="L548" s="33" t="n">
        <f aca="false">IF(H548="","",ABS(H548))</f>
        <v>28</v>
      </c>
      <c r="M548" s="33" t="n">
        <f aca="false">IF(I548="","",ABS(I548))</f>
        <v>14.25</v>
      </c>
      <c r="N548" s="33" t="n">
        <f aca="false">IF(J548="","",ABS(J548))</f>
        <v>14.25</v>
      </c>
      <c r="O548" s="33" t="n">
        <f aca="false">IF(K548="","",ABS(K548))</f>
        <v>16.1571717797354</v>
      </c>
      <c r="P548" s="34" t="str">
        <f aca="false">IF(B548&gt;=Eval_Start_Week,"YES","")</f>
        <v/>
      </c>
      <c r="Q548" s="34" t="str">
        <f aca="false">IF(AND(B548&gt;=Cal_Start_Week,B548&lt;=Cal_End_Week),"YES","")</f>
        <v/>
      </c>
    </row>
    <row r="549" customFormat="false" ht="15" hidden="false" customHeight="false" outlineLevel="0" collapsed="false">
      <c r="A549" s="31" t="str">
        <f aca="false">Demand_History!C549</f>
        <v>KIT-006</v>
      </c>
      <c r="B549" s="31" t="n">
        <f aca="false">Demand_History!A549</f>
        <v>28</v>
      </c>
      <c r="C549" s="32" t="n">
        <f aca="false">Demand_History!D549</f>
        <v>58</v>
      </c>
      <c r="D549" s="33" t="n">
        <f aca="false">IF(B549&gt;=2,C548,"")</f>
        <v>60</v>
      </c>
      <c r="E549" s="33" t="n">
        <f aca="false">IF(B549&gt;=5,AVERAGE(C545:C548),"")</f>
        <v>48.25</v>
      </c>
      <c r="F549" s="33" t="n">
        <f aca="false">IF(B549&gt;=9,AVERAGE(C541:C548),"")</f>
        <v>46.75</v>
      </c>
      <c r="G549" s="33" t="n">
        <f aca="false">IF(B549=1,"",IF(B549=2,C548,SES_Alpha*C548+(1-SES_Alpha)*G548))</f>
        <v>48.6899797541852</v>
      </c>
      <c r="H549" s="33" t="n">
        <f aca="false">IF(D549="","",D549-C549)</f>
        <v>2</v>
      </c>
      <c r="I549" s="33" t="n">
        <f aca="false">IF(E549="","",E549-C549)</f>
        <v>-9.75</v>
      </c>
      <c r="J549" s="33" t="n">
        <f aca="false">IF(F549="","",F549-C549)</f>
        <v>-11.25</v>
      </c>
      <c r="K549" s="33" t="n">
        <f aca="false">IF(G549="","",G549-C549)</f>
        <v>-9.31002024581476</v>
      </c>
      <c r="L549" s="33" t="n">
        <f aca="false">IF(H549="","",ABS(H549))</f>
        <v>2</v>
      </c>
      <c r="M549" s="33" t="n">
        <f aca="false">IF(I549="","",ABS(I549))</f>
        <v>9.75</v>
      </c>
      <c r="N549" s="33" t="n">
        <f aca="false">IF(J549="","",ABS(J549))</f>
        <v>11.25</v>
      </c>
      <c r="O549" s="33" t="n">
        <f aca="false">IF(K549="","",ABS(K549))</f>
        <v>9.31002024581476</v>
      </c>
      <c r="P549" s="34" t="str">
        <f aca="false">IF(B549&gt;=Eval_Start_Week,"YES","")</f>
        <v/>
      </c>
      <c r="Q549" s="34" t="str">
        <f aca="false">IF(AND(B549&gt;=Cal_Start_Week,B549&lt;=Cal_End_Week),"YES","")</f>
        <v/>
      </c>
    </row>
    <row r="550" customFormat="false" ht="15" hidden="false" customHeight="false" outlineLevel="0" collapsed="false">
      <c r="A550" s="31" t="str">
        <f aca="false">Demand_History!C550</f>
        <v>KIT-006</v>
      </c>
      <c r="B550" s="31" t="n">
        <f aca="false">Demand_History!A550</f>
        <v>29</v>
      </c>
      <c r="C550" s="32" t="n">
        <f aca="false">Demand_History!D550</f>
        <v>52</v>
      </c>
      <c r="D550" s="33" t="n">
        <f aca="false">IF(B550&gt;=2,C549,"")</f>
        <v>58</v>
      </c>
      <c r="E550" s="33" t="n">
        <f aca="false">IF(B550&gt;=5,AVERAGE(C546:C549),"")</f>
        <v>51.75</v>
      </c>
      <c r="F550" s="33" t="n">
        <f aca="false">IF(B550&gt;=9,AVERAGE(C542:C549),"")</f>
        <v>48.125</v>
      </c>
      <c r="G550" s="33" t="n">
        <f aca="false">IF(B550=1,"",IF(B550=2,C549,SES_Alpha*C549+(1-SES_Alpha)*G549))</f>
        <v>51.4829858279297</v>
      </c>
      <c r="H550" s="33" t="n">
        <f aca="false">IF(D550="","",D550-C550)</f>
        <v>6</v>
      </c>
      <c r="I550" s="33" t="n">
        <f aca="false">IF(E550="","",E550-C550)</f>
        <v>-0.25</v>
      </c>
      <c r="J550" s="33" t="n">
        <f aca="false">IF(F550="","",F550-C550)</f>
        <v>-3.875</v>
      </c>
      <c r="K550" s="33" t="n">
        <f aca="false">IF(G550="","",G550-C550)</f>
        <v>-0.517014172070333</v>
      </c>
      <c r="L550" s="33" t="n">
        <f aca="false">IF(H550="","",ABS(H550))</f>
        <v>6</v>
      </c>
      <c r="M550" s="33" t="n">
        <f aca="false">IF(I550="","",ABS(I550))</f>
        <v>0.25</v>
      </c>
      <c r="N550" s="33" t="n">
        <f aca="false">IF(J550="","",ABS(J550))</f>
        <v>3.875</v>
      </c>
      <c r="O550" s="33" t="n">
        <f aca="false">IF(K550="","",ABS(K550))</f>
        <v>0.517014172070333</v>
      </c>
      <c r="P550" s="34" t="str">
        <f aca="false">IF(B550&gt;=Eval_Start_Week,"YES","")</f>
        <v/>
      </c>
      <c r="Q550" s="34" t="str">
        <f aca="false">IF(AND(B550&gt;=Cal_Start_Week,B550&lt;=Cal_End_Week),"YES","")</f>
        <v/>
      </c>
    </row>
    <row r="551" customFormat="false" ht="15" hidden="false" customHeight="false" outlineLevel="0" collapsed="false">
      <c r="A551" s="31" t="str">
        <f aca="false">Demand_History!C551</f>
        <v>KIT-006</v>
      </c>
      <c r="B551" s="31" t="n">
        <f aca="false">Demand_History!A551</f>
        <v>30</v>
      </c>
      <c r="C551" s="32" t="n">
        <f aca="false">Demand_History!D551</f>
        <v>47</v>
      </c>
      <c r="D551" s="33" t="n">
        <f aca="false">IF(B551&gt;=2,C550,"")</f>
        <v>52</v>
      </c>
      <c r="E551" s="33" t="n">
        <f aca="false">IF(B551&gt;=5,AVERAGE(C547:C550),"")</f>
        <v>50.5</v>
      </c>
      <c r="F551" s="33" t="n">
        <f aca="false">IF(B551&gt;=9,AVERAGE(C543:C550),"")</f>
        <v>48.625</v>
      </c>
      <c r="G551" s="33" t="n">
        <f aca="false">IF(B551=1,"",IF(B551=2,C550,SES_Alpha*C550+(1-SES_Alpha)*G550))</f>
        <v>51.6380900795508</v>
      </c>
      <c r="H551" s="33" t="n">
        <f aca="false">IF(D551="","",D551-C551)</f>
        <v>5</v>
      </c>
      <c r="I551" s="33" t="n">
        <f aca="false">IF(E551="","",E551-C551)</f>
        <v>3.5</v>
      </c>
      <c r="J551" s="33" t="n">
        <f aca="false">IF(F551="","",F551-C551)</f>
        <v>1.625</v>
      </c>
      <c r="K551" s="33" t="n">
        <f aca="false">IF(G551="","",G551-C551)</f>
        <v>4.63809007955076</v>
      </c>
      <c r="L551" s="33" t="n">
        <f aca="false">IF(H551="","",ABS(H551))</f>
        <v>5</v>
      </c>
      <c r="M551" s="33" t="n">
        <f aca="false">IF(I551="","",ABS(I551))</f>
        <v>3.5</v>
      </c>
      <c r="N551" s="33" t="n">
        <f aca="false">IF(J551="","",ABS(J551))</f>
        <v>1.625</v>
      </c>
      <c r="O551" s="33" t="n">
        <f aca="false">IF(K551="","",ABS(K551))</f>
        <v>4.63809007955076</v>
      </c>
      <c r="P551" s="34" t="str">
        <f aca="false">IF(B551&gt;=Eval_Start_Week,"YES","")</f>
        <v/>
      </c>
      <c r="Q551" s="34" t="str">
        <f aca="false">IF(AND(B551&gt;=Cal_Start_Week,B551&lt;=Cal_End_Week),"YES","")</f>
        <v/>
      </c>
    </row>
    <row r="552" customFormat="false" ht="15" hidden="false" customHeight="false" outlineLevel="0" collapsed="false">
      <c r="A552" s="31" t="str">
        <f aca="false">Demand_History!C552</f>
        <v>KIT-006</v>
      </c>
      <c r="B552" s="31" t="n">
        <f aca="false">Demand_History!A552</f>
        <v>31</v>
      </c>
      <c r="C552" s="32" t="n">
        <f aca="false">Demand_History!D552</f>
        <v>66</v>
      </c>
      <c r="D552" s="33" t="n">
        <f aca="false">IF(B552&gt;=2,C551,"")</f>
        <v>47</v>
      </c>
      <c r="E552" s="33" t="n">
        <f aca="false">IF(B552&gt;=5,AVERAGE(C548:C551),"")</f>
        <v>54.25</v>
      </c>
      <c r="F552" s="33" t="n">
        <f aca="false">IF(B552&gt;=9,AVERAGE(C544:C551),"")</f>
        <v>50</v>
      </c>
      <c r="G552" s="33" t="n">
        <f aca="false">IF(B552=1,"",IF(B552=2,C551,SES_Alpha*C551+(1-SES_Alpha)*G551))</f>
        <v>50.2466630556855</v>
      </c>
      <c r="H552" s="33" t="n">
        <f aca="false">IF(D552="","",D552-C552)</f>
        <v>-19</v>
      </c>
      <c r="I552" s="33" t="n">
        <f aca="false">IF(E552="","",E552-C552)</f>
        <v>-11.75</v>
      </c>
      <c r="J552" s="33" t="n">
        <f aca="false">IF(F552="","",F552-C552)</f>
        <v>-16</v>
      </c>
      <c r="K552" s="33" t="n">
        <f aca="false">IF(G552="","",G552-C552)</f>
        <v>-15.7533369443145</v>
      </c>
      <c r="L552" s="33" t="n">
        <f aca="false">IF(H552="","",ABS(H552))</f>
        <v>19</v>
      </c>
      <c r="M552" s="33" t="n">
        <f aca="false">IF(I552="","",ABS(I552))</f>
        <v>11.75</v>
      </c>
      <c r="N552" s="33" t="n">
        <f aca="false">IF(J552="","",ABS(J552))</f>
        <v>16</v>
      </c>
      <c r="O552" s="33" t="n">
        <f aca="false">IF(K552="","",ABS(K552))</f>
        <v>15.7533369443145</v>
      </c>
      <c r="P552" s="34" t="str">
        <f aca="false">IF(B552&gt;=Eval_Start_Week,"YES","")</f>
        <v/>
      </c>
      <c r="Q552" s="34" t="str">
        <f aca="false">IF(AND(B552&gt;=Cal_Start_Week,B552&lt;=Cal_End_Week),"YES","")</f>
        <v/>
      </c>
    </row>
    <row r="553" customFormat="false" ht="15" hidden="false" customHeight="false" outlineLevel="0" collapsed="false">
      <c r="A553" s="31" t="str">
        <f aca="false">Demand_History!C553</f>
        <v>KIT-006</v>
      </c>
      <c r="B553" s="31" t="n">
        <f aca="false">Demand_History!A553</f>
        <v>32</v>
      </c>
      <c r="C553" s="32" t="n">
        <f aca="false">Demand_History!D553</f>
        <v>23</v>
      </c>
      <c r="D553" s="33" t="n">
        <f aca="false">IF(B553&gt;=2,C552,"")</f>
        <v>66</v>
      </c>
      <c r="E553" s="33" t="n">
        <f aca="false">IF(B553&gt;=5,AVERAGE(C549:C552),"")</f>
        <v>55.75</v>
      </c>
      <c r="F553" s="33" t="n">
        <f aca="false">IF(B553&gt;=9,AVERAGE(C545:C552),"")</f>
        <v>52</v>
      </c>
      <c r="G553" s="33" t="n">
        <f aca="false">IF(B553=1,"",IF(B553=2,C552,SES_Alpha*C552+(1-SES_Alpha)*G552))</f>
        <v>54.9726641389799</v>
      </c>
      <c r="H553" s="33" t="n">
        <f aca="false">IF(D553="","",D553-C553)</f>
        <v>43</v>
      </c>
      <c r="I553" s="33" t="n">
        <f aca="false">IF(E553="","",E553-C553)</f>
        <v>32.75</v>
      </c>
      <c r="J553" s="33" t="n">
        <f aca="false">IF(F553="","",F553-C553)</f>
        <v>29</v>
      </c>
      <c r="K553" s="33" t="n">
        <f aca="false">IF(G553="","",G553-C553)</f>
        <v>31.9726641389799</v>
      </c>
      <c r="L553" s="33" t="n">
        <f aca="false">IF(H553="","",ABS(H553))</f>
        <v>43</v>
      </c>
      <c r="M553" s="33" t="n">
        <f aca="false">IF(I553="","",ABS(I553))</f>
        <v>32.75</v>
      </c>
      <c r="N553" s="33" t="n">
        <f aca="false">IF(J553="","",ABS(J553))</f>
        <v>29</v>
      </c>
      <c r="O553" s="33" t="n">
        <f aca="false">IF(K553="","",ABS(K553))</f>
        <v>31.9726641389799</v>
      </c>
      <c r="P553" s="34" t="str">
        <f aca="false">IF(B553&gt;=Eval_Start_Week,"YES","")</f>
        <v/>
      </c>
      <c r="Q553" s="34" t="str">
        <f aca="false">IF(AND(B553&gt;=Cal_Start_Week,B553&lt;=Cal_End_Week),"YES","")</f>
        <v/>
      </c>
    </row>
    <row r="554" customFormat="false" ht="15" hidden="false" customHeight="false" outlineLevel="0" collapsed="false">
      <c r="A554" s="31" t="str">
        <f aca="false">Demand_History!C554</f>
        <v>KIT-006</v>
      </c>
      <c r="B554" s="31" t="n">
        <f aca="false">Demand_History!A554</f>
        <v>33</v>
      </c>
      <c r="C554" s="32" t="n">
        <f aca="false">Demand_History!D554</f>
        <v>64</v>
      </c>
      <c r="D554" s="33" t="n">
        <f aca="false">IF(B554&gt;=2,C553,"")</f>
        <v>23</v>
      </c>
      <c r="E554" s="33" t="n">
        <f aca="false">IF(B554&gt;=5,AVERAGE(C550:C553),"")</f>
        <v>47</v>
      </c>
      <c r="F554" s="33" t="n">
        <f aca="false">IF(B554&gt;=9,AVERAGE(C546:C553),"")</f>
        <v>49.375</v>
      </c>
      <c r="G554" s="33" t="n">
        <f aca="false">IF(B554=1,"",IF(B554=2,C553,SES_Alpha*C553+(1-SES_Alpha)*G553))</f>
        <v>45.3808648972859</v>
      </c>
      <c r="H554" s="33" t="n">
        <f aca="false">IF(D554="","",D554-C554)</f>
        <v>-41</v>
      </c>
      <c r="I554" s="33" t="n">
        <f aca="false">IF(E554="","",E554-C554)</f>
        <v>-17</v>
      </c>
      <c r="J554" s="33" t="n">
        <f aca="false">IF(F554="","",F554-C554)</f>
        <v>-14.625</v>
      </c>
      <c r="K554" s="33" t="n">
        <f aca="false">IF(G554="","",G554-C554)</f>
        <v>-18.6191351027141</v>
      </c>
      <c r="L554" s="33" t="n">
        <f aca="false">IF(H554="","",ABS(H554))</f>
        <v>41</v>
      </c>
      <c r="M554" s="33" t="n">
        <f aca="false">IF(I554="","",ABS(I554))</f>
        <v>17</v>
      </c>
      <c r="N554" s="33" t="n">
        <f aca="false">IF(J554="","",ABS(J554))</f>
        <v>14.625</v>
      </c>
      <c r="O554" s="33" t="n">
        <f aca="false">IF(K554="","",ABS(K554))</f>
        <v>18.6191351027141</v>
      </c>
      <c r="P554" s="34" t="str">
        <f aca="false">IF(B554&gt;=Eval_Start_Week,"YES","")</f>
        <v/>
      </c>
      <c r="Q554" s="34" t="str">
        <f aca="false">IF(AND(B554&gt;=Cal_Start_Week,B554&lt;=Cal_End_Week),"YES","")</f>
        <v/>
      </c>
    </row>
    <row r="555" customFormat="false" ht="15" hidden="false" customHeight="false" outlineLevel="0" collapsed="false">
      <c r="A555" s="31" t="str">
        <f aca="false">Demand_History!C555</f>
        <v>KIT-006</v>
      </c>
      <c r="B555" s="31" t="n">
        <f aca="false">Demand_History!A555</f>
        <v>34</v>
      </c>
      <c r="C555" s="32" t="n">
        <f aca="false">Demand_History!D555</f>
        <v>60</v>
      </c>
      <c r="D555" s="33" t="n">
        <f aca="false">IF(B555&gt;=2,C554,"")</f>
        <v>64</v>
      </c>
      <c r="E555" s="33" t="n">
        <f aca="false">IF(B555&gt;=5,AVERAGE(C551:C554),"")</f>
        <v>50</v>
      </c>
      <c r="F555" s="33" t="n">
        <f aca="false">IF(B555&gt;=9,AVERAGE(C547:C554),"")</f>
        <v>50.25</v>
      </c>
      <c r="G555" s="33" t="n">
        <f aca="false">IF(B555=1,"",IF(B555=2,C554,SES_Alpha*C554+(1-SES_Alpha)*G554))</f>
        <v>50.9666054281001</v>
      </c>
      <c r="H555" s="33" t="n">
        <f aca="false">IF(D555="","",D555-C555)</f>
        <v>4</v>
      </c>
      <c r="I555" s="33" t="n">
        <f aca="false">IF(E555="","",E555-C555)</f>
        <v>-10</v>
      </c>
      <c r="J555" s="33" t="n">
        <f aca="false">IF(F555="","",F555-C555)</f>
        <v>-9.75</v>
      </c>
      <c r="K555" s="33" t="n">
        <f aca="false">IF(G555="","",G555-C555)</f>
        <v>-9.03339457189987</v>
      </c>
      <c r="L555" s="33" t="n">
        <f aca="false">IF(H555="","",ABS(H555))</f>
        <v>4</v>
      </c>
      <c r="M555" s="33" t="n">
        <f aca="false">IF(I555="","",ABS(I555))</f>
        <v>10</v>
      </c>
      <c r="N555" s="33" t="n">
        <f aca="false">IF(J555="","",ABS(J555))</f>
        <v>9.75</v>
      </c>
      <c r="O555" s="33" t="n">
        <f aca="false">IF(K555="","",ABS(K555))</f>
        <v>9.03339457189987</v>
      </c>
      <c r="P555" s="34" t="str">
        <f aca="false">IF(B555&gt;=Eval_Start_Week,"YES","")</f>
        <v/>
      </c>
      <c r="Q555" s="34" t="str">
        <f aca="false">IF(AND(B555&gt;=Cal_Start_Week,B555&lt;=Cal_End_Week),"YES","")</f>
        <v/>
      </c>
    </row>
    <row r="556" customFormat="false" ht="15" hidden="false" customHeight="false" outlineLevel="0" collapsed="false">
      <c r="A556" s="31" t="str">
        <f aca="false">Demand_History!C556</f>
        <v>KIT-006</v>
      </c>
      <c r="B556" s="31" t="n">
        <f aca="false">Demand_History!A556</f>
        <v>35</v>
      </c>
      <c r="C556" s="32" t="n">
        <f aca="false">Demand_History!D556</f>
        <v>60</v>
      </c>
      <c r="D556" s="33" t="n">
        <f aca="false">IF(B556&gt;=2,C555,"")</f>
        <v>60</v>
      </c>
      <c r="E556" s="33" t="n">
        <f aca="false">IF(B556&gt;=5,AVERAGE(C552:C555),"")</f>
        <v>53.25</v>
      </c>
      <c r="F556" s="33" t="n">
        <f aca="false">IF(B556&gt;=9,AVERAGE(C548:C555),"")</f>
        <v>53.75</v>
      </c>
      <c r="G556" s="33" t="n">
        <f aca="false">IF(B556=1,"",IF(B556=2,C555,SES_Alpha*C555+(1-SES_Alpha)*G555))</f>
        <v>53.6766237996701</v>
      </c>
      <c r="H556" s="33" t="n">
        <f aca="false">IF(D556="","",D556-C556)</f>
        <v>0</v>
      </c>
      <c r="I556" s="33" t="n">
        <f aca="false">IF(E556="","",E556-C556)</f>
        <v>-6.75</v>
      </c>
      <c r="J556" s="33" t="n">
        <f aca="false">IF(F556="","",F556-C556)</f>
        <v>-6.25</v>
      </c>
      <c r="K556" s="33" t="n">
        <f aca="false">IF(G556="","",G556-C556)</f>
        <v>-6.32337620032991</v>
      </c>
      <c r="L556" s="33" t="n">
        <f aca="false">IF(H556="","",ABS(H556))</f>
        <v>0</v>
      </c>
      <c r="M556" s="33" t="n">
        <f aca="false">IF(I556="","",ABS(I556))</f>
        <v>6.75</v>
      </c>
      <c r="N556" s="33" t="n">
        <f aca="false">IF(J556="","",ABS(J556))</f>
        <v>6.25</v>
      </c>
      <c r="O556" s="33" t="n">
        <f aca="false">IF(K556="","",ABS(K556))</f>
        <v>6.32337620032991</v>
      </c>
      <c r="P556" s="34" t="str">
        <f aca="false">IF(B556&gt;=Eval_Start_Week,"YES","")</f>
        <v/>
      </c>
      <c r="Q556" s="34" t="str">
        <f aca="false">IF(AND(B556&gt;=Cal_Start_Week,B556&lt;=Cal_End_Week),"YES","")</f>
        <v/>
      </c>
    </row>
    <row r="557" customFormat="false" ht="15" hidden="false" customHeight="false" outlineLevel="0" collapsed="false">
      <c r="A557" s="31" t="str">
        <f aca="false">Demand_History!C557</f>
        <v>KIT-006</v>
      </c>
      <c r="B557" s="31" t="n">
        <f aca="false">Demand_History!A557</f>
        <v>36</v>
      </c>
      <c r="C557" s="32" t="n">
        <f aca="false">Demand_History!D557</f>
        <v>62</v>
      </c>
      <c r="D557" s="33" t="n">
        <f aca="false">IF(B557&gt;=2,C556,"")</f>
        <v>60</v>
      </c>
      <c r="E557" s="33" t="n">
        <f aca="false">IF(B557&gt;=5,AVERAGE(C553:C556),"")</f>
        <v>51.75</v>
      </c>
      <c r="F557" s="33" t="n">
        <f aca="false">IF(B557&gt;=9,AVERAGE(C549:C556),"")</f>
        <v>53.75</v>
      </c>
      <c r="G557" s="33" t="n">
        <f aca="false">IF(B557=1,"",IF(B557=2,C556,SES_Alpha*C556+(1-SES_Alpha)*G556))</f>
        <v>55.5736366597691</v>
      </c>
      <c r="H557" s="33" t="n">
        <f aca="false">IF(D557="","",D557-C557)</f>
        <v>-2</v>
      </c>
      <c r="I557" s="33" t="n">
        <f aca="false">IF(E557="","",E557-C557)</f>
        <v>-10.25</v>
      </c>
      <c r="J557" s="33" t="n">
        <f aca="false">IF(F557="","",F557-C557)</f>
        <v>-8.25</v>
      </c>
      <c r="K557" s="33" t="n">
        <f aca="false">IF(G557="","",G557-C557)</f>
        <v>-6.42636334023094</v>
      </c>
      <c r="L557" s="33" t="n">
        <f aca="false">IF(H557="","",ABS(H557))</f>
        <v>2</v>
      </c>
      <c r="M557" s="33" t="n">
        <f aca="false">IF(I557="","",ABS(I557))</f>
        <v>10.25</v>
      </c>
      <c r="N557" s="33" t="n">
        <f aca="false">IF(J557="","",ABS(J557))</f>
        <v>8.25</v>
      </c>
      <c r="O557" s="33" t="n">
        <f aca="false">IF(K557="","",ABS(K557))</f>
        <v>6.42636334023094</v>
      </c>
      <c r="P557" s="34" t="str">
        <f aca="false">IF(B557&gt;=Eval_Start_Week,"YES","")</f>
        <v/>
      </c>
      <c r="Q557" s="34" t="str">
        <f aca="false">IF(AND(B557&gt;=Cal_Start_Week,B557&lt;=Cal_End_Week),"YES","")</f>
        <v/>
      </c>
    </row>
    <row r="558" customFormat="false" ht="15" hidden="false" customHeight="false" outlineLevel="0" collapsed="false">
      <c r="A558" s="31" t="str">
        <f aca="false">Demand_History!C558</f>
        <v>KIT-006</v>
      </c>
      <c r="B558" s="31" t="n">
        <f aca="false">Demand_History!A558</f>
        <v>37</v>
      </c>
      <c r="C558" s="32" t="n">
        <f aca="false">Demand_History!D558</f>
        <v>42</v>
      </c>
      <c r="D558" s="33" t="n">
        <f aca="false">IF(B558&gt;=2,C557,"")</f>
        <v>62</v>
      </c>
      <c r="E558" s="33" t="n">
        <f aca="false">IF(B558&gt;=5,AVERAGE(C554:C557),"")</f>
        <v>61.5</v>
      </c>
      <c r="F558" s="33" t="n">
        <f aca="false">IF(B558&gt;=9,AVERAGE(C550:C557),"")</f>
        <v>54.25</v>
      </c>
      <c r="G558" s="33" t="n">
        <f aca="false">IF(B558=1,"",IF(B558=2,C557,SES_Alpha*C557+(1-SES_Alpha)*G557))</f>
        <v>57.5015456618383</v>
      </c>
      <c r="H558" s="33" t="n">
        <f aca="false">IF(D558="","",D558-C558)</f>
        <v>20</v>
      </c>
      <c r="I558" s="33" t="n">
        <f aca="false">IF(E558="","",E558-C558)</f>
        <v>19.5</v>
      </c>
      <c r="J558" s="33" t="n">
        <f aca="false">IF(F558="","",F558-C558)</f>
        <v>12.25</v>
      </c>
      <c r="K558" s="33" t="n">
        <f aca="false">IF(G558="","",G558-C558)</f>
        <v>15.5015456618383</v>
      </c>
      <c r="L558" s="33" t="n">
        <f aca="false">IF(H558="","",ABS(H558))</f>
        <v>20</v>
      </c>
      <c r="M558" s="33" t="n">
        <f aca="false">IF(I558="","",ABS(I558))</f>
        <v>19.5</v>
      </c>
      <c r="N558" s="33" t="n">
        <f aca="false">IF(J558="","",ABS(J558))</f>
        <v>12.25</v>
      </c>
      <c r="O558" s="33" t="n">
        <f aca="false">IF(K558="","",ABS(K558))</f>
        <v>15.5015456618383</v>
      </c>
      <c r="P558" s="34" t="str">
        <f aca="false">IF(B558&gt;=Eval_Start_Week,"YES","")</f>
        <v/>
      </c>
      <c r="Q558" s="34" t="str">
        <f aca="false">IF(AND(B558&gt;=Cal_Start_Week,B558&lt;=Cal_End_Week),"YES","")</f>
        <v>YES</v>
      </c>
    </row>
    <row r="559" customFormat="false" ht="15" hidden="false" customHeight="false" outlineLevel="0" collapsed="false">
      <c r="A559" s="31" t="str">
        <f aca="false">Demand_History!C559</f>
        <v>KIT-006</v>
      </c>
      <c r="B559" s="31" t="n">
        <f aca="false">Demand_History!A559</f>
        <v>38</v>
      </c>
      <c r="C559" s="32" t="n">
        <f aca="false">Demand_History!D559</f>
        <v>50</v>
      </c>
      <c r="D559" s="33" t="n">
        <f aca="false">IF(B559&gt;=2,C558,"")</f>
        <v>42</v>
      </c>
      <c r="E559" s="33" t="n">
        <f aca="false">IF(B559&gt;=5,AVERAGE(C555:C558),"")</f>
        <v>56</v>
      </c>
      <c r="F559" s="33" t="n">
        <f aca="false">IF(B559&gt;=9,AVERAGE(C551:C558),"")</f>
        <v>53</v>
      </c>
      <c r="G559" s="33" t="n">
        <f aca="false">IF(B559=1,"",IF(B559=2,C558,SES_Alpha*C558+(1-SES_Alpha)*G558))</f>
        <v>52.8510819632868</v>
      </c>
      <c r="H559" s="33" t="n">
        <f aca="false">IF(D559="","",D559-C559)</f>
        <v>-8</v>
      </c>
      <c r="I559" s="33" t="n">
        <f aca="false">IF(E559="","",E559-C559)</f>
        <v>6</v>
      </c>
      <c r="J559" s="33" t="n">
        <f aca="false">IF(F559="","",F559-C559)</f>
        <v>3</v>
      </c>
      <c r="K559" s="33" t="n">
        <f aca="false">IF(G559="","",G559-C559)</f>
        <v>2.85108196328683</v>
      </c>
      <c r="L559" s="33" t="n">
        <f aca="false">IF(H559="","",ABS(H559))</f>
        <v>8</v>
      </c>
      <c r="M559" s="33" t="n">
        <f aca="false">IF(I559="","",ABS(I559))</f>
        <v>6</v>
      </c>
      <c r="N559" s="33" t="n">
        <f aca="false">IF(J559="","",ABS(J559))</f>
        <v>3</v>
      </c>
      <c r="O559" s="33" t="n">
        <f aca="false">IF(K559="","",ABS(K559))</f>
        <v>2.85108196328683</v>
      </c>
      <c r="P559" s="34" t="str">
        <f aca="false">IF(B559&gt;=Eval_Start_Week,"YES","")</f>
        <v/>
      </c>
      <c r="Q559" s="34" t="str">
        <f aca="false">IF(AND(B559&gt;=Cal_Start_Week,B559&lt;=Cal_End_Week),"YES","")</f>
        <v>YES</v>
      </c>
    </row>
    <row r="560" customFormat="false" ht="15" hidden="false" customHeight="false" outlineLevel="0" collapsed="false">
      <c r="A560" s="31" t="str">
        <f aca="false">Demand_History!C560</f>
        <v>KIT-006</v>
      </c>
      <c r="B560" s="31" t="n">
        <f aca="false">Demand_History!A560</f>
        <v>39</v>
      </c>
      <c r="C560" s="32" t="n">
        <f aca="false">Demand_History!D560</f>
        <v>67</v>
      </c>
      <c r="D560" s="33" t="n">
        <f aca="false">IF(B560&gt;=2,C559,"")</f>
        <v>50</v>
      </c>
      <c r="E560" s="33" t="n">
        <f aca="false">IF(B560&gt;=5,AVERAGE(C556:C559),"")</f>
        <v>53.5</v>
      </c>
      <c r="F560" s="33" t="n">
        <f aca="false">IF(B560&gt;=9,AVERAGE(C552:C559),"")</f>
        <v>53.375</v>
      </c>
      <c r="G560" s="33" t="n">
        <f aca="false">IF(B560=1,"",IF(B560=2,C559,SES_Alpha*C559+(1-SES_Alpha)*G559))</f>
        <v>51.9957573743008</v>
      </c>
      <c r="H560" s="33" t="n">
        <f aca="false">IF(D560="","",D560-C560)</f>
        <v>-17</v>
      </c>
      <c r="I560" s="33" t="n">
        <f aca="false">IF(E560="","",E560-C560)</f>
        <v>-13.5</v>
      </c>
      <c r="J560" s="33" t="n">
        <f aca="false">IF(F560="","",F560-C560)</f>
        <v>-13.625</v>
      </c>
      <c r="K560" s="33" t="n">
        <f aca="false">IF(G560="","",G560-C560)</f>
        <v>-15.0042426256992</v>
      </c>
      <c r="L560" s="33" t="n">
        <f aca="false">IF(H560="","",ABS(H560))</f>
        <v>17</v>
      </c>
      <c r="M560" s="33" t="n">
        <f aca="false">IF(I560="","",ABS(I560))</f>
        <v>13.5</v>
      </c>
      <c r="N560" s="33" t="n">
        <f aca="false">IF(J560="","",ABS(J560))</f>
        <v>13.625</v>
      </c>
      <c r="O560" s="33" t="n">
        <f aca="false">IF(K560="","",ABS(K560))</f>
        <v>15.0042426256992</v>
      </c>
      <c r="P560" s="34" t="str">
        <f aca="false">IF(B560&gt;=Eval_Start_Week,"YES","")</f>
        <v/>
      </c>
      <c r="Q560" s="34" t="str">
        <f aca="false">IF(AND(B560&gt;=Cal_Start_Week,B560&lt;=Cal_End_Week),"YES","")</f>
        <v>YES</v>
      </c>
    </row>
    <row r="561" customFormat="false" ht="15" hidden="false" customHeight="false" outlineLevel="0" collapsed="false">
      <c r="A561" s="31" t="str">
        <f aca="false">Demand_History!C561</f>
        <v>KIT-006</v>
      </c>
      <c r="B561" s="31" t="n">
        <f aca="false">Demand_History!A561</f>
        <v>40</v>
      </c>
      <c r="C561" s="32" t="n">
        <f aca="false">Demand_History!D561</f>
        <v>63</v>
      </c>
      <c r="D561" s="33" t="n">
        <f aca="false">IF(B561&gt;=2,C560,"")</f>
        <v>67</v>
      </c>
      <c r="E561" s="33" t="n">
        <f aca="false">IF(B561&gt;=5,AVERAGE(C557:C560),"")</f>
        <v>55.25</v>
      </c>
      <c r="F561" s="33" t="n">
        <f aca="false">IF(B561&gt;=9,AVERAGE(C553:C560),"")</f>
        <v>53.5</v>
      </c>
      <c r="G561" s="33" t="n">
        <f aca="false">IF(B561=1,"",IF(B561=2,C560,SES_Alpha*C560+(1-SES_Alpha)*G560))</f>
        <v>56.4970301620105</v>
      </c>
      <c r="H561" s="33" t="n">
        <f aca="false">IF(D561="","",D561-C561)</f>
        <v>4</v>
      </c>
      <c r="I561" s="33" t="n">
        <f aca="false">IF(E561="","",E561-C561)</f>
        <v>-7.75</v>
      </c>
      <c r="J561" s="33" t="n">
        <f aca="false">IF(F561="","",F561-C561)</f>
        <v>-9.5</v>
      </c>
      <c r="K561" s="33" t="n">
        <f aca="false">IF(G561="","",G561-C561)</f>
        <v>-6.50296983798945</v>
      </c>
      <c r="L561" s="33" t="n">
        <f aca="false">IF(H561="","",ABS(H561))</f>
        <v>4</v>
      </c>
      <c r="M561" s="33" t="n">
        <f aca="false">IF(I561="","",ABS(I561))</f>
        <v>7.75</v>
      </c>
      <c r="N561" s="33" t="n">
        <f aca="false">IF(J561="","",ABS(J561))</f>
        <v>9.5</v>
      </c>
      <c r="O561" s="33" t="n">
        <f aca="false">IF(K561="","",ABS(K561))</f>
        <v>6.50296983798945</v>
      </c>
      <c r="P561" s="34" t="str">
        <f aca="false">IF(B561&gt;=Eval_Start_Week,"YES","")</f>
        <v/>
      </c>
      <c r="Q561" s="34" t="str">
        <f aca="false">IF(AND(B561&gt;=Cal_Start_Week,B561&lt;=Cal_End_Week),"YES","")</f>
        <v>YES</v>
      </c>
    </row>
    <row r="562" customFormat="false" ht="15" hidden="false" customHeight="false" outlineLevel="0" collapsed="false">
      <c r="A562" s="31" t="str">
        <f aca="false">Demand_History!C562</f>
        <v>KIT-006</v>
      </c>
      <c r="B562" s="31" t="n">
        <f aca="false">Demand_History!A562</f>
        <v>41</v>
      </c>
      <c r="C562" s="32" t="n">
        <f aca="false">Demand_History!D562</f>
        <v>59</v>
      </c>
      <c r="D562" s="33" t="n">
        <f aca="false">IF(B562&gt;=2,C561,"")</f>
        <v>63</v>
      </c>
      <c r="E562" s="33" t="n">
        <f aca="false">IF(B562&gt;=5,AVERAGE(C558:C561),"")</f>
        <v>55.5</v>
      </c>
      <c r="F562" s="33" t="n">
        <f aca="false">IF(B562&gt;=9,AVERAGE(C554:C561),"")</f>
        <v>58.5</v>
      </c>
      <c r="G562" s="33" t="n">
        <f aca="false">IF(B562=1,"",IF(B562=2,C561,SES_Alpha*C561+(1-SES_Alpha)*G561))</f>
        <v>58.4479211134074</v>
      </c>
      <c r="H562" s="33" t="n">
        <f aca="false">IF(D562="","",D562-C562)</f>
        <v>4</v>
      </c>
      <c r="I562" s="33" t="n">
        <f aca="false">IF(E562="","",E562-C562)</f>
        <v>-3.5</v>
      </c>
      <c r="J562" s="33" t="n">
        <f aca="false">IF(F562="","",F562-C562)</f>
        <v>-0.5</v>
      </c>
      <c r="K562" s="33" t="n">
        <f aca="false">IF(G562="","",G562-C562)</f>
        <v>-0.552078886592625</v>
      </c>
      <c r="L562" s="33" t="n">
        <f aca="false">IF(H562="","",ABS(H562))</f>
        <v>4</v>
      </c>
      <c r="M562" s="33" t="n">
        <f aca="false">IF(I562="","",ABS(I562))</f>
        <v>3.5</v>
      </c>
      <c r="N562" s="33" t="n">
        <f aca="false">IF(J562="","",ABS(J562))</f>
        <v>0.5</v>
      </c>
      <c r="O562" s="33" t="n">
        <f aca="false">IF(K562="","",ABS(K562))</f>
        <v>0.552078886592625</v>
      </c>
      <c r="P562" s="34" t="str">
        <f aca="false">IF(B562&gt;=Eval_Start_Week,"YES","")</f>
        <v/>
      </c>
      <c r="Q562" s="34" t="str">
        <f aca="false">IF(AND(B562&gt;=Cal_Start_Week,B562&lt;=Cal_End_Week),"YES","")</f>
        <v>YES</v>
      </c>
    </row>
    <row r="563" customFormat="false" ht="15" hidden="false" customHeight="false" outlineLevel="0" collapsed="false">
      <c r="A563" s="31" t="str">
        <f aca="false">Demand_History!C563</f>
        <v>KIT-006</v>
      </c>
      <c r="B563" s="31" t="n">
        <f aca="false">Demand_History!A563</f>
        <v>42</v>
      </c>
      <c r="C563" s="32" t="n">
        <f aca="false">Demand_History!D563</f>
        <v>26</v>
      </c>
      <c r="D563" s="33" t="n">
        <f aca="false">IF(B563&gt;=2,C562,"")</f>
        <v>59</v>
      </c>
      <c r="E563" s="33" t="n">
        <f aca="false">IF(B563&gt;=5,AVERAGE(C559:C562),"")</f>
        <v>59.75</v>
      </c>
      <c r="F563" s="33" t="n">
        <f aca="false">IF(B563&gt;=9,AVERAGE(C555:C562),"")</f>
        <v>57.875</v>
      </c>
      <c r="G563" s="33" t="n">
        <f aca="false">IF(B563=1,"",IF(B563=2,C562,SES_Alpha*C562+(1-SES_Alpha)*G562))</f>
        <v>58.6135447793852</v>
      </c>
      <c r="H563" s="33" t="n">
        <f aca="false">IF(D563="","",D563-C563)</f>
        <v>33</v>
      </c>
      <c r="I563" s="33" t="n">
        <f aca="false">IF(E563="","",E563-C563)</f>
        <v>33.75</v>
      </c>
      <c r="J563" s="33" t="n">
        <f aca="false">IF(F563="","",F563-C563)</f>
        <v>31.875</v>
      </c>
      <c r="K563" s="33" t="n">
        <f aca="false">IF(G563="","",G563-C563)</f>
        <v>32.6135447793852</v>
      </c>
      <c r="L563" s="33" t="n">
        <f aca="false">IF(H563="","",ABS(H563))</f>
        <v>33</v>
      </c>
      <c r="M563" s="33" t="n">
        <f aca="false">IF(I563="","",ABS(I563))</f>
        <v>33.75</v>
      </c>
      <c r="N563" s="33" t="n">
        <f aca="false">IF(J563="","",ABS(J563))</f>
        <v>31.875</v>
      </c>
      <c r="O563" s="33" t="n">
        <f aca="false">IF(K563="","",ABS(K563))</f>
        <v>32.6135447793852</v>
      </c>
      <c r="P563" s="34" t="str">
        <f aca="false">IF(B563&gt;=Eval_Start_Week,"YES","")</f>
        <v/>
      </c>
      <c r="Q563" s="34" t="str">
        <f aca="false">IF(AND(B563&gt;=Cal_Start_Week,B563&lt;=Cal_End_Week),"YES","")</f>
        <v>YES</v>
      </c>
    </row>
    <row r="564" customFormat="false" ht="15" hidden="false" customHeight="false" outlineLevel="0" collapsed="false">
      <c r="A564" s="31" t="str">
        <f aca="false">Demand_History!C564</f>
        <v>KIT-006</v>
      </c>
      <c r="B564" s="31" t="n">
        <f aca="false">Demand_History!A564</f>
        <v>43</v>
      </c>
      <c r="C564" s="32" t="n">
        <f aca="false">Demand_History!D564</f>
        <v>65</v>
      </c>
      <c r="D564" s="33" t="n">
        <f aca="false">IF(B564&gt;=2,C563,"")</f>
        <v>26</v>
      </c>
      <c r="E564" s="33" t="n">
        <f aca="false">IF(B564&gt;=5,AVERAGE(C560:C563),"")</f>
        <v>53.75</v>
      </c>
      <c r="F564" s="33" t="n">
        <f aca="false">IF(B564&gt;=9,AVERAGE(C556:C563),"")</f>
        <v>53.625</v>
      </c>
      <c r="G564" s="33" t="n">
        <f aca="false">IF(B564=1,"",IF(B564=2,C563,SES_Alpha*C563+(1-SES_Alpha)*G563))</f>
        <v>48.8294813455696</v>
      </c>
      <c r="H564" s="33" t="n">
        <f aca="false">IF(D564="","",D564-C564)</f>
        <v>-39</v>
      </c>
      <c r="I564" s="33" t="n">
        <f aca="false">IF(E564="","",E564-C564)</f>
        <v>-11.25</v>
      </c>
      <c r="J564" s="33" t="n">
        <f aca="false">IF(F564="","",F564-C564)</f>
        <v>-11.375</v>
      </c>
      <c r="K564" s="33" t="n">
        <f aca="false">IF(G564="","",G564-C564)</f>
        <v>-16.1705186544304</v>
      </c>
      <c r="L564" s="33" t="n">
        <f aca="false">IF(H564="","",ABS(H564))</f>
        <v>39</v>
      </c>
      <c r="M564" s="33" t="n">
        <f aca="false">IF(I564="","",ABS(I564))</f>
        <v>11.25</v>
      </c>
      <c r="N564" s="33" t="n">
        <f aca="false">IF(J564="","",ABS(J564))</f>
        <v>11.375</v>
      </c>
      <c r="O564" s="33" t="n">
        <f aca="false">IF(K564="","",ABS(K564))</f>
        <v>16.1705186544304</v>
      </c>
      <c r="P564" s="34" t="str">
        <f aca="false">IF(B564&gt;=Eval_Start_Week,"YES","")</f>
        <v/>
      </c>
      <c r="Q564" s="34" t="str">
        <f aca="false">IF(AND(B564&gt;=Cal_Start_Week,B564&lt;=Cal_End_Week),"YES","")</f>
        <v>YES</v>
      </c>
    </row>
    <row r="565" customFormat="false" ht="15" hidden="false" customHeight="false" outlineLevel="0" collapsed="false">
      <c r="A565" s="31" t="str">
        <f aca="false">Demand_History!C565</f>
        <v>KIT-006</v>
      </c>
      <c r="B565" s="31" t="n">
        <f aca="false">Demand_History!A565</f>
        <v>44</v>
      </c>
      <c r="C565" s="32" t="n">
        <f aca="false">Demand_History!D565</f>
        <v>78</v>
      </c>
      <c r="D565" s="33" t="n">
        <f aca="false">IF(B565&gt;=2,C564,"")</f>
        <v>65</v>
      </c>
      <c r="E565" s="33" t="n">
        <f aca="false">IF(B565&gt;=5,AVERAGE(C561:C564),"")</f>
        <v>53.25</v>
      </c>
      <c r="F565" s="33" t="n">
        <f aca="false">IF(B565&gt;=9,AVERAGE(C557:C564),"")</f>
        <v>54.25</v>
      </c>
      <c r="G565" s="33" t="n">
        <f aca="false">IF(B565=1,"",IF(B565=2,C564,SES_Alpha*C564+(1-SES_Alpha)*G564))</f>
        <v>53.6806369418987</v>
      </c>
      <c r="H565" s="33" t="n">
        <f aca="false">IF(D565="","",D565-C565)</f>
        <v>-13</v>
      </c>
      <c r="I565" s="33" t="n">
        <f aca="false">IF(E565="","",E565-C565)</f>
        <v>-24.75</v>
      </c>
      <c r="J565" s="33" t="n">
        <f aca="false">IF(F565="","",F565-C565)</f>
        <v>-23.75</v>
      </c>
      <c r="K565" s="33" t="n">
        <f aca="false">IF(G565="","",G565-C565)</f>
        <v>-24.3193630581013</v>
      </c>
      <c r="L565" s="33" t="n">
        <f aca="false">IF(H565="","",ABS(H565))</f>
        <v>13</v>
      </c>
      <c r="M565" s="33" t="n">
        <f aca="false">IF(I565="","",ABS(I565))</f>
        <v>24.75</v>
      </c>
      <c r="N565" s="33" t="n">
        <f aca="false">IF(J565="","",ABS(J565))</f>
        <v>23.75</v>
      </c>
      <c r="O565" s="33" t="n">
        <f aca="false">IF(K565="","",ABS(K565))</f>
        <v>24.3193630581013</v>
      </c>
      <c r="P565" s="34" t="str">
        <f aca="false">IF(B565&gt;=Eval_Start_Week,"YES","")</f>
        <v/>
      </c>
      <c r="Q565" s="34" t="str">
        <f aca="false">IF(AND(B565&gt;=Cal_Start_Week,B565&lt;=Cal_End_Week),"YES","")</f>
        <v>YES</v>
      </c>
    </row>
    <row r="566" customFormat="false" ht="15" hidden="false" customHeight="false" outlineLevel="0" collapsed="false">
      <c r="A566" s="31" t="str">
        <f aca="false">Demand_History!C566</f>
        <v>KIT-006</v>
      </c>
      <c r="B566" s="31" t="n">
        <f aca="false">Demand_History!A566</f>
        <v>45</v>
      </c>
      <c r="C566" s="32" t="n">
        <f aca="false">Demand_History!D566</f>
        <v>74</v>
      </c>
      <c r="D566" s="33" t="n">
        <f aca="false">IF(B566&gt;=2,C565,"")</f>
        <v>78</v>
      </c>
      <c r="E566" s="33" t="n">
        <f aca="false">IF(B566&gt;=5,AVERAGE(C562:C565),"")</f>
        <v>57</v>
      </c>
      <c r="F566" s="33" t="n">
        <f aca="false">IF(B566&gt;=9,AVERAGE(C558:C565),"")</f>
        <v>56.25</v>
      </c>
      <c r="G566" s="33" t="n">
        <f aca="false">IF(B566=1,"",IF(B566=2,C565,SES_Alpha*C565+(1-SES_Alpha)*G565))</f>
        <v>60.9764458593291</v>
      </c>
      <c r="H566" s="33" t="n">
        <f aca="false">IF(D566="","",D566-C566)</f>
        <v>4</v>
      </c>
      <c r="I566" s="33" t="n">
        <f aca="false">IF(E566="","",E566-C566)</f>
        <v>-17</v>
      </c>
      <c r="J566" s="33" t="n">
        <f aca="false">IF(F566="","",F566-C566)</f>
        <v>-17.75</v>
      </c>
      <c r="K566" s="33" t="n">
        <f aca="false">IF(G566="","",G566-C566)</f>
        <v>-13.0235541406709</v>
      </c>
      <c r="L566" s="33" t="n">
        <f aca="false">IF(H566="","",ABS(H566))</f>
        <v>4</v>
      </c>
      <c r="M566" s="33" t="n">
        <f aca="false">IF(I566="","",ABS(I566))</f>
        <v>17</v>
      </c>
      <c r="N566" s="33" t="n">
        <f aca="false">IF(J566="","",ABS(J566))</f>
        <v>17.75</v>
      </c>
      <c r="O566" s="33" t="n">
        <f aca="false">IF(K566="","",ABS(K566))</f>
        <v>13.0235541406709</v>
      </c>
      <c r="P566" s="34" t="str">
        <f aca="false">IF(B566&gt;=Eval_Start_Week,"YES","")</f>
        <v/>
      </c>
      <c r="Q566" s="34" t="str">
        <f aca="false">IF(AND(B566&gt;=Cal_Start_Week,B566&lt;=Cal_End_Week),"YES","")</f>
        <v>YES</v>
      </c>
    </row>
    <row r="567" customFormat="false" ht="15" hidden="false" customHeight="false" outlineLevel="0" collapsed="false">
      <c r="A567" s="31" t="str">
        <f aca="false">Demand_History!C567</f>
        <v>KIT-006</v>
      </c>
      <c r="B567" s="31" t="n">
        <f aca="false">Demand_History!A567</f>
        <v>46</v>
      </c>
      <c r="C567" s="32" t="n">
        <f aca="false">Demand_History!D567</f>
        <v>60</v>
      </c>
      <c r="D567" s="33" t="n">
        <f aca="false">IF(B567&gt;=2,C566,"")</f>
        <v>74</v>
      </c>
      <c r="E567" s="33" t="n">
        <f aca="false">IF(B567&gt;=5,AVERAGE(C563:C566),"")</f>
        <v>60.75</v>
      </c>
      <c r="F567" s="33" t="n">
        <f aca="false">IF(B567&gt;=9,AVERAGE(C559:C566),"")</f>
        <v>60.25</v>
      </c>
      <c r="G567" s="33" t="n">
        <f aca="false">IF(B567=1,"",IF(B567=2,C566,SES_Alpha*C566+(1-SES_Alpha)*G566))</f>
        <v>64.8835121015304</v>
      </c>
      <c r="H567" s="33" t="n">
        <f aca="false">IF(D567="","",D567-C567)</f>
        <v>14</v>
      </c>
      <c r="I567" s="33" t="n">
        <f aca="false">IF(E567="","",E567-C567)</f>
        <v>0.75</v>
      </c>
      <c r="J567" s="33" t="n">
        <f aca="false">IF(F567="","",F567-C567)</f>
        <v>0.25</v>
      </c>
      <c r="K567" s="33" t="n">
        <f aca="false">IF(G567="","",G567-C567)</f>
        <v>4.88351210153037</v>
      </c>
      <c r="L567" s="33" t="n">
        <f aca="false">IF(H567="","",ABS(H567))</f>
        <v>14</v>
      </c>
      <c r="M567" s="33" t="n">
        <f aca="false">IF(I567="","",ABS(I567))</f>
        <v>0.75</v>
      </c>
      <c r="N567" s="33" t="n">
        <f aca="false">IF(J567="","",ABS(J567))</f>
        <v>0.25</v>
      </c>
      <c r="O567" s="33" t="n">
        <f aca="false">IF(K567="","",ABS(K567))</f>
        <v>4.88351210153037</v>
      </c>
      <c r="P567" s="34" t="str">
        <f aca="false">IF(B567&gt;=Eval_Start_Week,"YES","")</f>
        <v/>
      </c>
      <c r="Q567" s="34" t="str">
        <f aca="false">IF(AND(B567&gt;=Cal_Start_Week,B567&lt;=Cal_End_Week),"YES","")</f>
        <v>YES</v>
      </c>
    </row>
    <row r="568" customFormat="false" ht="15" hidden="false" customHeight="false" outlineLevel="0" collapsed="false">
      <c r="A568" s="31" t="str">
        <f aca="false">Demand_History!C568</f>
        <v>KIT-006</v>
      </c>
      <c r="B568" s="31" t="n">
        <f aca="false">Demand_History!A568</f>
        <v>47</v>
      </c>
      <c r="C568" s="32" t="n">
        <f aca="false">Demand_History!D568</f>
        <v>25</v>
      </c>
      <c r="D568" s="33" t="n">
        <f aca="false">IF(B568&gt;=2,C567,"")</f>
        <v>60</v>
      </c>
      <c r="E568" s="33" t="n">
        <f aca="false">IF(B568&gt;=5,AVERAGE(C564:C567),"")</f>
        <v>69.25</v>
      </c>
      <c r="F568" s="33" t="n">
        <f aca="false">IF(B568&gt;=9,AVERAGE(C560:C567),"")</f>
        <v>61.5</v>
      </c>
      <c r="G568" s="33" t="n">
        <f aca="false">IF(B568=1,"",IF(B568=2,C567,SES_Alpha*C567+(1-SES_Alpha)*G567))</f>
        <v>63.4184584710713</v>
      </c>
      <c r="H568" s="33" t="n">
        <f aca="false">IF(D568="","",D568-C568)</f>
        <v>35</v>
      </c>
      <c r="I568" s="33" t="n">
        <f aca="false">IF(E568="","",E568-C568)</f>
        <v>44.25</v>
      </c>
      <c r="J568" s="33" t="n">
        <f aca="false">IF(F568="","",F568-C568)</f>
        <v>36.5</v>
      </c>
      <c r="K568" s="33" t="n">
        <f aca="false">IF(G568="","",G568-C568)</f>
        <v>38.4184584710713</v>
      </c>
      <c r="L568" s="33" t="n">
        <f aca="false">IF(H568="","",ABS(H568))</f>
        <v>35</v>
      </c>
      <c r="M568" s="33" t="n">
        <f aca="false">IF(I568="","",ABS(I568))</f>
        <v>44.25</v>
      </c>
      <c r="N568" s="33" t="n">
        <f aca="false">IF(J568="","",ABS(J568))</f>
        <v>36.5</v>
      </c>
      <c r="O568" s="33" t="n">
        <f aca="false">IF(K568="","",ABS(K568))</f>
        <v>38.4184584710713</v>
      </c>
      <c r="P568" s="34" t="str">
        <f aca="false">IF(B568&gt;=Eval_Start_Week,"YES","")</f>
        <v/>
      </c>
      <c r="Q568" s="34" t="str">
        <f aca="false">IF(AND(B568&gt;=Cal_Start_Week,B568&lt;=Cal_End_Week),"YES","")</f>
        <v>YES</v>
      </c>
    </row>
    <row r="569" customFormat="false" ht="15" hidden="false" customHeight="false" outlineLevel="0" collapsed="false">
      <c r="A569" s="31" t="str">
        <f aca="false">Demand_History!C569</f>
        <v>KIT-006</v>
      </c>
      <c r="B569" s="31" t="n">
        <f aca="false">Demand_History!A569</f>
        <v>48</v>
      </c>
      <c r="C569" s="32" t="n">
        <f aca="false">Demand_History!D569</f>
        <v>73</v>
      </c>
      <c r="D569" s="33" t="n">
        <f aca="false">IF(B569&gt;=2,C568,"")</f>
        <v>25</v>
      </c>
      <c r="E569" s="33" t="n">
        <f aca="false">IF(B569&gt;=5,AVERAGE(C565:C568),"")</f>
        <v>59.25</v>
      </c>
      <c r="F569" s="33" t="n">
        <f aca="false">IF(B569&gt;=9,AVERAGE(C561:C568),"")</f>
        <v>56.25</v>
      </c>
      <c r="G569" s="33" t="n">
        <f aca="false">IF(B569=1,"",IF(B569=2,C568,SES_Alpha*C568+(1-SES_Alpha)*G568))</f>
        <v>51.8929209297499</v>
      </c>
      <c r="H569" s="33" t="n">
        <f aca="false">IF(D569="","",D569-C569)</f>
        <v>-48</v>
      </c>
      <c r="I569" s="33" t="n">
        <f aca="false">IF(E569="","",E569-C569)</f>
        <v>-13.75</v>
      </c>
      <c r="J569" s="33" t="n">
        <f aca="false">IF(F569="","",F569-C569)</f>
        <v>-16.75</v>
      </c>
      <c r="K569" s="33" t="n">
        <f aca="false">IF(G569="","",G569-C569)</f>
        <v>-21.1070790702501</v>
      </c>
      <c r="L569" s="33" t="n">
        <f aca="false">IF(H569="","",ABS(H569))</f>
        <v>48</v>
      </c>
      <c r="M569" s="33" t="n">
        <f aca="false">IF(I569="","",ABS(I569))</f>
        <v>13.75</v>
      </c>
      <c r="N569" s="33" t="n">
        <f aca="false">IF(J569="","",ABS(J569))</f>
        <v>16.75</v>
      </c>
      <c r="O569" s="33" t="n">
        <f aca="false">IF(K569="","",ABS(K569))</f>
        <v>21.1070790702501</v>
      </c>
      <c r="P569" s="34" t="str">
        <f aca="false">IF(B569&gt;=Eval_Start_Week,"YES","")</f>
        <v/>
      </c>
      <c r="Q569" s="34" t="str">
        <f aca="false">IF(AND(B569&gt;=Cal_Start_Week,B569&lt;=Cal_End_Week),"YES","")</f>
        <v>YES</v>
      </c>
    </row>
    <row r="570" customFormat="false" ht="15" hidden="false" customHeight="false" outlineLevel="0" collapsed="false">
      <c r="A570" s="31" t="str">
        <f aca="false">Demand_History!C570</f>
        <v>KIT-006</v>
      </c>
      <c r="B570" s="31" t="n">
        <f aca="false">Demand_History!A570</f>
        <v>49</v>
      </c>
      <c r="C570" s="32" t="n">
        <f aca="false">Demand_History!D570</f>
        <v>52</v>
      </c>
      <c r="D570" s="33" t="n">
        <f aca="false">IF(B570&gt;=2,C569,"")</f>
        <v>73</v>
      </c>
      <c r="E570" s="33" t="n">
        <f aca="false">IF(B570&gt;=5,AVERAGE(C566:C569),"")</f>
        <v>58</v>
      </c>
      <c r="F570" s="33" t="n">
        <f aca="false">IF(B570&gt;=9,AVERAGE(C562:C569),"")</f>
        <v>57.5</v>
      </c>
      <c r="G570" s="33" t="n">
        <f aca="false">IF(B570=1,"",IF(B570=2,C569,SES_Alpha*C569+(1-SES_Alpha)*G569))</f>
        <v>58.2250446508249</v>
      </c>
      <c r="H570" s="33" t="n">
        <f aca="false">IF(D570="","",D570-C570)</f>
        <v>21</v>
      </c>
      <c r="I570" s="33" t="n">
        <f aca="false">IF(E570="","",E570-C570)</f>
        <v>6</v>
      </c>
      <c r="J570" s="33" t="n">
        <f aca="false">IF(F570="","",F570-C570)</f>
        <v>5.5</v>
      </c>
      <c r="K570" s="33" t="n">
        <f aca="false">IF(G570="","",G570-C570)</f>
        <v>6.22504465082491</v>
      </c>
      <c r="L570" s="33" t="n">
        <f aca="false">IF(H570="","",ABS(H570))</f>
        <v>21</v>
      </c>
      <c r="M570" s="33" t="n">
        <f aca="false">IF(I570="","",ABS(I570))</f>
        <v>6</v>
      </c>
      <c r="N570" s="33" t="n">
        <f aca="false">IF(J570="","",ABS(J570))</f>
        <v>5.5</v>
      </c>
      <c r="O570" s="33" t="n">
        <f aca="false">IF(K570="","",ABS(K570))</f>
        <v>6.22504465082491</v>
      </c>
      <c r="P570" s="34" t="str">
        <f aca="false">IF(B570&gt;=Eval_Start_Week,"YES","")</f>
        <v/>
      </c>
      <c r="Q570" s="34" t="str">
        <f aca="false">IF(AND(B570&gt;=Cal_Start_Week,B570&lt;=Cal_End_Week),"YES","")</f>
        <v>YES</v>
      </c>
    </row>
    <row r="571" customFormat="false" ht="15" hidden="false" customHeight="false" outlineLevel="0" collapsed="false">
      <c r="A571" s="31" t="str">
        <f aca="false">Demand_History!C571</f>
        <v>KIT-006</v>
      </c>
      <c r="B571" s="31" t="n">
        <f aca="false">Demand_History!A571</f>
        <v>50</v>
      </c>
      <c r="C571" s="32" t="n">
        <f aca="false">Demand_History!D571</f>
        <v>6</v>
      </c>
      <c r="D571" s="33" t="n">
        <f aca="false">IF(B571&gt;=2,C570,"")</f>
        <v>52</v>
      </c>
      <c r="E571" s="33" t="n">
        <f aca="false">IF(B571&gt;=5,AVERAGE(C567:C570),"")</f>
        <v>52.5</v>
      </c>
      <c r="F571" s="33" t="n">
        <f aca="false">IF(B571&gt;=9,AVERAGE(C563:C570),"")</f>
        <v>56.625</v>
      </c>
      <c r="G571" s="33" t="n">
        <f aca="false">IF(B571=1,"",IF(B571=2,C570,SES_Alpha*C570+(1-SES_Alpha)*G570))</f>
        <v>56.3575312555774</v>
      </c>
      <c r="H571" s="33" t="n">
        <f aca="false">IF(D571="","",D571-C571)</f>
        <v>46</v>
      </c>
      <c r="I571" s="33" t="n">
        <f aca="false">IF(E571="","",E571-C571)</f>
        <v>46.5</v>
      </c>
      <c r="J571" s="33" t="n">
        <f aca="false">IF(F571="","",F571-C571)</f>
        <v>50.625</v>
      </c>
      <c r="K571" s="33" t="n">
        <f aca="false">IF(G571="","",G571-C571)</f>
        <v>50.3575312555774</v>
      </c>
      <c r="L571" s="33" t="n">
        <f aca="false">IF(H571="","",ABS(H571))</f>
        <v>46</v>
      </c>
      <c r="M571" s="33" t="n">
        <f aca="false">IF(I571="","",ABS(I571))</f>
        <v>46.5</v>
      </c>
      <c r="N571" s="33" t="n">
        <f aca="false">IF(J571="","",ABS(J571))</f>
        <v>50.625</v>
      </c>
      <c r="O571" s="33" t="n">
        <f aca="false">IF(K571="","",ABS(K571))</f>
        <v>50.3575312555774</v>
      </c>
      <c r="P571" s="34" t="str">
        <f aca="false">IF(B571&gt;=Eval_Start_Week,"YES","")</f>
        <v/>
      </c>
      <c r="Q571" s="34" t="str">
        <f aca="false">IF(AND(B571&gt;=Cal_Start_Week,B571&lt;=Cal_End_Week),"YES","")</f>
        <v>YES</v>
      </c>
    </row>
    <row r="572" customFormat="false" ht="15" hidden="false" customHeight="false" outlineLevel="0" collapsed="false">
      <c r="A572" s="31" t="str">
        <f aca="false">Demand_History!C572</f>
        <v>KIT-006</v>
      </c>
      <c r="B572" s="31" t="n">
        <f aca="false">Demand_History!A572</f>
        <v>51</v>
      </c>
      <c r="C572" s="32" t="n">
        <f aca="false">Demand_History!D572</f>
        <v>62</v>
      </c>
      <c r="D572" s="33" t="n">
        <f aca="false">IF(B572&gt;=2,C571,"")</f>
        <v>6</v>
      </c>
      <c r="E572" s="33" t="n">
        <f aca="false">IF(B572&gt;=5,AVERAGE(C568:C571),"")</f>
        <v>39</v>
      </c>
      <c r="F572" s="33" t="n">
        <f aca="false">IF(B572&gt;=9,AVERAGE(C564:C571),"")</f>
        <v>54.125</v>
      </c>
      <c r="G572" s="33" t="n">
        <f aca="false">IF(B572=1,"",IF(B572=2,C571,SES_Alpha*C571+(1-SES_Alpha)*G571))</f>
        <v>41.2502718789042</v>
      </c>
      <c r="H572" s="33" t="n">
        <f aca="false">IF(D572="","",D572-C572)</f>
        <v>-56</v>
      </c>
      <c r="I572" s="33" t="n">
        <f aca="false">IF(E572="","",E572-C572)</f>
        <v>-23</v>
      </c>
      <c r="J572" s="33" t="n">
        <f aca="false">IF(F572="","",F572-C572)</f>
        <v>-7.875</v>
      </c>
      <c r="K572" s="33" t="n">
        <f aca="false">IF(G572="","",G572-C572)</f>
        <v>-20.7497281210958</v>
      </c>
      <c r="L572" s="33" t="n">
        <f aca="false">IF(H572="","",ABS(H572))</f>
        <v>56</v>
      </c>
      <c r="M572" s="33" t="n">
        <f aca="false">IF(I572="","",ABS(I572))</f>
        <v>23</v>
      </c>
      <c r="N572" s="33" t="n">
        <f aca="false">IF(J572="","",ABS(J572))</f>
        <v>7.875</v>
      </c>
      <c r="O572" s="33" t="n">
        <f aca="false">IF(K572="","",ABS(K572))</f>
        <v>20.7497281210958</v>
      </c>
      <c r="P572" s="34" t="str">
        <f aca="false">IF(B572&gt;=Eval_Start_Week,"YES","")</f>
        <v/>
      </c>
      <c r="Q572" s="34" t="str">
        <f aca="false">IF(AND(B572&gt;=Cal_Start_Week,B572&lt;=Cal_End_Week),"YES","")</f>
        <v>YES</v>
      </c>
    </row>
    <row r="573" customFormat="false" ht="15" hidden="false" customHeight="false" outlineLevel="0" collapsed="false">
      <c r="A573" s="31" t="str">
        <f aca="false">Demand_History!C573</f>
        <v>KIT-006</v>
      </c>
      <c r="B573" s="31" t="n">
        <f aca="false">Demand_History!A573</f>
        <v>52</v>
      </c>
      <c r="C573" s="32" t="n">
        <f aca="false">Demand_History!D573</f>
        <v>26</v>
      </c>
      <c r="D573" s="33" t="n">
        <f aca="false">IF(B573&gt;=2,C572,"")</f>
        <v>62</v>
      </c>
      <c r="E573" s="33" t="n">
        <f aca="false">IF(B573&gt;=5,AVERAGE(C569:C572),"")</f>
        <v>48.25</v>
      </c>
      <c r="F573" s="33" t="n">
        <f aca="false">IF(B573&gt;=9,AVERAGE(C565:C572),"")</f>
        <v>53.75</v>
      </c>
      <c r="G573" s="33" t="n">
        <f aca="false">IF(B573=1,"",IF(B573=2,C572,SES_Alpha*C572+(1-SES_Alpha)*G572))</f>
        <v>47.4751903152329</v>
      </c>
      <c r="H573" s="33" t="n">
        <f aca="false">IF(D573="","",D573-C573)</f>
        <v>36</v>
      </c>
      <c r="I573" s="33" t="n">
        <f aca="false">IF(E573="","",E573-C573)</f>
        <v>22.25</v>
      </c>
      <c r="J573" s="33" t="n">
        <f aca="false">IF(F573="","",F573-C573)</f>
        <v>27.75</v>
      </c>
      <c r="K573" s="33" t="n">
        <f aca="false">IF(G573="","",G573-C573)</f>
        <v>21.4751903152329</v>
      </c>
      <c r="L573" s="33" t="n">
        <f aca="false">IF(H573="","",ABS(H573))</f>
        <v>36</v>
      </c>
      <c r="M573" s="33" t="n">
        <f aca="false">IF(I573="","",ABS(I573))</f>
        <v>22.25</v>
      </c>
      <c r="N573" s="33" t="n">
        <f aca="false">IF(J573="","",ABS(J573))</f>
        <v>27.75</v>
      </c>
      <c r="O573" s="33" t="n">
        <f aca="false">IF(K573="","",ABS(K573))</f>
        <v>21.4751903152329</v>
      </c>
      <c r="P573" s="34" t="str">
        <f aca="false">IF(B573&gt;=Eval_Start_Week,"YES","")</f>
        <v/>
      </c>
      <c r="Q573" s="34" t="str">
        <f aca="false">IF(AND(B573&gt;=Cal_Start_Week,B573&lt;=Cal_End_Week),"YES","")</f>
        <v>YES</v>
      </c>
    </row>
    <row r="574" customFormat="false" ht="15" hidden="false" customHeight="false" outlineLevel="0" collapsed="false">
      <c r="A574" s="31" t="str">
        <f aca="false">Demand_History!C574</f>
        <v>KIT-006</v>
      </c>
      <c r="B574" s="31" t="n">
        <f aca="false">Demand_History!A574</f>
        <v>53</v>
      </c>
      <c r="C574" s="32" t="n">
        <f aca="false">Demand_History!D574</f>
        <v>30</v>
      </c>
      <c r="D574" s="33" t="n">
        <f aca="false">IF(B574&gt;=2,C573,"")</f>
        <v>26</v>
      </c>
      <c r="E574" s="33" t="n">
        <f aca="false">IF(B574&gt;=5,AVERAGE(C570:C573),"")</f>
        <v>36.5</v>
      </c>
      <c r="F574" s="33" t="n">
        <f aca="false">IF(B574&gt;=9,AVERAGE(C566:C573),"")</f>
        <v>47.25</v>
      </c>
      <c r="G574" s="33" t="n">
        <f aca="false">IF(B574=1,"",IF(B574=2,C573,SES_Alpha*C573+(1-SES_Alpha)*G573))</f>
        <v>41.0326332206631</v>
      </c>
      <c r="H574" s="33" t="n">
        <f aca="false">IF(D574="","",D574-C574)</f>
        <v>-4</v>
      </c>
      <c r="I574" s="33" t="n">
        <f aca="false">IF(E574="","",E574-C574)</f>
        <v>6.5</v>
      </c>
      <c r="J574" s="33" t="n">
        <f aca="false">IF(F574="","",F574-C574)</f>
        <v>17.25</v>
      </c>
      <c r="K574" s="33" t="n">
        <f aca="false">IF(G574="","",G574-C574)</f>
        <v>11.0326332206631</v>
      </c>
      <c r="L574" s="33" t="n">
        <f aca="false">IF(H574="","",ABS(H574))</f>
        <v>4</v>
      </c>
      <c r="M574" s="33" t="n">
        <f aca="false">IF(I574="","",ABS(I574))</f>
        <v>6.5</v>
      </c>
      <c r="N574" s="33" t="n">
        <f aca="false">IF(J574="","",ABS(J574))</f>
        <v>17.25</v>
      </c>
      <c r="O574" s="33" t="n">
        <f aca="false">IF(K574="","",ABS(K574))</f>
        <v>11.0326332206631</v>
      </c>
      <c r="P574" s="34" t="str">
        <f aca="false">IF(B574&gt;=Eval_Start_Week,"YES","")</f>
        <v>YES</v>
      </c>
      <c r="Q574" s="34" t="str">
        <f aca="false">IF(AND(B574&gt;=Cal_Start_Week,B574&lt;=Cal_End_Week),"YES","")</f>
        <v>YES</v>
      </c>
    </row>
    <row r="575" customFormat="false" ht="15" hidden="false" customHeight="false" outlineLevel="0" collapsed="false">
      <c r="A575" s="31" t="str">
        <f aca="false">Demand_History!C575</f>
        <v>KIT-006</v>
      </c>
      <c r="B575" s="31" t="n">
        <f aca="false">Demand_History!A575</f>
        <v>54</v>
      </c>
      <c r="C575" s="32" t="n">
        <f aca="false">Demand_History!D575</f>
        <v>43</v>
      </c>
      <c r="D575" s="33" t="n">
        <f aca="false">IF(B575&gt;=2,C574,"")</f>
        <v>30</v>
      </c>
      <c r="E575" s="33" t="n">
        <f aca="false">IF(B575&gt;=5,AVERAGE(C571:C574),"")</f>
        <v>31</v>
      </c>
      <c r="F575" s="33" t="n">
        <f aca="false">IF(B575&gt;=9,AVERAGE(C567:C574),"")</f>
        <v>41.75</v>
      </c>
      <c r="G575" s="33" t="n">
        <f aca="false">IF(B575=1,"",IF(B575=2,C574,SES_Alpha*C574+(1-SES_Alpha)*G574))</f>
        <v>37.7228432544641</v>
      </c>
      <c r="H575" s="33" t="n">
        <f aca="false">IF(D575="","",D575-C575)</f>
        <v>-13</v>
      </c>
      <c r="I575" s="33" t="n">
        <f aca="false">IF(E575="","",E575-C575)</f>
        <v>-12</v>
      </c>
      <c r="J575" s="33" t="n">
        <f aca="false">IF(F575="","",F575-C575)</f>
        <v>-1.25</v>
      </c>
      <c r="K575" s="33" t="n">
        <f aca="false">IF(G575="","",G575-C575)</f>
        <v>-5.27715674553586</v>
      </c>
      <c r="L575" s="33" t="n">
        <f aca="false">IF(H575="","",ABS(H575))</f>
        <v>13</v>
      </c>
      <c r="M575" s="33" t="n">
        <f aca="false">IF(I575="","",ABS(I575))</f>
        <v>12</v>
      </c>
      <c r="N575" s="33" t="n">
        <f aca="false">IF(J575="","",ABS(J575))</f>
        <v>1.25</v>
      </c>
      <c r="O575" s="33" t="n">
        <f aca="false">IF(K575="","",ABS(K575))</f>
        <v>5.27715674553586</v>
      </c>
      <c r="P575" s="34" t="str">
        <f aca="false">IF(B575&gt;=Eval_Start_Week,"YES","")</f>
        <v>YES</v>
      </c>
      <c r="Q575" s="34" t="str">
        <f aca="false">IF(AND(B575&gt;=Cal_Start_Week,B575&lt;=Cal_End_Week),"YES","")</f>
        <v>YES</v>
      </c>
    </row>
    <row r="576" customFormat="false" ht="15" hidden="false" customHeight="false" outlineLevel="0" collapsed="false">
      <c r="A576" s="31" t="str">
        <f aca="false">Demand_History!C576</f>
        <v>KIT-006</v>
      </c>
      <c r="B576" s="31" t="n">
        <f aca="false">Demand_History!A576</f>
        <v>55</v>
      </c>
      <c r="C576" s="32" t="n">
        <f aca="false">Demand_History!D576</f>
        <v>80</v>
      </c>
      <c r="D576" s="33" t="n">
        <f aca="false">IF(B576&gt;=2,C575,"")</f>
        <v>43</v>
      </c>
      <c r="E576" s="33" t="n">
        <f aca="false">IF(B576&gt;=5,AVERAGE(C572:C575),"")</f>
        <v>40.25</v>
      </c>
      <c r="F576" s="33" t="n">
        <f aca="false">IF(B576&gt;=9,AVERAGE(C568:C575),"")</f>
        <v>39.625</v>
      </c>
      <c r="G576" s="33" t="n">
        <f aca="false">IF(B576=1,"",IF(B576=2,C575,SES_Alpha*C575+(1-SES_Alpha)*G575))</f>
        <v>39.3059902781249</v>
      </c>
      <c r="H576" s="33" t="n">
        <f aca="false">IF(D576="","",D576-C576)</f>
        <v>-37</v>
      </c>
      <c r="I576" s="33" t="n">
        <f aca="false">IF(E576="","",E576-C576)</f>
        <v>-39.75</v>
      </c>
      <c r="J576" s="33" t="n">
        <f aca="false">IF(F576="","",F576-C576)</f>
        <v>-40.375</v>
      </c>
      <c r="K576" s="33" t="n">
        <f aca="false">IF(G576="","",G576-C576)</f>
        <v>-40.6940097218751</v>
      </c>
      <c r="L576" s="33" t="n">
        <f aca="false">IF(H576="","",ABS(H576))</f>
        <v>37</v>
      </c>
      <c r="M576" s="33" t="n">
        <f aca="false">IF(I576="","",ABS(I576))</f>
        <v>39.75</v>
      </c>
      <c r="N576" s="33" t="n">
        <f aca="false">IF(J576="","",ABS(J576))</f>
        <v>40.375</v>
      </c>
      <c r="O576" s="33" t="n">
        <f aca="false">IF(K576="","",ABS(K576))</f>
        <v>40.6940097218751</v>
      </c>
      <c r="P576" s="34" t="str">
        <f aca="false">IF(B576&gt;=Eval_Start_Week,"YES","")</f>
        <v>YES</v>
      </c>
      <c r="Q576" s="34" t="str">
        <f aca="false">IF(AND(B576&gt;=Cal_Start_Week,B576&lt;=Cal_End_Week),"YES","")</f>
        <v>YES</v>
      </c>
    </row>
    <row r="577" customFormat="false" ht="15" hidden="false" customHeight="false" outlineLevel="0" collapsed="false">
      <c r="A577" s="31" t="str">
        <f aca="false">Demand_History!C577</f>
        <v>KIT-006</v>
      </c>
      <c r="B577" s="31" t="n">
        <f aca="false">Demand_History!A577</f>
        <v>56</v>
      </c>
      <c r="C577" s="32" t="n">
        <f aca="false">Demand_History!D577</f>
        <v>48</v>
      </c>
      <c r="D577" s="33" t="n">
        <f aca="false">IF(B577&gt;=2,C576,"")</f>
        <v>80</v>
      </c>
      <c r="E577" s="33" t="n">
        <f aca="false">IF(B577&gt;=5,AVERAGE(C573:C576),"")</f>
        <v>44.75</v>
      </c>
      <c r="F577" s="33" t="n">
        <f aca="false">IF(B577&gt;=9,AVERAGE(C569:C576),"")</f>
        <v>46.5</v>
      </c>
      <c r="G577" s="33" t="n">
        <f aca="false">IF(B577=1,"",IF(B577=2,C576,SES_Alpha*C576+(1-SES_Alpha)*G576))</f>
        <v>51.5141931946874</v>
      </c>
      <c r="H577" s="33" t="n">
        <f aca="false">IF(D577="","",D577-C577)</f>
        <v>32</v>
      </c>
      <c r="I577" s="33" t="n">
        <f aca="false">IF(E577="","",E577-C577)</f>
        <v>-3.25</v>
      </c>
      <c r="J577" s="33" t="n">
        <f aca="false">IF(F577="","",F577-C577)</f>
        <v>-1.5</v>
      </c>
      <c r="K577" s="33" t="n">
        <f aca="false">IF(G577="","",G577-C577)</f>
        <v>3.51419319468742</v>
      </c>
      <c r="L577" s="33" t="n">
        <f aca="false">IF(H577="","",ABS(H577))</f>
        <v>32</v>
      </c>
      <c r="M577" s="33" t="n">
        <f aca="false">IF(I577="","",ABS(I577))</f>
        <v>3.25</v>
      </c>
      <c r="N577" s="33" t="n">
        <f aca="false">IF(J577="","",ABS(J577))</f>
        <v>1.5</v>
      </c>
      <c r="O577" s="33" t="n">
        <f aca="false">IF(K577="","",ABS(K577))</f>
        <v>3.51419319468742</v>
      </c>
      <c r="P577" s="34" t="str">
        <f aca="false">IF(B577&gt;=Eval_Start_Week,"YES","")</f>
        <v>YES</v>
      </c>
      <c r="Q577" s="34" t="str">
        <f aca="false">IF(AND(B577&gt;=Cal_Start_Week,B577&lt;=Cal_End_Week),"YES","")</f>
        <v>YES</v>
      </c>
    </row>
    <row r="578" customFormat="false" ht="15" hidden="false" customHeight="false" outlineLevel="0" collapsed="false">
      <c r="A578" s="31" t="str">
        <f aca="false">Demand_History!C578</f>
        <v>KIT-006</v>
      </c>
      <c r="B578" s="31" t="n">
        <f aca="false">Demand_History!A578</f>
        <v>57</v>
      </c>
      <c r="C578" s="32" t="n">
        <f aca="false">Demand_History!D578</f>
        <v>60</v>
      </c>
      <c r="D578" s="33" t="n">
        <f aca="false">IF(B578&gt;=2,C577,"")</f>
        <v>48</v>
      </c>
      <c r="E578" s="33" t="n">
        <f aca="false">IF(B578&gt;=5,AVERAGE(C574:C577),"")</f>
        <v>50.25</v>
      </c>
      <c r="F578" s="33" t="n">
        <f aca="false">IF(B578&gt;=9,AVERAGE(C570:C577),"")</f>
        <v>43.375</v>
      </c>
      <c r="G578" s="33" t="n">
        <f aca="false">IF(B578=1,"",IF(B578=2,C577,SES_Alpha*C577+(1-SES_Alpha)*G577))</f>
        <v>50.4599352362812</v>
      </c>
      <c r="H578" s="33" t="n">
        <f aca="false">IF(D578="","",D578-C578)</f>
        <v>-12</v>
      </c>
      <c r="I578" s="33" t="n">
        <f aca="false">IF(E578="","",E578-C578)</f>
        <v>-9.75</v>
      </c>
      <c r="J578" s="33" t="n">
        <f aca="false">IF(F578="","",F578-C578)</f>
        <v>-16.625</v>
      </c>
      <c r="K578" s="33" t="n">
        <f aca="false">IF(G578="","",G578-C578)</f>
        <v>-9.54006476371881</v>
      </c>
      <c r="L578" s="33" t="n">
        <f aca="false">IF(H578="","",ABS(H578))</f>
        <v>12</v>
      </c>
      <c r="M578" s="33" t="n">
        <f aca="false">IF(I578="","",ABS(I578))</f>
        <v>9.75</v>
      </c>
      <c r="N578" s="33" t="n">
        <f aca="false">IF(J578="","",ABS(J578))</f>
        <v>16.625</v>
      </c>
      <c r="O578" s="33" t="n">
        <f aca="false">IF(K578="","",ABS(K578))</f>
        <v>9.54006476371881</v>
      </c>
      <c r="P578" s="34" t="str">
        <f aca="false">IF(B578&gt;=Eval_Start_Week,"YES","")</f>
        <v>YES</v>
      </c>
      <c r="Q578" s="34" t="str">
        <f aca="false">IF(AND(B578&gt;=Cal_Start_Week,B578&lt;=Cal_End_Week),"YES","")</f>
        <v>YES</v>
      </c>
    </row>
    <row r="579" customFormat="false" ht="15" hidden="false" customHeight="false" outlineLevel="0" collapsed="false">
      <c r="A579" s="31" t="str">
        <f aca="false">Demand_History!C579</f>
        <v>KIT-006</v>
      </c>
      <c r="B579" s="31" t="n">
        <f aca="false">Demand_History!A579</f>
        <v>58</v>
      </c>
      <c r="C579" s="32" t="n">
        <f aca="false">Demand_History!D579</f>
        <v>89</v>
      </c>
      <c r="D579" s="33" t="n">
        <f aca="false">IF(B579&gt;=2,C578,"")</f>
        <v>60</v>
      </c>
      <c r="E579" s="33" t="n">
        <f aca="false">IF(B579&gt;=5,AVERAGE(C575:C578),"")</f>
        <v>57.75</v>
      </c>
      <c r="F579" s="33" t="n">
        <f aca="false">IF(B579&gt;=9,AVERAGE(C571:C578),"")</f>
        <v>44.375</v>
      </c>
      <c r="G579" s="33" t="n">
        <f aca="false">IF(B579=1,"",IF(B579=2,C578,SES_Alpha*C578+(1-SES_Alpha)*G578))</f>
        <v>53.3219546653968</v>
      </c>
      <c r="H579" s="33" t="n">
        <f aca="false">IF(D579="","",D579-C579)</f>
        <v>-29</v>
      </c>
      <c r="I579" s="33" t="n">
        <f aca="false">IF(E579="","",E579-C579)</f>
        <v>-31.25</v>
      </c>
      <c r="J579" s="33" t="n">
        <f aca="false">IF(F579="","",F579-C579)</f>
        <v>-44.625</v>
      </c>
      <c r="K579" s="33" t="n">
        <f aca="false">IF(G579="","",G579-C579)</f>
        <v>-35.6780453346032</v>
      </c>
      <c r="L579" s="33" t="n">
        <f aca="false">IF(H579="","",ABS(H579))</f>
        <v>29</v>
      </c>
      <c r="M579" s="33" t="n">
        <f aca="false">IF(I579="","",ABS(I579))</f>
        <v>31.25</v>
      </c>
      <c r="N579" s="33" t="n">
        <f aca="false">IF(J579="","",ABS(J579))</f>
        <v>44.625</v>
      </c>
      <c r="O579" s="33" t="n">
        <f aca="false">IF(K579="","",ABS(K579))</f>
        <v>35.6780453346032</v>
      </c>
      <c r="P579" s="34" t="str">
        <f aca="false">IF(B579&gt;=Eval_Start_Week,"YES","")</f>
        <v>YES</v>
      </c>
      <c r="Q579" s="34" t="str">
        <f aca="false">IF(AND(B579&gt;=Cal_Start_Week,B579&lt;=Cal_End_Week),"YES","")</f>
        <v>YES</v>
      </c>
    </row>
    <row r="580" customFormat="false" ht="15" hidden="false" customHeight="false" outlineLevel="0" collapsed="false">
      <c r="A580" s="31" t="str">
        <f aca="false">Demand_History!C580</f>
        <v>KIT-006</v>
      </c>
      <c r="B580" s="31" t="n">
        <f aca="false">Demand_History!A580</f>
        <v>59</v>
      </c>
      <c r="C580" s="32" t="n">
        <f aca="false">Demand_History!D580</f>
        <v>86</v>
      </c>
      <c r="D580" s="33" t="n">
        <f aca="false">IF(B580&gt;=2,C579,"")</f>
        <v>89</v>
      </c>
      <c r="E580" s="33" t="n">
        <f aca="false">IF(B580&gt;=5,AVERAGE(C576:C579),"")</f>
        <v>69.25</v>
      </c>
      <c r="F580" s="33" t="n">
        <f aca="false">IF(B580&gt;=9,AVERAGE(C572:C579),"")</f>
        <v>54.75</v>
      </c>
      <c r="G580" s="33" t="n">
        <f aca="false">IF(B580=1,"",IF(B580=2,C579,SES_Alpha*C579+(1-SES_Alpha)*G579))</f>
        <v>64.0253682657778</v>
      </c>
      <c r="H580" s="33" t="n">
        <f aca="false">IF(D580="","",D580-C580)</f>
        <v>3</v>
      </c>
      <c r="I580" s="33" t="n">
        <f aca="false">IF(E580="","",E580-C580)</f>
        <v>-16.75</v>
      </c>
      <c r="J580" s="33" t="n">
        <f aca="false">IF(F580="","",F580-C580)</f>
        <v>-31.25</v>
      </c>
      <c r="K580" s="33" t="n">
        <f aca="false">IF(G580="","",G580-C580)</f>
        <v>-21.9746317342222</v>
      </c>
      <c r="L580" s="33" t="n">
        <f aca="false">IF(H580="","",ABS(H580))</f>
        <v>3</v>
      </c>
      <c r="M580" s="33" t="n">
        <f aca="false">IF(I580="","",ABS(I580))</f>
        <v>16.75</v>
      </c>
      <c r="N580" s="33" t="n">
        <f aca="false">IF(J580="","",ABS(J580))</f>
        <v>31.25</v>
      </c>
      <c r="O580" s="33" t="n">
        <f aca="false">IF(K580="","",ABS(K580))</f>
        <v>21.9746317342222</v>
      </c>
      <c r="P580" s="34" t="str">
        <f aca="false">IF(B580&gt;=Eval_Start_Week,"YES","")</f>
        <v>YES</v>
      </c>
      <c r="Q580" s="34" t="str">
        <f aca="false">IF(AND(B580&gt;=Cal_Start_Week,B580&lt;=Cal_End_Week),"YES","")</f>
        <v>YES</v>
      </c>
    </row>
    <row r="581" customFormat="false" ht="15" hidden="false" customHeight="false" outlineLevel="0" collapsed="false">
      <c r="A581" s="31" t="str">
        <f aca="false">Demand_History!C581</f>
        <v>KIT-006</v>
      </c>
      <c r="B581" s="31" t="n">
        <f aca="false">Demand_History!A581</f>
        <v>60</v>
      </c>
      <c r="C581" s="32" t="n">
        <f aca="false">Demand_History!D581</f>
        <v>53</v>
      </c>
      <c r="D581" s="33" t="n">
        <f aca="false">IF(B581&gt;=2,C580,"")</f>
        <v>86</v>
      </c>
      <c r="E581" s="33" t="n">
        <f aca="false">IF(B581&gt;=5,AVERAGE(C577:C580),"")</f>
        <v>70.75</v>
      </c>
      <c r="F581" s="33" t="n">
        <f aca="false">IF(B581&gt;=9,AVERAGE(C573:C580),"")</f>
        <v>57.75</v>
      </c>
      <c r="G581" s="33" t="n">
        <f aca="false">IF(B581=1,"",IF(B581=2,C580,SES_Alpha*C580+(1-SES_Alpha)*G580))</f>
        <v>70.6177577860444</v>
      </c>
      <c r="H581" s="33" t="n">
        <f aca="false">IF(D581="","",D581-C581)</f>
        <v>33</v>
      </c>
      <c r="I581" s="33" t="n">
        <f aca="false">IF(E581="","",E581-C581)</f>
        <v>17.75</v>
      </c>
      <c r="J581" s="33" t="n">
        <f aca="false">IF(F581="","",F581-C581)</f>
        <v>4.75</v>
      </c>
      <c r="K581" s="33" t="n">
        <f aca="false">IF(G581="","",G581-C581)</f>
        <v>17.6177577860444</v>
      </c>
      <c r="L581" s="33" t="n">
        <f aca="false">IF(H581="","",ABS(H581))</f>
        <v>33</v>
      </c>
      <c r="M581" s="33" t="n">
        <f aca="false">IF(I581="","",ABS(I581))</f>
        <v>17.75</v>
      </c>
      <c r="N581" s="33" t="n">
        <f aca="false">IF(J581="","",ABS(J581))</f>
        <v>4.75</v>
      </c>
      <c r="O581" s="33" t="n">
        <f aca="false">IF(K581="","",ABS(K581))</f>
        <v>17.6177577860444</v>
      </c>
      <c r="P581" s="34" t="str">
        <f aca="false">IF(B581&gt;=Eval_Start_Week,"YES","")</f>
        <v>YES</v>
      </c>
      <c r="Q581" s="34" t="str">
        <f aca="false">IF(AND(B581&gt;=Cal_Start_Week,B581&lt;=Cal_End_Week),"YES","")</f>
        <v>YES</v>
      </c>
    </row>
    <row r="582" customFormat="false" ht="15" hidden="false" customHeight="false" outlineLevel="0" collapsed="false">
      <c r="A582" s="31" t="str">
        <f aca="false">Demand_History!C582</f>
        <v>KIT-006</v>
      </c>
      <c r="B582" s="31" t="n">
        <f aca="false">Demand_History!A582</f>
        <v>61</v>
      </c>
      <c r="C582" s="32" t="n">
        <f aca="false">Demand_History!D582</f>
        <v>50</v>
      </c>
      <c r="D582" s="33" t="n">
        <f aca="false">IF(B582&gt;=2,C581,"")</f>
        <v>53</v>
      </c>
      <c r="E582" s="33" t="n">
        <f aca="false">IF(B582&gt;=5,AVERAGE(C578:C581),"")</f>
        <v>72</v>
      </c>
      <c r="F582" s="33" t="n">
        <f aca="false">IF(B582&gt;=9,AVERAGE(C574:C581),"")</f>
        <v>61.125</v>
      </c>
      <c r="G582" s="33" t="n">
        <f aca="false">IF(B582=1,"",IF(B582=2,C581,SES_Alpha*C581+(1-SES_Alpha)*G581))</f>
        <v>65.3324304502311</v>
      </c>
      <c r="H582" s="33" t="n">
        <f aca="false">IF(D582="","",D582-C582)</f>
        <v>3</v>
      </c>
      <c r="I582" s="33" t="n">
        <f aca="false">IF(E582="","",E582-C582)</f>
        <v>22</v>
      </c>
      <c r="J582" s="33" t="n">
        <f aca="false">IF(F582="","",F582-C582)</f>
        <v>11.125</v>
      </c>
      <c r="K582" s="33" t="n">
        <f aca="false">IF(G582="","",G582-C582)</f>
        <v>15.3324304502311</v>
      </c>
      <c r="L582" s="33" t="n">
        <f aca="false">IF(H582="","",ABS(H582))</f>
        <v>3</v>
      </c>
      <c r="M582" s="33" t="n">
        <f aca="false">IF(I582="","",ABS(I582))</f>
        <v>22</v>
      </c>
      <c r="N582" s="33" t="n">
        <f aca="false">IF(J582="","",ABS(J582))</f>
        <v>11.125</v>
      </c>
      <c r="O582" s="33" t="n">
        <f aca="false">IF(K582="","",ABS(K582))</f>
        <v>15.3324304502311</v>
      </c>
      <c r="P582" s="34" t="str">
        <f aca="false">IF(B582&gt;=Eval_Start_Week,"YES","")</f>
        <v>YES</v>
      </c>
      <c r="Q582" s="34" t="str">
        <f aca="false">IF(AND(B582&gt;=Cal_Start_Week,B582&lt;=Cal_End_Week),"YES","")</f>
        <v>YES</v>
      </c>
    </row>
    <row r="583" customFormat="false" ht="15" hidden="false" customHeight="false" outlineLevel="0" collapsed="false">
      <c r="A583" s="31" t="str">
        <f aca="false">Demand_History!C583</f>
        <v>KIT-006</v>
      </c>
      <c r="B583" s="31" t="n">
        <f aca="false">Demand_History!A583</f>
        <v>62</v>
      </c>
      <c r="C583" s="32" t="n">
        <f aca="false">Demand_History!D583</f>
        <v>31</v>
      </c>
      <c r="D583" s="33" t="n">
        <f aca="false">IF(B583&gt;=2,C582,"")</f>
        <v>50</v>
      </c>
      <c r="E583" s="33" t="n">
        <f aca="false">IF(B583&gt;=5,AVERAGE(C579:C582),"")</f>
        <v>69.5</v>
      </c>
      <c r="F583" s="33" t="n">
        <f aca="false">IF(B583&gt;=9,AVERAGE(C575:C582),"")</f>
        <v>63.625</v>
      </c>
      <c r="G583" s="33" t="n">
        <f aca="false">IF(B583=1,"",IF(B583=2,C582,SES_Alpha*C582+(1-SES_Alpha)*G582))</f>
        <v>60.7327013151618</v>
      </c>
      <c r="H583" s="33" t="n">
        <f aca="false">IF(D583="","",D583-C583)</f>
        <v>19</v>
      </c>
      <c r="I583" s="33" t="n">
        <f aca="false">IF(E583="","",E583-C583)</f>
        <v>38.5</v>
      </c>
      <c r="J583" s="33" t="n">
        <f aca="false">IF(F583="","",F583-C583)</f>
        <v>32.625</v>
      </c>
      <c r="K583" s="33" t="n">
        <f aca="false">IF(G583="","",G583-C583)</f>
        <v>29.7327013151618</v>
      </c>
      <c r="L583" s="33" t="n">
        <f aca="false">IF(H583="","",ABS(H583))</f>
        <v>19</v>
      </c>
      <c r="M583" s="33" t="n">
        <f aca="false">IF(I583="","",ABS(I583))</f>
        <v>38.5</v>
      </c>
      <c r="N583" s="33" t="n">
        <f aca="false">IF(J583="","",ABS(J583))</f>
        <v>32.625</v>
      </c>
      <c r="O583" s="33" t="n">
        <f aca="false">IF(K583="","",ABS(K583))</f>
        <v>29.7327013151618</v>
      </c>
      <c r="P583" s="34" t="str">
        <f aca="false">IF(B583&gt;=Eval_Start_Week,"YES","")</f>
        <v>YES</v>
      </c>
      <c r="Q583" s="34" t="str">
        <f aca="false">IF(AND(B583&gt;=Cal_Start_Week,B583&lt;=Cal_End_Week),"YES","")</f>
        <v>YES</v>
      </c>
    </row>
    <row r="584" customFormat="false" ht="15" hidden="false" customHeight="false" outlineLevel="0" collapsed="false">
      <c r="A584" s="31" t="str">
        <f aca="false">Demand_History!C584</f>
        <v>KIT-006</v>
      </c>
      <c r="B584" s="31" t="n">
        <f aca="false">Demand_History!A584</f>
        <v>63</v>
      </c>
      <c r="C584" s="32" t="n">
        <f aca="false">Demand_History!D584</f>
        <v>42</v>
      </c>
      <c r="D584" s="33" t="n">
        <f aca="false">IF(B584&gt;=2,C583,"")</f>
        <v>31</v>
      </c>
      <c r="E584" s="33" t="n">
        <f aca="false">IF(B584&gt;=5,AVERAGE(C580:C583),"")</f>
        <v>55</v>
      </c>
      <c r="F584" s="33" t="n">
        <f aca="false">IF(B584&gt;=9,AVERAGE(C576:C583),"")</f>
        <v>62.125</v>
      </c>
      <c r="G584" s="33" t="n">
        <f aca="false">IF(B584=1,"",IF(B584=2,C583,SES_Alpha*C583+(1-SES_Alpha)*G583))</f>
        <v>51.8128909206132</v>
      </c>
      <c r="H584" s="33" t="n">
        <f aca="false">IF(D584="","",D584-C584)</f>
        <v>-11</v>
      </c>
      <c r="I584" s="33" t="n">
        <f aca="false">IF(E584="","",E584-C584)</f>
        <v>13</v>
      </c>
      <c r="J584" s="33" t="n">
        <f aca="false">IF(F584="","",F584-C584)</f>
        <v>20.125</v>
      </c>
      <c r="K584" s="33" t="n">
        <f aca="false">IF(G584="","",G584-C584)</f>
        <v>9.81289092061324</v>
      </c>
      <c r="L584" s="33" t="n">
        <f aca="false">IF(H584="","",ABS(H584))</f>
        <v>11</v>
      </c>
      <c r="M584" s="33" t="n">
        <f aca="false">IF(I584="","",ABS(I584))</f>
        <v>13</v>
      </c>
      <c r="N584" s="33" t="n">
        <f aca="false">IF(J584="","",ABS(J584))</f>
        <v>20.125</v>
      </c>
      <c r="O584" s="33" t="n">
        <f aca="false">IF(K584="","",ABS(K584))</f>
        <v>9.81289092061324</v>
      </c>
      <c r="P584" s="34" t="str">
        <f aca="false">IF(B584&gt;=Eval_Start_Week,"YES","")</f>
        <v>YES</v>
      </c>
      <c r="Q584" s="34" t="str">
        <f aca="false">IF(AND(B584&gt;=Cal_Start_Week,B584&lt;=Cal_End_Week),"YES","")</f>
        <v>YES</v>
      </c>
    </row>
    <row r="585" customFormat="false" ht="15" hidden="false" customHeight="false" outlineLevel="0" collapsed="false">
      <c r="A585" s="31" t="str">
        <f aca="false">Demand_History!C585</f>
        <v>KIT-006</v>
      </c>
      <c r="B585" s="31" t="n">
        <f aca="false">Demand_History!A585</f>
        <v>64</v>
      </c>
      <c r="C585" s="32" t="n">
        <f aca="false">Demand_History!D585</f>
        <v>63</v>
      </c>
      <c r="D585" s="33" t="n">
        <f aca="false">IF(B585&gt;=2,C584,"")</f>
        <v>42</v>
      </c>
      <c r="E585" s="33" t="n">
        <f aca="false">IF(B585&gt;=5,AVERAGE(C581:C584),"")</f>
        <v>44</v>
      </c>
      <c r="F585" s="33" t="n">
        <f aca="false">IF(B585&gt;=9,AVERAGE(C577:C584),"")</f>
        <v>57.375</v>
      </c>
      <c r="G585" s="33" t="n">
        <f aca="false">IF(B585=1,"",IF(B585=2,C584,SES_Alpha*C584+(1-SES_Alpha)*G584))</f>
        <v>48.8690236444293</v>
      </c>
      <c r="H585" s="33" t="n">
        <f aca="false">IF(D585="","",D585-C585)</f>
        <v>-21</v>
      </c>
      <c r="I585" s="33" t="n">
        <f aca="false">IF(E585="","",E585-C585)</f>
        <v>-19</v>
      </c>
      <c r="J585" s="33" t="n">
        <f aca="false">IF(F585="","",F585-C585)</f>
        <v>-5.625</v>
      </c>
      <c r="K585" s="33" t="n">
        <f aca="false">IF(G585="","",G585-C585)</f>
        <v>-14.1309763555707</v>
      </c>
      <c r="L585" s="33" t="n">
        <f aca="false">IF(H585="","",ABS(H585))</f>
        <v>21</v>
      </c>
      <c r="M585" s="33" t="n">
        <f aca="false">IF(I585="","",ABS(I585))</f>
        <v>19</v>
      </c>
      <c r="N585" s="33" t="n">
        <f aca="false">IF(J585="","",ABS(J585))</f>
        <v>5.625</v>
      </c>
      <c r="O585" s="33" t="n">
        <f aca="false">IF(K585="","",ABS(K585))</f>
        <v>14.1309763555707</v>
      </c>
      <c r="P585" s="34" t="str">
        <f aca="false">IF(B585&gt;=Eval_Start_Week,"YES","")</f>
        <v>YES</v>
      </c>
      <c r="Q585" s="34" t="str">
        <f aca="false">IF(AND(B585&gt;=Cal_Start_Week,B585&lt;=Cal_End_Week),"YES","")</f>
        <v>YES</v>
      </c>
    </row>
    <row r="586" customFormat="false" ht="15" hidden="false" customHeight="false" outlineLevel="0" collapsed="false">
      <c r="A586" s="31" t="str">
        <f aca="false">Demand_History!C586</f>
        <v>KIT-006</v>
      </c>
      <c r="B586" s="31" t="n">
        <f aca="false">Demand_History!A586</f>
        <v>65</v>
      </c>
      <c r="C586" s="32" t="n">
        <f aca="false">Demand_History!D586</f>
        <v>63</v>
      </c>
      <c r="D586" s="33" t="n">
        <f aca="false">IF(B586&gt;=2,C585,"")</f>
        <v>63</v>
      </c>
      <c r="E586" s="33" t="n">
        <f aca="false">IF(B586&gt;=5,AVERAGE(C582:C585),"")</f>
        <v>46.5</v>
      </c>
      <c r="F586" s="33" t="n">
        <f aca="false">IF(B586&gt;=9,AVERAGE(C578:C585),"")</f>
        <v>59.25</v>
      </c>
      <c r="G586" s="33" t="n">
        <f aca="false">IF(B586=1,"",IF(B586=2,C585,SES_Alpha*C585+(1-SES_Alpha)*G585))</f>
        <v>53.1083165511005</v>
      </c>
      <c r="H586" s="33" t="n">
        <f aca="false">IF(D586="","",D586-C586)</f>
        <v>0</v>
      </c>
      <c r="I586" s="33" t="n">
        <f aca="false">IF(E586="","",E586-C586)</f>
        <v>-16.5</v>
      </c>
      <c r="J586" s="33" t="n">
        <f aca="false">IF(F586="","",F586-C586)</f>
        <v>-3.75</v>
      </c>
      <c r="K586" s="33" t="n">
        <f aca="false">IF(G586="","",G586-C586)</f>
        <v>-9.89168344889952</v>
      </c>
      <c r="L586" s="33" t="n">
        <f aca="false">IF(H586="","",ABS(H586))</f>
        <v>0</v>
      </c>
      <c r="M586" s="33" t="n">
        <f aca="false">IF(I586="","",ABS(I586))</f>
        <v>16.5</v>
      </c>
      <c r="N586" s="33" t="n">
        <f aca="false">IF(J586="","",ABS(J586))</f>
        <v>3.75</v>
      </c>
      <c r="O586" s="33" t="n">
        <f aca="false">IF(K586="","",ABS(K586))</f>
        <v>9.89168344889952</v>
      </c>
      <c r="P586" s="34" t="str">
        <f aca="false">IF(B586&gt;=Eval_Start_Week,"YES","")</f>
        <v>YES</v>
      </c>
      <c r="Q586" s="34" t="str">
        <f aca="false">IF(AND(B586&gt;=Cal_Start_Week,B586&lt;=Cal_End_Week),"YES","")</f>
        <v>YES</v>
      </c>
    </row>
    <row r="587" customFormat="false" ht="15" hidden="false" customHeight="false" outlineLevel="0" collapsed="false">
      <c r="A587" s="31" t="str">
        <f aca="false">Demand_History!C587</f>
        <v>KIT-006</v>
      </c>
      <c r="B587" s="31" t="n">
        <f aca="false">Demand_History!A587</f>
        <v>66</v>
      </c>
      <c r="C587" s="32" t="n">
        <f aca="false">Demand_History!D587</f>
        <v>57</v>
      </c>
      <c r="D587" s="33" t="n">
        <f aca="false">IF(B587&gt;=2,C586,"")</f>
        <v>63</v>
      </c>
      <c r="E587" s="33" t="n">
        <f aca="false">IF(B587&gt;=5,AVERAGE(C583:C586),"")</f>
        <v>49.75</v>
      </c>
      <c r="F587" s="33" t="n">
        <f aca="false">IF(B587&gt;=9,AVERAGE(C579:C586),"")</f>
        <v>59.625</v>
      </c>
      <c r="G587" s="33" t="n">
        <f aca="false">IF(B587=1,"",IF(B587=2,C586,SES_Alpha*C586+(1-SES_Alpha)*G586))</f>
        <v>56.0758215857703</v>
      </c>
      <c r="H587" s="33" t="n">
        <f aca="false">IF(D587="","",D587-C587)</f>
        <v>6</v>
      </c>
      <c r="I587" s="33" t="n">
        <f aca="false">IF(E587="","",E587-C587)</f>
        <v>-7.25</v>
      </c>
      <c r="J587" s="33" t="n">
        <f aca="false">IF(F587="","",F587-C587)</f>
        <v>2.625</v>
      </c>
      <c r="K587" s="33" t="n">
        <f aca="false">IF(G587="","",G587-C587)</f>
        <v>-0.924178414229665</v>
      </c>
      <c r="L587" s="33" t="n">
        <f aca="false">IF(H587="","",ABS(H587))</f>
        <v>6</v>
      </c>
      <c r="M587" s="33" t="n">
        <f aca="false">IF(I587="","",ABS(I587))</f>
        <v>7.25</v>
      </c>
      <c r="N587" s="33" t="n">
        <f aca="false">IF(J587="","",ABS(J587))</f>
        <v>2.625</v>
      </c>
      <c r="O587" s="33" t="n">
        <f aca="false">IF(K587="","",ABS(K587))</f>
        <v>0.924178414229665</v>
      </c>
      <c r="P587" s="34" t="str">
        <f aca="false">IF(B587&gt;=Eval_Start_Week,"YES","")</f>
        <v>YES</v>
      </c>
      <c r="Q587" s="34" t="str">
        <f aca="false">IF(AND(B587&gt;=Cal_Start_Week,B587&lt;=Cal_End_Week),"YES","")</f>
        <v>YES</v>
      </c>
    </row>
    <row r="588" customFormat="false" ht="15" hidden="false" customHeight="false" outlineLevel="0" collapsed="false">
      <c r="A588" s="31" t="str">
        <f aca="false">Demand_History!C588</f>
        <v>KIT-006</v>
      </c>
      <c r="B588" s="31" t="n">
        <f aca="false">Demand_History!A588</f>
        <v>67</v>
      </c>
      <c r="C588" s="32" t="n">
        <f aca="false">Demand_History!D588</f>
        <v>74</v>
      </c>
      <c r="D588" s="33" t="n">
        <f aca="false">IF(B588&gt;=2,C587,"")</f>
        <v>57</v>
      </c>
      <c r="E588" s="33" t="n">
        <f aca="false">IF(B588&gt;=5,AVERAGE(C584:C587),"")</f>
        <v>56.25</v>
      </c>
      <c r="F588" s="33" t="n">
        <f aca="false">IF(B588&gt;=9,AVERAGE(C580:C587),"")</f>
        <v>55.625</v>
      </c>
      <c r="G588" s="33" t="n">
        <f aca="false">IF(B588=1,"",IF(B588=2,C587,SES_Alpha*C587+(1-SES_Alpha)*G587))</f>
        <v>56.3530751100392</v>
      </c>
      <c r="H588" s="33" t="n">
        <f aca="false">IF(D588="","",D588-C588)</f>
        <v>-17</v>
      </c>
      <c r="I588" s="33" t="n">
        <f aca="false">IF(E588="","",E588-C588)</f>
        <v>-17.75</v>
      </c>
      <c r="J588" s="33" t="n">
        <f aca="false">IF(F588="","",F588-C588)</f>
        <v>-18.375</v>
      </c>
      <c r="K588" s="33" t="n">
        <f aca="false">IF(G588="","",G588-C588)</f>
        <v>-17.6469248899608</v>
      </c>
      <c r="L588" s="33" t="n">
        <f aca="false">IF(H588="","",ABS(H588))</f>
        <v>17</v>
      </c>
      <c r="M588" s="33" t="n">
        <f aca="false">IF(I588="","",ABS(I588))</f>
        <v>17.75</v>
      </c>
      <c r="N588" s="33" t="n">
        <f aca="false">IF(J588="","",ABS(J588))</f>
        <v>18.375</v>
      </c>
      <c r="O588" s="33" t="n">
        <f aca="false">IF(K588="","",ABS(K588))</f>
        <v>17.6469248899608</v>
      </c>
      <c r="P588" s="34" t="str">
        <f aca="false">IF(B588&gt;=Eval_Start_Week,"YES","")</f>
        <v>YES</v>
      </c>
      <c r="Q588" s="34" t="str">
        <f aca="false">IF(AND(B588&gt;=Cal_Start_Week,B588&lt;=Cal_End_Week),"YES","")</f>
        <v>YES</v>
      </c>
    </row>
    <row r="589" customFormat="false" ht="15" hidden="false" customHeight="false" outlineLevel="0" collapsed="false">
      <c r="A589" s="31" t="str">
        <f aca="false">Demand_History!C589</f>
        <v>KIT-006</v>
      </c>
      <c r="B589" s="31" t="n">
        <f aca="false">Demand_History!A589</f>
        <v>68</v>
      </c>
      <c r="C589" s="32" t="n">
        <f aca="false">Demand_History!D589</f>
        <v>40</v>
      </c>
      <c r="D589" s="33" t="n">
        <f aca="false">IF(B589&gt;=2,C588,"")</f>
        <v>74</v>
      </c>
      <c r="E589" s="33" t="n">
        <f aca="false">IF(B589&gt;=5,AVERAGE(C585:C588),"")</f>
        <v>64.25</v>
      </c>
      <c r="F589" s="33" t="n">
        <f aca="false">IF(B589&gt;=9,AVERAGE(C581:C588),"")</f>
        <v>54.125</v>
      </c>
      <c r="G589" s="33" t="n">
        <f aca="false">IF(B589=1,"",IF(B589=2,C588,SES_Alpha*C588+(1-SES_Alpha)*G588))</f>
        <v>61.6471525770275</v>
      </c>
      <c r="H589" s="33" t="n">
        <f aca="false">IF(D589="","",D589-C589)</f>
        <v>34</v>
      </c>
      <c r="I589" s="33" t="n">
        <f aca="false">IF(E589="","",E589-C589)</f>
        <v>24.25</v>
      </c>
      <c r="J589" s="33" t="n">
        <f aca="false">IF(F589="","",F589-C589)</f>
        <v>14.125</v>
      </c>
      <c r="K589" s="33" t="n">
        <f aca="false">IF(G589="","",G589-C589)</f>
        <v>21.6471525770275</v>
      </c>
      <c r="L589" s="33" t="n">
        <f aca="false">IF(H589="","",ABS(H589))</f>
        <v>34</v>
      </c>
      <c r="M589" s="33" t="n">
        <f aca="false">IF(I589="","",ABS(I589))</f>
        <v>24.25</v>
      </c>
      <c r="N589" s="33" t="n">
        <f aca="false">IF(J589="","",ABS(J589))</f>
        <v>14.125</v>
      </c>
      <c r="O589" s="33" t="n">
        <f aca="false">IF(K589="","",ABS(K589))</f>
        <v>21.6471525770275</v>
      </c>
      <c r="P589" s="34" t="str">
        <f aca="false">IF(B589&gt;=Eval_Start_Week,"YES","")</f>
        <v>YES</v>
      </c>
      <c r="Q589" s="34" t="str">
        <f aca="false">IF(AND(B589&gt;=Cal_Start_Week,B589&lt;=Cal_End_Week),"YES","")</f>
        <v>YES</v>
      </c>
    </row>
    <row r="590" customFormat="false" ht="15" hidden="false" customHeight="false" outlineLevel="0" collapsed="false">
      <c r="A590" s="31" t="str">
        <f aca="false">Demand_History!C590</f>
        <v>KIT-006</v>
      </c>
      <c r="B590" s="31" t="n">
        <f aca="false">Demand_History!A590</f>
        <v>69</v>
      </c>
      <c r="C590" s="32" t="n">
        <f aca="false">Demand_History!D590</f>
        <v>54</v>
      </c>
      <c r="D590" s="33" t="n">
        <f aca="false">IF(B590&gt;=2,C589,"")</f>
        <v>40</v>
      </c>
      <c r="E590" s="33" t="n">
        <f aca="false">IF(B590&gt;=5,AVERAGE(C586:C589),"")</f>
        <v>58.5</v>
      </c>
      <c r="F590" s="33" t="n">
        <f aca="false">IF(B590&gt;=9,AVERAGE(C582:C589),"")</f>
        <v>52.5</v>
      </c>
      <c r="G590" s="33" t="n">
        <f aca="false">IF(B590=1,"",IF(B590=2,C589,SES_Alpha*C589+(1-SES_Alpha)*G589))</f>
        <v>55.1530068039192</v>
      </c>
      <c r="H590" s="33" t="n">
        <f aca="false">IF(D590="","",D590-C590)</f>
        <v>-14</v>
      </c>
      <c r="I590" s="33" t="n">
        <f aca="false">IF(E590="","",E590-C590)</f>
        <v>4.5</v>
      </c>
      <c r="J590" s="33" t="n">
        <f aca="false">IF(F590="","",F590-C590)</f>
        <v>-1.5</v>
      </c>
      <c r="K590" s="33" t="n">
        <f aca="false">IF(G590="","",G590-C590)</f>
        <v>1.15300680391922</v>
      </c>
      <c r="L590" s="33" t="n">
        <f aca="false">IF(H590="","",ABS(H590))</f>
        <v>14</v>
      </c>
      <c r="M590" s="33" t="n">
        <f aca="false">IF(I590="","",ABS(I590))</f>
        <v>4.5</v>
      </c>
      <c r="N590" s="33" t="n">
        <f aca="false">IF(J590="","",ABS(J590))</f>
        <v>1.5</v>
      </c>
      <c r="O590" s="33" t="n">
        <f aca="false">IF(K590="","",ABS(K590))</f>
        <v>1.15300680391922</v>
      </c>
      <c r="P590" s="34" t="str">
        <f aca="false">IF(B590&gt;=Eval_Start_Week,"YES","")</f>
        <v>YES</v>
      </c>
      <c r="Q590" s="34" t="str">
        <f aca="false">IF(AND(B590&gt;=Cal_Start_Week,B590&lt;=Cal_End_Week),"YES","")</f>
        <v>YES</v>
      </c>
    </row>
    <row r="591" customFormat="false" ht="15" hidden="false" customHeight="false" outlineLevel="0" collapsed="false">
      <c r="A591" s="31" t="str">
        <f aca="false">Demand_History!C591</f>
        <v>KIT-006</v>
      </c>
      <c r="B591" s="31" t="n">
        <f aca="false">Demand_History!A591</f>
        <v>70</v>
      </c>
      <c r="C591" s="32" t="n">
        <f aca="false">Demand_History!D591</f>
        <v>69</v>
      </c>
      <c r="D591" s="33" t="n">
        <f aca="false">IF(B591&gt;=2,C590,"")</f>
        <v>54</v>
      </c>
      <c r="E591" s="33" t="n">
        <f aca="false">IF(B591&gt;=5,AVERAGE(C587:C590),"")</f>
        <v>56.25</v>
      </c>
      <c r="F591" s="33" t="n">
        <f aca="false">IF(B591&gt;=9,AVERAGE(C583:C590),"")</f>
        <v>53</v>
      </c>
      <c r="G591" s="33" t="n">
        <f aca="false">IF(B591=1,"",IF(B591=2,C590,SES_Alpha*C590+(1-SES_Alpha)*G590))</f>
        <v>54.8071047627435</v>
      </c>
      <c r="H591" s="33" t="n">
        <f aca="false">IF(D591="","",D591-C591)</f>
        <v>-15</v>
      </c>
      <c r="I591" s="33" t="n">
        <f aca="false">IF(E591="","",E591-C591)</f>
        <v>-12.75</v>
      </c>
      <c r="J591" s="33" t="n">
        <f aca="false">IF(F591="","",F591-C591)</f>
        <v>-16</v>
      </c>
      <c r="K591" s="33" t="n">
        <f aca="false">IF(G591="","",G591-C591)</f>
        <v>-14.1928952372566</v>
      </c>
      <c r="L591" s="33" t="n">
        <f aca="false">IF(H591="","",ABS(H591))</f>
        <v>15</v>
      </c>
      <c r="M591" s="33" t="n">
        <f aca="false">IF(I591="","",ABS(I591))</f>
        <v>12.75</v>
      </c>
      <c r="N591" s="33" t="n">
        <f aca="false">IF(J591="","",ABS(J591))</f>
        <v>16</v>
      </c>
      <c r="O591" s="33" t="n">
        <f aca="false">IF(K591="","",ABS(K591))</f>
        <v>14.1928952372566</v>
      </c>
      <c r="P591" s="34" t="str">
        <f aca="false">IF(B591&gt;=Eval_Start_Week,"YES","")</f>
        <v>YES</v>
      </c>
      <c r="Q591" s="34" t="str">
        <f aca="false">IF(AND(B591&gt;=Cal_Start_Week,B591&lt;=Cal_End_Week),"YES","")</f>
        <v>YES</v>
      </c>
    </row>
    <row r="592" customFormat="false" ht="15" hidden="false" customHeight="false" outlineLevel="0" collapsed="false">
      <c r="A592" s="31" t="str">
        <f aca="false">Demand_History!C592</f>
        <v>KIT-006</v>
      </c>
      <c r="B592" s="31" t="n">
        <f aca="false">Demand_History!A592</f>
        <v>71</v>
      </c>
      <c r="C592" s="32" t="n">
        <f aca="false">Demand_History!D592</f>
        <v>66</v>
      </c>
      <c r="D592" s="33" t="n">
        <f aca="false">IF(B592&gt;=2,C591,"")</f>
        <v>69</v>
      </c>
      <c r="E592" s="33" t="n">
        <f aca="false">IF(B592&gt;=5,AVERAGE(C588:C591),"")</f>
        <v>59.25</v>
      </c>
      <c r="F592" s="33" t="n">
        <f aca="false">IF(B592&gt;=9,AVERAGE(C584:C591),"")</f>
        <v>57.75</v>
      </c>
      <c r="G592" s="33" t="n">
        <f aca="false">IF(B592=1,"",IF(B592=2,C591,SES_Alpha*C591+(1-SES_Alpha)*G591))</f>
        <v>59.0649733339204</v>
      </c>
      <c r="H592" s="33" t="n">
        <f aca="false">IF(D592="","",D592-C592)</f>
        <v>3</v>
      </c>
      <c r="I592" s="33" t="n">
        <f aca="false">IF(E592="","",E592-C592)</f>
        <v>-6.75</v>
      </c>
      <c r="J592" s="33" t="n">
        <f aca="false">IF(F592="","",F592-C592)</f>
        <v>-8.25</v>
      </c>
      <c r="K592" s="33" t="n">
        <f aca="false">IF(G592="","",G592-C592)</f>
        <v>-6.93502666607959</v>
      </c>
      <c r="L592" s="33" t="n">
        <f aca="false">IF(H592="","",ABS(H592))</f>
        <v>3</v>
      </c>
      <c r="M592" s="33" t="n">
        <f aca="false">IF(I592="","",ABS(I592))</f>
        <v>6.75</v>
      </c>
      <c r="N592" s="33" t="n">
        <f aca="false">IF(J592="","",ABS(J592))</f>
        <v>8.25</v>
      </c>
      <c r="O592" s="33" t="n">
        <f aca="false">IF(K592="","",ABS(K592))</f>
        <v>6.93502666607959</v>
      </c>
      <c r="P592" s="34" t="str">
        <f aca="false">IF(B592&gt;=Eval_Start_Week,"YES","")</f>
        <v>YES</v>
      </c>
      <c r="Q592" s="34" t="str">
        <f aca="false">IF(AND(B592&gt;=Cal_Start_Week,B592&lt;=Cal_End_Week),"YES","")</f>
        <v>YES</v>
      </c>
    </row>
    <row r="593" customFormat="false" ht="15" hidden="false" customHeight="false" outlineLevel="0" collapsed="false">
      <c r="A593" s="31" t="str">
        <f aca="false">Demand_History!C593</f>
        <v>KIT-006</v>
      </c>
      <c r="B593" s="31" t="n">
        <f aca="false">Demand_History!A593</f>
        <v>72</v>
      </c>
      <c r="C593" s="32" t="n">
        <f aca="false">Demand_History!D593</f>
        <v>76</v>
      </c>
      <c r="D593" s="33" t="n">
        <f aca="false">IF(B593&gt;=2,C592,"")</f>
        <v>66</v>
      </c>
      <c r="E593" s="33" t="n">
        <f aca="false">IF(B593&gt;=5,AVERAGE(C589:C592),"")</f>
        <v>57.25</v>
      </c>
      <c r="F593" s="33" t="n">
        <f aca="false">IF(B593&gt;=9,AVERAGE(C585:C592),"")</f>
        <v>60.75</v>
      </c>
      <c r="G593" s="33" t="n">
        <f aca="false">IF(B593=1,"",IF(B593=2,C592,SES_Alpha*C592+(1-SES_Alpha)*G592))</f>
        <v>61.1454813337443</v>
      </c>
      <c r="H593" s="33" t="n">
        <f aca="false">IF(D593="","",D593-C593)</f>
        <v>-10</v>
      </c>
      <c r="I593" s="33" t="n">
        <f aca="false">IF(E593="","",E593-C593)</f>
        <v>-18.75</v>
      </c>
      <c r="J593" s="33" t="n">
        <f aca="false">IF(F593="","",F593-C593)</f>
        <v>-15.25</v>
      </c>
      <c r="K593" s="33" t="n">
        <f aca="false">IF(G593="","",G593-C593)</f>
        <v>-14.8545186662557</v>
      </c>
      <c r="L593" s="33" t="n">
        <f aca="false">IF(H593="","",ABS(H593))</f>
        <v>10</v>
      </c>
      <c r="M593" s="33" t="n">
        <f aca="false">IF(I593="","",ABS(I593))</f>
        <v>18.75</v>
      </c>
      <c r="N593" s="33" t="n">
        <f aca="false">IF(J593="","",ABS(J593))</f>
        <v>15.25</v>
      </c>
      <c r="O593" s="33" t="n">
        <f aca="false">IF(K593="","",ABS(K593))</f>
        <v>14.8545186662557</v>
      </c>
      <c r="P593" s="34" t="str">
        <f aca="false">IF(B593&gt;=Eval_Start_Week,"YES","")</f>
        <v>YES</v>
      </c>
      <c r="Q593" s="34" t="str">
        <f aca="false">IF(AND(B593&gt;=Cal_Start_Week,B593&lt;=Cal_End_Week),"YES","")</f>
        <v>YES</v>
      </c>
    </row>
    <row r="594" customFormat="false" ht="15" hidden="false" customHeight="false" outlineLevel="0" collapsed="false">
      <c r="A594" s="31" t="str">
        <f aca="false">Demand_History!C594</f>
        <v>KIT-006</v>
      </c>
      <c r="B594" s="31" t="n">
        <f aca="false">Demand_History!A594</f>
        <v>73</v>
      </c>
      <c r="C594" s="32" t="n">
        <f aca="false">Demand_History!D594</f>
        <v>63</v>
      </c>
      <c r="D594" s="33" t="n">
        <f aca="false">IF(B594&gt;=2,C593,"")</f>
        <v>76</v>
      </c>
      <c r="E594" s="33" t="n">
        <f aca="false">IF(B594&gt;=5,AVERAGE(C590:C593),"")</f>
        <v>66.25</v>
      </c>
      <c r="F594" s="33" t="n">
        <f aca="false">IF(B594&gt;=9,AVERAGE(C586:C593),"")</f>
        <v>62.375</v>
      </c>
      <c r="G594" s="33" t="n">
        <f aca="false">IF(B594=1,"",IF(B594=2,C593,SES_Alpha*C593+(1-SES_Alpha)*G593))</f>
        <v>65.601836933621</v>
      </c>
      <c r="H594" s="33" t="n">
        <f aca="false">IF(D594="","",D594-C594)</f>
        <v>13</v>
      </c>
      <c r="I594" s="33" t="n">
        <f aca="false">IF(E594="","",E594-C594)</f>
        <v>3.25</v>
      </c>
      <c r="J594" s="33" t="n">
        <f aca="false">IF(F594="","",F594-C594)</f>
        <v>-0.625</v>
      </c>
      <c r="K594" s="33" t="n">
        <f aca="false">IF(G594="","",G594-C594)</f>
        <v>2.601836933621</v>
      </c>
      <c r="L594" s="33" t="n">
        <f aca="false">IF(H594="","",ABS(H594))</f>
        <v>13</v>
      </c>
      <c r="M594" s="33" t="n">
        <f aca="false">IF(I594="","",ABS(I594))</f>
        <v>3.25</v>
      </c>
      <c r="N594" s="33" t="n">
        <f aca="false">IF(J594="","",ABS(J594))</f>
        <v>0.625</v>
      </c>
      <c r="O594" s="33" t="n">
        <f aca="false">IF(K594="","",ABS(K594))</f>
        <v>2.601836933621</v>
      </c>
      <c r="P594" s="34" t="str">
        <f aca="false">IF(B594&gt;=Eval_Start_Week,"YES","")</f>
        <v>YES</v>
      </c>
      <c r="Q594" s="34" t="str">
        <f aca="false">IF(AND(B594&gt;=Cal_Start_Week,B594&lt;=Cal_End_Week),"YES","")</f>
        <v>YES</v>
      </c>
    </row>
    <row r="595" customFormat="false" ht="15" hidden="false" customHeight="false" outlineLevel="0" collapsed="false">
      <c r="A595" s="31" t="str">
        <f aca="false">Demand_History!C595</f>
        <v>KIT-006</v>
      </c>
      <c r="B595" s="31" t="n">
        <f aca="false">Demand_History!A595</f>
        <v>74</v>
      </c>
      <c r="C595" s="32" t="n">
        <f aca="false">Demand_History!D595</f>
        <v>49</v>
      </c>
      <c r="D595" s="33" t="n">
        <f aca="false">IF(B595&gt;=2,C594,"")</f>
        <v>63</v>
      </c>
      <c r="E595" s="33" t="n">
        <f aca="false">IF(B595&gt;=5,AVERAGE(C591:C594),"")</f>
        <v>68.5</v>
      </c>
      <c r="F595" s="33" t="n">
        <f aca="false">IF(B595&gt;=9,AVERAGE(C587:C594),"")</f>
        <v>62.375</v>
      </c>
      <c r="G595" s="33" t="n">
        <f aca="false">IF(B595=1,"",IF(B595=2,C594,SES_Alpha*C594+(1-SES_Alpha)*G594))</f>
        <v>64.8212858535347</v>
      </c>
      <c r="H595" s="33" t="n">
        <f aca="false">IF(D595="","",D595-C595)</f>
        <v>14</v>
      </c>
      <c r="I595" s="33" t="n">
        <f aca="false">IF(E595="","",E595-C595)</f>
        <v>19.5</v>
      </c>
      <c r="J595" s="33" t="n">
        <f aca="false">IF(F595="","",F595-C595)</f>
        <v>13.375</v>
      </c>
      <c r="K595" s="33" t="n">
        <f aca="false">IF(G595="","",G595-C595)</f>
        <v>15.8212858535347</v>
      </c>
      <c r="L595" s="33" t="n">
        <f aca="false">IF(H595="","",ABS(H595))</f>
        <v>14</v>
      </c>
      <c r="M595" s="33" t="n">
        <f aca="false">IF(I595="","",ABS(I595))</f>
        <v>19.5</v>
      </c>
      <c r="N595" s="33" t="n">
        <f aca="false">IF(J595="","",ABS(J595))</f>
        <v>13.375</v>
      </c>
      <c r="O595" s="33" t="n">
        <f aca="false">IF(K595="","",ABS(K595))</f>
        <v>15.8212858535347</v>
      </c>
      <c r="P595" s="34" t="str">
        <f aca="false">IF(B595&gt;=Eval_Start_Week,"YES","")</f>
        <v>YES</v>
      </c>
      <c r="Q595" s="34" t="str">
        <f aca="false">IF(AND(B595&gt;=Cal_Start_Week,B595&lt;=Cal_End_Week),"YES","")</f>
        <v>YES</v>
      </c>
    </row>
    <row r="596" customFormat="false" ht="15" hidden="false" customHeight="false" outlineLevel="0" collapsed="false">
      <c r="A596" s="31" t="str">
        <f aca="false">Demand_History!C596</f>
        <v>KIT-006</v>
      </c>
      <c r="B596" s="31" t="n">
        <f aca="false">Demand_History!A596</f>
        <v>75</v>
      </c>
      <c r="C596" s="32" t="n">
        <f aca="false">Demand_History!D596</f>
        <v>62</v>
      </c>
      <c r="D596" s="33" t="n">
        <f aca="false">IF(B596&gt;=2,C595,"")</f>
        <v>49</v>
      </c>
      <c r="E596" s="33" t="n">
        <f aca="false">IF(B596&gt;=5,AVERAGE(C592:C595),"")</f>
        <v>63.5</v>
      </c>
      <c r="F596" s="33" t="n">
        <f aca="false">IF(B596&gt;=9,AVERAGE(C588:C595),"")</f>
        <v>61.375</v>
      </c>
      <c r="G596" s="33" t="n">
        <f aca="false">IF(B596=1,"",IF(B596=2,C595,SES_Alpha*C595+(1-SES_Alpha)*G595))</f>
        <v>60.0749000974743</v>
      </c>
      <c r="H596" s="33" t="n">
        <f aca="false">IF(D596="","",D596-C596)</f>
        <v>-13</v>
      </c>
      <c r="I596" s="33" t="n">
        <f aca="false">IF(E596="","",E596-C596)</f>
        <v>1.5</v>
      </c>
      <c r="J596" s="33" t="n">
        <f aca="false">IF(F596="","",F596-C596)</f>
        <v>-0.625</v>
      </c>
      <c r="K596" s="33" t="n">
        <f aca="false">IF(G596="","",G596-C596)</f>
        <v>-1.92509990252572</v>
      </c>
      <c r="L596" s="33" t="n">
        <f aca="false">IF(H596="","",ABS(H596))</f>
        <v>13</v>
      </c>
      <c r="M596" s="33" t="n">
        <f aca="false">IF(I596="","",ABS(I596))</f>
        <v>1.5</v>
      </c>
      <c r="N596" s="33" t="n">
        <f aca="false">IF(J596="","",ABS(J596))</f>
        <v>0.625</v>
      </c>
      <c r="O596" s="33" t="n">
        <f aca="false">IF(K596="","",ABS(K596))</f>
        <v>1.92509990252572</v>
      </c>
      <c r="P596" s="34" t="str">
        <f aca="false">IF(B596&gt;=Eval_Start_Week,"YES","")</f>
        <v>YES</v>
      </c>
      <c r="Q596" s="34" t="str">
        <f aca="false">IF(AND(B596&gt;=Cal_Start_Week,B596&lt;=Cal_End_Week),"YES","")</f>
        <v>YES</v>
      </c>
    </row>
    <row r="597" customFormat="false" ht="15" hidden="false" customHeight="false" outlineLevel="0" collapsed="false">
      <c r="A597" s="31" t="str">
        <f aca="false">Demand_History!C597</f>
        <v>KIT-006</v>
      </c>
      <c r="B597" s="31" t="n">
        <f aca="false">Demand_History!A597</f>
        <v>76</v>
      </c>
      <c r="C597" s="32" t="n">
        <f aca="false">Demand_History!D597</f>
        <v>36</v>
      </c>
      <c r="D597" s="33" t="n">
        <f aca="false">IF(B597&gt;=2,C596,"")</f>
        <v>62</v>
      </c>
      <c r="E597" s="33" t="n">
        <f aca="false">IF(B597&gt;=5,AVERAGE(C593:C596),"")</f>
        <v>62.5</v>
      </c>
      <c r="F597" s="33" t="n">
        <f aca="false">IF(B597&gt;=9,AVERAGE(C589:C596),"")</f>
        <v>59.875</v>
      </c>
      <c r="G597" s="33" t="n">
        <f aca="false">IF(B597=1,"",IF(B597=2,C596,SES_Alpha*C596+(1-SES_Alpha)*G596))</f>
        <v>60.652430068232</v>
      </c>
      <c r="H597" s="33" t="n">
        <f aca="false">IF(D597="","",D597-C597)</f>
        <v>26</v>
      </c>
      <c r="I597" s="33" t="n">
        <f aca="false">IF(E597="","",E597-C597)</f>
        <v>26.5</v>
      </c>
      <c r="J597" s="33" t="n">
        <f aca="false">IF(F597="","",F597-C597)</f>
        <v>23.875</v>
      </c>
      <c r="K597" s="33" t="n">
        <f aca="false">IF(G597="","",G597-C597)</f>
        <v>24.652430068232</v>
      </c>
      <c r="L597" s="33" t="n">
        <f aca="false">IF(H597="","",ABS(H597))</f>
        <v>26</v>
      </c>
      <c r="M597" s="33" t="n">
        <f aca="false">IF(I597="","",ABS(I597))</f>
        <v>26.5</v>
      </c>
      <c r="N597" s="33" t="n">
        <f aca="false">IF(J597="","",ABS(J597))</f>
        <v>23.875</v>
      </c>
      <c r="O597" s="33" t="n">
        <f aca="false">IF(K597="","",ABS(K597))</f>
        <v>24.652430068232</v>
      </c>
      <c r="P597" s="34" t="str">
        <f aca="false">IF(B597&gt;=Eval_Start_Week,"YES","")</f>
        <v>YES</v>
      </c>
      <c r="Q597" s="34" t="str">
        <f aca="false">IF(AND(B597&gt;=Cal_Start_Week,B597&lt;=Cal_End_Week),"YES","")</f>
        <v>YES</v>
      </c>
    </row>
    <row r="598" customFormat="false" ht="15" hidden="false" customHeight="false" outlineLevel="0" collapsed="false">
      <c r="A598" s="31" t="str">
        <f aca="false">Demand_History!C598</f>
        <v>KIT-006</v>
      </c>
      <c r="B598" s="31" t="n">
        <f aca="false">Demand_History!A598</f>
        <v>77</v>
      </c>
      <c r="C598" s="32" t="n">
        <f aca="false">Demand_History!D598</f>
        <v>23</v>
      </c>
      <c r="D598" s="33" t="n">
        <f aca="false">IF(B598&gt;=2,C597,"")</f>
        <v>36</v>
      </c>
      <c r="E598" s="33" t="n">
        <f aca="false">IF(B598&gt;=5,AVERAGE(C594:C597),"")</f>
        <v>52.5</v>
      </c>
      <c r="F598" s="33" t="n">
        <f aca="false">IF(B598&gt;=9,AVERAGE(C590:C597),"")</f>
        <v>59.375</v>
      </c>
      <c r="G598" s="33" t="n">
        <f aca="false">IF(B598=1,"",IF(B598=2,C597,SES_Alpha*C597+(1-SES_Alpha)*G597))</f>
        <v>53.2567010477624</v>
      </c>
      <c r="H598" s="33" t="n">
        <f aca="false">IF(D598="","",D598-C598)</f>
        <v>13</v>
      </c>
      <c r="I598" s="33" t="n">
        <f aca="false">IF(E598="","",E598-C598)</f>
        <v>29.5</v>
      </c>
      <c r="J598" s="33" t="n">
        <f aca="false">IF(F598="","",F598-C598)</f>
        <v>36.375</v>
      </c>
      <c r="K598" s="33" t="n">
        <f aca="false">IF(G598="","",G598-C598)</f>
        <v>30.2567010477624</v>
      </c>
      <c r="L598" s="33" t="n">
        <f aca="false">IF(H598="","",ABS(H598))</f>
        <v>13</v>
      </c>
      <c r="M598" s="33" t="n">
        <f aca="false">IF(I598="","",ABS(I598))</f>
        <v>29.5</v>
      </c>
      <c r="N598" s="33" t="n">
        <f aca="false">IF(J598="","",ABS(J598))</f>
        <v>36.375</v>
      </c>
      <c r="O598" s="33" t="n">
        <f aca="false">IF(K598="","",ABS(K598))</f>
        <v>30.2567010477624</v>
      </c>
      <c r="P598" s="34" t="str">
        <f aca="false">IF(B598&gt;=Eval_Start_Week,"YES","")</f>
        <v>YES</v>
      </c>
      <c r="Q598" s="34" t="str">
        <f aca="false">IF(AND(B598&gt;=Cal_Start_Week,B598&lt;=Cal_End_Week),"YES","")</f>
        <v>YES</v>
      </c>
    </row>
    <row r="599" customFormat="false" ht="15" hidden="false" customHeight="false" outlineLevel="0" collapsed="false">
      <c r="A599" s="31" t="str">
        <f aca="false">Demand_History!C599</f>
        <v>KIT-006</v>
      </c>
      <c r="B599" s="31" t="n">
        <f aca="false">Demand_History!A599</f>
        <v>78</v>
      </c>
      <c r="C599" s="32" t="n">
        <f aca="false">Demand_History!D599</f>
        <v>66</v>
      </c>
      <c r="D599" s="33" t="n">
        <f aca="false">IF(B599&gt;=2,C598,"")</f>
        <v>23</v>
      </c>
      <c r="E599" s="33" t="n">
        <f aca="false">IF(B599&gt;=5,AVERAGE(C595:C598),"")</f>
        <v>42.5</v>
      </c>
      <c r="F599" s="33" t="n">
        <f aca="false">IF(B599&gt;=9,AVERAGE(C591:C598),"")</f>
        <v>55.5</v>
      </c>
      <c r="G599" s="33" t="n">
        <f aca="false">IF(B599=1,"",IF(B599=2,C598,SES_Alpha*C598+(1-SES_Alpha)*G598))</f>
        <v>44.1796907334337</v>
      </c>
      <c r="H599" s="33" t="n">
        <f aca="false">IF(D599="","",D599-C599)</f>
        <v>-43</v>
      </c>
      <c r="I599" s="33" t="n">
        <f aca="false">IF(E599="","",E599-C599)</f>
        <v>-23.5</v>
      </c>
      <c r="J599" s="33" t="n">
        <f aca="false">IF(F599="","",F599-C599)</f>
        <v>-10.5</v>
      </c>
      <c r="K599" s="33" t="n">
        <f aca="false">IF(G599="","",G599-C599)</f>
        <v>-21.8203092665663</v>
      </c>
      <c r="L599" s="33" t="n">
        <f aca="false">IF(H599="","",ABS(H599))</f>
        <v>43</v>
      </c>
      <c r="M599" s="33" t="n">
        <f aca="false">IF(I599="","",ABS(I599))</f>
        <v>23.5</v>
      </c>
      <c r="N599" s="33" t="n">
        <f aca="false">IF(J599="","",ABS(J599))</f>
        <v>10.5</v>
      </c>
      <c r="O599" s="33" t="n">
        <f aca="false">IF(K599="","",ABS(K599))</f>
        <v>21.8203092665663</v>
      </c>
      <c r="P599" s="34" t="str">
        <f aca="false">IF(B599&gt;=Eval_Start_Week,"YES","")</f>
        <v>YES</v>
      </c>
      <c r="Q599" s="34" t="str">
        <f aca="false">IF(AND(B599&gt;=Cal_Start_Week,B599&lt;=Cal_End_Week),"YES","")</f>
        <v>YES</v>
      </c>
    </row>
    <row r="600" customFormat="false" ht="15" hidden="false" customHeight="false" outlineLevel="0" collapsed="false">
      <c r="A600" s="31" t="str">
        <f aca="false">Demand_History!C600</f>
        <v>KIT-006</v>
      </c>
      <c r="B600" s="31" t="n">
        <f aca="false">Demand_History!A600</f>
        <v>79</v>
      </c>
      <c r="C600" s="32" t="n">
        <f aca="false">Demand_History!D600</f>
        <v>54</v>
      </c>
      <c r="D600" s="33" t="n">
        <f aca="false">IF(B600&gt;=2,C599,"")</f>
        <v>66</v>
      </c>
      <c r="E600" s="33" t="n">
        <f aca="false">IF(B600&gt;=5,AVERAGE(C596:C599),"")</f>
        <v>46.75</v>
      </c>
      <c r="F600" s="33" t="n">
        <f aca="false">IF(B600&gt;=9,AVERAGE(C592:C599),"")</f>
        <v>55.125</v>
      </c>
      <c r="G600" s="33" t="n">
        <f aca="false">IF(B600=1,"",IF(B600=2,C599,SES_Alpha*C599+(1-SES_Alpha)*G599))</f>
        <v>50.7257835134036</v>
      </c>
      <c r="H600" s="33" t="n">
        <f aca="false">IF(D600="","",D600-C600)</f>
        <v>12</v>
      </c>
      <c r="I600" s="33" t="n">
        <f aca="false">IF(E600="","",E600-C600)</f>
        <v>-7.25</v>
      </c>
      <c r="J600" s="33" t="n">
        <f aca="false">IF(F600="","",F600-C600)</f>
        <v>1.125</v>
      </c>
      <c r="K600" s="33" t="n">
        <f aca="false">IF(G600="","",G600-C600)</f>
        <v>-3.27421648659643</v>
      </c>
      <c r="L600" s="33" t="n">
        <f aca="false">IF(H600="","",ABS(H600))</f>
        <v>12</v>
      </c>
      <c r="M600" s="33" t="n">
        <f aca="false">IF(I600="","",ABS(I600))</f>
        <v>7.25</v>
      </c>
      <c r="N600" s="33" t="n">
        <f aca="false">IF(J600="","",ABS(J600))</f>
        <v>1.125</v>
      </c>
      <c r="O600" s="33" t="n">
        <f aca="false">IF(K600="","",ABS(K600))</f>
        <v>3.27421648659643</v>
      </c>
      <c r="P600" s="34" t="str">
        <f aca="false">IF(B600&gt;=Eval_Start_Week,"YES","")</f>
        <v>YES</v>
      </c>
      <c r="Q600" s="34" t="str">
        <f aca="false">IF(AND(B600&gt;=Cal_Start_Week,B600&lt;=Cal_End_Week),"YES","")</f>
        <v>YES</v>
      </c>
    </row>
    <row r="601" customFormat="false" ht="15" hidden="false" customHeight="false" outlineLevel="0" collapsed="false">
      <c r="A601" s="31" t="str">
        <f aca="false">Demand_History!C601</f>
        <v>KIT-006</v>
      </c>
      <c r="B601" s="31" t="n">
        <f aca="false">Demand_History!A601</f>
        <v>80</v>
      </c>
      <c r="C601" s="32" t="n">
        <f aca="false">Demand_History!D601</f>
        <v>61</v>
      </c>
      <c r="D601" s="33" t="n">
        <f aca="false">IF(B601&gt;=2,C600,"")</f>
        <v>54</v>
      </c>
      <c r="E601" s="33" t="n">
        <f aca="false">IF(B601&gt;=5,AVERAGE(C597:C600),"")</f>
        <v>44.75</v>
      </c>
      <c r="F601" s="33" t="n">
        <f aca="false">IF(B601&gt;=9,AVERAGE(C593:C600),"")</f>
        <v>53.625</v>
      </c>
      <c r="G601" s="33" t="n">
        <f aca="false">IF(B601=1,"",IF(B601=2,C600,SES_Alpha*C600+(1-SES_Alpha)*G600))</f>
        <v>51.7080484593825</v>
      </c>
      <c r="H601" s="33" t="n">
        <f aca="false">IF(D601="","",D601-C601)</f>
        <v>-7</v>
      </c>
      <c r="I601" s="33" t="n">
        <f aca="false">IF(E601="","",E601-C601)</f>
        <v>-16.25</v>
      </c>
      <c r="J601" s="33" t="n">
        <f aca="false">IF(F601="","",F601-C601)</f>
        <v>-7.375</v>
      </c>
      <c r="K601" s="33" t="n">
        <f aca="false">IF(G601="","",G601-C601)</f>
        <v>-9.2919515406175</v>
      </c>
      <c r="L601" s="33" t="n">
        <f aca="false">IF(H601="","",ABS(H601))</f>
        <v>7</v>
      </c>
      <c r="M601" s="33" t="n">
        <f aca="false">IF(I601="","",ABS(I601))</f>
        <v>16.25</v>
      </c>
      <c r="N601" s="33" t="n">
        <f aca="false">IF(J601="","",ABS(J601))</f>
        <v>7.375</v>
      </c>
      <c r="O601" s="33" t="n">
        <f aca="false">IF(K601="","",ABS(K601))</f>
        <v>9.2919515406175</v>
      </c>
      <c r="P601" s="34" t="str">
        <f aca="false">IF(B601&gt;=Eval_Start_Week,"YES","")</f>
        <v>YES</v>
      </c>
      <c r="Q601" s="34" t="str">
        <f aca="false">IF(AND(B601&gt;=Cal_Start_Week,B601&lt;=Cal_End_Week),"YES","")</f>
        <v>YES</v>
      </c>
    </row>
    <row r="602" customFormat="false" ht="15" hidden="false" customHeight="false" outlineLevel="0" collapsed="false">
      <c r="A602" s="31" t="str">
        <f aca="false">Demand_History!C602</f>
        <v>KIT-006</v>
      </c>
      <c r="B602" s="31" t="n">
        <f aca="false">Demand_History!A602</f>
        <v>81</v>
      </c>
      <c r="C602" s="32" t="n">
        <f aca="false">Demand_History!D602</f>
        <v>22</v>
      </c>
      <c r="D602" s="33" t="n">
        <f aca="false">IF(B602&gt;=2,C601,"")</f>
        <v>61</v>
      </c>
      <c r="E602" s="33" t="n">
        <f aca="false">IF(B602&gt;=5,AVERAGE(C598:C601),"")</f>
        <v>51</v>
      </c>
      <c r="F602" s="33" t="n">
        <f aca="false">IF(B602&gt;=9,AVERAGE(C594:C601),"")</f>
        <v>51.75</v>
      </c>
      <c r="G602" s="33" t="n">
        <f aca="false">IF(B602=1,"",IF(B602=2,C601,SES_Alpha*C601+(1-SES_Alpha)*G601))</f>
        <v>54.4956339215677</v>
      </c>
      <c r="H602" s="33" t="n">
        <f aca="false">IF(D602="","",D602-C602)</f>
        <v>39</v>
      </c>
      <c r="I602" s="33" t="n">
        <f aca="false">IF(E602="","",E602-C602)</f>
        <v>29</v>
      </c>
      <c r="J602" s="33" t="n">
        <f aca="false">IF(F602="","",F602-C602)</f>
        <v>29.75</v>
      </c>
      <c r="K602" s="33" t="n">
        <f aca="false">IF(G602="","",G602-C602)</f>
        <v>32.4956339215677</v>
      </c>
      <c r="L602" s="33" t="n">
        <f aca="false">IF(H602="","",ABS(H602))</f>
        <v>39</v>
      </c>
      <c r="M602" s="33" t="n">
        <f aca="false">IF(I602="","",ABS(I602))</f>
        <v>29</v>
      </c>
      <c r="N602" s="33" t="n">
        <f aca="false">IF(J602="","",ABS(J602))</f>
        <v>29.75</v>
      </c>
      <c r="O602" s="33" t="n">
        <f aca="false">IF(K602="","",ABS(K602))</f>
        <v>32.4956339215677</v>
      </c>
      <c r="P602" s="34" t="str">
        <f aca="false">IF(B602&gt;=Eval_Start_Week,"YES","")</f>
        <v>YES</v>
      </c>
      <c r="Q602" s="34" t="str">
        <f aca="false">IF(AND(B602&gt;=Cal_Start_Week,B602&lt;=Cal_End_Week),"YES","")</f>
        <v>YES</v>
      </c>
    </row>
    <row r="603" customFormat="false" ht="15" hidden="false" customHeight="false" outlineLevel="0" collapsed="false">
      <c r="A603" s="31" t="str">
        <f aca="false">Demand_History!C603</f>
        <v>KIT-006</v>
      </c>
      <c r="B603" s="31" t="n">
        <f aca="false">Demand_History!A603</f>
        <v>82</v>
      </c>
      <c r="C603" s="32" t="n">
        <f aca="false">Demand_History!D603</f>
        <v>48</v>
      </c>
      <c r="D603" s="33" t="n">
        <f aca="false">IF(B603&gt;=2,C602,"")</f>
        <v>22</v>
      </c>
      <c r="E603" s="33" t="n">
        <f aca="false">IF(B603&gt;=5,AVERAGE(C599:C602),"")</f>
        <v>50.75</v>
      </c>
      <c r="F603" s="33" t="n">
        <f aca="false">IF(B603&gt;=9,AVERAGE(C595:C602),"")</f>
        <v>46.625</v>
      </c>
      <c r="G603" s="33" t="n">
        <f aca="false">IF(B603=1,"",IF(B603=2,C602,SES_Alpha*C602+(1-SES_Alpha)*G602))</f>
        <v>44.7469437450974</v>
      </c>
      <c r="H603" s="33" t="n">
        <f aca="false">IF(D603="","",D603-C603)</f>
        <v>-26</v>
      </c>
      <c r="I603" s="33" t="n">
        <f aca="false">IF(E603="","",E603-C603)</f>
        <v>2.75</v>
      </c>
      <c r="J603" s="33" t="n">
        <f aca="false">IF(F603="","",F603-C603)</f>
        <v>-1.375</v>
      </c>
      <c r="K603" s="33" t="n">
        <f aca="false">IF(G603="","",G603-C603)</f>
        <v>-3.25305625490258</v>
      </c>
      <c r="L603" s="33" t="n">
        <f aca="false">IF(H603="","",ABS(H603))</f>
        <v>26</v>
      </c>
      <c r="M603" s="33" t="n">
        <f aca="false">IF(I603="","",ABS(I603))</f>
        <v>2.75</v>
      </c>
      <c r="N603" s="33" t="n">
        <f aca="false">IF(J603="","",ABS(J603))</f>
        <v>1.375</v>
      </c>
      <c r="O603" s="33" t="n">
        <f aca="false">IF(K603="","",ABS(K603))</f>
        <v>3.25305625490258</v>
      </c>
      <c r="P603" s="34" t="str">
        <f aca="false">IF(B603&gt;=Eval_Start_Week,"YES","")</f>
        <v>YES</v>
      </c>
      <c r="Q603" s="34" t="str">
        <f aca="false">IF(AND(B603&gt;=Cal_Start_Week,B603&lt;=Cal_End_Week),"YES","")</f>
        <v>YES</v>
      </c>
    </row>
    <row r="604" customFormat="false" ht="15" hidden="false" customHeight="false" outlineLevel="0" collapsed="false">
      <c r="A604" s="31" t="str">
        <f aca="false">Demand_History!C604</f>
        <v>KIT-006</v>
      </c>
      <c r="B604" s="31" t="n">
        <f aca="false">Demand_History!A604</f>
        <v>83</v>
      </c>
      <c r="C604" s="32" t="n">
        <f aca="false">Demand_History!D604</f>
        <v>43</v>
      </c>
      <c r="D604" s="33" t="n">
        <f aca="false">IF(B604&gt;=2,C603,"")</f>
        <v>48</v>
      </c>
      <c r="E604" s="33" t="n">
        <f aca="false">IF(B604&gt;=5,AVERAGE(C600:C603),"")</f>
        <v>46.25</v>
      </c>
      <c r="F604" s="33" t="n">
        <f aca="false">IF(B604&gt;=9,AVERAGE(C596:C603),"")</f>
        <v>46.5</v>
      </c>
      <c r="G604" s="33" t="n">
        <f aca="false">IF(B604=1,"",IF(B604=2,C603,SES_Alpha*C603+(1-SES_Alpha)*G603))</f>
        <v>45.7228606215682</v>
      </c>
      <c r="H604" s="33" t="n">
        <f aca="false">IF(D604="","",D604-C604)</f>
        <v>5</v>
      </c>
      <c r="I604" s="33" t="n">
        <f aca="false">IF(E604="","",E604-C604)</f>
        <v>3.25</v>
      </c>
      <c r="J604" s="33" t="n">
        <f aca="false">IF(F604="","",F604-C604)</f>
        <v>3.5</v>
      </c>
      <c r="K604" s="33" t="n">
        <f aca="false">IF(G604="","",G604-C604)</f>
        <v>2.72286062156819</v>
      </c>
      <c r="L604" s="33" t="n">
        <f aca="false">IF(H604="","",ABS(H604))</f>
        <v>5</v>
      </c>
      <c r="M604" s="33" t="n">
        <f aca="false">IF(I604="","",ABS(I604))</f>
        <v>3.25</v>
      </c>
      <c r="N604" s="33" t="n">
        <f aca="false">IF(J604="","",ABS(J604))</f>
        <v>3.5</v>
      </c>
      <c r="O604" s="33" t="n">
        <f aca="false">IF(K604="","",ABS(K604))</f>
        <v>2.72286062156819</v>
      </c>
      <c r="P604" s="34" t="str">
        <f aca="false">IF(B604&gt;=Eval_Start_Week,"YES","")</f>
        <v>YES</v>
      </c>
      <c r="Q604" s="34" t="str">
        <f aca="false">IF(AND(B604&gt;=Cal_Start_Week,B604&lt;=Cal_End_Week),"YES","")</f>
        <v>YES</v>
      </c>
    </row>
    <row r="605" customFormat="false" ht="15" hidden="false" customHeight="false" outlineLevel="0" collapsed="false">
      <c r="A605" s="31" t="str">
        <f aca="false">Demand_History!C605</f>
        <v>KIT-006</v>
      </c>
      <c r="B605" s="31" t="n">
        <f aca="false">Demand_History!A605</f>
        <v>84</v>
      </c>
      <c r="C605" s="32" t="n">
        <f aca="false">Demand_History!D605</f>
        <v>38</v>
      </c>
      <c r="D605" s="33" t="n">
        <f aca="false">IF(B605&gt;=2,C604,"")</f>
        <v>43</v>
      </c>
      <c r="E605" s="33" t="n">
        <f aca="false">IF(B605&gt;=5,AVERAGE(C601:C604),"")</f>
        <v>43.5</v>
      </c>
      <c r="F605" s="33" t="n">
        <f aca="false">IF(B605&gt;=9,AVERAGE(C597:C604),"")</f>
        <v>44.125</v>
      </c>
      <c r="G605" s="33" t="n">
        <f aca="false">IF(B605=1,"",IF(B605=2,C604,SES_Alpha*C604+(1-SES_Alpha)*G604))</f>
        <v>44.9060024350977</v>
      </c>
      <c r="H605" s="33" t="n">
        <f aca="false">IF(D605="","",D605-C605)</f>
        <v>5</v>
      </c>
      <c r="I605" s="33" t="n">
        <f aca="false">IF(E605="","",E605-C605)</f>
        <v>5.5</v>
      </c>
      <c r="J605" s="33" t="n">
        <f aca="false">IF(F605="","",F605-C605)</f>
        <v>6.125</v>
      </c>
      <c r="K605" s="33" t="n">
        <f aca="false">IF(G605="","",G605-C605)</f>
        <v>6.90600243509773</v>
      </c>
      <c r="L605" s="33" t="n">
        <f aca="false">IF(H605="","",ABS(H605))</f>
        <v>5</v>
      </c>
      <c r="M605" s="33" t="n">
        <f aca="false">IF(I605="","",ABS(I605))</f>
        <v>5.5</v>
      </c>
      <c r="N605" s="33" t="n">
        <f aca="false">IF(J605="","",ABS(J605))</f>
        <v>6.125</v>
      </c>
      <c r="O605" s="33" t="n">
        <f aca="false">IF(K605="","",ABS(K605))</f>
        <v>6.90600243509773</v>
      </c>
      <c r="P605" s="34" t="str">
        <f aca="false">IF(B605&gt;=Eval_Start_Week,"YES","")</f>
        <v>YES</v>
      </c>
      <c r="Q605" s="34" t="str">
        <f aca="false">IF(AND(B605&gt;=Cal_Start_Week,B605&lt;=Cal_End_Week),"YES","")</f>
        <v>YES</v>
      </c>
    </row>
    <row r="606" customFormat="false" ht="15" hidden="false" customHeight="false" outlineLevel="0" collapsed="false">
      <c r="A606" s="31" t="str">
        <f aca="false">Demand_History!C606</f>
        <v>KIT-006</v>
      </c>
      <c r="B606" s="31" t="n">
        <f aca="false">Demand_History!A606</f>
        <v>85</v>
      </c>
      <c r="C606" s="32" t="n">
        <f aca="false">Demand_History!D606</f>
        <v>11</v>
      </c>
      <c r="D606" s="33" t="n">
        <f aca="false">IF(B606&gt;=2,C605,"")</f>
        <v>38</v>
      </c>
      <c r="E606" s="33" t="n">
        <f aca="false">IF(B606&gt;=5,AVERAGE(C602:C605),"")</f>
        <v>37.75</v>
      </c>
      <c r="F606" s="33" t="n">
        <f aca="false">IF(B606&gt;=9,AVERAGE(C598:C605),"")</f>
        <v>44.375</v>
      </c>
      <c r="G606" s="33" t="n">
        <f aca="false">IF(B606=1,"",IF(B606=2,C605,SES_Alpha*C605+(1-SES_Alpha)*G605))</f>
        <v>42.8342017045684</v>
      </c>
      <c r="H606" s="33" t="n">
        <f aca="false">IF(D606="","",D606-C606)</f>
        <v>27</v>
      </c>
      <c r="I606" s="33" t="n">
        <f aca="false">IF(E606="","",E606-C606)</f>
        <v>26.75</v>
      </c>
      <c r="J606" s="33" t="n">
        <f aca="false">IF(F606="","",F606-C606)</f>
        <v>33.375</v>
      </c>
      <c r="K606" s="33" t="n">
        <f aca="false">IF(G606="","",G606-C606)</f>
        <v>31.8342017045684</v>
      </c>
      <c r="L606" s="33" t="n">
        <f aca="false">IF(H606="","",ABS(H606))</f>
        <v>27</v>
      </c>
      <c r="M606" s="33" t="n">
        <f aca="false">IF(I606="","",ABS(I606))</f>
        <v>26.75</v>
      </c>
      <c r="N606" s="33" t="n">
        <f aca="false">IF(J606="","",ABS(J606))</f>
        <v>33.375</v>
      </c>
      <c r="O606" s="33" t="n">
        <f aca="false">IF(K606="","",ABS(K606))</f>
        <v>31.8342017045684</v>
      </c>
      <c r="P606" s="34" t="str">
        <f aca="false">IF(B606&gt;=Eval_Start_Week,"YES","")</f>
        <v>YES</v>
      </c>
      <c r="Q606" s="34" t="str">
        <f aca="false">IF(AND(B606&gt;=Cal_Start_Week,B606&lt;=Cal_End_Week),"YES","")</f>
        <v>YES</v>
      </c>
    </row>
    <row r="607" customFormat="false" ht="15" hidden="false" customHeight="false" outlineLevel="0" collapsed="false">
      <c r="A607" s="31" t="str">
        <f aca="false">Demand_History!C607</f>
        <v>KIT-006</v>
      </c>
      <c r="B607" s="31" t="n">
        <f aca="false">Demand_History!A607</f>
        <v>86</v>
      </c>
      <c r="C607" s="32" t="n">
        <f aca="false">Demand_History!D607</f>
        <v>49</v>
      </c>
      <c r="D607" s="33" t="n">
        <f aca="false">IF(B607&gt;=2,C606,"")</f>
        <v>11</v>
      </c>
      <c r="E607" s="33" t="n">
        <f aca="false">IF(B607&gt;=5,AVERAGE(C603:C606),"")</f>
        <v>35</v>
      </c>
      <c r="F607" s="33" t="n">
        <f aca="false">IF(B607&gt;=9,AVERAGE(C599:C606),"")</f>
        <v>42.875</v>
      </c>
      <c r="G607" s="33" t="n">
        <f aca="false">IF(B607=1,"",IF(B607=2,C606,SES_Alpha*C606+(1-SES_Alpha)*G606))</f>
        <v>33.2839411931979</v>
      </c>
      <c r="H607" s="33" t="n">
        <f aca="false">IF(D607="","",D607-C607)</f>
        <v>-38</v>
      </c>
      <c r="I607" s="33" t="n">
        <f aca="false">IF(E607="","",E607-C607)</f>
        <v>-14</v>
      </c>
      <c r="J607" s="33" t="n">
        <f aca="false">IF(F607="","",F607-C607)</f>
        <v>-6.125</v>
      </c>
      <c r="K607" s="33" t="n">
        <f aca="false">IF(G607="","",G607-C607)</f>
        <v>-15.7160588068021</v>
      </c>
      <c r="L607" s="33" t="n">
        <f aca="false">IF(H607="","",ABS(H607))</f>
        <v>38</v>
      </c>
      <c r="M607" s="33" t="n">
        <f aca="false">IF(I607="","",ABS(I607))</f>
        <v>14</v>
      </c>
      <c r="N607" s="33" t="n">
        <f aca="false">IF(J607="","",ABS(J607))</f>
        <v>6.125</v>
      </c>
      <c r="O607" s="33" t="n">
        <f aca="false">IF(K607="","",ABS(K607))</f>
        <v>15.7160588068021</v>
      </c>
      <c r="P607" s="34" t="str">
        <f aca="false">IF(B607&gt;=Eval_Start_Week,"YES","")</f>
        <v>YES</v>
      </c>
      <c r="Q607" s="34" t="str">
        <f aca="false">IF(AND(B607&gt;=Cal_Start_Week,B607&lt;=Cal_End_Week),"YES","")</f>
        <v>YES</v>
      </c>
    </row>
    <row r="608" customFormat="false" ht="15" hidden="false" customHeight="false" outlineLevel="0" collapsed="false">
      <c r="A608" s="31" t="str">
        <f aca="false">Demand_History!C608</f>
        <v>KIT-006</v>
      </c>
      <c r="B608" s="31" t="n">
        <f aca="false">Demand_History!A608</f>
        <v>87</v>
      </c>
      <c r="C608" s="32" t="n">
        <f aca="false">Demand_History!D608</f>
        <v>72</v>
      </c>
      <c r="D608" s="33" t="n">
        <f aca="false">IF(B608&gt;=2,C607,"")</f>
        <v>49</v>
      </c>
      <c r="E608" s="33" t="n">
        <f aca="false">IF(B608&gt;=5,AVERAGE(C604:C607),"")</f>
        <v>35.25</v>
      </c>
      <c r="F608" s="33" t="n">
        <f aca="false">IF(B608&gt;=9,AVERAGE(C600:C607),"")</f>
        <v>40.75</v>
      </c>
      <c r="G608" s="33" t="n">
        <f aca="false">IF(B608=1,"",IF(B608=2,C607,SES_Alpha*C607+(1-SES_Alpha)*G607))</f>
        <v>37.9987588352385</v>
      </c>
      <c r="H608" s="33" t="n">
        <f aca="false">IF(D608="","",D608-C608)</f>
        <v>-23</v>
      </c>
      <c r="I608" s="33" t="n">
        <f aca="false">IF(E608="","",E608-C608)</f>
        <v>-36.75</v>
      </c>
      <c r="J608" s="33" t="n">
        <f aca="false">IF(F608="","",F608-C608)</f>
        <v>-31.25</v>
      </c>
      <c r="K608" s="33" t="n">
        <f aca="false">IF(G608="","",G608-C608)</f>
        <v>-34.0012411647615</v>
      </c>
      <c r="L608" s="33" t="n">
        <f aca="false">IF(H608="","",ABS(H608))</f>
        <v>23</v>
      </c>
      <c r="M608" s="33" t="n">
        <f aca="false">IF(I608="","",ABS(I608))</f>
        <v>36.75</v>
      </c>
      <c r="N608" s="33" t="n">
        <f aca="false">IF(J608="","",ABS(J608))</f>
        <v>31.25</v>
      </c>
      <c r="O608" s="33" t="n">
        <f aca="false">IF(K608="","",ABS(K608))</f>
        <v>34.0012411647615</v>
      </c>
      <c r="P608" s="34" t="str">
        <f aca="false">IF(B608&gt;=Eval_Start_Week,"YES","")</f>
        <v>YES</v>
      </c>
      <c r="Q608" s="34" t="str">
        <f aca="false">IF(AND(B608&gt;=Cal_Start_Week,B608&lt;=Cal_End_Week),"YES","")</f>
        <v>YES</v>
      </c>
    </row>
    <row r="609" customFormat="false" ht="15" hidden="false" customHeight="false" outlineLevel="0" collapsed="false">
      <c r="A609" s="31" t="str">
        <f aca="false">Demand_History!C609</f>
        <v>KIT-006</v>
      </c>
      <c r="B609" s="31" t="n">
        <f aca="false">Demand_History!A609</f>
        <v>88</v>
      </c>
      <c r="C609" s="32" t="n">
        <f aca="false">Demand_History!D609</f>
        <v>62</v>
      </c>
      <c r="D609" s="33" t="n">
        <f aca="false">IF(B609&gt;=2,C608,"")</f>
        <v>72</v>
      </c>
      <c r="E609" s="33" t="n">
        <f aca="false">IF(B609&gt;=5,AVERAGE(C605:C608),"")</f>
        <v>42.5</v>
      </c>
      <c r="F609" s="33" t="n">
        <f aca="false">IF(B609&gt;=9,AVERAGE(C601:C608),"")</f>
        <v>43</v>
      </c>
      <c r="G609" s="33" t="n">
        <f aca="false">IF(B609=1,"",IF(B609=2,C608,SES_Alpha*C608+(1-SES_Alpha)*G608))</f>
        <v>48.199131184667</v>
      </c>
      <c r="H609" s="33" t="n">
        <f aca="false">IF(D609="","",D609-C609)</f>
        <v>10</v>
      </c>
      <c r="I609" s="33" t="n">
        <f aca="false">IF(E609="","",E609-C609)</f>
        <v>-19.5</v>
      </c>
      <c r="J609" s="33" t="n">
        <f aca="false">IF(F609="","",F609-C609)</f>
        <v>-19</v>
      </c>
      <c r="K609" s="33" t="n">
        <f aca="false">IF(G609="","",G609-C609)</f>
        <v>-13.800868815333</v>
      </c>
      <c r="L609" s="33" t="n">
        <f aca="false">IF(H609="","",ABS(H609))</f>
        <v>10</v>
      </c>
      <c r="M609" s="33" t="n">
        <f aca="false">IF(I609="","",ABS(I609))</f>
        <v>19.5</v>
      </c>
      <c r="N609" s="33" t="n">
        <f aca="false">IF(J609="","",ABS(J609))</f>
        <v>19</v>
      </c>
      <c r="O609" s="33" t="n">
        <f aca="false">IF(K609="","",ABS(K609))</f>
        <v>13.800868815333</v>
      </c>
      <c r="P609" s="34" t="str">
        <f aca="false">IF(B609&gt;=Eval_Start_Week,"YES","")</f>
        <v>YES</v>
      </c>
      <c r="Q609" s="34" t="str">
        <f aca="false">IF(AND(B609&gt;=Cal_Start_Week,B609&lt;=Cal_End_Week),"YES","")</f>
        <v>YES</v>
      </c>
    </row>
    <row r="610" customFormat="false" ht="15" hidden="false" customHeight="false" outlineLevel="0" collapsed="false">
      <c r="A610" s="31" t="str">
        <f aca="false">Demand_History!C610</f>
        <v>KIT-006</v>
      </c>
      <c r="B610" s="31" t="n">
        <f aca="false">Demand_History!A610</f>
        <v>89</v>
      </c>
      <c r="C610" s="32" t="n">
        <f aca="false">Demand_History!D610</f>
        <v>43</v>
      </c>
      <c r="D610" s="33" t="n">
        <f aca="false">IF(B610&gt;=2,C609,"")</f>
        <v>62</v>
      </c>
      <c r="E610" s="33" t="n">
        <f aca="false">IF(B610&gt;=5,AVERAGE(C606:C609),"")</f>
        <v>48.5</v>
      </c>
      <c r="F610" s="33" t="n">
        <f aca="false">IF(B610&gt;=9,AVERAGE(C602:C609),"")</f>
        <v>43.125</v>
      </c>
      <c r="G610" s="33" t="n">
        <f aca="false">IF(B610=1,"",IF(B610=2,C609,SES_Alpha*C609+(1-SES_Alpha)*G609))</f>
        <v>52.3393918292669</v>
      </c>
      <c r="H610" s="33" t="n">
        <f aca="false">IF(D610="","",D610-C610)</f>
        <v>19</v>
      </c>
      <c r="I610" s="33" t="n">
        <f aca="false">IF(E610="","",E610-C610)</f>
        <v>5.5</v>
      </c>
      <c r="J610" s="33" t="n">
        <f aca="false">IF(F610="","",F610-C610)</f>
        <v>0.125</v>
      </c>
      <c r="K610" s="33" t="n">
        <f aca="false">IF(G610="","",G610-C610)</f>
        <v>9.33939182926687</v>
      </c>
      <c r="L610" s="33" t="n">
        <f aca="false">IF(H610="","",ABS(H610))</f>
        <v>19</v>
      </c>
      <c r="M610" s="33" t="n">
        <f aca="false">IF(I610="","",ABS(I610))</f>
        <v>5.5</v>
      </c>
      <c r="N610" s="33" t="n">
        <f aca="false">IF(J610="","",ABS(J610))</f>
        <v>0.125</v>
      </c>
      <c r="O610" s="33" t="n">
        <f aca="false">IF(K610="","",ABS(K610))</f>
        <v>9.33939182926687</v>
      </c>
      <c r="P610" s="34" t="str">
        <f aca="false">IF(B610&gt;=Eval_Start_Week,"YES","")</f>
        <v>YES</v>
      </c>
      <c r="Q610" s="34" t="str">
        <f aca="false">IF(AND(B610&gt;=Cal_Start_Week,B610&lt;=Cal_End_Week),"YES","")</f>
        <v/>
      </c>
    </row>
    <row r="611" customFormat="false" ht="15" hidden="false" customHeight="false" outlineLevel="0" collapsed="false">
      <c r="A611" s="31" t="str">
        <f aca="false">Demand_History!C611</f>
        <v>KIT-006</v>
      </c>
      <c r="B611" s="31" t="n">
        <f aca="false">Demand_History!A611</f>
        <v>90</v>
      </c>
      <c r="C611" s="32" t="n">
        <f aca="false">Demand_History!D611</f>
        <v>55</v>
      </c>
      <c r="D611" s="33" t="n">
        <f aca="false">IF(B611&gt;=2,C610,"")</f>
        <v>43</v>
      </c>
      <c r="E611" s="33" t="n">
        <f aca="false">IF(B611&gt;=5,AVERAGE(C607:C610),"")</f>
        <v>56.5</v>
      </c>
      <c r="F611" s="33" t="n">
        <f aca="false">IF(B611&gt;=9,AVERAGE(C603:C610),"")</f>
        <v>45.75</v>
      </c>
      <c r="G611" s="33" t="n">
        <f aca="false">IF(B611=1,"",IF(B611=2,C610,SES_Alpha*C610+(1-SES_Alpha)*G610))</f>
        <v>49.5375742804868</v>
      </c>
      <c r="H611" s="33" t="n">
        <f aca="false">IF(D611="","",D611-C611)</f>
        <v>-12</v>
      </c>
      <c r="I611" s="33" t="n">
        <f aca="false">IF(E611="","",E611-C611)</f>
        <v>1.5</v>
      </c>
      <c r="J611" s="33" t="n">
        <f aca="false">IF(F611="","",F611-C611)</f>
        <v>-9.25</v>
      </c>
      <c r="K611" s="33" t="n">
        <f aca="false">IF(G611="","",G611-C611)</f>
        <v>-5.46242571951319</v>
      </c>
      <c r="L611" s="33" t="n">
        <f aca="false">IF(H611="","",ABS(H611))</f>
        <v>12</v>
      </c>
      <c r="M611" s="33" t="n">
        <f aca="false">IF(I611="","",ABS(I611))</f>
        <v>1.5</v>
      </c>
      <c r="N611" s="33" t="n">
        <f aca="false">IF(J611="","",ABS(J611))</f>
        <v>9.25</v>
      </c>
      <c r="O611" s="33" t="n">
        <f aca="false">IF(K611="","",ABS(K611))</f>
        <v>5.46242571951319</v>
      </c>
      <c r="P611" s="34" t="str">
        <f aca="false">IF(B611&gt;=Eval_Start_Week,"YES","")</f>
        <v>YES</v>
      </c>
      <c r="Q611" s="34" t="str">
        <f aca="false">IF(AND(B611&gt;=Cal_Start_Week,B611&lt;=Cal_End_Week),"YES","")</f>
        <v/>
      </c>
    </row>
    <row r="612" customFormat="false" ht="15" hidden="false" customHeight="false" outlineLevel="0" collapsed="false">
      <c r="A612" s="31" t="str">
        <f aca="false">Demand_History!C612</f>
        <v>KIT-006</v>
      </c>
      <c r="B612" s="31" t="n">
        <f aca="false">Demand_History!A612</f>
        <v>91</v>
      </c>
      <c r="C612" s="32" t="n">
        <f aca="false">Demand_History!D612</f>
        <v>70</v>
      </c>
      <c r="D612" s="33" t="n">
        <f aca="false">IF(B612&gt;=2,C611,"")</f>
        <v>55</v>
      </c>
      <c r="E612" s="33" t="n">
        <f aca="false">IF(B612&gt;=5,AVERAGE(C608:C611),"")</f>
        <v>58</v>
      </c>
      <c r="F612" s="33" t="n">
        <f aca="false">IF(B612&gt;=9,AVERAGE(C604:C611),"")</f>
        <v>46.625</v>
      </c>
      <c r="G612" s="33" t="n">
        <f aca="false">IF(B612=1,"",IF(B612=2,C611,SES_Alpha*C611+(1-SES_Alpha)*G611))</f>
        <v>51.1763019963408</v>
      </c>
      <c r="H612" s="33" t="n">
        <f aca="false">IF(D612="","",D612-C612)</f>
        <v>-15</v>
      </c>
      <c r="I612" s="33" t="n">
        <f aca="false">IF(E612="","",E612-C612)</f>
        <v>-12</v>
      </c>
      <c r="J612" s="33" t="n">
        <f aca="false">IF(F612="","",F612-C612)</f>
        <v>-23.375</v>
      </c>
      <c r="K612" s="33" t="n">
        <f aca="false">IF(G612="","",G612-C612)</f>
        <v>-18.8236980036592</v>
      </c>
      <c r="L612" s="33" t="n">
        <f aca="false">IF(H612="","",ABS(H612))</f>
        <v>15</v>
      </c>
      <c r="M612" s="33" t="n">
        <f aca="false">IF(I612="","",ABS(I612))</f>
        <v>12</v>
      </c>
      <c r="N612" s="33" t="n">
        <f aca="false">IF(J612="","",ABS(J612))</f>
        <v>23.375</v>
      </c>
      <c r="O612" s="33" t="n">
        <f aca="false">IF(K612="","",ABS(K612))</f>
        <v>18.8236980036592</v>
      </c>
      <c r="P612" s="34" t="str">
        <f aca="false">IF(B612&gt;=Eval_Start_Week,"YES","")</f>
        <v>YES</v>
      </c>
      <c r="Q612" s="34" t="str">
        <f aca="false">IF(AND(B612&gt;=Cal_Start_Week,B612&lt;=Cal_End_Week),"YES","")</f>
        <v/>
      </c>
    </row>
    <row r="613" customFormat="false" ht="15" hidden="false" customHeight="false" outlineLevel="0" collapsed="false">
      <c r="A613" s="31" t="str">
        <f aca="false">Demand_History!C613</f>
        <v>KIT-006</v>
      </c>
      <c r="B613" s="31" t="n">
        <f aca="false">Demand_History!A613</f>
        <v>92</v>
      </c>
      <c r="C613" s="32" t="n">
        <f aca="false">Demand_History!D613</f>
        <v>2</v>
      </c>
      <c r="D613" s="33" t="n">
        <f aca="false">IF(B613&gt;=2,C612,"")</f>
        <v>70</v>
      </c>
      <c r="E613" s="33" t="n">
        <f aca="false">IF(B613&gt;=5,AVERAGE(C609:C612),"")</f>
        <v>57.5</v>
      </c>
      <c r="F613" s="33" t="n">
        <f aca="false">IF(B613&gt;=9,AVERAGE(C605:C612),"")</f>
        <v>50</v>
      </c>
      <c r="G613" s="33" t="n">
        <f aca="false">IF(B613=1,"",IF(B613=2,C612,SES_Alpha*C612+(1-SES_Alpha)*G612))</f>
        <v>56.8234113974385</v>
      </c>
      <c r="H613" s="33" t="n">
        <f aca="false">IF(D613="","",D613-C613)</f>
        <v>68</v>
      </c>
      <c r="I613" s="33" t="n">
        <f aca="false">IF(E613="","",E613-C613)</f>
        <v>55.5</v>
      </c>
      <c r="J613" s="33" t="n">
        <f aca="false">IF(F613="","",F613-C613)</f>
        <v>48</v>
      </c>
      <c r="K613" s="33" t="n">
        <f aca="false">IF(G613="","",G613-C613)</f>
        <v>54.8234113974385</v>
      </c>
      <c r="L613" s="33" t="n">
        <f aca="false">IF(H613="","",ABS(H613))</f>
        <v>68</v>
      </c>
      <c r="M613" s="33" t="n">
        <f aca="false">IF(I613="","",ABS(I613))</f>
        <v>55.5</v>
      </c>
      <c r="N613" s="33" t="n">
        <f aca="false">IF(J613="","",ABS(J613))</f>
        <v>48</v>
      </c>
      <c r="O613" s="33" t="n">
        <f aca="false">IF(K613="","",ABS(K613))</f>
        <v>54.8234113974385</v>
      </c>
      <c r="P613" s="34" t="str">
        <f aca="false">IF(B613&gt;=Eval_Start_Week,"YES","")</f>
        <v>YES</v>
      </c>
      <c r="Q613" s="34" t="str">
        <f aca="false">IF(AND(B613&gt;=Cal_Start_Week,B613&lt;=Cal_End_Week),"YES","")</f>
        <v/>
      </c>
    </row>
    <row r="614" customFormat="false" ht="15" hidden="false" customHeight="false" outlineLevel="0" collapsed="false">
      <c r="A614" s="31" t="str">
        <f aca="false">Demand_History!C614</f>
        <v>KIT-006</v>
      </c>
      <c r="B614" s="31" t="n">
        <f aca="false">Demand_History!A614</f>
        <v>93</v>
      </c>
      <c r="C614" s="32" t="n">
        <f aca="false">Demand_History!D614</f>
        <v>53</v>
      </c>
      <c r="D614" s="33" t="n">
        <f aca="false">IF(B614&gt;=2,C613,"")</f>
        <v>2</v>
      </c>
      <c r="E614" s="33" t="n">
        <f aca="false">IF(B614&gt;=5,AVERAGE(C610:C613),"")</f>
        <v>42.5</v>
      </c>
      <c r="F614" s="33" t="n">
        <f aca="false">IF(B614&gt;=9,AVERAGE(C606:C613),"")</f>
        <v>45.5</v>
      </c>
      <c r="G614" s="33" t="n">
        <f aca="false">IF(B614=1,"",IF(B614=2,C613,SES_Alpha*C613+(1-SES_Alpha)*G613))</f>
        <v>40.376387978207</v>
      </c>
      <c r="H614" s="33" t="n">
        <f aca="false">IF(D614="","",D614-C614)</f>
        <v>-51</v>
      </c>
      <c r="I614" s="33" t="n">
        <f aca="false">IF(E614="","",E614-C614)</f>
        <v>-10.5</v>
      </c>
      <c r="J614" s="33" t="n">
        <f aca="false">IF(F614="","",F614-C614)</f>
        <v>-7.5</v>
      </c>
      <c r="K614" s="33" t="n">
        <f aca="false">IF(G614="","",G614-C614)</f>
        <v>-12.623612021793</v>
      </c>
      <c r="L614" s="33" t="n">
        <f aca="false">IF(H614="","",ABS(H614))</f>
        <v>51</v>
      </c>
      <c r="M614" s="33" t="n">
        <f aca="false">IF(I614="","",ABS(I614))</f>
        <v>10.5</v>
      </c>
      <c r="N614" s="33" t="n">
        <f aca="false">IF(J614="","",ABS(J614))</f>
        <v>7.5</v>
      </c>
      <c r="O614" s="33" t="n">
        <f aca="false">IF(K614="","",ABS(K614))</f>
        <v>12.623612021793</v>
      </c>
      <c r="P614" s="34" t="str">
        <f aca="false">IF(B614&gt;=Eval_Start_Week,"YES","")</f>
        <v>YES</v>
      </c>
      <c r="Q614" s="34" t="str">
        <f aca="false">IF(AND(B614&gt;=Cal_Start_Week,B614&lt;=Cal_End_Week),"YES","")</f>
        <v/>
      </c>
    </row>
    <row r="615" customFormat="false" ht="15" hidden="false" customHeight="false" outlineLevel="0" collapsed="false">
      <c r="A615" s="31" t="str">
        <f aca="false">Demand_History!C615</f>
        <v>KIT-006</v>
      </c>
      <c r="B615" s="31" t="n">
        <f aca="false">Demand_History!A615</f>
        <v>94</v>
      </c>
      <c r="C615" s="32" t="n">
        <f aca="false">Demand_History!D615</f>
        <v>65</v>
      </c>
      <c r="D615" s="33" t="n">
        <f aca="false">IF(B615&gt;=2,C614,"")</f>
        <v>53</v>
      </c>
      <c r="E615" s="33" t="n">
        <f aca="false">IF(B615&gt;=5,AVERAGE(C611:C614),"")</f>
        <v>45</v>
      </c>
      <c r="F615" s="33" t="n">
        <f aca="false">IF(B615&gt;=9,AVERAGE(C607:C614),"")</f>
        <v>50.75</v>
      </c>
      <c r="G615" s="33" t="n">
        <f aca="false">IF(B615=1,"",IF(B615=2,C614,SES_Alpha*C614+(1-SES_Alpha)*G614))</f>
        <v>44.1634715847449</v>
      </c>
      <c r="H615" s="33" t="n">
        <f aca="false">IF(D615="","",D615-C615)</f>
        <v>-12</v>
      </c>
      <c r="I615" s="33" t="n">
        <f aca="false">IF(E615="","",E615-C615)</f>
        <v>-20</v>
      </c>
      <c r="J615" s="33" t="n">
        <f aca="false">IF(F615="","",F615-C615)</f>
        <v>-14.25</v>
      </c>
      <c r="K615" s="33" t="n">
        <f aca="false">IF(G615="","",G615-C615)</f>
        <v>-20.8365284152551</v>
      </c>
      <c r="L615" s="33" t="n">
        <f aca="false">IF(H615="","",ABS(H615))</f>
        <v>12</v>
      </c>
      <c r="M615" s="33" t="n">
        <f aca="false">IF(I615="","",ABS(I615))</f>
        <v>20</v>
      </c>
      <c r="N615" s="33" t="n">
        <f aca="false">IF(J615="","",ABS(J615))</f>
        <v>14.25</v>
      </c>
      <c r="O615" s="33" t="n">
        <f aca="false">IF(K615="","",ABS(K615))</f>
        <v>20.8365284152551</v>
      </c>
      <c r="P615" s="34" t="str">
        <f aca="false">IF(B615&gt;=Eval_Start_Week,"YES","")</f>
        <v>YES</v>
      </c>
      <c r="Q615" s="34" t="str">
        <f aca="false">IF(AND(B615&gt;=Cal_Start_Week,B615&lt;=Cal_End_Week),"YES","")</f>
        <v/>
      </c>
    </row>
    <row r="616" customFormat="false" ht="15" hidden="false" customHeight="false" outlineLevel="0" collapsed="false">
      <c r="A616" s="31" t="str">
        <f aca="false">Demand_History!C616</f>
        <v>KIT-006</v>
      </c>
      <c r="B616" s="31" t="n">
        <f aca="false">Demand_History!A616</f>
        <v>95</v>
      </c>
      <c r="C616" s="32" t="n">
        <f aca="false">Demand_History!D616</f>
        <v>68</v>
      </c>
      <c r="D616" s="33" t="n">
        <f aca="false">IF(B616&gt;=2,C615,"")</f>
        <v>65</v>
      </c>
      <c r="E616" s="33" t="n">
        <f aca="false">IF(B616&gt;=5,AVERAGE(C612:C615),"")</f>
        <v>47.5</v>
      </c>
      <c r="F616" s="33" t="n">
        <f aca="false">IF(B616&gt;=9,AVERAGE(C608:C615),"")</f>
        <v>52.75</v>
      </c>
      <c r="G616" s="33" t="n">
        <f aca="false">IF(B616=1,"",IF(B616=2,C615,SES_Alpha*C615+(1-SES_Alpha)*G615))</f>
        <v>50.4144301093214</v>
      </c>
      <c r="H616" s="33" t="n">
        <f aca="false">IF(D616="","",D616-C616)</f>
        <v>-3</v>
      </c>
      <c r="I616" s="33" t="n">
        <f aca="false">IF(E616="","",E616-C616)</f>
        <v>-20.5</v>
      </c>
      <c r="J616" s="33" t="n">
        <f aca="false">IF(F616="","",F616-C616)</f>
        <v>-15.25</v>
      </c>
      <c r="K616" s="33" t="n">
        <f aca="false">IF(G616="","",G616-C616)</f>
        <v>-17.5855698906786</v>
      </c>
      <c r="L616" s="33" t="n">
        <f aca="false">IF(H616="","",ABS(H616))</f>
        <v>3</v>
      </c>
      <c r="M616" s="33" t="n">
        <f aca="false">IF(I616="","",ABS(I616))</f>
        <v>20.5</v>
      </c>
      <c r="N616" s="33" t="n">
        <f aca="false">IF(J616="","",ABS(J616))</f>
        <v>15.25</v>
      </c>
      <c r="O616" s="33" t="n">
        <f aca="false">IF(K616="","",ABS(K616))</f>
        <v>17.5855698906786</v>
      </c>
      <c r="P616" s="34" t="str">
        <f aca="false">IF(B616&gt;=Eval_Start_Week,"YES","")</f>
        <v>YES</v>
      </c>
      <c r="Q616" s="34" t="str">
        <f aca="false">IF(AND(B616&gt;=Cal_Start_Week,B616&lt;=Cal_End_Week),"YES","")</f>
        <v/>
      </c>
    </row>
    <row r="617" customFormat="false" ht="15" hidden="false" customHeight="false" outlineLevel="0" collapsed="false">
      <c r="A617" s="31" t="str">
        <f aca="false">Demand_History!C617</f>
        <v>KIT-006</v>
      </c>
      <c r="B617" s="31" t="n">
        <f aca="false">Demand_History!A617</f>
        <v>96</v>
      </c>
      <c r="C617" s="32" t="n">
        <f aca="false">Demand_History!D617</f>
        <v>88</v>
      </c>
      <c r="D617" s="33" t="n">
        <f aca="false">IF(B617&gt;=2,C616,"")</f>
        <v>68</v>
      </c>
      <c r="E617" s="33" t="n">
        <f aca="false">IF(B617&gt;=5,AVERAGE(C613:C616),"")</f>
        <v>47</v>
      </c>
      <c r="F617" s="33" t="n">
        <f aca="false">IF(B617&gt;=9,AVERAGE(C609:C616),"")</f>
        <v>52.25</v>
      </c>
      <c r="G617" s="33" t="n">
        <f aca="false">IF(B617=1,"",IF(B617=2,C616,SES_Alpha*C616+(1-SES_Alpha)*G616))</f>
        <v>55.690101076525</v>
      </c>
      <c r="H617" s="33" t="n">
        <f aca="false">IF(D617="","",D617-C617)</f>
        <v>-20</v>
      </c>
      <c r="I617" s="33" t="n">
        <f aca="false">IF(E617="","",E617-C617)</f>
        <v>-41</v>
      </c>
      <c r="J617" s="33" t="n">
        <f aca="false">IF(F617="","",F617-C617)</f>
        <v>-35.75</v>
      </c>
      <c r="K617" s="33" t="n">
        <f aca="false">IF(G617="","",G617-C617)</f>
        <v>-32.309898923475</v>
      </c>
      <c r="L617" s="33" t="n">
        <f aca="false">IF(H617="","",ABS(H617))</f>
        <v>20</v>
      </c>
      <c r="M617" s="33" t="n">
        <f aca="false">IF(I617="","",ABS(I617))</f>
        <v>41</v>
      </c>
      <c r="N617" s="33" t="n">
        <f aca="false">IF(J617="","",ABS(J617))</f>
        <v>35.75</v>
      </c>
      <c r="O617" s="33" t="n">
        <f aca="false">IF(K617="","",ABS(K617))</f>
        <v>32.309898923475</v>
      </c>
      <c r="P617" s="34" t="str">
        <f aca="false">IF(B617&gt;=Eval_Start_Week,"YES","")</f>
        <v>YES</v>
      </c>
      <c r="Q617" s="34" t="str">
        <f aca="false">IF(AND(B617&gt;=Cal_Start_Week,B617&lt;=Cal_End_Week),"YES","")</f>
        <v/>
      </c>
    </row>
    <row r="618" customFormat="false" ht="15" hidden="false" customHeight="false" outlineLevel="0" collapsed="false">
      <c r="A618" s="31" t="str">
        <f aca="false">Demand_History!C618</f>
        <v>KIT-006</v>
      </c>
      <c r="B618" s="31" t="n">
        <f aca="false">Demand_History!A618</f>
        <v>97</v>
      </c>
      <c r="C618" s="32" t="n">
        <f aca="false">Demand_History!D618</f>
        <v>77</v>
      </c>
      <c r="D618" s="33" t="n">
        <f aca="false">IF(B618&gt;=2,C617,"")</f>
        <v>88</v>
      </c>
      <c r="E618" s="33" t="n">
        <f aca="false">IF(B618&gt;=5,AVERAGE(C614:C617),"")</f>
        <v>68.5</v>
      </c>
      <c r="F618" s="33" t="n">
        <f aca="false">IF(B618&gt;=9,AVERAGE(C610:C617),"")</f>
        <v>55.5</v>
      </c>
      <c r="G618" s="33" t="n">
        <f aca="false">IF(B618=1,"",IF(B618=2,C617,SES_Alpha*C617+(1-SES_Alpha)*G617))</f>
        <v>65.3830707535675</v>
      </c>
      <c r="H618" s="33" t="n">
        <f aca="false">IF(D618="","",D618-C618)</f>
        <v>11</v>
      </c>
      <c r="I618" s="33" t="n">
        <f aca="false">IF(E618="","",E618-C618)</f>
        <v>-8.5</v>
      </c>
      <c r="J618" s="33" t="n">
        <f aca="false">IF(F618="","",F618-C618)</f>
        <v>-21.5</v>
      </c>
      <c r="K618" s="33" t="n">
        <f aca="false">IF(G618="","",G618-C618)</f>
        <v>-11.6169292464325</v>
      </c>
      <c r="L618" s="33" t="n">
        <f aca="false">IF(H618="","",ABS(H618))</f>
        <v>11</v>
      </c>
      <c r="M618" s="33" t="n">
        <f aca="false">IF(I618="","",ABS(I618))</f>
        <v>8.5</v>
      </c>
      <c r="N618" s="33" t="n">
        <f aca="false">IF(J618="","",ABS(J618))</f>
        <v>21.5</v>
      </c>
      <c r="O618" s="33" t="n">
        <f aca="false">IF(K618="","",ABS(K618))</f>
        <v>11.6169292464325</v>
      </c>
      <c r="P618" s="34" t="str">
        <f aca="false">IF(B618&gt;=Eval_Start_Week,"YES","")</f>
        <v>YES</v>
      </c>
      <c r="Q618" s="34" t="str">
        <f aca="false">IF(AND(B618&gt;=Cal_Start_Week,B618&lt;=Cal_End_Week),"YES","")</f>
        <v/>
      </c>
    </row>
    <row r="619" customFormat="false" ht="15" hidden="false" customHeight="false" outlineLevel="0" collapsed="false">
      <c r="A619" s="31" t="str">
        <f aca="false">Demand_History!C619</f>
        <v>KIT-006</v>
      </c>
      <c r="B619" s="31" t="n">
        <f aca="false">Demand_History!A619</f>
        <v>98</v>
      </c>
      <c r="C619" s="32" t="n">
        <f aca="false">Demand_History!D619</f>
        <v>61</v>
      </c>
      <c r="D619" s="33" t="n">
        <f aca="false">IF(B619&gt;=2,C618,"")</f>
        <v>77</v>
      </c>
      <c r="E619" s="33" t="n">
        <f aca="false">IF(B619&gt;=5,AVERAGE(C615:C618),"")</f>
        <v>74.5</v>
      </c>
      <c r="F619" s="33" t="n">
        <f aca="false">IF(B619&gt;=9,AVERAGE(C611:C618),"")</f>
        <v>59.75</v>
      </c>
      <c r="G619" s="33" t="n">
        <f aca="false">IF(B619=1,"",IF(B619=2,C618,SES_Alpha*C618+(1-SES_Alpha)*G618))</f>
        <v>68.8681495274972</v>
      </c>
      <c r="H619" s="33" t="n">
        <f aca="false">IF(D619="","",D619-C619)</f>
        <v>16</v>
      </c>
      <c r="I619" s="33" t="n">
        <f aca="false">IF(E619="","",E619-C619)</f>
        <v>13.5</v>
      </c>
      <c r="J619" s="33" t="n">
        <f aca="false">IF(F619="","",F619-C619)</f>
        <v>-1.25</v>
      </c>
      <c r="K619" s="33" t="n">
        <f aca="false">IF(G619="","",G619-C619)</f>
        <v>7.86814952749724</v>
      </c>
      <c r="L619" s="33" t="n">
        <f aca="false">IF(H619="","",ABS(H619))</f>
        <v>16</v>
      </c>
      <c r="M619" s="33" t="n">
        <f aca="false">IF(I619="","",ABS(I619))</f>
        <v>13.5</v>
      </c>
      <c r="N619" s="33" t="n">
        <f aca="false">IF(J619="","",ABS(J619))</f>
        <v>1.25</v>
      </c>
      <c r="O619" s="33" t="n">
        <f aca="false">IF(K619="","",ABS(K619))</f>
        <v>7.86814952749724</v>
      </c>
      <c r="P619" s="34" t="str">
        <f aca="false">IF(B619&gt;=Eval_Start_Week,"YES","")</f>
        <v>YES</v>
      </c>
      <c r="Q619" s="34" t="str">
        <f aca="false">IF(AND(B619&gt;=Cal_Start_Week,B619&lt;=Cal_End_Week),"YES","")</f>
        <v/>
      </c>
    </row>
    <row r="620" customFormat="false" ht="15" hidden="false" customHeight="false" outlineLevel="0" collapsed="false">
      <c r="A620" s="31" t="str">
        <f aca="false">Demand_History!C620</f>
        <v>KIT-006</v>
      </c>
      <c r="B620" s="31" t="n">
        <f aca="false">Demand_History!A620</f>
        <v>99</v>
      </c>
      <c r="C620" s="32" t="n">
        <f aca="false">Demand_History!D620</f>
        <v>61</v>
      </c>
      <c r="D620" s="33" t="n">
        <f aca="false">IF(B620&gt;=2,C619,"")</f>
        <v>61</v>
      </c>
      <c r="E620" s="33" t="n">
        <f aca="false">IF(B620&gt;=5,AVERAGE(C616:C619),"")</f>
        <v>73.5</v>
      </c>
      <c r="F620" s="33" t="n">
        <f aca="false">IF(B620&gt;=9,AVERAGE(C612:C619),"")</f>
        <v>60.5</v>
      </c>
      <c r="G620" s="33" t="n">
        <f aca="false">IF(B620=1,"",IF(B620=2,C619,SES_Alpha*C619+(1-SES_Alpha)*G619))</f>
        <v>66.5077046692481</v>
      </c>
      <c r="H620" s="33" t="n">
        <f aca="false">IF(D620="","",D620-C620)</f>
        <v>0</v>
      </c>
      <c r="I620" s="33" t="n">
        <f aca="false">IF(E620="","",E620-C620)</f>
        <v>12.5</v>
      </c>
      <c r="J620" s="33" t="n">
        <f aca="false">IF(F620="","",F620-C620)</f>
        <v>-0.5</v>
      </c>
      <c r="K620" s="33" t="n">
        <f aca="false">IF(G620="","",G620-C620)</f>
        <v>5.50770466924807</v>
      </c>
      <c r="L620" s="33" t="n">
        <f aca="false">IF(H620="","",ABS(H620))</f>
        <v>0</v>
      </c>
      <c r="M620" s="33" t="n">
        <f aca="false">IF(I620="","",ABS(I620))</f>
        <v>12.5</v>
      </c>
      <c r="N620" s="33" t="n">
        <f aca="false">IF(J620="","",ABS(J620))</f>
        <v>0.5</v>
      </c>
      <c r="O620" s="33" t="n">
        <f aca="false">IF(K620="","",ABS(K620))</f>
        <v>5.50770466924807</v>
      </c>
      <c r="P620" s="34" t="str">
        <f aca="false">IF(B620&gt;=Eval_Start_Week,"YES","")</f>
        <v>YES</v>
      </c>
      <c r="Q620" s="34" t="str">
        <f aca="false">IF(AND(B620&gt;=Cal_Start_Week,B620&lt;=Cal_End_Week),"YES","")</f>
        <v/>
      </c>
    </row>
    <row r="621" customFormat="false" ht="15" hidden="false" customHeight="false" outlineLevel="0" collapsed="false">
      <c r="A621" s="31" t="str">
        <f aca="false">Demand_History!C621</f>
        <v>KIT-006</v>
      </c>
      <c r="B621" s="31" t="n">
        <f aca="false">Demand_History!A621</f>
        <v>100</v>
      </c>
      <c r="C621" s="32" t="n">
        <f aca="false">Demand_History!D621</f>
        <v>70</v>
      </c>
      <c r="D621" s="33" t="n">
        <f aca="false">IF(B621&gt;=2,C620,"")</f>
        <v>61</v>
      </c>
      <c r="E621" s="33" t="n">
        <f aca="false">IF(B621&gt;=5,AVERAGE(C617:C620),"")</f>
        <v>71.75</v>
      </c>
      <c r="F621" s="33" t="n">
        <f aca="false">IF(B621&gt;=9,AVERAGE(C613:C620),"")</f>
        <v>59.375</v>
      </c>
      <c r="G621" s="33" t="n">
        <f aca="false">IF(B621=1,"",IF(B621=2,C620,SES_Alpha*C620+(1-SES_Alpha)*G620))</f>
        <v>64.8553932684737</v>
      </c>
      <c r="H621" s="33" t="n">
        <f aca="false">IF(D621="","",D621-C621)</f>
        <v>-9</v>
      </c>
      <c r="I621" s="33" t="n">
        <f aca="false">IF(E621="","",E621-C621)</f>
        <v>1.75</v>
      </c>
      <c r="J621" s="33" t="n">
        <f aca="false">IF(F621="","",F621-C621)</f>
        <v>-10.625</v>
      </c>
      <c r="K621" s="33" t="n">
        <f aca="false">IF(G621="","",G621-C621)</f>
        <v>-5.14460673152635</v>
      </c>
      <c r="L621" s="33" t="n">
        <f aca="false">IF(H621="","",ABS(H621))</f>
        <v>9</v>
      </c>
      <c r="M621" s="33" t="n">
        <f aca="false">IF(I621="","",ABS(I621))</f>
        <v>1.75</v>
      </c>
      <c r="N621" s="33" t="n">
        <f aca="false">IF(J621="","",ABS(J621))</f>
        <v>10.625</v>
      </c>
      <c r="O621" s="33" t="n">
        <f aca="false">IF(K621="","",ABS(K621))</f>
        <v>5.14460673152635</v>
      </c>
      <c r="P621" s="34" t="str">
        <f aca="false">IF(B621&gt;=Eval_Start_Week,"YES","")</f>
        <v>YES</v>
      </c>
      <c r="Q621" s="34" t="str">
        <f aca="false">IF(AND(B621&gt;=Cal_Start_Week,B621&lt;=Cal_End_Week),"YES","")</f>
        <v/>
      </c>
    </row>
    <row r="622" customFormat="false" ht="15" hidden="false" customHeight="false" outlineLevel="0" collapsed="false">
      <c r="A622" s="31" t="str">
        <f aca="false">Demand_History!C622</f>
        <v>KIT-006</v>
      </c>
      <c r="B622" s="31" t="n">
        <f aca="false">Demand_History!A622</f>
        <v>101</v>
      </c>
      <c r="C622" s="32" t="n">
        <f aca="false">Demand_History!D622</f>
        <v>45</v>
      </c>
      <c r="D622" s="33" t="n">
        <f aca="false">IF(B622&gt;=2,C621,"")</f>
        <v>70</v>
      </c>
      <c r="E622" s="33" t="n">
        <f aca="false">IF(B622&gt;=5,AVERAGE(C618:C621),"")</f>
        <v>67.25</v>
      </c>
      <c r="F622" s="33" t="n">
        <f aca="false">IF(B622&gt;=9,AVERAGE(C614:C621),"")</f>
        <v>67.875</v>
      </c>
      <c r="G622" s="33" t="n">
        <f aca="false">IF(B622=1,"",IF(B622=2,C621,SES_Alpha*C621+(1-SES_Alpha)*G621))</f>
        <v>66.3987752879316</v>
      </c>
      <c r="H622" s="33" t="n">
        <f aca="false">IF(D622="","",D622-C622)</f>
        <v>25</v>
      </c>
      <c r="I622" s="33" t="n">
        <f aca="false">IF(E622="","",E622-C622)</f>
        <v>22.25</v>
      </c>
      <c r="J622" s="33" t="n">
        <f aca="false">IF(F622="","",F622-C622)</f>
        <v>22.875</v>
      </c>
      <c r="K622" s="33" t="n">
        <f aca="false">IF(G622="","",G622-C622)</f>
        <v>21.3987752879316</v>
      </c>
      <c r="L622" s="33" t="n">
        <f aca="false">IF(H622="","",ABS(H622))</f>
        <v>25</v>
      </c>
      <c r="M622" s="33" t="n">
        <f aca="false">IF(I622="","",ABS(I622))</f>
        <v>22.25</v>
      </c>
      <c r="N622" s="33" t="n">
        <f aca="false">IF(J622="","",ABS(J622))</f>
        <v>22.875</v>
      </c>
      <c r="O622" s="33" t="n">
        <f aca="false">IF(K622="","",ABS(K622))</f>
        <v>21.3987752879316</v>
      </c>
      <c r="P622" s="34" t="str">
        <f aca="false">IF(B622&gt;=Eval_Start_Week,"YES","")</f>
        <v>YES</v>
      </c>
      <c r="Q622" s="34" t="str">
        <f aca="false">IF(AND(B622&gt;=Cal_Start_Week,B622&lt;=Cal_End_Week),"YES","")</f>
        <v/>
      </c>
    </row>
    <row r="623" customFormat="false" ht="15" hidden="false" customHeight="false" outlineLevel="0" collapsed="false">
      <c r="A623" s="31" t="str">
        <f aca="false">Demand_History!C623</f>
        <v>KIT-006</v>
      </c>
      <c r="B623" s="31" t="n">
        <f aca="false">Demand_History!A623</f>
        <v>102</v>
      </c>
      <c r="C623" s="32" t="n">
        <f aca="false">Demand_History!D623</f>
        <v>54</v>
      </c>
      <c r="D623" s="33" t="n">
        <f aca="false">IF(B623&gt;=2,C622,"")</f>
        <v>45</v>
      </c>
      <c r="E623" s="33" t="n">
        <f aca="false">IF(B623&gt;=5,AVERAGE(C619:C622),"")</f>
        <v>59.25</v>
      </c>
      <c r="F623" s="33" t="n">
        <f aca="false">IF(B623&gt;=9,AVERAGE(C615:C622),"")</f>
        <v>66.875</v>
      </c>
      <c r="G623" s="33" t="n">
        <f aca="false">IF(B623=1,"",IF(B623=2,C622,SES_Alpha*C622+(1-SES_Alpha)*G622))</f>
        <v>59.9791427015521</v>
      </c>
      <c r="H623" s="33" t="n">
        <f aca="false">IF(D623="","",D623-C623)</f>
        <v>-9</v>
      </c>
      <c r="I623" s="33" t="n">
        <f aca="false">IF(E623="","",E623-C623)</f>
        <v>5.25</v>
      </c>
      <c r="J623" s="33" t="n">
        <f aca="false">IF(F623="","",F623-C623)</f>
        <v>12.875</v>
      </c>
      <c r="K623" s="33" t="n">
        <f aca="false">IF(G623="","",G623-C623)</f>
        <v>5.97914270155209</v>
      </c>
      <c r="L623" s="33" t="n">
        <f aca="false">IF(H623="","",ABS(H623))</f>
        <v>9</v>
      </c>
      <c r="M623" s="33" t="n">
        <f aca="false">IF(I623="","",ABS(I623))</f>
        <v>5.25</v>
      </c>
      <c r="N623" s="33" t="n">
        <f aca="false">IF(J623="","",ABS(J623))</f>
        <v>12.875</v>
      </c>
      <c r="O623" s="33" t="n">
        <f aca="false">IF(K623="","",ABS(K623))</f>
        <v>5.97914270155209</v>
      </c>
      <c r="P623" s="34" t="str">
        <f aca="false">IF(B623&gt;=Eval_Start_Week,"YES","")</f>
        <v>YES</v>
      </c>
      <c r="Q623" s="34" t="str">
        <f aca="false">IF(AND(B623&gt;=Cal_Start_Week,B623&lt;=Cal_End_Week),"YES","")</f>
        <v/>
      </c>
    </row>
    <row r="624" customFormat="false" ht="15" hidden="false" customHeight="false" outlineLevel="0" collapsed="false">
      <c r="A624" s="31" t="str">
        <f aca="false">Demand_History!C624</f>
        <v>KIT-006</v>
      </c>
      <c r="B624" s="31" t="n">
        <f aca="false">Demand_History!A624</f>
        <v>103</v>
      </c>
      <c r="C624" s="32" t="n">
        <f aca="false">Demand_History!D624</f>
        <v>72</v>
      </c>
      <c r="D624" s="33" t="n">
        <f aca="false">IF(B624&gt;=2,C623,"")</f>
        <v>54</v>
      </c>
      <c r="E624" s="33" t="n">
        <f aca="false">IF(B624&gt;=5,AVERAGE(C620:C623),"")</f>
        <v>57.5</v>
      </c>
      <c r="F624" s="33" t="n">
        <f aca="false">IF(B624&gt;=9,AVERAGE(C616:C623),"")</f>
        <v>65.5</v>
      </c>
      <c r="G624" s="33" t="n">
        <f aca="false">IF(B624=1,"",IF(B624=2,C623,SES_Alpha*C623+(1-SES_Alpha)*G623))</f>
        <v>58.1853998910865</v>
      </c>
      <c r="H624" s="33" t="n">
        <f aca="false">IF(D624="","",D624-C624)</f>
        <v>-18</v>
      </c>
      <c r="I624" s="33" t="n">
        <f aca="false">IF(E624="","",E624-C624)</f>
        <v>-14.5</v>
      </c>
      <c r="J624" s="33" t="n">
        <f aca="false">IF(F624="","",F624-C624)</f>
        <v>-6.5</v>
      </c>
      <c r="K624" s="33" t="n">
        <f aca="false">IF(G624="","",G624-C624)</f>
        <v>-13.8146001089135</v>
      </c>
      <c r="L624" s="33" t="n">
        <f aca="false">IF(H624="","",ABS(H624))</f>
        <v>18</v>
      </c>
      <c r="M624" s="33" t="n">
        <f aca="false">IF(I624="","",ABS(I624))</f>
        <v>14.5</v>
      </c>
      <c r="N624" s="33" t="n">
        <f aca="false">IF(J624="","",ABS(J624))</f>
        <v>6.5</v>
      </c>
      <c r="O624" s="33" t="n">
        <f aca="false">IF(K624="","",ABS(K624))</f>
        <v>13.8146001089135</v>
      </c>
      <c r="P624" s="34" t="str">
        <f aca="false">IF(B624&gt;=Eval_Start_Week,"YES","")</f>
        <v>YES</v>
      </c>
      <c r="Q624" s="34" t="str">
        <f aca="false">IF(AND(B624&gt;=Cal_Start_Week,B624&lt;=Cal_End_Week),"YES","")</f>
        <v/>
      </c>
    </row>
    <row r="625" customFormat="false" ht="15" hidden="false" customHeight="false" outlineLevel="0" collapsed="false">
      <c r="A625" s="31" t="str">
        <f aca="false">Demand_History!C625</f>
        <v>KIT-006</v>
      </c>
      <c r="B625" s="31" t="n">
        <f aca="false">Demand_History!A625</f>
        <v>104</v>
      </c>
      <c r="C625" s="32" t="n">
        <f aca="false">Demand_History!D625</f>
        <v>93</v>
      </c>
      <c r="D625" s="33" t="n">
        <f aca="false">IF(B625&gt;=2,C624,"")</f>
        <v>72</v>
      </c>
      <c r="E625" s="33" t="n">
        <f aca="false">IF(B625&gt;=5,AVERAGE(C621:C624),"")</f>
        <v>60.25</v>
      </c>
      <c r="F625" s="33" t="n">
        <f aca="false">IF(B625&gt;=9,AVERAGE(C617:C624),"")</f>
        <v>66</v>
      </c>
      <c r="G625" s="33" t="n">
        <f aca="false">IF(B625=1,"",IF(B625=2,C624,SES_Alpha*C624+(1-SES_Alpha)*G624))</f>
        <v>62.3297799237605</v>
      </c>
      <c r="H625" s="33" t="n">
        <f aca="false">IF(D625="","",D625-C625)</f>
        <v>-21</v>
      </c>
      <c r="I625" s="33" t="n">
        <f aca="false">IF(E625="","",E625-C625)</f>
        <v>-32.75</v>
      </c>
      <c r="J625" s="33" t="n">
        <f aca="false">IF(F625="","",F625-C625)</f>
        <v>-27</v>
      </c>
      <c r="K625" s="33" t="n">
        <f aca="false">IF(G625="","",G625-C625)</f>
        <v>-30.6702200762395</v>
      </c>
      <c r="L625" s="33" t="n">
        <f aca="false">IF(H625="","",ABS(H625))</f>
        <v>21</v>
      </c>
      <c r="M625" s="33" t="n">
        <f aca="false">IF(I625="","",ABS(I625))</f>
        <v>32.75</v>
      </c>
      <c r="N625" s="33" t="n">
        <f aca="false">IF(J625="","",ABS(J625))</f>
        <v>27</v>
      </c>
      <c r="O625" s="33" t="n">
        <f aca="false">IF(K625="","",ABS(K625))</f>
        <v>30.6702200762395</v>
      </c>
      <c r="P625" s="34" t="str">
        <f aca="false">IF(B625&gt;=Eval_Start_Week,"YES","")</f>
        <v>YES</v>
      </c>
      <c r="Q625" s="34" t="str">
        <f aca="false">IF(AND(B625&gt;=Cal_Start_Week,B625&lt;=Cal_End_Week),"YES","")</f>
        <v/>
      </c>
    </row>
    <row r="626" customFormat="false" ht="15" hidden="false" customHeight="false" outlineLevel="0" collapsed="false">
      <c r="A626" s="31" t="str">
        <f aca="false">Demand_History!C626</f>
        <v>KIT-007</v>
      </c>
      <c r="B626" s="31" t="n">
        <f aca="false">Demand_History!A626</f>
        <v>1</v>
      </c>
      <c r="C626" s="32" t="n">
        <f aca="false">Demand_History!D626</f>
        <v>8</v>
      </c>
      <c r="D626" s="33" t="str">
        <f aca="false">IF(B626&gt;=2,C625,"")</f>
        <v/>
      </c>
      <c r="E626" s="33" t="str">
        <f aca="false">IF(B626&gt;=5,AVERAGE(C622:C625),"")</f>
        <v/>
      </c>
      <c r="F626" s="33" t="str">
        <f aca="false">IF(B626&gt;=9,AVERAGE(C618:C625),"")</f>
        <v/>
      </c>
      <c r="G626" s="33" t="str">
        <f aca="false">IF(B626=1,"",IF(B626=2,C625,SES_Alpha*C625+(1-SES_Alpha)*G625))</f>
        <v/>
      </c>
      <c r="H626" s="33" t="str">
        <f aca="false">IF(D626="","",D626-C626)</f>
        <v/>
      </c>
      <c r="I626" s="33" t="str">
        <f aca="false">IF(E626="","",E626-C626)</f>
        <v/>
      </c>
      <c r="J626" s="33" t="str">
        <f aca="false">IF(F626="","",F626-C626)</f>
        <v/>
      </c>
      <c r="K626" s="33" t="str">
        <f aca="false">IF(G626="","",G626-C626)</f>
        <v/>
      </c>
      <c r="L626" s="33" t="str">
        <f aca="false">IF(H626="","",ABS(H626))</f>
        <v/>
      </c>
      <c r="M626" s="33" t="str">
        <f aca="false">IF(I626="","",ABS(I626))</f>
        <v/>
      </c>
      <c r="N626" s="33" t="str">
        <f aca="false">IF(J626="","",ABS(J626))</f>
        <v/>
      </c>
      <c r="O626" s="33" t="str">
        <f aca="false">IF(K626="","",ABS(K626))</f>
        <v/>
      </c>
      <c r="P626" s="34" t="str">
        <f aca="false">IF(B626&gt;=Eval_Start_Week,"YES","")</f>
        <v/>
      </c>
      <c r="Q626" s="34" t="str">
        <f aca="false">IF(AND(B626&gt;=Cal_Start_Week,B626&lt;=Cal_End_Week),"YES","")</f>
        <v/>
      </c>
    </row>
    <row r="627" customFormat="false" ht="15" hidden="false" customHeight="false" outlineLevel="0" collapsed="false">
      <c r="A627" s="31" t="str">
        <f aca="false">Demand_History!C627</f>
        <v>KIT-007</v>
      </c>
      <c r="B627" s="31" t="n">
        <f aca="false">Demand_History!A627</f>
        <v>2</v>
      </c>
      <c r="C627" s="32" t="n">
        <f aca="false">Demand_History!D627</f>
        <v>9</v>
      </c>
      <c r="D627" s="33" t="n">
        <f aca="false">IF(B627&gt;=2,C626,"")</f>
        <v>8</v>
      </c>
      <c r="E627" s="33" t="str">
        <f aca="false">IF(B627&gt;=5,AVERAGE(C623:C626),"")</f>
        <v/>
      </c>
      <c r="F627" s="33" t="str">
        <f aca="false">IF(B627&gt;=9,AVERAGE(C619:C626),"")</f>
        <v/>
      </c>
      <c r="G627" s="33" t="n">
        <f aca="false">IF(B627=1,"",IF(B627=2,C626,SES_Alpha*C626+(1-SES_Alpha)*G626))</f>
        <v>8</v>
      </c>
      <c r="H627" s="33" t="n">
        <f aca="false">IF(D627="","",D627-C627)</f>
        <v>-1</v>
      </c>
      <c r="I627" s="33" t="str">
        <f aca="false">IF(E627="","",E627-C627)</f>
        <v/>
      </c>
      <c r="J627" s="33" t="str">
        <f aca="false">IF(F627="","",F627-C627)</f>
        <v/>
      </c>
      <c r="K627" s="33" t="n">
        <f aca="false">IF(G627="","",G627-C627)</f>
        <v>-1</v>
      </c>
      <c r="L627" s="33" t="n">
        <f aca="false">IF(H627="","",ABS(H627))</f>
        <v>1</v>
      </c>
      <c r="M627" s="33" t="str">
        <f aca="false">IF(I627="","",ABS(I627))</f>
        <v/>
      </c>
      <c r="N627" s="33" t="str">
        <f aca="false">IF(J627="","",ABS(J627))</f>
        <v/>
      </c>
      <c r="O627" s="33" t="n">
        <f aca="false">IF(K627="","",ABS(K627))</f>
        <v>1</v>
      </c>
      <c r="P627" s="34" t="str">
        <f aca="false">IF(B627&gt;=Eval_Start_Week,"YES","")</f>
        <v/>
      </c>
      <c r="Q627" s="34" t="str">
        <f aca="false">IF(AND(B627&gt;=Cal_Start_Week,B627&lt;=Cal_End_Week),"YES","")</f>
        <v/>
      </c>
    </row>
    <row r="628" customFormat="false" ht="15" hidden="false" customHeight="false" outlineLevel="0" collapsed="false">
      <c r="A628" s="31" t="str">
        <f aca="false">Demand_History!C628</f>
        <v>KIT-007</v>
      </c>
      <c r="B628" s="31" t="n">
        <f aca="false">Demand_History!A628</f>
        <v>3</v>
      </c>
      <c r="C628" s="32" t="n">
        <f aca="false">Demand_History!D628</f>
        <v>3</v>
      </c>
      <c r="D628" s="33" t="n">
        <f aca="false">IF(B628&gt;=2,C627,"")</f>
        <v>9</v>
      </c>
      <c r="E628" s="33" t="str">
        <f aca="false">IF(B628&gt;=5,AVERAGE(C624:C627),"")</f>
        <v/>
      </c>
      <c r="F628" s="33" t="str">
        <f aca="false">IF(B628&gt;=9,AVERAGE(C620:C627),"")</f>
        <v/>
      </c>
      <c r="G628" s="33" t="n">
        <f aca="false">IF(B628=1,"",IF(B628=2,C627,SES_Alpha*C627+(1-SES_Alpha)*G627))</f>
        <v>8.3</v>
      </c>
      <c r="H628" s="33" t="n">
        <f aca="false">IF(D628="","",D628-C628)</f>
        <v>6</v>
      </c>
      <c r="I628" s="33" t="str">
        <f aca="false">IF(E628="","",E628-C628)</f>
        <v/>
      </c>
      <c r="J628" s="33" t="str">
        <f aca="false">IF(F628="","",F628-C628)</f>
        <v/>
      </c>
      <c r="K628" s="33" t="n">
        <f aca="false">IF(G628="","",G628-C628)</f>
        <v>5.3</v>
      </c>
      <c r="L628" s="33" t="n">
        <f aca="false">IF(H628="","",ABS(H628))</f>
        <v>6</v>
      </c>
      <c r="M628" s="33" t="str">
        <f aca="false">IF(I628="","",ABS(I628))</f>
        <v/>
      </c>
      <c r="N628" s="33" t="str">
        <f aca="false">IF(J628="","",ABS(J628))</f>
        <v/>
      </c>
      <c r="O628" s="33" t="n">
        <f aca="false">IF(K628="","",ABS(K628))</f>
        <v>5.3</v>
      </c>
      <c r="P628" s="34" t="str">
        <f aca="false">IF(B628&gt;=Eval_Start_Week,"YES","")</f>
        <v/>
      </c>
      <c r="Q628" s="34" t="str">
        <f aca="false">IF(AND(B628&gt;=Cal_Start_Week,B628&lt;=Cal_End_Week),"YES","")</f>
        <v/>
      </c>
    </row>
    <row r="629" customFormat="false" ht="15" hidden="false" customHeight="false" outlineLevel="0" collapsed="false">
      <c r="A629" s="31" t="str">
        <f aca="false">Demand_History!C629</f>
        <v>KIT-007</v>
      </c>
      <c r="B629" s="31" t="n">
        <f aca="false">Demand_History!A629</f>
        <v>4</v>
      </c>
      <c r="C629" s="32" t="n">
        <f aca="false">Demand_History!D629</f>
        <v>6</v>
      </c>
      <c r="D629" s="33" t="n">
        <f aca="false">IF(B629&gt;=2,C628,"")</f>
        <v>3</v>
      </c>
      <c r="E629" s="33" t="str">
        <f aca="false">IF(B629&gt;=5,AVERAGE(C625:C628),"")</f>
        <v/>
      </c>
      <c r="F629" s="33" t="str">
        <f aca="false">IF(B629&gt;=9,AVERAGE(C621:C628),"")</f>
        <v/>
      </c>
      <c r="G629" s="33" t="n">
        <f aca="false">IF(B629=1,"",IF(B629=2,C628,SES_Alpha*C628+(1-SES_Alpha)*G628))</f>
        <v>6.71</v>
      </c>
      <c r="H629" s="33" t="n">
        <f aca="false">IF(D629="","",D629-C629)</f>
        <v>-3</v>
      </c>
      <c r="I629" s="33" t="str">
        <f aca="false">IF(E629="","",E629-C629)</f>
        <v/>
      </c>
      <c r="J629" s="33" t="str">
        <f aca="false">IF(F629="","",F629-C629)</f>
        <v/>
      </c>
      <c r="K629" s="33" t="n">
        <f aca="false">IF(G629="","",G629-C629)</f>
        <v>0.709999999999999</v>
      </c>
      <c r="L629" s="33" t="n">
        <f aca="false">IF(H629="","",ABS(H629))</f>
        <v>3</v>
      </c>
      <c r="M629" s="33" t="str">
        <f aca="false">IF(I629="","",ABS(I629))</f>
        <v/>
      </c>
      <c r="N629" s="33" t="str">
        <f aca="false">IF(J629="","",ABS(J629))</f>
        <v/>
      </c>
      <c r="O629" s="33" t="n">
        <f aca="false">IF(K629="","",ABS(K629))</f>
        <v>0.709999999999999</v>
      </c>
      <c r="P629" s="34" t="str">
        <f aca="false">IF(B629&gt;=Eval_Start_Week,"YES","")</f>
        <v/>
      </c>
      <c r="Q629" s="34" t="str">
        <f aca="false">IF(AND(B629&gt;=Cal_Start_Week,B629&lt;=Cal_End_Week),"YES","")</f>
        <v/>
      </c>
    </row>
    <row r="630" customFormat="false" ht="15" hidden="false" customHeight="false" outlineLevel="0" collapsed="false">
      <c r="A630" s="31" t="str">
        <f aca="false">Demand_History!C630</f>
        <v>KIT-007</v>
      </c>
      <c r="B630" s="31" t="n">
        <f aca="false">Demand_History!A630</f>
        <v>5</v>
      </c>
      <c r="C630" s="32" t="n">
        <f aca="false">Demand_History!D630</f>
        <v>6</v>
      </c>
      <c r="D630" s="33" t="n">
        <f aca="false">IF(B630&gt;=2,C629,"")</f>
        <v>6</v>
      </c>
      <c r="E630" s="33" t="n">
        <f aca="false">IF(B630&gt;=5,AVERAGE(C626:C629),"")</f>
        <v>6.5</v>
      </c>
      <c r="F630" s="33" t="str">
        <f aca="false">IF(B630&gt;=9,AVERAGE(C622:C629),"")</f>
        <v/>
      </c>
      <c r="G630" s="33" t="n">
        <f aca="false">IF(B630=1,"",IF(B630=2,C629,SES_Alpha*C629+(1-SES_Alpha)*G629))</f>
        <v>6.497</v>
      </c>
      <c r="H630" s="33" t="n">
        <f aca="false">IF(D630="","",D630-C630)</f>
        <v>0</v>
      </c>
      <c r="I630" s="33" t="n">
        <f aca="false">IF(E630="","",E630-C630)</f>
        <v>0.5</v>
      </c>
      <c r="J630" s="33" t="str">
        <f aca="false">IF(F630="","",F630-C630)</f>
        <v/>
      </c>
      <c r="K630" s="33" t="n">
        <f aca="false">IF(G630="","",G630-C630)</f>
        <v>0.496999999999999</v>
      </c>
      <c r="L630" s="33" t="n">
        <f aca="false">IF(H630="","",ABS(H630))</f>
        <v>0</v>
      </c>
      <c r="M630" s="33" t="n">
        <f aca="false">IF(I630="","",ABS(I630))</f>
        <v>0.5</v>
      </c>
      <c r="N630" s="33" t="str">
        <f aca="false">IF(J630="","",ABS(J630))</f>
        <v/>
      </c>
      <c r="O630" s="33" t="n">
        <f aca="false">IF(K630="","",ABS(K630))</f>
        <v>0.496999999999999</v>
      </c>
      <c r="P630" s="34" t="str">
        <f aca="false">IF(B630&gt;=Eval_Start_Week,"YES","")</f>
        <v/>
      </c>
      <c r="Q630" s="34" t="str">
        <f aca="false">IF(AND(B630&gt;=Cal_Start_Week,B630&lt;=Cal_End_Week),"YES","")</f>
        <v/>
      </c>
    </row>
    <row r="631" customFormat="false" ht="15" hidden="false" customHeight="false" outlineLevel="0" collapsed="false">
      <c r="A631" s="31" t="str">
        <f aca="false">Demand_History!C631</f>
        <v>KIT-007</v>
      </c>
      <c r="B631" s="31" t="n">
        <f aca="false">Demand_History!A631</f>
        <v>6</v>
      </c>
      <c r="C631" s="32" t="n">
        <f aca="false">Demand_History!D631</f>
        <v>5</v>
      </c>
      <c r="D631" s="33" t="n">
        <f aca="false">IF(B631&gt;=2,C630,"")</f>
        <v>6</v>
      </c>
      <c r="E631" s="33" t="n">
        <f aca="false">IF(B631&gt;=5,AVERAGE(C627:C630),"")</f>
        <v>6</v>
      </c>
      <c r="F631" s="33" t="str">
        <f aca="false">IF(B631&gt;=9,AVERAGE(C623:C630),"")</f>
        <v/>
      </c>
      <c r="G631" s="33" t="n">
        <f aca="false">IF(B631=1,"",IF(B631=2,C630,SES_Alpha*C630+(1-SES_Alpha)*G630))</f>
        <v>6.3479</v>
      </c>
      <c r="H631" s="33" t="n">
        <f aca="false">IF(D631="","",D631-C631)</f>
        <v>1</v>
      </c>
      <c r="I631" s="33" t="n">
        <f aca="false">IF(E631="","",E631-C631)</f>
        <v>1</v>
      </c>
      <c r="J631" s="33" t="str">
        <f aca="false">IF(F631="","",F631-C631)</f>
        <v/>
      </c>
      <c r="K631" s="33" t="n">
        <f aca="false">IF(G631="","",G631-C631)</f>
        <v>1.3479</v>
      </c>
      <c r="L631" s="33" t="n">
        <f aca="false">IF(H631="","",ABS(H631))</f>
        <v>1</v>
      </c>
      <c r="M631" s="33" t="n">
        <f aca="false">IF(I631="","",ABS(I631))</f>
        <v>1</v>
      </c>
      <c r="N631" s="33" t="str">
        <f aca="false">IF(J631="","",ABS(J631))</f>
        <v/>
      </c>
      <c r="O631" s="33" t="n">
        <f aca="false">IF(K631="","",ABS(K631))</f>
        <v>1.3479</v>
      </c>
      <c r="P631" s="34" t="str">
        <f aca="false">IF(B631&gt;=Eval_Start_Week,"YES","")</f>
        <v/>
      </c>
      <c r="Q631" s="34" t="str">
        <f aca="false">IF(AND(B631&gt;=Cal_Start_Week,B631&lt;=Cal_End_Week),"YES","")</f>
        <v/>
      </c>
    </row>
    <row r="632" customFormat="false" ht="15" hidden="false" customHeight="false" outlineLevel="0" collapsed="false">
      <c r="A632" s="31" t="str">
        <f aca="false">Demand_History!C632</f>
        <v>KIT-007</v>
      </c>
      <c r="B632" s="31" t="n">
        <f aca="false">Demand_History!A632</f>
        <v>7</v>
      </c>
      <c r="C632" s="32" t="n">
        <f aca="false">Demand_History!D632</f>
        <v>7</v>
      </c>
      <c r="D632" s="33" t="n">
        <f aca="false">IF(B632&gt;=2,C631,"")</f>
        <v>5</v>
      </c>
      <c r="E632" s="33" t="n">
        <f aca="false">IF(B632&gt;=5,AVERAGE(C628:C631),"")</f>
        <v>5</v>
      </c>
      <c r="F632" s="33" t="str">
        <f aca="false">IF(B632&gt;=9,AVERAGE(C624:C631),"")</f>
        <v/>
      </c>
      <c r="G632" s="33" t="n">
        <f aca="false">IF(B632=1,"",IF(B632=2,C631,SES_Alpha*C631+(1-SES_Alpha)*G631))</f>
        <v>5.94353</v>
      </c>
      <c r="H632" s="33" t="n">
        <f aca="false">IF(D632="","",D632-C632)</f>
        <v>-2</v>
      </c>
      <c r="I632" s="33" t="n">
        <f aca="false">IF(E632="","",E632-C632)</f>
        <v>-2</v>
      </c>
      <c r="J632" s="33" t="str">
        <f aca="false">IF(F632="","",F632-C632)</f>
        <v/>
      </c>
      <c r="K632" s="33" t="n">
        <f aca="false">IF(G632="","",G632-C632)</f>
        <v>-1.05647</v>
      </c>
      <c r="L632" s="33" t="n">
        <f aca="false">IF(H632="","",ABS(H632))</f>
        <v>2</v>
      </c>
      <c r="M632" s="33" t="n">
        <f aca="false">IF(I632="","",ABS(I632))</f>
        <v>2</v>
      </c>
      <c r="N632" s="33" t="str">
        <f aca="false">IF(J632="","",ABS(J632))</f>
        <v/>
      </c>
      <c r="O632" s="33" t="n">
        <f aca="false">IF(K632="","",ABS(K632))</f>
        <v>1.05647</v>
      </c>
      <c r="P632" s="34" t="str">
        <f aca="false">IF(B632&gt;=Eval_Start_Week,"YES","")</f>
        <v/>
      </c>
      <c r="Q632" s="34" t="str">
        <f aca="false">IF(AND(B632&gt;=Cal_Start_Week,B632&lt;=Cal_End_Week),"YES","")</f>
        <v/>
      </c>
    </row>
    <row r="633" customFormat="false" ht="15" hidden="false" customHeight="false" outlineLevel="0" collapsed="false">
      <c r="A633" s="31" t="str">
        <f aca="false">Demand_History!C633</f>
        <v>KIT-007</v>
      </c>
      <c r="B633" s="31" t="n">
        <f aca="false">Demand_History!A633</f>
        <v>8</v>
      </c>
      <c r="C633" s="32" t="n">
        <f aca="false">Demand_History!D633</f>
        <v>3</v>
      </c>
      <c r="D633" s="33" t="n">
        <f aca="false">IF(B633&gt;=2,C632,"")</f>
        <v>7</v>
      </c>
      <c r="E633" s="33" t="n">
        <f aca="false">IF(B633&gt;=5,AVERAGE(C629:C632),"")</f>
        <v>6</v>
      </c>
      <c r="F633" s="33" t="str">
        <f aca="false">IF(B633&gt;=9,AVERAGE(C625:C632),"")</f>
        <v/>
      </c>
      <c r="G633" s="33" t="n">
        <f aca="false">IF(B633=1,"",IF(B633=2,C632,SES_Alpha*C632+(1-SES_Alpha)*G632))</f>
        <v>6.260471</v>
      </c>
      <c r="H633" s="33" t="n">
        <f aca="false">IF(D633="","",D633-C633)</f>
        <v>4</v>
      </c>
      <c r="I633" s="33" t="n">
        <f aca="false">IF(E633="","",E633-C633)</f>
        <v>3</v>
      </c>
      <c r="J633" s="33" t="str">
        <f aca="false">IF(F633="","",F633-C633)</f>
        <v/>
      </c>
      <c r="K633" s="33" t="n">
        <f aca="false">IF(G633="","",G633-C633)</f>
        <v>3.260471</v>
      </c>
      <c r="L633" s="33" t="n">
        <f aca="false">IF(H633="","",ABS(H633))</f>
        <v>4</v>
      </c>
      <c r="M633" s="33" t="n">
        <f aca="false">IF(I633="","",ABS(I633))</f>
        <v>3</v>
      </c>
      <c r="N633" s="33" t="str">
        <f aca="false">IF(J633="","",ABS(J633))</f>
        <v/>
      </c>
      <c r="O633" s="33" t="n">
        <f aca="false">IF(K633="","",ABS(K633))</f>
        <v>3.260471</v>
      </c>
      <c r="P633" s="34" t="str">
        <f aca="false">IF(B633&gt;=Eval_Start_Week,"YES","")</f>
        <v/>
      </c>
      <c r="Q633" s="34" t="str">
        <f aca="false">IF(AND(B633&gt;=Cal_Start_Week,B633&lt;=Cal_End_Week),"YES","")</f>
        <v/>
      </c>
    </row>
    <row r="634" customFormat="false" ht="15" hidden="false" customHeight="false" outlineLevel="0" collapsed="false">
      <c r="A634" s="31" t="str">
        <f aca="false">Demand_History!C634</f>
        <v>KIT-007</v>
      </c>
      <c r="B634" s="31" t="n">
        <f aca="false">Demand_History!A634</f>
        <v>9</v>
      </c>
      <c r="C634" s="32" t="n">
        <f aca="false">Demand_History!D634</f>
        <v>11</v>
      </c>
      <c r="D634" s="33" t="n">
        <f aca="false">IF(B634&gt;=2,C633,"")</f>
        <v>3</v>
      </c>
      <c r="E634" s="33" t="n">
        <f aca="false">IF(B634&gt;=5,AVERAGE(C630:C633),"")</f>
        <v>5.25</v>
      </c>
      <c r="F634" s="33" t="n">
        <f aca="false">IF(B634&gt;=9,AVERAGE(C626:C633),"")</f>
        <v>5.875</v>
      </c>
      <c r="G634" s="33" t="n">
        <f aca="false">IF(B634=1,"",IF(B634=2,C633,SES_Alpha*C633+(1-SES_Alpha)*G633))</f>
        <v>5.2823297</v>
      </c>
      <c r="H634" s="33" t="n">
        <f aca="false">IF(D634="","",D634-C634)</f>
        <v>-8</v>
      </c>
      <c r="I634" s="33" t="n">
        <f aca="false">IF(E634="","",E634-C634)</f>
        <v>-5.75</v>
      </c>
      <c r="J634" s="33" t="n">
        <f aca="false">IF(F634="","",F634-C634)</f>
        <v>-5.125</v>
      </c>
      <c r="K634" s="33" t="n">
        <f aca="false">IF(G634="","",G634-C634)</f>
        <v>-5.7176703</v>
      </c>
      <c r="L634" s="33" t="n">
        <f aca="false">IF(H634="","",ABS(H634))</f>
        <v>8</v>
      </c>
      <c r="M634" s="33" t="n">
        <f aca="false">IF(I634="","",ABS(I634))</f>
        <v>5.75</v>
      </c>
      <c r="N634" s="33" t="n">
        <f aca="false">IF(J634="","",ABS(J634))</f>
        <v>5.125</v>
      </c>
      <c r="O634" s="33" t="n">
        <f aca="false">IF(K634="","",ABS(K634))</f>
        <v>5.7176703</v>
      </c>
      <c r="P634" s="34" t="str">
        <f aca="false">IF(B634&gt;=Eval_Start_Week,"YES","")</f>
        <v/>
      </c>
      <c r="Q634" s="34" t="str">
        <f aca="false">IF(AND(B634&gt;=Cal_Start_Week,B634&lt;=Cal_End_Week),"YES","")</f>
        <v/>
      </c>
    </row>
    <row r="635" customFormat="false" ht="15" hidden="false" customHeight="false" outlineLevel="0" collapsed="false">
      <c r="A635" s="31" t="str">
        <f aca="false">Demand_History!C635</f>
        <v>KIT-007</v>
      </c>
      <c r="B635" s="31" t="n">
        <f aca="false">Demand_History!A635</f>
        <v>10</v>
      </c>
      <c r="C635" s="32" t="n">
        <f aca="false">Demand_History!D635</f>
        <v>7</v>
      </c>
      <c r="D635" s="33" t="n">
        <f aca="false">IF(B635&gt;=2,C634,"")</f>
        <v>11</v>
      </c>
      <c r="E635" s="33" t="n">
        <f aca="false">IF(B635&gt;=5,AVERAGE(C631:C634),"")</f>
        <v>6.5</v>
      </c>
      <c r="F635" s="33" t="n">
        <f aca="false">IF(B635&gt;=9,AVERAGE(C627:C634),"")</f>
        <v>6.25</v>
      </c>
      <c r="G635" s="33" t="n">
        <f aca="false">IF(B635=1,"",IF(B635=2,C634,SES_Alpha*C634+(1-SES_Alpha)*G634))</f>
        <v>6.99763079</v>
      </c>
      <c r="H635" s="33" t="n">
        <f aca="false">IF(D635="","",D635-C635)</f>
        <v>4</v>
      </c>
      <c r="I635" s="33" t="n">
        <f aca="false">IF(E635="","",E635-C635)</f>
        <v>-0.5</v>
      </c>
      <c r="J635" s="33" t="n">
        <f aca="false">IF(F635="","",F635-C635)</f>
        <v>-0.75</v>
      </c>
      <c r="K635" s="33" t="n">
        <f aca="false">IF(G635="","",G635-C635)</f>
        <v>-0.00236921000000123</v>
      </c>
      <c r="L635" s="33" t="n">
        <f aca="false">IF(H635="","",ABS(H635))</f>
        <v>4</v>
      </c>
      <c r="M635" s="33" t="n">
        <f aca="false">IF(I635="","",ABS(I635))</f>
        <v>0.5</v>
      </c>
      <c r="N635" s="33" t="n">
        <f aca="false">IF(J635="","",ABS(J635))</f>
        <v>0.75</v>
      </c>
      <c r="O635" s="33" t="n">
        <f aca="false">IF(K635="","",ABS(K635))</f>
        <v>0.00236921000000123</v>
      </c>
      <c r="P635" s="34" t="str">
        <f aca="false">IF(B635&gt;=Eval_Start_Week,"YES","")</f>
        <v/>
      </c>
      <c r="Q635" s="34" t="str">
        <f aca="false">IF(AND(B635&gt;=Cal_Start_Week,B635&lt;=Cal_End_Week),"YES","")</f>
        <v/>
      </c>
    </row>
    <row r="636" customFormat="false" ht="15" hidden="false" customHeight="false" outlineLevel="0" collapsed="false">
      <c r="A636" s="31" t="str">
        <f aca="false">Demand_History!C636</f>
        <v>KIT-007</v>
      </c>
      <c r="B636" s="31" t="n">
        <f aca="false">Demand_History!A636</f>
        <v>11</v>
      </c>
      <c r="C636" s="32" t="n">
        <f aca="false">Demand_History!D636</f>
        <v>8</v>
      </c>
      <c r="D636" s="33" t="n">
        <f aca="false">IF(B636&gt;=2,C635,"")</f>
        <v>7</v>
      </c>
      <c r="E636" s="33" t="n">
        <f aca="false">IF(B636&gt;=5,AVERAGE(C632:C635),"")</f>
        <v>7</v>
      </c>
      <c r="F636" s="33" t="n">
        <f aca="false">IF(B636&gt;=9,AVERAGE(C628:C635),"")</f>
        <v>6</v>
      </c>
      <c r="G636" s="33" t="n">
        <f aca="false">IF(B636=1,"",IF(B636=2,C635,SES_Alpha*C635+(1-SES_Alpha)*G635))</f>
        <v>6.998341553</v>
      </c>
      <c r="H636" s="33" t="n">
        <f aca="false">IF(D636="","",D636-C636)</f>
        <v>-1</v>
      </c>
      <c r="I636" s="33" t="n">
        <f aca="false">IF(E636="","",E636-C636)</f>
        <v>-1</v>
      </c>
      <c r="J636" s="33" t="n">
        <f aca="false">IF(F636="","",F636-C636)</f>
        <v>-2</v>
      </c>
      <c r="K636" s="33" t="n">
        <f aca="false">IF(G636="","",G636-C636)</f>
        <v>-1.001658447</v>
      </c>
      <c r="L636" s="33" t="n">
        <f aca="false">IF(H636="","",ABS(H636))</f>
        <v>1</v>
      </c>
      <c r="M636" s="33" t="n">
        <f aca="false">IF(I636="","",ABS(I636))</f>
        <v>1</v>
      </c>
      <c r="N636" s="33" t="n">
        <f aca="false">IF(J636="","",ABS(J636))</f>
        <v>2</v>
      </c>
      <c r="O636" s="33" t="n">
        <f aca="false">IF(K636="","",ABS(K636))</f>
        <v>1.001658447</v>
      </c>
      <c r="P636" s="34" t="str">
        <f aca="false">IF(B636&gt;=Eval_Start_Week,"YES","")</f>
        <v/>
      </c>
      <c r="Q636" s="34" t="str">
        <f aca="false">IF(AND(B636&gt;=Cal_Start_Week,B636&lt;=Cal_End_Week),"YES","")</f>
        <v/>
      </c>
    </row>
    <row r="637" customFormat="false" ht="15" hidden="false" customHeight="false" outlineLevel="0" collapsed="false">
      <c r="A637" s="31" t="str">
        <f aca="false">Demand_History!C637</f>
        <v>KIT-007</v>
      </c>
      <c r="B637" s="31" t="n">
        <f aca="false">Demand_History!A637</f>
        <v>12</v>
      </c>
      <c r="C637" s="32" t="n">
        <f aca="false">Demand_History!D637</f>
        <v>5</v>
      </c>
      <c r="D637" s="33" t="n">
        <f aca="false">IF(B637&gt;=2,C636,"")</f>
        <v>8</v>
      </c>
      <c r="E637" s="33" t="n">
        <f aca="false">IF(B637&gt;=5,AVERAGE(C633:C636),"")</f>
        <v>7.25</v>
      </c>
      <c r="F637" s="33" t="n">
        <f aca="false">IF(B637&gt;=9,AVERAGE(C629:C636),"")</f>
        <v>6.625</v>
      </c>
      <c r="G637" s="33" t="n">
        <f aca="false">IF(B637=1,"",IF(B637=2,C636,SES_Alpha*C636+(1-SES_Alpha)*G636))</f>
        <v>7.2988390871</v>
      </c>
      <c r="H637" s="33" t="n">
        <f aca="false">IF(D637="","",D637-C637)</f>
        <v>3</v>
      </c>
      <c r="I637" s="33" t="n">
        <f aca="false">IF(E637="","",E637-C637)</f>
        <v>2.25</v>
      </c>
      <c r="J637" s="33" t="n">
        <f aca="false">IF(F637="","",F637-C637)</f>
        <v>1.625</v>
      </c>
      <c r="K637" s="33" t="n">
        <f aca="false">IF(G637="","",G637-C637)</f>
        <v>2.2988390871</v>
      </c>
      <c r="L637" s="33" t="n">
        <f aca="false">IF(H637="","",ABS(H637))</f>
        <v>3</v>
      </c>
      <c r="M637" s="33" t="n">
        <f aca="false">IF(I637="","",ABS(I637))</f>
        <v>2.25</v>
      </c>
      <c r="N637" s="33" t="n">
        <f aca="false">IF(J637="","",ABS(J637))</f>
        <v>1.625</v>
      </c>
      <c r="O637" s="33" t="n">
        <f aca="false">IF(K637="","",ABS(K637))</f>
        <v>2.2988390871</v>
      </c>
      <c r="P637" s="34" t="str">
        <f aca="false">IF(B637&gt;=Eval_Start_Week,"YES","")</f>
        <v/>
      </c>
      <c r="Q637" s="34" t="str">
        <f aca="false">IF(AND(B637&gt;=Cal_Start_Week,B637&lt;=Cal_End_Week),"YES","")</f>
        <v/>
      </c>
    </row>
    <row r="638" customFormat="false" ht="15" hidden="false" customHeight="false" outlineLevel="0" collapsed="false">
      <c r="A638" s="31" t="str">
        <f aca="false">Demand_History!C638</f>
        <v>KIT-007</v>
      </c>
      <c r="B638" s="31" t="n">
        <f aca="false">Demand_History!A638</f>
        <v>13</v>
      </c>
      <c r="C638" s="32" t="n">
        <f aca="false">Demand_History!D638</f>
        <v>5</v>
      </c>
      <c r="D638" s="33" t="n">
        <f aca="false">IF(B638&gt;=2,C637,"")</f>
        <v>5</v>
      </c>
      <c r="E638" s="33" t="n">
        <f aca="false">IF(B638&gt;=5,AVERAGE(C634:C637),"")</f>
        <v>7.75</v>
      </c>
      <c r="F638" s="33" t="n">
        <f aca="false">IF(B638&gt;=9,AVERAGE(C630:C637),"")</f>
        <v>6.5</v>
      </c>
      <c r="G638" s="33" t="n">
        <f aca="false">IF(B638=1,"",IF(B638=2,C637,SES_Alpha*C637+(1-SES_Alpha)*G637))</f>
        <v>6.60918736097</v>
      </c>
      <c r="H638" s="33" t="n">
        <f aca="false">IF(D638="","",D638-C638)</f>
        <v>0</v>
      </c>
      <c r="I638" s="33" t="n">
        <f aca="false">IF(E638="","",E638-C638)</f>
        <v>2.75</v>
      </c>
      <c r="J638" s="33" t="n">
        <f aca="false">IF(F638="","",F638-C638)</f>
        <v>1.5</v>
      </c>
      <c r="K638" s="33" t="n">
        <f aca="false">IF(G638="","",G638-C638)</f>
        <v>1.60918736097</v>
      </c>
      <c r="L638" s="33" t="n">
        <f aca="false">IF(H638="","",ABS(H638))</f>
        <v>0</v>
      </c>
      <c r="M638" s="33" t="n">
        <f aca="false">IF(I638="","",ABS(I638))</f>
        <v>2.75</v>
      </c>
      <c r="N638" s="33" t="n">
        <f aca="false">IF(J638="","",ABS(J638))</f>
        <v>1.5</v>
      </c>
      <c r="O638" s="33" t="n">
        <f aca="false">IF(K638="","",ABS(K638))</f>
        <v>1.60918736097</v>
      </c>
      <c r="P638" s="34" t="str">
        <f aca="false">IF(B638&gt;=Eval_Start_Week,"YES","")</f>
        <v/>
      </c>
      <c r="Q638" s="34" t="str">
        <f aca="false">IF(AND(B638&gt;=Cal_Start_Week,B638&lt;=Cal_End_Week),"YES","")</f>
        <v/>
      </c>
    </row>
    <row r="639" customFormat="false" ht="15" hidden="false" customHeight="false" outlineLevel="0" collapsed="false">
      <c r="A639" s="31" t="str">
        <f aca="false">Demand_History!C639</f>
        <v>KIT-007</v>
      </c>
      <c r="B639" s="31" t="n">
        <f aca="false">Demand_History!A639</f>
        <v>14</v>
      </c>
      <c r="C639" s="32" t="n">
        <f aca="false">Demand_History!D639</f>
        <v>7</v>
      </c>
      <c r="D639" s="33" t="n">
        <f aca="false">IF(B639&gt;=2,C638,"")</f>
        <v>5</v>
      </c>
      <c r="E639" s="33" t="n">
        <f aca="false">IF(B639&gt;=5,AVERAGE(C635:C638),"")</f>
        <v>6.25</v>
      </c>
      <c r="F639" s="33" t="n">
        <f aca="false">IF(B639&gt;=9,AVERAGE(C631:C638),"")</f>
        <v>6.375</v>
      </c>
      <c r="G639" s="33" t="n">
        <f aca="false">IF(B639=1,"",IF(B639=2,C638,SES_Alpha*C638+(1-SES_Alpha)*G638))</f>
        <v>6.126431152679</v>
      </c>
      <c r="H639" s="33" t="n">
        <f aca="false">IF(D639="","",D639-C639)</f>
        <v>-2</v>
      </c>
      <c r="I639" s="33" t="n">
        <f aca="false">IF(E639="","",E639-C639)</f>
        <v>-0.75</v>
      </c>
      <c r="J639" s="33" t="n">
        <f aca="false">IF(F639="","",F639-C639)</f>
        <v>-0.625</v>
      </c>
      <c r="K639" s="33" t="n">
        <f aca="false">IF(G639="","",G639-C639)</f>
        <v>-0.873568847321001</v>
      </c>
      <c r="L639" s="33" t="n">
        <f aca="false">IF(H639="","",ABS(H639))</f>
        <v>2</v>
      </c>
      <c r="M639" s="33" t="n">
        <f aca="false">IF(I639="","",ABS(I639))</f>
        <v>0.75</v>
      </c>
      <c r="N639" s="33" t="n">
        <f aca="false">IF(J639="","",ABS(J639))</f>
        <v>0.625</v>
      </c>
      <c r="O639" s="33" t="n">
        <f aca="false">IF(K639="","",ABS(K639))</f>
        <v>0.873568847321001</v>
      </c>
      <c r="P639" s="34" t="str">
        <f aca="false">IF(B639&gt;=Eval_Start_Week,"YES","")</f>
        <v/>
      </c>
      <c r="Q639" s="34" t="str">
        <f aca="false">IF(AND(B639&gt;=Cal_Start_Week,B639&lt;=Cal_End_Week),"YES","")</f>
        <v/>
      </c>
    </row>
    <row r="640" customFormat="false" ht="15" hidden="false" customHeight="false" outlineLevel="0" collapsed="false">
      <c r="A640" s="31" t="str">
        <f aca="false">Demand_History!C640</f>
        <v>KIT-007</v>
      </c>
      <c r="B640" s="31" t="n">
        <f aca="false">Demand_History!A640</f>
        <v>15</v>
      </c>
      <c r="C640" s="32" t="n">
        <f aca="false">Demand_History!D640</f>
        <v>5</v>
      </c>
      <c r="D640" s="33" t="n">
        <f aca="false">IF(B640&gt;=2,C639,"")</f>
        <v>7</v>
      </c>
      <c r="E640" s="33" t="n">
        <f aca="false">IF(B640&gt;=5,AVERAGE(C636:C639),"")</f>
        <v>6.25</v>
      </c>
      <c r="F640" s="33" t="n">
        <f aca="false">IF(B640&gt;=9,AVERAGE(C632:C639),"")</f>
        <v>6.625</v>
      </c>
      <c r="G640" s="33" t="n">
        <f aca="false">IF(B640=1,"",IF(B640=2,C639,SES_Alpha*C639+(1-SES_Alpha)*G639))</f>
        <v>6.3885018068753</v>
      </c>
      <c r="H640" s="33" t="n">
        <f aca="false">IF(D640="","",D640-C640)</f>
        <v>2</v>
      </c>
      <c r="I640" s="33" t="n">
        <f aca="false">IF(E640="","",E640-C640)</f>
        <v>1.25</v>
      </c>
      <c r="J640" s="33" t="n">
        <f aca="false">IF(F640="","",F640-C640)</f>
        <v>1.625</v>
      </c>
      <c r="K640" s="33" t="n">
        <f aca="false">IF(G640="","",G640-C640)</f>
        <v>1.3885018068753</v>
      </c>
      <c r="L640" s="33" t="n">
        <f aca="false">IF(H640="","",ABS(H640))</f>
        <v>2</v>
      </c>
      <c r="M640" s="33" t="n">
        <f aca="false">IF(I640="","",ABS(I640))</f>
        <v>1.25</v>
      </c>
      <c r="N640" s="33" t="n">
        <f aca="false">IF(J640="","",ABS(J640))</f>
        <v>1.625</v>
      </c>
      <c r="O640" s="33" t="n">
        <f aca="false">IF(K640="","",ABS(K640))</f>
        <v>1.3885018068753</v>
      </c>
      <c r="P640" s="34" t="str">
        <f aca="false">IF(B640&gt;=Eval_Start_Week,"YES","")</f>
        <v/>
      </c>
      <c r="Q640" s="34" t="str">
        <f aca="false">IF(AND(B640&gt;=Cal_Start_Week,B640&lt;=Cal_End_Week),"YES","")</f>
        <v/>
      </c>
    </row>
    <row r="641" customFormat="false" ht="15" hidden="false" customHeight="false" outlineLevel="0" collapsed="false">
      <c r="A641" s="31" t="str">
        <f aca="false">Demand_History!C641</f>
        <v>KIT-007</v>
      </c>
      <c r="B641" s="31" t="n">
        <f aca="false">Demand_History!A641</f>
        <v>16</v>
      </c>
      <c r="C641" s="32" t="n">
        <f aca="false">Demand_History!D641</f>
        <v>6</v>
      </c>
      <c r="D641" s="33" t="n">
        <f aca="false">IF(B641&gt;=2,C640,"")</f>
        <v>5</v>
      </c>
      <c r="E641" s="33" t="n">
        <f aca="false">IF(B641&gt;=5,AVERAGE(C637:C640),"")</f>
        <v>5.5</v>
      </c>
      <c r="F641" s="33" t="n">
        <f aca="false">IF(B641&gt;=9,AVERAGE(C633:C640),"")</f>
        <v>6.375</v>
      </c>
      <c r="G641" s="33" t="n">
        <f aca="false">IF(B641=1,"",IF(B641=2,C640,SES_Alpha*C640+(1-SES_Alpha)*G640))</f>
        <v>5.97195126481271</v>
      </c>
      <c r="H641" s="33" t="n">
        <f aca="false">IF(D641="","",D641-C641)</f>
        <v>-1</v>
      </c>
      <c r="I641" s="33" t="n">
        <f aca="false">IF(E641="","",E641-C641)</f>
        <v>-0.5</v>
      </c>
      <c r="J641" s="33" t="n">
        <f aca="false">IF(F641="","",F641-C641)</f>
        <v>0.375</v>
      </c>
      <c r="K641" s="33" t="n">
        <f aca="false">IF(G641="","",G641-C641)</f>
        <v>-0.0280487351872916</v>
      </c>
      <c r="L641" s="33" t="n">
        <f aca="false">IF(H641="","",ABS(H641))</f>
        <v>1</v>
      </c>
      <c r="M641" s="33" t="n">
        <f aca="false">IF(I641="","",ABS(I641))</f>
        <v>0.5</v>
      </c>
      <c r="N641" s="33" t="n">
        <f aca="false">IF(J641="","",ABS(J641))</f>
        <v>0.375</v>
      </c>
      <c r="O641" s="33" t="n">
        <f aca="false">IF(K641="","",ABS(K641))</f>
        <v>0.0280487351872916</v>
      </c>
      <c r="P641" s="34" t="str">
        <f aca="false">IF(B641&gt;=Eval_Start_Week,"YES","")</f>
        <v/>
      </c>
      <c r="Q641" s="34" t="str">
        <f aca="false">IF(AND(B641&gt;=Cal_Start_Week,B641&lt;=Cal_End_Week),"YES","")</f>
        <v/>
      </c>
    </row>
    <row r="642" customFormat="false" ht="15" hidden="false" customHeight="false" outlineLevel="0" collapsed="false">
      <c r="A642" s="31" t="str">
        <f aca="false">Demand_History!C642</f>
        <v>KIT-007</v>
      </c>
      <c r="B642" s="31" t="n">
        <f aca="false">Demand_History!A642</f>
        <v>17</v>
      </c>
      <c r="C642" s="32" t="n">
        <f aca="false">Demand_History!D642</f>
        <v>5</v>
      </c>
      <c r="D642" s="33" t="n">
        <f aca="false">IF(B642&gt;=2,C641,"")</f>
        <v>6</v>
      </c>
      <c r="E642" s="33" t="n">
        <f aca="false">IF(B642&gt;=5,AVERAGE(C638:C641),"")</f>
        <v>5.75</v>
      </c>
      <c r="F642" s="33" t="n">
        <f aca="false">IF(B642&gt;=9,AVERAGE(C634:C641),"")</f>
        <v>6.75</v>
      </c>
      <c r="G642" s="33" t="n">
        <f aca="false">IF(B642=1,"",IF(B642=2,C641,SES_Alpha*C641+(1-SES_Alpha)*G641))</f>
        <v>5.9803658853689</v>
      </c>
      <c r="H642" s="33" t="n">
        <f aca="false">IF(D642="","",D642-C642)</f>
        <v>1</v>
      </c>
      <c r="I642" s="33" t="n">
        <f aca="false">IF(E642="","",E642-C642)</f>
        <v>0.75</v>
      </c>
      <c r="J642" s="33" t="n">
        <f aca="false">IF(F642="","",F642-C642)</f>
        <v>1.75</v>
      </c>
      <c r="K642" s="33" t="n">
        <f aca="false">IF(G642="","",G642-C642)</f>
        <v>0.980365885368896</v>
      </c>
      <c r="L642" s="33" t="n">
        <f aca="false">IF(H642="","",ABS(H642))</f>
        <v>1</v>
      </c>
      <c r="M642" s="33" t="n">
        <f aca="false">IF(I642="","",ABS(I642))</f>
        <v>0.75</v>
      </c>
      <c r="N642" s="33" t="n">
        <f aca="false">IF(J642="","",ABS(J642))</f>
        <v>1.75</v>
      </c>
      <c r="O642" s="33" t="n">
        <f aca="false">IF(K642="","",ABS(K642))</f>
        <v>0.980365885368896</v>
      </c>
      <c r="P642" s="34" t="str">
        <f aca="false">IF(B642&gt;=Eval_Start_Week,"YES","")</f>
        <v/>
      </c>
      <c r="Q642" s="34" t="str">
        <f aca="false">IF(AND(B642&gt;=Cal_Start_Week,B642&lt;=Cal_End_Week),"YES","")</f>
        <v/>
      </c>
    </row>
    <row r="643" customFormat="false" ht="15" hidden="false" customHeight="false" outlineLevel="0" collapsed="false">
      <c r="A643" s="31" t="str">
        <f aca="false">Demand_History!C643</f>
        <v>KIT-007</v>
      </c>
      <c r="B643" s="31" t="n">
        <f aca="false">Demand_History!A643</f>
        <v>18</v>
      </c>
      <c r="C643" s="32" t="n">
        <f aca="false">Demand_History!D643</f>
        <v>4</v>
      </c>
      <c r="D643" s="33" t="n">
        <f aca="false">IF(B643&gt;=2,C642,"")</f>
        <v>5</v>
      </c>
      <c r="E643" s="33" t="n">
        <f aca="false">IF(B643&gt;=5,AVERAGE(C639:C642),"")</f>
        <v>5.75</v>
      </c>
      <c r="F643" s="33" t="n">
        <f aca="false">IF(B643&gt;=9,AVERAGE(C635:C642),"")</f>
        <v>6</v>
      </c>
      <c r="G643" s="33" t="n">
        <f aca="false">IF(B643=1,"",IF(B643=2,C642,SES_Alpha*C642+(1-SES_Alpha)*G642))</f>
        <v>5.68625611975823</v>
      </c>
      <c r="H643" s="33" t="n">
        <f aca="false">IF(D643="","",D643-C643)</f>
        <v>1</v>
      </c>
      <c r="I643" s="33" t="n">
        <f aca="false">IF(E643="","",E643-C643)</f>
        <v>1.75</v>
      </c>
      <c r="J643" s="33" t="n">
        <f aca="false">IF(F643="","",F643-C643)</f>
        <v>2</v>
      </c>
      <c r="K643" s="33" t="n">
        <f aca="false">IF(G643="","",G643-C643)</f>
        <v>1.68625611975823</v>
      </c>
      <c r="L643" s="33" t="n">
        <f aca="false">IF(H643="","",ABS(H643))</f>
        <v>1</v>
      </c>
      <c r="M643" s="33" t="n">
        <f aca="false">IF(I643="","",ABS(I643))</f>
        <v>1.75</v>
      </c>
      <c r="N643" s="33" t="n">
        <f aca="false">IF(J643="","",ABS(J643))</f>
        <v>2</v>
      </c>
      <c r="O643" s="33" t="n">
        <f aca="false">IF(K643="","",ABS(K643))</f>
        <v>1.68625611975823</v>
      </c>
      <c r="P643" s="34" t="str">
        <f aca="false">IF(B643&gt;=Eval_Start_Week,"YES","")</f>
        <v/>
      </c>
      <c r="Q643" s="34" t="str">
        <f aca="false">IF(AND(B643&gt;=Cal_Start_Week,B643&lt;=Cal_End_Week),"YES","")</f>
        <v/>
      </c>
    </row>
    <row r="644" customFormat="false" ht="15" hidden="false" customHeight="false" outlineLevel="0" collapsed="false">
      <c r="A644" s="31" t="str">
        <f aca="false">Demand_History!C644</f>
        <v>KIT-007</v>
      </c>
      <c r="B644" s="31" t="n">
        <f aca="false">Demand_History!A644</f>
        <v>19</v>
      </c>
      <c r="C644" s="32" t="n">
        <f aca="false">Demand_History!D644</f>
        <v>8</v>
      </c>
      <c r="D644" s="33" t="n">
        <f aca="false">IF(B644&gt;=2,C643,"")</f>
        <v>4</v>
      </c>
      <c r="E644" s="33" t="n">
        <f aca="false">IF(B644&gt;=5,AVERAGE(C640:C643),"")</f>
        <v>5</v>
      </c>
      <c r="F644" s="33" t="n">
        <f aca="false">IF(B644&gt;=9,AVERAGE(C636:C643),"")</f>
        <v>5.625</v>
      </c>
      <c r="G644" s="33" t="n">
        <f aca="false">IF(B644=1,"",IF(B644=2,C643,SES_Alpha*C643+(1-SES_Alpha)*G643))</f>
        <v>5.18037928383076</v>
      </c>
      <c r="H644" s="33" t="n">
        <f aca="false">IF(D644="","",D644-C644)</f>
        <v>-4</v>
      </c>
      <c r="I644" s="33" t="n">
        <f aca="false">IF(E644="","",E644-C644)</f>
        <v>-3</v>
      </c>
      <c r="J644" s="33" t="n">
        <f aca="false">IF(F644="","",F644-C644)</f>
        <v>-2.375</v>
      </c>
      <c r="K644" s="33" t="n">
        <f aca="false">IF(G644="","",G644-C644)</f>
        <v>-2.81962071616924</v>
      </c>
      <c r="L644" s="33" t="n">
        <f aca="false">IF(H644="","",ABS(H644))</f>
        <v>4</v>
      </c>
      <c r="M644" s="33" t="n">
        <f aca="false">IF(I644="","",ABS(I644))</f>
        <v>3</v>
      </c>
      <c r="N644" s="33" t="n">
        <f aca="false">IF(J644="","",ABS(J644))</f>
        <v>2.375</v>
      </c>
      <c r="O644" s="33" t="n">
        <f aca="false">IF(K644="","",ABS(K644))</f>
        <v>2.81962071616924</v>
      </c>
      <c r="P644" s="34" t="str">
        <f aca="false">IF(B644&gt;=Eval_Start_Week,"YES","")</f>
        <v/>
      </c>
      <c r="Q644" s="34" t="str">
        <f aca="false">IF(AND(B644&gt;=Cal_Start_Week,B644&lt;=Cal_End_Week),"YES","")</f>
        <v/>
      </c>
    </row>
    <row r="645" customFormat="false" ht="15" hidden="false" customHeight="false" outlineLevel="0" collapsed="false">
      <c r="A645" s="31" t="str">
        <f aca="false">Demand_History!C645</f>
        <v>KIT-007</v>
      </c>
      <c r="B645" s="31" t="n">
        <f aca="false">Demand_History!A645</f>
        <v>20</v>
      </c>
      <c r="C645" s="32" t="n">
        <f aca="false">Demand_History!D645</f>
        <v>8</v>
      </c>
      <c r="D645" s="33" t="n">
        <f aca="false">IF(B645&gt;=2,C644,"")</f>
        <v>8</v>
      </c>
      <c r="E645" s="33" t="n">
        <f aca="false">IF(B645&gt;=5,AVERAGE(C641:C644),"")</f>
        <v>5.75</v>
      </c>
      <c r="F645" s="33" t="n">
        <f aca="false">IF(B645&gt;=9,AVERAGE(C637:C644),"")</f>
        <v>5.625</v>
      </c>
      <c r="G645" s="33" t="n">
        <f aca="false">IF(B645=1,"",IF(B645=2,C644,SES_Alpha*C644+(1-SES_Alpha)*G644))</f>
        <v>6.02626549868153</v>
      </c>
      <c r="H645" s="33" t="n">
        <f aca="false">IF(D645="","",D645-C645)</f>
        <v>0</v>
      </c>
      <c r="I645" s="33" t="n">
        <f aca="false">IF(E645="","",E645-C645)</f>
        <v>-2.25</v>
      </c>
      <c r="J645" s="33" t="n">
        <f aca="false">IF(F645="","",F645-C645)</f>
        <v>-2.375</v>
      </c>
      <c r="K645" s="33" t="n">
        <f aca="false">IF(G645="","",G645-C645)</f>
        <v>-1.97373450131847</v>
      </c>
      <c r="L645" s="33" t="n">
        <f aca="false">IF(H645="","",ABS(H645))</f>
        <v>0</v>
      </c>
      <c r="M645" s="33" t="n">
        <f aca="false">IF(I645="","",ABS(I645))</f>
        <v>2.25</v>
      </c>
      <c r="N645" s="33" t="n">
        <f aca="false">IF(J645="","",ABS(J645))</f>
        <v>2.375</v>
      </c>
      <c r="O645" s="33" t="n">
        <f aca="false">IF(K645="","",ABS(K645))</f>
        <v>1.97373450131847</v>
      </c>
      <c r="P645" s="34" t="str">
        <f aca="false">IF(B645&gt;=Eval_Start_Week,"YES","")</f>
        <v/>
      </c>
      <c r="Q645" s="34" t="str">
        <f aca="false">IF(AND(B645&gt;=Cal_Start_Week,B645&lt;=Cal_End_Week),"YES","")</f>
        <v/>
      </c>
    </row>
    <row r="646" customFormat="false" ht="15" hidden="false" customHeight="false" outlineLevel="0" collapsed="false">
      <c r="A646" s="31" t="str">
        <f aca="false">Demand_History!C646</f>
        <v>KIT-007</v>
      </c>
      <c r="B646" s="31" t="n">
        <f aca="false">Demand_History!A646</f>
        <v>21</v>
      </c>
      <c r="C646" s="32" t="n">
        <f aca="false">Demand_History!D646</f>
        <v>5</v>
      </c>
      <c r="D646" s="33" t="n">
        <f aca="false">IF(B646&gt;=2,C645,"")</f>
        <v>8</v>
      </c>
      <c r="E646" s="33" t="n">
        <f aca="false">IF(B646&gt;=5,AVERAGE(C642:C645),"")</f>
        <v>6.25</v>
      </c>
      <c r="F646" s="33" t="n">
        <f aca="false">IF(B646&gt;=9,AVERAGE(C638:C645),"")</f>
        <v>6</v>
      </c>
      <c r="G646" s="33" t="n">
        <f aca="false">IF(B646=1,"",IF(B646=2,C645,SES_Alpha*C645+(1-SES_Alpha)*G645))</f>
        <v>6.61838584907707</v>
      </c>
      <c r="H646" s="33" t="n">
        <f aca="false">IF(D646="","",D646-C646)</f>
        <v>3</v>
      </c>
      <c r="I646" s="33" t="n">
        <f aca="false">IF(E646="","",E646-C646)</f>
        <v>1.25</v>
      </c>
      <c r="J646" s="33" t="n">
        <f aca="false">IF(F646="","",F646-C646)</f>
        <v>1</v>
      </c>
      <c r="K646" s="33" t="n">
        <f aca="false">IF(G646="","",G646-C646)</f>
        <v>1.61838584907707</v>
      </c>
      <c r="L646" s="33" t="n">
        <f aca="false">IF(H646="","",ABS(H646))</f>
        <v>3</v>
      </c>
      <c r="M646" s="33" t="n">
        <f aca="false">IF(I646="","",ABS(I646))</f>
        <v>1.25</v>
      </c>
      <c r="N646" s="33" t="n">
        <f aca="false">IF(J646="","",ABS(J646))</f>
        <v>1</v>
      </c>
      <c r="O646" s="33" t="n">
        <f aca="false">IF(K646="","",ABS(K646))</f>
        <v>1.61838584907707</v>
      </c>
      <c r="P646" s="34" t="str">
        <f aca="false">IF(B646&gt;=Eval_Start_Week,"YES","")</f>
        <v/>
      </c>
      <c r="Q646" s="34" t="str">
        <f aca="false">IF(AND(B646&gt;=Cal_Start_Week,B646&lt;=Cal_End_Week),"YES","")</f>
        <v/>
      </c>
    </row>
    <row r="647" customFormat="false" ht="15" hidden="false" customHeight="false" outlineLevel="0" collapsed="false">
      <c r="A647" s="31" t="str">
        <f aca="false">Demand_History!C647</f>
        <v>KIT-007</v>
      </c>
      <c r="B647" s="31" t="n">
        <f aca="false">Demand_History!A647</f>
        <v>22</v>
      </c>
      <c r="C647" s="32" t="n">
        <f aca="false">Demand_History!D647</f>
        <v>9</v>
      </c>
      <c r="D647" s="33" t="n">
        <f aca="false">IF(B647&gt;=2,C646,"")</f>
        <v>5</v>
      </c>
      <c r="E647" s="33" t="n">
        <f aca="false">IF(B647&gt;=5,AVERAGE(C643:C646),"")</f>
        <v>6.25</v>
      </c>
      <c r="F647" s="33" t="n">
        <f aca="false">IF(B647&gt;=9,AVERAGE(C639:C646),"")</f>
        <v>6</v>
      </c>
      <c r="G647" s="33" t="n">
        <f aca="false">IF(B647=1,"",IF(B647=2,C646,SES_Alpha*C646+(1-SES_Alpha)*G646))</f>
        <v>6.13287009435395</v>
      </c>
      <c r="H647" s="33" t="n">
        <f aca="false">IF(D647="","",D647-C647)</f>
        <v>-4</v>
      </c>
      <c r="I647" s="33" t="n">
        <f aca="false">IF(E647="","",E647-C647)</f>
        <v>-2.75</v>
      </c>
      <c r="J647" s="33" t="n">
        <f aca="false">IF(F647="","",F647-C647)</f>
        <v>-3</v>
      </c>
      <c r="K647" s="33" t="n">
        <f aca="false">IF(G647="","",G647-C647)</f>
        <v>-2.86712990564605</v>
      </c>
      <c r="L647" s="33" t="n">
        <f aca="false">IF(H647="","",ABS(H647))</f>
        <v>4</v>
      </c>
      <c r="M647" s="33" t="n">
        <f aca="false">IF(I647="","",ABS(I647))</f>
        <v>2.75</v>
      </c>
      <c r="N647" s="33" t="n">
        <f aca="false">IF(J647="","",ABS(J647))</f>
        <v>3</v>
      </c>
      <c r="O647" s="33" t="n">
        <f aca="false">IF(K647="","",ABS(K647))</f>
        <v>2.86712990564605</v>
      </c>
      <c r="P647" s="34" t="str">
        <f aca="false">IF(B647&gt;=Eval_Start_Week,"YES","")</f>
        <v/>
      </c>
      <c r="Q647" s="34" t="str">
        <f aca="false">IF(AND(B647&gt;=Cal_Start_Week,B647&lt;=Cal_End_Week),"YES","")</f>
        <v/>
      </c>
    </row>
    <row r="648" customFormat="false" ht="15" hidden="false" customHeight="false" outlineLevel="0" collapsed="false">
      <c r="A648" s="31" t="str">
        <f aca="false">Demand_History!C648</f>
        <v>KIT-007</v>
      </c>
      <c r="B648" s="31" t="n">
        <f aca="false">Demand_History!A648</f>
        <v>23</v>
      </c>
      <c r="C648" s="32" t="n">
        <f aca="false">Demand_History!D648</f>
        <v>14</v>
      </c>
      <c r="D648" s="33" t="n">
        <f aca="false">IF(B648&gt;=2,C647,"")</f>
        <v>9</v>
      </c>
      <c r="E648" s="33" t="n">
        <f aca="false">IF(B648&gt;=5,AVERAGE(C644:C647),"")</f>
        <v>7.5</v>
      </c>
      <c r="F648" s="33" t="n">
        <f aca="false">IF(B648&gt;=9,AVERAGE(C640:C647),"")</f>
        <v>6.25</v>
      </c>
      <c r="G648" s="33" t="n">
        <f aca="false">IF(B648=1,"",IF(B648=2,C647,SES_Alpha*C647+(1-SES_Alpha)*G647))</f>
        <v>6.99300906604776</v>
      </c>
      <c r="H648" s="33" t="n">
        <f aca="false">IF(D648="","",D648-C648)</f>
        <v>-5</v>
      </c>
      <c r="I648" s="33" t="n">
        <f aca="false">IF(E648="","",E648-C648)</f>
        <v>-6.5</v>
      </c>
      <c r="J648" s="33" t="n">
        <f aca="false">IF(F648="","",F648-C648)</f>
        <v>-7.75</v>
      </c>
      <c r="K648" s="33" t="n">
        <f aca="false">IF(G648="","",G648-C648)</f>
        <v>-7.00699093395224</v>
      </c>
      <c r="L648" s="33" t="n">
        <f aca="false">IF(H648="","",ABS(H648))</f>
        <v>5</v>
      </c>
      <c r="M648" s="33" t="n">
        <f aca="false">IF(I648="","",ABS(I648))</f>
        <v>6.5</v>
      </c>
      <c r="N648" s="33" t="n">
        <f aca="false">IF(J648="","",ABS(J648))</f>
        <v>7.75</v>
      </c>
      <c r="O648" s="33" t="n">
        <f aca="false">IF(K648="","",ABS(K648))</f>
        <v>7.00699093395224</v>
      </c>
      <c r="P648" s="34" t="str">
        <f aca="false">IF(B648&gt;=Eval_Start_Week,"YES","")</f>
        <v/>
      </c>
      <c r="Q648" s="34" t="str">
        <f aca="false">IF(AND(B648&gt;=Cal_Start_Week,B648&lt;=Cal_End_Week),"YES","")</f>
        <v/>
      </c>
    </row>
    <row r="649" customFormat="false" ht="15" hidden="false" customHeight="false" outlineLevel="0" collapsed="false">
      <c r="A649" s="31" t="str">
        <f aca="false">Demand_History!C649</f>
        <v>KIT-007</v>
      </c>
      <c r="B649" s="31" t="n">
        <f aca="false">Demand_History!A649</f>
        <v>24</v>
      </c>
      <c r="C649" s="32" t="n">
        <f aca="false">Demand_History!D649</f>
        <v>4</v>
      </c>
      <c r="D649" s="33" t="n">
        <f aca="false">IF(B649&gt;=2,C648,"")</f>
        <v>14</v>
      </c>
      <c r="E649" s="33" t="n">
        <f aca="false">IF(B649&gt;=5,AVERAGE(C645:C648),"")</f>
        <v>9</v>
      </c>
      <c r="F649" s="33" t="n">
        <f aca="false">IF(B649&gt;=9,AVERAGE(C641:C648),"")</f>
        <v>7.375</v>
      </c>
      <c r="G649" s="33" t="n">
        <f aca="false">IF(B649=1,"",IF(B649=2,C648,SES_Alpha*C648+(1-SES_Alpha)*G648))</f>
        <v>9.09510634623343</v>
      </c>
      <c r="H649" s="33" t="n">
        <f aca="false">IF(D649="","",D649-C649)</f>
        <v>10</v>
      </c>
      <c r="I649" s="33" t="n">
        <f aca="false">IF(E649="","",E649-C649)</f>
        <v>5</v>
      </c>
      <c r="J649" s="33" t="n">
        <f aca="false">IF(F649="","",F649-C649)</f>
        <v>3.375</v>
      </c>
      <c r="K649" s="33" t="n">
        <f aca="false">IF(G649="","",G649-C649)</f>
        <v>5.09510634623343</v>
      </c>
      <c r="L649" s="33" t="n">
        <f aca="false">IF(H649="","",ABS(H649))</f>
        <v>10</v>
      </c>
      <c r="M649" s="33" t="n">
        <f aca="false">IF(I649="","",ABS(I649))</f>
        <v>5</v>
      </c>
      <c r="N649" s="33" t="n">
        <f aca="false">IF(J649="","",ABS(J649))</f>
        <v>3.375</v>
      </c>
      <c r="O649" s="33" t="n">
        <f aca="false">IF(K649="","",ABS(K649))</f>
        <v>5.09510634623343</v>
      </c>
      <c r="P649" s="34" t="str">
        <f aca="false">IF(B649&gt;=Eval_Start_Week,"YES","")</f>
        <v/>
      </c>
      <c r="Q649" s="34" t="str">
        <f aca="false">IF(AND(B649&gt;=Cal_Start_Week,B649&lt;=Cal_End_Week),"YES","")</f>
        <v/>
      </c>
    </row>
    <row r="650" customFormat="false" ht="15" hidden="false" customHeight="false" outlineLevel="0" collapsed="false">
      <c r="A650" s="31" t="str">
        <f aca="false">Demand_History!C650</f>
        <v>KIT-007</v>
      </c>
      <c r="B650" s="31" t="n">
        <f aca="false">Demand_History!A650</f>
        <v>25</v>
      </c>
      <c r="C650" s="32" t="n">
        <f aca="false">Demand_History!D650</f>
        <v>8</v>
      </c>
      <c r="D650" s="33" t="n">
        <f aca="false">IF(B650&gt;=2,C649,"")</f>
        <v>4</v>
      </c>
      <c r="E650" s="33" t="n">
        <f aca="false">IF(B650&gt;=5,AVERAGE(C646:C649),"")</f>
        <v>8</v>
      </c>
      <c r="F650" s="33" t="n">
        <f aca="false">IF(B650&gt;=9,AVERAGE(C642:C649),"")</f>
        <v>7.125</v>
      </c>
      <c r="G650" s="33" t="n">
        <f aca="false">IF(B650=1,"",IF(B650=2,C649,SES_Alpha*C649+(1-SES_Alpha)*G649))</f>
        <v>7.5665744423634</v>
      </c>
      <c r="H650" s="33" t="n">
        <f aca="false">IF(D650="","",D650-C650)</f>
        <v>-4</v>
      </c>
      <c r="I650" s="33" t="n">
        <f aca="false">IF(E650="","",E650-C650)</f>
        <v>0</v>
      </c>
      <c r="J650" s="33" t="n">
        <f aca="false">IF(F650="","",F650-C650)</f>
        <v>-0.875</v>
      </c>
      <c r="K650" s="33" t="n">
        <f aca="false">IF(G650="","",G650-C650)</f>
        <v>-0.433425557636596</v>
      </c>
      <c r="L650" s="33" t="n">
        <f aca="false">IF(H650="","",ABS(H650))</f>
        <v>4</v>
      </c>
      <c r="M650" s="33" t="n">
        <f aca="false">IF(I650="","",ABS(I650))</f>
        <v>0</v>
      </c>
      <c r="N650" s="33" t="n">
        <f aca="false">IF(J650="","",ABS(J650))</f>
        <v>0.875</v>
      </c>
      <c r="O650" s="33" t="n">
        <f aca="false">IF(K650="","",ABS(K650))</f>
        <v>0.433425557636596</v>
      </c>
      <c r="P650" s="34" t="str">
        <f aca="false">IF(B650&gt;=Eval_Start_Week,"YES","")</f>
        <v/>
      </c>
      <c r="Q650" s="34" t="str">
        <f aca="false">IF(AND(B650&gt;=Cal_Start_Week,B650&lt;=Cal_End_Week),"YES","")</f>
        <v/>
      </c>
    </row>
    <row r="651" customFormat="false" ht="15" hidden="false" customHeight="false" outlineLevel="0" collapsed="false">
      <c r="A651" s="31" t="str">
        <f aca="false">Demand_History!C651</f>
        <v>KIT-007</v>
      </c>
      <c r="B651" s="31" t="n">
        <f aca="false">Demand_History!A651</f>
        <v>26</v>
      </c>
      <c r="C651" s="32" t="n">
        <f aca="false">Demand_History!D651</f>
        <v>6</v>
      </c>
      <c r="D651" s="33" t="n">
        <f aca="false">IF(B651&gt;=2,C650,"")</f>
        <v>8</v>
      </c>
      <c r="E651" s="33" t="n">
        <f aca="false">IF(B651&gt;=5,AVERAGE(C647:C650),"")</f>
        <v>8.75</v>
      </c>
      <c r="F651" s="33" t="n">
        <f aca="false">IF(B651&gt;=9,AVERAGE(C643:C650),"")</f>
        <v>7.5</v>
      </c>
      <c r="G651" s="33" t="n">
        <f aca="false">IF(B651=1,"",IF(B651=2,C650,SES_Alpha*C650+(1-SES_Alpha)*G650))</f>
        <v>7.69660210965438</v>
      </c>
      <c r="H651" s="33" t="n">
        <f aca="false">IF(D651="","",D651-C651)</f>
        <v>2</v>
      </c>
      <c r="I651" s="33" t="n">
        <f aca="false">IF(E651="","",E651-C651)</f>
        <v>2.75</v>
      </c>
      <c r="J651" s="33" t="n">
        <f aca="false">IF(F651="","",F651-C651)</f>
        <v>1.5</v>
      </c>
      <c r="K651" s="33" t="n">
        <f aca="false">IF(G651="","",G651-C651)</f>
        <v>1.69660210965438</v>
      </c>
      <c r="L651" s="33" t="n">
        <f aca="false">IF(H651="","",ABS(H651))</f>
        <v>2</v>
      </c>
      <c r="M651" s="33" t="n">
        <f aca="false">IF(I651="","",ABS(I651))</f>
        <v>2.75</v>
      </c>
      <c r="N651" s="33" t="n">
        <f aca="false">IF(J651="","",ABS(J651))</f>
        <v>1.5</v>
      </c>
      <c r="O651" s="33" t="n">
        <f aca="false">IF(K651="","",ABS(K651))</f>
        <v>1.69660210965438</v>
      </c>
      <c r="P651" s="34" t="str">
        <f aca="false">IF(B651&gt;=Eval_Start_Week,"YES","")</f>
        <v/>
      </c>
      <c r="Q651" s="34" t="str">
        <f aca="false">IF(AND(B651&gt;=Cal_Start_Week,B651&lt;=Cal_End_Week),"YES","")</f>
        <v/>
      </c>
    </row>
    <row r="652" customFormat="false" ht="15" hidden="false" customHeight="false" outlineLevel="0" collapsed="false">
      <c r="A652" s="31" t="str">
        <f aca="false">Demand_History!C652</f>
        <v>KIT-007</v>
      </c>
      <c r="B652" s="31" t="n">
        <f aca="false">Demand_History!A652</f>
        <v>27</v>
      </c>
      <c r="C652" s="32" t="n">
        <f aca="false">Demand_History!D652</f>
        <v>5</v>
      </c>
      <c r="D652" s="33" t="n">
        <f aca="false">IF(B652&gt;=2,C651,"")</f>
        <v>6</v>
      </c>
      <c r="E652" s="33" t="n">
        <f aca="false">IF(B652&gt;=5,AVERAGE(C648:C651),"")</f>
        <v>8</v>
      </c>
      <c r="F652" s="33" t="n">
        <f aca="false">IF(B652&gt;=9,AVERAGE(C644:C651),"")</f>
        <v>7.75</v>
      </c>
      <c r="G652" s="33" t="n">
        <f aca="false">IF(B652=1,"",IF(B652=2,C651,SES_Alpha*C651+(1-SES_Alpha)*G651))</f>
        <v>7.18762147675807</v>
      </c>
      <c r="H652" s="33" t="n">
        <f aca="false">IF(D652="","",D652-C652)</f>
        <v>1</v>
      </c>
      <c r="I652" s="33" t="n">
        <f aca="false">IF(E652="","",E652-C652)</f>
        <v>3</v>
      </c>
      <c r="J652" s="33" t="n">
        <f aca="false">IF(F652="","",F652-C652)</f>
        <v>2.75</v>
      </c>
      <c r="K652" s="33" t="n">
        <f aca="false">IF(G652="","",G652-C652)</f>
        <v>2.18762147675807</v>
      </c>
      <c r="L652" s="33" t="n">
        <f aca="false">IF(H652="","",ABS(H652))</f>
        <v>1</v>
      </c>
      <c r="M652" s="33" t="n">
        <f aca="false">IF(I652="","",ABS(I652))</f>
        <v>3</v>
      </c>
      <c r="N652" s="33" t="n">
        <f aca="false">IF(J652="","",ABS(J652))</f>
        <v>2.75</v>
      </c>
      <c r="O652" s="33" t="n">
        <f aca="false">IF(K652="","",ABS(K652))</f>
        <v>2.18762147675807</v>
      </c>
      <c r="P652" s="34" t="str">
        <f aca="false">IF(B652&gt;=Eval_Start_Week,"YES","")</f>
        <v/>
      </c>
      <c r="Q652" s="34" t="str">
        <f aca="false">IF(AND(B652&gt;=Cal_Start_Week,B652&lt;=Cal_End_Week),"YES","")</f>
        <v/>
      </c>
    </row>
    <row r="653" customFormat="false" ht="15" hidden="false" customHeight="false" outlineLevel="0" collapsed="false">
      <c r="A653" s="31" t="str">
        <f aca="false">Demand_History!C653</f>
        <v>KIT-007</v>
      </c>
      <c r="B653" s="31" t="n">
        <f aca="false">Demand_History!A653</f>
        <v>28</v>
      </c>
      <c r="C653" s="32" t="n">
        <f aca="false">Demand_History!D653</f>
        <v>7</v>
      </c>
      <c r="D653" s="33" t="n">
        <f aca="false">IF(B653&gt;=2,C652,"")</f>
        <v>5</v>
      </c>
      <c r="E653" s="33" t="n">
        <f aca="false">IF(B653&gt;=5,AVERAGE(C649:C652),"")</f>
        <v>5.75</v>
      </c>
      <c r="F653" s="33" t="n">
        <f aca="false">IF(B653&gt;=9,AVERAGE(C645:C652),"")</f>
        <v>7.375</v>
      </c>
      <c r="G653" s="33" t="n">
        <f aca="false">IF(B653=1,"",IF(B653=2,C652,SES_Alpha*C652+(1-SES_Alpha)*G652))</f>
        <v>6.53133503373065</v>
      </c>
      <c r="H653" s="33" t="n">
        <f aca="false">IF(D653="","",D653-C653)</f>
        <v>-2</v>
      </c>
      <c r="I653" s="33" t="n">
        <f aca="false">IF(E653="","",E653-C653)</f>
        <v>-1.25</v>
      </c>
      <c r="J653" s="33" t="n">
        <f aca="false">IF(F653="","",F653-C653)</f>
        <v>0.375</v>
      </c>
      <c r="K653" s="33" t="n">
        <f aca="false">IF(G653="","",G653-C653)</f>
        <v>-0.468664966269354</v>
      </c>
      <c r="L653" s="33" t="n">
        <f aca="false">IF(H653="","",ABS(H653))</f>
        <v>2</v>
      </c>
      <c r="M653" s="33" t="n">
        <f aca="false">IF(I653="","",ABS(I653))</f>
        <v>1.25</v>
      </c>
      <c r="N653" s="33" t="n">
        <f aca="false">IF(J653="","",ABS(J653))</f>
        <v>0.375</v>
      </c>
      <c r="O653" s="33" t="n">
        <f aca="false">IF(K653="","",ABS(K653))</f>
        <v>0.468664966269354</v>
      </c>
      <c r="P653" s="34" t="str">
        <f aca="false">IF(B653&gt;=Eval_Start_Week,"YES","")</f>
        <v/>
      </c>
      <c r="Q653" s="34" t="str">
        <f aca="false">IF(AND(B653&gt;=Cal_Start_Week,B653&lt;=Cal_End_Week),"YES","")</f>
        <v/>
      </c>
    </row>
    <row r="654" customFormat="false" ht="15" hidden="false" customHeight="false" outlineLevel="0" collapsed="false">
      <c r="A654" s="31" t="str">
        <f aca="false">Demand_History!C654</f>
        <v>KIT-007</v>
      </c>
      <c r="B654" s="31" t="n">
        <f aca="false">Demand_History!A654</f>
        <v>29</v>
      </c>
      <c r="C654" s="32" t="n">
        <f aca="false">Demand_History!D654</f>
        <v>7</v>
      </c>
      <c r="D654" s="33" t="n">
        <f aca="false">IF(B654&gt;=2,C653,"")</f>
        <v>7</v>
      </c>
      <c r="E654" s="33" t="n">
        <f aca="false">IF(B654&gt;=5,AVERAGE(C650:C653),"")</f>
        <v>6.5</v>
      </c>
      <c r="F654" s="33" t="n">
        <f aca="false">IF(B654&gt;=9,AVERAGE(C646:C653),"")</f>
        <v>7.25</v>
      </c>
      <c r="G654" s="33" t="n">
        <f aca="false">IF(B654=1,"",IF(B654=2,C653,SES_Alpha*C653+(1-SES_Alpha)*G653))</f>
        <v>6.67193452361145</v>
      </c>
      <c r="H654" s="33" t="n">
        <f aca="false">IF(D654="","",D654-C654)</f>
        <v>0</v>
      </c>
      <c r="I654" s="33" t="n">
        <f aca="false">IF(E654="","",E654-C654)</f>
        <v>-0.5</v>
      </c>
      <c r="J654" s="33" t="n">
        <f aca="false">IF(F654="","",F654-C654)</f>
        <v>0.25</v>
      </c>
      <c r="K654" s="33" t="n">
        <f aca="false">IF(G654="","",G654-C654)</f>
        <v>-0.328065476388549</v>
      </c>
      <c r="L654" s="33" t="n">
        <f aca="false">IF(H654="","",ABS(H654))</f>
        <v>0</v>
      </c>
      <c r="M654" s="33" t="n">
        <f aca="false">IF(I654="","",ABS(I654))</f>
        <v>0.5</v>
      </c>
      <c r="N654" s="33" t="n">
        <f aca="false">IF(J654="","",ABS(J654))</f>
        <v>0.25</v>
      </c>
      <c r="O654" s="33" t="n">
        <f aca="false">IF(K654="","",ABS(K654))</f>
        <v>0.328065476388549</v>
      </c>
      <c r="P654" s="34" t="str">
        <f aca="false">IF(B654&gt;=Eval_Start_Week,"YES","")</f>
        <v/>
      </c>
      <c r="Q654" s="34" t="str">
        <f aca="false">IF(AND(B654&gt;=Cal_Start_Week,B654&lt;=Cal_End_Week),"YES","")</f>
        <v/>
      </c>
    </row>
    <row r="655" customFormat="false" ht="15" hidden="false" customHeight="false" outlineLevel="0" collapsed="false">
      <c r="A655" s="31" t="str">
        <f aca="false">Demand_History!C655</f>
        <v>KIT-007</v>
      </c>
      <c r="B655" s="31" t="n">
        <f aca="false">Demand_History!A655</f>
        <v>30</v>
      </c>
      <c r="C655" s="32" t="n">
        <f aca="false">Demand_History!D655</f>
        <v>5</v>
      </c>
      <c r="D655" s="33" t="n">
        <f aca="false">IF(B655&gt;=2,C654,"")</f>
        <v>7</v>
      </c>
      <c r="E655" s="33" t="n">
        <f aca="false">IF(B655&gt;=5,AVERAGE(C651:C654),"")</f>
        <v>6.25</v>
      </c>
      <c r="F655" s="33" t="n">
        <f aca="false">IF(B655&gt;=9,AVERAGE(C647:C654),"")</f>
        <v>7.5</v>
      </c>
      <c r="G655" s="33" t="n">
        <f aca="false">IF(B655=1,"",IF(B655=2,C654,SES_Alpha*C654+(1-SES_Alpha)*G654))</f>
        <v>6.77035416652802</v>
      </c>
      <c r="H655" s="33" t="n">
        <f aca="false">IF(D655="","",D655-C655)</f>
        <v>2</v>
      </c>
      <c r="I655" s="33" t="n">
        <f aca="false">IF(E655="","",E655-C655)</f>
        <v>1.25</v>
      </c>
      <c r="J655" s="33" t="n">
        <f aca="false">IF(F655="","",F655-C655)</f>
        <v>2.5</v>
      </c>
      <c r="K655" s="33" t="n">
        <f aca="false">IF(G655="","",G655-C655)</f>
        <v>1.77035416652802</v>
      </c>
      <c r="L655" s="33" t="n">
        <f aca="false">IF(H655="","",ABS(H655))</f>
        <v>2</v>
      </c>
      <c r="M655" s="33" t="n">
        <f aca="false">IF(I655="","",ABS(I655))</f>
        <v>1.25</v>
      </c>
      <c r="N655" s="33" t="n">
        <f aca="false">IF(J655="","",ABS(J655))</f>
        <v>2.5</v>
      </c>
      <c r="O655" s="33" t="n">
        <f aca="false">IF(K655="","",ABS(K655))</f>
        <v>1.77035416652802</v>
      </c>
      <c r="P655" s="34" t="str">
        <f aca="false">IF(B655&gt;=Eval_Start_Week,"YES","")</f>
        <v/>
      </c>
      <c r="Q655" s="34" t="str">
        <f aca="false">IF(AND(B655&gt;=Cal_Start_Week,B655&lt;=Cal_End_Week),"YES","")</f>
        <v/>
      </c>
    </row>
    <row r="656" customFormat="false" ht="15" hidden="false" customHeight="false" outlineLevel="0" collapsed="false">
      <c r="A656" s="31" t="str">
        <f aca="false">Demand_History!C656</f>
        <v>KIT-007</v>
      </c>
      <c r="B656" s="31" t="n">
        <f aca="false">Demand_History!A656</f>
        <v>31</v>
      </c>
      <c r="C656" s="32" t="n">
        <f aca="false">Demand_History!D656</f>
        <v>3</v>
      </c>
      <c r="D656" s="33" t="n">
        <f aca="false">IF(B656&gt;=2,C655,"")</f>
        <v>5</v>
      </c>
      <c r="E656" s="33" t="n">
        <f aca="false">IF(B656&gt;=5,AVERAGE(C652:C655),"")</f>
        <v>6</v>
      </c>
      <c r="F656" s="33" t="n">
        <f aca="false">IF(B656&gt;=9,AVERAGE(C648:C655),"")</f>
        <v>7</v>
      </c>
      <c r="G656" s="33" t="n">
        <f aca="false">IF(B656=1,"",IF(B656=2,C655,SES_Alpha*C655+(1-SES_Alpha)*G655))</f>
        <v>6.23924791656961</v>
      </c>
      <c r="H656" s="33" t="n">
        <f aca="false">IF(D656="","",D656-C656)</f>
        <v>2</v>
      </c>
      <c r="I656" s="33" t="n">
        <f aca="false">IF(E656="","",E656-C656)</f>
        <v>3</v>
      </c>
      <c r="J656" s="33" t="n">
        <f aca="false">IF(F656="","",F656-C656)</f>
        <v>4</v>
      </c>
      <c r="K656" s="33" t="n">
        <f aca="false">IF(G656="","",G656-C656)</f>
        <v>3.23924791656961</v>
      </c>
      <c r="L656" s="33" t="n">
        <f aca="false">IF(H656="","",ABS(H656))</f>
        <v>2</v>
      </c>
      <c r="M656" s="33" t="n">
        <f aca="false">IF(I656="","",ABS(I656))</f>
        <v>3</v>
      </c>
      <c r="N656" s="33" t="n">
        <f aca="false">IF(J656="","",ABS(J656))</f>
        <v>4</v>
      </c>
      <c r="O656" s="33" t="n">
        <f aca="false">IF(K656="","",ABS(K656))</f>
        <v>3.23924791656961</v>
      </c>
      <c r="P656" s="34" t="str">
        <f aca="false">IF(B656&gt;=Eval_Start_Week,"YES","")</f>
        <v/>
      </c>
      <c r="Q656" s="34" t="str">
        <f aca="false">IF(AND(B656&gt;=Cal_Start_Week,B656&lt;=Cal_End_Week),"YES","")</f>
        <v/>
      </c>
    </row>
    <row r="657" customFormat="false" ht="15" hidden="false" customHeight="false" outlineLevel="0" collapsed="false">
      <c r="A657" s="31" t="str">
        <f aca="false">Demand_History!C657</f>
        <v>KIT-007</v>
      </c>
      <c r="B657" s="31" t="n">
        <f aca="false">Demand_History!A657</f>
        <v>32</v>
      </c>
      <c r="C657" s="32" t="n">
        <f aca="false">Demand_History!D657</f>
        <v>2</v>
      </c>
      <c r="D657" s="33" t="n">
        <f aca="false">IF(B657&gt;=2,C656,"")</f>
        <v>3</v>
      </c>
      <c r="E657" s="33" t="n">
        <f aca="false">IF(B657&gt;=5,AVERAGE(C653:C656),"")</f>
        <v>5.5</v>
      </c>
      <c r="F657" s="33" t="n">
        <f aca="false">IF(B657&gt;=9,AVERAGE(C649:C656),"")</f>
        <v>5.625</v>
      </c>
      <c r="G657" s="33" t="n">
        <f aca="false">IF(B657=1,"",IF(B657=2,C656,SES_Alpha*C656+(1-SES_Alpha)*G656))</f>
        <v>5.26747354159873</v>
      </c>
      <c r="H657" s="33" t="n">
        <f aca="false">IF(D657="","",D657-C657)</f>
        <v>1</v>
      </c>
      <c r="I657" s="33" t="n">
        <f aca="false">IF(E657="","",E657-C657)</f>
        <v>3.5</v>
      </c>
      <c r="J657" s="33" t="n">
        <f aca="false">IF(F657="","",F657-C657)</f>
        <v>3.625</v>
      </c>
      <c r="K657" s="33" t="n">
        <f aca="false">IF(G657="","",G657-C657)</f>
        <v>3.26747354159873</v>
      </c>
      <c r="L657" s="33" t="n">
        <f aca="false">IF(H657="","",ABS(H657))</f>
        <v>1</v>
      </c>
      <c r="M657" s="33" t="n">
        <f aca="false">IF(I657="","",ABS(I657))</f>
        <v>3.5</v>
      </c>
      <c r="N657" s="33" t="n">
        <f aca="false">IF(J657="","",ABS(J657))</f>
        <v>3.625</v>
      </c>
      <c r="O657" s="33" t="n">
        <f aca="false">IF(K657="","",ABS(K657))</f>
        <v>3.26747354159873</v>
      </c>
      <c r="P657" s="34" t="str">
        <f aca="false">IF(B657&gt;=Eval_Start_Week,"YES","")</f>
        <v/>
      </c>
      <c r="Q657" s="34" t="str">
        <f aca="false">IF(AND(B657&gt;=Cal_Start_Week,B657&lt;=Cal_End_Week),"YES","")</f>
        <v/>
      </c>
    </row>
    <row r="658" customFormat="false" ht="15" hidden="false" customHeight="false" outlineLevel="0" collapsed="false">
      <c r="A658" s="31" t="str">
        <f aca="false">Demand_History!C658</f>
        <v>KIT-007</v>
      </c>
      <c r="B658" s="31" t="n">
        <f aca="false">Demand_History!A658</f>
        <v>33</v>
      </c>
      <c r="C658" s="32" t="n">
        <f aca="false">Demand_History!D658</f>
        <v>4</v>
      </c>
      <c r="D658" s="33" t="n">
        <f aca="false">IF(B658&gt;=2,C657,"")</f>
        <v>2</v>
      </c>
      <c r="E658" s="33" t="n">
        <f aca="false">IF(B658&gt;=5,AVERAGE(C654:C657),"")</f>
        <v>4.25</v>
      </c>
      <c r="F658" s="33" t="n">
        <f aca="false">IF(B658&gt;=9,AVERAGE(C650:C657),"")</f>
        <v>5.375</v>
      </c>
      <c r="G658" s="33" t="n">
        <f aca="false">IF(B658=1,"",IF(B658=2,C657,SES_Alpha*C657+(1-SES_Alpha)*G657))</f>
        <v>4.28723147911911</v>
      </c>
      <c r="H658" s="33" t="n">
        <f aca="false">IF(D658="","",D658-C658)</f>
        <v>-2</v>
      </c>
      <c r="I658" s="33" t="n">
        <f aca="false">IF(E658="","",E658-C658)</f>
        <v>0.25</v>
      </c>
      <c r="J658" s="33" t="n">
        <f aca="false">IF(F658="","",F658-C658)</f>
        <v>1.375</v>
      </c>
      <c r="K658" s="33" t="n">
        <f aca="false">IF(G658="","",G658-C658)</f>
        <v>0.287231479119109</v>
      </c>
      <c r="L658" s="33" t="n">
        <f aca="false">IF(H658="","",ABS(H658))</f>
        <v>2</v>
      </c>
      <c r="M658" s="33" t="n">
        <f aca="false">IF(I658="","",ABS(I658))</f>
        <v>0.25</v>
      </c>
      <c r="N658" s="33" t="n">
        <f aca="false">IF(J658="","",ABS(J658))</f>
        <v>1.375</v>
      </c>
      <c r="O658" s="33" t="n">
        <f aca="false">IF(K658="","",ABS(K658))</f>
        <v>0.287231479119109</v>
      </c>
      <c r="P658" s="34" t="str">
        <f aca="false">IF(B658&gt;=Eval_Start_Week,"YES","")</f>
        <v/>
      </c>
      <c r="Q658" s="34" t="str">
        <f aca="false">IF(AND(B658&gt;=Cal_Start_Week,B658&lt;=Cal_End_Week),"YES","")</f>
        <v/>
      </c>
    </row>
    <row r="659" customFormat="false" ht="15" hidden="false" customHeight="false" outlineLevel="0" collapsed="false">
      <c r="A659" s="31" t="str">
        <f aca="false">Demand_History!C659</f>
        <v>KIT-007</v>
      </c>
      <c r="B659" s="31" t="n">
        <f aca="false">Demand_History!A659</f>
        <v>34</v>
      </c>
      <c r="C659" s="32" t="n">
        <f aca="false">Demand_History!D659</f>
        <v>6</v>
      </c>
      <c r="D659" s="33" t="n">
        <f aca="false">IF(B659&gt;=2,C658,"")</f>
        <v>4</v>
      </c>
      <c r="E659" s="33" t="n">
        <f aca="false">IF(B659&gt;=5,AVERAGE(C655:C658),"")</f>
        <v>3.5</v>
      </c>
      <c r="F659" s="33" t="n">
        <f aca="false">IF(B659&gt;=9,AVERAGE(C651:C658),"")</f>
        <v>4.875</v>
      </c>
      <c r="G659" s="33" t="n">
        <f aca="false">IF(B659=1,"",IF(B659=2,C658,SES_Alpha*C658+(1-SES_Alpha)*G658))</f>
        <v>4.20106203538338</v>
      </c>
      <c r="H659" s="33" t="n">
        <f aca="false">IF(D659="","",D659-C659)</f>
        <v>-2</v>
      </c>
      <c r="I659" s="33" t="n">
        <f aca="false">IF(E659="","",E659-C659)</f>
        <v>-2.5</v>
      </c>
      <c r="J659" s="33" t="n">
        <f aca="false">IF(F659="","",F659-C659)</f>
        <v>-1.125</v>
      </c>
      <c r="K659" s="33" t="n">
        <f aca="false">IF(G659="","",G659-C659)</f>
        <v>-1.79893796461662</v>
      </c>
      <c r="L659" s="33" t="n">
        <f aca="false">IF(H659="","",ABS(H659))</f>
        <v>2</v>
      </c>
      <c r="M659" s="33" t="n">
        <f aca="false">IF(I659="","",ABS(I659))</f>
        <v>2.5</v>
      </c>
      <c r="N659" s="33" t="n">
        <f aca="false">IF(J659="","",ABS(J659))</f>
        <v>1.125</v>
      </c>
      <c r="O659" s="33" t="n">
        <f aca="false">IF(K659="","",ABS(K659))</f>
        <v>1.79893796461662</v>
      </c>
      <c r="P659" s="34" t="str">
        <f aca="false">IF(B659&gt;=Eval_Start_Week,"YES","")</f>
        <v/>
      </c>
      <c r="Q659" s="34" t="str">
        <f aca="false">IF(AND(B659&gt;=Cal_Start_Week,B659&lt;=Cal_End_Week),"YES","")</f>
        <v/>
      </c>
    </row>
    <row r="660" customFormat="false" ht="15" hidden="false" customHeight="false" outlineLevel="0" collapsed="false">
      <c r="A660" s="31" t="str">
        <f aca="false">Demand_History!C660</f>
        <v>KIT-007</v>
      </c>
      <c r="B660" s="31" t="n">
        <f aca="false">Demand_History!A660</f>
        <v>35</v>
      </c>
      <c r="C660" s="32" t="n">
        <f aca="false">Demand_History!D660</f>
        <v>2</v>
      </c>
      <c r="D660" s="33" t="n">
        <f aca="false">IF(B660&gt;=2,C659,"")</f>
        <v>6</v>
      </c>
      <c r="E660" s="33" t="n">
        <f aca="false">IF(B660&gt;=5,AVERAGE(C656:C659),"")</f>
        <v>3.75</v>
      </c>
      <c r="F660" s="33" t="n">
        <f aca="false">IF(B660&gt;=9,AVERAGE(C652:C659),"")</f>
        <v>4.875</v>
      </c>
      <c r="G660" s="33" t="n">
        <f aca="false">IF(B660=1,"",IF(B660=2,C659,SES_Alpha*C659+(1-SES_Alpha)*G659))</f>
        <v>4.74074342476836</v>
      </c>
      <c r="H660" s="33" t="n">
        <f aca="false">IF(D660="","",D660-C660)</f>
        <v>4</v>
      </c>
      <c r="I660" s="33" t="n">
        <f aca="false">IF(E660="","",E660-C660)</f>
        <v>1.75</v>
      </c>
      <c r="J660" s="33" t="n">
        <f aca="false">IF(F660="","",F660-C660)</f>
        <v>2.875</v>
      </c>
      <c r="K660" s="33" t="n">
        <f aca="false">IF(G660="","",G660-C660)</f>
        <v>2.74074342476836</v>
      </c>
      <c r="L660" s="33" t="n">
        <f aca="false">IF(H660="","",ABS(H660))</f>
        <v>4</v>
      </c>
      <c r="M660" s="33" t="n">
        <f aca="false">IF(I660="","",ABS(I660))</f>
        <v>1.75</v>
      </c>
      <c r="N660" s="33" t="n">
        <f aca="false">IF(J660="","",ABS(J660))</f>
        <v>2.875</v>
      </c>
      <c r="O660" s="33" t="n">
        <f aca="false">IF(K660="","",ABS(K660))</f>
        <v>2.74074342476836</v>
      </c>
      <c r="P660" s="34" t="str">
        <f aca="false">IF(B660&gt;=Eval_Start_Week,"YES","")</f>
        <v/>
      </c>
      <c r="Q660" s="34" t="str">
        <f aca="false">IF(AND(B660&gt;=Cal_Start_Week,B660&lt;=Cal_End_Week),"YES","")</f>
        <v/>
      </c>
    </row>
    <row r="661" customFormat="false" ht="15" hidden="false" customHeight="false" outlineLevel="0" collapsed="false">
      <c r="A661" s="31" t="str">
        <f aca="false">Demand_History!C661</f>
        <v>KIT-007</v>
      </c>
      <c r="B661" s="31" t="n">
        <f aca="false">Demand_History!A661</f>
        <v>36</v>
      </c>
      <c r="C661" s="32" t="n">
        <f aca="false">Demand_History!D661</f>
        <v>6</v>
      </c>
      <c r="D661" s="33" t="n">
        <f aca="false">IF(B661&gt;=2,C660,"")</f>
        <v>2</v>
      </c>
      <c r="E661" s="33" t="n">
        <f aca="false">IF(B661&gt;=5,AVERAGE(C657:C660),"")</f>
        <v>3.5</v>
      </c>
      <c r="F661" s="33" t="n">
        <f aca="false">IF(B661&gt;=9,AVERAGE(C653:C660),"")</f>
        <v>4.5</v>
      </c>
      <c r="G661" s="33" t="n">
        <f aca="false">IF(B661=1,"",IF(B661=2,C660,SES_Alpha*C660+(1-SES_Alpha)*G660))</f>
        <v>3.91852039733785</v>
      </c>
      <c r="H661" s="33" t="n">
        <f aca="false">IF(D661="","",D661-C661)</f>
        <v>-4</v>
      </c>
      <c r="I661" s="33" t="n">
        <f aca="false">IF(E661="","",E661-C661)</f>
        <v>-2.5</v>
      </c>
      <c r="J661" s="33" t="n">
        <f aca="false">IF(F661="","",F661-C661)</f>
        <v>-1.5</v>
      </c>
      <c r="K661" s="33" t="n">
        <f aca="false">IF(G661="","",G661-C661)</f>
        <v>-2.08147960266215</v>
      </c>
      <c r="L661" s="33" t="n">
        <f aca="false">IF(H661="","",ABS(H661))</f>
        <v>4</v>
      </c>
      <c r="M661" s="33" t="n">
        <f aca="false">IF(I661="","",ABS(I661))</f>
        <v>2.5</v>
      </c>
      <c r="N661" s="33" t="n">
        <f aca="false">IF(J661="","",ABS(J661))</f>
        <v>1.5</v>
      </c>
      <c r="O661" s="33" t="n">
        <f aca="false">IF(K661="","",ABS(K661))</f>
        <v>2.08147960266215</v>
      </c>
      <c r="P661" s="34" t="str">
        <f aca="false">IF(B661&gt;=Eval_Start_Week,"YES","")</f>
        <v/>
      </c>
      <c r="Q661" s="34" t="str">
        <f aca="false">IF(AND(B661&gt;=Cal_Start_Week,B661&lt;=Cal_End_Week),"YES","")</f>
        <v/>
      </c>
    </row>
    <row r="662" customFormat="false" ht="15" hidden="false" customHeight="false" outlineLevel="0" collapsed="false">
      <c r="A662" s="31" t="str">
        <f aca="false">Demand_History!C662</f>
        <v>KIT-007</v>
      </c>
      <c r="B662" s="31" t="n">
        <f aca="false">Demand_History!A662</f>
        <v>37</v>
      </c>
      <c r="C662" s="32" t="n">
        <f aca="false">Demand_History!D662</f>
        <v>10</v>
      </c>
      <c r="D662" s="33" t="n">
        <f aca="false">IF(B662&gt;=2,C661,"")</f>
        <v>6</v>
      </c>
      <c r="E662" s="33" t="n">
        <f aca="false">IF(B662&gt;=5,AVERAGE(C658:C661),"")</f>
        <v>4.5</v>
      </c>
      <c r="F662" s="33" t="n">
        <f aca="false">IF(B662&gt;=9,AVERAGE(C654:C661),"")</f>
        <v>4.375</v>
      </c>
      <c r="G662" s="33" t="n">
        <f aca="false">IF(B662=1,"",IF(B662=2,C661,SES_Alpha*C661+(1-SES_Alpha)*G661))</f>
        <v>4.5429642781365</v>
      </c>
      <c r="H662" s="33" t="n">
        <f aca="false">IF(D662="","",D662-C662)</f>
        <v>-4</v>
      </c>
      <c r="I662" s="33" t="n">
        <f aca="false">IF(E662="","",E662-C662)</f>
        <v>-5.5</v>
      </c>
      <c r="J662" s="33" t="n">
        <f aca="false">IF(F662="","",F662-C662)</f>
        <v>-5.625</v>
      </c>
      <c r="K662" s="33" t="n">
        <f aca="false">IF(G662="","",G662-C662)</f>
        <v>-5.4570357218635</v>
      </c>
      <c r="L662" s="33" t="n">
        <f aca="false">IF(H662="","",ABS(H662))</f>
        <v>4</v>
      </c>
      <c r="M662" s="33" t="n">
        <f aca="false">IF(I662="","",ABS(I662))</f>
        <v>5.5</v>
      </c>
      <c r="N662" s="33" t="n">
        <f aca="false">IF(J662="","",ABS(J662))</f>
        <v>5.625</v>
      </c>
      <c r="O662" s="33" t="n">
        <f aca="false">IF(K662="","",ABS(K662))</f>
        <v>5.4570357218635</v>
      </c>
      <c r="P662" s="34" t="str">
        <f aca="false">IF(B662&gt;=Eval_Start_Week,"YES","")</f>
        <v/>
      </c>
      <c r="Q662" s="34" t="str">
        <f aca="false">IF(AND(B662&gt;=Cal_Start_Week,B662&lt;=Cal_End_Week),"YES","")</f>
        <v>YES</v>
      </c>
    </row>
    <row r="663" customFormat="false" ht="15" hidden="false" customHeight="false" outlineLevel="0" collapsed="false">
      <c r="A663" s="31" t="str">
        <f aca="false">Demand_History!C663</f>
        <v>KIT-007</v>
      </c>
      <c r="B663" s="31" t="n">
        <f aca="false">Demand_History!A663</f>
        <v>38</v>
      </c>
      <c r="C663" s="32" t="n">
        <f aca="false">Demand_History!D663</f>
        <v>2</v>
      </c>
      <c r="D663" s="33" t="n">
        <f aca="false">IF(B663&gt;=2,C662,"")</f>
        <v>10</v>
      </c>
      <c r="E663" s="33" t="n">
        <f aca="false">IF(B663&gt;=5,AVERAGE(C659:C662),"")</f>
        <v>6</v>
      </c>
      <c r="F663" s="33" t="n">
        <f aca="false">IF(B663&gt;=9,AVERAGE(C655:C662),"")</f>
        <v>4.75</v>
      </c>
      <c r="G663" s="33" t="n">
        <f aca="false">IF(B663=1,"",IF(B663=2,C662,SES_Alpha*C662+(1-SES_Alpha)*G662))</f>
        <v>6.18007499469555</v>
      </c>
      <c r="H663" s="33" t="n">
        <f aca="false">IF(D663="","",D663-C663)</f>
        <v>8</v>
      </c>
      <c r="I663" s="33" t="n">
        <f aca="false">IF(E663="","",E663-C663)</f>
        <v>4</v>
      </c>
      <c r="J663" s="33" t="n">
        <f aca="false">IF(F663="","",F663-C663)</f>
        <v>2.75</v>
      </c>
      <c r="K663" s="33" t="n">
        <f aca="false">IF(G663="","",G663-C663)</f>
        <v>4.18007499469555</v>
      </c>
      <c r="L663" s="33" t="n">
        <f aca="false">IF(H663="","",ABS(H663))</f>
        <v>8</v>
      </c>
      <c r="M663" s="33" t="n">
        <f aca="false">IF(I663="","",ABS(I663))</f>
        <v>4</v>
      </c>
      <c r="N663" s="33" t="n">
        <f aca="false">IF(J663="","",ABS(J663))</f>
        <v>2.75</v>
      </c>
      <c r="O663" s="33" t="n">
        <f aca="false">IF(K663="","",ABS(K663))</f>
        <v>4.18007499469555</v>
      </c>
      <c r="P663" s="34" t="str">
        <f aca="false">IF(B663&gt;=Eval_Start_Week,"YES","")</f>
        <v/>
      </c>
      <c r="Q663" s="34" t="str">
        <f aca="false">IF(AND(B663&gt;=Cal_Start_Week,B663&lt;=Cal_End_Week),"YES","")</f>
        <v>YES</v>
      </c>
    </row>
    <row r="664" customFormat="false" ht="15" hidden="false" customHeight="false" outlineLevel="0" collapsed="false">
      <c r="A664" s="31" t="str">
        <f aca="false">Demand_History!C664</f>
        <v>KIT-007</v>
      </c>
      <c r="B664" s="31" t="n">
        <f aca="false">Demand_History!A664</f>
        <v>39</v>
      </c>
      <c r="C664" s="32" t="n">
        <f aca="false">Demand_History!D664</f>
        <v>6</v>
      </c>
      <c r="D664" s="33" t="n">
        <f aca="false">IF(B664&gt;=2,C663,"")</f>
        <v>2</v>
      </c>
      <c r="E664" s="33" t="n">
        <f aca="false">IF(B664&gt;=5,AVERAGE(C660:C663),"")</f>
        <v>5</v>
      </c>
      <c r="F664" s="33" t="n">
        <f aca="false">IF(B664&gt;=9,AVERAGE(C656:C663),"")</f>
        <v>4.375</v>
      </c>
      <c r="G664" s="33" t="n">
        <f aca="false">IF(B664=1,"",IF(B664=2,C663,SES_Alpha*C663+(1-SES_Alpha)*G663))</f>
        <v>4.92605249628688</v>
      </c>
      <c r="H664" s="33" t="n">
        <f aca="false">IF(D664="","",D664-C664)</f>
        <v>-4</v>
      </c>
      <c r="I664" s="33" t="n">
        <f aca="false">IF(E664="","",E664-C664)</f>
        <v>-1</v>
      </c>
      <c r="J664" s="33" t="n">
        <f aca="false">IF(F664="","",F664-C664)</f>
        <v>-1.625</v>
      </c>
      <c r="K664" s="33" t="n">
        <f aca="false">IF(G664="","",G664-C664)</f>
        <v>-1.07394750371312</v>
      </c>
      <c r="L664" s="33" t="n">
        <f aca="false">IF(H664="","",ABS(H664))</f>
        <v>4</v>
      </c>
      <c r="M664" s="33" t="n">
        <f aca="false">IF(I664="","",ABS(I664))</f>
        <v>1</v>
      </c>
      <c r="N664" s="33" t="n">
        <f aca="false">IF(J664="","",ABS(J664))</f>
        <v>1.625</v>
      </c>
      <c r="O664" s="33" t="n">
        <f aca="false">IF(K664="","",ABS(K664))</f>
        <v>1.07394750371312</v>
      </c>
      <c r="P664" s="34" t="str">
        <f aca="false">IF(B664&gt;=Eval_Start_Week,"YES","")</f>
        <v/>
      </c>
      <c r="Q664" s="34" t="str">
        <f aca="false">IF(AND(B664&gt;=Cal_Start_Week,B664&lt;=Cal_End_Week),"YES","")</f>
        <v>YES</v>
      </c>
    </row>
    <row r="665" customFormat="false" ht="15" hidden="false" customHeight="false" outlineLevel="0" collapsed="false">
      <c r="A665" s="31" t="str">
        <f aca="false">Demand_History!C665</f>
        <v>KIT-007</v>
      </c>
      <c r="B665" s="31" t="n">
        <f aca="false">Demand_History!A665</f>
        <v>40</v>
      </c>
      <c r="C665" s="32" t="n">
        <f aca="false">Demand_History!D665</f>
        <v>7</v>
      </c>
      <c r="D665" s="33" t="n">
        <f aca="false">IF(B665&gt;=2,C664,"")</f>
        <v>6</v>
      </c>
      <c r="E665" s="33" t="n">
        <f aca="false">IF(B665&gt;=5,AVERAGE(C661:C664),"")</f>
        <v>6</v>
      </c>
      <c r="F665" s="33" t="n">
        <f aca="false">IF(B665&gt;=9,AVERAGE(C657:C664),"")</f>
        <v>4.75</v>
      </c>
      <c r="G665" s="33" t="n">
        <f aca="false">IF(B665=1,"",IF(B665=2,C664,SES_Alpha*C664+(1-SES_Alpha)*G664))</f>
        <v>5.24823674740082</v>
      </c>
      <c r="H665" s="33" t="n">
        <f aca="false">IF(D665="","",D665-C665)</f>
        <v>-1</v>
      </c>
      <c r="I665" s="33" t="n">
        <f aca="false">IF(E665="","",E665-C665)</f>
        <v>-1</v>
      </c>
      <c r="J665" s="33" t="n">
        <f aca="false">IF(F665="","",F665-C665)</f>
        <v>-2.25</v>
      </c>
      <c r="K665" s="33" t="n">
        <f aca="false">IF(G665="","",G665-C665)</f>
        <v>-1.75176325259918</v>
      </c>
      <c r="L665" s="33" t="n">
        <f aca="false">IF(H665="","",ABS(H665))</f>
        <v>1</v>
      </c>
      <c r="M665" s="33" t="n">
        <f aca="false">IF(I665="","",ABS(I665))</f>
        <v>1</v>
      </c>
      <c r="N665" s="33" t="n">
        <f aca="false">IF(J665="","",ABS(J665))</f>
        <v>2.25</v>
      </c>
      <c r="O665" s="33" t="n">
        <f aca="false">IF(K665="","",ABS(K665))</f>
        <v>1.75176325259918</v>
      </c>
      <c r="P665" s="34" t="str">
        <f aca="false">IF(B665&gt;=Eval_Start_Week,"YES","")</f>
        <v/>
      </c>
      <c r="Q665" s="34" t="str">
        <f aca="false">IF(AND(B665&gt;=Cal_Start_Week,B665&lt;=Cal_End_Week),"YES","")</f>
        <v>YES</v>
      </c>
    </row>
    <row r="666" customFormat="false" ht="15" hidden="false" customHeight="false" outlineLevel="0" collapsed="false">
      <c r="A666" s="31" t="str">
        <f aca="false">Demand_History!C666</f>
        <v>KIT-007</v>
      </c>
      <c r="B666" s="31" t="n">
        <f aca="false">Demand_History!A666</f>
        <v>41</v>
      </c>
      <c r="C666" s="32" t="n">
        <f aca="false">Demand_History!D666</f>
        <v>10</v>
      </c>
      <c r="D666" s="33" t="n">
        <f aca="false">IF(B666&gt;=2,C665,"")</f>
        <v>7</v>
      </c>
      <c r="E666" s="33" t="n">
        <f aca="false">IF(B666&gt;=5,AVERAGE(C662:C665),"")</f>
        <v>6.25</v>
      </c>
      <c r="F666" s="33" t="n">
        <f aca="false">IF(B666&gt;=9,AVERAGE(C658:C665),"")</f>
        <v>5.375</v>
      </c>
      <c r="G666" s="33" t="n">
        <f aca="false">IF(B666=1,"",IF(B666=2,C665,SES_Alpha*C665+(1-SES_Alpha)*G665))</f>
        <v>5.77376572318057</v>
      </c>
      <c r="H666" s="33" t="n">
        <f aca="false">IF(D666="","",D666-C666)</f>
        <v>-3</v>
      </c>
      <c r="I666" s="33" t="n">
        <f aca="false">IF(E666="","",E666-C666)</f>
        <v>-3.75</v>
      </c>
      <c r="J666" s="33" t="n">
        <f aca="false">IF(F666="","",F666-C666)</f>
        <v>-4.625</v>
      </c>
      <c r="K666" s="33" t="n">
        <f aca="false">IF(G666="","",G666-C666)</f>
        <v>-4.22623427681943</v>
      </c>
      <c r="L666" s="33" t="n">
        <f aca="false">IF(H666="","",ABS(H666))</f>
        <v>3</v>
      </c>
      <c r="M666" s="33" t="n">
        <f aca="false">IF(I666="","",ABS(I666))</f>
        <v>3.75</v>
      </c>
      <c r="N666" s="33" t="n">
        <f aca="false">IF(J666="","",ABS(J666))</f>
        <v>4.625</v>
      </c>
      <c r="O666" s="33" t="n">
        <f aca="false">IF(K666="","",ABS(K666))</f>
        <v>4.22623427681943</v>
      </c>
      <c r="P666" s="34" t="str">
        <f aca="false">IF(B666&gt;=Eval_Start_Week,"YES","")</f>
        <v/>
      </c>
      <c r="Q666" s="34" t="str">
        <f aca="false">IF(AND(B666&gt;=Cal_Start_Week,B666&lt;=Cal_End_Week),"YES","")</f>
        <v>YES</v>
      </c>
    </row>
    <row r="667" customFormat="false" ht="15" hidden="false" customHeight="false" outlineLevel="0" collapsed="false">
      <c r="A667" s="31" t="str">
        <f aca="false">Demand_History!C667</f>
        <v>KIT-007</v>
      </c>
      <c r="B667" s="31" t="n">
        <f aca="false">Demand_History!A667</f>
        <v>42</v>
      </c>
      <c r="C667" s="32" t="n">
        <f aca="false">Demand_History!D667</f>
        <v>4</v>
      </c>
      <c r="D667" s="33" t="n">
        <f aca="false">IF(B667&gt;=2,C666,"")</f>
        <v>10</v>
      </c>
      <c r="E667" s="33" t="n">
        <f aca="false">IF(B667&gt;=5,AVERAGE(C663:C666),"")</f>
        <v>6.25</v>
      </c>
      <c r="F667" s="33" t="n">
        <f aca="false">IF(B667&gt;=9,AVERAGE(C659:C666),"")</f>
        <v>6.125</v>
      </c>
      <c r="G667" s="33" t="n">
        <f aca="false">IF(B667=1,"",IF(B667=2,C666,SES_Alpha*C666+(1-SES_Alpha)*G666))</f>
        <v>7.0416360062264</v>
      </c>
      <c r="H667" s="33" t="n">
        <f aca="false">IF(D667="","",D667-C667)</f>
        <v>6</v>
      </c>
      <c r="I667" s="33" t="n">
        <f aca="false">IF(E667="","",E667-C667)</f>
        <v>2.25</v>
      </c>
      <c r="J667" s="33" t="n">
        <f aca="false">IF(F667="","",F667-C667)</f>
        <v>2.125</v>
      </c>
      <c r="K667" s="33" t="n">
        <f aca="false">IF(G667="","",G667-C667)</f>
        <v>3.0416360062264</v>
      </c>
      <c r="L667" s="33" t="n">
        <f aca="false">IF(H667="","",ABS(H667))</f>
        <v>6</v>
      </c>
      <c r="M667" s="33" t="n">
        <f aca="false">IF(I667="","",ABS(I667))</f>
        <v>2.25</v>
      </c>
      <c r="N667" s="33" t="n">
        <f aca="false">IF(J667="","",ABS(J667))</f>
        <v>2.125</v>
      </c>
      <c r="O667" s="33" t="n">
        <f aca="false">IF(K667="","",ABS(K667))</f>
        <v>3.0416360062264</v>
      </c>
      <c r="P667" s="34" t="str">
        <f aca="false">IF(B667&gt;=Eval_Start_Week,"YES","")</f>
        <v/>
      </c>
      <c r="Q667" s="34" t="str">
        <f aca="false">IF(AND(B667&gt;=Cal_Start_Week,B667&lt;=Cal_End_Week),"YES","")</f>
        <v>YES</v>
      </c>
    </row>
    <row r="668" customFormat="false" ht="15" hidden="false" customHeight="false" outlineLevel="0" collapsed="false">
      <c r="A668" s="31" t="str">
        <f aca="false">Demand_History!C668</f>
        <v>KIT-007</v>
      </c>
      <c r="B668" s="31" t="n">
        <f aca="false">Demand_History!A668</f>
        <v>43</v>
      </c>
      <c r="C668" s="32" t="n">
        <f aca="false">Demand_History!D668</f>
        <v>8</v>
      </c>
      <c r="D668" s="33" t="n">
        <f aca="false">IF(B668&gt;=2,C667,"")</f>
        <v>4</v>
      </c>
      <c r="E668" s="33" t="n">
        <f aca="false">IF(B668&gt;=5,AVERAGE(C664:C667),"")</f>
        <v>6.75</v>
      </c>
      <c r="F668" s="33" t="n">
        <f aca="false">IF(B668&gt;=9,AVERAGE(C660:C667),"")</f>
        <v>5.875</v>
      </c>
      <c r="G668" s="33" t="n">
        <f aca="false">IF(B668=1,"",IF(B668=2,C667,SES_Alpha*C667+(1-SES_Alpha)*G667))</f>
        <v>6.12914520435848</v>
      </c>
      <c r="H668" s="33" t="n">
        <f aca="false">IF(D668="","",D668-C668)</f>
        <v>-4</v>
      </c>
      <c r="I668" s="33" t="n">
        <f aca="false">IF(E668="","",E668-C668)</f>
        <v>-1.25</v>
      </c>
      <c r="J668" s="33" t="n">
        <f aca="false">IF(F668="","",F668-C668)</f>
        <v>-2.125</v>
      </c>
      <c r="K668" s="33" t="n">
        <f aca="false">IF(G668="","",G668-C668)</f>
        <v>-1.87085479564152</v>
      </c>
      <c r="L668" s="33" t="n">
        <f aca="false">IF(H668="","",ABS(H668))</f>
        <v>4</v>
      </c>
      <c r="M668" s="33" t="n">
        <f aca="false">IF(I668="","",ABS(I668))</f>
        <v>1.25</v>
      </c>
      <c r="N668" s="33" t="n">
        <f aca="false">IF(J668="","",ABS(J668))</f>
        <v>2.125</v>
      </c>
      <c r="O668" s="33" t="n">
        <f aca="false">IF(K668="","",ABS(K668))</f>
        <v>1.87085479564152</v>
      </c>
      <c r="P668" s="34" t="str">
        <f aca="false">IF(B668&gt;=Eval_Start_Week,"YES","")</f>
        <v/>
      </c>
      <c r="Q668" s="34" t="str">
        <f aca="false">IF(AND(B668&gt;=Cal_Start_Week,B668&lt;=Cal_End_Week),"YES","")</f>
        <v>YES</v>
      </c>
    </row>
    <row r="669" customFormat="false" ht="15" hidden="false" customHeight="false" outlineLevel="0" collapsed="false">
      <c r="A669" s="31" t="str">
        <f aca="false">Demand_History!C669</f>
        <v>KIT-007</v>
      </c>
      <c r="B669" s="31" t="n">
        <f aca="false">Demand_History!A669</f>
        <v>44</v>
      </c>
      <c r="C669" s="32" t="n">
        <f aca="false">Demand_History!D669</f>
        <v>5</v>
      </c>
      <c r="D669" s="33" t="n">
        <f aca="false">IF(B669&gt;=2,C668,"")</f>
        <v>8</v>
      </c>
      <c r="E669" s="33" t="n">
        <f aca="false">IF(B669&gt;=5,AVERAGE(C665:C668),"")</f>
        <v>7.25</v>
      </c>
      <c r="F669" s="33" t="n">
        <f aca="false">IF(B669&gt;=9,AVERAGE(C661:C668),"")</f>
        <v>6.625</v>
      </c>
      <c r="G669" s="33" t="n">
        <f aca="false">IF(B669=1,"",IF(B669=2,C668,SES_Alpha*C668+(1-SES_Alpha)*G668))</f>
        <v>6.69040164305094</v>
      </c>
      <c r="H669" s="33" t="n">
        <f aca="false">IF(D669="","",D669-C669)</f>
        <v>3</v>
      </c>
      <c r="I669" s="33" t="n">
        <f aca="false">IF(E669="","",E669-C669)</f>
        <v>2.25</v>
      </c>
      <c r="J669" s="33" t="n">
        <f aca="false">IF(F669="","",F669-C669)</f>
        <v>1.625</v>
      </c>
      <c r="K669" s="33" t="n">
        <f aca="false">IF(G669="","",G669-C669)</f>
        <v>1.69040164305093</v>
      </c>
      <c r="L669" s="33" t="n">
        <f aca="false">IF(H669="","",ABS(H669))</f>
        <v>3</v>
      </c>
      <c r="M669" s="33" t="n">
        <f aca="false">IF(I669="","",ABS(I669))</f>
        <v>2.25</v>
      </c>
      <c r="N669" s="33" t="n">
        <f aca="false">IF(J669="","",ABS(J669))</f>
        <v>1.625</v>
      </c>
      <c r="O669" s="33" t="n">
        <f aca="false">IF(K669="","",ABS(K669))</f>
        <v>1.69040164305093</v>
      </c>
      <c r="P669" s="34" t="str">
        <f aca="false">IF(B669&gt;=Eval_Start_Week,"YES","")</f>
        <v/>
      </c>
      <c r="Q669" s="34" t="str">
        <f aca="false">IF(AND(B669&gt;=Cal_Start_Week,B669&lt;=Cal_End_Week),"YES","")</f>
        <v>YES</v>
      </c>
    </row>
    <row r="670" customFormat="false" ht="15" hidden="false" customHeight="false" outlineLevel="0" collapsed="false">
      <c r="A670" s="31" t="str">
        <f aca="false">Demand_History!C670</f>
        <v>KIT-007</v>
      </c>
      <c r="B670" s="31" t="n">
        <f aca="false">Demand_History!A670</f>
        <v>45</v>
      </c>
      <c r="C670" s="32" t="n">
        <f aca="false">Demand_History!D670</f>
        <v>6</v>
      </c>
      <c r="D670" s="33" t="n">
        <f aca="false">IF(B670&gt;=2,C669,"")</f>
        <v>5</v>
      </c>
      <c r="E670" s="33" t="n">
        <f aca="false">IF(B670&gt;=5,AVERAGE(C666:C669),"")</f>
        <v>6.75</v>
      </c>
      <c r="F670" s="33" t="n">
        <f aca="false">IF(B670&gt;=9,AVERAGE(C662:C669),"")</f>
        <v>6.5</v>
      </c>
      <c r="G670" s="33" t="n">
        <f aca="false">IF(B670=1,"",IF(B670=2,C669,SES_Alpha*C669+(1-SES_Alpha)*G669))</f>
        <v>6.18328115013565</v>
      </c>
      <c r="H670" s="33" t="n">
        <f aca="false">IF(D670="","",D670-C670)</f>
        <v>-1</v>
      </c>
      <c r="I670" s="33" t="n">
        <f aca="false">IF(E670="","",E670-C670)</f>
        <v>0.75</v>
      </c>
      <c r="J670" s="33" t="n">
        <f aca="false">IF(F670="","",F670-C670)</f>
        <v>0.5</v>
      </c>
      <c r="K670" s="33" t="n">
        <f aca="false">IF(G670="","",G670-C670)</f>
        <v>0.183281150135654</v>
      </c>
      <c r="L670" s="33" t="n">
        <f aca="false">IF(H670="","",ABS(H670))</f>
        <v>1</v>
      </c>
      <c r="M670" s="33" t="n">
        <f aca="false">IF(I670="","",ABS(I670))</f>
        <v>0.75</v>
      </c>
      <c r="N670" s="33" t="n">
        <f aca="false">IF(J670="","",ABS(J670))</f>
        <v>0.5</v>
      </c>
      <c r="O670" s="33" t="n">
        <f aca="false">IF(K670="","",ABS(K670))</f>
        <v>0.183281150135654</v>
      </c>
      <c r="P670" s="34" t="str">
        <f aca="false">IF(B670&gt;=Eval_Start_Week,"YES","")</f>
        <v/>
      </c>
      <c r="Q670" s="34" t="str">
        <f aca="false">IF(AND(B670&gt;=Cal_Start_Week,B670&lt;=Cal_End_Week),"YES","")</f>
        <v>YES</v>
      </c>
    </row>
    <row r="671" customFormat="false" ht="15" hidden="false" customHeight="false" outlineLevel="0" collapsed="false">
      <c r="A671" s="31" t="str">
        <f aca="false">Demand_History!C671</f>
        <v>KIT-007</v>
      </c>
      <c r="B671" s="31" t="n">
        <f aca="false">Demand_History!A671</f>
        <v>46</v>
      </c>
      <c r="C671" s="32" t="n">
        <f aca="false">Demand_History!D671</f>
        <v>2</v>
      </c>
      <c r="D671" s="33" t="n">
        <f aca="false">IF(B671&gt;=2,C670,"")</f>
        <v>6</v>
      </c>
      <c r="E671" s="33" t="n">
        <f aca="false">IF(B671&gt;=5,AVERAGE(C667:C670),"")</f>
        <v>5.75</v>
      </c>
      <c r="F671" s="33" t="n">
        <f aca="false">IF(B671&gt;=9,AVERAGE(C663:C670),"")</f>
        <v>6</v>
      </c>
      <c r="G671" s="33" t="n">
        <f aca="false">IF(B671=1,"",IF(B671=2,C670,SES_Alpha*C670+(1-SES_Alpha)*G670))</f>
        <v>6.12829680509496</v>
      </c>
      <c r="H671" s="33" t="n">
        <f aca="false">IF(D671="","",D671-C671)</f>
        <v>4</v>
      </c>
      <c r="I671" s="33" t="n">
        <f aca="false">IF(E671="","",E671-C671)</f>
        <v>3.75</v>
      </c>
      <c r="J671" s="33" t="n">
        <f aca="false">IF(F671="","",F671-C671)</f>
        <v>4</v>
      </c>
      <c r="K671" s="33" t="n">
        <f aca="false">IF(G671="","",G671-C671)</f>
        <v>4.12829680509496</v>
      </c>
      <c r="L671" s="33" t="n">
        <f aca="false">IF(H671="","",ABS(H671))</f>
        <v>4</v>
      </c>
      <c r="M671" s="33" t="n">
        <f aca="false">IF(I671="","",ABS(I671))</f>
        <v>3.75</v>
      </c>
      <c r="N671" s="33" t="n">
        <f aca="false">IF(J671="","",ABS(J671))</f>
        <v>4</v>
      </c>
      <c r="O671" s="33" t="n">
        <f aca="false">IF(K671="","",ABS(K671))</f>
        <v>4.12829680509496</v>
      </c>
      <c r="P671" s="34" t="str">
        <f aca="false">IF(B671&gt;=Eval_Start_Week,"YES","")</f>
        <v/>
      </c>
      <c r="Q671" s="34" t="str">
        <f aca="false">IF(AND(B671&gt;=Cal_Start_Week,B671&lt;=Cal_End_Week),"YES","")</f>
        <v>YES</v>
      </c>
    </row>
    <row r="672" customFormat="false" ht="15" hidden="false" customHeight="false" outlineLevel="0" collapsed="false">
      <c r="A672" s="31" t="str">
        <f aca="false">Demand_History!C672</f>
        <v>KIT-007</v>
      </c>
      <c r="B672" s="31" t="n">
        <f aca="false">Demand_History!A672</f>
        <v>47</v>
      </c>
      <c r="C672" s="32" t="n">
        <f aca="false">Demand_History!D672</f>
        <v>9</v>
      </c>
      <c r="D672" s="33" t="n">
        <f aca="false">IF(B672&gt;=2,C671,"")</f>
        <v>2</v>
      </c>
      <c r="E672" s="33" t="n">
        <f aca="false">IF(B672&gt;=5,AVERAGE(C668:C671),"")</f>
        <v>5.25</v>
      </c>
      <c r="F672" s="33" t="n">
        <f aca="false">IF(B672&gt;=9,AVERAGE(C664:C671),"")</f>
        <v>6</v>
      </c>
      <c r="G672" s="33" t="n">
        <f aca="false">IF(B672=1,"",IF(B672=2,C671,SES_Alpha*C671+(1-SES_Alpha)*G671))</f>
        <v>4.88980776356647</v>
      </c>
      <c r="H672" s="33" t="n">
        <f aca="false">IF(D672="","",D672-C672)</f>
        <v>-7</v>
      </c>
      <c r="I672" s="33" t="n">
        <f aca="false">IF(E672="","",E672-C672)</f>
        <v>-3.75</v>
      </c>
      <c r="J672" s="33" t="n">
        <f aca="false">IF(F672="","",F672-C672)</f>
        <v>-3</v>
      </c>
      <c r="K672" s="33" t="n">
        <f aca="false">IF(G672="","",G672-C672)</f>
        <v>-4.11019223643353</v>
      </c>
      <c r="L672" s="33" t="n">
        <f aca="false">IF(H672="","",ABS(H672))</f>
        <v>7</v>
      </c>
      <c r="M672" s="33" t="n">
        <f aca="false">IF(I672="","",ABS(I672))</f>
        <v>3.75</v>
      </c>
      <c r="N672" s="33" t="n">
        <f aca="false">IF(J672="","",ABS(J672))</f>
        <v>3</v>
      </c>
      <c r="O672" s="33" t="n">
        <f aca="false">IF(K672="","",ABS(K672))</f>
        <v>4.11019223643353</v>
      </c>
      <c r="P672" s="34" t="str">
        <f aca="false">IF(B672&gt;=Eval_Start_Week,"YES","")</f>
        <v/>
      </c>
      <c r="Q672" s="34" t="str">
        <f aca="false">IF(AND(B672&gt;=Cal_Start_Week,B672&lt;=Cal_End_Week),"YES","")</f>
        <v>YES</v>
      </c>
    </row>
    <row r="673" customFormat="false" ht="15" hidden="false" customHeight="false" outlineLevel="0" collapsed="false">
      <c r="A673" s="31" t="str">
        <f aca="false">Demand_History!C673</f>
        <v>KIT-007</v>
      </c>
      <c r="B673" s="31" t="n">
        <f aca="false">Demand_History!A673</f>
        <v>48</v>
      </c>
      <c r="C673" s="32" t="n">
        <f aca="false">Demand_History!D673</f>
        <v>8</v>
      </c>
      <c r="D673" s="33" t="n">
        <f aca="false">IF(B673&gt;=2,C672,"")</f>
        <v>9</v>
      </c>
      <c r="E673" s="33" t="n">
        <f aca="false">IF(B673&gt;=5,AVERAGE(C669:C672),"")</f>
        <v>5.5</v>
      </c>
      <c r="F673" s="33" t="n">
        <f aca="false">IF(B673&gt;=9,AVERAGE(C665:C672),"")</f>
        <v>6.375</v>
      </c>
      <c r="G673" s="33" t="n">
        <f aca="false">IF(B673=1,"",IF(B673=2,C672,SES_Alpha*C672+(1-SES_Alpha)*G672))</f>
        <v>6.12286543449653</v>
      </c>
      <c r="H673" s="33" t="n">
        <f aca="false">IF(D673="","",D673-C673)</f>
        <v>1</v>
      </c>
      <c r="I673" s="33" t="n">
        <f aca="false">IF(E673="","",E673-C673)</f>
        <v>-2.5</v>
      </c>
      <c r="J673" s="33" t="n">
        <f aca="false">IF(F673="","",F673-C673)</f>
        <v>-1.625</v>
      </c>
      <c r="K673" s="33" t="n">
        <f aca="false">IF(G673="","",G673-C673)</f>
        <v>-1.87713456550347</v>
      </c>
      <c r="L673" s="33" t="n">
        <f aca="false">IF(H673="","",ABS(H673))</f>
        <v>1</v>
      </c>
      <c r="M673" s="33" t="n">
        <f aca="false">IF(I673="","",ABS(I673))</f>
        <v>2.5</v>
      </c>
      <c r="N673" s="33" t="n">
        <f aca="false">IF(J673="","",ABS(J673))</f>
        <v>1.625</v>
      </c>
      <c r="O673" s="33" t="n">
        <f aca="false">IF(K673="","",ABS(K673))</f>
        <v>1.87713456550347</v>
      </c>
      <c r="P673" s="34" t="str">
        <f aca="false">IF(B673&gt;=Eval_Start_Week,"YES","")</f>
        <v/>
      </c>
      <c r="Q673" s="34" t="str">
        <f aca="false">IF(AND(B673&gt;=Cal_Start_Week,B673&lt;=Cal_End_Week),"YES","")</f>
        <v>YES</v>
      </c>
    </row>
    <row r="674" customFormat="false" ht="15" hidden="false" customHeight="false" outlineLevel="0" collapsed="false">
      <c r="A674" s="31" t="str">
        <f aca="false">Demand_History!C674</f>
        <v>KIT-007</v>
      </c>
      <c r="B674" s="31" t="n">
        <f aca="false">Demand_History!A674</f>
        <v>49</v>
      </c>
      <c r="C674" s="32" t="n">
        <f aca="false">Demand_History!D674</f>
        <v>6</v>
      </c>
      <c r="D674" s="33" t="n">
        <f aca="false">IF(B674&gt;=2,C673,"")</f>
        <v>8</v>
      </c>
      <c r="E674" s="33" t="n">
        <f aca="false">IF(B674&gt;=5,AVERAGE(C670:C673),"")</f>
        <v>6.25</v>
      </c>
      <c r="F674" s="33" t="n">
        <f aca="false">IF(B674&gt;=9,AVERAGE(C666:C673),"")</f>
        <v>6.5</v>
      </c>
      <c r="G674" s="33" t="n">
        <f aca="false">IF(B674=1,"",IF(B674=2,C673,SES_Alpha*C673+(1-SES_Alpha)*G673))</f>
        <v>6.68600580414757</v>
      </c>
      <c r="H674" s="33" t="n">
        <f aca="false">IF(D674="","",D674-C674)</f>
        <v>2</v>
      </c>
      <c r="I674" s="33" t="n">
        <f aca="false">IF(E674="","",E674-C674)</f>
        <v>0.25</v>
      </c>
      <c r="J674" s="33" t="n">
        <f aca="false">IF(F674="","",F674-C674)</f>
        <v>0.5</v>
      </c>
      <c r="K674" s="33" t="n">
        <f aca="false">IF(G674="","",G674-C674)</f>
        <v>0.68600580414757</v>
      </c>
      <c r="L674" s="33" t="n">
        <f aca="false">IF(H674="","",ABS(H674))</f>
        <v>2</v>
      </c>
      <c r="M674" s="33" t="n">
        <f aca="false">IF(I674="","",ABS(I674))</f>
        <v>0.25</v>
      </c>
      <c r="N674" s="33" t="n">
        <f aca="false">IF(J674="","",ABS(J674))</f>
        <v>0.5</v>
      </c>
      <c r="O674" s="33" t="n">
        <f aca="false">IF(K674="","",ABS(K674))</f>
        <v>0.68600580414757</v>
      </c>
      <c r="P674" s="34" t="str">
        <f aca="false">IF(B674&gt;=Eval_Start_Week,"YES","")</f>
        <v/>
      </c>
      <c r="Q674" s="34" t="str">
        <f aca="false">IF(AND(B674&gt;=Cal_Start_Week,B674&lt;=Cal_End_Week),"YES","")</f>
        <v>YES</v>
      </c>
    </row>
    <row r="675" customFormat="false" ht="15" hidden="false" customHeight="false" outlineLevel="0" collapsed="false">
      <c r="A675" s="31" t="str">
        <f aca="false">Demand_History!C675</f>
        <v>KIT-007</v>
      </c>
      <c r="B675" s="31" t="n">
        <f aca="false">Demand_History!A675</f>
        <v>50</v>
      </c>
      <c r="C675" s="32" t="n">
        <f aca="false">Demand_History!D675</f>
        <v>11</v>
      </c>
      <c r="D675" s="33" t="n">
        <f aca="false">IF(B675&gt;=2,C674,"")</f>
        <v>6</v>
      </c>
      <c r="E675" s="33" t="n">
        <f aca="false">IF(B675&gt;=5,AVERAGE(C671:C674),"")</f>
        <v>6.25</v>
      </c>
      <c r="F675" s="33" t="n">
        <f aca="false">IF(B675&gt;=9,AVERAGE(C667:C674),"")</f>
        <v>6</v>
      </c>
      <c r="G675" s="33" t="n">
        <f aca="false">IF(B675=1,"",IF(B675=2,C674,SES_Alpha*C674+(1-SES_Alpha)*G674))</f>
        <v>6.4802040629033</v>
      </c>
      <c r="H675" s="33" t="n">
        <f aca="false">IF(D675="","",D675-C675)</f>
        <v>-5</v>
      </c>
      <c r="I675" s="33" t="n">
        <f aca="false">IF(E675="","",E675-C675)</f>
        <v>-4.75</v>
      </c>
      <c r="J675" s="33" t="n">
        <f aca="false">IF(F675="","",F675-C675)</f>
        <v>-5</v>
      </c>
      <c r="K675" s="33" t="n">
        <f aca="false">IF(G675="","",G675-C675)</f>
        <v>-4.5197959370967</v>
      </c>
      <c r="L675" s="33" t="n">
        <f aca="false">IF(H675="","",ABS(H675))</f>
        <v>5</v>
      </c>
      <c r="M675" s="33" t="n">
        <f aca="false">IF(I675="","",ABS(I675))</f>
        <v>4.75</v>
      </c>
      <c r="N675" s="33" t="n">
        <f aca="false">IF(J675="","",ABS(J675))</f>
        <v>5</v>
      </c>
      <c r="O675" s="33" t="n">
        <f aca="false">IF(K675="","",ABS(K675))</f>
        <v>4.5197959370967</v>
      </c>
      <c r="P675" s="34" t="str">
        <f aca="false">IF(B675&gt;=Eval_Start_Week,"YES","")</f>
        <v/>
      </c>
      <c r="Q675" s="34" t="str">
        <f aca="false">IF(AND(B675&gt;=Cal_Start_Week,B675&lt;=Cal_End_Week),"YES","")</f>
        <v>YES</v>
      </c>
    </row>
    <row r="676" customFormat="false" ht="15" hidden="false" customHeight="false" outlineLevel="0" collapsed="false">
      <c r="A676" s="31" t="str">
        <f aca="false">Demand_History!C676</f>
        <v>KIT-007</v>
      </c>
      <c r="B676" s="31" t="n">
        <f aca="false">Demand_History!A676</f>
        <v>51</v>
      </c>
      <c r="C676" s="32" t="n">
        <f aca="false">Demand_History!D676</f>
        <v>5</v>
      </c>
      <c r="D676" s="33" t="n">
        <f aca="false">IF(B676&gt;=2,C675,"")</f>
        <v>11</v>
      </c>
      <c r="E676" s="33" t="n">
        <f aca="false">IF(B676&gt;=5,AVERAGE(C672:C675),"")</f>
        <v>8.5</v>
      </c>
      <c r="F676" s="33" t="n">
        <f aca="false">IF(B676&gt;=9,AVERAGE(C668:C675),"")</f>
        <v>6.875</v>
      </c>
      <c r="G676" s="33" t="n">
        <f aca="false">IF(B676=1,"",IF(B676=2,C675,SES_Alpha*C675+(1-SES_Alpha)*G675))</f>
        <v>7.83614284403231</v>
      </c>
      <c r="H676" s="33" t="n">
        <f aca="false">IF(D676="","",D676-C676)</f>
        <v>6</v>
      </c>
      <c r="I676" s="33" t="n">
        <f aca="false">IF(E676="","",E676-C676)</f>
        <v>3.5</v>
      </c>
      <c r="J676" s="33" t="n">
        <f aca="false">IF(F676="","",F676-C676)</f>
        <v>1.875</v>
      </c>
      <c r="K676" s="33" t="n">
        <f aca="false">IF(G676="","",G676-C676)</f>
        <v>2.83614284403231</v>
      </c>
      <c r="L676" s="33" t="n">
        <f aca="false">IF(H676="","",ABS(H676))</f>
        <v>6</v>
      </c>
      <c r="M676" s="33" t="n">
        <f aca="false">IF(I676="","",ABS(I676))</f>
        <v>3.5</v>
      </c>
      <c r="N676" s="33" t="n">
        <f aca="false">IF(J676="","",ABS(J676))</f>
        <v>1.875</v>
      </c>
      <c r="O676" s="33" t="n">
        <f aca="false">IF(K676="","",ABS(K676))</f>
        <v>2.83614284403231</v>
      </c>
      <c r="P676" s="34" t="str">
        <f aca="false">IF(B676&gt;=Eval_Start_Week,"YES","")</f>
        <v/>
      </c>
      <c r="Q676" s="34" t="str">
        <f aca="false">IF(AND(B676&gt;=Cal_Start_Week,B676&lt;=Cal_End_Week),"YES","")</f>
        <v>YES</v>
      </c>
    </row>
    <row r="677" customFormat="false" ht="15" hidden="false" customHeight="false" outlineLevel="0" collapsed="false">
      <c r="A677" s="31" t="str">
        <f aca="false">Demand_History!C677</f>
        <v>KIT-007</v>
      </c>
      <c r="B677" s="31" t="n">
        <f aca="false">Demand_History!A677</f>
        <v>52</v>
      </c>
      <c r="C677" s="32" t="n">
        <f aca="false">Demand_History!D677</f>
        <v>4</v>
      </c>
      <c r="D677" s="33" t="n">
        <f aca="false">IF(B677&gt;=2,C676,"")</f>
        <v>5</v>
      </c>
      <c r="E677" s="33" t="n">
        <f aca="false">IF(B677&gt;=5,AVERAGE(C673:C676),"")</f>
        <v>7.5</v>
      </c>
      <c r="F677" s="33" t="n">
        <f aca="false">IF(B677&gt;=9,AVERAGE(C669:C676),"")</f>
        <v>6.5</v>
      </c>
      <c r="G677" s="33" t="n">
        <f aca="false">IF(B677=1,"",IF(B677=2,C676,SES_Alpha*C676+(1-SES_Alpha)*G676))</f>
        <v>6.98529999082262</v>
      </c>
      <c r="H677" s="33" t="n">
        <f aca="false">IF(D677="","",D677-C677)</f>
        <v>1</v>
      </c>
      <c r="I677" s="33" t="n">
        <f aca="false">IF(E677="","",E677-C677)</f>
        <v>3.5</v>
      </c>
      <c r="J677" s="33" t="n">
        <f aca="false">IF(F677="","",F677-C677)</f>
        <v>2.5</v>
      </c>
      <c r="K677" s="33" t="n">
        <f aca="false">IF(G677="","",G677-C677)</f>
        <v>2.98529999082262</v>
      </c>
      <c r="L677" s="33" t="n">
        <f aca="false">IF(H677="","",ABS(H677))</f>
        <v>1</v>
      </c>
      <c r="M677" s="33" t="n">
        <f aca="false">IF(I677="","",ABS(I677))</f>
        <v>3.5</v>
      </c>
      <c r="N677" s="33" t="n">
        <f aca="false">IF(J677="","",ABS(J677))</f>
        <v>2.5</v>
      </c>
      <c r="O677" s="33" t="n">
        <f aca="false">IF(K677="","",ABS(K677))</f>
        <v>2.98529999082262</v>
      </c>
      <c r="P677" s="34" t="str">
        <f aca="false">IF(B677&gt;=Eval_Start_Week,"YES","")</f>
        <v/>
      </c>
      <c r="Q677" s="34" t="str">
        <f aca="false">IF(AND(B677&gt;=Cal_Start_Week,B677&lt;=Cal_End_Week),"YES","")</f>
        <v>YES</v>
      </c>
    </row>
    <row r="678" customFormat="false" ht="15" hidden="false" customHeight="false" outlineLevel="0" collapsed="false">
      <c r="A678" s="31" t="str">
        <f aca="false">Demand_History!C678</f>
        <v>KIT-007</v>
      </c>
      <c r="B678" s="31" t="n">
        <f aca="false">Demand_History!A678</f>
        <v>53</v>
      </c>
      <c r="C678" s="32" t="n">
        <f aca="false">Demand_History!D678</f>
        <v>5</v>
      </c>
      <c r="D678" s="33" t="n">
        <f aca="false">IF(B678&gt;=2,C677,"")</f>
        <v>4</v>
      </c>
      <c r="E678" s="33" t="n">
        <f aca="false">IF(B678&gt;=5,AVERAGE(C674:C677),"")</f>
        <v>6.5</v>
      </c>
      <c r="F678" s="33" t="n">
        <f aca="false">IF(B678&gt;=9,AVERAGE(C670:C677),"")</f>
        <v>6.375</v>
      </c>
      <c r="G678" s="33" t="n">
        <f aca="false">IF(B678=1,"",IF(B678=2,C677,SES_Alpha*C677+(1-SES_Alpha)*G677))</f>
        <v>6.08970999357583</v>
      </c>
      <c r="H678" s="33" t="n">
        <f aca="false">IF(D678="","",D678-C678)</f>
        <v>-1</v>
      </c>
      <c r="I678" s="33" t="n">
        <f aca="false">IF(E678="","",E678-C678)</f>
        <v>1.5</v>
      </c>
      <c r="J678" s="33" t="n">
        <f aca="false">IF(F678="","",F678-C678)</f>
        <v>1.375</v>
      </c>
      <c r="K678" s="33" t="n">
        <f aca="false">IF(G678="","",G678-C678)</f>
        <v>1.08970999357583</v>
      </c>
      <c r="L678" s="33" t="n">
        <f aca="false">IF(H678="","",ABS(H678))</f>
        <v>1</v>
      </c>
      <c r="M678" s="33" t="n">
        <f aca="false">IF(I678="","",ABS(I678))</f>
        <v>1.5</v>
      </c>
      <c r="N678" s="33" t="n">
        <f aca="false">IF(J678="","",ABS(J678))</f>
        <v>1.375</v>
      </c>
      <c r="O678" s="33" t="n">
        <f aca="false">IF(K678="","",ABS(K678))</f>
        <v>1.08970999357583</v>
      </c>
      <c r="P678" s="34" t="str">
        <f aca="false">IF(B678&gt;=Eval_Start_Week,"YES","")</f>
        <v>YES</v>
      </c>
      <c r="Q678" s="34" t="str">
        <f aca="false">IF(AND(B678&gt;=Cal_Start_Week,B678&lt;=Cal_End_Week),"YES","")</f>
        <v>YES</v>
      </c>
    </row>
    <row r="679" customFormat="false" ht="15" hidden="false" customHeight="false" outlineLevel="0" collapsed="false">
      <c r="A679" s="31" t="str">
        <f aca="false">Demand_History!C679</f>
        <v>KIT-007</v>
      </c>
      <c r="B679" s="31" t="n">
        <f aca="false">Demand_History!A679</f>
        <v>54</v>
      </c>
      <c r="C679" s="32" t="n">
        <f aca="false">Demand_History!D679</f>
        <v>9</v>
      </c>
      <c r="D679" s="33" t="n">
        <f aca="false">IF(B679&gt;=2,C678,"")</f>
        <v>5</v>
      </c>
      <c r="E679" s="33" t="n">
        <f aca="false">IF(B679&gt;=5,AVERAGE(C675:C678),"")</f>
        <v>6.25</v>
      </c>
      <c r="F679" s="33" t="n">
        <f aca="false">IF(B679&gt;=9,AVERAGE(C671:C678),"")</f>
        <v>6.25</v>
      </c>
      <c r="G679" s="33" t="n">
        <f aca="false">IF(B679=1,"",IF(B679=2,C678,SES_Alpha*C678+(1-SES_Alpha)*G678))</f>
        <v>5.76279699550308</v>
      </c>
      <c r="H679" s="33" t="n">
        <f aca="false">IF(D679="","",D679-C679)</f>
        <v>-4</v>
      </c>
      <c r="I679" s="33" t="n">
        <f aca="false">IF(E679="","",E679-C679)</f>
        <v>-2.75</v>
      </c>
      <c r="J679" s="33" t="n">
        <f aca="false">IF(F679="","",F679-C679)</f>
        <v>-2.75</v>
      </c>
      <c r="K679" s="33" t="n">
        <f aca="false">IF(G679="","",G679-C679)</f>
        <v>-3.23720300449692</v>
      </c>
      <c r="L679" s="33" t="n">
        <f aca="false">IF(H679="","",ABS(H679))</f>
        <v>4</v>
      </c>
      <c r="M679" s="33" t="n">
        <f aca="false">IF(I679="","",ABS(I679))</f>
        <v>2.75</v>
      </c>
      <c r="N679" s="33" t="n">
        <f aca="false">IF(J679="","",ABS(J679))</f>
        <v>2.75</v>
      </c>
      <c r="O679" s="33" t="n">
        <f aca="false">IF(K679="","",ABS(K679))</f>
        <v>3.23720300449692</v>
      </c>
      <c r="P679" s="34" t="str">
        <f aca="false">IF(B679&gt;=Eval_Start_Week,"YES","")</f>
        <v>YES</v>
      </c>
      <c r="Q679" s="34" t="str">
        <f aca="false">IF(AND(B679&gt;=Cal_Start_Week,B679&lt;=Cal_End_Week),"YES","")</f>
        <v>YES</v>
      </c>
    </row>
    <row r="680" customFormat="false" ht="15" hidden="false" customHeight="false" outlineLevel="0" collapsed="false">
      <c r="A680" s="31" t="str">
        <f aca="false">Demand_History!C680</f>
        <v>KIT-007</v>
      </c>
      <c r="B680" s="31" t="n">
        <f aca="false">Demand_History!A680</f>
        <v>55</v>
      </c>
      <c r="C680" s="32" t="n">
        <f aca="false">Demand_History!D680</f>
        <v>6</v>
      </c>
      <c r="D680" s="33" t="n">
        <f aca="false">IF(B680&gt;=2,C679,"")</f>
        <v>9</v>
      </c>
      <c r="E680" s="33" t="n">
        <f aca="false">IF(B680&gt;=5,AVERAGE(C676:C679),"")</f>
        <v>5.75</v>
      </c>
      <c r="F680" s="33" t="n">
        <f aca="false">IF(B680&gt;=9,AVERAGE(C672:C679),"")</f>
        <v>7.125</v>
      </c>
      <c r="G680" s="33" t="n">
        <f aca="false">IF(B680=1,"",IF(B680=2,C679,SES_Alpha*C679+(1-SES_Alpha)*G679))</f>
        <v>6.73395789685216</v>
      </c>
      <c r="H680" s="33" t="n">
        <f aca="false">IF(D680="","",D680-C680)</f>
        <v>3</v>
      </c>
      <c r="I680" s="33" t="n">
        <f aca="false">IF(E680="","",E680-C680)</f>
        <v>-0.25</v>
      </c>
      <c r="J680" s="33" t="n">
        <f aca="false">IF(F680="","",F680-C680)</f>
        <v>1.125</v>
      </c>
      <c r="K680" s="33" t="n">
        <f aca="false">IF(G680="","",G680-C680)</f>
        <v>0.733957896852155</v>
      </c>
      <c r="L680" s="33" t="n">
        <f aca="false">IF(H680="","",ABS(H680))</f>
        <v>3</v>
      </c>
      <c r="M680" s="33" t="n">
        <f aca="false">IF(I680="","",ABS(I680))</f>
        <v>0.25</v>
      </c>
      <c r="N680" s="33" t="n">
        <f aca="false">IF(J680="","",ABS(J680))</f>
        <v>1.125</v>
      </c>
      <c r="O680" s="33" t="n">
        <f aca="false">IF(K680="","",ABS(K680))</f>
        <v>0.733957896852155</v>
      </c>
      <c r="P680" s="34" t="str">
        <f aca="false">IF(B680&gt;=Eval_Start_Week,"YES","")</f>
        <v>YES</v>
      </c>
      <c r="Q680" s="34" t="str">
        <f aca="false">IF(AND(B680&gt;=Cal_Start_Week,B680&lt;=Cal_End_Week),"YES","")</f>
        <v>YES</v>
      </c>
    </row>
    <row r="681" customFormat="false" ht="15" hidden="false" customHeight="false" outlineLevel="0" collapsed="false">
      <c r="A681" s="31" t="str">
        <f aca="false">Demand_History!C681</f>
        <v>KIT-007</v>
      </c>
      <c r="B681" s="31" t="n">
        <f aca="false">Demand_History!A681</f>
        <v>56</v>
      </c>
      <c r="C681" s="32" t="n">
        <f aca="false">Demand_History!D681</f>
        <v>3</v>
      </c>
      <c r="D681" s="33" t="n">
        <f aca="false">IF(B681&gt;=2,C680,"")</f>
        <v>6</v>
      </c>
      <c r="E681" s="33" t="n">
        <f aca="false">IF(B681&gt;=5,AVERAGE(C677:C680),"")</f>
        <v>6</v>
      </c>
      <c r="F681" s="33" t="n">
        <f aca="false">IF(B681&gt;=9,AVERAGE(C673:C680),"")</f>
        <v>6.75</v>
      </c>
      <c r="G681" s="33" t="n">
        <f aca="false">IF(B681=1,"",IF(B681=2,C680,SES_Alpha*C680+(1-SES_Alpha)*G680))</f>
        <v>6.51377052779651</v>
      </c>
      <c r="H681" s="33" t="n">
        <f aca="false">IF(D681="","",D681-C681)</f>
        <v>3</v>
      </c>
      <c r="I681" s="33" t="n">
        <f aca="false">IF(E681="","",E681-C681)</f>
        <v>3</v>
      </c>
      <c r="J681" s="33" t="n">
        <f aca="false">IF(F681="","",F681-C681)</f>
        <v>3.75</v>
      </c>
      <c r="K681" s="33" t="n">
        <f aca="false">IF(G681="","",G681-C681)</f>
        <v>3.51377052779651</v>
      </c>
      <c r="L681" s="33" t="n">
        <f aca="false">IF(H681="","",ABS(H681))</f>
        <v>3</v>
      </c>
      <c r="M681" s="33" t="n">
        <f aca="false">IF(I681="","",ABS(I681))</f>
        <v>3</v>
      </c>
      <c r="N681" s="33" t="n">
        <f aca="false">IF(J681="","",ABS(J681))</f>
        <v>3.75</v>
      </c>
      <c r="O681" s="33" t="n">
        <f aca="false">IF(K681="","",ABS(K681))</f>
        <v>3.51377052779651</v>
      </c>
      <c r="P681" s="34" t="str">
        <f aca="false">IF(B681&gt;=Eval_Start_Week,"YES","")</f>
        <v>YES</v>
      </c>
      <c r="Q681" s="34" t="str">
        <f aca="false">IF(AND(B681&gt;=Cal_Start_Week,B681&lt;=Cal_End_Week),"YES","")</f>
        <v>YES</v>
      </c>
    </row>
    <row r="682" customFormat="false" ht="15" hidden="false" customHeight="false" outlineLevel="0" collapsed="false">
      <c r="A682" s="31" t="str">
        <f aca="false">Demand_History!C682</f>
        <v>KIT-007</v>
      </c>
      <c r="B682" s="31" t="n">
        <f aca="false">Demand_History!A682</f>
        <v>57</v>
      </c>
      <c r="C682" s="32" t="n">
        <f aca="false">Demand_History!D682</f>
        <v>5</v>
      </c>
      <c r="D682" s="33" t="n">
        <f aca="false">IF(B682&gt;=2,C681,"")</f>
        <v>3</v>
      </c>
      <c r="E682" s="33" t="n">
        <f aca="false">IF(B682&gt;=5,AVERAGE(C678:C681),"")</f>
        <v>5.75</v>
      </c>
      <c r="F682" s="33" t="n">
        <f aca="false">IF(B682&gt;=9,AVERAGE(C674:C681),"")</f>
        <v>6.125</v>
      </c>
      <c r="G682" s="33" t="n">
        <f aca="false">IF(B682=1,"",IF(B682=2,C681,SES_Alpha*C681+(1-SES_Alpha)*G681))</f>
        <v>5.45963936945756</v>
      </c>
      <c r="H682" s="33" t="n">
        <f aca="false">IF(D682="","",D682-C682)</f>
        <v>-2</v>
      </c>
      <c r="I682" s="33" t="n">
        <f aca="false">IF(E682="","",E682-C682)</f>
        <v>0.75</v>
      </c>
      <c r="J682" s="33" t="n">
        <f aca="false">IF(F682="","",F682-C682)</f>
        <v>1.125</v>
      </c>
      <c r="K682" s="33" t="n">
        <f aca="false">IF(G682="","",G682-C682)</f>
        <v>0.459639369457555</v>
      </c>
      <c r="L682" s="33" t="n">
        <f aca="false">IF(H682="","",ABS(H682))</f>
        <v>2</v>
      </c>
      <c r="M682" s="33" t="n">
        <f aca="false">IF(I682="","",ABS(I682))</f>
        <v>0.75</v>
      </c>
      <c r="N682" s="33" t="n">
        <f aca="false">IF(J682="","",ABS(J682))</f>
        <v>1.125</v>
      </c>
      <c r="O682" s="33" t="n">
        <f aca="false">IF(K682="","",ABS(K682))</f>
        <v>0.459639369457555</v>
      </c>
      <c r="P682" s="34" t="str">
        <f aca="false">IF(B682&gt;=Eval_Start_Week,"YES","")</f>
        <v>YES</v>
      </c>
      <c r="Q682" s="34" t="str">
        <f aca="false">IF(AND(B682&gt;=Cal_Start_Week,B682&lt;=Cal_End_Week),"YES","")</f>
        <v>YES</v>
      </c>
    </row>
    <row r="683" customFormat="false" ht="15" hidden="false" customHeight="false" outlineLevel="0" collapsed="false">
      <c r="A683" s="31" t="str">
        <f aca="false">Demand_History!C683</f>
        <v>KIT-007</v>
      </c>
      <c r="B683" s="31" t="n">
        <f aca="false">Demand_History!A683</f>
        <v>58</v>
      </c>
      <c r="C683" s="32" t="n">
        <f aca="false">Demand_History!D683</f>
        <v>10</v>
      </c>
      <c r="D683" s="33" t="n">
        <f aca="false">IF(B683&gt;=2,C682,"")</f>
        <v>5</v>
      </c>
      <c r="E683" s="33" t="n">
        <f aca="false">IF(B683&gt;=5,AVERAGE(C679:C682),"")</f>
        <v>5.75</v>
      </c>
      <c r="F683" s="33" t="n">
        <f aca="false">IF(B683&gt;=9,AVERAGE(C675:C682),"")</f>
        <v>6</v>
      </c>
      <c r="G683" s="33" t="n">
        <f aca="false">IF(B683=1,"",IF(B683=2,C682,SES_Alpha*C682+(1-SES_Alpha)*G682))</f>
        <v>5.32174755862029</v>
      </c>
      <c r="H683" s="33" t="n">
        <f aca="false">IF(D683="","",D683-C683)</f>
        <v>-5</v>
      </c>
      <c r="I683" s="33" t="n">
        <f aca="false">IF(E683="","",E683-C683)</f>
        <v>-4.25</v>
      </c>
      <c r="J683" s="33" t="n">
        <f aca="false">IF(F683="","",F683-C683)</f>
        <v>-4</v>
      </c>
      <c r="K683" s="33" t="n">
        <f aca="false">IF(G683="","",G683-C683)</f>
        <v>-4.67825244137971</v>
      </c>
      <c r="L683" s="33" t="n">
        <f aca="false">IF(H683="","",ABS(H683))</f>
        <v>5</v>
      </c>
      <c r="M683" s="33" t="n">
        <f aca="false">IF(I683="","",ABS(I683))</f>
        <v>4.25</v>
      </c>
      <c r="N683" s="33" t="n">
        <f aca="false">IF(J683="","",ABS(J683))</f>
        <v>4</v>
      </c>
      <c r="O683" s="33" t="n">
        <f aca="false">IF(K683="","",ABS(K683))</f>
        <v>4.67825244137971</v>
      </c>
      <c r="P683" s="34" t="str">
        <f aca="false">IF(B683&gt;=Eval_Start_Week,"YES","")</f>
        <v>YES</v>
      </c>
      <c r="Q683" s="34" t="str">
        <f aca="false">IF(AND(B683&gt;=Cal_Start_Week,B683&lt;=Cal_End_Week),"YES","")</f>
        <v>YES</v>
      </c>
    </row>
    <row r="684" customFormat="false" ht="15" hidden="false" customHeight="false" outlineLevel="0" collapsed="false">
      <c r="A684" s="31" t="str">
        <f aca="false">Demand_History!C684</f>
        <v>KIT-007</v>
      </c>
      <c r="B684" s="31" t="n">
        <f aca="false">Demand_History!A684</f>
        <v>59</v>
      </c>
      <c r="C684" s="32" t="n">
        <f aca="false">Demand_History!D684</f>
        <v>10</v>
      </c>
      <c r="D684" s="33" t="n">
        <f aca="false">IF(B684&gt;=2,C683,"")</f>
        <v>10</v>
      </c>
      <c r="E684" s="33" t="n">
        <f aca="false">IF(B684&gt;=5,AVERAGE(C680:C683),"")</f>
        <v>6</v>
      </c>
      <c r="F684" s="33" t="n">
        <f aca="false">IF(B684&gt;=9,AVERAGE(C676:C683),"")</f>
        <v>5.875</v>
      </c>
      <c r="G684" s="33" t="n">
        <f aca="false">IF(B684=1,"",IF(B684=2,C683,SES_Alpha*C683+(1-SES_Alpha)*G683))</f>
        <v>6.7252232910342</v>
      </c>
      <c r="H684" s="33" t="n">
        <f aca="false">IF(D684="","",D684-C684)</f>
        <v>0</v>
      </c>
      <c r="I684" s="33" t="n">
        <f aca="false">IF(E684="","",E684-C684)</f>
        <v>-4</v>
      </c>
      <c r="J684" s="33" t="n">
        <f aca="false">IF(F684="","",F684-C684)</f>
        <v>-4.125</v>
      </c>
      <c r="K684" s="33" t="n">
        <f aca="false">IF(G684="","",G684-C684)</f>
        <v>-3.2747767089658</v>
      </c>
      <c r="L684" s="33" t="n">
        <f aca="false">IF(H684="","",ABS(H684))</f>
        <v>0</v>
      </c>
      <c r="M684" s="33" t="n">
        <f aca="false">IF(I684="","",ABS(I684))</f>
        <v>4</v>
      </c>
      <c r="N684" s="33" t="n">
        <f aca="false">IF(J684="","",ABS(J684))</f>
        <v>4.125</v>
      </c>
      <c r="O684" s="33" t="n">
        <f aca="false">IF(K684="","",ABS(K684))</f>
        <v>3.2747767089658</v>
      </c>
      <c r="P684" s="34" t="str">
        <f aca="false">IF(B684&gt;=Eval_Start_Week,"YES","")</f>
        <v>YES</v>
      </c>
      <c r="Q684" s="34" t="str">
        <f aca="false">IF(AND(B684&gt;=Cal_Start_Week,B684&lt;=Cal_End_Week),"YES","")</f>
        <v>YES</v>
      </c>
    </row>
    <row r="685" customFormat="false" ht="15" hidden="false" customHeight="false" outlineLevel="0" collapsed="false">
      <c r="A685" s="31" t="str">
        <f aca="false">Demand_History!C685</f>
        <v>KIT-007</v>
      </c>
      <c r="B685" s="31" t="n">
        <f aca="false">Demand_History!A685</f>
        <v>60</v>
      </c>
      <c r="C685" s="32" t="n">
        <f aca="false">Demand_History!D685</f>
        <v>12</v>
      </c>
      <c r="D685" s="33" t="n">
        <f aca="false">IF(B685&gt;=2,C684,"")</f>
        <v>10</v>
      </c>
      <c r="E685" s="33" t="n">
        <f aca="false">IF(B685&gt;=5,AVERAGE(C681:C684),"")</f>
        <v>7</v>
      </c>
      <c r="F685" s="33" t="n">
        <f aca="false">IF(B685&gt;=9,AVERAGE(C677:C684),"")</f>
        <v>6.5</v>
      </c>
      <c r="G685" s="33" t="n">
        <f aca="false">IF(B685=1,"",IF(B685=2,C684,SES_Alpha*C684+(1-SES_Alpha)*G684))</f>
        <v>7.70765630372394</v>
      </c>
      <c r="H685" s="33" t="n">
        <f aca="false">IF(D685="","",D685-C685)</f>
        <v>-2</v>
      </c>
      <c r="I685" s="33" t="n">
        <f aca="false">IF(E685="","",E685-C685)</f>
        <v>-5</v>
      </c>
      <c r="J685" s="33" t="n">
        <f aca="false">IF(F685="","",F685-C685)</f>
        <v>-5.5</v>
      </c>
      <c r="K685" s="33" t="n">
        <f aca="false">IF(G685="","",G685-C685)</f>
        <v>-4.29234369627606</v>
      </c>
      <c r="L685" s="33" t="n">
        <f aca="false">IF(H685="","",ABS(H685))</f>
        <v>2</v>
      </c>
      <c r="M685" s="33" t="n">
        <f aca="false">IF(I685="","",ABS(I685))</f>
        <v>5</v>
      </c>
      <c r="N685" s="33" t="n">
        <f aca="false">IF(J685="","",ABS(J685))</f>
        <v>5.5</v>
      </c>
      <c r="O685" s="33" t="n">
        <f aca="false">IF(K685="","",ABS(K685))</f>
        <v>4.29234369627606</v>
      </c>
      <c r="P685" s="34" t="str">
        <f aca="false">IF(B685&gt;=Eval_Start_Week,"YES","")</f>
        <v>YES</v>
      </c>
      <c r="Q685" s="34" t="str">
        <f aca="false">IF(AND(B685&gt;=Cal_Start_Week,B685&lt;=Cal_End_Week),"YES","")</f>
        <v>YES</v>
      </c>
    </row>
    <row r="686" customFormat="false" ht="15" hidden="false" customHeight="false" outlineLevel="0" collapsed="false">
      <c r="A686" s="31" t="str">
        <f aca="false">Demand_History!C686</f>
        <v>KIT-007</v>
      </c>
      <c r="B686" s="31" t="n">
        <f aca="false">Demand_History!A686</f>
        <v>61</v>
      </c>
      <c r="C686" s="32" t="n">
        <f aca="false">Demand_History!D686</f>
        <v>5</v>
      </c>
      <c r="D686" s="33" t="n">
        <f aca="false">IF(B686&gt;=2,C685,"")</f>
        <v>12</v>
      </c>
      <c r="E686" s="33" t="n">
        <f aca="false">IF(B686&gt;=5,AVERAGE(C682:C685),"")</f>
        <v>9.25</v>
      </c>
      <c r="F686" s="33" t="n">
        <f aca="false">IF(B686&gt;=9,AVERAGE(C678:C685),"")</f>
        <v>7.5</v>
      </c>
      <c r="G686" s="33" t="n">
        <f aca="false">IF(B686=1,"",IF(B686=2,C685,SES_Alpha*C685+(1-SES_Alpha)*G685))</f>
        <v>8.99535941260676</v>
      </c>
      <c r="H686" s="33" t="n">
        <f aca="false">IF(D686="","",D686-C686)</f>
        <v>7</v>
      </c>
      <c r="I686" s="33" t="n">
        <f aca="false">IF(E686="","",E686-C686)</f>
        <v>4.25</v>
      </c>
      <c r="J686" s="33" t="n">
        <f aca="false">IF(F686="","",F686-C686)</f>
        <v>2.5</v>
      </c>
      <c r="K686" s="33" t="n">
        <f aca="false">IF(G686="","",G686-C686)</f>
        <v>3.99535941260676</v>
      </c>
      <c r="L686" s="33" t="n">
        <f aca="false">IF(H686="","",ABS(H686))</f>
        <v>7</v>
      </c>
      <c r="M686" s="33" t="n">
        <f aca="false">IF(I686="","",ABS(I686))</f>
        <v>4.25</v>
      </c>
      <c r="N686" s="33" t="n">
        <f aca="false">IF(J686="","",ABS(J686))</f>
        <v>2.5</v>
      </c>
      <c r="O686" s="33" t="n">
        <f aca="false">IF(K686="","",ABS(K686))</f>
        <v>3.99535941260676</v>
      </c>
      <c r="P686" s="34" t="str">
        <f aca="false">IF(B686&gt;=Eval_Start_Week,"YES","")</f>
        <v>YES</v>
      </c>
      <c r="Q686" s="34" t="str">
        <f aca="false">IF(AND(B686&gt;=Cal_Start_Week,B686&lt;=Cal_End_Week),"YES","")</f>
        <v>YES</v>
      </c>
    </row>
    <row r="687" customFormat="false" ht="15" hidden="false" customHeight="false" outlineLevel="0" collapsed="false">
      <c r="A687" s="31" t="str">
        <f aca="false">Demand_History!C687</f>
        <v>KIT-007</v>
      </c>
      <c r="B687" s="31" t="n">
        <f aca="false">Demand_History!A687</f>
        <v>62</v>
      </c>
      <c r="C687" s="32" t="n">
        <f aca="false">Demand_History!D687</f>
        <v>8</v>
      </c>
      <c r="D687" s="33" t="n">
        <f aca="false">IF(B687&gt;=2,C686,"")</f>
        <v>5</v>
      </c>
      <c r="E687" s="33" t="n">
        <f aca="false">IF(B687&gt;=5,AVERAGE(C683:C686),"")</f>
        <v>9.25</v>
      </c>
      <c r="F687" s="33" t="n">
        <f aca="false">IF(B687&gt;=9,AVERAGE(C679:C686),"")</f>
        <v>7.5</v>
      </c>
      <c r="G687" s="33" t="n">
        <f aca="false">IF(B687=1,"",IF(B687=2,C686,SES_Alpha*C686+(1-SES_Alpha)*G686))</f>
        <v>7.79675158882473</v>
      </c>
      <c r="H687" s="33" t="n">
        <f aca="false">IF(D687="","",D687-C687)</f>
        <v>-3</v>
      </c>
      <c r="I687" s="33" t="n">
        <f aca="false">IF(E687="","",E687-C687)</f>
        <v>1.25</v>
      </c>
      <c r="J687" s="33" t="n">
        <f aca="false">IF(F687="","",F687-C687)</f>
        <v>-0.5</v>
      </c>
      <c r="K687" s="33" t="n">
        <f aca="false">IF(G687="","",G687-C687)</f>
        <v>-0.203248411175271</v>
      </c>
      <c r="L687" s="33" t="n">
        <f aca="false">IF(H687="","",ABS(H687))</f>
        <v>3</v>
      </c>
      <c r="M687" s="33" t="n">
        <f aca="false">IF(I687="","",ABS(I687))</f>
        <v>1.25</v>
      </c>
      <c r="N687" s="33" t="n">
        <f aca="false">IF(J687="","",ABS(J687))</f>
        <v>0.5</v>
      </c>
      <c r="O687" s="33" t="n">
        <f aca="false">IF(K687="","",ABS(K687))</f>
        <v>0.203248411175271</v>
      </c>
      <c r="P687" s="34" t="str">
        <f aca="false">IF(B687&gt;=Eval_Start_Week,"YES","")</f>
        <v>YES</v>
      </c>
      <c r="Q687" s="34" t="str">
        <f aca="false">IF(AND(B687&gt;=Cal_Start_Week,B687&lt;=Cal_End_Week),"YES","")</f>
        <v>YES</v>
      </c>
    </row>
    <row r="688" customFormat="false" ht="15" hidden="false" customHeight="false" outlineLevel="0" collapsed="false">
      <c r="A688" s="31" t="str">
        <f aca="false">Demand_History!C688</f>
        <v>KIT-007</v>
      </c>
      <c r="B688" s="31" t="n">
        <f aca="false">Demand_History!A688</f>
        <v>63</v>
      </c>
      <c r="C688" s="32" t="n">
        <f aca="false">Demand_History!D688</f>
        <v>9</v>
      </c>
      <c r="D688" s="33" t="n">
        <f aca="false">IF(B688&gt;=2,C687,"")</f>
        <v>8</v>
      </c>
      <c r="E688" s="33" t="n">
        <f aca="false">IF(B688&gt;=5,AVERAGE(C684:C687),"")</f>
        <v>8.75</v>
      </c>
      <c r="F688" s="33" t="n">
        <f aca="false">IF(B688&gt;=9,AVERAGE(C680:C687),"")</f>
        <v>7.375</v>
      </c>
      <c r="G688" s="33" t="n">
        <f aca="false">IF(B688=1,"",IF(B688=2,C687,SES_Alpha*C687+(1-SES_Alpha)*G687))</f>
        <v>7.85772611217731</v>
      </c>
      <c r="H688" s="33" t="n">
        <f aca="false">IF(D688="","",D688-C688)</f>
        <v>-1</v>
      </c>
      <c r="I688" s="33" t="n">
        <f aca="false">IF(E688="","",E688-C688)</f>
        <v>-0.25</v>
      </c>
      <c r="J688" s="33" t="n">
        <f aca="false">IF(F688="","",F688-C688)</f>
        <v>-1.625</v>
      </c>
      <c r="K688" s="33" t="n">
        <f aca="false">IF(G688="","",G688-C688)</f>
        <v>-1.14227388782269</v>
      </c>
      <c r="L688" s="33" t="n">
        <f aca="false">IF(H688="","",ABS(H688))</f>
        <v>1</v>
      </c>
      <c r="M688" s="33" t="n">
        <f aca="false">IF(I688="","",ABS(I688))</f>
        <v>0.25</v>
      </c>
      <c r="N688" s="33" t="n">
        <f aca="false">IF(J688="","",ABS(J688))</f>
        <v>1.625</v>
      </c>
      <c r="O688" s="33" t="n">
        <f aca="false">IF(K688="","",ABS(K688))</f>
        <v>1.14227388782269</v>
      </c>
      <c r="P688" s="34" t="str">
        <f aca="false">IF(B688&gt;=Eval_Start_Week,"YES","")</f>
        <v>YES</v>
      </c>
      <c r="Q688" s="34" t="str">
        <f aca="false">IF(AND(B688&gt;=Cal_Start_Week,B688&lt;=Cal_End_Week),"YES","")</f>
        <v>YES</v>
      </c>
    </row>
    <row r="689" customFormat="false" ht="15" hidden="false" customHeight="false" outlineLevel="0" collapsed="false">
      <c r="A689" s="31" t="str">
        <f aca="false">Demand_History!C689</f>
        <v>KIT-007</v>
      </c>
      <c r="B689" s="31" t="n">
        <f aca="false">Demand_History!A689</f>
        <v>64</v>
      </c>
      <c r="C689" s="32" t="n">
        <f aca="false">Demand_History!D689</f>
        <v>5</v>
      </c>
      <c r="D689" s="33" t="n">
        <f aca="false">IF(B689&gt;=2,C688,"")</f>
        <v>9</v>
      </c>
      <c r="E689" s="33" t="n">
        <f aca="false">IF(B689&gt;=5,AVERAGE(C685:C688),"")</f>
        <v>8.5</v>
      </c>
      <c r="F689" s="33" t="n">
        <f aca="false">IF(B689&gt;=9,AVERAGE(C681:C688),"")</f>
        <v>7.75</v>
      </c>
      <c r="G689" s="33" t="n">
        <f aca="false">IF(B689=1,"",IF(B689=2,C688,SES_Alpha*C688+(1-SES_Alpha)*G688))</f>
        <v>8.20040827852412</v>
      </c>
      <c r="H689" s="33" t="n">
        <f aca="false">IF(D689="","",D689-C689)</f>
        <v>4</v>
      </c>
      <c r="I689" s="33" t="n">
        <f aca="false">IF(E689="","",E689-C689)</f>
        <v>3.5</v>
      </c>
      <c r="J689" s="33" t="n">
        <f aca="false">IF(F689="","",F689-C689)</f>
        <v>2.75</v>
      </c>
      <c r="K689" s="33" t="n">
        <f aca="false">IF(G689="","",G689-C689)</f>
        <v>3.20040827852412</v>
      </c>
      <c r="L689" s="33" t="n">
        <f aca="false">IF(H689="","",ABS(H689))</f>
        <v>4</v>
      </c>
      <c r="M689" s="33" t="n">
        <f aca="false">IF(I689="","",ABS(I689))</f>
        <v>3.5</v>
      </c>
      <c r="N689" s="33" t="n">
        <f aca="false">IF(J689="","",ABS(J689))</f>
        <v>2.75</v>
      </c>
      <c r="O689" s="33" t="n">
        <f aca="false">IF(K689="","",ABS(K689))</f>
        <v>3.20040827852412</v>
      </c>
      <c r="P689" s="34" t="str">
        <f aca="false">IF(B689&gt;=Eval_Start_Week,"YES","")</f>
        <v>YES</v>
      </c>
      <c r="Q689" s="34" t="str">
        <f aca="false">IF(AND(B689&gt;=Cal_Start_Week,B689&lt;=Cal_End_Week),"YES","")</f>
        <v>YES</v>
      </c>
    </row>
    <row r="690" customFormat="false" ht="15" hidden="false" customHeight="false" outlineLevel="0" collapsed="false">
      <c r="A690" s="31" t="str">
        <f aca="false">Demand_History!C690</f>
        <v>KIT-007</v>
      </c>
      <c r="B690" s="31" t="n">
        <f aca="false">Demand_History!A690</f>
        <v>65</v>
      </c>
      <c r="C690" s="32" t="n">
        <f aca="false">Demand_History!D690</f>
        <v>8</v>
      </c>
      <c r="D690" s="33" t="n">
        <f aca="false">IF(B690&gt;=2,C689,"")</f>
        <v>5</v>
      </c>
      <c r="E690" s="33" t="n">
        <f aca="false">IF(B690&gt;=5,AVERAGE(C686:C689),"")</f>
        <v>6.75</v>
      </c>
      <c r="F690" s="33" t="n">
        <f aca="false">IF(B690&gt;=9,AVERAGE(C682:C689),"")</f>
        <v>8</v>
      </c>
      <c r="G690" s="33" t="n">
        <f aca="false">IF(B690=1,"",IF(B690=2,C689,SES_Alpha*C689+(1-SES_Alpha)*G689))</f>
        <v>7.24028579496688</v>
      </c>
      <c r="H690" s="33" t="n">
        <f aca="false">IF(D690="","",D690-C690)</f>
        <v>-3</v>
      </c>
      <c r="I690" s="33" t="n">
        <f aca="false">IF(E690="","",E690-C690)</f>
        <v>-1.25</v>
      </c>
      <c r="J690" s="33" t="n">
        <f aca="false">IF(F690="","",F690-C690)</f>
        <v>0</v>
      </c>
      <c r="K690" s="33" t="n">
        <f aca="false">IF(G690="","",G690-C690)</f>
        <v>-0.759714205033118</v>
      </c>
      <c r="L690" s="33" t="n">
        <f aca="false">IF(H690="","",ABS(H690))</f>
        <v>3</v>
      </c>
      <c r="M690" s="33" t="n">
        <f aca="false">IF(I690="","",ABS(I690))</f>
        <v>1.25</v>
      </c>
      <c r="N690" s="33" t="n">
        <f aca="false">IF(J690="","",ABS(J690))</f>
        <v>0</v>
      </c>
      <c r="O690" s="33" t="n">
        <f aca="false">IF(K690="","",ABS(K690))</f>
        <v>0.759714205033118</v>
      </c>
      <c r="P690" s="34" t="str">
        <f aca="false">IF(B690&gt;=Eval_Start_Week,"YES","")</f>
        <v>YES</v>
      </c>
      <c r="Q690" s="34" t="str">
        <f aca="false">IF(AND(B690&gt;=Cal_Start_Week,B690&lt;=Cal_End_Week),"YES","")</f>
        <v>YES</v>
      </c>
    </row>
    <row r="691" customFormat="false" ht="15" hidden="false" customHeight="false" outlineLevel="0" collapsed="false">
      <c r="A691" s="31" t="str">
        <f aca="false">Demand_History!C691</f>
        <v>KIT-007</v>
      </c>
      <c r="B691" s="31" t="n">
        <f aca="false">Demand_History!A691</f>
        <v>66</v>
      </c>
      <c r="C691" s="32" t="n">
        <f aca="false">Demand_History!D691</f>
        <v>8</v>
      </c>
      <c r="D691" s="33" t="n">
        <f aca="false">IF(B691&gt;=2,C690,"")</f>
        <v>8</v>
      </c>
      <c r="E691" s="33" t="n">
        <f aca="false">IF(B691&gt;=5,AVERAGE(C687:C690),"")</f>
        <v>7.5</v>
      </c>
      <c r="F691" s="33" t="n">
        <f aca="false">IF(B691&gt;=9,AVERAGE(C683:C690),"")</f>
        <v>8.375</v>
      </c>
      <c r="G691" s="33" t="n">
        <f aca="false">IF(B691=1,"",IF(B691=2,C690,SES_Alpha*C690+(1-SES_Alpha)*G690))</f>
        <v>7.46820005647682</v>
      </c>
      <c r="H691" s="33" t="n">
        <f aca="false">IF(D691="","",D691-C691)</f>
        <v>0</v>
      </c>
      <c r="I691" s="33" t="n">
        <f aca="false">IF(E691="","",E691-C691)</f>
        <v>-0.5</v>
      </c>
      <c r="J691" s="33" t="n">
        <f aca="false">IF(F691="","",F691-C691)</f>
        <v>0.375</v>
      </c>
      <c r="K691" s="33" t="n">
        <f aca="false">IF(G691="","",G691-C691)</f>
        <v>-0.531799943523183</v>
      </c>
      <c r="L691" s="33" t="n">
        <f aca="false">IF(H691="","",ABS(H691))</f>
        <v>0</v>
      </c>
      <c r="M691" s="33" t="n">
        <f aca="false">IF(I691="","",ABS(I691))</f>
        <v>0.5</v>
      </c>
      <c r="N691" s="33" t="n">
        <f aca="false">IF(J691="","",ABS(J691))</f>
        <v>0.375</v>
      </c>
      <c r="O691" s="33" t="n">
        <f aca="false">IF(K691="","",ABS(K691))</f>
        <v>0.531799943523183</v>
      </c>
      <c r="P691" s="34" t="str">
        <f aca="false">IF(B691&gt;=Eval_Start_Week,"YES","")</f>
        <v>YES</v>
      </c>
      <c r="Q691" s="34" t="str">
        <f aca="false">IF(AND(B691&gt;=Cal_Start_Week,B691&lt;=Cal_End_Week),"YES","")</f>
        <v>YES</v>
      </c>
    </row>
    <row r="692" customFormat="false" ht="15" hidden="false" customHeight="false" outlineLevel="0" collapsed="false">
      <c r="A692" s="31" t="str">
        <f aca="false">Demand_History!C692</f>
        <v>KIT-007</v>
      </c>
      <c r="B692" s="31" t="n">
        <f aca="false">Demand_History!A692</f>
        <v>67</v>
      </c>
      <c r="C692" s="32" t="n">
        <f aca="false">Demand_History!D692</f>
        <v>5</v>
      </c>
      <c r="D692" s="33" t="n">
        <f aca="false">IF(B692&gt;=2,C691,"")</f>
        <v>8</v>
      </c>
      <c r="E692" s="33" t="n">
        <f aca="false">IF(B692&gt;=5,AVERAGE(C688:C691),"")</f>
        <v>7.5</v>
      </c>
      <c r="F692" s="33" t="n">
        <f aca="false">IF(B692&gt;=9,AVERAGE(C684:C691),"")</f>
        <v>8.125</v>
      </c>
      <c r="G692" s="33" t="n">
        <f aca="false">IF(B692=1,"",IF(B692=2,C691,SES_Alpha*C691+(1-SES_Alpha)*G691))</f>
        <v>7.62774003953377</v>
      </c>
      <c r="H692" s="33" t="n">
        <f aca="false">IF(D692="","",D692-C692)</f>
        <v>3</v>
      </c>
      <c r="I692" s="33" t="n">
        <f aca="false">IF(E692="","",E692-C692)</f>
        <v>2.5</v>
      </c>
      <c r="J692" s="33" t="n">
        <f aca="false">IF(F692="","",F692-C692)</f>
        <v>3.125</v>
      </c>
      <c r="K692" s="33" t="n">
        <f aca="false">IF(G692="","",G692-C692)</f>
        <v>2.62774003953377</v>
      </c>
      <c r="L692" s="33" t="n">
        <f aca="false">IF(H692="","",ABS(H692))</f>
        <v>3</v>
      </c>
      <c r="M692" s="33" t="n">
        <f aca="false">IF(I692="","",ABS(I692))</f>
        <v>2.5</v>
      </c>
      <c r="N692" s="33" t="n">
        <f aca="false">IF(J692="","",ABS(J692))</f>
        <v>3.125</v>
      </c>
      <c r="O692" s="33" t="n">
        <f aca="false">IF(K692="","",ABS(K692))</f>
        <v>2.62774003953377</v>
      </c>
      <c r="P692" s="34" t="str">
        <f aca="false">IF(B692&gt;=Eval_Start_Week,"YES","")</f>
        <v>YES</v>
      </c>
      <c r="Q692" s="34" t="str">
        <f aca="false">IF(AND(B692&gt;=Cal_Start_Week,B692&lt;=Cal_End_Week),"YES","")</f>
        <v>YES</v>
      </c>
    </row>
    <row r="693" customFormat="false" ht="15" hidden="false" customHeight="false" outlineLevel="0" collapsed="false">
      <c r="A693" s="31" t="str">
        <f aca="false">Demand_History!C693</f>
        <v>KIT-007</v>
      </c>
      <c r="B693" s="31" t="n">
        <f aca="false">Demand_History!A693</f>
        <v>68</v>
      </c>
      <c r="C693" s="32" t="n">
        <f aca="false">Demand_History!D693</f>
        <v>8</v>
      </c>
      <c r="D693" s="33" t="n">
        <f aca="false">IF(B693&gt;=2,C692,"")</f>
        <v>5</v>
      </c>
      <c r="E693" s="33" t="n">
        <f aca="false">IF(B693&gt;=5,AVERAGE(C689:C692),"")</f>
        <v>6.5</v>
      </c>
      <c r="F693" s="33" t="n">
        <f aca="false">IF(B693&gt;=9,AVERAGE(C685:C692),"")</f>
        <v>7.5</v>
      </c>
      <c r="G693" s="33" t="n">
        <f aca="false">IF(B693=1,"",IF(B693=2,C692,SES_Alpha*C692+(1-SES_Alpha)*G692))</f>
        <v>6.83941802767364</v>
      </c>
      <c r="H693" s="33" t="n">
        <f aca="false">IF(D693="","",D693-C693)</f>
        <v>-3</v>
      </c>
      <c r="I693" s="33" t="n">
        <f aca="false">IF(E693="","",E693-C693)</f>
        <v>-1.5</v>
      </c>
      <c r="J693" s="33" t="n">
        <f aca="false">IF(F693="","",F693-C693)</f>
        <v>-0.5</v>
      </c>
      <c r="K693" s="33" t="n">
        <f aca="false">IF(G693="","",G693-C693)</f>
        <v>-1.16058197232636</v>
      </c>
      <c r="L693" s="33" t="n">
        <f aca="false">IF(H693="","",ABS(H693))</f>
        <v>3</v>
      </c>
      <c r="M693" s="33" t="n">
        <f aca="false">IF(I693="","",ABS(I693))</f>
        <v>1.5</v>
      </c>
      <c r="N693" s="33" t="n">
        <f aca="false">IF(J693="","",ABS(J693))</f>
        <v>0.5</v>
      </c>
      <c r="O693" s="33" t="n">
        <f aca="false">IF(K693="","",ABS(K693))</f>
        <v>1.16058197232636</v>
      </c>
      <c r="P693" s="34" t="str">
        <f aca="false">IF(B693&gt;=Eval_Start_Week,"YES","")</f>
        <v>YES</v>
      </c>
      <c r="Q693" s="34" t="str">
        <f aca="false">IF(AND(B693&gt;=Cal_Start_Week,B693&lt;=Cal_End_Week),"YES","")</f>
        <v>YES</v>
      </c>
    </row>
    <row r="694" customFormat="false" ht="15" hidden="false" customHeight="false" outlineLevel="0" collapsed="false">
      <c r="A694" s="31" t="str">
        <f aca="false">Demand_History!C694</f>
        <v>KIT-007</v>
      </c>
      <c r="B694" s="31" t="n">
        <f aca="false">Demand_History!A694</f>
        <v>69</v>
      </c>
      <c r="C694" s="32" t="n">
        <f aca="false">Demand_History!D694</f>
        <v>8</v>
      </c>
      <c r="D694" s="33" t="n">
        <f aca="false">IF(B694&gt;=2,C693,"")</f>
        <v>8</v>
      </c>
      <c r="E694" s="33" t="n">
        <f aca="false">IF(B694&gt;=5,AVERAGE(C690:C693),"")</f>
        <v>7.25</v>
      </c>
      <c r="F694" s="33" t="n">
        <f aca="false">IF(B694&gt;=9,AVERAGE(C686:C693),"")</f>
        <v>7</v>
      </c>
      <c r="G694" s="33" t="n">
        <f aca="false">IF(B694=1,"",IF(B694=2,C693,SES_Alpha*C693+(1-SES_Alpha)*G693))</f>
        <v>7.18759261937155</v>
      </c>
      <c r="H694" s="33" t="n">
        <f aca="false">IF(D694="","",D694-C694)</f>
        <v>0</v>
      </c>
      <c r="I694" s="33" t="n">
        <f aca="false">IF(E694="","",E694-C694)</f>
        <v>-0.75</v>
      </c>
      <c r="J694" s="33" t="n">
        <f aca="false">IF(F694="","",F694-C694)</f>
        <v>-1</v>
      </c>
      <c r="K694" s="33" t="n">
        <f aca="false">IF(G694="","",G694-C694)</f>
        <v>-0.812407380628454</v>
      </c>
      <c r="L694" s="33" t="n">
        <f aca="false">IF(H694="","",ABS(H694))</f>
        <v>0</v>
      </c>
      <c r="M694" s="33" t="n">
        <f aca="false">IF(I694="","",ABS(I694))</f>
        <v>0.75</v>
      </c>
      <c r="N694" s="33" t="n">
        <f aca="false">IF(J694="","",ABS(J694))</f>
        <v>1</v>
      </c>
      <c r="O694" s="33" t="n">
        <f aca="false">IF(K694="","",ABS(K694))</f>
        <v>0.812407380628454</v>
      </c>
      <c r="P694" s="34" t="str">
        <f aca="false">IF(B694&gt;=Eval_Start_Week,"YES","")</f>
        <v>YES</v>
      </c>
      <c r="Q694" s="34" t="str">
        <f aca="false">IF(AND(B694&gt;=Cal_Start_Week,B694&lt;=Cal_End_Week),"YES","")</f>
        <v>YES</v>
      </c>
    </row>
    <row r="695" customFormat="false" ht="15" hidden="false" customHeight="false" outlineLevel="0" collapsed="false">
      <c r="A695" s="31" t="str">
        <f aca="false">Demand_History!C695</f>
        <v>KIT-007</v>
      </c>
      <c r="B695" s="31" t="n">
        <f aca="false">Demand_History!A695</f>
        <v>70</v>
      </c>
      <c r="C695" s="32" t="n">
        <f aca="false">Demand_History!D695</f>
        <v>10</v>
      </c>
      <c r="D695" s="33" t="n">
        <f aca="false">IF(B695&gt;=2,C694,"")</f>
        <v>8</v>
      </c>
      <c r="E695" s="33" t="n">
        <f aca="false">IF(B695&gt;=5,AVERAGE(C691:C694),"")</f>
        <v>7.25</v>
      </c>
      <c r="F695" s="33" t="n">
        <f aca="false">IF(B695&gt;=9,AVERAGE(C687:C694),"")</f>
        <v>7.375</v>
      </c>
      <c r="G695" s="33" t="n">
        <f aca="false">IF(B695=1,"",IF(B695=2,C694,SES_Alpha*C694+(1-SES_Alpha)*G694))</f>
        <v>7.43131483356008</v>
      </c>
      <c r="H695" s="33" t="n">
        <f aca="false">IF(D695="","",D695-C695)</f>
        <v>-2</v>
      </c>
      <c r="I695" s="33" t="n">
        <f aca="false">IF(E695="","",E695-C695)</f>
        <v>-2.75</v>
      </c>
      <c r="J695" s="33" t="n">
        <f aca="false">IF(F695="","",F695-C695)</f>
        <v>-2.625</v>
      </c>
      <c r="K695" s="33" t="n">
        <f aca="false">IF(G695="","",G695-C695)</f>
        <v>-2.56868516643992</v>
      </c>
      <c r="L695" s="33" t="n">
        <f aca="false">IF(H695="","",ABS(H695))</f>
        <v>2</v>
      </c>
      <c r="M695" s="33" t="n">
        <f aca="false">IF(I695="","",ABS(I695))</f>
        <v>2.75</v>
      </c>
      <c r="N695" s="33" t="n">
        <f aca="false">IF(J695="","",ABS(J695))</f>
        <v>2.625</v>
      </c>
      <c r="O695" s="33" t="n">
        <f aca="false">IF(K695="","",ABS(K695))</f>
        <v>2.56868516643992</v>
      </c>
      <c r="P695" s="34" t="str">
        <f aca="false">IF(B695&gt;=Eval_Start_Week,"YES","")</f>
        <v>YES</v>
      </c>
      <c r="Q695" s="34" t="str">
        <f aca="false">IF(AND(B695&gt;=Cal_Start_Week,B695&lt;=Cal_End_Week),"YES","")</f>
        <v>YES</v>
      </c>
    </row>
    <row r="696" customFormat="false" ht="15" hidden="false" customHeight="false" outlineLevel="0" collapsed="false">
      <c r="A696" s="31" t="str">
        <f aca="false">Demand_History!C696</f>
        <v>KIT-007</v>
      </c>
      <c r="B696" s="31" t="n">
        <f aca="false">Demand_History!A696</f>
        <v>71</v>
      </c>
      <c r="C696" s="32" t="n">
        <f aca="false">Demand_History!D696</f>
        <v>6</v>
      </c>
      <c r="D696" s="33" t="n">
        <f aca="false">IF(B696&gt;=2,C695,"")</f>
        <v>10</v>
      </c>
      <c r="E696" s="33" t="n">
        <f aca="false">IF(B696&gt;=5,AVERAGE(C692:C695),"")</f>
        <v>7.75</v>
      </c>
      <c r="F696" s="33" t="n">
        <f aca="false">IF(B696&gt;=9,AVERAGE(C688:C695),"")</f>
        <v>7.625</v>
      </c>
      <c r="G696" s="33" t="n">
        <f aca="false">IF(B696=1,"",IF(B696=2,C695,SES_Alpha*C695+(1-SES_Alpha)*G695))</f>
        <v>8.20192038349206</v>
      </c>
      <c r="H696" s="33" t="n">
        <f aca="false">IF(D696="","",D696-C696)</f>
        <v>4</v>
      </c>
      <c r="I696" s="33" t="n">
        <f aca="false">IF(E696="","",E696-C696)</f>
        <v>1.75</v>
      </c>
      <c r="J696" s="33" t="n">
        <f aca="false">IF(F696="","",F696-C696)</f>
        <v>1.625</v>
      </c>
      <c r="K696" s="33" t="n">
        <f aca="false">IF(G696="","",G696-C696)</f>
        <v>2.20192038349206</v>
      </c>
      <c r="L696" s="33" t="n">
        <f aca="false">IF(H696="","",ABS(H696))</f>
        <v>4</v>
      </c>
      <c r="M696" s="33" t="n">
        <f aca="false">IF(I696="","",ABS(I696))</f>
        <v>1.75</v>
      </c>
      <c r="N696" s="33" t="n">
        <f aca="false">IF(J696="","",ABS(J696))</f>
        <v>1.625</v>
      </c>
      <c r="O696" s="33" t="n">
        <f aca="false">IF(K696="","",ABS(K696))</f>
        <v>2.20192038349206</v>
      </c>
      <c r="P696" s="34" t="str">
        <f aca="false">IF(B696&gt;=Eval_Start_Week,"YES","")</f>
        <v>YES</v>
      </c>
      <c r="Q696" s="34" t="str">
        <f aca="false">IF(AND(B696&gt;=Cal_Start_Week,B696&lt;=Cal_End_Week),"YES","")</f>
        <v>YES</v>
      </c>
    </row>
    <row r="697" customFormat="false" ht="15" hidden="false" customHeight="false" outlineLevel="0" collapsed="false">
      <c r="A697" s="31" t="str">
        <f aca="false">Demand_History!C697</f>
        <v>KIT-007</v>
      </c>
      <c r="B697" s="31" t="n">
        <f aca="false">Demand_History!A697</f>
        <v>72</v>
      </c>
      <c r="C697" s="32" t="n">
        <f aca="false">Demand_History!D697</f>
        <v>7</v>
      </c>
      <c r="D697" s="33" t="n">
        <f aca="false">IF(B697&gt;=2,C696,"")</f>
        <v>6</v>
      </c>
      <c r="E697" s="33" t="n">
        <f aca="false">IF(B697&gt;=5,AVERAGE(C693:C696),"")</f>
        <v>8</v>
      </c>
      <c r="F697" s="33" t="n">
        <f aca="false">IF(B697&gt;=9,AVERAGE(C689:C696),"")</f>
        <v>7.25</v>
      </c>
      <c r="G697" s="33" t="n">
        <f aca="false">IF(B697=1,"",IF(B697=2,C696,SES_Alpha*C696+(1-SES_Alpha)*G696))</f>
        <v>7.54134426844444</v>
      </c>
      <c r="H697" s="33" t="n">
        <f aca="false">IF(D697="","",D697-C697)</f>
        <v>-1</v>
      </c>
      <c r="I697" s="33" t="n">
        <f aca="false">IF(E697="","",E697-C697)</f>
        <v>1</v>
      </c>
      <c r="J697" s="33" t="n">
        <f aca="false">IF(F697="","",F697-C697)</f>
        <v>0.25</v>
      </c>
      <c r="K697" s="33" t="n">
        <f aca="false">IF(G697="","",G697-C697)</f>
        <v>0.54134426844444</v>
      </c>
      <c r="L697" s="33" t="n">
        <f aca="false">IF(H697="","",ABS(H697))</f>
        <v>1</v>
      </c>
      <c r="M697" s="33" t="n">
        <f aca="false">IF(I697="","",ABS(I697))</f>
        <v>1</v>
      </c>
      <c r="N697" s="33" t="n">
        <f aca="false">IF(J697="","",ABS(J697))</f>
        <v>0.25</v>
      </c>
      <c r="O697" s="33" t="n">
        <f aca="false">IF(K697="","",ABS(K697))</f>
        <v>0.54134426844444</v>
      </c>
      <c r="P697" s="34" t="str">
        <f aca="false">IF(B697&gt;=Eval_Start_Week,"YES","")</f>
        <v>YES</v>
      </c>
      <c r="Q697" s="34" t="str">
        <f aca="false">IF(AND(B697&gt;=Cal_Start_Week,B697&lt;=Cal_End_Week),"YES","")</f>
        <v>YES</v>
      </c>
    </row>
    <row r="698" customFormat="false" ht="15" hidden="false" customHeight="false" outlineLevel="0" collapsed="false">
      <c r="A698" s="31" t="str">
        <f aca="false">Demand_History!C698</f>
        <v>KIT-007</v>
      </c>
      <c r="B698" s="31" t="n">
        <f aca="false">Demand_History!A698</f>
        <v>73</v>
      </c>
      <c r="C698" s="32" t="n">
        <f aca="false">Demand_History!D698</f>
        <v>9</v>
      </c>
      <c r="D698" s="33" t="n">
        <f aca="false">IF(B698&gt;=2,C697,"")</f>
        <v>7</v>
      </c>
      <c r="E698" s="33" t="n">
        <f aca="false">IF(B698&gt;=5,AVERAGE(C694:C697),"")</f>
        <v>7.75</v>
      </c>
      <c r="F698" s="33" t="n">
        <f aca="false">IF(B698&gt;=9,AVERAGE(C690:C697),"")</f>
        <v>7.5</v>
      </c>
      <c r="G698" s="33" t="n">
        <f aca="false">IF(B698=1,"",IF(B698=2,C697,SES_Alpha*C697+(1-SES_Alpha)*G697))</f>
        <v>7.37894098791111</v>
      </c>
      <c r="H698" s="33" t="n">
        <f aca="false">IF(D698="","",D698-C698)</f>
        <v>-2</v>
      </c>
      <c r="I698" s="33" t="n">
        <f aca="false">IF(E698="","",E698-C698)</f>
        <v>-1.25</v>
      </c>
      <c r="J698" s="33" t="n">
        <f aca="false">IF(F698="","",F698-C698)</f>
        <v>-1.5</v>
      </c>
      <c r="K698" s="33" t="n">
        <f aca="false">IF(G698="","",G698-C698)</f>
        <v>-1.62105901208889</v>
      </c>
      <c r="L698" s="33" t="n">
        <f aca="false">IF(H698="","",ABS(H698))</f>
        <v>2</v>
      </c>
      <c r="M698" s="33" t="n">
        <f aca="false">IF(I698="","",ABS(I698))</f>
        <v>1.25</v>
      </c>
      <c r="N698" s="33" t="n">
        <f aca="false">IF(J698="","",ABS(J698))</f>
        <v>1.5</v>
      </c>
      <c r="O698" s="33" t="n">
        <f aca="false">IF(K698="","",ABS(K698))</f>
        <v>1.62105901208889</v>
      </c>
      <c r="P698" s="34" t="str">
        <f aca="false">IF(B698&gt;=Eval_Start_Week,"YES","")</f>
        <v>YES</v>
      </c>
      <c r="Q698" s="34" t="str">
        <f aca="false">IF(AND(B698&gt;=Cal_Start_Week,B698&lt;=Cal_End_Week),"YES","")</f>
        <v>YES</v>
      </c>
    </row>
    <row r="699" customFormat="false" ht="15" hidden="false" customHeight="false" outlineLevel="0" collapsed="false">
      <c r="A699" s="31" t="str">
        <f aca="false">Demand_History!C699</f>
        <v>KIT-007</v>
      </c>
      <c r="B699" s="31" t="n">
        <f aca="false">Demand_History!A699</f>
        <v>74</v>
      </c>
      <c r="C699" s="32" t="n">
        <f aca="false">Demand_History!D699</f>
        <v>7</v>
      </c>
      <c r="D699" s="33" t="n">
        <f aca="false">IF(B699&gt;=2,C698,"")</f>
        <v>9</v>
      </c>
      <c r="E699" s="33" t="n">
        <f aca="false">IF(B699&gt;=5,AVERAGE(C695:C698),"")</f>
        <v>8</v>
      </c>
      <c r="F699" s="33" t="n">
        <f aca="false">IF(B699&gt;=9,AVERAGE(C691:C698),"")</f>
        <v>7.625</v>
      </c>
      <c r="G699" s="33" t="n">
        <f aca="false">IF(B699=1,"",IF(B699=2,C698,SES_Alpha*C698+(1-SES_Alpha)*G698))</f>
        <v>7.86525869153778</v>
      </c>
      <c r="H699" s="33" t="n">
        <f aca="false">IF(D699="","",D699-C699)</f>
        <v>2</v>
      </c>
      <c r="I699" s="33" t="n">
        <f aca="false">IF(E699="","",E699-C699)</f>
        <v>1</v>
      </c>
      <c r="J699" s="33" t="n">
        <f aca="false">IF(F699="","",F699-C699)</f>
        <v>0.625</v>
      </c>
      <c r="K699" s="33" t="n">
        <f aca="false">IF(G699="","",G699-C699)</f>
        <v>0.865258691537775</v>
      </c>
      <c r="L699" s="33" t="n">
        <f aca="false">IF(H699="","",ABS(H699))</f>
        <v>2</v>
      </c>
      <c r="M699" s="33" t="n">
        <f aca="false">IF(I699="","",ABS(I699))</f>
        <v>1</v>
      </c>
      <c r="N699" s="33" t="n">
        <f aca="false">IF(J699="","",ABS(J699))</f>
        <v>0.625</v>
      </c>
      <c r="O699" s="33" t="n">
        <f aca="false">IF(K699="","",ABS(K699))</f>
        <v>0.865258691537775</v>
      </c>
      <c r="P699" s="34" t="str">
        <f aca="false">IF(B699&gt;=Eval_Start_Week,"YES","")</f>
        <v>YES</v>
      </c>
      <c r="Q699" s="34" t="str">
        <f aca="false">IF(AND(B699&gt;=Cal_Start_Week,B699&lt;=Cal_End_Week),"YES","")</f>
        <v>YES</v>
      </c>
    </row>
    <row r="700" customFormat="false" ht="15" hidden="false" customHeight="false" outlineLevel="0" collapsed="false">
      <c r="A700" s="31" t="str">
        <f aca="false">Demand_History!C700</f>
        <v>KIT-007</v>
      </c>
      <c r="B700" s="31" t="n">
        <f aca="false">Demand_History!A700</f>
        <v>75</v>
      </c>
      <c r="C700" s="32" t="n">
        <f aca="false">Demand_History!D700</f>
        <v>7</v>
      </c>
      <c r="D700" s="33" t="n">
        <f aca="false">IF(B700&gt;=2,C699,"")</f>
        <v>7</v>
      </c>
      <c r="E700" s="33" t="n">
        <f aca="false">IF(B700&gt;=5,AVERAGE(C696:C699),"")</f>
        <v>7.25</v>
      </c>
      <c r="F700" s="33" t="n">
        <f aca="false">IF(B700&gt;=9,AVERAGE(C692:C699),"")</f>
        <v>7.5</v>
      </c>
      <c r="G700" s="33" t="n">
        <f aca="false">IF(B700=1,"",IF(B700=2,C699,SES_Alpha*C699+(1-SES_Alpha)*G699))</f>
        <v>7.60568108407644</v>
      </c>
      <c r="H700" s="33" t="n">
        <f aca="false">IF(D700="","",D700-C700)</f>
        <v>0</v>
      </c>
      <c r="I700" s="33" t="n">
        <f aca="false">IF(E700="","",E700-C700)</f>
        <v>0.25</v>
      </c>
      <c r="J700" s="33" t="n">
        <f aca="false">IF(F700="","",F700-C700)</f>
        <v>0.5</v>
      </c>
      <c r="K700" s="33" t="n">
        <f aca="false">IF(G700="","",G700-C700)</f>
        <v>0.605681084076442</v>
      </c>
      <c r="L700" s="33" t="n">
        <f aca="false">IF(H700="","",ABS(H700))</f>
        <v>0</v>
      </c>
      <c r="M700" s="33" t="n">
        <f aca="false">IF(I700="","",ABS(I700))</f>
        <v>0.25</v>
      </c>
      <c r="N700" s="33" t="n">
        <f aca="false">IF(J700="","",ABS(J700))</f>
        <v>0.5</v>
      </c>
      <c r="O700" s="33" t="n">
        <f aca="false">IF(K700="","",ABS(K700))</f>
        <v>0.605681084076442</v>
      </c>
      <c r="P700" s="34" t="str">
        <f aca="false">IF(B700&gt;=Eval_Start_Week,"YES","")</f>
        <v>YES</v>
      </c>
      <c r="Q700" s="34" t="str">
        <f aca="false">IF(AND(B700&gt;=Cal_Start_Week,B700&lt;=Cal_End_Week),"YES","")</f>
        <v>YES</v>
      </c>
    </row>
    <row r="701" customFormat="false" ht="15" hidden="false" customHeight="false" outlineLevel="0" collapsed="false">
      <c r="A701" s="31" t="str">
        <f aca="false">Demand_History!C701</f>
        <v>KIT-007</v>
      </c>
      <c r="B701" s="31" t="n">
        <f aca="false">Demand_History!A701</f>
        <v>76</v>
      </c>
      <c r="C701" s="32" t="n">
        <f aca="false">Demand_History!D701</f>
        <v>0</v>
      </c>
      <c r="D701" s="33" t="n">
        <f aca="false">IF(B701&gt;=2,C700,"")</f>
        <v>7</v>
      </c>
      <c r="E701" s="33" t="n">
        <f aca="false">IF(B701&gt;=5,AVERAGE(C697:C700),"")</f>
        <v>7.5</v>
      </c>
      <c r="F701" s="33" t="n">
        <f aca="false">IF(B701&gt;=9,AVERAGE(C693:C700),"")</f>
        <v>7.75</v>
      </c>
      <c r="G701" s="33" t="n">
        <f aca="false">IF(B701=1,"",IF(B701=2,C700,SES_Alpha*C700+(1-SES_Alpha)*G700))</f>
        <v>7.42397675885351</v>
      </c>
      <c r="H701" s="33" t="n">
        <f aca="false">IF(D701="","",D701-C701)</f>
        <v>7</v>
      </c>
      <c r="I701" s="33" t="n">
        <f aca="false">IF(E701="","",E701-C701)</f>
        <v>7.5</v>
      </c>
      <c r="J701" s="33" t="n">
        <f aca="false">IF(F701="","",F701-C701)</f>
        <v>7.75</v>
      </c>
      <c r="K701" s="33" t="n">
        <f aca="false">IF(G701="","",G701-C701)</f>
        <v>7.42397675885351</v>
      </c>
      <c r="L701" s="33" t="n">
        <f aca="false">IF(H701="","",ABS(H701))</f>
        <v>7</v>
      </c>
      <c r="M701" s="33" t="n">
        <f aca="false">IF(I701="","",ABS(I701))</f>
        <v>7.5</v>
      </c>
      <c r="N701" s="33" t="n">
        <f aca="false">IF(J701="","",ABS(J701))</f>
        <v>7.75</v>
      </c>
      <c r="O701" s="33" t="n">
        <f aca="false">IF(K701="","",ABS(K701))</f>
        <v>7.42397675885351</v>
      </c>
      <c r="P701" s="34" t="str">
        <f aca="false">IF(B701&gt;=Eval_Start_Week,"YES","")</f>
        <v>YES</v>
      </c>
      <c r="Q701" s="34" t="str">
        <f aca="false">IF(AND(B701&gt;=Cal_Start_Week,B701&lt;=Cal_End_Week),"YES","")</f>
        <v>YES</v>
      </c>
    </row>
    <row r="702" customFormat="false" ht="15" hidden="false" customHeight="false" outlineLevel="0" collapsed="false">
      <c r="A702" s="31" t="str">
        <f aca="false">Demand_History!C702</f>
        <v>KIT-007</v>
      </c>
      <c r="B702" s="31" t="n">
        <f aca="false">Demand_History!A702</f>
        <v>77</v>
      </c>
      <c r="C702" s="32" t="n">
        <f aca="false">Demand_History!D702</f>
        <v>11</v>
      </c>
      <c r="D702" s="33" t="n">
        <f aca="false">IF(B702&gt;=2,C701,"")</f>
        <v>0</v>
      </c>
      <c r="E702" s="33" t="n">
        <f aca="false">IF(B702&gt;=5,AVERAGE(C698:C701),"")</f>
        <v>5.75</v>
      </c>
      <c r="F702" s="33" t="n">
        <f aca="false">IF(B702&gt;=9,AVERAGE(C694:C701),"")</f>
        <v>6.75</v>
      </c>
      <c r="G702" s="33" t="n">
        <f aca="false">IF(B702=1,"",IF(B702=2,C701,SES_Alpha*C701+(1-SES_Alpha)*G701))</f>
        <v>5.19678373119746</v>
      </c>
      <c r="H702" s="33" t="n">
        <f aca="false">IF(D702="","",D702-C702)</f>
        <v>-11</v>
      </c>
      <c r="I702" s="33" t="n">
        <f aca="false">IF(E702="","",E702-C702)</f>
        <v>-5.25</v>
      </c>
      <c r="J702" s="33" t="n">
        <f aca="false">IF(F702="","",F702-C702)</f>
        <v>-4.25</v>
      </c>
      <c r="K702" s="33" t="n">
        <f aca="false">IF(G702="","",G702-C702)</f>
        <v>-5.80321626880254</v>
      </c>
      <c r="L702" s="33" t="n">
        <f aca="false">IF(H702="","",ABS(H702))</f>
        <v>11</v>
      </c>
      <c r="M702" s="33" t="n">
        <f aca="false">IF(I702="","",ABS(I702))</f>
        <v>5.25</v>
      </c>
      <c r="N702" s="33" t="n">
        <f aca="false">IF(J702="","",ABS(J702))</f>
        <v>4.25</v>
      </c>
      <c r="O702" s="33" t="n">
        <f aca="false">IF(K702="","",ABS(K702))</f>
        <v>5.80321626880254</v>
      </c>
      <c r="P702" s="34" t="str">
        <f aca="false">IF(B702&gt;=Eval_Start_Week,"YES","")</f>
        <v>YES</v>
      </c>
      <c r="Q702" s="34" t="str">
        <f aca="false">IF(AND(B702&gt;=Cal_Start_Week,B702&lt;=Cal_End_Week),"YES","")</f>
        <v>YES</v>
      </c>
    </row>
    <row r="703" customFormat="false" ht="15" hidden="false" customHeight="false" outlineLevel="0" collapsed="false">
      <c r="A703" s="31" t="str">
        <f aca="false">Demand_History!C703</f>
        <v>KIT-007</v>
      </c>
      <c r="B703" s="31" t="n">
        <f aca="false">Demand_History!A703</f>
        <v>78</v>
      </c>
      <c r="C703" s="32" t="n">
        <f aca="false">Demand_History!D703</f>
        <v>11</v>
      </c>
      <c r="D703" s="33" t="n">
        <f aca="false">IF(B703&gt;=2,C702,"")</f>
        <v>11</v>
      </c>
      <c r="E703" s="33" t="n">
        <f aca="false">IF(B703&gt;=5,AVERAGE(C699:C702),"")</f>
        <v>6.25</v>
      </c>
      <c r="F703" s="33" t="n">
        <f aca="false">IF(B703&gt;=9,AVERAGE(C695:C702),"")</f>
        <v>7.125</v>
      </c>
      <c r="G703" s="33" t="n">
        <f aca="false">IF(B703=1,"",IF(B703=2,C702,SES_Alpha*C702+(1-SES_Alpha)*G702))</f>
        <v>6.93774861183822</v>
      </c>
      <c r="H703" s="33" t="n">
        <f aca="false">IF(D703="","",D703-C703)</f>
        <v>0</v>
      </c>
      <c r="I703" s="33" t="n">
        <f aca="false">IF(E703="","",E703-C703)</f>
        <v>-4.75</v>
      </c>
      <c r="J703" s="33" t="n">
        <f aca="false">IF(F703="","",F703-C703)</f>
        <v>-3.875</v>
      </c>
      <c r="K703" s="33" t="n">
        <f aca="false">IF(G703="","",G703-C703)</f>
        <v>-4.06225138816178</v>
      </c>
      <c r="L703" s="33" t="n">
        <f aca="false">IF(H703="","",ABS(H703))</f>
        <v>0</v>
      </c>
      <c r="M703" s="33" t="n">
        <f aca="false">IF(I703="","",ABS(I703))</f>
        <v>4.75</v>
      </c>
      <c r="N703" s="33" t="n">
        <f aca="false">IF(J703="","",ABS(J703))</f>
        <v>3.875</v>
      </c>
      <c r="O703" s="33" t="n">
        <f aca="false">IF(K703="","",ABS(K703))</f>
        <v>4.06225138816178</v>
      </c>
      <c r="P703" s="34" t="str">
        <f aca="false">IF(B703&gt;=Eval_Start_Week,"YES","")</f>
        <v>YES</v>
      </c>
      <c r="Q703" s="34" t="str">
        <f aca="false">IF(AND(B703&gt;=Cal_Start_Week,B703&lt;=Cal_End_Week),"YES","")</f>
        <v>YES</v>
      </c>
    </row>
    <row r="704" customFormat="false" ht="15" hidden="false" customHeight="false" outlineLevel="0" collapsed="false">
      <c r="A704" s="31" t="str">
        <f aca="false">Demand_History!C704</f>
        <v>KIT-007</v>
      </c>
      <c r="B704" s="31" t="n">
        <f aca="false">Demand_History!A704</f>
        <v>79</v>
      </c>
      <c r="C704" s="32" t="n">
        <f aca="false">Demand_History!D704</f>
        <v>3</v>
      </c>
      <c r="D704" s="33" t="n">
        <f aca="false">IF(B704&gt;=2,C703,"")</f>
        <v>11</v>
      </c>
      <c r="E704" s="33" t="n">
        <f aca="false">IF(B704&gt;=5,AVERAGE(C700:C703),"")</f>
        <v>7.25</v>
      </c>
      <c r="F704" s="33" t="n">
        <f aca="false">IF(B704&gt;=9,AVERAGE(C696:C703),"")</f>
        <v>7.25</v>
      </c>
      <c r="G704" s="33" t="n">
        <f aca="false">IF(B704=1,"",IF(B704=2,C703,SES_Alpha*C703+(1-SES_Alpha)*G703))</f>
        <v>8.15642402828675</v>
      </c>
      <c r="H704" s="33" t="n">
        <f aca="false">IF(D704="","",D704-C704)</f>
        <v>8</v>
      </c>
      <c r="I704" s="33" t="n">
        <f aca="false">IF(E704="","",E704-C704)</f>
        <v>4.25</v>
      </c>
      <c r="J704" s="33" t="n">
        <f aca="false">IF(F704="","",F704-C704)</f>
        <v>4.25</v>
      </c>
      <c r="K704" s="33" t="n">
        <f aca="false">IF(G704="","",G704-C704)</f>
        <v>5.15642402828675</v>
      </c>
      <c r="L704" s="33" t="n">
        <f aca="false">IF(H704="","",ABS(H704))</f>
        <v>8</v>
      </c>
      <c r="M704" s="33" t="n">
        <f aca="false">IF(I704="","",ABS(I704))</f>
        <v>4.25</v>
      </c>
      <c r="N704" s="33" t="n">
        <f aca="false">IF(J704="","",ABS(J704))</f>
        <v>4.25</v>
      </c>
      <c r="O704" s="33" t="n">
        <f aca="false">IF(K704="","",ABS(K704))</f>
        <v>5.15642402828675</v>
      </c>
      <c r="P704" s="34" t="str">
        <f aca="false">IF(B704&gt;=Eval_Start_Week,"YES","")</f>
        <v>YES</v>
      </c>
      <c r="Q704" s="34" t="str">
        <f aca="false">IF(AND(B704&gt;=Cal_Start_Week,B704&lt;=Cal_End_Week),"YES","")</f>
        <v>YES</v>
      </c>
    </row>
    <row r="705" customFormat="false" ht="15" hidden="false" customHeight="false" outlineLevel="0" collapsed="false">
      <c r="A705" s="31" t="str">
        <f aca="false">Demand_History!C705</f>
        <v>KIT-007</v>
      </c>
      <c r="B705" s="31" t="n">
        <f aca="false">Demand_History!A705</f>
        <v>80</v>
      </c>
      <c r="C705" s="32" t="n">
        <f aca="false">Demand_History!D705</f>
        <v>6</v>
      </c>
      <c r="D705" s="33" t="n">
        <f aca="false">IF(B705&gt;=2,C704,"")</f>
        <v>3</v>
      </c>
      <c r="E705" s="33" t="n">
        <f aca="false">IF(B705&gt;=5,AVERAGE(C701:C704),"")</f>
        <v>6.25</v>
      </c>
      <c r="F705" s="33" t="n">
        <f aca="false">IF(B705&gt;=9,AVERAGE(C697:C704),"")</f>
        <v>6.875</v>
      </c>
      <c r="G705" s="33" t="n">
        <f aca="false">IF(B705=1,"",IF(B705=2,C704,SES_Alpha*C704+(1-SES_Alpha)*G704))</f>
        <v>6.60949681980073</v>
      </c>
      <c r="H705" s="33" t="n">
        <f aca="false">IF(D705="","",D705-C705)</f>
        <v>-3</v>
      </c>
      <c r="I705" s="33" t="n">
        <f aca="false">IF(E705="","",E705-C705)</f>
        <v>0.25</v>
      </c>
      <c r="J705" s="33" t="n">
        <f aca="false">IF(F705="","",F705-C705)</f>
        <v>0.875</v>
      </c>
      <c r="K705" s="33" t="n">
        <f aca="false">IF(G705="","",G705-C705)</f>
        <v>0.609496819800725</v>
      </c>
      <c r="L705" s="33" t="n">
        <f aca="false">IF(H705="","",ABS(H705))</f>
        <v>3</v>
      </c>
      <c r="M705" s="33" t="n">
        <f aca="false">IF(I705="","",ABS(I705))</f>
        <v>0.25</v>
      </c>
      <c r="N705" s="33" t="n">
        <f aca="false">IF(J705="","",ABS(J705))</f>
        <v>0.875</v>
      </c>
      <c r="O705" s="33" t="n">
        <f aca="false">IF(K705="","",ABS(K705))</f>
        <v>0.609496819800725</v>
      </c>
      <c r="P705" s="34" t="str">
        <f aca="false">IF(B705&gt;=Eval_Start_Week,"YES","")</f>
        <v>YES</v>
      </c>
      <c r="Q705" s="34" t="str">
        <f aca="false">IF(AND(B705&gt;=Cal_Start_Week,B705&lt;=Cal_End_Week),"YES","")</f>
        <v>YES</v>
      </c>
    </row>
    <row r="706" customFormat="false" ht="15" hidden="false" customHeight="false" outlineLevel="0" collapsed="false">
      <c r="A706" s="31" t="str">
        <f aca="false">Demand_History!C706</f>
        <v>KIT-007</v>
      </c>
      <c r="B706" s="31" t="n">
        <f aca="false">Demand_History!A706</f>
        <v>81</v>
      </c>
      <c r="C706" s="32" t="n">
        <f aca="false">Demand_History!D706</f>
        <v>5</v>
      </c>
      <c r="D706" s="33" t="n">
        <f aca="false">IF(B706&gt;=2,C705,"")</f>
        <v>6</v>
      </c>
      <c r="E706" s="33" t="n">
        <f aca="false">IF(B706&gt;=5,AVERAGE(C702:C705),"")</f>
        <v>7.75</v>
      </c>
      <c r="F706" s="33" t="n">
        <f aca="false">IF(B706&gt;=9,AVERAGE(C698:C705),"")</f>
        <v>6.75</v>
      </c>
      <c r="G706" s="33" t="n">
        <f aca="false">IF(B706=1,"",IF(B706=2,C705,SES_Alpha*C705+(1-SES_Alpha)*G705))</f>
        <v>6.42664777386051</v>
      </c>
      <c r="H706" s="33" t="n">
        <f aca="false">IF(D706="","",D706-C706)</f>
        <v>1</v>
      </c>
      <c r="I706" s="33" t="n">
        <f aca="false">IF(E706="","",E706-C706)</f>
        <v>2.75</v>
      </c>
      <c r="J706" s="33" t="n">
        <f aca="false">IF(F706="","",F706-C706)</f>
        <v>1.75</v>
      </c>
      <c r="K706" s="33" t="n">
        <f aca="false">IF(G706="","",G706-C706)</f>
        <v>1.42664777386051</v>
      </c>
      <c r="L706" s="33" t="n">
        <f aca="false">IF(H706="","",ABS(H706))</f>
        <v>1</v>
      </c>
      <c r="M706" s="33" t="n">
        <f aca="false">IF(I706="","",ABS(I706))</f>
        <v>2.75</v>
      </c>
      <c r="N706" s="33" t="n">
        <f aca="false">IF(J706="","",ABS(J706))</f>
        <v>1.75</v>
      </c>
      <c r="O706" s="33" t="n">
        <f aca="false">IF(K706="","",ABS(K706))</f>
        <v>1.42664777386051</v>
      </c>
      <c r="P706" s="34" t="str">
        <f aca="false">IF(B706&gt;=Eval_Start_Week,"YES","")</f>
        <v>YES</v>
      </c>
      <c r="Q706" s="34" t="str">
        <f aca="false">IF(AND(B706&gt;=Cal_Start_Week,B706&lt;=Cal_End_Week),"YES","")</f>
        <v>YES</v>
      </c>
    </row>
    <row r="707" customFormat="false" ht="15" hidden="false" customHeight="false" outlineLevel="0" collapsed="false">
      <c r="A707" s="31" t="str">
        <f aca="false">Demand_History!C707</f>
        <v>KIT-007</v>
      </c>
      <c r="B707" s="31" t="n">
        <f aca="false">Demand_History!A707</f>
        <v>82</v>
      </c>
      <c r="C707" s="32" t="n">
        <f aca="false">Demand_History!D707</f>
        <v>4</v>
      </c>
      <c r="D707" s="33" t="n">
        <f aca="false">IF(B707&gt;=2,C706,"")</f>
        <v>5</v>
      </c>
      <c r="E707" s="33" t="n">
        <f aca="false">IF(B707&gt;=5,AVERAGE(C703:C706),"")</f>
        <v>6.25</v>
      </c>
      <c r="F707" s="33" t="n">
        <f aca="false">IF(B707&gt;=9,AVERAGE(C699:C706),"")</f>
        <v>6.25</v>
      </c>
      <c r="G707" s="33" t="n">
        <f aca="false">IF(B707=1,"",IF(B707=2,C706,SES_Alpha*C706+(1-SES_Alpha)*G706))</f>
        <v>5.99865344170236</v>
      </c>
      <c r="H707" s="33" t="n">
        <f aca="false">IF(D707="","",D707-C707)</f>
        <v>1</v>
      </c>
      <c r="I707" s="33" t="n">
        <f aca="false">IF(E707="","",E707-C707)</f>
        <v>2.25</v>
      </c>
      <c r="J707" s="33" t="n">
        <f aca="false">IF(F707="","",F707-C707)</f>
        <v>2.25</v>
      </c>
      <c r="K707" s="33" t="n">
        <f aca="false">IF(G707="","",G707-C707)</f>
        <v>1.99865344170235</v>
      </c>
      <c r="L707" s="33" t="n">
        <f aca="false">IF(H707="","",ABS(H707))</f>
        <v>1</v>
      </c>
      <c r="M707" s="33" t="n">
        <f aca="false">IF(I707="","",ABS(I707))</f>
        <v>2.25</v>
      </c>
      <c r="N707" s="33" t="n">
        <f aca="false">IF(J707="","",ABS(J707))</f>
        <v>2.25</v>
      </c>
      <c r="O707" s="33" t="n">
        <f aca="false">IF(K707="","",ABS(K707))</f>
        <v>1.99865344170235</v>
      </c>
      <c r="P707" s="34" t="str">
        <f aca="false">IF(B707&gt;=Eval_Start_Week,"YES","")</f>
        <v>YES</v>
      </c>
      <c r="Q707" s="34" t="str">
        <f aca="false">IF(AND(B707&gt;=Cal_Start_Week,B707&lt;=Cal_End_Week),"YES","")</f>
        <v>YES</v>
      </c>
    </row>
    <row r="708" customFormat="false" ht="15" hidden="false" customHeight="false" outlineLevel="0" collapsed="false">
      <c r="A708" s="31" t="str">
        <f aca="false">Demand_History!C708</f>
        <v>KIT-007</v>
      </c>
      <c r="B708" s="31" t="n">
        <f aca="false">Demand_History!A708</f>
        <v>83</v>
      </c>
      <c r="C708" s="32" t="n">
        <f aca="false">Demand_History!D708</f>
        <v>8</v>
      </c>
      <c r="D708" s="33" t="n">
        <f aca="false">IF(B708&gt;=2,C707,"")</f>
        <v>4</v>
      </c>
      <c r="E708" s="33" t="n">
        <f aca="false">IF(B708&gt;=5,AVERAGE(C704:C707),"")</f>
        <v>4.5</v>
      </c>
      <c r="F708" s="33" t="n">
        <f aca="false">IF(B708&gt;=9,AVERAGE(C700:C707),"")</f>
        <v>5.875</v>
      </c>
      <c r="G708" s="33" t="n">
        <f aca="false">IF(B708=1,"",IF(B708=2,C707,SES_Alpha*C707+(1-SES_Alpha)*G707))</f>
        <v>5.39905740919165</v>
      </c>
      <c r="H708" s="33" t="n">
        <f aca="false">IF(D708="","",D708-C708)</f>
        <v>-4</v>
      </c>
      <c r="I708" s="33" t="n">
        <f aca="false">IF(E708="","",E708-C708)</f>
        <v>-3.5</v>
      </c>
      <c r="J708" s="33" t="n">
        <f aca="false">IF(F708="","",F708-C708)</f>
        <v>-2.125</v>
      </c>
      <c r="K708" s="33" t="n">
        <f aca="false">IF(G708="","",G708-C708)</f>
        <v>-2.60094259080835</v>
      </c>
      <c r="L708" s="33" t="n">
        <f aca="false">IF(H708="","",ABS(H708))</f>
        <v>4</v>
      </c>
      <c r="M708" s="33" t="n">
        <f aca="false">IF(I708="","",ABS(I708))</f>
        <v>3.5</v>
      </c>
      <c r="N708" s="33" t="n">
        <f aca="false">IF(J708="","",ABS(J708))</f>
        <v>2.125</v>
      </c>
      <c r="O708" s="33" t="n">
        <f aca="false">IF(K708="","",ABS(K708))</f>
        <v>2.60094259080835</v>
      </c>
      <c r="P708" s="34" t="str">
        <f aca="false">IF(B708&gt;=Eval_Start_Week,"YES","")</f>
        <v>YES</v>
      </c>
      <c r="Q708" s="34" t="str">
        <f aca="false">IF(AND(B708&gt;=Cal_Start_Week,B708&lt;=Cal_End_Week),"YES","")</f>
        <v>YES</v>
      </c>
    </row>
    <row r="709" customFormat="false" ht="15" hidden="false" customHeight="false" outlineLevel="0" collapsed="false">
      <c r="A709" s="31" t="str">
        <f aca="false">Demand_History!C709</f>
        <v>KIT-007</v>
      </c>
      <c r="B709" s="31" t="n">
        <f aca="false">Demand_History!A709</f>
        <v>84</v>
      </c>
      <c r="C709" s="32" t="n">
        <f aca="false">Demand_History!D709</f>
        <v>5</v>
      </c>
      <c r="D709" s="33" t="n">
        <f aca="false">IF(B709&gt;=2,C708,"")</f>
        <v>8</v>
      </c>
      <c r="E709" s="33" t="n">
        <f aca="false">IF(B709&gt;=5,AVERAGE(C705:C708),"")</f>
        <v>5.75</v>
      </c>
      <c r="F709" s="33" t="n">
        <f aca="false">IF(B709&gt;=9,AVERAGE(C701:C708),"")</f>
        <v>6</v>
      </c>
      <c r="G709" s="33" t="n">
        <f aca="false">IF(B709=1,"",IF(B709=2,C708,SES_Alpha*C708+(1-SES_Alpha)*G708))</f>
        <v>6.17934018643415</v>
      </c>
      <c r="H709" s="33" t="n">
        <f aca="false">IF(D709="","",D709-C709)</f>
        <v>3</v>
      </c>
      <c r="I709" s="33" t="n">
        <f aca="false">IF(E709="","",E709-C709)</f>
        <v>0.75</v>
      </c>
      <c r="J709" s="33" t="n">
        <f aca="false">IF(F709="","",F709-C709)</f>
        <v>1</v>
      </c>
      <c r="K709" s="33" t="n">
        <f aca="false">IF(G709="","",G709-C709)</f>
        <v>1.17934018643415</v>
      </c>
      <c r="L709" s="33" t="n">
        <f aca="false">IF(H709="","",ABS(H709))</f>
        <v>3</v>
      </c>
      <c r="M709" s="33" t="n">
        <f aca="false">IF(I709="","",ABS(I709))</f>
        <v>0.75</v>
      </c>
      <c r="N709" s="33" t="n">
        <f aca="false">IF(J709="","",ABS(J709))</f>
        <v>1</v>
      </c>
      <c r="O709" s="33" t="n">
        <f aca="false">IF(K709="","",ABS(K709))</f>
        <v>1.17934018643415</v>
      </c>
      <c r="P709" s="34" t="str">
        <f aca="false">IF(B709&gt;=Eval_Start_Week,"YES","")</f>
        <v>YES</v>
      </c>
      <c r="Q709" s="34" t="str">
        <f aca="false">IF(AND(B709&gt;=Cal_Start_Week,B709&lt;=Cal_End_Week),"YES","")</f>
        <v>YES</v>
      </c>
    </row>
    <row r="710" customFormat="false" ht="15" hidden="false" customHeight="false" outlineLevel="0" collapsed="false">
      <c r="A710" s="31" t="str">
        <f aca="false">Demand_History!C710</f>
        <v>KIT-007</v>
      </c>
      <c r="B710" s="31" t="n">
        <f aca="false">Demand_History!A710</f>
        <v>85</v>
      </c>
      <c r="C710" s="32" t="n">
        <f aca="false">Demand_History!D710</f>
        <v>10</v>
      </c>
      <c r="D710" s="33" t="n">
        <f aca="false">IF(B710&gt;=2,C709,"")</f>
        <v>5</v>
      </c>
      <c r="E710" s="33" t="n">
        <f aca="false">IF(B710&gt;=5,AVERAGE(C706:C709),"")</f>
        <v>5.5</v>
      </c>
      <c r="F710" s="33" t="n">
        <f aca="false">IF(B710&gt;=9,AVERAGE(C702:C709),"")</f>
        <v>6.625</v>
      </c>
      <c r="G710" s="33" t="n">
        <f aca="false">IF(B710=1,"",IF(B710=2,C709,SES_Alpha*C709+(1-SES_Alpha)*G709))</f>
        <v>5.82553813050391</v>
      </c>
      <c r="H710" s="33" t="n">
        <f aca="false">IF(D710="","",D710-C710)</f>
        <v>-5</v>
      </c>
      <c r="I710" s="33" t="n">
        <f aca="false">IF(E710="","",E710-C710)</f>
        <v>-4.5</v>
      </c>
      <c r="J710" s="33" t="n">
        <f aca="false">IF(F710="","",F710-C710)</f>
        <v>-3.375</v>
      </c>
      <c r="K710" s="33" t="n">
        <f aca="false">IF(G710="","",G710-C710)</f>
        <v>-4.17446186949609</v>
      </c>
      <c r="L710" s="33" t="n">
        <f aca="false">IF(H710="","",ABS(H710))</f>
        <v>5</v>
      </c>
      <c r="M710" s="33" t="n">
        <f aca="false">IF(I710="","",ABS(I710))</f>
        <v>4.5</v>
      </c>
      <c r="N710" s="33" t="n">
        <f aca="false">IF(J710="","",ABS(J710))</f>
        <v>3.375</v>
      </c>
      <c r="O710" s="33" t="n">
        <f aca="false">IF(K710="","",ABS(K710))</f>
        <v>4.17446186949609</v>
      </c>
      <c r="P710" s="34" t="str">
        <f aca="false">IF(B710&gt;=Eval_Start_Week,"YES","")</f>
        <v>YES</v>
      </c>
      <c r="Q710" s="34" t="str">
        <f aca="false">IF(AND(B710&gt;=Cal_Start_Week,B710&lt;=Cal_End_Week),"YES","")</f>
        <v>YES</v>
      </c>
    </row>
    <row r="711" customFormat="false" ht="15" hidden="false" customHeight="false" outlineLevel="0" collapsed="false">
      <c r="A711" s="31" t="str">
        <f aca="false">Demand_History!C711</f>
        <v>KIT-007</v>
      </c>
      <c r="B711" s="31" t="n">
        <f aca="false">Demand_History!A711</f>
        <v>86</v>
      </c>
      <c r="C711" s="32" t="n">
        <f aca="false">Demand_History!D711</f>
        <v>7</v>
      </c>
      <c r="D711" s="33" t="n">
        <f aca="false">IF(B711&gt;=2,C710,"")</f>
        <v>10</v>
      </c>
      <c r="E711" s="33" t="n">
        <f aca="false">IF(B711&gt;=5,AVERAGE(C707:C710),"")</f>
        <v>6.75</v>
      </c>
      <c r="F711" s="33" t="n">
        <f aca="false">IF(B711&gt;=9,AVERAGE(C703:C710),"")</f>
        <v>6.5</v>
      </c>
      <c r="G711" s="33" t="n">
        <f aca="false">IF(B711=1,"",IF(B711=2,C710,SES_Alpha*C710+(1-SES_Alpha)*G710))</f>
        <v>7.07787669135274</v>
      </c>
      <c r="H711" s="33" t="n">
        <f aca="false">IF(D711="","",D711-C711)</f>
        <v>3</v>
      </c>
      <c r="I711" s="33" t="n">
        <f aca="false">IF(E711="","",E711-C711)</f>
        <v>-0.25</v>
      </c>
      <c r="J711" s="33" t="n">
        <f aca="false">IF(F711="","",F711-C711)</f>
        <v>-0.5</v>
      </c>
      <c r="K711" s="33" t="n">
        <f aca="false">IF(G711="","",G711-C711)</f>
        <v>0.0778766913527349</v>
      </c>
      <c r="L711" s="33" t="n">
        <f aca="false">IF(H711="","",ABS(H711))</f>
        <v>3</v>
      </c>
      <c r="M711" s="33" t="n">
        <f aca="false">IF(I711="","",ABS(I711))</f>
        <v>0.25</v>
      </c>
      <c r="N711" s="33" t="n">
        <f aca="false">IF(J711="","",ABS(J711))</f>
        <v>0.5</v>
      </c>
      <c r="O711" s="33" t="n">
        <f aca="false">IF(K711="","",ABS(K711))</f>
        <v>0.0778766913527349</v>
      </c>
      <c r="P711" s="34" t="str">
        <f aca="false">IF(B711&gt;=Eval_Start_Week,"YES","")</f>
        <v>YES</v>
      </c>
      <c r="Q711" s="34" t="str">
        <f aca="false">IF(AND(B711&gt;=Cal_Start_Week,B711&lt;=Cal_End_Week),"YES","")</f>
        <v>YES</v>
      </c>
    </row>
    <row r="712" customFormat="false" ht="15" hidden="false" customHeight="false" outlineLevel="0" collapsed="false">
      <c r="A712" s="31" t="str">
        <f aca="false">Demand_History!C712</f>
        <v>KIT-007</v>
      </c>
      <c r="B712" s="31" t="n">
        <f aca="false">Demand_History!A712</f>
        <v>87</v>
      </c>
      <c r="C712" s="32" t="n">
        <f aca="false">Demand_History!D712</f>
        <v>12</v>
      </c>
      <c r="D712" s="33" t="n">
        <f aca="false">IF(B712&gt;=2,C711,"")</f>
        <v>7</v>
      </c>
      <c r="E712" s="33" t="n">
        <f aca="false">IF(B712&gt;=5,AVERAGE(C708:C711),"")</f>
        <v>7.5</v>
      </c>
      <c r="F712" s="33" t="n">
        <f aca="false">IF(B712&gt;=9,AVERAGE(C704:C711),"")</f>
        <v>6</v>
      </c>
      <c r="G712" s="33" t="n">
        <f aca="false">IF(B712=1,"",IF(B712=2,C711,SES_Alpha*C711+(1-SES_Alpha)*G711))</f>
        <v>7.05451368394691</v>
      </c>
      <c r="H712" s="33" t="n">
        <f aca="false">IF(D712="","",D712-C712)</f>
        <v>-5</v>
      </c>
      <c r="I712" s="33" t="n">
        <f aca="false">IF(E712="","",E712-C712)</f>
        <v>-4.5</v>
      </c>
      <c r="J712" s="33" t="n">
        <f aca="false">IF(F712="","",F712-C712)</f>
        <v>-6</v>
      </c>
      <c r="K712" s="33" t="n">
        <f aca="false">IF(G712="","",G712-C712)</f>
        <v>-4.94548631605309</v>
      </c>
      <c r="L712" s="33" t="n">
        <f aca="false">IF(H712="","",ABS(H712))</f>
        <v>5</v>
      </c>
      <c r="M712" s="33" t="n">
        <f aca="false">IF(I712="","",ABS(I712))</f>
        <v>4.5</v>
      </c>
      <c r="N712" s="33" t="n">
        <f aca="false">IF(J712="","",ABS(J712))</f>
        <v>6</v>
      </c>
      <c r="O712" s="33" t="n">
        <f aca="false">IF(K712="","",ABS(K712))</f>
        <v>4.94548631605309</v>
      </c>
      <c r="P712" s="34" t="str">
        <f aca="false">IF(B712&gt;=Eval_Start_Week,"YES","")</f>
        <v>YES</v>
      </c>
      <c r="Q712" s="34" t="str">
        <f aca="false">IF(AND(B712&gt;=Cal_Start_Week,B712&lt;=Cal_End_Week),"YES","")</f>
        <v>YES</v>
      </c>
    </row>
    <row r="713" customFormat="false" ht="15" hidden="false" customHeight="false" outlineLevel="0" collapsed="false">
      <c r="A713" s="31" t="str">
        <f aca="false">Demand_History!C713</f>
        <v>KIT-007</v>
      </c>
      <c r="B713" s="31" t="n">
        <f aca="false">Demand_History!A713</f>
        <v>88</v>
      </c>
      <c r="C713" s="32" t="n">
        <f aca="false">Demand_History!D713</f>
        <v>5</v>
      </c>
      <c r="D713" s="33" t="n">
        <f aca="false">IF(B713&gt;=2,C712,"")</f>
        <v>12</v>
      </c>
      <c r="E713" s="33" t="n">
        <f aca="false">IF(B713&gt;=5,AVERAGE(C709:C712),"")</f>
        <v>8.5</v>
      </c>
      <c r="F713" s="33" t="n">
        <f aca="false">IF(B713&gt;=9,AVERAGE(C705:C712),"")</f>
        <v>7.125</v>
      </c>
      <c r="G713" s="33" t="n">
        <f aca="false">IF(B713=1,"",IF(B713=2,C712,SES_Alpha*C712+(1-SES_Alpha)*G712))</f>
        <v>8.53815957876284</v>
      </c>
      <c r="H713" s="33" t="n">
        <f aca="false">IF(D713="","",D713-C713)</f>
        <v>7</v>
      </c>
      <c r="I713" s="33" t="n">
        <f aca="false">IF(E713="","",E713-C713)</f>
        <v>3.5</v>
      </c>
      <c r="J713" s="33" t="n">
        <f aca="false">IF(F713="","",F713-C713)</f>
        <v>2.125</v>
      </c>
      <c r="K713" s="33" t="n">
        <f aca="false">IF(G713="","",G713-C713)</f>
        <v>3.53815957876284</v>
      </c>
      <c r="L713" s="33" t="n">
        <f aca="false">IF(H713="","",ABS(H713))</f>
        <v>7</v>
      </c>
      <c r="M713" s="33" t="n">
        <f aca="false">IF(I713="","",ABS(I713))</f>
        <v>3.5</v>
      </c>
      <c r="N713" s="33" t="n">
        <f aca="false">IF(J713="","",ABS(J713))</f>
        <v>2.125</v>
      </c>
      <c r="O713" s="33" t="n">
        <f aca="false">IF(K713="","",ABS(K713))</f>
        <v>3.53815957876284</v>
      </c>
      <c r="P713" s="34" t="str">
        <f aca="false">IF(B713&gt;=Eval_Start_Week,"YES","")</f>
        <v>YES</v>
      </c>
      <c r="Q713" s="34" t="str">
        <f aca="false">IF(AND(B713&gt;=Cal_Start_Week,B713&lt;=Cal_End_Week),"YES","")</f>
        <v>YES</v>
      </c>
    </row>
    <row r="714" customFormat="false" ht="15" hidden="false" customHeight="false" outlineLevel="0" collapsed="false">
      <c r="A714" s="31" t="str">
        <f aca="false">Demand_History!C714</f>
        <v>KIT-007</v>
      </c>
      <c r="B714" s="31" t="n">
        <f aca="false">Demand_History!A714</f>
        <v>89</v>
      </c>
      <c r="C714" s="32" t="n">
        <f aca="false">Demand_History!D714</f>
        <v>9</v>
      </c>
      <c r="D714" s="33" t="n">
        <f aca="false">IF(B714&gt;=2,C713,"")</f>
        <v>5</v>
      </c>
      <c r="E714" s="33" t="n">
        <f aca="false">IF(B714&gt;=5,AVERAGE(C710:C713),"")</f>
        <v>8.5</v>
      </c>
      <c r="F714" s="33" t="n">
        <f aca="false">IF(B714&gt;=9,AVERAGE(C706:C713),"")</f>
        <v>7</v>
      </c>
      <c r="G714" s="33" t="n">
        <f aca="false">IF(B714=1,"",IF(B714=2,C713,SES_Alpha*C713+(1-SES_Alpha)*G713))</f>
        <v>7.47671170513399</v>
      </c>
      <c r="H714" s="33" t="n">
        <f aca="false">IF(D714="","",D714-C714)</f>
        <v>-4</v>
      </c>
      <c r="I714" s="33" t="n">
        <f aca="false">IF(E714="","",E714-C714)</f>
        <v>-0.5</v>
      </c>
      <c r="J714" s="33" t="n">
        <f aca="false">IF(F714="","",F714-C714)</f>
        <v>-2</v>
      </c>
      <c r="K714" s="33" t="n">
        <f aca="false">IF(G714="","",G714-C714)</f>
        <v>-1.52328829486601</v>
      </c>
      <c r="L714" s="33" t="n">
        <f aca="false">IF(H714="","",ABS(H714))</f>
        <v>4</v>
      </c>
      <c r="M714" s="33" t="n">
        <f aca="false">IF(I714="","",ABS(I714))</f>
        <v>0.5</v>
      </c>
      <c r="N714" s="33" t="n">
        <f aca="false">IF(J714="","",ABS(J714))</f>
        <v>2</v>
      </c>
      <c r="O714" s="33" t="n">
        <f aca="false">IF(K714="","",ABS(K714))</f>
        <v>1.52328829486601</v>
      </c>
      <c r="P714" s="34" t="str">
        <f aca="false">IF(B714&gt;=Eval_Start_Week,"YES","")</f>
        <v>YES</v>
      </c>
      <c r="Q714" s="34" t="str">
        <f aca="false">IF(AND(B714&gt;=Cal_Start_Week,B714&lt;=Cal_End_Week),"YES","")</f>
        <v/>
      </c>
    </row>
    <row r="715" customFormat="false" ht="15" hidden="false" customHeight="false" outlineLevel="0" collapsed="false">
      <c r="A715" s="31" t="str">
        <f aca="false">Demand_History!C715</f>
        <v>KIT-007</v>
      </c>
      <c r="B715" s="31" t="n">
        <f aca="false">Demand_History!A715</f>
        <v>90</v>
      </c>
      <c r="C715" s="32" t="n">
        <f aca="false">Demand_History!D715</f>
        <v>7</v>
      </c>
      <c r="D715" s="33" t="n">
        <f aca="false">IF(B715&gt;=2,C714,"")</f>
        <v>9</v>
      </c>
      <c r="E715" s="33" t="n">
        <f aca="false">IF(B715&gt;=5,AVERAGE(C711:C714),"")</f>
        <v>8.25</v>
      </c>
      <c r="F715" s="33" t="n">
        <f aca="false">IF(B715&gt;=9,AVERAGE(C707:C714),"")</f>
        <v>7.5</v>
      </c>
      <c r="G715" s="33" t="n">
        <f aca="false">IF(B715=1,"",IF(B715=2,C714,SES_Alpha*C714+(1-SES_Alpha)*G714))</f>
        <v>7.93369819359379</v>
      </c>
      <c r="H715" s="33" t="n">
        <f aca="false">IF(D715="","",D715-C715)</f>
        <v>2</v>
      </c>
      <c r="I715" s="33" t="n">
        <f aca="false">IF(E715="","",E715-C715)</f>
        <v>1.25</v>
      </c>
      <c r="J715" s="33" t="n">
        <f aca="false">IF(F715="","",F715-C715)</f>
        <v>0.5</v>
      </c>
      <c r="K715" s="33" t="n">
        <f aca="false">IF(G715="","",G715-C715)</f>
        <v>0.93369819359379</v>
      </c>
      <c r="L715" s="33" t="n">
        <f aca="false">IF(H715="","",ABS(H715))</f>
        <v>2</v>
      </c>
      <c r="M715" s="33" t="n">
        <f aca="false">IF(I715="","",ABS(I715))</f>
        <v>1.25</v>
      </c>
      <c r="N715" s="33" t="n">
        <f aca="false">IF(J715="","",ABS(J715))</f>
        <v>0.5</v>
      </c>
      <c r="O715" s="33" t="n">
        <f aca="false">IF(K715="","",ABS(K715))</f>
        <v>0.93369819359379</v>
      </c>
      <c r="P715" s="34" t="str">
        <f aca="false">IF(B715&gt;=Eval_Start_Week,"YES","")</f>
        <v>YES</v>
      </c>
      <c r="Q715" s="34" t="str">
        <f aca="false">IF(AND(B715&gt;=Cal_Start_Week,B715&lt;=Cal_End_Week),"YES","")</f>
        <v/>
      </c>
    </row>
    <row r="716" customFormat="false" ht="15" hidden="false" customHeight="false" outlineLevel="0" collapsed="false">
      <c r="A716" s="31" t="str">
        <f aca="false">Demand_History!C716</f>
        <v>KIT-007</v>
      </c>
      <c r="B716" s="31" t="n">
        <f aca="false">Demand_History!A716</f>
        <v>91</v>
      </c>
      <c r="C716" s="32" t="n">
        <f aca="false">Demand_History!D716</f>
        <v>7</v>
      </c>
      <c r="D716" s="33" t="n">
        <f aca="false">IF(B716&gt;=2,C715,"")</f>
        <v>7</v>
      </c>
      <c r="E716" s="33" t="n">
        <f aca="false">IF(B716&gt;=5,AVERAGE(C712:C715),"")</f>
        <v>8.25</v>
      </c>
      <c r="F716" s="33" t="n">
        <f aca="false">IF(B716&gt;=9,AVERAGE(C708:C715),"")</f>
        <v>7.875</v>
      </c>
      <c r="G716" s="33" t="n">
        <f aca="false">IF(B716=1,"",IF(B716=2,C715,SES_Alpha*C715+(1-SES_Alpha)*G715))</f>
        <v>7.65358873551565</v>
      </c>
      <c r="H716" s="33" t="n">
        <f aca="false">IF(D716="","",D716-C716)</f>
        <v>0</v>
      </c>
      <c r="I716" s="33" t="n">
        <f aca="false">IF(E716="","",E716-C716)</f>
        <v>1.25</v>
      </c>
      <c r="J716" s="33" t="n">
        <f aca="false">IF(F716="","",F716-C716)</f>
        <v>0.875</v>
      </c>
      <c r="K716" s="33" t="n">
        <f aca="false">IF(G716="","",G716-C716)</f>
        <v>0.653588735515653</v>
      </c>
      <c r="L716" s="33" t="n">
        <f aca="false">IF(H716="","",ABS(H716))</f>
        <v>0</v>
      </c>
      <c r="M716" s="33" t="n">
        <f aca="false">IF(I716="","",ABS(I716))</f>
        <v>1.25</v>
      </c>
      <c r="N716" s="33" t="n">
        <f aca="false">IF(J716="","",ABS(J716))</f>
        <v>0.875</v>
      </c>
      <c r="O716" s="33" t="n">
        <f aca="false">IF(K716="","",ABS(K716))</f>
        <v>0.653588735515653</v>
      </c>
      <c r="P716" s="34" t="str">
        <f aca="false">IF(B716&gt;=Eval_Start_Week,"YES","")</f>
        <v>YES</v>
      </c>
      <c r="Q716" s="34" t="str">
        <f aca="false">IF(AND(B716&gt;=Cal_Start_Week,B716&lt;=Cal_End_Week),"YES","")</f>
        <v/>
      </c>
    </row>
    <row r="717" customFormat="false" ht="15" hidden="false" customHeight="false" outlineLevel="0" collapsed="false">
      <c r="A717" s="31" t="str">
        <f aca="false">Demand_History!C717</f>
        <v>KIT-007</v>
      </c>
      <c r="B717" s="31" t="n">
        <f aca="false">Demand_History!A717</f>
        <v>92</v>
      </c>
      <c r="C717" s="32" t="n">
        <f aca="false">Demand_History!D717</f>
        <v>11</v>
      </c>
      <c r="D717" s="33" t="n">
        <f aca="false">IF(B717&gt;=2,C716,"")</f>
        <v>7</v>
      </c>
      <c r="E717" s="33" t="n">
        <f aca="false">IF(B717&gt;=5,AVERAGE(C713:C716),"")</f>
        <v>7</v>
      </c>
      <c r="F717" s="33" t="n">
        <f aca="false">IF(B717&gt;=9,AVERAGE(C709:C716),"")</f>
        <v>7.75</v>
      </c>
      <c r="G717" s="33" t="n">
        <f aca="false">IF(B717=1,"",IF(B717=2,C716,SES_Alpha*C716+(1-SES_Alpha)*G716))</f>
        <v>7.45751211486096</v>
      </c>
      <c r="H717" s="33" t="n">
        <f aca="false">IF(D717="","",D717-C717)</f>
        <v>-4</v>
      </c>
      <c r="I717" s="33" t="n">
        <f aca="false">IF(E717="","",E717-C717)</f>
        <v>-4</v>
      </c>
      <c r="J717" s="33" t="n">
        <f aca="false">IF(F717="","",F717-C717)</f>
        <v>-3.25</v>
      </c>
      <c r="K717" s="33" t="n">
        <f aca="false">IF(G717="","",G717-C717)</f>
        <v>-3.54248788513904</v>
      </c>
      <c r="L717" s="33" t="n">
        <f aca="false">IF(H717="","",ABS(H717))</f>
        <v>4</v>
      </c>
      <c r="M717" s="33" t="n">
        <f aca="false">IF(I717="","",ABS(I717))</f>
        <v>4</v>
      </c>
      <c r="N717" s="33" t="n">
        <f aca="false">IF(J717="","",ABS(J717))</f>
        <v>3.25</v>
      </c>
      <c r="O717" s="33" t="n">
        <f aca="false">IF(K717="","",ABS(K717))</f>
        <v>3.54248788513904</v>
      </c>
      <c r="P717" s="34" t="str">
        <f aca="false">IF(B717&gt;=Eval_Start_Week,"YES","")</f>
        <v>YES</v>
      </c>
      <c r="Q717" s="34" t="str">
        <f aca="false">IF(AND(B717&gt;=Cal_Start_Week,B717&lt;=Cal_End_Week),"YES","")</f>
        <v/>
      </c>
    </row>
    <row r="718" customFormat="false" ht="15" hidden="false" customHeight="false" outlineLevel="0" collapsed="false">
      <c r="A718" s="31" t="str">
        <f aca="false">Demand_History!C718</f>
        <v>KIT-007</v>
      </c>
      <c r="B718" s="31" t="n">
        <f aca="false">Demand_History!A718</f>
        <v>93</v>
      </c>
      <c r="C718" s="32" t="n">
        <f aca="false">Demand_History!D718</f>
        <v>6</v>
      </c>
      <c r="D718" s="33" t="n">
        <f aca="false">IF(B718&gt;=2,C717,"")</f>
        <v>11</v>
      </c>
      <c r="E718" s="33" t="n">
        <f aca="false">IF(B718&gt;=5,AVERAGE(C714:C717),"")</f>
        <v>8.5</v>
      </c>
      <c r="F718" s="33" t="n">
        <f aca="false">IF(B718&gt;=9,AVERAGE(C710:C717),"")</f>
        <v>8.5</v>
      </c>
      <c r="G718" s="33" t="n">
        <f aca="false">IF(B718=1,"",IF(B718=2,C717,SES_Alpha*C717+(1-SES_Alpha)*G717))</f>
        <v>8.52025848040267</v>
      </c>
      <c r="H718" s="33" t="n">
        <f aca="false">IF(D718="","",D718-C718)</f>
        <v>5</v>
      </c>
      <c r="I718" s="33" t="n">
        <f aca="false">IF(E718="","",E718-C718)</f>
        <v>2.5</v>
      </c>
      <c r="J718" s="33" t="n">
        <f aca="false">IF(F718="","",F718-C718)</f>
        <v>2.5</v>
      </c>
      <c r="K718" s="33" t="n">
        <f aca="false">IF(G718="","",G718-C718)</f>
        <v>2.52025848040267</v>
      </c>
      <c r="L718" s="33" t="n">
        <f aca="false">IF(H718="","",ABS(H718))</f>
        <v>5</v>
      </c>
      <c r="M718" s="33" t="n">
        <f aca="false">IF(I718="","",ABS(I718))</f>
        <v>2.5</v>
      </c>
      <c r="N718" s="33" t="n">
        <f aca="false">IF(J718="","",ABS(J718))</f>
        <v>2.5</v>
      </c>
      <c r="O718" s="33" t="n">
        <f aca="false">IF(K718="","",ABS(K718))</f>
        <v>2.52025848040267</v>
      </c>
      <c r="P718" s="34" t="str">
        <f aca="false">IF(B718&gt;=Eval_Start_Week,"YES","")</f>
        <v>YES</v>
      </c>
      <c r="Q718" s="34" t="str">
        <f aca="false">IF(AND(B718&gt;=Cal_Start_Week,B718&lt;=Cal_End_Week),"YES","")</f>
        <v/>
      </c>
    </row>
    <row r="719" customFormat="false" ht="15" hidden="false" customHeight="false" outlineLevel="0" collapsed="false">
      <c r="A719" s="31" t="str">
        <f aca="false">Demand_History!C719</f>
        <v>KIT-007</v>
      </c>
      <c r="B719" s="31" t="n">
        <f aca="false">Demand_History!A719</f>
        <v>94</v>
      </c>
      <c r="C719" s="32" t="n">
        <f aca="false">Demand_History!D719</f>
        <v>4</v>
      </c>
      <c r="D719" s="33" t="n">
        <f aca="false">IF(B719&gt;=2,C718,"")</f>
        <v>6</v>
      </c>
      <c r="E719" s="33" t="n">
        <f aca="false">IF(B719&gt;=5,AVERAGE(C715:C718),"")</f>
        <v>7.75</v>
      </c>
      <c r="F719" s="33" t="n">
        <f aca="false">IF(B719&gt;=9,AVERAGE(C711:C718),"")</f>
        <v>8</v>
      </c>
      <c r="G719" s="33" t="n">
        <f aca="false">IF(B719=1,"",IF(B719=2,C718,SES_Alpha*C718+(1-SES_Alpha)*G718))</f>
        <v>7.76418093628187</v>
      </c>
      <c r="H719" s="33" t="n">
        <f aca="false">IF(D719="","",D719-C719)</f>
        <v>2</v>
      </c>
      <c r="I719" s="33" t="n">
        <f aca="false">IF(E719="","",E719-C719)</f>
        <v>3.75</v>
      </c>
      <c r="J719" s="33" t="n">
        <f aca="false">IF(F719="","",F719-C719)</f>
        <v>4</v>
      </c>
      <c r="K719" s="33" t="n">
        <f aca="false">IF(G719="","",G719-C719)</f>
        <v>3.76418093628187</v>
      </c>
      <c r="L719" s="33" t="n">
        <f aca="false">IF(H719="","",ABS(H719))</f>
        <v>2</v>
      </c>
      <c r="M719" s="33" t="n">
        <f aca="false">IF(I719="","",ABS(I719))</f>
        <v>3.75</v>
      </c>
      <c r="N719" s="33" t="n">
        <f aca="false">IF(J719="","",ABS(J719))</f>
        <v>4</v>
      </c>
      <c r="O719" s="33" t="n">
        <f aca="false">IF(K719="","",ABS(K719))</f>
        <v>3.76418093628187</v>
      </c>
      <c r="P719" s="34" t="str">
        <f aca="false">IF(B719&gt;=Eval_Start_Week,"YES","")</f>
        <v>YES</v>
      </c>
      <c r="Q719" s="34" t="str">
        <f aca="false">IF(AND(B719&gt;=Cal_Start_Week,B719&lt;=Cal_End_Week),"YES","")</f>
        <v/>
      </c>
    </row>
    <row r="720" customFormat="false" ht="15" hidden="false" customHeight="false" outlineLevel="0" collapsed="false">
      <c r="A720" s="31" t="str">
        <f aca="false">Demand_History!C720</f>
        <v>KIT-007</v>
      </c>
      <c r="B720" s="31" t="n">
        <f aca="false">Demand_History!A720</f>
        <v>95</v>
      </c>
      <c r="C720" s="32" t="n">
        <f aca="false">Demand_History!D720</f>
        <v>7</v>
      </c>
      <c r="D720" s="33" t="n">
        <f aca="false">IF(B720&gt;=2,C719,"")</f>
        <v>4</v>
      </c>
      <c r="E720" s="33" t="n">
        <f aca="false">IF(B720&gt;=5,AVERAGE(C716:C719),"")</f>
        <v>7</v>
      </c>
      <c r="F720" s="33" t="n">
        <f aca="false">IF(B720&gt;=9,AVERAGE(C712:C719),"")</f>
        <v>7.625</v>
      </c>
      <c r="G720" s="33" t="n">
        <f aca="false">IF(B720=1,"",IF(B720=2,C719,SES_Alpha*C719+(1-SES_Alpha)*G719))</f>
        <v>6.63492665539731</v>
      </c>
      <c r="H720" s="33" t="n">
        <f aca="false">IF(D720="","",D720-C720)</f>
        <v>-3</v>
      </c>
      <c r="I720" s="33" t="n">
        <f aca="false">IF(E720="","",E720-C720)</f>
        <v>0</v>
      </c>
      <c r="J720" s="33" t="n">
        <f aca="false">IF(F720="","",F720-C720)</f>
        <v>0.625</v>
      </c>
      <c r="K720" s="33" t="n">
        <f aca="false">IF(G720="","",G720-C720)</f>
        <v>-0.365073344602692</v>
      </c>
      <c r="L720" s="33" t="n">
        <f aca="false">IF(H720="","",ABS(H720))</f>
        <v>3</v>
      </c>
      <c r="M720" s="33" t="n">
        <f aca="false">IF(I720="","",ABS(I720))</f>
        <v>0</v>
      </c>
      <c r="N720" s="33" t="n">
        <f aca="false">IF(J720="","",ABS(J720))</f>
        <v>0.625</v>
      </c>
      <c r="O720" s="33" t="n">
        <f aca="false">IF(K720="","",ABS(K720))</f>
        <v>0.365073344602692</v>
      </c>
      <c r="P720" s="34" t="str">
        <f aca="false">IF(B720&gt;=Eval_Start_Week,"YES","")</f>
        <v>YES</v>
      </c>
      <c r="Q720" s="34" t="str">
        <f aca="false">IF(AND(B720&gt;=Cal_Start_Week,B720&lt;=Cal_End_Week),"YES","")</f>
        <v/>
      </c>
    </row>
    <row r="721" customFormat="false" ht="15" hidden="false" customHeight="false" outlineLevel="0" collapsed="false">
      <c r="A721" s="31" t="str">
        <f aca="false">Demand_History!C721</f>
        <v>KIT-007</v>
      </c>
      <c r="B721" s="31" t="n">
        <f aca="false">Demand_History!A721</f>
        <v>96</v>
      </c>
      <c r="C721" s="32" t="n">
        <f aca="false">Demand_History!D721</f>
        <v>7</v>
      </c>
      <c r="D721" s="33" t="n">
        <f aca="false">IF(B721&gt;=2,C720,"")</f>
        <v>7</v>
      </c>
      <c r="E721" s="33" t="n">
        <f aca="false">IF(B721&gt;=5,AVERAGE(C717:C720),"")</f>
        <v>7</v>
      </c>
      <c r="F721" s="33" t="n">
        <f aca="false">IF(B721&gt;=9,AVERAGE(C713:C720),"")</f>
        <v>7</v>
      </c>
      <c r="G721" s="33" t="n">
        <f aca="false">IF(B721=1,"",IF(B721=2,C720,SES_Alpha*C720+(1-SES_Alpha)*G720))</f>
        <v>6.74444865877812</v>
      </c>
      <c r="H721" s="33" t="n">
        <f aca="false">IF(D721="","",D721-C721)</f>
        <v>0</v>
      </c>
      <c r="I721" s="33" t="n">
        <f aca="false">IF(E721="","",E721-C721)</f>
        <v>0</v>
      </c>
      <c r="J721" s="33" t="n">
        <f aca="false">IF(F721="","",F721-C721)</f>
        <v>0</v>
      </c>
      <c r="K721" s="33" t="n">
        <f aca="false">IF(G721="","",G721-C721)</f>
        <v>-0.255551341221885</v>
      </c>
      <c r="L721" s="33" t="n">
        <f aca="false">IF(H721="","",ABS(H721))</f>
        <v>0</v>
      </c>
      <c r="M721" s="33" t="n">
        <f aca="false">IF(I721="","",ABS(I721))</f>
        <v>0</v>
      </c>
      <c r="N721" s="33" t="n">
        <f aca="false">IF(J721="","",ABS(J721))</f>
        <v>0</v>
      </c>
      <c r="O721" s="33" t="n">
        <f aca="false">IF(K721="","",ABS(K721))</f>
        <v>0.255551341221885</v>
      </c>
      <c r="P721" s="34" t="str">
        <f aca="false">IF(B721&gt;=Eval_Start_Week,"YES","")</f>
        <v>YES</v>
      </c>
      <c r="Q721" s="34" t="str">
        <f aca="false">IF(AND(B721&gt;=Cal_Start_Week,B721&lt;=Cal_End_Week),"YES","")</f>
        <v/>
      </c>
    </row>
    <row r="722" customFormat="false" ht="15" hidden="false" customHeight="false" outlineLevel="0" collapsed="false">
      <c r="A722" s="31" t="str">
        <f aca="false">Demand_History!C722</f>
        <v>KIT-007</v>
      </c>
      <c r="B722" s="31" t="n">
        <f aca="false">Demand_History!A722</f>
        <v>97</v>
      </c>
      <c r="C722" s="32" t="n">
        <f aca="false">Demand_History!D722</f>
        <v>12</v>
      </c>
      <c r="D722" s="33" t="n">
        <f aca="false">IF(B722&gt;=2,C721,"")</f>
        <v>7</v>
      </c>
      <c r="E722" s="33" t="n">
        <f aca="false">IF(B722&gt;=5,AVERAGE(C718:C721),"")</f>
        <v>6</v>
      </c>
      <c r="F722" s="33" t="n">
        <f aca="false">IF(B722&gt;=9,AVERAGE(C714:C721),"")</f>
        <v>7.25</v>
      </c>
      <c r="G722" s="33" t="n">
        <f aca="false">IF(B722=1,"",IF(B722=2,C721,SES_Alpha*C721+(1-SES_Alpha)*G721))</f>
        <v>6.82111406114468</v>
      </c>
      <c r="H722" s="33" t="n">
        <f aca="false">IF(D722="","",D722-C722)</f>
        <v>-5</v>
      </c>
      <c r="I722" s="33" t="n">
        <f aca="false">IF(E722="","",E722-C722)</f>
        <v>-6</v>
      </c>
      <c r="J722" s="33" t="n">
        <f aca="false">IF(F722="","",F722-C722)</f>
        <v>-4.75</v>
      </c>
      <c r="K722" s="33" t="n">
        <f aca="false">IF(G722="","",G722-C722)</f>
        <v>-5.17888593885532</v>
      </c>
      <c r="L722" s="33" t="n">
        <f aca="false">IF(H722="","",ABS(H722))</f>
        <v>5</v>
      </c>
      <c r="M722" s="33" t="n">
        <f aca="false">IF(I722="","",ABS(I722))</f>
        <v>6</v>
      </c>
      <c r="N722" s="33" t="n">
        <f aca="false">IF(J722="","",ABS(J722))</f>
        <v>4.75</v>
      </c>
      <c r="O722" s="33" t="n">
        <f aca="false">IF(K722="","",ABS(K722))</f>
        <v>5.17888593885532</v>
      </c>
      <c r="P722" s="34" t="str">
        <f aca="false">IF(B722&gt;=Eval_Start_Week,"YES","")</f>
        <v>YES</v>
      </c>
      <c r="Q722" s="34" t="str">
        <f aca="false">IF(AND(B722&gt;=Cal_Start_Week,B722&lt;=Cal_End_Week),"YES","")</f>
        <v/>
      </c>
    </row>
    <row r="723" customFormat="false" ht="15" hidden="false" customHeight="false" outlineLevel="0" collapsed="false">
      <c r="A723" s="31" t="str">
        <f aca="false">Demand_History!C723</f>
        <v>KIT-007</v>
      </c>
      <c r="B723" s="31" t="n">
        <f aca="false">Demand_History!A723</f>
        <v>98</v>
      </c>
      <c r="C723" s="32" t="n">
        <f aca="false">Demand_History!D723</f>
        <v>5</v>
      </c>
      <c r="D723" s="33" t="n">
        <f aca="false">IF(B723&gt;=2,C722,"")</f>
        <v>12</v>
      </c>
      <c r="E723" s="33" t="n">
        <f aca="false">IF(B723&gt;=5,AVERAGE(C719:C722),"")</f>
        <v>7.5</v>
      </c>
      <c r="F723" s="33" t="n">
        <f aca="false">IF(B723&gt;=9,AVERAGE(C715:C722),"")</f>
        <v>7.625</v>
      </c>
      <c r="G723" s="33" t="n">
        <f aca="false">IF(B723=1,"",IF(B723=2,C722,SES_Alpha*C722+(1-SES_Alpha)*G722))</f>
        <v>8.37477984280127</v>
      </c>
      <c r="H723" s="33" t="n">
        <f aca="false">IF(D723="","",D723-C723)</f>
        <v>7</v>
      </c>
      <c r="I723" s="33" t="n">
        <f aca="false">IF(E723="","",E723-C723)</f>
        <v>2.5</v>
      </c>
      <c r="J723" s="33" t="n">
        <f aca="false">IF(F723="","",F723-C723)</f>
        <v>2.625</v>
      </c>
      <c r="K723" s="33" t="n">
        <f aca="false">IF(G723="","",G723-C723)</f>
        <v>3.37477984280127</v>
      </c>
      <c r="L723" s="33" t="n">
        <f aca="false">IF(H723="","",ABS(H723))</f>
        <v>7</v>
      </c>
      <c r="M723" s="33" t="n">
        <f aca="false">IF(I723="","",ABS(I723))</f>
        <v>2.5</v>
      </c>
      <c r="N723" s="33" t="n">
        <f aca="false">IF(J723="","",ABS(J723))</f>
        <v>2.625</v>
      </c>
      <c r="O723" s="33" t="n">
        <f aca="false">IF(K723="","",ABS(K723))</f>
        <v>3.37477984280127</v>
      </c>
      <c r="P723" s="34" t="str">
        <f aca="false">IF(B723&gt;=Eval_Start_Week,"YES","")</f>
        <v>YES</v>
      </c>
      <c r="Q723" s="34" t="str">
        <f aca="false">IF(AND(B723&gt;=Cal_Start_Week,B723&lt;=Cal_End_Week),"YES","")</f>
        <v/>
      </c>
    </row>
    <row r="724" customFormat="false" ht="15" hidden="false" customHeight="false" outlineLevel="0" collapsed="false">
      <c r="A724" s="31" t="str">
        <f aca="false">Demand_History!C724</f>
        <v>KIT-007</v>
      </c>
      <c r="B724" s="31" t="n">
        <f aca="false">Demand_History!A724</f>
        <v>99</v>
      </c>
      <c r="C724" s="32" t="n">
        <f aca="false">Demand_History!D724</f>
        <v>7</v>
      </c>
      <c r="D724" s="33" t="n">
        <f aca="false">IF(B724&gt;=2,C723,"")</f>
        <v>5</v>
      </c>
      <c r="E724" s="33" t="n">
        <f aca="false">IF(B724&gt;=5,AVERAGE(C720:C723),"")</f>
        <v>7.75</v>
      </c>
      <c r="F724" s="33" t="n">
        <f aca="false">IF(B724&gt;=9,AVERAGE(C716:C723),"")</f>
        <v>7.375</v>
      </c>
      <c r="G724" s="33" t="n">
        <f aca="false">IF(B724=1,"",IF(B724=2,C723,SES_Alpha*C723+(1-SES_Alpha)*G723))</f>
        <v>7.36234588996089</v>
      </c>
      <c r="H724" s="33" t="n">
        <f aca="false">IF(D724="","",D724-C724)</f>
        <v>-2</v>
      </c>
      <c r="I724" s="33" t="n">
        <f aca="false">IF(E724="","",E724-C724)</f>
        <v>0.75</v>
      </c>
      <c r="J724" s="33" t="n">
        <f aca="false">IF(F724="","",F724-C724)</f>
        <v>0.375</v>
      </c>
      <c r="K724" s="33" t="n">
        <f aca="false">IF(G724="","",G724-C724)</f>
        <v>0.362345889960892</v>
      </c>
      <c r="L724" s="33" t="n">
        <f aca="false">IF(H724="","",ABS(H724))</f>
        <v>2</v>
      </c>
      <c r="M724" s="33" t="n">
        <f aca="false">IF(I724="","",ABS(I724))</f>
        <v>0.75</v>
      </c>
      <c r="N724" s="33" t="n">
        <f aca="false">IF(J724="","",ABS(J724))</f>
        <v>0.375</v>
      </c>
      <c r="O724" s="33" t="n">
        <f aca="false">IF(K724="","",ABS(K724))</f>
        <v>0.362345889960892</v>
      </c>
      <c r="P724" s="34" t="str">
        <f aca="false">IF(B724&gt;=Eval_Start_Week,"YES","")</f>
        <v>YES</v>
      </c>
      <c r="Q724" s="34" t="str">
        <f aca="false">IF(AND(B724&gt;=Cal_Start_Week,B724&lt;=Cal_End_Week),"YES","")</f>
        <v/>
      </c>
    </row>
    <row r="725" customFormat="false" ht="15" hidden="false" customHeight="false" outlineLevel="0" collapsed="false">
      <c r="A725" s="31" t="str">
        <f aca="false">Demand_History!C725</f>
        <v>KIT-007</v>
      </c>
      <c r="B725" s="31" t="n">
        <f aca="false">Demand_History!A725</f>
        <v>100</v>
      </c>
      <c r="C725" s="32" t="n">
        <f aca="false">Demand_History!D725</f>
        <v>13</v>
      </c>
      <c r="D725" s="33" t="n">
        <f aca="false">IF(B725&gt;=2,C724,"")</f>
        <v>7</v>
      </c>
      <c r="E725" s="33" t="n">
        <f aca="false">IF(B725&gt;=5,AVERAGE(C721:C724),"")</f>
        <v>7.75</v>
      </c>
      <c r="F725" s="33" t="n">
        <f aca="false">IF(B725&gt;=9,AVERAGE(C717:C724),"")</f>
        <v>7.375</v>
      </c>
      <c r="G725" s="33" t="n">
        <f aca="false">IF(B725=1,"",IF(B725=2,C724,SES_Alpha*C724+(1-SES_Alpha)*G724))</f>
        <v>7.25364212297262</v>
      </c>
      <c r="H725" s="33" t="n">
        <f aca="false">IF(D725="","",D725-C725)</f>
        <v>-6</v>
      </c>
      <c r="I725" s="33" t="n">
        <f aca="false">IF(E725="","",E725-C725)</f>
        <v>-5.25</v>
      </c>
      <c r="J725" s="33" t="n">
        <f aca="false">IF(F725="","",F725-C725)</f>
        <v>-5.625</v>
      </c>
      <c r="K725" s="33" t="n">
        <f aca="false">IF(G725="","",G725-C725)</f>
        <v>-5.74635787702738</v>
      </c>
      <c r="L725" s="33" t="n">
        <f aca="false">IF(H725="","",ABS(H725))</f>
        <v>6</v>
      </c>
      <c r="M725" s="33" t="n">
        <f aca="false">IF(I725="","",ABS(I725))</f>
        <v>5.25</v>
      </c>
      <c r="N725" s="33" t="n">
        <f aca="false">IF(J725="","",ABS(J725))</f>
        <v>5.625</v>
      </c>
      <c r="O725" s="33" t="n">
        <f aca="false">IF(K725="","",ABS(K725))</f>
        <v>5.74635787702738</v>
      </c>
      <c r="P725" s="34" t="str">
        <f aca="false">IF(B725&gt;=Eval_Start_Week,"YES","")</f>
        <v>YES</v>
      </c>
      <c r="Q725" s="34" t="str">
        <f aca="false">IF(AND(B725&gt;=Cal_Start_Week,B725&lt;=Cal_End_Week),"YES","")</f>
        <v/>
      </c>
    </row>
    <row r="726" customFormat="false" ht="15" hidden="false" customHeight="false" outlineLevel="0" collapsed="false">
      <c r="A726" s="31" t="str">
        <f aca="false">Demand_History!C726</f>
        <v>KIT-007</v>
      </c>
      <c r="B726" s="31" t="n">
        <f aca="false">Demand_History!A726</f>
        <v>101</v>
      </c>
      <c r="C726" s="32" t="n">
        <f aca="false">Demand_History!D726</f>
        <v>7</v>
      </c>
      <c r="D726" s="33" t="n">
        <f aca="false">IF(B726&gt;=2,C725,"")</f>
        <v>13</v>
      </c>
      <c r="E726" s="33" t="n">
        <f aca="false">IF(B726&gt;=5,AVERAGE(C722:C725),"")</f>
        <v>9.25</v>
      </c>
      <c r="F726" s="33" t="n">
        <f aca="false">IF(B726&gt;=9,AVERAGE(C718:C725),"")</f>
        <v>7.625</v>
      </c>
      <c r="G726" s="33" t="n">
        <f aca="false">IF(B726=1,"",IF(B726=2,C725,SES_Alpha*C725+(1-SES_Alpha)*G725))</f>
        <v>8.97754948608084</v>
      </c>
      <c r="H726" s="33" t="n">
        <f aca="false">IF(D726="","",D726-C726)</f>
        <v>6</v>
      </c>
      <c r="I726" s="33" t="n">
        <f aca="false">IF(E726="","",E726-C726)</f>
        <v>2.25</v>
      </c>
      <c r="J726" s="33" t="n">
        <f aca="false">IF(F726="","",F726-C726)</f>
        <v>0.625</v>
      </c>
      <c r="K726" s="33" t="n">
        <f aca="false">IF(G726="","",G726-C726)</f>
        <v>1.97754948608084</v>
      </c>
      <c r="L726" s="33" t="n">
        <f aca="false">IF(H726="","",ABS(H726))</f>
        <v>6</v>
      </c>
      <c r="M726" s="33" t="n">
        <f aca="false">IF(I726="","",ABS(I726))</f>
        <v>2.25</v>
      </c>
      <c r="N726" s="33" t="n">
        <f aca="false">IF(J726="","",ABS(J726))</f>
        <v>0.625</v>
      </c>
      <c r="O726" s="33" t="n">
        <f aca="false">IF(K726="","",ABS(K726))</f>
        <v>1.97754948608084</v>
      </c>
      <c r="P726" s="34" t="str">
        <f aca="false">IF(B726&gt;=Eval_Start_Week,"YES","")</f>
        <v>YES</v>
      </c>
      <c r="Q726" s="34" t="str">
        <f aca="false">IF(AND(B726&gt;=Cal_Start_Week,B726&lt;=Cal_End_Week),"YES","")</f>
        <v/>
      </c>
    </row>
    <row r="727" customFormat="false" ht="15" hidden="false" customHeight="false" outlineLevel="0" collapsed="false">
      <c r="A727" s="31" t="str">
        <f aca="false">Demand_History!C727</f>
        <v>KIT-007</v>
      </c>
      <c r="B727" s="31" t="n">
        <f aca="false">Demand_History!A727</f>
        <v>102</v>
      </c>
      <c r="C727" s="32" t="n">
        <f aca="false">Demand_History!D727</f>
        <v>9</v>
      </c>
      <c r="D727" s="33" t="n">
        <f aca="false">IF(B727&gt;=2,C726,"")</f>
        <v>7</v>
      </c>
      <c r="E727" s="33" t="n">
        <f aca="false">IF(B727&gt;=5,AVERAGE(C723:C726),"")</f>
        <v>8</v>
      </c>
      <c r="F727" s="33" t="n">
        <f aca="false">IF(B727&gt;=9,AVERAGE(C719:C726),"")</f>
        <v>7.75</v>
      </c>
      <c r="G727" s="33" t="n">
        <f aca="false">IF(B727=1,"",IF(B727=2,C726,SES_Alpha*C726+(1-SES_Alpha)*G726))</f>
        <v>8.38428464025659</v>
      </c>
      <c r="H727" s="33" t="n">
        <f aca="false">IF(D727="","",D727-C727)</f>
        <v>-2</v>
      </c>
      <c r="I727" s="33" t="n">
        <f aca="false">IF(E727="","",E727-C727)</f>
        <v>-1</v>
      </c>
      <c r="J727" s="33" t="n">
        <f aca="false">IF(F727="","",F727-C727)</f>
        <v>-1.25</v>
      </c>
      <c r="K727" s="33" t="n">
        <f aca="false">IF(G727="","",G727-C727)</f>
        <v>-0.615715359743415</v>
      </c>
      <c r="L727" s="33" t="n">
        <f aca="false">IF(H727="","",ABS(H727))</f>
        <v>2</v>
      </c>
      <c r="M727" s="33" t="n">
        <f aca="false">IF(I727="","",ABS(I727))</f>
        <v>1</v>
      </c>
      <c r="N727" s="33" t="n">
        <f aca="false">IF(J727="","",ABS(J727))</f>
        <v>1.25</v>
      </c>
      <c r="O727" s="33" t="n">
        <f aca="false">IF(K727="","",ABS(K727))</f>
        <v>0.615715359743415</v>
      </c>
      <c r="P727" s="34" t="str">
        <f aca="false">IF(B727&gt;=Eval_Start_Week,"YES","")</f>
        <v>YES</v>
      </c>
      <c r="Q727" s="34" t="str">
        <f aca="false">IF(AND(B727&gt;=Cal_Start_Week,B727&lt;=Cal_End_Week),"YES","")</f>
        <v/>
      </c>
    </row>
    <row r="728" customFormat="false" ht="15" hidden="false" customHeight="false" outlineLevel="0" collapsed="false">
      <c r="A728" s="31" t="str">
        <f aca="false">Demand_History!C728</f>
        <v>KIT-007</v>
      </c>
      <c r="B728" s="31" t="n">
        <f aca="false">Demand_History!A728</f>
        <v>103</v>
      </c>
      <c r="C728" s="32" t="n">
        <f aca="false">Demand_History!D728</f>
        <v>9</v>
      </c>
      <c r="D728" s="33" t="n">
        <f aca="false">IF(B728&gt;=2,C727,"")</f>
        <v>9</v>
      </c>
      <c r="E728" s="33" t="n">
        <f aca="false">IF(B728&gt;=5,AVERAGE(C724:C727),"")</f>
        <v>9</v>
      </c>
      <c r="F728" s="33" t="n">
        <f aca="false">IF(B728&gt;=9,AVERAGE(C720:C727),"")</f>
        <v>8.375</v>
      </c>
      <c r="G728" s="33" t="n">
        <f aca="false">IF(B728=1,"",IF(B728=2,C727,SES_Alpha*C727+(1-SES_Alpha)*G727))</f>
        <v>8.56899924817961</v>
      </c>
      <c r="H728" s="33" t="n">
        <f aca="false">IF(D728="","",D728-C728)</f>
        <v>0</v>
      </c>
      <c r="I728" s="33" t="n">
        <f aca="false">IF(E728="","",E728-C728)</f>
        <v>0</v>
      </c>
      <c r="J728" s="33" t="n">
        <f aca="false">IF(F728="","",F728-C728)</f>
        <v>-0.625</v>
      </c>
      <c r="K728" s="33" t="n">
        <f aca="false">IF(G728="","",G728-C728)</f>
        <v>-0.431000751820392</v>
      </c>
      <c r="L728" s="33" t="n">
        <f aca="false">IF(H728="","",ABS(H728))</f>
        <v>0</v>
      </c>
      <c r="M728" s="33" t="n">
        <f aca="false">IF(I728="","",ABS(I728))</f>
        <v>0</v>
      </c>
      <c r="N728" s="33" t="n">
        <f aca="false">IF(J728="","",ABS(J728))</f>
        <v>0.625</v>
      </c>
      <c r="O728" s="33" t="n">
        <f aca="false">IF(K728="","",ABS(K728))</f>
        <v>0.431000751820392</v>
      </c>
      <c r="P728" s="34" t="str">
        <f aca="false">IF(B728&gt;=Eval_Start_Week,"YES","")</f>
        <v>YES</v>
      </c>
      <c r="Q728" s="34" t="str">
        <f aca="false">IF(AND(B728&gt;=Cal_Start_Week,B728&lt;=Cal_End_Week),"YES","")</f>
        <v/>
      </c>
    </row>
    <row r="729" customFormat="false" ht="15" hidden="false" customHeight="false" outlineLevel="0" collapsed="false">
      <c r="A729" s="31" t="str">
        <f aca="false">Demand_History!C729</f>
        <v>KIT-007</v>
      </c>
      <c r="B729" s="31" t="n">
        <f aca="false">Demand_History!A729</f>
        <v>104</v>
      </c>
      <c r="C729" s="32" t="n">
        <f aca="false">Demand_History!D729</f>
        <v>9</v>
      </c>
      <c r="D729" s="33" t="n">
        <f aca="false">IF(B729&gt;=2,C728,"")</f>
        <v>9</v>
      </c>
      <c r="E729" s="33" t="n">
        <f aca="false">IF(B729&gt;=5,AVERAGE(C725:C728),"")</f>
        <v>9.5</v>
      </c>
      <c r="F729" s="33" t="n">
        <f aca="false">IF(B729&gt;=9,AVERAGE(C721:C728),"")</f>
        <v>8.625</v>
      </c>
      <c r="G729" s="33" t="n">
        <f aca="false">IF(B729=1,"",IF(B729=2,C728,SES_Alpha*C728+(1-SES_Alpha)*G728))</f>
        <v>8.69829947372573</v>
      </c>
      <c r="H729" s="33" t="n">
        <f aca="false">IF(D729="","",D729-C729)</f>
        <v>0</v>
      </c>
      <c r="I729" s="33" t="n">
        <f aca="false">IF(E729="","",E729-C729)</f>
        <v>0.5</v>
      </c>
      <c r="J729" s="33" t="n">
        <f aca="false">IF(F729="","",F729-C729)</f>
        <v>-0.375</v>
      </c>
      <c r="K729" s="33" t="n">
        <f aca="false">IF(G729="","",G729-C729)</f>
        <v>-0.301700526274274</v>
      </c>
      <c r="L729" s="33" t="n">
        <f aca="false">IF(H729="","",ABS(H729))</f>
        <v>0</v>
      </c>
      <c r="M729" s="33" t="n">
        <f aca="false">IF(I729="","",ABS(I729))</f>
        <v>0.5</v>
      </c>
      <c r="N729" s="33" t="n">
        <f aca="false">IF(J729="","",ABS(J729))</f>
        <v>0.375</v>
      </c>
      <c r="O729" s="33" t="n">
        <f aca="false">IF(K729="","",ABS(K729))</f>
        <v>0.301700526274274</v>
      </c>
      <c r="P729" s="34" t="str">
        <f aca="false">IF(B729&gt;=Eval_Start_Week,"YES","")</f>
        <v>YES</v>
      </c>
      <c r="Q729" s="34" t="str">
        <f aca="false">IF(AND(B729&gt;=Cal_Start_Week,B729&lt;=Cal_End_Week),"YES","")</f>
        <v/>
      </c>
    </row>
    <row r="730" customFormat="false" ht="15" hidden="false" customHeight="false" outlineLevel="0" collapsed="false">
      <c r="A730" s="31" t="str">
        <f aca="false">Demand_History!C730</f>
        <v>KIT-008</v>
      </c>
      <c r="B730" s="31" t="n">
        <f aca="false">Demand_History!A730</f>
        <v>1</v>
      </c>
      <c r="C730" s="32" t="n">
        <f aca="false">Demand_History!D730</f>
        <v>46</v>
      </c>
      <c r="D730" s="33" t="str">
        <f aca="false">IF(B730&gt;=2,C729,"")</f>
        <v/>
      </c>
      <c r="E730" s="33" t="str">
        <f aca="false">IF(B730&gt;=5,AVERAGE(C726:C729),"")</f>
        <v/>
      </c>
      <c r="F730" s="33" t="str">
        <f aca="false">IF(B730&gt;=9,AVERAGE(C722:C729),"")</f>
        <v/>
      </c>
      <c r="G730" s="33" t="str">
        <f aca="false">IF(B730=1,"",IF(B730=2,C729,SES_Alpha*C729+(1-SES_Alpha)*G729))</f>
        <v/>
      </c>
      <c r="H730" s="33" t="str">
        <f aca="false">IF(D730="","",D730-C730)</f>
        <v/>
      </c>
      <c r="I730" s="33" t="str">
        <f aca="false">IF(E730="","",E730-C730)</f>
        <v/>
      </c>
      <c r="J730" s="33" t="str">
        <f aca="false">IF(F730="","",F730-C730)</f>
        <v/>
      </c>
      <c r="K730" s="33" t="str">
        <f aca="false">IF(G730="","",G730-C730)</f>
        <v/>
      </c>
      <c r="L730" s="33" t="str">
        <f aca="false">IF(H730="","",ABS(H730))</f>
        <v/>
      </c>
      <c r="M730" s="33" t="str">
        <f aca="false">IF(I730="","",ABS(I730))</f>
        <v/>
      </c>
      <c r="N730" s="33" t="str">
        <f aca="false">IF(J730="","",ABS(J730))</f>
        <v/>
      </c>
      <c r="O730" s="33" t="str">
        <f aca="false">IF(K730="","",ABS(K730))</f>
        <v/>
      </c>
      <c r="P730" s="34" t="str">
        <f aca="false">IF(B730&gt;=Eval_Start_Week,"YES","")</f>
        <v/>
      </c>
      <c r="Q730" s="34" t="str">
        <f aca="false">IF(AND(B730&gt;=Cal_Start_Week,B730&lt;=Cal_End_Week),"YES","")</f>
        <v/>
      </c>
    </row>
    <row r="731" customFormat="false" ht="15" hidden="false" customHeight="false" outlineLevel="0" collapsed="false">
      <c r="A731" s="31" t="str">
        <f aca="false">Demand_History!C731</f>
        <v>KIT-008</v>
      </c>
      <c r="B731" s="31" t="n">
        <f aca="false">Demand_History!A731</f>
        <v>2</v>
      </c>
      <c r="C731" s="32" t="n">
        <f aca="false">Demand_History!D731</f>
        <v>50</v>
      </c>
      <c r="D731" s="33" t="n">
        <f aca="false">IF(B731&gt;=2,C730,"")</f>
        <v>46</v>
      </c>
      <c r="E731" s="33" t="str">
        <f aca="false">IF(B731&gt;=5,AVERAGE(C727:C730),"")</f>
        <v/>
      </c>
      <c r="F731" s="33" t="str">
        <f aca="false">IF(B731&gt;=9,AVERAGE(C723:C730),"")</f>
        <v/>
      </c>
      <c r="G731" s="33" t="n">
        <f aca="false">IF(B731=1,"",IF(B731=2,C730,SES_Alpha*C730+(1-SES_Alpha)*G730))</f>
        <v>46</v>
      </c>
      <c r="H731" s="33" t="n">
        <f aca="false">IF(D731="","",D731-C731)</f>
        <v>-4</v>
      </c>
      <c r="I731" s="33" t="str">
        <f aca="false">IF(E731="","",E731-C731)</f>
        <v/>
      </c>
      <c r="J731" s="33" t="str">
        <f aca="false">IF(F731="","",F731-C731)</f>
        <v/>
      </c>
      <c r="K731" s="33" t="n">
        <f aca="false">IF(G731="","",G731-C731)</f>
        <v>-4</v>
      </c>
      <c r="L731" s="33" t="n">
        <f aca="false">IF(H731="","",ABS(H731))</f>
        <v>4</v>
      </c>
      <c r="M731" s="33" t="str">
        <f aca="false">IF(I731="","",ABS(I731))</f>
        <v/>
      </c>
      <c r="N731" s="33" t="str">
        <f aca="false">IF(J731="","",ABS(J731))</f>
        <v/>
      </c>
      <c r="O731" s="33" t="n">
        <f aca="false">IF(K731="","",ABS(K731))</f>
        <v>4</v>
      </c>
      <c r="P731" s="34" t="str">
        <f aca="false">IF(B731&gt;=Eval_Start_Week,"YES","")</f>
        <v/>
      </c>
      <c r="Q731" s="34" t="str">
        <f aca="false">IF(AND(B731&gt;=Cal_Start_Week,B731&lt;=Cal_End_Week),"YES","")</f>
        <v/>
      </c>
    </row>
    <row r="732" customFormat="false" ht="15" hidden="false" customHeight="false" outlineLevel="0" collapsed="false">
      <c r="A732" s="31" t="str">
        <f aca="false">Demand_History!C732</f>
        <v>KIT-008</v>
      </c>
      <c r="B732" s="31" t="n">
        <f aca="false">Demand_History!A732</f>
        <v>3</v>
      </c>
      <c r="C732" s="32" t="n">
        <f aca="false">Demand_History!D732</f>
        <v>42</v>
      </c>
      <c r="D732" s="33" t="n">
        <f aca="false">IF(B732&gt;=2,C731,"")</f>
        <v>50</v>
      </c>
      <c r="E732" s="33" t="str">
        <f aca="false">IF(B732&gt;=5,AVERAGE(C728:C731),"")</f>
        <v/>
      </c>
      <c r="F732" s="33" t="str">
        <f aca="false">IF(B732&gt;=9,AVERAGE(C724:C731),"")</f>
        <v/>
      </c>
      <c r="G732" s="33" t="n">
        <f aca="false">IF(B732=1,"",IF(B732=2,C731,SES_Alpha*C731+(1-SES_Alpha)*G731))</f>
        <v>47.2</v>
      </c>
      <c r="H732" s="33" t="n">
        <f aca="false">IF(D732="","",D732-C732)</f>
        <v>8</v>
      </c>
      <c r="I732" s="33" t="str">
        <f aca="false">IF(E732="","",E732-C732)</f>
        <v/>
      </c>
      <c r="J732" s="33" t="str">
        <f aca="false">IF(F732="","",F732-C732)</f>
        <v/>
      </c>
      <c r="K732" s="33" t="n">
        <f aca="false">IF(G732="","",G732-C732)</f>
        <v>5.2</v>
      </c>
      <c r="L732" s="33" t="n">
        <f aca="false">IF(H732="","",ABS(H732))</f>
        <v>8</v>
      </c>
      <c r="M732" s="33" t="str">
        <f aca="false">IF(I732="","",ABS(I732))</f>
        <v/>
      </c>
      <c r="N732" s="33" t="str">
        <f aca="false">IF(J732="","",ABS(J732))</f>
        <v/>
      </c>
      <c r="O732" s="33" t="n">
        <f aca="false">IF(K732="","",ABS(K732))</f>
        <v>5.2</v>
      </c>
      <c r="P732" s="34" t="str">
        <f aca="false">IF(B732&gt;=Eval_Start_Week,"YES","")</f>
        <v/>
      </c>
      <c r="Q732" s="34" t="str">
        <f aca="false">IF(AND(B732&gt;=Cal_Start_Week,B732&lt;=Cal_End_Week),"YES","")</f>
        <v/>
      </c>
    </row>
    <row r="733" customFormat="false" ht="15" hidden="false" customHeight="false" outlineLevel="0" collapsed="false">
      <c r="A733" s="31" t="str">
        <f aca="false">Demand_History!C733</f>
        <v>KIT-008</v>
      </c>
      <c r="B733" s="31" t="n">
        <f aca="false">Demand_History!A733</f>
        <v>4</v>
      </c>
      <c r="C733" s="32" t="n">
        <f aca="false">Demand_History!D733</f>
        <v>37</v>
      </c>
      <c r="D733" s="33" t="n">
        <f aca="false">IF(B733&gt;=2,C732,"")</f>
        <v>42</v>
      </c>
      <c r="E733" s="33" t="str">
        <f aca="false">IF(B733&gt;=5,AVERAGE(C729:C732),"")</f>
        <v/>
      </c>
      <c r="F733" s="33" t="str">
        <f aca="false">IF(B733&gt;=9,AVERAGE(C725:C732),"")</f>
        <v/>
      </c>
      <c r="G733" s="33" t="n">
        <f aca="false">IF(B733=1,"",IF(B733=2,C732,SES_Alpha*C732+(1-SES_Alpha)*G732))</f>
        <v>45.64</v>
      </c>
      <c r="H733" s="33" t="n">
        <f aca="false">IF(D733="","",D733-C733)</f>
        <v>5</v>
      </c>
      <c r="I733" s="33" t="str">
        <f aca="false">IF(E733="","",E733-C733)</f>
        <v/>
      </c>
      <c r="J733" s="33" t="str">
        <f aca="false">IF(F733="","",F733-C733)</f>
        <v/>
      </c>
      <c r="K733" s="33" t="n">
        <f aca="false">IF(G733="","",G733-C733)</f>
        <v>8.63999999999999</v>
      </c>
      <c r="L733" s="33" t="n">
        <f aca="false">IF(H733="","",ABS(H733))</f>
        <v>5</v>
      </c>
      <c r="M733" s="33" t="str">
        <f aca="false">IF(I733="","",ABS(I733))</f>
        <v/>
      </c>
      <c r="N733" s="33" t="str">
        <f aca="false">IF(J733="","",ABS(J733))</f>
        <v/>
      </c>
      <c r="O733" s="33" t="n">
        <f aca="false">IF(K733="","",ABS(K733))</f>
        <v>8.63999999999999</v>
      </c>
      <c r="P733" s="34" t="str">
        <f aca="false">IF(B733&gt;=Eval_Start_Week,"YES","")</f>
        <v/>
      </c>
      <c r="Q733" s="34" t="str">
        <f aca="false">IF(AND(B733&gt;=Cal_Start_Week,B733&lt;=Cal_End_Week),"YES","")</f>
        <v/>
      </c>
    </row>
    <row r="734" customFormat="false" ht="15" hidden="false" customHeight="false" outlineLevel="0" collapsed="false">
      <c r="A734" s="31" t="str">
        <f aca="false">Demand_History!C734</f>
        <v>KIT-008</v>
      </c>
      <c r="B734" s="31" t="n">
        <f aca="false">Demand_History!A734</f>
        <v>5</v>
      </c>
      <c r="C734" s="32" t="n">
        <f aca="false">Demand_History!D734</f>
        <v>43</v>
      </c>
      <c r="D734" s="33" t="n">
        <f aca="false">IF(B734&gt;=2,C733,"")</f>
        <v>37</v>
      </c>
      <c r="E734" s="33" t="n">
        <f aca="false">IF(B734&gt;=5,AVERAGE(C730:C733),"")</f>
        <v>43.75</v>
      </c>
      <c r="F734" s="33" t="str">
        <f aca="false">IF(B734&gt;=9,AVERAGE(C726:C733),"")</f>
        <v/>
      </c>
      <c r="G734" s="33" t="n">
        <f aca="false">IF(B734=1,"",IF(B734=2,C733,SES_Alpha*C733+(1-SES_Alpha)*G733))</f>
        <v>43.048</v>
      </c>
      <c r="H734" s="33" t="n">
        <f aca="false">IF(D734="","",D734-C734)</f>
        <v>-6</v>
      </c>
      <c r="I734" s="33" t="n">
        <f aca="false">IF(E734="","",E734-C734)</f>
        <v>0.75</v>
      </c>
      <c r="J734" s="33" t="str">
        <f aca="false">IF(F734="","",F734-C734)</f>
        <v/>
      </c>
      <c r="K734" s="33" t="n">
        <f aca="false">IF(G734="","",G734-C734)</f>
        <v>0.0479999999999947</v>
      </c>
      <c r="L734" s="33" t="n">
        <f aca="false">IF(H734="","",ABS(H734))</f>
        <v>6</v>
      </c>
      <c r="M734" s="33" t="n">
        <f aca="false">IF(I734="","",ABS(I734))</f>
        <v>0.75</v>
      </c>
      <c r="N734" s="33" t="str">
        <f aca="false">IF(J734="","",ABS(J734))</f>
        <v/>
      </c>
      <c r="O734" s="33" t="n">
        <f aca="false">IF(K734="","",ABS(K734))</f>
        <v>0.0479999999999947</v>
      </c>
      <c r="P734" s="34" t="str">
        <f aca="false">IF(B734&gt;=Eval_Start_Week,"YES","")</f>
        <v/>
      </c>
      <c r="Q734" s="34" t="str">
        <f aca="false">IF(AND(B734&gt;=Cal_Start_Week,B734&lt;=Cal_End_Week),"YES","")</f>
        <v/>
      </c>
    </row>
    <row r="735" customFormat="false" ht="15" hidden="false" customHeight="false" outlineLevel="0" collapsed="false">
      <c r="A735" s="31" t="str">
        <f aca="false">Demand_History!C735</f>
        <v>KIT-008</v>
      </c>
      <c r="B735" s="31" t="n">
        <f aca="false">Demand_History!A735</f>
        <v>6</v>
      </c>
      <c r="C735" s="32" t="n">
        <f aca="false">Demand_History!D735</f>
        <v>39</v>
      </c>
      <c r="D735" s="33" t="n">
        <f aca="false">IF(B735&gt;=2,C734,"")</f>
        <v>43</v>
      </c>
      <c r="E735" s="33" t="n">
        <f aca="false">IF(B735&gt;=5,AVERAGE(C731:C734),"")</f>
        <v>43</v>
      </c>
      <c r="F735" s="33" t="str">
        <f aca="false">IF(B735&gt;=9,AVERAGE(C727:C734),"")</f>
        <v/>
      </c>
      <c r="G735" s="33" t="n">
        <f aca="false">IF(B735=1,"",IF(B735=2,C734,SES_Alpha*C734+(1-SES_Alpha)*G734))</f>
        <v>43.0336</v>
      </c>
      <c r="H735" s="33" t="n">
        <f aca="false">IF(D735="","",D735-C735)</f>
        <v>4</v>
      </c>
      <c r="I735" s="33" t="n">
        <f aca="false">IF(E735="","",E735-C735)</f>
        <v>4</v>
      </c>
      <c r="J735" s="33" t="str">
        <f aca="false">IF(F735="","",F735-C735)</f>
        <v/>
      </c>
      <c r="K735" s="33" t="n">
        <f aca="false">IF(G735="","",G735-C735)</f>
        <v>4.03359999999999</v>
      </c>
      <c r="L735" s="33" t="n">
        <f aca="false">IF(H735="","",ABS(H735))</f>
        <v>4</v>
      </c>
      <c r="M735" s="33" t="n">
        <f aca="false">IF(I735="","",ABS(I735))</f>
        <v>4</v>
      </c>
      <c r="N735" s="33" t="str">
        <f aca="false">IF(J735="","",ABS(J735))</f>
        <v/>
      </c>
      <c r="O735" s="33" t="n">
        <f aca="false">IF(K735="","",ABS(K735))</f>
        <v>4.03359999999999</v>
      </c>
      <c r="P735" s="34" t="str">
        <f aca="false">IF(B735&gt;=Eval_Start_Week,"YES","")</f>
        <v/>
      </c>
      <c r="Q735" s="34" t="str">
        <f aca="false">IF(AND(B735&gt;=Cal_Start_Week,B735&lt;=Cal_End_Week),"YES","")</f>
        <v/>
      </c>
    </row>
    <row r="736" customFormat="false" ht="15" hidden="false" customHeight="false" outlineLevel="0" collapsed="false">
      <c r="A736" s="31" t="str">
        <f aca="false">Demand_History!C736</f>
        <v>KIT-008</v>
      </c>
      <c r="B736" s="31" t="n">
        <f aca="false">Demand_History!A736</f>
        <v>7</v>
      </c>
      <c r="C736" s="32" t="n">
        <f aca="false">Demand_History!D736</f>
        <v>43</v>
      </c>
      <c r="D736" s="33" t="n">
        <f aca="false">IF(B736&gt;=2,C735,"")</f>
        <v>39</v>
      </c>
      <c r="E736" s="33" t="n">
        <f aca="false">IF(B736&gt;=5,AVERAGE(C732:C735),"")</f>
        <v>40.25</v>
      </c>
      <c r="F736" s="33" t="str">
        <f aca="false">IF(B736&gt;=9,AVERAGE(C728:C735),"")</f>
        <v/>
      </c>
      <c r="G736" s="33" t="n">
        <f aca="false">IF(B736=1,"",IF(B736=2,C735,SES_Alpha*C735+(1-SES_Alpha)*G735))</f>
        <v>41.82352</v>
      </c>
      <c r="H736" s="33" t="n">
        <f aca="false">IF(D736="","",D736-C736)</f>
        <v>-4</v>
      </c>
      <c r="I736" s="33" t="n">
        <f aca="false">IF(E736="","",E736-C736)</f>
        <v>-2.75</v>
      </c>
      <c r="J736" s="33" t="str">
        <f aca="false">IF(F736="","",F736-C736)</f>
        <v/>
      </c>
      <c r="K736" s="33" t="n">
        <f aca="false">IF(G736="","",G736-C736)</f>
        <v>-1.17648000000001</v>
      </c>
      <c r="L736" s="33" t="n">
        <f aca="false">IF(H736="","",ABS(H736))</f>
        <v>4</v>
      </c>
      <c r="M736" s="33" t="n">
        <f aca="false">IF(I736="","",ABS(I736))</f>
        <v>2.75</v>
      </c>
      <c r="N736" s="33" t="str">
        <f aca="false">IF(J736="","",ABS(J736))</f>
        <v/>
      </c>
      <c r="O736" s="33" t="n">
        <f aca="false">IF(K736="","",ABS(K736))</f>
        <v>1.17648000000001</v>
      </c>
      <c r="P736" s="34" t="str">
        <f aca="false">IF(B736&gt;=Eval_Start_Week,"YES","")</f>
        <v/>
      </c>
      <c r="Q736" s="34" t="str">
        <f aca="false">IF(AND(B736&gt;=Cal_Start_Week,B736&lt;=Cal_End_Week),"YES","")</f>
        <v/>
      </c>
    </row>
    <row r="737" customFormat="false" ht="15" hidden="false" customHeight="false" outlineLevel="0" collapsed="false">
      <c r="A737" s="31" t="str">
        <f aca="false">Demand_History!C737</f>
        <v>KIT-008</v>
      </c>
      <c r="B737" s="31" t="n">
        <f aca="false">Demand_History!A737</f>
        <v>8</v>
      </c>
      <c r="C737" s="32" t="n">
        <f aca="false">Demand_History!D737</f>
        <v>41</v>
      </c>
      <c r="D737" s="33" t="n">
        <f aca="false">IF(B737&gt;=2,C736,"")</f>
        <v>43</v>
      </c>
      <c r="E737" s="33" t="n">
        <f aca="false">IF(B737&gt;=5,AVERAGE(C733:C736),"")</f>
        <v>40.5</v>
      </c>
      <c r="F737" s="33" t="str">
        <f aca="false">IF(B737&gt;=9,AVERAGE(C729:C736),"")</f>
        <v/>
      </c>
      <c r="G737" s="33" t="n">
        <f aca="false">IF(B737=1,"",IF(B737=2,C736,SES_Alpha*C736+(1-SES_Alpha)*G736))</f>
        <v>42.176464</v>
      </c>
      <c r="H737" s="33" t="n">
        <f aca="false">IF(D737="","",D737-C737)</f>
        <v>2</v>
      </c>
      <c r="I737" s="33" t="n">
        <f aca="false">IF(E737="","",E737-C737)</f>
        <v>-0.5</v>
      </c>
      <c r="J737" s="33" t="str">
        <f aca="false">IF(F737="","",F737-C737)</f>
        <v/>
      </c>
      <c r="K737" s="33" t="n">
        <f aca="false">IF(G737="","",G737-C737)</f>
        <v>1.17646399999999</v>
      </c>
      <c r="L737" s="33" t="n">
        <f aca="false">IF(H737="","",ABS(H737))</f>
        <v>2</v>
      </c>
      <c r="M737" s="33" t="n">
        <f aca="false">IF(I737="","",ABS(I737))</f>
        <v>0.5</v>
      </c>
      <c r="N737" s="33" t="str">
        <f aca="false">IF(J737="","",ABS(J737))</f>
        <v/>
      </c>
      <c r="O737" s="33" t="n">
        <f aca="false">IF(K737="","",ABS(K737))</f>
        <v>1.17646399999999</v>
      </c>
      <c r="P737" s="34" t="str">
        <f aca="false">IF(B737&gt;=Eval_Start_Week,"YES","")</f>
        <v/>
      </c>
      <c r="Q737" s="34" t="str">
        <f aca="false">IF(AND(B737&gt;=Cal_Start_Week,B737&lt;=Cal_End_Week),"YES","")</f>
        <v/>
      </c>
    </row>
    <row r="738" customFormat="false" ht="15" hidden="false" customHeight="false" outlineLevel="0" collapsed="false">
      <c r="A738" s="31" t="str">
        <f aca="false">Demand_History!C738</f>
        <v>KIT-008</v>
      </c>
      <c r="B738" s="31" t="n">
        <f aca="false">Demand_History!A738</f>
        <v>9</v>
      </c>
      <c r="C738" s="32" t="n">
        <f aca="false">Demand_History!D738</f>
        <v>41</v>
      </c>
      <c r="D738" s="33" t="n">
        <f aca="false">IF(B738&gt;=2,C737,"")</f>
        <v>41</v>
      </c>
      <c r="E738" s="33" t="n">
        <f aca="false">IF(B738&gt;=5,AVERAGE(C734:C737),"")</f>
        <v>41.5</v>
      </c>
      <c r="F738" s="33" t="n">
        <f aca="false">IF(B738&gt;=9,AVERAGE(C730:C737),"")</f>
        <v>42.625</v>
      </c>
      <c r="G738" s="33" t="n">
        <f aca="false">IF(B738=1,"",IF(B738=2,C737,SES_Alpha*C737+(1-SES_Alpha)*G737))</f>
        <v>41.8235248</v>
      </c>
      <c r="H738" s="33" t="n">
        <f aca="false">IF(D738="","",D738-C738)</f>
        <v>0</v>
      </c>
      <c r="I738" s="33" t="n">
        <f aca="false">IF(E738="","",E738-C738)</f>
        <v>0.5</v>
      </c>
      <c r="J738" s="33" t="n">
        <f aca="false">IF(F738="","",F738-C738)</f>
        <v>1.625</v>
      </c>
      <c r="K738" s="33" t="n">
        <f aca="false">IF(G738="","",G738-C738)</f>
        <v>0.823524799999987</v>
      </c>
      <c r="L738" s="33" t="n">
        <f aca="false">IF(H738="","",ABS(H738))</f>
        <v>0</v>
      </c>
      <c r="M738" s="33" t="n">
        <f aca="false">IF(I738="","",ABS(I738))</f>
        <v>0.5</v>
      </c>
      <c r="N738" s="33" t="n">
        <f aca="false">IF(J738="","",ABS(J738))</f>
        <v>1.625</v>
      </c>
      <c r="O738" s="33" t="n">
        <f aca="false">IF(K738="","",ABS(K738))</f>
        <v>0.823524799999987</v>
      </c>
      <c r="P738" s="34" t="str">
        <f aca="false">IF(B738&gt;=Eval_Start_Week,"YES","")</f>
        <v/>
      </c>
      <c r="Q738" s="34" t="str">
        <f aca="false">IF(AND(B738&gt;=Cal_Start_Week,B738&lt;=Cal_End_Week),"YES","")</f>
        <v/>
      </c>
    </row>
    <row r="739" customFormat="false" ht="15" hidden="false" customHeight="false" outlineLevel="0" collapsed="false">
      <c r="A739" s="31" t="str">
        <f aca="false">Demand_History!C739</f>
        <v>KIT-008</v>
      </c>
      <c r="B739" s="31" t="n">
        <f aca="false">Demand_History!A739</f>
        <v>10</v>
      </c>
      <c r="C739" s="32" t="n">
        <f aca="false">Demand_History!D739</f>
        <v>43</v>
      </c>
      <c r="D739" s="33" t="n">
        <f aca="false">IF(B739&gt;=2,C738,"")</f>
        <v>41</v>
      </c>
      <c r="E739" s="33" t="n">
        <f aca="false">IF(B739&gt;=5,AVERAGE(C735:C738),"")</f>
        <v>41</v>
      </c>
      <c r="F739" s="33" t="n">
        <f aca="false">IF(B739&gt;=9,AVERAGE(C731:C738),"")</f>
        <v>42</v>
      </c>
      <c r="G739" s="33" t="n">
        <f aca="false">IF(B739=1,"",IF(B739=2,C738,SES_Alpha*C738+(1-SES_Alpha)*G738))</f>
        <v>41.57646736</v>
      </c>
      <c r="H739" s="33" t="n">
        <f aca="false">IF(D739="","",D739-C739)</f>
        <v>-2</v>
      </c>
      <c r="I739" s="33" t="n">
        <f aca="false">IF(E739="","",E739-C739)</f>
        <v>-2</v>
      </c>
      <c r="J739" s="33" t="n">
        <f aca="false">IF(F739="","",F739-C739)</f>
        <v>-1</v>
      </c>
      <c r="K739" s="33" t="n">
        <f aca="false">IF(G739="","",G739-C739)</f>
        <v>-1.42353264000001</v>
      </c>
      <c r="L739" s="33" t="n">
        <f aca="false">IF(H739="","",ABS(H739))</f>
        <v>2</v>
      </c>
      <c r="M739" s="33" t="n">
        <f aca="false">IF(I739="","",ABS(I739))</f>
        <v>2</v>
      </c>
      <c r="N739" s="33" t="n">
        <f aca="false">IF(J739="","",ABS(J739))</f>
        <v>1</v>
      </c>
      <c r="O739" s="33" t="n">
        <f aca="false">IF(K739="","",ABS(K739))</f>
        <v>1.42353264000001</v>
      </c>
      <c r="P739" s="34" t="str">
        <f aca="false">IF(B739&gt;=Eval_Start_Week,"YES","")</f>
        <v/>
      </c>
      <c r="Q739" s="34" t="str">
        <f aca="false">IF(AND(B739&gt;=Cal_Start_Week,B739&lt;=Cal_End_Week),"YES","")</f>
        <v/>
      </c>
    </row>
    <row r="740" customFormat="false" ht="15" hidden="false" customHeight="false" outlineLevel="0" collapsed="false">
      <c r="A740" s="31" t="str">
        <f aca="false">Demand_History!C740</f>
        <v>KIT-008</v>
      </c>
      <c r="B740" s="31" t="n">
        <f aca="false">Demand_History!A740</f>
        <v>11</v>
      </c>
      <c r="C740" s="32" t="n">
        <f aca="false">Demand_History!D740</f>
        <v>38</v>
      </c>
      <c r="D740" s="33" t="n">
        <f aca="false">IF(B740&gt;=2,C739,"")</f>
        <v>43</v>
      </c>
      <c r="E740" s="33" t="n">
        <f aca="false">IF(B740&gt;=5,AVERAGE(C736:C739),"")</f>
        <v>42</v>
      </c>
      <c r="F740" s="33" t="n">
        <f aca="false">IF(B740&gt;=9,AVERAGE(C732:C739),"")</f>
        <v>41.125</v>
      </c>
      <c r="G740" s="33" t="n">
        <f aca="false">IF(B740=1,"",IF(B740=2,C739,SES_Alpha*C739+(1-SES_Alpha)*G739))</f>
        <v>42.003527152</v>
      </c>
      <c r="H740" s="33" t="n">
        <f aca="false">IF(D740="","",D740-C740)</f>
        <v>5</v>
      </c>
      <c r="I740" s="33" t="n">
        <f aca="false">IF(E740="","",E740-C740)</f>
        <v>4</v>
      </c>
      <c r="J740" s="33" t="n">
        <f aca="false">IF(F740="","",F740-C740)</f>
        <v>3.125</v>
      </c>
      <c r="K740" s="33" t="n">
        <f aca="false">IF(G740="","",G740-C740)</f>
        <v>4.00352715199999</v>
      </c>
      <c r="L740" s="33" t="n">
        <f aca="false">IF(H740="","",ABS(H740))</f>
        <v>5</v>
      </c>
      <c r="M740" s="33" t="n">
        <f aca="false">IF(I740="","",ABS(I740))</f>
        <v>4</v>
      </c>
      <c r="N740" s="33" t="n">
        <f aca="false">IF(J740="","",ABS(J740))</f>
        <v>3.125</v>
      </c>
      <c r="O740" s="33" t="n">
        <f aca="false">IF(K740="","",ABS(K740))</f>
        <v>4.00352715199999</v>
      </c>
      <c r="P740" s="34" t="str">
        <f aca="false">IF(B740&gt;=Eval_Start_Week,"YES","")</f>
        <v/>
      </c>
      <c r="Q740" s="34" t="str">
        <f aca="false">IF(AND(B740&gt;=Cal_Start_Week,B740&lt;=Cal_End_Week),"YES","")</f>
        <v/>
      </c>
    </row>
    <row r="741" customFormat="false" ht="15" hidden="false" customHeight="false" outlineLevel="0" collapsed="false">
      <c r="A741" s="31" t="str">
        <f aca="false">Demand_History!C741</f>
        <v>KIT-008</v>
      </c>
      <c r="B741" s="31" t="n">
        <f aca="false">Demand_History!A741</f>
        <v>12</v>
      </c>
      <c r="C741" s="32" t="n">
        <f aca="false">Demand_History!D741</f>
        <v>38</v>
      </c>
      <c r="D741" s="33" t="n">
        <f aca="false">IF(B741&gt;=2,C740,"")</f>
        <v>38</v>
      </c>
      <c r="E741" s="33" t="n">
        <f aca="false">IF(B741&gt;=5,AVERAGE(C737:C740),"")</f>
        <v>40.75</v>
      </c>
      <c r="F741" s="33" t="n">
        <f aca="false">IF(B741&gt;=9,AVERAGE(C733:C740),"")</f>
        <v>40.625</v>
      </c>
      <c r="G741" s="33" t="n">
        <f aca="false">IF(B741=1,"",IF(B741=2,C740,SES_Alpha*C740+(1-SES_Alpha)*G740))</f>
        <v>40.8024690064</v>
      </c>
      <c r="H741" s="33" t="n">
        <f aca="false">IF(D741="","",D741-C741)</f>
        <v>0</v>
      </c>
      <c r="I741" s="33" t="n">
        <f aca="false">IF(E741="","",E741-C741)</f>
        <v>2.75</v>
      </c>
      <c r="J741" s="33" t="n">
        <f aca="false">IF(F741="","",F741-C741)</f>
        <v>2.625</v>
      </c>
      <c r="K741" s="33" t="n">
        <f aca="false">IF(G741="","",G741-C741)</f>
        <v>2.80246900639999</v>
      </c>
      <c r="L741" s="33" t="n">
        <f aca="false">IF(H741="","",ABS(H741))</f>
        <v>0</v>
      </c>
      <c r="M741" s="33" t="n">
        <f aca="false">IF(I741="","",ABS(I741))</f>
        <v>2.75</v>
      </c>
      <c r="N741" s="33" t="n">
        <f aca="false">IF(J741="","",ABS(J741))</f>
        <v>2.625</v>
      </c>
      <c r="O741" s="33" t="n">
        <f aca="false">IF(K741="","",ABS(K741))</f>
        <v>2.80246900639999</v>
      </c>
      <c r="P741" s="34" t="str">
        <f aca="false">IF(B741&gt;=Eval_Start_Week,"YES","")</f>
        <v/>
      </c>
      <c r="Q741" s="34" t="str">
        <f aca="false">IF(AND(B741&gt;=Cal_Start_Week,B741&lt;=Cal_End_Week),"YES","")</f>
        <v/>
      </c>
    </row>
    <row r="742" customFormat="false" ht="15" hidden="false" customHeight="false" outlineLevel="0" collapsed="false">
      <c r="A742" s="31" t="str">
        <f aca="false">Demand_History!C742</f>
        <v>KIT-008</v>
      </c>
      <c r="B742" s="31" t="n">
        <f aca="false">Demand_History!A742</f>
        <v>13</v>
      </c>
      <c r="C742" s="32" t="n">
        <f aca="false">Demand_History!D742</f>
        <v>33</v>
      </c>
      <c r="D742" s="33" t="n">
        <f aca="false">IF(B742&gt;=2,C741,"")</f>
        <v>38</v>
      </c>
      <c r="E742" s="33" t="n">
        <f aca="false">IF(B742&gt;=5,AVERAGE(C738:C741),"")</f>
        <v>40</v>
      </c>
      <c r="F742" s="33" t="n">
        <f aca="false">IF(B742&gt;=9,AVERAGE(C734:C741),"")</f>
        <v>40.75</v>
      </c>
      <c r="G742" s="33" t="n">
        <f aca="false">IF(B742=1,"",IF(B742=2,C741,SES_Alpha*C741+(1-SES_Alpha)*G741))</f>
        <v>39.96172830448</v>
      </c>
      <c r="H742" s="33" t="n">
        <f aca="false">IF(D742="","",D742-C742)</f>
        <v>5</v>
      </c>
      <c r="I742" s="33" t="n">
        <f aca="false">IF(E742="","",E742-C742)</f>
        <v>7</v>
      </c>
      <c r="J742" s="33" t="n">
        <f aca="false">IF(F742="","",F742-C742)</f>
        <v>7.75</v>
      </c>
      <c r="K742" s="33" t="n">
        <f aca="false">IF(G742="","",G742-C742)</f>
        <v>6.96172830447999</v>
      </c>
      <c r="L742" s="33" t="n">
        <f aca="false">IF(H742="","",ABS(H742))</f>
        <v>5</v>
      </c>
      <c r="M742" s="33" t="n">
        <f aca="false">IF(I742="","",ABS(I742))</f>
        <v>7</v>
      </c>
      <c r="N742" s="33" t="n">
        <f aca="false">IF(J742="","",ABS(J742))</f>
        <v>7.75</v>
      </c>
      <c r="O742" s="33" t="n">
        <f aca="false">IF(K742="","",ABS(K742))</f>
        <v>6.96172830447999</v>
      </c>
      <c r="P742" s="34" t="str">
        <f aca="false">IF(B742&gt;=Eval_Start_Week,"YES","")</f>
        <v/>
      </c>
      <c r="Q742" s="34" t="str">
        <f aca="false">IF(AND(B742&gt;=Cal_Start_Week,B742&lt;=Cal_End_Week),"YES","")</f>
        <v/>
      </c>
    </row>
    <row r="743" customFormat="false" ht="15" hidden="false" customHeight="false" outlineLevel="0" collapsed="false">
      <c r="A743" s="31" t="str">
        <f aca="false">Demand_History!C743</f>
        <v>KIT-008</v>
      </c>
      <c r="B743" s="31" t="n">
        <f aca="false">Demand_History!A743</f>
        <v>14</v>
      </c>
      <c r="C743" s="32" t="n">
        <f aca="false">Demand_History!D743</f>
        <v>38</v>
      </c>
      <c r="D743" s="33" t="n">
        <f aca="false">IF(B743&gt;=2,C742,"")</f>
        <v>33</v>
      </c>
      <c r="E743" s="33" t="n">
        <f aca="false">IF(B743&gt;=5,AVERAGE(C739:C742),"")</f>
        <v>38</v>
      </c>
      <c r="F743" s="33" t="n">
        <f aca="false">IF(B743&gt;=9,AVERAGE(C735:C742),"")</f>
        <v>39.5</v>
      </c>
      <c r="G743" s="33" t="n">
        <f aca="false">IF(B743=1,"",IF(B743=2,C742,SES_Alpha*C742+(1-SES_Alpha)*G742))</f>
        <v>37.873209813136</v>
      </c>
      <c r="H743" s="33" t="n">
        <f aca="false">IF(D743="","",D743-C743)</f>
        <v>-5</v>
      </c>
      <c r="I743" s="33" t="n">
        <f aca="false">IF(E743="","",E743-C743)</f>
        <v>0</v>
      </c>
      <c r="J743" s="33" t="n">
        <f aca="false">IF(F743="","",F743-C743)</f>
        <v>1.5</v>
      </c>
      <c r="K743" s="33" t="n">
        <f aca="false">IF(G743="","",G743-C743)</f>
        <v>-0.126790186864007</v>
      </c>
      <c r="L743" s="33" t="n">
        <f aca="false">IF(H743="","",ABS(H743))</f>
        <v>5</v>
      </c>
      <c r="M743" s="33" t="n">
        <f aca="false">IF(I743="","",ABS(I743))</f>
        <v>0</v>
      </c>
      <c r="N743" s="33" t="n">
        <f aca="false">IF(J743="","",ABS(J743))</f>
        <v>1.5</v>
      </c>
      <c r="O743" s="33" t="n">
        <f aca="false">IF(K743="","",ABS(K743))</f>
        <v>0.126790186864007</v>
      </c>
      <c r="P743" s="34" t="str">
        <f aca="false">IF(B743&gt;=Eval_Start_Week,"YES","")</f>
        <v/>
      </c>
      <c r="Q743" s="34" t="str">
        <f aca="false">IF(AND(B743&gt;=Cal_Start_Week,B743&lt;=Cal_End_Week),"YES","")</f>
        <v/>
      </c>
    </row>
    <row r="744" customFormat="false" ht="15" hidden="false" customHeight="false" outlineLevel="0" collapsed="false">
      <c r="A744" s="31" t="str">
        <f aca="false">Demand_History!C744</f>
        <v>KIT-008</v>
      </c>
      <c r="B744" s="31" t="n">
        <f aca="false">Demand_History!A744</f>
        <v>15</v>
      </c>
      <c r="C744" s="32" t="n">
        <f aca="false">Demand_History!D744</f>
        <v>34</v>
      </c>
      <c r="D744" s="33" t="n">
        <f aca="false">IF(B744&gt;=2,C743,"")</f>
        <v>38</v>
      </c>
      <c r="E744" s="33" t="n">
        <f aca="false">IF(B744&gt;=5,AVERAGE(C740:C743),"")</f>
        <v>36.75</v>
      </c>
      <c r="F744" s="33" t="n">
        <f aca="false">IF(B744&gt;=9,AVERAGE(C736:C743),"")</f>
        <v>39.375</v>
      </c>
      <c r="G744" s="33" t="n">
        <f aca="false">IF(B744=1,"",IF(B744=2,C743,SES_Alpha*C743+(1-SES_Alpha)*G743))</f>
        <v>37.9112468691952</v>
      </c>
      <c r="H744" s="33" t="n">
        <f aca="false">IF(D744="","",D744-C744)</f>
        <v>4</v>
      </c>
      <c r="I744" s="33" t="n">
        <f aca="false">IF(E744="","",E744-C744)</f>
        <v>2.75</v>
      </c>
      <c r="J744" s="33" t="n">
        <f aca="false">IF(F744="","",F744-C744)</f>
        <v>5.375</v>
      </c>
      <c r="K744" s="33" t="n">
        <f aca="false">IF(G744="","",G744-C744)</f>
        <v>3.9112468691952</v>
      </c>
      <c r="L744" s="33" t="n">
        <f aca="false">IF(H744="","",ABS(H744))</f>
        <v>4</v>
      </c>
      <c r="M744" s="33" t="n">
        <f aca="false">IF(I744="","",ABS(I744))</f>
        <v>2.75</v>
      </c>
      <c r="N744" s="33" t="n">
        <f aca="false">IF(J744="","",ABS(J744))</f>
        <v>5.375</v>
      </c>
      <c r="O744" s="33" t="n">
        <f aca="false">IF(K744="","",ABS(K744))</f>
        <v>3.9112468691952</v>
      </c>
      <c r="P744" s="34" t="str">
        <f aca="false">IF(B744&gt;=Eval_Start_Week,"YES","")</f>
        <v/>
      </c>
      <c r="Q744" s="34" t="str">
        <f aca="false">IF(AND(B744&gt;=Cal_Start_Week,B744&lt;=Cal_End_Week),"YES","")</f>
        <v/>
      </c>
    </row>
    <row r="745" customFormat="false" ht="15" hidden="false" customHeight="false" outlineLevel="0" collapsed="false">
      <c r="A745" s="31" t="str">
        <f aca="false">Demand_History!C745</f>
        <v>KIT-008</v>
      </c>
      <c r="B745" s="31" t="n">
        <f aca="false">Demand_History!A745</f>
        <v>16</v>
      </c>
      <c r="C745" s="32" t="n">
        <f aca="false">Demand_History!D745</f>
        <v>39</v>
      </c>
      <c r="D745" s="33" t="n">
        <f aca="false">IF(B745&gt;=2,C744,"")</f>
        <v>34</v>
      </c>
      <c r="E745" s="33" t="n">
        <f aca="false">IF(B745&gt;=5,AVERAGE(C741:C744),"")</f>
        <v>35.75</v>
      </c>
      <c r="F745" s="33" t="n">
        <f aca="false">IF(B745&gt;=9,AVERAGE(C737:C744),"")</f>
        <v>38.25</v>
      </c>
      <c r="G745" s="33" t="n">
        <f aca="false">IF(B745=1,"",IF(B745=2,C744,SES_Alpha*C744+(1-SES_Alpha)*G744))</f>
        <v>36.7378728084366</v>
      </c>
      <c r="H745" s="33" t="n">
        <f aca="false">IF(D745="","",D745-C745)</f>
        <v>-5</v>
      </c>
      <c r="I745" s="33" t="n">
        <f aca="false">IF(E745="","",E745-C745)</f>
        <v>-3.25</v>
      </c>
      <c r="J745" s="33" t="n">
        <f aca="false">IF(F745="","",F745-C745)</f>
        <v>-0.75</v>
      </c>
      <c r="K745" s="33" t="n">
        <f aca="false">IF(G745="","",G745-C745)</f>
        <v>-2.26212719156337</v>
      </c>
      <c r="L745" s="33" t="n">
        <f aca="false">IF(H745="","",ABS(H745))</f>
        <v>5</v>
      </c>
      <c r="M745" s="33" t="n">
        <f aca="false">IF(I745="","",ABS(I745))</f>
        <v>3.25</v>
      </c>
      <c r="N745" s="33" t="n">
        <f aca="false">IF(J745="","",ABS(J745))</f>
        <v>0.75</v>
      </c>
      <c r="O745" s="33" t="n">
        <f aca="false">IF(K745="","",ABS(K745))</f>
        <v>2.26212719156337</v>
      </c>
      <c r="P745" s="34" t="str">
        <f aca="false">IF(B745&gt;=Eval_Start_Week,"YES","")</f>
        <v/>
      </c>
      <c r="Q745" s="34" t="str">
        <f aca="false">IF(AND(B745&gt;=Cal_Start_Week,B745&lt;=Cal_End_Week),"YES","")</f>
        <v/>
      </c>
    </row>
    <row r="746" customFormat="false" ht="15" hidden="false" customHeight="false" outlineLevel="0" collapsed="false">
      <c r="A746" s="31" t="str">
        <f aca="false">Demand_History!C746</f>
        <v>KIT-008</v>
      </c>
      <c r="B746" s="31" t="n">
        <f aca="false">Demand_History!A746</f>
        <v>17</v>
      </c>
      <c r="C746" s="32" t="n">
        <f aca="false">Demand_History!D746</f>
        <v>36</v>
      </c>
      <c r="D746" s="33" t="n">
        <f aca="false">IF(B746&gt;=2,C745,"")</f>
        <v>39</v>
      </c>
      <c r="E746" s="33" t="n">
        <f aca="false">IF(B746&gt;=5,AVERAGE(C742:C745),"")</f>
        <v>36</v>
      </c>
      <c r="F746" s="33" t="n">
        <f aca="false">IF(B746&gt;=9,AVERAGE(C738:C745),"")</f>
        <v>38</v>
      </c>
      <c r="G746" s="33" t="n">
        <f aca="false">IF(B746=1,"",IF(B746=2,C745,SES_Alpha*C745+(1-SES_Alpha)*G745))</f>
        <v>37.4165109659056</v>
      </c>
      <c r="H746" s="33" t="n">
        <f aca="false">IF(D746="","",D746-C746)</f>
        <v>3</v>
      </c>
      <c r="I746" s="33" t="n">
        <f aca="false">IF(E746="","",E746-C746)</f>
        <v>0</v>
      </c>
      <c r="J746" s="33" t="n">
        <f aca="false">IF(F746="","",F746-C746)</f>
        <v>2</v>
      </c>
      <c r="K746" s="33" t="n">
        <f aca="false">IF(G746="","",G746-C746)</f>
        <v>1.41651096590564</v>
      </c>
      <c r="L746" s="33" t="n">
        <f aca="false">IF(H746="","",ABS(H746))</f>
        <v>3</v>
      </c>
      <c r="M746" s="33" t="n">
        <f aca="false">IF(I746="","",ABS(I746))</f>
        <v>0</v>
      </c>
      <c r="N746" s="33" t="n">
        <f aca="false">IF(J746="","",ABS(J746))</f>
        <v>2</v>
      </c>
      <c r="O746" s="33" t="n">
        <f aca="false">IF(K746="","",ABS(K746))</f>
        <v>1.41651096590564</v>
      </c>
      <c r="P746" s="34" t="str">
        <f aca="false">IF(B746&gt;=Eval_Start_Week,"YES","")</f>
        <v/>
      </c>
      <c r="Q746" s="34" t="str">
        <f aca="false">IF(AND(B746&gt;=Cal_Start_Week,B746&lt;=Cal_End_Week),"YES","")</f>
        <v/>
      </c>
    </row>
    <row r="747" customFormat="false" ht="15" hidden="false" customHeight="false" outlineLevel="0" collapsed="false">
      <c r="A747" s="31" t="str">
        <f aca="false">Demand_History!C747</f>
        <v>KIT-008</v>
      </c>
      <c r="B747" s="31" t="n">
        <f aca="false">Demand_History!A747</f>
        <v>18</v>
      </c>
      <c r="C747" s="32" t="n">
        <f aca="false">Demand_History!D747</f>
        <v>40</v>
      </c>
      <c r="D747" s="33" t="n">
        <f aca="false">IF(B747&gt;=2,C746,"")</f>
        <v>36</v>
      </c>
      <c r="E747" s="33" t="n">
        <f aca="false">IF(B747&gt;=5,AVERAGE(C743:C746),"")</f>
        <v>36.75</v>
      </c>
      <c r="F747" s="33" t="n">
        <f aca="false">IF(B747&gt;=9,AVERAGE(C739:C746),"")</f>
        <v>37.375</v>
      </c>
      <c r="G747" s="33" t="n">
        <f aca="false">IF(B747=1,"",IF(B747=2,C746,SES_Alpha*C746+(1-SES_Alpha)*G746))</f>
        <v>36.991557676134</v>
      </c>
      <c r="H747" s="33" t="n">
        <f aca="false">IF(D747="","",D747-C747)</f>
        <v>-4</v>
      </c>
      <c r="I747" s="33" t="n">
        <f aca="false">IF(E747="","",E747-C747)</f>
        <v>-3.25</v>
      </c>
      <c r="J747" s="33" t="n">
        <f aca="false">IF(F747="","",F747-C747)</f>
        <v>-2.625</v>
      </c>
      <c r="K747" s="33" t="n">
        <f aca="false">IF(G747="","",G747-C747)</f>
        <v>-3.00844232386605</v>
      </c>
      <c r="L747" s="33" t="n">
        <f aca="false">IF(H747="","",ABS(H747))</f>
        <v>4</v>
      </c>
      <c r="M747" s="33" t="n">
        <f aca="false">IF(I747="","",ABS(I747))</f>
        <v>3.25</v>
      </c>
      <c r="N747" s="33" t="n">
        <f aca="false">IF(J747="","",ABS(J747))</f>
        <v>2.625</v>
      </c>
      <c r="O747" s="33" t="n">
        <f aca="false">IF(K747="","",ABS(K747))</f>
        <v>3.00844232386605</v>
      </c>
      <c r="P747" s="34" t="str">
        <f aca="false">IF(B747&gt;=Eval_Start_Week,"YES","")</f>
        <v/>
      </c>
      <c r="Q747" s="34" t="str">
        <f aca="false">IF(AND(B747&gt;=Cal_Start_Week,B747&lt;=Cal_End_Week),"YES","")</f>
        <v/>
      </c>
    </row>
    <row r="748" customFormat="false" ht="15" hidden="false" customHeight="false" outlineLevel="0" collapsed="false">
      <c r="A748" s="31" t="str">
        <f aca="false">Demand_History!C748</f>
        <v>KIT-008</v>
      </c>
      <c r="B748" s="31" t="n">
        <f aca="false">Demand_History!A748</f>
        <v>19</v>
      </c>
      <c r="C748" s="32" t="n">
        <f aca="false">Demand_History!D748</f>
        <v>42</v>
      </c>
      <c r="D748" s="33" t="n">
        <f aca="false">IF(B748&gt;=2,C747,"")</f>
        <v>40</v>
      </c>
      <c r="E748" s="33" t="n">
        <f aca="false">IF(B748&gt;=5,AVERAGE(C744:C747),"")</f>
        <v>37.25</v>
      </c>
      <c r="F748" s="33" t="n">
        <f aca="false">IF(B748&gt;=9,AVERAGE(C740:C747),"")</f>
        <v>37</v>
      </c>
      <c r="G748" s="33" t="n">
        <f aca="false">IF(B748=1,"",IF(B748=2,C747,SES_Alpha*C747+(1-SES_Alpha)*G747))</f>
        <v>37.8940903732938</v>
      </c>
      <c r="H748" s="33" t="n">
        <f aca="false">IF(D748="","",D748-C748)</f>
        <v>-2</v>
      </c>
      <c r="I748" s="33" t="n">
        <f aca="false">IF(E748="","",E748-C748)</f>
        <v>-4.75</v>
      </c>
      <c r="J748" s="33" t="n">
        <f aca="false">IF(F748="","",F748-C748)</f>
        <v>-5</v>
      </c>
      <c r="K748" s="33" t="n">
        <f aca="false">IF(G748="","",G748-C748)</f>
        <v>-4.10590962670624</v>
      </c>
      <c r="L748" s="33" t="n">
        <f aca="false">IF(H748="","",ABS(H748))</f>
        <v>2</v>
      </c>
      <c r="M748" s="33" t="n">
        <f aca="false">IF(I748="","",ABS(I748))</f>
        <v>4.75</v>
      </c>
      <c r="N748" s="33" t="n">
        <f aca="false">IF(J748="","",ABS(J748))</f>
        <v>5</v>
      </c>
      <c r="O748" s="33" t="n">
        <f aca="false">IF(K748="","",ABS(K748))</f>
        <v>4.10590962670624</v>
      </c>
      <c r="P748" s="34" t="str">
        <f aca="false">IF(B748&gt;=Eval_Start_Week,"YES","")</f>
        <v/>
      </c>
      <c r="Q748" s="34" t="str">
        <f aca="false">IF(AND(B748&gt;=Cal_Start_Week,B748&lt;=Cal_End_Week),"YES","")</f>
        <v/>
      </c>
    </row>
    <row r="749" customFormat="false" ht="15" hidden="false" customHeight="false" outlineLevel="0" collapsed="false">
      <c r="A749" s="31" t="str">
        <f aca="false">Demand_History!C749</f>
        <v>KIT-008</v>
      </c>
      <c r="B749" s="31" t="n">
        <f aca="false">Demand_History!A749</f>
        <v>20</v>
      </c>
      <c r="C749" s="32" t="n">
        <f aca="false">Demand_History!D749</f>
        <v>34</v>
      </c>
      <c r="D749" s="33" t="n">
        <f aca="false">IF(B749&gt;=2,C748,"")</f>
        <v>42</v>
      </c>
      <c r="E749" s="33" t="n">
        <f aca="false">IF(B749&gt;=5,AVERAGE(C745:C748),"")</f>
        <v>39.25</v>
      </c>
      <c r="F749" s="33" t="n">
        <f aca="false">IF(B749&gt;=9,AVERAGE(C741:C748),"")</f>
        <v>37.5</v>
      </c>
      <c r="G749" s="33" t="n">
        <f aca="false">IF(B749=1,"",IF(B749=2,C748,SES_Alpha*C748+(1-SES_Alpha)*G748))</f>
        <v>39.1258632613056</v>
      </c>
      <c r="H749" s="33" t="n">
        <f aca="false">IF(D749="","",D749-C749)</f>
        <v>8</v>
      </c>
      <c r="I749" s="33" t="n">
        <f aca="false">IF(E749="","",E749-C749)</f>
        <v>5.25</v>
      </c>
      <c r="J749" s="33" t="n">
        <f aca="false">IF(F749="","",F749-C749)</f>
        <v>3.5</v>
      </c>
      <c r="K749" s="33" t="n">
        <f aca="false">IF(G749="","",G749-C749)</f>
        <v>5.12586326130563</v>
      </c>
      <c r="L749" s="33" t="n">
        <f aca="false">IF(H749="","",ABS(H749))</f>
        <v>8</v>
      </c>
      <c r="M749" s="33" t="n">
        <f aca="false">IF(I749="","",ABS(I749))</f>
        <v>5.25</v>
      </c>
      <c r="N749" s="33" t="n">
        <f aca="false">IF(J749="","",ABS(J749))</f>
        <v>3.5</v>
      </c>
      <c r="O749" s="33" t="n">
        <f aca="false">IF(K749="","",ABS(K749))</f>
        <v>5.12586326130563</v>
      </c>
      <c r="P749" s="34" t="str">
        <f aca="false">IF(B749&gt;=Eval_Start_Week,"YES","")</f>
        <v/>
      </c>
      <c r="Q749" s="34" t="str">
        <f aca="false">IF(AND(B749&gt;=Cal_Start_Week,B749&lt;=Cal_End_Week),"YES","")</f>
        <v/>
      </c>
    </row>
    <row r="750" customFormat="false" ht="15" hidden="false" customHeight="false" outlineLevel="0" collapsed="false">
      <c r="A750" s="31" t="str">
        <f aca="false">Demand_History!C750</f>
        <v>KIT-008</v>
      </c>
      <c r="B750" s="31" t="n">
        <f aca="false">Demand_History!A750</f>
        <v>21</v>
      </c>
      <c r="C750" s="32" t="n">
        <f aca="false">Demand_History!D750</f>
        <v>37</v>
      </c>
      <c r="D750" s="33" t="n">
        <f aca="false">IF(B750&gt;=2,C749,"")</f>
        <v>34</v>
      </c>
      <c r="E750" s="33" t="n">
        <f aca="false">IF(B750&gt;=5,AVERAGE(C746:C749),"")</f>
        <v>38</v>
      </c>
      <c r="F750" s="33" t="n">
        <f aca="false">IF(B750&gt;=9,AVERAGE(C742:C749),"")</f>
        <v>37</v>
      </c>
      <c r="G750" s="33" t="n">
        <f aca="false">IF(B750=1,"",IF(B750=2,C749,SES_Alpha*C749+(1-SES_Alpha)*G749))</f>
        <v>37.5881042829139</v>
      </c>
      <c r="H750" s="33" t="n">
        <f aca="false">IF(D750="","",D750-C750)</f>
        <v>-3</v>
      </c>
      <c r="I750" s="33" t="n">
        <f aca="false">IF(E750="","",E750-C750)</f>
        <v>1</v>
      </c>
      <c r="J750" s="33" t="n">
        <f aca="false">IF(F750="","",F750-C750)</f>
        <v>0</v>
      </c>
      <c r="K750" s="33" t="n">
        <f aca="false">IF(G750="","",G750-C750)</f>
        <v>0.588104282913939</v>
      </c>
      <c r="L750" s="33" t="n">
        <f aca="false">IF(H750="","",ABS(H750))</f>
        <v>3</v>
      </c>
      <c r="M750" s="33" t="n">
        <f aca="false">IF(I750="","",ABS(I750))</f>
        <v>1</v>
      </c>
      <c r="N750" s="33" t="n">
        <f aca="false">IF(J750="","",ABS(J750))</f>
        <v>0</v>
      </c>
      <c r="O750" s="33" t="n">
        <f aca="false">IF(K750="","",ABS(K750))</f>
        <v>0.588104282913939</v>
      </c>
      <c r="P750" s="34" t="str">
        <f aca="false">IF(B750&gt;=Eval_Start_Week,"YES","")</f>
        <v/>
      </c>
      <c r="Q750" s="34" t="str">
        <f aca="false">IF(AND(B750&gt;=Cal_Start_Week,B750&lt;=Cal_End_Week),"YES","")</f>
        <v/>
      </c>
    </row>
    <row r="751" customFormat="false" ht="15" hidden="false" customHeight="false" outlineLevel="0" collapsed="false">
      <c r="A751" s="31" t="str">
        <f aca="false">Demand_History!C751</f>
        <v>KIT-008</v>
      </c>
      <c r="B751" s="31" t="n">
        <f aca="false">Demand_History!A751</f>
        <v>22</v>
      </c>
      <c r="C751" s="32" t="n">
        <f aca="false">Demand_History!D751</f>
        <v>36</v>
      </c>
      <c r="D751" s="33" t="n">
        <f aca="false">IF(B751&gt;=2,C750,"")</f>
        <v>37</v>
      </c>
      <c r="E751" s="33" t="n">
        <f aca="false">IF(B751&gt;=5,AVERAGE(C747:C750),"")</f>
        <v>38.25</v>
      </c>
      <c r="F751" s="33" t="n">
        <f aca="false">IF(B751&gt;=9,AVERAGE(C743:C750),"")</f>
        <v>37.5</v>
      </c>
      <c r="G751" s="33" t="n">
        <f aca="false">IF(B751=1,"",IF(B751=2,C750,SES_Alpha*C750+(1-SES_Alpha)*G750))</f>
        <v>37.4116729980398</v>
      </c>
      <c r="H751" s="33" t="n">
        <f aca="false">IF(D751="","",D751-C751)</f>
        <v>1</v>
      </c>
      <c r="I751" s="33" t="n">
        <f aca="false">IF(E751="","",E751-C751)</f>
        <v>2.25</v>
      </c>
      <c r="J751" s="33" t="n">
        <f aca="false">IF(F751="","",F751-C751)</f>
        <v>1.5</v>
      </c>
      <c r="K751" s="33" t="n">
        <f aca="false">IF(G751="","",G751-C751)</f>
        <v>1.41167299803976</v>
      </c>
      <c r="L751" s="33" t="n">
        <f aca="false">IF(H751="","",ABS(H751))</f>
        <v>1</v>
      </c>
      <c r="M751" s="33" t="n">
        <f aca="false">IF(I751="","",ABS(I751))</f>
        <v>2.25</v>
      </c>
      <c r="N751" s="33" t="n">
        <f aca="false">IF(J751="","",ABS(J751))</f>
        <v>1.5</v>
      </c>
      <c r="O751" s="33" t="n">
        <f aca="false">IF(K751="","",ABS(K751))</f>
        <v>1.41167299803976</v>
      </c>
      <c r="P751" s="34" t="str">
        <f aca="false">IF(B751&gt;=Eval_Start_Week,"YES","")</f>
        <v/>
      </c>
      <c r="Q751" s="34" t="str">
        <f aca="false">IF(AND(B751&gt;=Cal_Start_Week,B751&lt;=Cal_End_Week),"YES","")</f>
        <v/>
      </c>
    </row>
    <row r="752" customFormat="false" ht="15" hidden="false" customHeight="false" outlineLevel="0" collapsed="false">
      <c r="A752" s="31" t="str">
        <f aca="false">Demand_History!C752</f>
        <v>KIT-008</v>
      </c>
      <c r="B752" s="31" t="n">
        <f aca="false">Demand_History!A752</f>
        <v>23</v>
      </c>
      <c r="C752" s="32" t="n">
        <f aca="false">Demand_History!D752</f>
        <v>43</v>
      </c>
      <c r="D752" s="33" t="n">
        <f aca="false">IF(B752&gt;=2,C751,"")</f>
        <v>36</v>
      </c>
      <c r="E752" s="33" t="n">
        <f aca="false">IF(B752&gt;=5,AVERAGE(C748:C751),"")</f>
        <v>37.25</v>
      </c>
      <c r="F752" s="33" t="n">
        <f aca="false">IF(B752&gt;=9,AVERAGE(C744:C751),"")</f>
        <v>37.25</v>
      </c>
      <c r="G752" s="33" t="n">
        <f aca="false">IF(B752=1,"",IF(B752=2,C751,SES_Alpha*C751+(1-SES_Alpha)*G751))</f>
        <v>36.9881710986278</v>
      </c>
      <c r="H752" s="33" t="n">
        <f aca="false">IF(D752="","",D752-C752)</f>
        <v>-7</v>
      </c>
      <c r="I752" s="33" t="n">
        <f aca="false">IF(E752="","",E752-C752)</f>
        <v>-5.75</v>
      </c>
      <c r="J752" s="33" t="n">
        <f aca="false">IF(F752="","",F752-C752)</f>
        <v>-5.75</v>
      </c>
      <c r="K752" s="33" t="n">
        <f aca="false">IF(G752="","",G752-C752)</f>
        <v>-6.01182890137218</v>
      </c>
      <c r="L752" s="33" t="n">
        <f aca="false">IF(H752="","",ABS(H752))</f>
        <v>7</v>
      </c>
      <c r="M752" s="33" t="n">
        <f aca="false">IF(I752="","",ABS(I752))</f>
        <v>5.75</v>
      </c>
      <c r="N752" s="33" t="n">
        <f aca="false">IF(J752="","",ABS(J752))</f>
        <v>5.75</v>
      </c>
      <c r="O752" s="33" t="n">
        <f aca="false">IF(K752="","",ABS(K752))</f>
        <v>6.01182890137218</v>
      </c>
      <c r="P752" s="34" t="str">
        <f aca="false">IF(B752&gt;=Eval_Start_Week,"YES","")</f>
        <v/>
      </c>
      <c r="Q752" s="34" t="str">
        <f aca="false">IF(AND(B752&gt;=Cal_Start_Week,B752&lt;=Cal_End_Week),"YES","")</f>
        <v/>
      </c>
    </row>
    <row r="753" customFormat="false" ht="15" hidden="false" customHeight="false" outlineLevel="0" collapsed="false">
      <c r="A753" s="31" t="str">
        <f aca="false">Demand_History!C753</f>
        <v>KIT-008</v>
      </c>
      <c r="B753" s="31" t="n">
        <f aca="false">Demand_History!A753</f>
        <v>24</v>
      </c>
      <c r="C753" s="32" t="n">
        <f aca="false">Demand_History!D753</f>
        <v>47</v>
      </c>
      <c r="D753" s="33" t="n">
        <f aca="false">IF(B753&gt;=2,C752,"")</f>
        <v>43</v>
      </c>
      <c r="E753" s="33" t="n">
        <f aca="false">IF(B753&gt;=5,AVERAGE(C749:C752),"")</f>
        <v>37.5</v>
      </c>
      <c r="F753" s="33" t="n">
        <f aca="false">IF(B753&gt;=9,AVERAGE(C745:C752),"")</f>
        <v>38.375</v>
      </c>
      <c r="G753" s="33" t="n">
        <f aca="false">IF(B753=1,"",IF(B753=2,C752,SES_Alpha*C752+(1-SES_Alpha)*G752))</f>
        <v>38.7917197690395</v>
      </c>
      <c r="H753" s="33" t="n">
        <f aca="false">IF(D753="","",D753-C753)</f>
        <v>-4</v>
      </c>
      <c r="I753" s="33" t="n">
        <f aca="false">IF(E753="","",E753-C753)</f>
        <v>-9.5</v>
      </c>
      <c r="J753" s="33" t="n">
        <f aca="false">IF(F753="","",F753-C753)</f>
        <v>-8.625</v>
      </c>
      <c r="K753" s="33" t="n">
        <f aca="false">IF(G753="","",G753-C753)</f>
        <v>-8.20828023096053</v>
      </c>
      <c r="L753" s="33" t="n">
        <f aca="false">IF(H753="","",ABS(H753))</f>
        <v>4</v>
      </c>
      <c r="M753" s="33" t="n">
        <f aca="false">IF(I753="","",ABS(I753))</f>
        <v>9.5</v>
      </c>
      <c r="N753" s="33" t="n">
        <f aca="false">IF(J753="","",ABS(J753))</f>
        <v>8.625</v>
      </c>
      <c r="O753" s="33" t="n">
        <f aca="false">IF(K753="","",ABS(K753))</f>
        <v>8.20828023096053</v>
      </c>
      <c r="P753" s="34" t="str">
        <f aca="false">IF(B753&gt;=Eval_Start_Week,"YES","")</f>
        <v/>
      </c>
      <c r="Q753" s="34" t="str">
        <f aca="false">IF(AND(B753&gt;=Cal_Start_Week,B753&lt;=Cal_End_Week),"YES","")</f>
        <v/>
      </c>
    </row>
    <row r="754" customFormat="false" ht="15" hidden="false" customHeight="false" outlineLevel="0" collapsed="false">
      <c r="A754" s="31" t="str">
        <f aca="false">Demand_History!C754</f>
        <v>KIT-008</v>
      </c>
      <c r="B754" s="31" t="n">
        <f aca="false">Demand_History!A754</f>
        <v>25</v>
      </c>
      <c r="C754" s="32" t="n">
        <f aca="false">Demand_History!D754</f>
        <v>44</v>
      </c>
      <c r="D754" s="33" t="n">
        <f aca="false">IF(B754&gt;=2,C753,"")</f>
        <v>47</v>
      </c>
      <c r="E754" s="33" t="n">
        <f aca="false">IF(B754&gt;=5,AVERAGE(C750:C753),"")</f>
        <v>40.75</v>
      </c>
      <c r="F754" s="33" t="n">
        <f aca="false">IF(B754&gt;=9,AVERAGE(C746:C753),"")</f>
        <v>39.375</v>
      </c>
      <c r="G754" s="33" t="n">
        <f aca="false">IF(B754=1,"",IF(B754=2,C753,SES_Alpha*C753+(1-SES_Alpha)*G753))</f>
        <v>41.2542038383276</v>
      </c>
      <c r="H754" s="33" t="n">
        <f aca="false">IF(D754="","",D754-C754)</f>
        <v>3</v>
      </c>
      <c r="I754" s="33" t="n">
        <f aca="false">IF(E754="","",E754-C754)</f>
        <v>-3.25</v>
      </c>
      <c r="J754" s="33" t="n">
        <f aca="false">IF(F754="","",F754-C754)</f>
        <v>-4.625</v>
      </c>
      <c r="K754" s="33" t="n">
        <f aca="false">IF(G754="","",G754-C754)</f>
        <v>-2.74579616167237</v>
      </c>
      <c r="L754" s="33" t="n">
        <f aca="false">IF(H754="","",ABS(H754))</f>
        <v>3</v>
      </c>
      <c r="M754" s="33" t="n">
        <f aca="false">IF(I754="","",ABS(I754))</f>
        <v>3.25</v>
      </c>
      <c r="N754" s="33" t="n">
        <f aca="false">IF(J754="","",ABS(J754))</f>
        <v>4.625</v>
      </c>
      <c r="O754" s="33" t="n">
        <f aca="false">IF(K754="","",ABS(K754))</f>
        <v>2.74579616167237</v>
      </c>
      <c r="P754" s="34" t="str">
        <f aca="false">IF(B754&gt;=Eval_Start_Week,"YES","")</f>
        <v/>
      </c>
      <c r="Q754" s="34" t="str">
        <f aca="false">IF(AND(B754&gt;=Cal_Start_Week,B754&lt;=Cal_End_Week),"YES","")</f>
        <v/>
      </c>
    </row>
    <row r="755" customFormat="false" ht="15" hidden="false" customHeight="false" outlineLevel="0" collapsed="false">
      <c r="A755" s="31" t="str">
        <f aca="false">Demand_History!C755</f>
        <v>KIT-008</v>
      </c>
      <c r="B755" s="31" t="n">
        <f aca="false">Demand_History!A755</f>
        <v>26</v>
      </c>
      <c r="C755" s="32" t="n">
        <f aca="false">Demand_History!D755</f>
        <v>39</v>
      </c>
      <c r="D755" s="33" t="n">
        <f aca="false">IF(B755&gt;=2,C754,"")</f>
        <v>44</v>
      </c>
      <c r="E755" s="33" t="n">
        <f aca="false">IF(B755&gt;=5,AVERAGE(C751:C754),"")</f>
        <v>42.5</v>
      </c>
      <c r="F755" s="33" t="n">
        <f aca="false">IF(B755&gt;=9,AVERAGE(C747:C754),"")</f>
        <v>40.375</v>
      </c>
      <c r="G755" s="33" t="n">
        <f aca="false">IF(B755=1,"",IF(B755=2,C754,SES_Alpha*C754+(1-SES_Alpha)*G754))</f>
        <v>42.0779426868293</v>
      </c>
      <c r="H755" s="33" t="n">
        <f aca="false">IF(D755="","",D755-C755)</f>
        <v>5</v>
      </c>
      <c r="I755" s="33" t="n">
        <f aca="false">IF(E755="","",E755-C755)</f>
        <v>3.5</v>
      </c>
      <c r="J755" s="33" t="n">
        <f aca="false">IF(F755="","",F755-C755)</f>
        <v>1.375</v>
      </c>
      <c r="K755" s="33" t="n">
        <f aca="false">IF(G755="","",G755-C755)</f>
        <v>3.07794268682935</v>
      </c>
      <c r="L755" s="33" t="n">
        <f aca="false">IF(H755="","",ABS(H755))</f>
        <v>5</v>
      </c>
      <c r="M755" s="33" t="n">
        <f aca="false">IF(I755="","",ABS(I755))</f>
        <v>3.5</v>
      </c>
      <c r="N755" s="33" t="n">
        <f aca="false">IF(J755="","",ABS(J755))</f>
        <v>1.375</v>
      </c>
      <c r="O755" s="33" t="n">
        <f aca="false">IF(K755="","",ABS(K755))</f>
        <v>3.07794268682935</v>
      </c>
      <c r="P755" s="34" t="str">
        <f aca="false">IF(B755&gt;=Eval_Start_Week,"YES","")</f>
        <v/>
      </c>
      <c r="Q755" s="34" t="str">
        <f aca="false">IF(AND(B755&gt;=Cal_Start_Week,B755&lt;=Cal_End_Week),"YES","")</f>
        <v/>
      </c>
    </row>
    <row r="756" customFormat="false" ht="15" hidden="false" customHeight="false" outlineLevel="0" collapsed="false">
      <c r="A756" s="31" t="str">
        <f aca="false">Demand_History!C756</f>
        <v>KIT-008</v>
      </c>
      <c r="B756" s="31" t="n">
        <f aca="false">Demand_History!A756</f>
        <v>27</v>
      </c>
      <c r="C756" s="32" t="n">
        <f aca="false">Demand_History!D756</f>
        <v>46</v>
      </c>
      <c r="D756" s="33" t="n">
        <f aca="false">IF(B756&gt;=2,C755,"")</f>
        <v>39</v>
      </c>
      <c r="E756" s="33" t="n">
        <f aca="false">IF(B756&gt;=5,AVERAGE(C752:C755),"")</f>
        <v>43.25</v>
      </c>
      <c r="F756" s="33" t="n">
        <f aca="false">IF(B756&gt;=9,AVERAGE(C748:C755),"")</f>
        <v>40.25</v>
      </c>
      <c r="G756" s="33" t="n">
        <f aca="false">IF(B756=1,"",IF(B756=2,C755,SES_Alpha*C755+(1-SES_Alpha)*G755))</f>
        <v>41.1545598807805</v>
      </c>
      <c r="H756" s="33" t="n">
        <f aca="false">IF(D756="","",D756-C756)</f>
        <v>-7</v>
      </c>
      <c r="I756" s="33" t="n">
        <f aca="false">IF(E756="","",E756-C756)</f>
        <v>-2.75</v>
      </c>
      <c r="J756" s="33" t="n">
        <f aca="false">IF(F756="","",F756-C756)</f>
        <v>-5.75</v>
      </c>
      <c r="K756" s="33" t="n">
        <f aca="false">IF(G756="","",G756-C756)</f>
        <v>-4.84544011921946</v>
      </c>
      <c r="L756" s="33" t="n">
        <f aca="false">IF(H756="","",ABS(H756))</f>
        <v>7</v>
      </c>
      <c r="M756" s="33" t="n">
        <f aca="false">IF(I756="","",ABS(I756))</f>
        <v>2.75</v>
      </c>
      <c r="N756" s="33" t="n">
        <f aca="false">IF(J756="","",ABS(J756))</f>
        <v>5.75</v>
      </c>
      <c r="O756" s="33" t="n">
        <f aca="false">IF(K756="","",ABS(K756))</f>
        <v>4.84544011921946</v>
      </c>
      <c r="P756" s="34" t="str">
        <f aca="false">IF(B756&gt;=Eval_Start_Week,"YES","")</f>
        <v/>
      </c>
      <c r="Q756" s="34" t="str">
        <f aca="false">IF(AND(B756&gt;=Cal_Start_Week,B756&lt;=Cal_End_Week),"YES","")</f>
        <v/>
      </c>
    </row>
    <row r="757" customFormat="false" ht="15" hidden="false" customHeight="false" outlineLevel="0" collapsed="false">
      <c r="A757" s="31" t="str">
        <f aca="false">Demand_History!C757</f>
        <v>KIT-008</v>
      </c>
      <c r="B757" s="31" t="n">
        <f aca="false">Demand_History!A757</f>
        <v>28</v>
      </c>
      <c r="C757" s="32" t="n">
        <f aca="false">Demand_History!D757</f>
        <v>34</v>
      </c>
      <c r="D757" s="33" t="n">
        <f aca="false">IF(B757&gt;=2,C756,"")</f>
        <v>46</v>
      </c>
      <c r="E757" s="33" t="n">
        <f aca="false">IF(B757&gt;=5,AVERAGE(C753:C756),"")</f>
        <v>44</v>
      </c>
      <c r="F757" s="33" t="n">
        <f aca="false">IF(B757&gt;=9,AVERAGE(C749:C756),"")</f>
        <v>40.75</v>
      </c>
      <c r="G757" s="33" t="n">
        <f aca="false">IF(B757=1,"",IF(B757=2,C756,SES_Alpha*C756+(1-SES_Alpha)*G756))</f>
        <v>42.6081919165464</v>
      </c>
      <c r="H757" s="33" t="n">
        <f aca="false">IF(D757="","",D757-C757)</f>
        <v>12</v>
      </c>
      <c r="I757" s="33" t="n">
        <f aca="false">IF(E757="","",E757-C757)</f>
        <v>10</v>
      </c>
      <c r="J757" s="33" t="n">
        <f aca="false">IF(F757="","",F757-C757)</f>
        <v>6.75</v>
      </c>
      <c r="K757" s="33" t="n">
        <f aca="false">IF(G757="","",G757-C757)</f>
        <v>8.60819191654638</v>
      </c>
      <c r="L757" s="33" t="n">
        <f aca="false">IF(H757="","",ABS(H757))</f>
        <v>12</v>
      </c>
      <c r="M757" s="33" t="n">
        <f aca="false">IF(I757="","",ABS(I757))</f>
        <v>10</v>
      </c>
      <c r="N757" s="33" t="n">
        <f aca="false">IF(J757="","",ABS(J757))</f>
        <v>6.75</v>
      </c>
      <c r="O757" s="33" t="n">
        <f aca="false">IF(K757="","",ABS(K757))</f>
        <v>8.60819191654638</v>
      </c>
      <c r="P757" s="34" t="str">
        <f aca="false">IF(B757&gt;=Eval_Start_Week,"YES","")</f>
        <v/>
      </c>
      <c r="Q757" s="34" t="str">
        <f aca="false">IF(AND(B757&gt;=Cal_Start_Week,B757&lt;=Cal_End_Week),"YES","")</f>
        <v/>
      </c>
    </row>
    <row r="758" customFormat="false" ht="15" hidden="false" customHeight="false" outlineLevel="0" collapsed="false">
      <c r="A758" s="31" t="str">
        <f aca="false">Demand_History!C758</f>
        <v>KIT-008</v>
      </c>
      <c r="B758" s="31" t="n">
        <f aca="false">Demand_History!A758</f>
        <v>29</v>
      </c>
      <c r="C758" s="32" t="n">
        <f aca="false">Demand_History!D758</f>
        <v>46</v>
      </c>
      <c r="D758" s="33" t="n">
        <f aca="false">IF(B758&gt;=2,C757,"")</f>
        <v>34</v>
      </c>
      <c r="E758" s="33" t="n">
        <f aca="false">IF(B758&gt;=5,AVERAGE(C754:C757),"")</f>
        <v>40.75</v>
      </c>
      <c r="F758" s="33" t="n">
        <f aca="false">IF(B758&gt;=9,AVERAGE(C750:C757),"")</f>
        <v>40.75</v>
      </c>
      <c r="G758" s="33" t="n">
        <f aca="false">IF(B758=1,"",IF(B758=2,C757,SES_Alpha*C757+(1-SES_Alpha)*G757))</f>
        <v>40.0257343415825</v>
      </c>
      <c r="H758" s="33" t="n">
        <f aca="false">IF(D758="","",D758-C758)</f>
        <v>-12</v>
      </c>
      <c r="I758" s="33" t="n">
        <f aca="false">IF(E758="","",E758-C758)</f>
        <v>-5.25</v>
      </c>
      <c r="J758" s="33" t="n">
        <f aca="false">IF(F758="","",F758-C758)</f>
        <v>-5.25</v>
      </c>
      <c r="K758" s="33" t="n">
        <f aca="false">IF(G758="","",G758-C758)</f>
        <v>-5.97426565841754</v>
      </c>
      <c r="L758" s="33" t="n">
        <f aca="false">IF(H758="","",ABS(H758))</f>
        <v>12</v>
      </c>
      <c r="M758" s="33" t="n">
        <f aca="false">IF(I758="","",ABS(I758))</f>
        <v>5.25</v>
      </c>
      <c r="N758" s="33" t="n">
        <f aca="false">IF(J758="","",ABS(J758))</f>
        <v>5.25</v>
      </c>
      <c r="O758" s="33" t="n">
        <f aca="false">IF(K758="","",ABS(K758))</f>
        <v>5.97426565841754</v>
      </c>
      <c r="P758" s="34" t="str">
        <f aca="false">IF(B758&gt;=Eval_Start_Week,"YES","")</f>
        <v/>
      </c>
      <c r="Q758" s="34" t="str">
        <f aca="false">IF(AND(B758&gt;=Cal_Start_Week,B758&lt;=Cal_End_Week),"YES","")</f>
        <v/>
      </c>
    </row>
    <row r="759" customFormat="false" ht="15" hidden="false" customHeight="false" outlineLevel="0" collapsed="false">
      <c r="A759" s="31" t="str">
        <f aca="false">Demand_History!C759</f>
        <v>KIT-008</v>
      </c>
      <c r="B759" s="31" t="n">
        <f aca="false">Demand_History!A759</f>
        <v>30</v>
      </c>
      <c r="C759" s="32" t="n">
        <f aca="false">Demand_History!D759</f>
        <v>37</v>
      </c>
      <c r="D759" s="33" t="n">
        <f aca="false">IF(B759&gt;=2,C758,"")</f>
        <v>46</v>
      </c>
      <c r="E759" s="33" t="n">
        <f aca="false">IF(B759&gt;=5,AVERAGE(C755:C758),"")</f>
        <v>41.25</v>
      </c>
      <c r="F759" s="33" t="n">
        <f aca="false">IF(B759&gt;=9,AVERAGE(C751:C758),"")</f>
        <v>41.875</v>
      </c>
      <c r="G759" s="33" t="n">
        <f aca="false">IF(B759=1,"",IF(B759=2,C758,SES_Alpha*C758+(1-SES_Alpha)*G758))</f>
        <v>41.8180140391077</v>
      </c>
      <c r="H759" s="33" t="n">
        <f aca="false">IF(D759="","",D759-C759)</f>
        <v>9</v>
      </c>
      <c r="I759" s="33" t="n">
        <f aca="false">IF(E759="","",E759-C759)</f>
        <v>4.25</v>
      </c>
      <c r="J759" s="33" t="n">
        <f aca="false">IF(F759="","",F759-C759)</f>
        <v>4.875</v>
      </c>
      <c r="K759" s="33" t="n">
        <f aca="false">IF(G759="","",G759-C759)</f>
        <v>4.81801403910772</v>
      </c>
      <c r="L759" s="33" t="n">
        <f aca="false">IF(H759="","",ABS(H759))</f>
        <v>9</v>
      </c>
      <c r="M759" s="33" t="n">
        <f aca="false">IF(I759="","",ABS(I759))</f>
        <v>4.25</v>
      </c>
      <c r="N759" s="33" t="n">
        <f aca="false">IF(J759="","",ABS(J759))</f>
        <v>4.875</v>
      </c>
      <c r="O759" s="33" t="n">
        <f aca="false">IF(K759="","",ABS(K759))</f>
        <v>4.81801403910772</v>
      </c>
      <c r="P759" s="34" t="str">
        <f aca="false">IF(B759&gt;=Eval_Start_Week,"YES","")</f>
        <v/>
      </c>
      <c r="Q759" s="34" t="str">
        <f aca="false">IF(AND(B759&gt;=Cal_Start_Week,B759&lt;=Cal_End_Week),"YES","")</f>
        <v/>
      </c>
    </row>
    <row r="760" customFormat="false" ht="15" hidden="false" customHeight="false" outlineLevel="0" collapsed="false">
      <c r="A760" s="31" t="str">
        <f aca="false">Demand_History!C760</f>
        <v>KIT-008</v>
      </c>
      <c r="B760" s="31" t="n">
        <f aca="false">Demand_History!A760</f>
        <v>31</v>
      </c>
      <c r="C760" s="32" t="n">
        <f aca="false">Demand_History!D760</f>
        <v>28</v>
      </c>
      <c r="D760" s="33" t="n">
        <f aca="false">IF(B760&gt;=2,C759,"")</f>
        <v>37</v>
      </c>
      <c r="E760" s="33" t="n">
        <f aca="false">IF(B760&gt;=5,AVERAGE(C756:C759),"")</f>
        <v>40.75</v>
      </c>
      <c r="F760" s="33" t="n">
        <f aca="false">IF(B760&gt;=9,AVERAGE(C752:C759),"")</f>
        <v>42</v>
      </c>
      <c r="G760" s="33" t="n">
        <f aca="false">IF(B760=1,"",IF(B760=2,C759,SES_Alpha*C759+(1-SES_Alpha)*G759))</f>
        <v>40.3726098273754</v>
      </c>
      <c r="H760" s="33" t="n">
        <f aca="false">IF(D760="","",D760-C760)</f>
        <v>9</v>
      </c>
      <c r="I760" s="33" t="n">
        <f aca="false">IF(E760="","",E760-C760)</f>
        <v>12.75</v>
      </c>
      <c r="J760" s="33" t="n">
        <f aca="false">IF(F760="","",F760-C760)</f>
        <v>14</v>
      </c>
      <c r="K760" s="33" t="n">
        <f aca="false">IF(G760="","",G760-C760)</f>
        <v>12.3726098273754</v>
      </c>
      <c r="L760" s="33" t="n">
        <f aca="false">IF(H760="","",ABS(H760))</f>
        <v>9</v>
      </c>
      <c r="M760" s="33" t="n">
        <f aca="false">IF(I760="","",ABS(I760))</f>
        <v>12.75</v>
      </c>
      <c r="N760" s="33" t="n">
        <f aca="false">IF(J760="","",ABS(J760))</f>
        <v>14</v>
      </c>
      <c r="O760" s="33" t="n">
        <f aca="false">IF(K760="","",ABS(K760))</f>
        <v>12.3726098273754</v>
      </c>
      <c r="P760" s="34" t="str">
        <f aca="false">IF(B760&gt;=Eval_Start_Week,"YES","")</f>
        <v/>
      </c>
      <c r="Q760" s="34" t="str">
        <f aca="false">IF(AND(B760&gt;=Cal_Start_Week,B760&lt;=Cal_End_Week),"YES","")</f>
        <v/>
      </c>
    </row>
    <row r="761" customFormat="false" ht="15" hidden="false" customHeight="false" outlineLevel="0" collapsed="false">
      <c r="A761" s="31" t="str">
        <f aca="false">Demand_History!C761</f>
        <v>KIT-008</v>
      </c>
      <c r="B761" s="31" t="n">
        <f aca="false">Demand_History!A761</f>
        <v>32</v>
      </c>
      <c r="C761" s="32" t="n">
        <f aca="false">Demand_History!D761</f>
        <v>51</v>
      </c>
      <c r="D761" s="33" t="n">
        <f aca="false">IF(B761&gt;=2,C760,"")</f>
        <v>28</v>
      </c>
      <c r="E761" s="33" t="n">
        <f aca="false">IF(B761&gt;=5,AVERAGE(C757:C760),"")</f>
        <v>36.25</v>
      </c>
      <c r="F761" s="33" t="n">
        <f aca="false">IF(B761&gt;=9,AVERAGE(C753:C760),"")</f>
        <v>40.125</v>
      </c>
      <c r="G761" s="33" t="n">
        <f aca="false">IF(B761=1,"",IF(B761=2,C760,SES_Alpha*C760+(1-SES_Alpha)*G760))</f>
        <v>36.6608268791628</v>
      </c>
      <c r="H761" s="33" t="n">
        <f aca="false">IF(D761="","",D761-C761)</f>
        <v>-23</v>
      </c>
      <c r="I761" s="33" t="n">
        <f aca="false">IF(E761="","",E761-C761)</f>
        <v>-14.75</v>
      </c>
      <c r="J761" s="33" t="n">
        <f aca="false">IF(F761="","",F761-C761)</f>
        <v>-10.875</v>
      </c>
      <c r="K761" s="33" t="n">
        <f aca="false">IF(G761="","",G761-C761)</f>
        <v>-14.3391731208372</v>
      </c>
      <c r="L761" s="33" t="n">
        <f aca="false">IF(H761="","",ABS(H761))</f>
        <v>23</v>
      </c>
      <c r="M761" s="33" t="n">
        <f aca="false">IF(I761="","",ABS(I761))</f>
        <v>14.75</v>
      </c>
      <c r="N761" s="33" t="n">
        <f aca="false">IF(J761="","",ABS(J761))</f>
        <v>10.875</v>
      </c>
      <c r="O761" s="33" t="n">
        <f aca="false">IF(K761="","",ABS(K761))</f>
        <v>14.3391731208372</v>
      </c>
      <c r="P761" s="34" t="str">
        <f aca="false">IF(B761&gt;=Eval_Start_Week,"YES","")</f>
        <v/>
      </c>
      <c r="Q761" s="34" t="str">
        <f aca="false">IF(AND(B761&gt;=Cal_Start_Week,B761&lt;=Cal_End_Week),"YES","")</f>
        <v/>
      </c>
    </row>
    <row r="762" customFormat="false" ht="15" hidden="false" customHeight="false" outlineLevel="0" collapsed="false">
      <c r="A762" s="31" t="str">
        <f aca="false">Demand_History!C762</f>
        <v>KIT-008</v>
      </c>
      <c r="B762" s="31" t="n">
        <f aca="false">Demand_History!A762</f>
        <v>33</v>
      </c>
      <c r="C762" s="32" t="n">
        <f aca="false">Demand_History!D762</f>
        <v>47</v>
      </c>
      <c r="D762" s="33" t="n">
        <f aca="false">IF(B762&gt;=2,C761,"")</f>
        <v>51</v>
      </c>
      <c r="E762" s="33" t="n">
        <f aca="false">IF(B762&gt;=5,AVERAGE(C758:C761),"")</f>
        <v>40.5</v>
      </c>
      <c r="F762" s="33" t="n">
        <f aca="false">IF(B762&gt;=9,AVERAGE(C754:C761),"")</f>
        <v>40.625</v>
      </c>
      <c r="G762" s="33" t="n">
        <f aca="false">IF(B762=1,"",IF(B762=2,C761,SES_Alpha*C761+(1-SES_Alpha)*G761))</f>
        <v>40.962578815414</v>
      </c>
      <c r="H762" s="33" t="n">
        <f aca="false">IF(D762="","",D762-C762)</f>
        <v>4</v>
      </c>
      <c r="I762" s="33" t="n">
        <f aca="false">IF(E762="","",E762-C762)</f>
        <v>-6.5</v>
      </c>
      <c r="J762" s="33" t="n">
        <f aca="false">IF(F762="","",F762-C762)</f>
        <v>-6.375</v>
      </c>
      <c r="K762" s="33" t="n">
        <f aca="false">IF(G762="","",G762-C762)</f>
        <v>-6.03742118458605</v>
      </c>
      <c r="L762" s="33" t="n">
        <f aca="false">IF(H762="","",ABS(H762))</f>
        <v>4</v>
      </c>
      <c r="M762" s="33" t="n">
        <f aca="false">IF(I762="","",ABS(I762))</f>
        <v>6.5</v>
      </c>
      <c r="N762" s="33" t="n">
        <f aca="false">IF(J762="","",ABS(J762))</f>
        <v>6.375</v>
      </c>
      <c r="O762" s="33" t="n">
        <f aca="false">IF(K762="","",ABS(K762))</f>
        <v>6.03742118458605</v>
      </c>
      <c r="P762" s="34" t="str">
        <f aca="false">IF(B762&gt;=Eval_Start_Week,"YES","")</f>
        <v/>
      </c>
      <c r="Q762" s="34" t="str">
        <f aca="false">IF(AND(B762&gt;=Cal_Start_Week,B762&lt;=Cal_End_Week),"YES","")</f>
        <v/>
      </c>
    </row>
    <row r="763" customFormat="false" ht="15" hidden="false" customHeight="false" outlineLevel="0" collapsed="false">
      <c r="A763" s="31" t="str">
        <f aca="false">Demand_History!C763</f>
        <v>KIT-008</v>
      </c>
      <c r="B763" s="31" t="n">
        <f aca="false">Demand_History!A763</f>
        <v>34</v>
      </c>
      <c r="C763" s="32" t="n">
        <f aca="false">Demand_History!D763</f>
        <v>36</v>
      </c>
      <c r="D763" s="33" t="n">
        <f aca="false">IF(B763&gt;=2,C762,"")</f>
        <v>47</v>
      </c>
      <c r="E763" s="33" t="n">
        <f aca="false">IF(B763&gt;=5,AVERAGE(C759:C762),"")</f>
        <v>40.75</v>
      </c>
      <c r="F763" s="33" t="n">
        <f aca="false">IF(B763&gt;=9,AVERAGE(C755:C762),"")</f>
        <v>41</v>
      </c>
      <c r="G763" s="33" t="n">
        <f aca="false">IF(B763=1,"",IF(B763=2,C762,SES_Alpha*C762+(1-SES_Alpha)*G762))</f>
        <v>42.7738051707898</v>
      </c>
      <c r="H763" s="33" t="n">
        <f aca="false">IF(D763="","",D763-C763)</f>
        <v>11</v>
      </c>
      <c r="I763" s="33" t="n">
        <f aca="false">IF(E763="","",E763-C763)</f>
        <v>4.75</v>
      </c>
      <c r="J763" s="33" t="n">
        <f aca="false">IF(F763="","",F763-C763)</f>
        <v>5</v>
      </c>
      <c r="K763" s="33" t="n">
        <f aca="false">IF(G763="","",G763-C763)</f>
        <v>6.77380517078976</v>
      </c>
      <c r="L763" s="33" t="n">
        <f aca="false">IF(H763="","",ABS(H763))</f>
        <v>11</v>
      </c>
      <c r="M763" s="33" t="n">
        <f aca="false">IF(I763="","",ABS(I763))</f>
        <v>4.75</v>
      </c>
      <c r="N763" s="33" t="n">
        <f aca="false">IF(J763="","",ABS(J763))</f>
        <v>5</v>
      </c>
      <c r="O763" s="33" t="n">
        <f aca="false">IF(K763="","",ABS(K763))</f>
        <v>6.77380517078976</v>
      </c>
      <c r="P763" s="34" t="str">
        <f aca="false">IF(B763&gt;=Eval_Start_Week,"YES","")</f>
        <v/>
      </c>
      <c r="Q763" s="34" t="str">
        <f aca="false">IF(AND(B763&gt;=Cal_Start_Week,B763&lt;=Cal_End_Week),"YES","")</f>
        <v/>
      </c>
    </row>
    <row r="764" customFormat="false" ht="15" hidden="false" customHeight="false" outlineLevel="0" collapsed="false">
      <c r="A764" s="31" t="str">
        <f aca="false">Demand_History!C764</f>
        <v>KIT-008</v>
      </c>
      <c r="B764" s="31" t="n">
        <f aca="false">Demand_History!A764</f>
        <v>35</v>
      </c>
      <c r="C764" s="32" t="n">
        <f aca="false">Demand_History!D764</f>
        <v>41</v>
      </c>
      <c r="D764" s="33" t="n">
        <f aca="false">IF(B764&gt;=2,C763,"")</f>
        <v>36</v>
      </c>
      <c r="E764" s="33" t="n">
        <f aca="false">IF(B764&gt;=5,AVERAGE(C760:C763),"")</f>
        <v>40.5</v>
      </c>
      <c r="F764" s="33" t="n">
        <f aca="false">IF(B764&gt;=9,AVERAGE(C756:C763),"")</f>
        <v>40.625</v>
      </c>
      <c r="G764" s="33" t="n">
        <f aca="false">IF(B764=1,"",IF(B764=2,C763,SES_Alpha*C763+(1-SES_Alpha)*G763))</f>
        <v>40.7416636195528</v>
      </c>
      <c r="H764" s="33" t="n">
        <f aca="false">IF(D764="","",D764-C764)</f>
        <v>-5</v>
      </c>
      <c r="I764" s="33" t="n">
        <f aca="false">IF(E764="","",E764-C764)</f>
        <v>-0.5</v>
      </c>
      <c r="J764" s="33" t="n">
        <f aca="false">IF(F764="","",F764-C764)</f>
        <v>-0.375</v>
      </c>
      <c r="K764" s="33" t="n">
        <f aca="false">IF(G764="","",G764-C764)</f>
        <v>-0.258336380447169</v>
      </c>
      <c r="L764" s="33" t="n">
        <f aca="false">IF(H764="","",ABS(H764))</f>
        <v>5</v>
      </c>
      <c r="M764" s="33" t="n">
        <f aca="false">IF(I764="","",ABS(I764))</f>
        <v>0.5</v>
      </c>
      <c r="N764" s="33" t="n">
        <f aca="false">IF(J764="","",ABS(J764))</f>
        <v>0.375</v>
      </c>
      <c r="O764" s="33" t="n">
        <f aca="false">IF(K764="","",ABS(K764))</f>
        <v>0.258336380447169</v>
      </c>
      <c r="P764" s="34" t="str">
        <f aca="false">IF(B764&gt;=Eval_Start_Week,"YES","")</f>
        <v/>
      </c>
      <c r="Q764" s="34" t="str">
        <f aca="false">IF(AND(B764&gt;=Cal_Start_Week,B764&lt;=Cal_End_Week),"YES","")</f>
        <v/>
      </c>
    </row>
    <row r="765" customFormat="false" ht="15" hidden="false" customHeight="false" outlineLevel="0" collapsed="false">
      <c r="A765" s="31" t="str">
        <f aca="false">Demand_History!C765</f>
        <v>KIT-008</v>
      </c>
      <c r="B765" s="31" t="n">
        <f aca="false">Demand_History!A765</f>
        <v>36</v>
      </c>
      <c r="C765" s="32" t="n">
        <f aca="false">Demand_History!D765</f>
        <v>39</v>
      </c>
      <c r="D765" s="33" t="n">
        <f aca="false">IF(B765&gt;=2,C764,"")</f>
        <v>41</v>
      </c>
      <c r="E765" s="33" t="n">
        <f aca="false">IF(B765&gt;=5,AVERAGE(C761:C764),"")</f>
        <v>43.75</v>
      </c>
      <c r="F765" s="33" t="n">
        <f aca="false">IF(B765&gt;=9,AVERAGE(C757:C764),"")</f>
        <v>40</v>
      </c>
      <c r="G765" s="33" t="n">
        <f aca="false">IF(B765=1,"",IF(B765=2,C764,SES_Alpha*C764+(1-SES_Alpha)*G764))</f>
        <v>40.819164533687</v>
      </c>
      <c r="H765" s="33" t="n">
        <f aca="false">IF(D765="","",D765-C765)</f>
        <v>2</v>
      </c>
      <c r="I765" s="33" t="n">
        <f aca="false">IF(E765="","",E765-C765)</f>
        <v>4.75</v>
      </c>
      <c r="J765" s="33" t="n">
        <f aca="false">IF(F765="","",F765-C765)</f>
        <v>1</v>
      </c>
      <c r="K765" s="33" t="n">
        <f aca="false">IF(G765="","",G765-C765)</f>
        <v>1.81916453368698</v>
      </c>
      <c r="L765" s="33" t="n">
        <f aca="false">IF(H765="","",ABS(H765))</f>
        <v>2</v>
      </c>
      <c r="M765" s="33" t="n">
        <f aca="false">IF(I765="","",ABS(I765))</f>
        <v>4.75</v>
      </c>
      <c r="N765" s="33" t="n">
        <f aca="false">IF(J765="","",ABS(J765))</f>
        <v>1</v>
      </c>
      <c r="O765" s="33" t="n">
        <f aca="false">IF(K765="","",ABS(K765))</f>
        <v>1.81916453368698</v>
      </c>
      <c r="P765" s="34" t="str">
        <f aca="false">IF(B765&gt;=Eval_Start_Week,"YES","")</f>
        <v/>
      </c>
      <c r="Q765" s="34" t="str">
        <f aca="false">IF(AND(B765&gt;=Cal_Start_Week,B765&lt;=Cal_End_Week),"YES","")</f>
        <v/>
      </c>
    </row>
    <row r="766" customFormat="false" ht="15" hidden="false" customHeight="false" outlineLevel="0" collapsed="false">
      <c r="A766" s="31" t="str">
        <f aca="false">Demand_History!C766</f>
        <v>KIT-008</v>
      </c>
      <c r="B766" s="31" t="n">
        <f aca="false">Demand_History!A766</f>
        <v>37</v>
      </c>
      <c r="C766" s="32" t="n">
        <f aca="false">Demand_History!D766</f>
        <v>40</v>
      </c>
      <c r="D766" s="33" t="n">
        <f aca="false">IF(B766&gt;=2,C765,"")</f>
        <v>39</v>
      </c>
      <c r="E766" s="33" t="n">
        <f aca="false">IF(B766&gt;=5,AVERAGE(C762:C765),"")</f>
        <v>40.75</v>
      </c>
      <c r="F766" s="33" t="n">
        <f aca="false">IF(B766&gt;=9,AVERAGE(C758:C765),"")</f>
        <v>40.625</v>
      </c>
      <c r="G766" s="33" t="n">
        <f aca="false">IF(B766=1,"",IF(B766=2,C765,SES_Alpha*C765+(1-SES_Alpha)*G765))</f>
        <v>40.2734151735809</v>
      </c>
      <c r="H766" s="33" t="n">
        <f aca="false">IF(D766="","",D766-C766)</f>
        <v>-1</v>
      </c>
      <c r="I766" s="33" t="n">
        <f aca="false">IF(E766="","",E766-C766)</f>
        <v>0.75</v>
      </c>
      <c r="J766" s="33" t="n">
        <f aca="false">IF(F766="","",F766-C766)</f>
        <v>0.625</v>
      </c>
      <c r="K766" s="33" t="n">
        <f aca="false">IF(G766="","",G766-C766)</f>
        <v>0.273415173580887</v>
      </c>
      <c r="L766" s="33" t="n">
        <f aca="false">IF(H766="","",ABS(H766))</f>
        <v>1</v>
      </c>
      <c r="M766" s="33" t="n">
        <f aca="false">IF(I766="","",ABS(I766))</f>
        <v>0.75</v>
      </c>
      <c r="N766" s="33" t="n">
        <f aca="false">IF(J766="","",ABS(J766))</f>
        <v>0.625</v>
      </c>
      <c r="O766" s="33" t="n">
        <f aca="false">IF(K766="","",ABS(K766))</f>
        <v>0.273415173580887</v>
      </c>
      <c r="P766" s="34" t="str">
        <f aca="false">IF(B766&gt;=Eval_Start_Week,"YES","")</f>
        <v/>
      </c>
      <c r="Q766" s="34" t="str">
        <f aca="false">IF(AND(B766&gt;=Cal_Start_Week,B766&lt;=Cal_End_Week),"YES","")</f>
        <v>YES</v>
      </c>
    </row>
    <row r="767" customFormat="false" ht="15" hidden="false" customHeight="false" outlineLevel="0" collapsed="false">
      <c r="A767" s="31" t="str">
        <f aca="false">Demand_History!C767</f>
        <v>KIT-008</v>
      </c>
      <c r="B767" s="31" t="n">
        <f aca="false">Demand_History!A767</f>
        <v>38</v>
      </c>
      <c r="C767" s="32" t="n">
        <f aca="false">Demand_History!D767</f>
        <v>34</v>
      </c>
      <c r="D767" s="33" t="n">
        <f aca="false">IF(B767&gt;=2,C766,"")</f>
        <v>40</v>
      </c>
      <c r="E767" s="33" t="n">
        <f aca="false">IF(B767&gt;=5,AVERAGE(C763:C766),"")</f>
        <v>39</v>
      </c>
      <c r="F767" s="33" t="n">
        <f aca="false">IF(B767&gt;=9,AVERAGE(C759:C766),"")</f>
        <v>39.875</v>
      </c>
      <c r="G767" s="33" t="n">
        <f aca="false">IF(B767=1,"",IF(B767=2,C766,SES_Alpha*C766+(1-SES_Alpha)*G766))</f>
        <v>40.1913906215066</v>
      </c>
      <c r="H767" s="33" t="n">
        <f aca="false">IF(D767="","",D767-C767)</f>
        <v>6</v>
      </c>
      <c r="I767" s="33" t="n">
        <f aca="false">IF(E767="","",E767-C767)</f>
        <v>5</v>
      </c>
      <c r="J767" s="33" t="n">
        <f aca="false">IF(F767="","",F767-C767)</f>
        <v>5.875</v>
      </c>
      <c r="K767" s="33" t="n">
        <f aca="false">IF(G767="","",G767-C767)</f>
        <v>6.19139062150661</v>
      </c>
      <c r="L767" s="33" t="n">
        <f aca="false">IF(H767="","",ABS(H767))</f>
        <v>6</v>
      </c>
      <c r="M767" s="33" t="n">
        <f aca="false">IF(I767="","",ABS(I767))</f>
        <v>5</v>
      </c>
      <c r="N767" s="33" t="n">
        <f aca="false">IF(J767="","",ABS(J767))</f>
        <v>5.875</v>
      </c>
      <c r="O767" s="33" t="n">
        <f aca="false">IF(K767="","",ABS(K767))</f>
        <v>6.19139062150661</v>
      </c>
      <c r="P767" s="34" t="str">
        <f aca="false">IF(B767&gt;=Eval_Start_Week,"YES","")</f>
        <v/>
      </c>
      <c r="Q767" s="34" t="str">
        <f aca="false">IF(AND(B767&gt;=Cal_Start_Week,B767&lt;=Cal_End_Week),"YES","")</f>
        <v>YES</v>
      </c>
    </row>
    <row r="768" customFormat="false" ht="15" hidden="false" customHeight="false" outlineLevel="0" collapsed="false">
      <c r="A768" s="31" t="str">
        <f aca="false">Demand_History!C768</f>
        <v>KIT-008</v>
      </c>
      <c r="B768" s="31" t="n">
        <f aca="false">Demand_History!A768</f>
        <v>39</v>
      </c>
      <c r="C768" s="32" t="n">
        <f aca="false">Demand_History!D768</f>
        <v>37</v>
      </c>
      <c r="D768" s="33" t="n">
        <f aca="false">IF(B768&gt;=2,C767,"")</f>
        <v>34</v>
      </c>
      <c r="E768" s="33" t="n">
        <f aca="false">IF(B768&gt;=5,AVERAGE(C764:C767),"")</f>
        <v>38.5</v>
      </c>
      <c r="F768" s="33" t="n">
        <f aca="false">IF(B768&gt;=9,AVERAGE(C760:C767),"")</f>
        <v>39.5</v>
      </c>
      <c r="G768" s="33" t="n">
        <f aca="false">IF(B768=1,"",IF(B768=2,C767,SES_Alpha*C767+(1-SES_Alpha)*G767))</f>
        <v>38.3339734350546</v>
      </c>
      <c r="H768" s="33" t="n">
        <f aca="false">IF(D768="","",D768-C768)</f>
        <v>-3</v>
      </c>
      <c r="I768" s="33" t="n">
        <f aca="false">IF(E768="","",E768-C768)</f>
        <v>1.5</v>
      </c>
      <c r="J768" s="33" t="n">
        <f aca="false">IF(F768="","",F768-C768)</f>
        <v>2.5</v>
      </c>
      <c r="K768" s="33" t="n">
        <f aca="false">IF(G768="","",G768-C768)</f>
        <v>1.33397343505463</v>
      </c>
      <c r="L768" s="33" t="n">
        <f aca="false">IF(H768="","",ABS(H768))</f>
        <v>3</v>
      </c>
      <c r="M768" s="33" t="n">
        <f aca="false">IF(I768="","",ABS(I768))</f>
        <v>1.5</v>
      </c>
      <c r="N768" s="33" t="n">
        <f aca="false">IF(J768="","",ABS(J768))</f>
        <v>2.5</v>
      </c>
      <c r="O768" s="33" t="n">
        <f aca="false">IF(K768="","",ABS(K768))</f>
        <v>1.33397343505463</v>
      </c>
      <c r="P768" s="34" t="str">
        <f aca="false">IF(B768&gt;=Eval_Start_Week,"YES","")</f>
        <v/>
      </c>
      <c r="Q768" s="34" t="str">
        <f aca="false">IF(AND(B768&gt;=Cal_Start_Week,B768&lt;=Cal_End_Week),"YES","")</f>
        <v>YES</v>
      </c>
    </row>
    <row r="769" customFormat="false" ht="15" hidden="false" customHeight="false" outlineLevel="0" collapsed="false">
      <c r="A769" s="31" t="str">
        <f aca="false">Demand_History!C769</f>
        <v>KIT-008</v>
      </c>
      <c r="B769" s="31" t="n">
        <f aca="false">Demand_History!A769</f>
        <v>40</v>
      </c>
      <c r="C769" s="32" t="n">
        <f aca="false">Demand_History!D769</f>
        <v>42</v>
      </c>
      <c r="D769" s="33" t="n">
        <f aca="false">IF(B769&gt;=2,C768,"")</f>
        <v>37</v>
      </c>
      <c r="E769" s="33" t="n">
        <f aca="false">IF(B769&gt;=5,AVERAGE(C765:C768),"")</f>
        <v>37.5</v>
      </c>
      <c r="F769" s="33" t="n">
        <f aca="false">IF(B769&gt;=9,AVERAGE(C761:C768),"")</f>
        <v>40.625</v>
      </c>
      <c r="G769" s="33" t="n">
        <f aca="false">IF(B769=1,"",IF(B769=2,C768,SES_Alpha*C768+(1-SES_Alpha)*G768))</f>
        <v>37.9337814045382</v>
      </c>
      <c r="H769" s="33" t="n">
        <f aca="false">IF(D769="","",D769-C769)</f>
        <v>-5</v>
      </c>
      <c r="I769" s="33" t="n">
        <f aca="false">IF(E769="","",E769-C769)</f>
        <v>-4.5</v>
      </c>
      <c r="J769" s="33" t="n">
        <f aca="false">IF(F769="","",F769-C769)</f>
        <v>-1.375</v>
      </c>
      <c r="K769" s="33" t="n">
        <f aca="false">IF(G769="","",G769-C769)</f>
        <v>-4.06621859546176</v>
      </c>
      <c r="L769" s="33" t="n">
        <f aca="false">IF(H769="","",ABS(H769))</f>
        <v>5</v>
      </c>
      <c r="M769" s="33" t="n">
        <f aca="false">IF(I769="","",ABS(I769))</f>
        <v>4.5</v>
      </c>
      <c r="N769" s="33" t="n">
        <f aca="false">IF(J769="","",ABS(J769))</f>
        <v>1.375</v>
      </c>
      <c r="O769" s="33" t="n">
        <f aca="false">IF(K769="","",ABS(K769))</f>
        <v>4.06621859546176</v>
      </c>
      <c r="P769" s="34" t="str">
        <f aca="false">IF(B769&gt;=Eval_Start_Week,"YES","")</f>
        <v/>
      </c>
      <c r="Q769" s="34" t="str">
        <f aca="false">IF(AND(B769&gt;=Cal_Start_Week,B769&lt;=Cal_End_Week),"YES","")</f>
        <v>YES</v>
      </c>
    </row>
    <row r="770" customFormat="false" ht="15" hidden="false" customHeight="false" outlineLevel="0" collapsed="false">
      <c r="A770" s="31" t="str">
        <f aca="false">Demand_History!C770</f>
        <v>KIT-008</v>
      </c>
      <c r="B770" s="31" t="n">
        <f aca="false">Demand_History!A770</f>
        <v>41</v>
      </c>
      <c r="C770" s="32" t="n">
        <f aca="false">Demand_History!D770</f>
        <v>41</v>
      </c>
      <c r="D770" s="33" t="n">
        <f aca="false">IF(B770&gt;=2,C769,"")</f>
        <v>42</v>
      </c>
      <c r="E770" s="33" t="n">
        <f aca="false">IF(B770&gt;=5,AVERAGE(C766:C769),"")</f>
        <v>38.25</v>
      </c>
      <c r="F770" s="33" t="n">
        <f aca="false">IF(B770&gt;=9,AVERAGE(C762:C769),"")</f>
        <v>39.5</v>
      </c>
      <c r="G770" s="33" t="n">
        <f aca="false">IF(B770=1,"",IF(B770=2,C769,SES_Alpha*C769+(1-SES_Alpha)*G769))</f>
        <v>39.1536469831768</v>
      </c>
      <c r="H770" s="33" t="n">
        <f aca="false">IF(D770="","",D770-C770)</f>
        <v>1</v>
      </c>
      <c r="I770" s="33" t="n">
        <f aca="false">IF(E770="","",E770-C770)</f>
        <v>-2.75</v>
      </c>
      <c r="J770" s="33" t="n">
        <f aca="false">IF(F770="","",F770-C770)</f>
        <v>-1.5</v>
      </c>
      <c r="K770" s="33" t="n">
        <f aca="false">IF(G770="","",G770-C770)</f>
        <v>-1.84635301682324</v>
      </c>
      <c r="L770" s="33" t="n">
        <f aca="false">IF(H770="","",ABS(H770))</f>
        <v>1</v>
      </c>
      <c r="M770" s="33" t="n">
        <f aca="false">IF(I770="","",ABS(I770))</f>
        <v>2.75</v>
      </c>
      <c r="N770" s="33" t="n">
        <f aca="false">IF(J770="","",ABS(J770))</f>
        <v>1.5</v>
      </c>
      <c r="O770" s="33" t="n">
        <f aca="false">IF(K770="","",ABS(K770))</f>
        <v>1.84635301682324</v>
      </c>
      <c r="P770" s="34" t="str">
        <f aca="false">IF(B770&gt;=Eval_Start_Week,"YES","")</f>
        <v/>
      </c>
      <c r="Q770" s="34" t="str">
        <f aca="false">IF(AND(B770&gt;=Cal_Start_Week,B770&lt;=Cal_End_Week),"YES","")</f>
        <v>YES</v>
      </c>
    </row>
    <row r="771" customFormat="false" ht="15" hidden="false" customHeight="false" outlineLevel="0" collapsed="false">
      <c r="A771" s="31" t="str">
        <f aca="false">Demand_History!C771</f>
        <v>KIT-008</v>
      </c>
      <c r="B771" s="31" t="n">
        <f aca="false">Demand_History!A771</f>
        <v>42</v>
      </c>
      <c r="C771" s="32" t="n">
        <f aca="false">Demand_History!D771</f>
        <v>45</v>
      </c>
      <c r="D771" s="33" t="n">
        <f aca="false">IF(B771&gt;=2,C770,"")</f>
        <v>41</v>
      </c>
      <c r="E771" s="33" t="n">
        <f aca="false">IF(B771&gt;=5,AVERAGE(C767:C770),"")</f>
        <v>38.5</v>
      </c>
      <c r="F771" s="33" t="n">
        <f aca="false">IF(B771&gt;=9,AVERAGE(C763:C770),"")</f>
        <v>38.75</v>
      </c>
      <c r="G771" s="33" t="n">
        <f aca="false">IF(B771=1,"",IF(B771=2,C770,SES_Alpha*C770+(1-SES_Alpha)*G770))</f>
        <v>39.7075528882237</v>
      </c>
      <c r="H771" s="33" t="n">
        <f aca="false">IF(D771="","",D771-C771)</f>
        <v>-4</v>
      </c>
      <c r="I771" s="33" t="n">
        <f aca="false">IF(E771="","",E771-C771)</f>
        <v>-6.5</v>
      </c>
      <c r="J771" s="33" t="n">
        <f aca="false">IF(F771="","",F771-C771)</f>
        <v>-6.25</v>
      </c>
      <c r="K771" s="33" t="n">
        <f aca="false">IF(G771="","",G771-C771)</f>
        <v>-5.29244711177627</v>
      </c>
      <c r="L771" s="33" t="n">
        <f aca="false">IF(H771="","",ABS(H771))</f>
        <v>4</v>
      </c>
      <c r="M771" s="33" t="n">
        <f aca="false">IF(I771="","",ABS(I771))</f>
        <v>6.5</v>
      </c>
      <c r="N771" s="33" t="n">
        <f aca="false">IF(J771="","",ABS(J771))</f>
        <v>6.25</v>
      </c>
      <c r="O771" s="33" t="n">
        <f aca="false">IF(K771="","",ABS(K771))</f>
        <v>5.29244711177627</v>
      </c>
      <c r="P771" s="34" t="str">
        <f aca="false">IF(B771&gt;=Eval_Start_Week,"YES","")</f>
        <v/>
      </c>
      <c r="Q771" s="34" t="str">
        <f aca="false">IF(AND(B771&gt;=Cal_Start_Week,B771&lt;=Cal_End_Week),"YES","")</f>
        <v>YES</v>
      </c>
    </row>
    <row r="772" customFormat="false" ht="15" hidden="false" customHeight="false" outlineLevel="0" collapsed="false">
      <c r="A772" s="31" t="str">
        <f aca="false">Demand_History!C772</f>
        <v>KIT-008</v>
      </c>
      <c r="B772" s="31" t="n">
        <f aca="false">Demand_History!A772</f>
        <v>43</v>
      </c>
      <c r="C772" s="32" t="n">
        <f aca="false">Demand_History!D772</f>
        <v>40</v>
      </c>
      <c r="D772" s="33" t="n">
        <f aca="false">IF(B772&gt;=2,C771,"")</f>
        <v>45</v>
      </c>
      <c r="E772" s="33" t="n">
        <f aca="false">IF(B772&gt;=5,AVERAGE(C768:C771),"")</f>
        <v>41.25</v>
      </c>
      <c r="F772" s="33" t="n">
        <f aca="false">IF(B772&gt;=9,AVERAGE(C764:C771),"")</f>
        <v>39.875</v>
      </c>
      <c r="G772" s="33" t="n">
        <f aca="false">IF(B772=1,"",IF(B772=2,C771,SES_Alpha*C771+(1-SES_Alpha)*G771))</f>
        <v>41.2952870217566</v>
      </c>
      <c r="H772" s="33" t="n">
        <f aca="false">IF(D772="","",D772-C772)</f>
        <v>5</v>
      </c>
      <c r="I772" s="33" t="n">
        <f aca="false">IF(E772="","",E772-C772)</f>
        <v>1.25</v>
      </c>
      <c r="J772" s="33" t="n">
        <f aca="false">IF(F772="","",F772-C772)</f>
        <v>-0.125</v>
      </c>
      <c r="K772" s="33" t="n">
        <f aca="false">IF(G772="","",G772-C772)</f>
        <v>1.29528702175661</v>
      </c>
      <c r="L772" s="33" t="n">
        <f aca="false">IF(H772="","",ABS(H772))</f>
        <v>5</v>
      </c>
      <c r="M772" s="33" t="n">
        <f aca="false">IF(I772="","",ABS(I772))</f>
        <v>1.25</v>
      </c>
      <c r="N772" s="33" t="n">
        <f aca="false">IF(J772="","",ABS(J772))</f>
        <v>0.125</v>
      </c>
      <c r="O772" s="33" t="n">
        <f aca="false">IF(K772="","",ABS(K772))</f>
        <v>1.29528702175661</v>
      </c>
      <c r="P772" s="34" t="str">
        <f aca="false">IF(B772&gt;=Eval_Start_Week,"YES","")</f>
        <v/>
      </c>
      <c r="Q772" s="34" t="str">
        <f aca="false">IF(AND(B772&gt;=Cal_Start_Week,B772&lt;=Cal_End_Week),"YES","")</f>
        <v>YES</v>
      </c>
    </row>
    <row r="773" customFormat="false" ht="15" hidden="false" customHeight="false" outlineLevel="0" collapsed="false">
      <c r="A773" s="31" t="str">
        <f aca="false">Demand_History!C773</f>
        <v>KIT-008</v>
      </c>
      <c r="B773" s="31" t="n">
        <f aca="false">Demand_History!A773</f>
        <v>44</v>
      </c>
      <c r="C773" s="32" t="n">
        <f aca="false">Demand_History!D773</f>
        <v>50</v>
      </c>
      <c r="D773" s="33" t="n">
        <f aca="false">IF(B773&gt;=2,C772,"")</f>
        <v>40</v>
      </c>
      <c r="E773" s="33" t="n">
        <f aca="false">IF(B773&gt;=5,AVERAGE(C769:C772),"")</f>
        <v>42</v>
      </c>
      <c r="F773" s="33" t="n">
        <f aca="false">IF(B773&gt;=9,AVERAGE(C765:C772),"")</f>
        <v>39.75</v>
      </c>
      <c r="G773" s="33" t="n">
        <f aca="false">IF(B773=1,"",IF(B773=2,C772,SES_Alpha*C772+(1-SES_Alpha)*G772))</f>
        <v>40.9067009152296</v>
      </c>
      <c r="H773" s="33" t="n">
        <f aca="false">IF(D773="","",D773-C773)</f>
        <v>-10</v>
      </c>
      <c r="I773" s="33" t="n">
        <f aca="false">IF(E773="","",E773-C773)</f>
        <v>-8</v>
      </c>
      <c r="J773" s="33" t="n">
        <f aca="false">IF(F773="","",F773-C773)</f>
        <v>-10.25</v>
      </c>
      <c r="K773" s="33" t="n">
        <f aca="false">IF(G773="","",G773-C773)</f>
        <v>-9.09329908477038</v>
      </c>
      <c r="L773" s="33" t="n">
        <f aca="false">IF(H773="","",ABS(H773))</f>
        <v>10</v>
      </c>
      <c r="M773" s="33" t="n">
        <f aca="false">IF(I773="","",ABS(I773))</f>
        <v>8</v>
      </c>
      <c r="N773" s="33" t="n">
        <f aca="false">IF(J773="","",ABS(J773))</f>
        <v>10.25</v>
      </c>
      <c r="O773" s="33" t="n">
        <f aca="false">IF(K773="","",ABS(K773))</f>
        <v>9.09329908477038</v>
      </c>
      <c r="P773" s="34" t="str">
        <f aca="false">IF(B773&gt;=Eval_Start_Week,"YES","")</f>
        <v/>
      </c>
      <c r="Q773" s="34" t="str">
        <f aca="false">IF(AND(B773&gt;=Cal_Start_Week,B773&lt;=Cal_End_Week),"YES","")</f>
        <v>YES</v>
      </c>
    </row>
    <row r="774" customFormat="false" ht="15" hidden="false" customHeight="false" outlineLevel="0" collapsed="false">
      <c r="A774" s="31" t="str">
        <f aca="false">Demand_History!C774</f>
        <v>KIT-008</v>
      </c>
      <c r="B774" s="31" t="n">
        <f aca="false">Demand_History!A774</f>
        <v>45</v>
      </c>
      <c r="C774" s="32" t="n">
        <f aca="false">Demand_History!D774</f>
        <v>37</v>
      </c>
      <c r="D774" s="33" t="n">
        <f aca="false">IF(B774&gt;=2,C773,"")</f>
        <v>50</v>
      </c>
      <c r="E774" s="33" t="n">
        <f aca="false">IF(B774&gt;=5,AVERAGE(C770:C773),"")</f>
        <v>44</v>
      </c>
      <c r="F774" s="33" t="n">
        <f aca="false">IF(B774&gt;=9,AVERAGE(C766:C773),"")</f>
        <v>41.125</v>
      </c>
      <c r="G774" s="33" t="n">
        <f aca="false">IF(B774=1,"",IF(B774=2,C773,SES_Alpha*C773+(1-SES_Alpha)*G773))</f>
        <v>43.6346906406607</v>
      </c>
      <c r="H774" s="33" t="n">
        <f aca="false">IF(D774="","",D774-C774)</f>
        <v>13</v>
      </c>
      <c r="I774" s="33" t="n">
        <f aca="false">IF(E774="","",E774-C774)</f>
        <v>7</v>
      </c>
      <c r="J774" s="33" t="n">
        <f aca="false">IF(F774="","",F774-C774)</f>
        <v>4.125</v>
      </c>
      <c r="K774" s="33" t="n">
        <f aca="false">IF(G774="","",G774-C774)</f>
        <v>6.63469064066074</v>
      </c>
      <c r="L774" s="33" t="n">
        <f aca="false">IF(H774="","",ABS(H774))</f>
        <v>13</v>
      </c>
      <c r="M774" s="33" t="n">
        <f aca="false">IF(I774="","",ABS(I774))</f>
        <v>7</v>
      </c>
      <c r="N774" s="33" t="n">
        <f aca="false">IF(J774="","",ABS(J774))</f>
        <v>4.125</v>
      </c>
      <c r="O774" s="33" t="n">
        <f aca="false">IF(K774="","",ABS(K774))</f>
        <v>6.63469064066074</v>
      </c>
      <c r="P774" s="34" t="str">
        <f aca="false">IF(B774&gt;=Eval_Start_Week,"YES","")</f>
        <v/>
      </c>
      <c r="Q774" s="34" t="str">
        <f aca="false">IF(AND(B774&gt;=Cal_Start_Week,B774&lt;=Cal_End_Week),"YES","")</f>
        <v>YES</v>
      </c>
    </row>
    <row r="775" customFormat="false" ht="15" hidden="false" customHeight="false" outlineLevel="0" collapsed="false">
      <c r="A775" s="31" t="str">
        <f aca="false">Demand_History!C775</f>
        <v>KIT-008</v>
      </c>
      <c r="B775" s="31" t="n">
        <f aca="false">Demand_History!A775</f>
        <v>46</v>
      </c>
      <c r="C775" s="32" t="n">
        <f aca="false">Demand_History!D775</f>
        <v>41</v>
      </c>
      <c r="D775" s="33" t="n">
        <f aca="false">IF(B775&gt;=2,C774,"")</f>
        <v>37</v>
      </c>
      <c r="E775" s="33" t="n">
        <f aca="false">IF(B775&gt;=5,AVERAGE(C771:C774),"")</f>
        <v>43</v>
      </c>
      <c r="F775" s="33" t="n">
        <f aca="false">IF(B775&gt;=9,AVERAGE(C767:C774),"")</f>
        <v>40.75</v>
      </c>
      <c r="G775" s="33" t="n">
        <f aca="false">IF(B775=1,"",IF(B775=2,C774,SES_Alpha*C774+(1-SES_Alpha)*G774))</f>
        <v>41.6442834484625</v>
      </c>
      <c r="H775" s="33" t="n">
        <f aca="false">IF(D775="","",D775-C775)</f>
        <v>-4</v>
      </c>
      <c r="I775" s="33" t="n">
        <f aca="false">IF(E775="","",E775-C775)</f>
        <v>2</v>
      </c>
      <c r="J775" s="33" t="n">
        <f aca="false">IF(F775="","",F775-C775)</f>
        <v>-0.25</v>
      </c>
      <c r="K775" s="33" t="n">
        <f aca="false">IF(G775="","",G775-C775)</f>
        <v>0.64428344846251</v>
      </c>
      <c r="L775" s="33" t="n">
        <f aca="false">IF(H775="","",ABS(H775))</f>
        <v>4</v>
      </c>
      <c r="M775" s="33" t="n">
        <f aca="false">IF(I775="","",ABS(I775))</f>
        <v>2</v>
      </c>
      <c r="N775" s="33" t="n">
        <f aca="false">IF(J775="","",ABS(J775))</f>
        <v>0.25</v>
      </c>
      <c r="O775" s="33" t="n">
        <f aca="false">IF(K775="","",ABS(K775))</f>
        <v>0.64428344846251</v>
      </c>
      <c r="P775" s="34" t="str">
        <f aca="false">IF(B775&gt;=Eval_Start_Week,"YES","")</f>
        <v/>
      </c>
      <c r="Q775" s="34" t="str">
        <f aca="false">IF(AND(B775&gt;=Cal_Start_Week,B775&lt;=Cal_End_Week),"YES","")</f>
        <v>YES</v>
      </c>
    </row>
    <row r="776" customFormat="false" ht="15" hidden="false" customHeight="false" outlineLevel="0" collapsed="false">
      <c r="A776" s="31" t="str">
        <f aca="false">Demand_History!C776</f>
        <v>KIT-008</v>
      </c>
      <c r="B776" s="31" t="n">
        <f aca="false">Demand_History!A776</f>
        <v>47</v>
      </c>
      <c r="C776" s="32" t="n">
        <f aca="false">Demand_History!D776</f>
        <v>32</v>
      </c>
      <c r="D776" s="33" t="n">
        <f aca="false">IF(B776&gt;=2,C775,"")</f>
        <v>41</v>
      </c>
      <c r="E776" s="33" t="n">
        <f aca="false">IF(B776&gt;=5,AVERAGE(C772:C775),"")</f>
        <v>42</v>
      </c>
      <c r="F776" s="33" t="n">
        <f aca="false">IF(B776&gt;=9,AVERAGE(C768:C775),"")</f>
        <v>41.625</v>
      </c>
      <c r="G776" s="33" t="n">
        <f aca="false">IF(B776=1,"",IF(B776=2,C775,SES_Alpha*C775+(1-SES_Alpha)*G775))</f>
        <v>41.4509984139238</v>
      </c>
      <c r="H776" s="33" t="n">
        <f aca="false">IF(D776="","",D776-C776)</f>
        <v>9</v>
      </c>
      <c r="I776" s="33" t="n">
        <f aca="false">IF(E776="","",E776-C776)</f>
        <v>10</v>
      </c>
      <c r="J776" s="33" t="n">
        <f aca="false">IF(F776="","",F776-C776)</f>
        <v>9.625</v>
      </c>
      <c r="K776" s="33" t="n">
        <f aca="false">IF(G776="","",G776-C776)</f>
        <v>9.45099841392376</v>
      </c>
      <c r="L776" s="33" t="n">
        <f aca="false">IF(H776="","",ABS(H776))</f>
        <v>9</v>
      </c>
      <c r="M776" s="33" t="n">
        <f aca="false">IF(I776="","",ABS(I776))</f>
        <v>10</v>
      </c>
      <c r="N776" s="33" t="n">
        <f aca="false">IF(J776="","",ABS(J776))</f>
        <v>9.625</v>
      </c>
      <c r="O776" s="33" t="n">
        <f aca="false">IF(K776="","",ABS(K776))</f>
        <v>9.45099841392376</v>
      </c>
      <c r="P776" s="34" t="str">
        <f aca="false">IF(B776&gt;=Eval_Start_Week,"YES","")</f>
        <v/>
      </c>
      <c r="Q776" s="34" t="str">
        <f aca="false">IF(AND(B776&gt;=Cal_Start_Week,B776&lt;=Cal_End_Week),"YES","")</f>
        <v>YES</v>
      </c>
    </row>
    <row r="777" customFormat="false" ht="15" hidden="false" customHeight="false" outlineLevel="0" collapsed="false">
      <c r="A777" s="31" t="str">
        <f aca="false">Demand_History!C777</f>
        <v>KIT-008</v>
      </c>
      <c r="B777" s="31" t="n">
        <f aca="false">Demand_History!A777</f>
        <v>48</v>
      </c>
      <c r="C777" s="32" t="n">
        <f aca="false">Demand_History!D777</f>
        <v>35</v>
      </c>
      <c r="D777" s="33" t="n">
        <f aca="false">IF(B777&gt;=2,C776,"")</f>
        <v>32</v>
      </c>
      <c r="E777" s="33" t="n">
        <f aca="false">IF(B777&gt;=5,AVERAGE(C773:C776),"")</f>
        <v>40</v>
      </c>
      <c r="F777" s="33" t="n">
        <f aca="false">IF(B777&gt;=9,AVERAGE(C769:C776),"")</f>
        <v>41</v>
      </c>
      <c r="G777" s="33" t="n">
        <f aca="false">IF(B777=1,"",IF(B777=2,C776,SES_Alpha*C776+(1-SES_Alpha)*G776))</f>
        <v>38.6156988897466</v>
      </c>
      <c r="H777" s="33" t="n">
        <f aca="false">IF(D777="","",D777-C777)</f>
        <v>-3</v>
      </c>
      <c r="I777" s="33" t="n">
        <f aca="false">IF(E777="","",E777-C777)</f>
        <v>5</v>
      </c>
      <c r="J777" s="33" t="n">
        <f aca="false">IF(F777="","",F777-C777)</f>
        <v>6</v>
      </c>
      <c r="K777" s="33" t="n">
        <f aca="false">IF(G777="","",G777-C777)</f>
        <v>3.61569888974663</v>
      </c>
      <c r="L777" s="33" t="n">
        <f aca="false">IF(H777="","",ABS(H777))</f>
        <v>3</v>
      </c>
      <c r="M777" s="33" t="n">
        <f aca="false">IF(I777="","",ABS(I777))</f>
        <v>5</v>
      </c>
      <c r="N777" s="33" t="n">
        <f aca="false">IF(J777="","",ABS(J777))</f>
        <v>6</v>
      </c>
      <c r="O777" s="33" t="n">
        <f aca="false">IF(K777="","",ABS(K777))</f>
        <v>3.61569888974663</v>
      </c>
      <c r="P777" s="34" t="str">
        <f aca="false">IF(B777&gt;=Eval_Start_Week,"YES","")</f>
        <v/>
      </c>
      <c r="Q777" s="34" t="str">
        <f aca="false">IF(AND(B777&gt;=Cal_Start_Week,B777&lt;=Cal_End_Week),"YES","")</f>
        <v>YES</v>
      </c>
    </row>
    <row r="778" customFormat="false" ht="15" hidden="false" customHeight="false" outlineLevel="0" collapsed="false">
      <c r="A778" s="31" t="str">
        <f aca="false">Demand_History!C778</f>
        <v>KIT-008</v>
      </c>
      <c r="B778" s="31" t="n">
        <f aca="false">Demand_History!A778</f>
        <v>49</v>
      </c>
      <c r="C778" s="32" t="n">
        <f aca="false">Demand_History!D778</f>
        <v>46</v>
      </c>
      <c r="D778" s="33" t="n">
        <f aca="false">IF(B778&gt;=2,C777,"")</f>
        <v>35</v>
      </c>
      <c r="E778" s="33" t="n">
        <f aca="false">IF(B778&gt;=5,AVERAGE(C774:C777),"")</f>
        <v>36.25</v>
      </c>
      <c r="F778" s="33" t="n">
        <f aca="false">IF(B778&gt;=9,AVERAGE(C770:C777),"")</f>
        <v>40.125</v>
      </c>
      <c r="G778" s="33" t="n">
        <f aca="false">IF(B778=1,"",IF(B778=2,C777,SES_Alpha*C777+(1-SES_Alpha)*G777))</f>
        <v>37.5309892228226</v>
      </c>
      <c r="H778" s="33" t="n">
        <f aca="false">IF(D778="","",D778-C778)</f>
        <v>-11</v>
      </c>
      <c r="I778" s="33" t="n">
        <f aca="false">IF(E778="","",E778-C778)</f>
        <v>-9.75</v>
      </c>
      <c r="J778" s="33" t="n">
        <f aca="false">IF(F778="","",F778-C778)</f>
        <v>-5.875</v>
      </c>
      <c r="K778" s="33" t="n">
        <f aca="false">IF(G778="","",G778-C778)</f>
        <v>-8.46901077717736</v>
      </c>
      <c r="L778" s="33" t="n">
        <f aca="false">IF(H778="","",ABS(H778))</f>
        <v>11</v>
      </c>
      <c r="M778" s="33" t="n">
        <f aca="false">IF(I778="","",ABS(I778))</f>
        <v>9.75</v>
      </c>
      <c r="N778" s="33" t="n">
        <f aca="false">IF(J778="","",ABS(J778))</f>
        <v>5.875</v>
      </c>
      <c r="O778" s="33" t="n">
        <f aca="false">IF(K778="","",ABS(K778))</f>
        <v>8.46901077717736</v>
      </c>
      <c r="P778" s="34" t="str">
        <f aca="false">IF(B778&gt;=Eval_Start_Week,"YES","")</f>
        <v/>
      </c>
      <c r="Q778" s="34" t="str">
        <f aca="false">IF(AND(B778&gt;=Cal_Start_Week,B778&lt;=Cal_End_Week),"YES","")</f>
        <v>YES</v>
      </c>
    </row>
    <row r="779" customFormat="false" ht="15" hidden="false" customHeight="false" outlineLevel="0" collapsed="false">
      <c r="A779" s="31" t="str">
        <f aca="false">Demand_History!C779</f>
        <v>KIT-008</v>
      </c>
      <c r="B779" s="31" t="n">
        <f aca="false">Demand_History!A779</f>
        <v>50</v>
      </c>
      <c r="C779" s="32" t="n">
        <f aca="false">Demand_History!D779</f>
        <v>36</v>
      </c>
      <c r="D779" s="33" t="n">
        <f aca="false">IF(B779&gt;=2,C778,"")</f>
        <v>46</v>
      </c>
      <c r="E779" s="33" t="n">
        <f aca="false">IF(B779&gt;=5,AVERAGE(C775:C778),"")</f>
        <v>38.5</v>
      </c>
      <c r="F779" s="33" t="n">
        <f aca="false">IF(B779&gt;=9,AVERAGE(C771:C778),"")</f>
        <v>40.75</v>
      </c>
      <c r="G779" s="33" t="n">
        <f aca="false">IF(B779=1,"",IF(B779=2,C778,SES_Alpha*C778+(1-SES_Alpha)*G778))</f>
        <v>40.0716924559758</v>
      </c>
      <c r="H779" s="33" t="n">
        <f aca="false">IF(D779="","",D779-C779)</f>
        <v>10</v>
      </c>
      <c r="I779" s="33" t="n">
        <f aca="false">IF(E779="","",E779-C779)</f>
        <v>2.5</v>
      </c>
      <c r="J779" s="33" t="n">
        <f aca="false">IF(F779="","",F779-C779)</f>
        <v>4.75</v>
      </c>
      <c r="K779" s="33" t="n">
        <f aca="false">IF(G779="","",G779-C779)</f>
        <v>4.07169245597584</v>
      </c>
      <c r="L779" s="33" t="n">
        <f aca="false">IF(H779="","",ABS(H779))</f>
        <v>10</v>
      </c>
      <c r="M779" s="33" t="n">
        <f aca="false">IF(I779="","",ABS(I779))</f>
        <v>2.5</v>
      </c>
      <c r="N779" s="33" t="n">
        <f aca="false">IF(J779="","",ABS(J779))</f>
        <v>4.75</v>
      </c>
      <c r="O779" s="33" t="n">
        <f aca="false">IF(K779="","",ABS(K779))</f>
        <v>4.07169245597584</v>
      </c>
      <c r="P779" s="34" t="str">
        <f aca="false">IF(B779&gt;=Eval_Start_Week,"YES","")</f>
        <v/>
      </c>
      <c r="Q779" s="34" t="str">
        <f aca="false">IF(AND(B779&gt;=Cal_Start_Week,B779&lt;=Cal_End_Week),"YES","")</f>
        <v>YES</v>
      </c>
    </row>
    <row r="780" customFormat="false" ht="15" hidden="false" customHeight="false" outlineLevel="0" collapsed="false">
      <c r="A780" s="31" t="str">
        <f aca="false">Demand_History!C780</f>
        <v>KIT-008</v>
      </c>
      <c r="B780" s="31" t="n">
        <f aca="false">Demand_History!A780</f>
        <v>51</v>
      </c>
      <c r="C780" s="32" t="n">
        <f aca="false">Demand_History!D780</f>
        <v>42</v>
      </c>
      <c r="D780" s="33" t="n">
        <f aca="false">IF(B780&gt;=2,C779,"")</f>
        <v>36</v>
      </c>
      <c r="E780" s="33" t="n">
        <f aca="false">IF(B780&gt;=5,AVERAGE(C776:C779),"")</f>
        <v>37.25</v>
      </c>
      <c r="F780" s="33" t="n">
        <f aca="false">IF(B780&gt;=9,AVERAGE(C772:C779),"")</f>
        <v>39.625</v>
      </c>
      <c r="G780" s="33" t="n">
        <f aca="false">IF(B780=1,"",IF(B780=2,C779,SES_Alpha*C779+(1-SES_Alpha)*G779))</f>
        <v>38.8501847191831</v>
      </c>
      <c r="H780" s="33" t="n">
        <f aca="false">IF(D780="","",D780-C780)</f>
        <v>-6</v>
      </c>
      <c r="I780" s="33" t="n">
        <f aca="false">IF(E780="","",E780-C780)</f>
        <v>-4.75</v>
      </c>
      <c r="J780" s="33" t="n">
        <f aca="false">IF(F780="","",F780-C780)</f>
        <v>-2.375</v>
      </c>
      <c r="K780" s="33" t="n">
        <f aca="false">IF(G780="","",G780-C780)</f>
        <v>-3.14981528081692</v>
      </c>
      <c r="L780" s="33" t="n">
        <f aca="false">IF(H780="","",ABS(H780))</f>
        <v>6</v>
      </c>
      <c r="M780" s="33" t="n">
        <f aca="false">IF(I780="","",ABS(I780))</f>
        <v>4.75</v>
      </c>
      <c r="N780" s="33" t="n">
        <f aca="false">IF(J780="","",ABS(J780))</f>
        <v>2.375</v>
      </c>
      <c r="O780" s="33" t="n">
        <f aca="false">IF(K780="","",ABS(K780))</f>
        <v>3.14981528081692</v>
      </c>
      <c r="P780" s="34" t="str">
        <f aca="false">IF(B780&gt;=Eval_Start_Week,"YES","")</f>
        <v/>
      </c>
      <c r="Q780" s="34" t="str">
        <f aca="false">IF(AND(B780&gt;=Cal_Start_Week,B780&lt;=Cal_End_Week),"YES","")</f>
        <v>YES</v>
      </c>
    </row>
    <row r="781" customFormat="false" ht="15" hidden="false" customHeight="false" outlineLevel="0" collapsed="false">
      <c r="A781" s="31" t="str">
        <f aca="false">Demand_History!C781</f>
        <v>KIT-008</v>
      </c>
      <c r="B781" s="31" t="n">
        <f aca="false">Demand_History!A781</f>
        <v>52</v>
      </c>
      <c r="C781" s="32" t="n">
        <f aca="false">Demand_History!D781</f>
        <v>40</v>
      </c>
      <c r="D781" s="33" t="n">
        <f aca="false">IF(B781&gt;=2,C780,"")</f>
        <v>42</v>
      </c>
      <c r="E781" s="33" t="n">
        <f aca="false">IF(B781&gt;=5,AVERAGE(C777:C780),"")</f>
        <v>39.75</v>
      </c>
      <c r="F781" s="33" t="n">
        <f aca="false">IF(B781&gt;=9,AVERAGE(C773:C780),"")</f>
        <v>39.875</v>
      </c>
      <c r="G781" s="33" t="n">
        <f aca="false">IF(B781=1,"",IF(B781=2,C780,SES_Alpha*C780+(1-SES_Alpha)*G780))</f>
        <v>39.7951293034282</v>
      </c>
      <c r="H781" s="33" t="n">
        <f aca="false">IF(D781="","",D781-C781)</f>
        <v>2</v>
      </c>
      <c r="I781" s="33" t="n">
        <f aca="false">IF(E781="","",E781-C781)</f>
        <v>-0.25</v>
      </c>
      <c r="J781" s="33" t="n">
        <f aca="false">IF(F781="","",F781-C781)</f>
        <v>-0.125</v>
      </c>
      <c r="K781" s="33" t="n">
        <f aca="false">IF(G781="","",G781-C781)</f>
        <v>-0.204870696571845</v>
      </c>
      <c r="L781" s="33" t="n">
        <f aca="false">IF(H781="","",ABS(H781))</f>
        <v>2</v>
      </c>
      <c r="M781" s="33" t="n">
        <f aca="false">IF(I781="","",ABS(I781))</f>
        <v>0.25</v>
      </c>
      <c r="N781" s="33" t="n">
        <f aca="false">IF(J781="","",ABS(J781))</f>
        <v>0.125</v>
      </c>
      <c r="O781" s="33" t="n">
        <f aca="false">IF(K781="","",ABS(K781))</f>
        <v>0.204870696571845</v>
      </c>
      <c r="P781" s="34" t="str">
        <f aca="false">IF(B781&gt;=Eval_Start_Week,"YES","")</f>
        <v/>
      </c>
      <c r="Q781" s="34" t="str">
        <f aca="false">IF(AND(B781&gt;=Cal_Start_Week,B781&lt;=Cal_End_Week),"YES","")</f>
        <v>YES</v>
      </c>
    </row>
    <row r="782" customFormat="false" ht="15" hidden="false" customHeight="false" outlineLevel="0" collapsed="false">
      <c r="A782" s="31" t="str">
        <f aca="false">Demand_History!C782</f>
        <v>KIT-008</v>
      </c>
      <c r="B782" s="31" t="n">
        <f aca="false">Demand_History!A782</f>
        <v>53</v>
      </c>
      <c r="C782" s="32" t="n">
        <f aca="false">Demand_History!D782</f>
        <v>36</v>
      </c>
      <c r="D782" s="33" t="n">
        <f aca="false">IF(B782&gt;=2,C781,"")</f>
        <v>40</v>
      </c>
      <c r="E782" s="33" t="n">
        <f aca="false">IF(B782&gt;=5,AVERAGE(C778:C781),"")</f>
        <v>41</v>
      </c>
      <c r="F782" s="33" t="n">
        <f aca="false">IF(B782&gt;=9,AVERAGE(C774:C781),"")</f>
        <v>38.625</v>
      </c>
      <c r="G782" s="33" t="n">
        <f aca="false">IF(B782=1,"",IF(B782=2,C781,SES_Alpha*C781+(1-SES_Alpha)*G781))</f>
        <v>39.8565905123997</v>
      </c>
      <c r="H782" s="33" t="n">
        <f aca="false">IF(D782="","",D782-C782)</f>
        <v>4</v>
      </c>
      <c r="I782" s="33" t="n">
        <f aca="false">IF(E782="","",E782-C782)</f>
        <v>5</v>
      </c>
      <c r="J782" s="33" t="n">
        <f aca="false">IF(F782="","",F782-C782)</f>
        <v>2.625</v>
      </c>
      <c r="K782" s="33" t="n">
        <f aca="false">IF(G782="","",G782-C782)</f>
        <v>3.85659051239971</v>
      </c>
      <c r="L782" s="33" t="n">
        <f aca="false">IF(H782="","",ABS(H782))</f>
        <v>4</v>
      </c>
      <c r="M782" s="33" t="n">
        <f aca="false">IF(I782="","",ABS(I782))</f>
        <v>5</v>
      </c>
      <c r="N782" s="33" t="n">
        <f aca="false">IF(J782="","",ABS(J782))</f>
        <v>2.625</v>
      </c>
      <c r="O782" s="33" t="n">
        <f aca="false">IF(K782="","",ABS(K782))</f>
        <v>3.85659051239971</v>
      </c>
      <c r="P782" s="34" t="str">
        <f aca="false">IF(B782&gt;=Eval_Start_Week,"YES","")</f>
        <v>YES</v>
      </c>
      <c r="Q782" s="34" t="str">
        <f aca="false">IF(AND(B782&gt;=Cal_Start_Week,B782&lt;=Cal_End_Week),"YES","")</f>
        <v>YES</v>
      </c>
    </row>
    <row r="783" customFormat="false" ht="15" hidden="false" customHeight="false" outlineLevel="0" collapsed="false">
      <c r="A783" s="31" t="str">
        <f aca="false">Demand_History!C783</f>
        <v>KIT-008</v>
      </c>
      <c r="B783" s="31" t="n">
        <f aca="false">Demand_History!A783</f>
        <v>54</v>
      </c>
      <c r="C783" s="32" t="n">
        <f aca="false">Demand_History!D783</f>
        <v>39</v>
      </c>
      <c r="D783" s="33" t="n">
        <f aca="false">IF(B783&gt;=2,C782,"")</f>
        <v>36</v>
      </c>
      <c r="E783" s="33" t="n">
        <f aca="false">IF(B783&gt;=5,AVERAGE(C779:C782),"")</f>
        <v>38.5</v>
      </c>
      <c r="F783" s="33" t="n">
        <f aca="false">IF(B783&gt;=9,AVERAGE(C775:C782),"")</f>
        <v>38.5</v>
      </c>
      <c r="G783" s="33" t="n">
        <f aca="false">IF(B783=1,"",IF(B783=2,C782,SES_Alpha*C782+(1-SES_Alpha)*G782))</f>
        <v>38.6996133586798</v>
      </c>
      <c r="H783" s="33" t="n">
        <f aca="false">IF(D783="","",D783-C783)</f>
        <v>-3</v>
      </c>
      <c r="I783" s="33" t="n">
        <f aca="false">IF(E783="","",E783-C783)</f>
        <v>-0.5</v>
      </c>
      <c r="J783" s="33" t="n">
        <f aca="false">IF(F783="","",F783-C783)</f>
        <v>-0.5</v>
      </c>
      <c r="K783" s="33" t="n">
        <f aca="false">IF(G783="","",G783-C783)</f>
        <v>-0.300386641320209</v>
      </c>
      <c r="L783" s="33" t="n">
        <f aca="false">IF(H783="","",ABS(H783))</f>
        <v>3</v>
      </c>
      <c r="M783" s="33" t="n">
        <f aca="false">IF(I783="","",ABS(I783))</f>
        <v>0.5</v>
      </c>
      <c r="N783" s="33" t="n">
        <f aca="false">IF(J783="","",ABS(J783))</f>
        <v>0.5</v>
      </c>
      <c r="O783" s="33" t="n">
        <f aca="false">IF(K783="","",ABS(K783))</f>
        <v>0.300386641320209</v>
      </c>
      <c r="P783" s="34" t="str">
        <f aca="false">IF(B783&gt;=Eval_Start_Week,"YES","")</f>
        <v>YES</v>
      </c>
      <c r="Q783" s="34" t="str">
        <f aca="false">IF(AND(B783&gt;=Cal_Start_Week,B783&lt;=Cal_End_Week),"YES","")</f>
        <v>YES</v>
      </c>
    </row>
    <row r="784" customFormat="false" ht="15" hidden="false" customHeight="false" outlineLevel="0" collapsed="false">
      <c r="A784" s="31" t="str">
        <f aca="false">Demand_History!C784</f>
        <v>KIT-008</v>
      </c>
      <c r="B784" s="31" t="n">
        <f aca="false">Demand_History!A784</f>
        <v>55</v>
      </c>
      <c r="C784" s="32" t="n">
        <f aca="false">Demand_History!D784</f>
        <v>38</v>
      </c>
      <c r="D784" s="33" t="n">
        <f aca="false">IF(B784&gt;=2,C783,"")</f>
        <v>39</v>
      </c>
      <c r="E784" s="33" t="n">
        <f aca="false">IF(B784&gt;=5,AVERAGE(C780:C783),"")</f>
        <v>39.25</v>
      </c>
      <c r="F784" s="33" t="n">
        <f aca="false">IF(B784&gt;=9,AVERAGE(C776:C783),"")</f>
        <v>38.25</v>
      </c>
      <c r="G784" s="33" t="n">
        <f aca="false">IF(B784=1,"",IF(B784=2,C783,SES_Alpha*C783+(1-SES_Alpha)*G783))</f>
        <v>38.7897293510759</v>
      </c>
      <c r="H784" s="33" t="n">
        <f aca="false">IF(D784="","",D784-C784)</f>
        <v>1</v>
      </c>
      <c r="I784" s="33" t="n">
        <f aca="false">IF(E784="","",E784-C784)</f>
        <v>1.25</v>
      </c>
      <c r="J784" s="33" t="n">
        <f aca="false">IF(F784="","",F784-C784)</f>
        <v>0.25</v>
      </c>
      <c r="K784" s="33" t="n">
        <f aca="false">IF(G784="","",G784-C784)</f>
        <v>0.789729351075849</v>
      </c>
      <c r="L784" s="33" t="n">
        <f aca="false">IF(H784="","",ABS(H784))</f>
        <v>1</v>
      </c>
      <c r="M784" s="33" t="n">
        <f aca="false">IF(I784="","",ABS(I784))</f>
        <v>1.25</v>
      </c>
      <c r="N784" s="33" t="n">
        <f aca="false">IF(J784="","",ABS(J784))</f>
        <v>0.25</v>
      </c>
      <c r="O784" s="33" t="n">
        <f aca="false">IF(K784="","",ABS(K784))</f>
        <v>0.789729351075849</v>
      </c>
      <c r="P784" s="34" t="str">
        <f aca="false">IF(B784&gt;=Eval_Start_Week,"YES","")</f>
        <v>YES</v>
      </c>
      <c r="Q784" s="34" t="str">
        <f aca="false">IF(AND(B784&gt;=Cal_Start_Week,B784&lt;=Cal_End_Week),"YES","")</f>
        <v>YES</v>
      </c>
    </row>
    <row r="785" customFormat="false" ht="15" hidden="false" customHeight="false" outlineLevel="0" collapsed="false">
      <c r="A785" s="31" t="str">
        <f aca="false">Demand_History!C785</f>
        <v>KIT-008</v>
      </c>
      <c r="B785" s="31" t="n">
        <f aca="false">Demand_History!A785</f>
        <v>56</v>
      </c>
      <c r="C785" s="32" t="n">
        <f aca="false">Demand_History!D785</f>
        <v>38</v>
      </c>
      <c r="D785" s="33" t="n">
        <f aca="false">IF(B785&gt;=2,C784,"")</f>
        <v>38</v>
      </c>
      <c r="E785" s="33" t="n">
        <f aca="false">IF(B785&gt;=5,AVERAGE(C781:C784),"")</f>
        <v>38.25</v>
      </c>
      <c r="F785" s="33" t="n">
        <f aca="false">IF(B785&gt;=9,AVERAGE(C777:C784),"")</f>
        <v>39</v>
      </c>
      <c r="G785" s="33" t="n">
        <f aca="false">IF(B785=1,"",IF(B785=2,C784,SES_Alpha*C784+(1-SES_Alpha)*G784))</f>
        <v>38.5528105457531</v>
      </c>
      <c r="H785" s="33" t="n">
        <f aca="false">IF(D785="","",D785-C785)</f>
        <v>0</v>
      </c>
      <c r="I785" s="33" t="n">
        <f aca="false">IF(E785="","",E785-C785)</f>
        <v>0.25</v>
      </c>
      <c r="J785" s="33" t="n">
        <f aca="false">IF(F785="","",F785-C785)</f>
        <v>1</v>
      </c>
      <c r="K785" s="33" t="n">
        <f aca="false">IF(G785="","",G785-C785)</f>
        <v>0.55281054575309</v>
      </c>
      <c r="L785" s="33" t="n">
        <f aca="false">IF(H785="","",ABS(H785))</f>
        <v>0</v>
      </c>
      <c r="M785" s="33" t="n">
        <f aca="false">IF(I785="","",ABS(I785))</f>
        <v>0.25</v>
      </c>
      <c r="N785" s="33" t="n">
        <f aca="false">IF(J785="","",ABS(J785))</f>
        <v>1</v>
      </c>
      <c r="O785" s="33" t="n">
        <f aca="false">IF(K785="","",ABS(K785))</f>
        <v>0.55281054575309</v>
      </c>
      <c r="P785" s="34" t="str">
        <f aca="false">IF(B785&gt;=Eval_Start_Week,"YES","")</f>
        <v>YES</v>
      </c>
      <c r="Q785" s="34" t="str">
        <f aca="false">IF(AND(B785&gt;=Cal_Start_Week,B785&lt;=Cal_End_Week),"YES","")</f>
        <v>YES</v>
      </c>
    </row>
    <row r="786" customFormat="false" ht="15" hidden="false" customHeight="false" outlineLevel="0" collapsed="false">
      <c r="A786" s="31" t="str">
        <f aca="false">Demand_History!C786</f>
        <v>KIT-008</v>
      </c>
      <c r="B786" s="31" t="n">
        <f aca="false">Demand_History!A786</f>
        <v>57</v>
      </c>
      <c r="C786" s="32" t="n">
        <f aca="false">Demand_History!D786</f>
        <v>43</v>
      </c>
      <c r="D786" s="33" t="n">
        <f aca="false">IF(B786&gt;=2,C785,"")</f>
        <v>38</v>
      </c>
      <c r="E786" s="33" t="n">
        <f aca="false">IF(B786&gt;=5,AVERAGE(C782:C785),"")</f>
        <v>37.75</v>
      </c>
      <c r="F786" s="33" t="n">
        <f aca="false">IF(B786&gt;=9,AVERAGE(C778:C785),"")</f>
        <v>39.375</v>
      </c>
      <c r="G786" s="33" t="n">
        <f aca="false">IF(B786=1,"",IF(B786=2,C785,SES_Alpha*C785+(1-SES_Alpha)*G785))</f>
        <v>38.3869673820272</v>
      </c>
      <c r="H786" s="33" t="n">
        <f aca="false">IF(D786="","",D786-C786)</f>
        <v>-5</v>
      </c>
      <c r="I786" s="33" t="n">
        <f aca="false">IF(E786="","",E786-C786)</f>
        <v>-5.25</v>
      </c>
      <c r="J786" s="33" t="n">
        <f aca="false">IF(F786="","",F786-C786)</f>
        <v>-3.625</v>
      </c>
      <c r="K786" s="33" t="n">
        <f aca="false">IF(G786="","",G786-C786)</f>
        <v>-4.61303261797284</v>
      </c>
      <c r="L786" s="33" t="n">
        <f aca="false">IF(H786="","",ABS(H786))</f>
        <v>5</v>
      </c>
      <c r="M786" s="33" t="n">
        <f aca="false">IF(I786="","",ABS(I786))</f>
        <v>5.25</v>
      </c>
      <c r="N786" s="33" t="n">
        <f aca="false">IF(J786="","",ABS(J786))</f>
        <v>3.625</v>
      </c>
      <c r="O786" s="33" t="n">
        <f aca="false">IF(K786="","",ABS(K786))</f>
        <v>4.61303261797284</v>
      </c>
      <c r="P786" s="34" t="str">
        <f aca="false">IF(B786&gt;=Eval_Start_Week,"YES","")</f>
        <v>YES</v>
      </c>
      <c r="Q786" s="34" t="str">
        <f aca="false">IF(AND(B786&gt;=Cal_Start_Week,B786&lt;=Cal_End_Week),"YES","")</f>
        <v>YES</v>
      </c>
    </row>
    <row r="787" customFormat="false" ht="15" hidden="false" customHeight="false" outlineLevel="0" collapsed="false">
      <c r="A787" s="31" t="str">
        <f aca="false">Demand_History!C787</f>
        <v>KIT-008</v>
      </c>
      <c r="B787" s="31" t="n">
        <f aca="false">Demand_History!A787</f>
        <v>58</v>
      </c>
      <c r="C787" s="32" t="n">
        <f aca="false">Demand_History!D787</f>
        <v>43</v>
      </c>
      <c r="D787" s="33" t="n">
        <f aca="false">IF(B787&gt;=2,C786,"")</f>
        <v>43</v>
      </c>
      <c r="E787" s="33" t="n">
        <f aca="false">IF(B787&gt;=5,AVERAGE(C783:C786),"")</f>
        <v>39.5</v>
      </c>
      <c r="F787" s="33" t="n">
        <f aca="false">IF(B787&gt;=9,AVERAGE(C779:C786),"")</f>
        <v>39</v>
      </c>
      <c r="G787" s="33" t="n">
        <f aca="false">IF(B787=1,"",IF(B787=2,C786,SES_Alpha*C786+(1-SES_Alpha)*G786))</f>
        <v>39.770877167419</v>
      </c>
      <c r="H787" s="33" t="n">
        <f aca="false">IF(D787="","",D787-C787)</f>
        <v>0</v>
      </c>
      <c r="I787" s="33" t="n">
        <f aca="false">IF(E787="","",E787-C787)</f>
        <v>-3.5</v>
      </c>
      <c r="J787" s="33" t="n">
        <f aca="false">IF(F787="","",F787-C787)</f>
        <v>-4</v>
      </c>
      <c r="K787" s="33" t="n">
        <f aca="false">IF(G787="","",G787-C787)</f>
        <v>-3.22912283258099</v>
      </c>
      <c r="L787" s="33" t="n">
        <f aca="false">IF(H787="","",ABS(H787))</f>
        <v>0</v>
      </c>
      <c r="M787" s="33" t="n">
        <f aca="false">IF(I787="","",ABS(I787))</f>
        <v>3.5</v>
      </c>
      <c r="N787" s="33" t="n">
        <f aca="false">IF(J787="","",ABS(J787))</f>
        <v>4</v>
      </c>
      <c r="O787" s="33" t="n">
        <f aca="false">IF(K787="","",ABS(K787))</f>
        <v>3.22912283258099</v>
      </c>
      <c r="P787" s="34" t="str">
        <f aca="false">IF(B787&gt;=Eval_Start_Week,"YES","")</f>
        <v>YES</v>
      </c>
      <c r="Q787" s="34" t="str">
        <f aca="false">IF(AND(B787&gt;=Cal_Start_Week,B787&lt;=Cal_End_Week),"YES","")</f>
        <v>YES</v>
      </c>
    </row>
    <row r="788" customFormat="false" ht="15" hidden="false" customHeight="false" outlineLevel="0" collapsed="false">
      <c r="A788" s="31" t="str">
        <f aca="false">Demand_History!C788</f>
        <v>KIT-008</v>
      </c>
      <c r="B788" s="31" t="n">
        <f aca="false">Demand_History!A788</f>
        <v>59</v>
      </c>
      <c r="C788" s="32" t="n">
        <f aca="false">Demand_History!D788</f>
        <v>38</v>
      </c>
      <c r="D788" s="33" t="n">
        <f aca="false">IF(B788&gt;=2,C787,"")</f>
        <v>43</v>
      </c>
      <c r="E788" s="33" t="n">
        <f aca="false">IF(B788&gt;=5,AVERAGE(C784:C787),"")</f>
        <v>40.5</v>
      </c>
      <c r="F788" s="33" t="n">
        <f aca="false">IF(B788&gt;=9,AVERAGE(C780:C787),"")</f>
        <v>39.875</v>
      </c>
      <c r="G788" s="33" t="n">
        <f aca="false">IF(B788=1,"",IF(B788=2,C787,SES_Alpha*C787+(1-SES_Alpha)*G787))</f>
        <v>40.7396140171933</v>
      </c>
      <c r="H788" s="33" t="n">
        <f aca="false">IF(D788="","",D788-C788)</f>
        <v>5</v>
      </c>
      <c r="I788" s="33" t="n">
        <f aca="false">IF(E788="","",E788-C788)</f>
        <v>2.5</v>
      </c>
      <c r="J788" s="33" t="n">
        <f aca="false">IF(F788="","",F788-C788)</f>
        <v>1.875</v>
      </c>
      <c r="K788" s="33" t="n">
        <f aca="false">IF(G788="","",G788-C788)</f>
        <v>2.7396140171933</v>
      </c>
      <c r="L788" s="33" t="n">
        <f aca="false">IF(H788="","",ABS(H788))</f>
        <v>5</v>
      </c>
      <c r="M788" s="33" t="n">
        <f aca="false">IF(I788="","",ABS(I788))</f>
        <v>2.5</v>
      </c>
      <c r="N788" s="33" t="n">
        <f aca="false">IF(J788="","",ABS(J788))</f>
        <v>1.875</v>
      </c>
      <c r="O788" s="33" t="n">
        <f aca="false">IF(K788="","",ABS(K788))</f>
        <v>2.7396140171933</v>
      </c>
      <c r="P788" s="34" t="str">
        <f aca="false">IF(B788&gt;=Eval_Start_Week,"YES","")</f>
        <v>YES</v>
      </c>
      <c r="Q788" s="34" t="str">
        <f aca="false">IF(AND(B788&gt;=Cal_Start_Week,B788&lt;=Cal_End_Week),"YES","")</f>
        <v>YES</v>
      </c>
    </row>
    <row r="789" customFormat="false" ht="15" hidden="false" customHeight="false" outlineLevel="0" collapsed="false">
      <c r="A789" s="31" t="str">
        <f aca="false">Demand_History!C789</f>
        <v>KIT-008</v>
      </c>
      <c r="B789" s="31" t="n">
        <f aca="false">Demand_History!A789</f>
        <v>60</v>
      </c>
      <c r="C789" s="32" t="n">
        <f aca="false">Demand_History!D789</f>
        <v>36</v>
      </c>
      <c r="D789" s="33" t="n">
        <f aca="false">IF(B789&gt;=2,C788,"")</f>
        <v>38</v>
      </c>
      <c r="E789" s="33" t="n">
        <f aca="false">IF(B789&gt;=5,AVERAGE(C785:C788),"")</f>
        <v>40.5</v>
      </c>
      <c r="F789" s="33" t="n">
        <f aca="false">IF(B789&gt;=9,AVERAGE(C781:C788),"")</f>
        <v>39.375</v>
      </c>
      <c r="G789" s="33" t="n">
        <f aca="false">IF(B789=1,"",IF(B789=2,C788,SES_Alpha*C788+(1-SES_Alpha)*G788))</f>
        <v>39.9177298120353</v>
      </c>
      <c r="H789" s="33" t="n">
        <f aca="false">IF(D789="","",D789-C789)</f>
        <v>2</v>
      </c>
      <c r="I789" s="33" t="n">
        <f aca="false">IF(E789="","",E789-C789)</f>
        <v>4.5</v>
      </c>
      <c r="J789" s="33" t="n">
        <f aca="false">IF(F789="","",F789-C789)</f>
        <v>3.375</v>
      </c>
      <c r="K789" s="33" t="n">
        <f aca="false">IF(G789="","",G789-C789)</f>
        <v>3.91772981203531</v>
      </c>
      <c r="L789" s="33" t="n">
        <f aca="false">IF(H789="","",ABS(H789))</f>
        <v>2</v>
      </c>
      <c r="M789" s="33" t="n">
        <f aca="false">IF(I789="","",ABS(I789))</f>
        <v>4.5</v>
      </c>
      <c r="N789" s="33" t="n">
        <f aca="false">IF(J789="","",ABS(J789))</f>
        <v>3.375</v>
      </c>
      <c r="O789" s="33" t="n">
        <f aca="false">IF(K789="","",ABS(K789))</f>
        <v>3.91772981203531</v>
      </c>
      <c r="P789" s="34" t="str">
        <f aca="false">IF(B789&gt;=Eval_Start_Week,"YES","")</f>
        <v>YES</v>
      </c>
      <c r="Q789" s="34" t="str">
        <f aca="false">IF(AND(B789&gt;=Cal_Start_Week,B789&lt;=Cal_End_Week),"YES","")</f>
        <v>YES</v>
      </c>
    </row>
    <row r="790" customFormat="false" ht="15" hidden="false" customHeight="false" outlineLevel="0" collapsed="false">
      <c r="A790" s="31" t="str">
        <f aca="false">Demand_History!C790</f>
        <v>KIT-008</v>
      </c>
      <c r="B790" s="31" t="n">
        <f aca="false">Demand_History!A790</f>
        <v>61</v>
      </c>
      <c r="C790" s="32" t="n">
        <f aca="false">Demand_History!D790</f>
        <v>41</v>
      </c>
      <c r="D790" s="33" t="n">
        <f aca="false">IF(B790&gt;=2,C789,"")</f>
        <v>36</v>
      </c>
      <c r="E790" s="33" t="n">
        <f aca="false">IF(B790&gt;=5,AVERAGE(C786:C789),"")</f>
        <v>40</v>
      </c>
      <c r="F790" s="33" t="n">
        <f aca="false">IF(B790&gt;=9,AVERAGE(C782:C789),"")</f>
        <v>38.875</v>
      </c>
      <c r="G790" s="33" t="n">
        <f aca="false">IF(B790=1,"",IF(B790=2,C789,SES_Alpha*C789+(1-SES_Alpha)*G789))</f>
        <v>38.7424108684247</v>
      </c>
      <c r="H790" s="33" t="n">
        <f aca="false">IF(D790="","",D790-C790)</f>
        <v>-5</v>
      </c>
      <c r="I790" s="33" t="n">
        <f aca="false">IF(E790="","",E790-C790)</f>
        <v>-1</v>
      </c>
      <c r="J790" s="33" t="n">
        <f aca="false">IF(F790="","",F790-C790)</f>
        <v>-2.125</v>
      </c>
      <c r="K790" s="33" t="n">
        <f aca="false">IF(G790="","",G790-C790)</f>
        <v>-2.25758913157529</v>
      </c>
      <c r="L790" s="33" t="n">
        <f aca="false">IF(H790="","",ABS(H790))</f>
        <v>5</v>
      </c>
      <c r="M790" s="33" t="n">
        <f aca="false">IF(I790="","",ABS(I790))</f>
        <v>1</v>
      </c>
      <c r="N790" s="33" t="n">
        <f aca="false">IF(J790="","",ABS(J790))</f>
        <v>2.125</v>
      </c>
      <c r="O790" s="33" t="n">
        <f aca="false">IF(K790="","",ABS(K790))</f>
        <v>2.25758913157529</v>
      </c>
      <c r="P790" s="34" t="str">
        <f aca="false">IF(B790&gt;=Eval_Start_Week,"YES","")</f>
        <v>YES</v>
      </c>
      <c r="Q790" s="34" t="str">
        <f aca="false">IF(AND(B790&gt;=Cal_Start_Week,B790&lt;=Cal_End_Week),"YES","")</f>
        <v>YES</v>
      </c>
    </row>
    <row r="791" customFormat="false" ht="15" hidden="false" customHeight="false" outlineLevel="0" collapsed="false">
      <c r="A791" s="31" t="str">
        <f aca="false">Demand_History!C791</f>
        <v>KIT-008</v>
      </c>
      <c r="B791" s="31" t="n">
        <f aca="false">Demand_History!A791</f>
        <v>62</v>
      </c>
      <c r="C791" s="32" t="n">
        <f aca="false">Demand_History!D791</f>
        <v>40</v>
      </c>
      <c r="D791" s="33" t="n">
        <f aca="false">IF(B791&gt;=2,C790,"")</f>
        <v>41</v>
      </c>
      <c r="E791" s="33" t="n">
        <f aca="false">IF(B791&gt;=5,AVERAGE(C787:C790),"")</f>
        <v>39.5</v>
      </c>
      <c r="F791" s="33" t="n">
        <f aca="false">IF(B791&gt;=9,AVERAGE(C783:C790),"")</f>
        <v>39.5</v>
      </c>
      <c r="G791" s="33" t="n">
        <f aca="false">IF(B791=1,"",IF(B791=2,C790,SES_Alpha*C790+(1-SES_Alpha)*G790))</f>
        <v>39.4196876078973</v>
      </c>
      <c r="H791" s="33" t="n">
        <f aca="false">IF(D791="","",D791-C791)</f>
        <v>1</v>
      </c>
      <c r="I791" s="33" t="n">
        <f aca="false">IF(E791="","",E791-C791)</f>
        <v>-0.5</v>
      </c>
      <c r="J791" s="33" t="n">
        <f aca="false">IF(F791="","",F791-C791)</f>
        <v>-0.5</v>
      </c>
      <c r="K791" s="33" t="n">
        <f aca="false">IF(G791="","",G791-C791)</f>
        <v>-0.580312392102705</v>
      </c>
      <c r="L791" s="33" t="n">
        <f aca="false">IF(H791="","",ABS(H791))</f>
        <v>1</v>
      </c>
      <c r="M791" s="33" t="n">
        <f aca="false">IF(I791="","",ABS(I791))</f>
        <v>0.5</v>
      </c>
      <c r="N791" s="33" t="n">
        <f aca="false">IF(J791="","",ABS(J791))</f>
        <v>0.5</v>
      </c>
      <c r="O791" s="33" t="n">
        <f aca="false">IF(K791="","",ABS(K791))</f>
        <v>0.580312392102705</v>
      </c>
      <c r="P791" s="34" t="str">
        <f aca="false">IF(B791&gt;=Eval_Start_Week,"YES","")</f>
        <v>YES</v>
      </c>
      <c r="Q791" s="34" t="str">
        <f aca="false">IF(AND(B791&gt;=Cal_Start_Week,B791&lt;=Cal_End_Week),"YES","")</f>
        <v>YES</v>
      </c>
    </row>
    <row r="792" customFormat="false" ht="15" hidden="false" customHeight="false" outlineLevel="0" collapsed="false">
      <c r="A792" s="31" t="str">
        <f aca="false">Demand_History!C792</f>
        <v>KIT-008</v>
      </c>
      <c r="B792" s="31" t="n">
        <f aca="false">Demand_History!A792</f>
        <v>63</v>
      </c>
      <c r="C792" s="32" t="n">
        <f aca="false">Demand_History!D792</f>
        <v>44</v>
      </c>
      <c r="D792" s="33" t="n">
        <f aca="false">IF(B792&gt;=2,C791,"")</f>
        <v>40</v>
      </c>
      <c r="E792" s="33" t="n">
        <f aca="false">IF(B792&gt;=5,AVERAGE(C788:C791),"")</f>
        <v>38.75</v>
      </c>
      <c r="F792" s="33" t="n">
        <f aca="false">IF(B792&gt;=9,AVERAGE(C784:C791),"")</f>
        <v>39.625</v>
      </c>
      <c r="G792" s="33" t="n">
        <f aca="false">IF(B792=1,"",IF(B792=2,C791,SES_Alpha*C791+(1-SES_Alpha)*G791))</f>
        <v>39.5937813255281</v>
      </c>
      <c r="H792" s="33" t="n">
        <f aca="false">IF(D792="","",D792-C792)</f>
        <v>-4</v>
      </c>
      <c r="I792" s="33" t="n">
        <f aca="false">IF(E792="","",E792-C792)</f>
        <v>-5.25</v>
      </c>
      <c r="J792" s="33" t="n">
        <f aca="false">IF(F792="","",F792-C792)</f>
        <v>-4.375</v>
      </c>
      <c r="K792" s="33" t="n">
        <f aca="false">IF(G792="","",G792-C792)</f>
        <v>-4.40621867447189</v>
      </c>
      <c r="L792" s="33" t="n">
        <f aca="false">IF(H792="","",ABS(H792))</f>
        <v>4</v>
      </c>
      <c r="M792" s="33" t="n">
        <f aca="false">IF(I792="","",ABS(I792))</f>
        <v>5.25</v>
      </c>
      <c r="N792" s="33" t="n">
        <f aca="false">IF(J792="","",ABS(J792))</f>
        <v>4.375</v>
      </c>
      <c r="O792" s="33" t="n">
        <f aca="false">IF(K792="","",ABS(K792))</f>
        <v>4.40621867447189</v>
      </c>
      <c r="P792" s="34" t="str">
        <f aca="false">IF(B792&gt;=Eval_Start_Week,"YES","")</f>
        <v>YES</v>
      </c>
      <c r="Q792" s="34" t="str">
        <f aca="false">IF(AND(B792&gt;=Cal_Start_Week,B792&lt;=Cal_End_Week),"YES","")</f>
        <v>YES</v>
      </c>
    </row>
    <row r="793" customFormat="false" ht="15" hidden="false" customHeight="false" outlineLevel="0" collapsed="false">
      <c r="A793" s="31" t="str">
        <f aca="false">Demand_History!C793</f>
        <v>KIT-008</v>
      </c>
      <c r="B793" s="31" t="n">
        <f aca="false">Demand_History!A793</f>
        <v>64</v>
      </c>
      <c r="C793" s="32" t="n">
        <f aca="false">Demand_History!D793</f>
        <v>51</v>
      </c>
      <c r="D793" s="33" t="n">
        <f aca="false">IF(B793&gt;=2,C792,"")</f>
        <v>44</v>
      </c>
      <c r="E793" s="33" t="n">
        <f aca="false">IF(B793&gt;=5,AVERAGE(C789:C792),"")</f>
        <v>40.25</v>
      </c>
      <c r="F793" s="33" t="n">
        <f aca="false">IF(B793&gt;=9,AVERAGE(C785:C792),"")</f>
        <v>40.375</v>
      </c>
      <c r="G793" s="33" t="n">
        <f aca="false">IF(B793=1,"",IF(B793=2,C792,SES_Alpha*C792+(1-SES_Alpha)*G792))</f>
        <v>40.9156469278697</v>
      </c>
      <c r="H793" s="33" t="n">
        <f aca="false">IF(D793="","",D793-C793)</f>
        <v>-7</v>
      </c>
      <c r="I793" s="33" t="n">
        <f aca="false">IF(E793="","",E793-C793)</f>
        <v>-10.75</v>
      </c>
      <c r="J793" s="33" t="n">
        <f aca="false">IF(F793="","",F793-C793)</f>
        <v>-10.625</v>
      </c>
      <c r="K793" s="33" t="n">
        <f aca="false">IF(G793="","",G793-C793)</f>
        <v>-10.0843530721303</v>
      </c>
      <c r="L793" s="33" t="n">
        <f aca="false">IF(H793="","",ABS(H793))</f>
        <v>7</v>
      </c>
      <c r="M793" s="33" t="n">
        <f aca="false">IF(I793="","",ABS(I793))</f>
        <v>10.75</v>
      </c>
      <c r="N793" s="33" t="n">
        <f aca="false">IF(J793="","",ABS(J793))</f>
        <v>10.625</v>
      </c>
      <c r="O793" s="33" t="n">
        <f aca="false">IF(K793="","",ABS(K793))</f>
        <v>10.0843530721303</v>
      </c>
      <c r="P793" s="34" t="str">
        <f aca="false">IF(B793&gt;=Eval_Start_Week,"YES","")</f>
        <v>YES</v>
      </c>
      <c r="Q793" s="34" t="str">
        <f aca="false">IF(AND(B793&gt;=Cal_Start_Week,B793&lt;=Cal_End_Week),"YES","")</f>
        <v>YES</v>
      </c>
    </row>
    <row r="794" customFormat="false" ht="15" hidden="false" customHeight="false" outlineLevel="0" collapsed="false">
      <c r="A794" s="31" t="str">
        <f aca="false">Demand_History!C794</f>
        <v>KIT-008</v>
      </c>
      <c r="B794" s="31" t="n">
        <f aca="false">Demand_History!A794</f>
        <v>65</v>
      </c>
      <c r="C794" s="32" t="n">
        <f aca="false">Demand_History!D794</f>
        <v>44</v>
      </c>
      <c r="D794" s="33" t="n">
        <f aca="false">IF(B794&gt;=2,C793,"")</f>
        <v>51</v>
      </c>
      <c r="E794" s="33" t="n">
        <f aca="false">IF(B794&gt;=5,AVERAGE(C790:C793),"")</f>
        <v>44</v>
      </c>
      <c r="F794" s="33" t="n">
        <f aca="false">IF(B794&gt;=9,AVERAGE(C786:C793),"")</f>
        <v>42</v>
      </c>
      <c r="G794" s="33" t="n">
        <f aca="false">IF(B794=1,"",IF(B794=2,C793,SES_Alpha*C793+(1-SES_Alpha)*G793))</f>
        <v>43.9409528495088</v>
      </c>
      <c r="H794" s="33" t="n">
        <f aca="false">IF(D794="","",D794-C794)</f>
        <v>7</v>
      </c>
      <c r="I794" s="33" t="n">
        <f aca="false">IF(E794="","",E794-C794)</f>
        <v>0</v>
      </c>
      <c r="J794" s="33" t="n">
        <f aca="false">IF(F794="","",F794-C794)</f>
        <v>-2</v>
      </c>
      <c r="K794" s="33" t="n">
        <f aca="false">IF(G794="","",G794-C794)</f>
        <v>-0.0590471504912316</v>
      </c>
      <c r="L794" s="33" t="n">
        <f aca="false">IF(H794="","",ABS(H794))</f>
        <v>7</v>
      </c>
      <c r="M794" s="33" t="n">
        <f aca="false">IF(I794="","",ABS(I794))</f>
        <v>0</v>
      </c>
      <c r="N794" s="33" t="n">
        <f aca="false">IF(J794="","",ABS(J794))</f>
        <v>2</v>
      </c>
      <c r="O794" s="33" t="n">
        <f aca="false">IF(K794="","",ABS(K794))</f>
        <v>0.0590471504912316</v>
      </c>
      <c r="P794" s="34" t="str">
        <f aca="false">IF(B794&gt;=Eval_Start_Week,"YES","")</f>
        <v>YES</v>
      </c>
      <c r="Q794" s="34" t="str">
        <f aca="false">IF(AND(B794&gt;=Cal_Start_Week,B794&lt;=Cal_End_Week),"YES","")</f>
        <v>YES</v>
      </c>
    </row>
    <row r="795" customFormat="false" ht="15" hidden="false" customHeight="false" outlineLevel="0" collapsed="false">
      <c r="A795" s="31" t="str">
        <f aca="false">Demand_History!C795</f>
        <v>KIT-008</v>
      </c>
      <c r="B795" s="31" t="n">
        <f aca="false">Demand_History!A795</f>
        <v>66</v>
      </c>
      <c r="C795" s="32" t="n">
        <f aca="false">Demand_History!D795</f>
        <v>40</v>
      </c>
      <c r="D795" s="33" t="n">
        <f aca="false">IF(B795&gt;=2,C794,"")</f>
        <v>44</v>
      </c>
      <c r="E795" s="33" t="n">
        <f aca="false">IF(B795&gt;=5,AVERAGE(C791:C794),"")</f>
        <v>44.75</v>
      </c>
      <c r="F795" s="33" t="n">
        <f aca="false">IF(B795&gt;=9,AVERAGE(C787:C794),"")</f>
        <v>42.125</v>
      </c>
      <c r="G795" s="33" t="n">
        <f aca="false">IF(B795=1,"",IF(B795=2,C794,SES_Alpha*C794+(1-SES_Alpha)*G794))</f>
        <v>43.9586669946561</v>
      </c>
      <c r="H795" s="33" t="n">
        <f aca="false">IF(D795="","",D795-C795)</f>
        <v>4</v>
      </c>
      <c r="I795" s="33" t="n">
        <f aca="false">IF(E795="","",E795-C795)</f>
        <v>4.75</v>
      </c>
      <c r="J795" s="33" t="n">
        <f aca="false">IF(F795="","",F795-C795)</f>
        <v>2.125</v>
      </c>
      <c r="K795" s="33" t="n">
        <f aca="false">IF(G795="","",G795-C795)</f>
        <v>3.95866699465613</v>
      </c>
      <c r="L795" s="33" t="n">
        <f aca="false">IF(H795="","",ABS(H795))</f>
        <v>4</v>
      </c>
      <c r="M795" s="33" t="n">
        <f aca="false">IF(I795="","",ABS(I795))</f>
        <v>4.75</v>
      </c>
      <c r="N795" s="33" t="n">
        <f aca="false">IF(J795="","",ABS(J795))</f>
        <v>2.125</v>
      </c>
      <c r="O795" s="33" t="n">
        <f aca="false">IF(K795="","",ABS(K795))</f>
        <v>3.95866699465613</v>
      </c>
      <c r="P795" s="34" t="str">
        <f aca="false">IF(B795&gt;=Eval_Start_Week,"YES","")</f>
        <v>YES</v>
      </c>
      <c r="Q795" s="34" t="str">
        <f aca="false">IF(AND(B795&gt;=Cal_Start_Week,B795&lt;=Cal_End_Week),"YES","")</f>
        <v>YES</v>
      </c>
    </row>
    <row r="796" customFormat="false" ht="15" hidden="false" customHeight="false" outlineLevel="0" collapsed="false">
      <c r="A796" s="31" t="str">
        <f aca="false">Demand_History!C796</f>
        <v>KIT-008</v>
      </c>
      <c r="B796" s="31" t="n">
        <f aca="false">Demand_History!A796</f>
        <v>67</v>
      </c>
      <c r="C796" s="32" t="n">
        <f aca="false">Demand_History!D796</f>
        <v>39</v>
      </c>
      <c r="D796" s="33" t="n">
        <f aca="false">IF(B796&gt;=2,C795,"")</f>
        <v>40</v>
      </c>
      <c r="E796" s="33" t="n">
        <f aca="false">IF(B796&gt;=5,AVERAGE(C792:C795),"")</f>
        <v>44.75</v>
      </c>
      <c r="F796" s="33" t="n">
        <f aca="false">IF(B796&gt;=9,AVERAGE(C788:C795),"")</f>
        <v>41.75</v>
      </c>
      <c r="G796" s="33" t="n">
        <f aca="false">IF(B796=1,"",IF(B796=2,C795,SES_Alpha*C795+(1-SES_Alpha)*G795))</f>
        <v>42.7710668962593</v>
      </c>
      <c r="H796" s="33" t="n">
        <f aca="false">IF(D796="","",D796-C796)</f>
        <v>1</v>
      </c>
      <c r="I796" s="33" t="n">
        <f aca="false">IF(E796="","",E796-C796)</f>
        <v>5.75</v>
      </c>
      <c r="J796" s="33" t="n">
        <f aca="false">IF(F796="","",F796-C796)</f>
        <v>2.75</v>
      </c>
      <c r="K796" s="33" t="n">
        <f aca="false">IF(G796="","",G796-C796)</f>
        <v>3.77106689625929</v>
      </c>
      <c r="L796" s="33" t="n">
        <f aca="false">IF(H796="","",ABS(H796))</f>
        <v>1</v>
      </c>
      <c r="M796" s="33" t="n">
        <f aca="false">IF(I796="","",ABS(I796))</f>
        <v>5.75</v>
      </c>
      <c r="N796" s="33" t="n">
        <f aca="false">IF(J796="","",ABS(J796))</f>
        <v>2.75</v>
      </c>
      <c r="O796" s="33" t="n">
        <f aca="false">IF(K796="","",ABS(K796))</f>
        <v>3.77106689625929</v>
      </c>
      <c r="P796" s="34" t="str">
        <f aca="false">IF(B796&gt;=Eval_Start_Week,"YES","")</f>
        <v>YES</v>
      </c>
      <c r="Q796" s="34" t="str">
        <f aca="false">IF(AND(B796&gt;=Cal_Start_Week,B796&lt;=Cal_End_Week),"YES","")</f>
        <v>YES</v>
      </c>
    </row>
    <row r="797" customFormat="false" ht="15" hidden="false" customHeight="false" outlineLevel="0" collapsed="false">
      <c r="A797" s="31" t="str">
        <f aca="false">Demand_History!C797</f>
        <v>KIT-008</v>
      </c>
      <c r="B797" s="31" t="n">
        <f aca="false">Demand_History!A797</f>
        <v>68</v>
      </c>
      <c r="C797" s="32" t="n">
        <f aca="false">Demand_History!D797</f>
        <v>36</v>
      </c>
      <c r="D797" s="33" t="n">
        <f aca="false">IF(B797&gt;=2,C796,"")</f>
        <v>39</v>
      </c>
      <c r="E797" s="33" t="n">
        <f aca="false">IF(B797&gt;=5,AVERAGE(C793:C796),"")</f>
        <v>43.5</v>
      </c>
      <c r="F797" s="33" t="n">
        <f aca="false">IF(B797&gt;=9,AVERAGE(C789:C796),"")</f>
        <v>41.875</v>
      </c>
      <c r="G797" s="33" t="n">
        <f aca="false">IF(B797=1,"",IF(B797=2,C796,SES_Alpha*C796+(1-SES_Alpha)*G796))</f>
        <v>41.6397468273815</v>
      </c>
      <c r="H797" s="33" t="n">
        <f aca="false">IF(D797="","",D797-C797)</f>
        <v>3</v>
      </c>
      <c r="I797" s="33" t="n">
        <f aca="false">IF(E797="","",E797-C797)</f>
        <v>7.5</v>
      </c>
      <c r="J797" s="33" t="n">
        <f aca="false">IF(F797="","",F797-C797)</f>
        <v>5.875</v>
      </c>
      <c r="K797" s="33" t="n">
        <f aca="false">IF(G797="","",G797-C797)</f>
        <v>5.6397468273815</v>
      </c>
      <c r="L797" s="33" t="n">
        <f aca="false">IF(H797="","",ABS(H797))</f>
        <v>3</v>
      </c>
      <c r="M797" s="33" t="n">
        <f aca="false">IF(I797="","",ABS(I797))</f>
        <v>7.5</v>
      </c>
      <c r="N797" s="33" t="n">
        <f aca="false">IF(J797="","",ABS(J797))</f>
        <v>5.875</v>
      </c>
      <c r="O797" s="33" t="n">
        <f aca="false">IF(K797="","",ABS(K797))</f>
        <v>5.6397468273815</v>
      </c>
      <c r="P797" s="34" t="str">
        <f aca="false">IF(B797&gt;=Eval_Start_Week,"YES","")</f>
        <v>YES</v>
      </c>
      <c r="Q797" s="34" t="str">
        <f aca="false">IF(AND(B797&gt;=Cal_Start_Week,B797&lt;=Cal_End_Week),"YES","")</f>
        <v>YES</v>
      </c>
    </row>
    <row r="798" customFormat="false" ht="15" hidden="false" customHeight="false" outlineLevel="0" collapsed="false">
      <c r="A798" s="31" t="str">
        <f aca="false">Demand_History!C798</f>
        <v>KIT-008</v>
      </c>
      <c r="B798" s="31" t="n">
        <f aca="false">Demand_History!A798</f>
        <v>69</v>
      </c>
      <c r="C798" s="32" t="n">
        <f aca="false">Demand_History!D798</f>
        <v>36</v>
      </c>
      <c r="D798" s="33" t="n">
        <f aca="false">IF(B798&gt;=2,C797,"")</f>
        <v>36</v>
      </c>
      <c r="E798" s="33" t="n">
        <f aca="false">IF(B798&gt;=5,AVERAGE(C794:C797),"")</f>
        <v>39.75</v>
      </c>
      <c r="F798" s="33" t="n">
        <f aca="false">IF(B798&gt;=9,AVERAGE(C790:C797),"")</f>
        <v>41.875</v>
      </c>
      <c r="G798" s="33" t="n">
        <f aca="false">IF(B798=1,"",IF(B798=2,C797,SES_Alpha*C797+(1-SES_Alpha)*G797))</f>
        <v>39.9478227791671</v>
      </c>
      <c r="H798" s="33" t="n">
        <f aca="false">IF(D798="","",D798-C798)</f>
        <v>0</v>
      </c>
      <c r="I798" s="33" t="n">
        <f aca="false">IF(E798="","",E798-C798)</f>
        <v>3.75</v>
      </c>
      <c r="J798" s="33" t="n">
        <f aca="false">IF(F798="","",F798-C798)</f>
        <v>5.875</v>
      </c>
      <c r="K798" s="33" t="n">
        <f aca="false">IF(G798="","",G798-C798)</f>
        <v>3.94782277916705</v>
      </c>
      <c r="L798" s="33" t="n">
        <f aca="false">IF(H798="","",ABS(H798))</f>
        <v>0</v>
      </c>
      <c r="M798" s="33" t="n">
        <f aca="false">IF(I798="","",ABS(I798))</f>
        <v>3.75</v>
      </c>
      <c r="N798" s="33" t="n">
        <f aca="false">IF(J798="","",ABS(J798))</f>
        <v>5.875</v>
      </c>
      <c r="O798" s="33" t="n">
        <f aca="false">IF(K798="","",ABS(K798))</f>
        <v>3.94782277916705</v>
      </c>
      <c r="P798" s="34" t="str">
        <f aca="false">IF(B798&gt;=Eval_Start_Week,"YES","")</f>
        <v>YES</v>
      </c>
      <c r="Q798" s="34" t="str">
        <f aca="false">IF(AND(B798&gt;=Cal_Start_Week,B798&lt;=Cal_End_Week),"YES","")</f>
        <v>YES</v>
      </c>
    </row>
    <row r="799" customFormat="false" ht="15" hidden="false" customHeight="false" outlineLevel="0" collapsed="false">
      <c r="A799" s="31" t="str">
        <f aca="false">Demand_History!C799</f>
        <v>KIT-008</v>
      </c>
      <c r="B799" s="31" t="n">
        <f aca="false">Demand_History!A799</f>
        <v>70</v>
      </c>
      <c r="C799" s="32" t="n">
        <f aca="false">Demand_History!D799</f>
        <v>36</v>
      </c>
      <c r="D799" s="33" t="n">
        <f aca="false">IF(B799&gt;=2,C798,"")</f>
        <v>36</v>
      </c>
      <c r="E799" s="33" t="n">
        <f aca="false">IF(B799&gt;=5,AVERAGE(C795:C798),"")</f>
        <v>37.75</v>
      </c>
      <c r="F799" s="33" t="n">
        <f aca="false">IF(B799&gt;=9,AVERAGE(C791:C798),"")</f>
        <v>41.25</v>
      </c>
      <c r="G799" s="33" t="n">
        <f aca="false">IF(B799=1,"",IF(B799=2,C798,SES_Alpha*C798+(1-SES_Alpha)*G798))</f>
        <v>38.7634759454169</v>
      </c>
      <c r="H799" s="33" t="n">
        <f aca="false">IF(D799="","",D799-C799)</f>
        <v>0</v>
      </c>
      <c r="I799" s="33" t="n">
        <f aca="false">IF(E799="","",E799-C799)</f>
        <v>1.75</v>
      </c>
      <c r="J799" s="33" t="n">
        <f aca="false">IF(F799="","",F799-C799)</f>
        <v>5.25</v>
      </c>
      <c r="K799" s="33" t="n">
        <f aca="false">IF(G799="","",G799-C799)</f>
        <v>2.76347594541693</v>
      </c>
      <c r="L799" s="33" t="n">
        <f aca="false">IF(H799="","",ABS(H799))</f>
        <v>0</v>
      </c>
      <c r="M799" s="33" t="n">
        <f aca="false">IF(I799="","",ABS(I799))</f>
        <v>1.75</v>
      </c>
      <c r="N799" s="33" t="n">
        <f aca="false">IF(J799="","",ABS(J799))</f>
        <v>5.25</v>
      </c>
      <c r="O799" s="33" t="n">
        <f aca="false">IF(K799="","",ABS(K799))</f>
        <v>2.76347594541693</v>
      </c>
      <c r="P799" s="34" t="str">
        <f aca="false">IF(B799&gt;=Eval_Start_Week,"YES","")</f>
        <v>YES</v>
      </c>
      <c r="Q799" s="34" t="str">
        <f aca="false">IF(AND(B799&gt;=Cal_Start_Week,B799&lt;=Cal_End_Week),"YES","")</f>
        <v>YES</v>
      </c>
    </row>
    <row r="800" customFormat="false" ht="15" hidden="false" customHeight="false" outlineLevel="0" collapsed="false">
      <c r="A800" s="31" t="str">
        <f aca="false">Demand_History!C800</f>
        <v>KIT-008</v>
      </c>
      <c r="B800" s="31" t="n">
        <f aca="false">Demand_History!A800</f>
        <v>71</v>
      </c>
      <c r="C800" s="32" t="n">
        <f aca="false">Demand_History!D800</f>
        <v>38</v>
      </c>
      <c r="D800" s="33" t="n">
        <f aca="false">IF(B800&gt;=2,C799,"")</f>
        <v>36</v>
      </c>
      <c r="E800" s="33" t="n">
        <f aca="false">IF(B800&gt;=5,AVERAGE(C796:C799),"")</f>
        <v>36.75</v>
      </c>
      <c r="F800" s="33" t="n">
        <f aca="false">IF(B800&gt;=9,AVERAGE(C792:C799),"")</f>
        <v>40.75</v>
      </c>
      <c r="G800" s="33" t="n">
        <f aca="false">IF(B800=1,"",IF(B800=2,C799,SES_Alpha*C799+(1-SES_Alpha)*G799))</f>
        <v>37.9344331617918</v>
      </c>
      <c r="H800" s="33" t="n">
        <f aca="false">IF(D800="","",D800-C800)</f>
        <v>-2</v>
      </c>
      <c r="I800" s="33" t="n">
        <f aca="false">IF(E800="","",E800-C800)</f>
        <v>-1.25</v>
      </c>
      <c r="J800" s="33" t="n">
        <f aca="false">IF(F800="","",F800-C800)</f>
        <v>2.75</v>
      </c>
      <c r="K800" s="33" t="n">
        <f aca="false">IF(G800="","",G800-C800)</f>
        <v>-0.0655668382081558</v>
      </c>
      <c r="L800" s="33" t="n">
        <f aca="false">IF(H800="","",ABS(H800))</f>
        <v>2</v>
      </c>
      <c r="M800" s="33" t="n">
        <f aca="false">IF(I800="","",ABS(I800))</f>
        <v>1.25</v>
      </c>
      <c r="N800" s="33" t="n">
        <f aca="false">IF(J800="","",ABS(J800))</f>
        <v>2.75</v>
      </c>
      <c r="O800" s="33" t="n">
        <f aca="false">IF(K800="","",ABS(K800))</f>
        <v>0.0655668382081558</v>
      </c>
      <c r="P800" s="34" t="str">
        <f aca="false">IF(B800&gt;=Eval_Start_Week,"YES","")</f>
        <v>YES</v>
      </c>
      <c r="Q800" s="34" t="str">
        <f aca="false">IF(AND(B800&gt;=Cal_Start_Week,B800&lt;=Cal_End_Week),"YES","")</f>
        <v>YES</v>
      </c>
    </row>
    <row r="801" customFormat="false" ht="15" hidden="false" customHeight="false" outlineLevel="0" collapsed="false">
      <c r="A801" s="31" t="str">
        <f aca="false">Demand_History!C801</f>
        <v>KIT-008</v>
      </c>
      <c r="B801" s="31" t="n">
        <f aca="false">Demand_History!A801</f>
        <v>72</v>
      </c>
      <c r="C801" s="32" t="n">
        <f aca="false">Demand_History!D801</f>
        <v>38</v>
      </c>
      <c r="D801" s="33" t="n">
        <f aca="false">IF(B801&gt;=2,C800,"")</f>
        <v>38</v>
      </c>
      <c r="E801" s="33" t="n">
        <f aca="false">IF(B801&gt;=5,AVERAGE(C797:C800),"")</f>
        <v>36.5</v>
      </c>
      <c r="F801" s="33" t="n">
        <f aca="false">IF(B801&gt;=9,AVERAGE(C793:C800),"")</f>
        <v>40</v>
      </c>
      <c r="G801" s="33" t="n">
        <f aca="false">IF(B801=1,"",IF(B801=2,C800,SES_Alpha*C800+(1-SES_Alpha)*G800))</f>
        <v>37.9541032132543</v>
      </c>
      <c r="H801" s="33" t="n">
        <f aca="false">IF(D801="","",D801-C801)</f>
        <v>0</v>
      </c>
      <c r="I801" s="33" t="n">
        <f aca="false">IF(E801="","",E801-C801)</f>
        <v>-1.5</v>
      </c>
      <c r="J801" s="33" t="n">
        <f aca="false">IF(F801="","",F801-C801)</f>
        <v>2</v>
      </c>
      <c r="K801" s="33" t="n">
        <f aca="false">IF(G801="","",G801-C801)</f>
        <v>-0.0458967867457076</v>
      </c>
      <c r="L801" s="33" t="n">
        <f aca="false">IF(H801="","",ABS(H801))</f>
        <v>0</v>
      </c>
      <c r="M801" s="33" t="n">
        <f aca="false">IF(I801="","",ABS(I801))</f>
        <v>1.5</v>
      </c>
      <c r="N801" s="33" t="n">
        <f aca="false">IF(J801="","",ABS(J801))</f>
        <v>2</v>
      </c>
      <c r="O801" s="33" t="n">
        <f aca="false">IF(K801="","",ABS(K801))</f>
        <v>0.0458967867457076</v>
      </c>
      <c r="P801" s="34" t="str">
        <f aca="false">IF(B801&gt;=Eval_Start_Week,"YES","")</f>
        <v>YES</v>
      </c>
      <c r="Q801" s="34" t="str">
        <f aca="false">IF(AND(B801&gt;=Cal_Start_Week,B801&lt;=Cal_End_Week),"YES","")</f>
        <v>YES</v>
      </c>
    </row>
    <row r="802" customFormat="false" ht="15" hidden="false" customHeight="false" outlineLevel="0" collapsed="false">
      <c r="A802" s="31" t="str">
        <f aca="false">Demand_History!C802</f>
        <v>KIT-008</v>
      </c>
      <c r="B802" s="31" t="n">
        <f aca="false">Demand_History!A802</f>
        <v>73</v>
      </c>
      <c r="C802" s="32" t="n">
        <f aca="false">Demand_History!D802</f>
        <v>43</v>
      </c>
      <c r="D802" s="33" t="n">
        <f aca="false">IF(B802&gt;=2,C801,"")</f>
        <v>38</v>
      </c>
      <c r="E802" s="33" t="n">
        <f aca="false">IF(B802&gt;=5,AVERAGE(C798:C801),"")</f>
        <v>37</v>
      </c>
      <c r="F802" s="33" t="n">
        <f aca="false">IF(B802&gt;=9,AVERAGE(C794:C801),"")</f>
        <v>38.375</v>
      </c>
      <c r="G802" s="33" t="n">
        <f aca="false">IF(B802=1,"",IF(B802=2,C801,SES_Alpha*C801+(1-SES_Alpha)*G801))</f>
        <v>37.967872249278</v>
      </c>
      <c r="H802" s="33" t="n">
        <f aca="false">IF(D802="","",D802-C802)</f>
        <v>-5</v>
      </c>
      <c r="I802" s="33" t="n">
        <f aca="false">IF(E802="","",E802-C802)</f>
        <v>-6</v>
      </c>
      <c r="J802" s="33" t="n">
        <f aca="false">IF(F802="","",F802-C802)</f>
        <v>-4.625</v>
      </c>
      <c r="K802" s="33" t="n">
        <f aca="false">IF(G802="","",G802-C802)</f>
        <v>-5.032127750722</v>
      </c>
      <c r="L802" s="33" t="n">
        <f aca="false">IF(H802="","",ABS(H802))</f>
        <v>5</v>
      </c>
      <c r="M802" s="33" t="n">
        <f aca="false">IF(I802="","",ABS(I802))</f>
        <v>6</v>
      </c>
      <c r="N802" s="33" t="n">
        <f aca="false">IF(J802="","",ABS(J802))</f>
        <v>4.625</v>
      </c>
      <c r="O802" s="33" t="n">
        <f aca="false">IF(K802="","",ABS(K802))</f>
        <v>5.032127750722</v>
      </c>
      <c r="P802" s="34" t="str">
        <f aca="false">IF(B802&gt;=Eval_Start_Week,"YES","")</f>
        <v>YES</v>
      </c>
      <c r="Q802" s="34" t="str">
        <f aca="false">IF(AND(B802&gt;=Cal_Start_Week,B802&lt;=Cal_End_Week),"YES","")</f>
        <v>YES</v>
      </c>
    </row>
    <row r="803" customFormat="false" ht="15" hidden="false" customHeight="false" outlineLevel="0" collapsed="false">
      <c r="A803" s="31" t="str">
        <f aca="false">Demand_History!C803</f>
        <v>KIT-008</v>
      </c>
      <c r="B803" s="31" t="n">
        <f aca="false">Demand_History!A803</f>
        <v>74</v>
      </c>
      <c r="C803" s="32" t="n">
        <f aca="false">Demand_History!D803</f>
        <v>38</v>
      </c>
      <c r="D803" s="33" t="n">
        <f aca="false">IF(B803&gt;=2,C802,"")</f>
        <v>43</v>
      </c>
      <c r="E803" s="33" t="n">
        <f aca="false">IF(B803&gt;=5,AVERAGE(C799:C802),"")</f>
        <v>38.75</v>
      </c>
      <c r="F803" s="33" t="n">
        <f aca="false">IF(B803&gt;=9,AVERAGE(C795:C802),"")</f>
        <v>38.25</v>
      </c>
      <c r="G803" s="33" t="n">
        <f aca="false">IF(B803=1,"",IF(B803=2,C802,SES_Alpha*C802+(1-SES_Alpha)*G802))</f>
        <v>39.4775105744946</v>
      </c>
      <c r="H803" s="33" t="n">
        <f aca="false">IF(D803="","",D803-C803)</f>
        <v>5</v>
      </c>
      <c r="I803" s="33" t="n">
        <f aca="false">IF(E803="","",E803-C803)</f>
        <v>0.75</v>
      </c>
      <c r="J803" s="33" t="n">
        <f aca="false">IF(F803="","",F803-C803)</f>
        <v>0.25</v>
      </c>
      <c r="K803" s="33" t="n">
        <f aca="false">IF(G803="","",G803-C803)</f>
        <v>1.4775105744946</v>
      </c>
      <c r="L803" s="33" t="n">
        <f aca="false">IF(H803="","",ABS(H803))</f>
        <v>5</v>
      </c>
      <c r="M803" s="33" t="n">
        <f aca="false">IF(I803="","",ABS(I803))</f>
        <v>0.75</v>
      </c>
      <c r="N803" s="33" t="n">
        <f aca="false">IF(J803="","",ABS(J803))</f>
        <v>0.25</v>
      </c>
      <c r="O803" s="33" t="n">
        <f aca="false">IF(K803="","",ABS(K803))</f>
        <v>1.4775105744946</v>
      </c>
      <c r="P803" s="34" t="str">
        <f aca="false">IF(B803&gt;=Eval_Start_Week,"YES","")</f>
        <v>YES</v>
      </c>
      <c r="Q803" s="34" t="str">
        <f aca="false">IF(AND(B803&gt;=Cal_Start_Week,B803&lt;=Cal_End_Week),"YES","")</f>
        <v>YES</v>
      </c>
    </row>
    <row r="804" customFormat="false" ht="15" hidden="false" customHeight="false" outlineLevel="0" collapsed="false">
      <c r="A804" s="31" t="str">
        <f aca="false">Demand_History!C804</f>
        <v>KIT-008</v>
      </c>
      <c r="B804" s="31" t="n">
        <f aca="false">Demand_History!A804</f>
        <v>75</v>
      </c>
      <c r="C804" s="32" t="n">
        <f aca="false">Demand_History!D804</f>
        <v>39</v>
      </c>
      <c r="D804" s="33" t="n">
        <f aca="false">IF(B804&gt;=2,C803,"")</f>
        <v>38</v>
      </c>
      <c r="E804" s="33" t="n">
        <f aca="false">IF(B804&gt;=5,AVERAGE(C800:C803),"")</f>
        <v>39.25</v>
      </c>
      <c r="F804" s="33" t="n">
        <f aca="false">IF(B804&gt;=9,AVERAGE(C796:C803),"")</f>
        <v>38</v>
      </c>
      <c r="G804" s="33" t="n">
        <f aca="false">IF(B804=1,"",IF(B804=2,C803,SES_Alpha*C803+(1-SES_Alpha)*G803))</f>
        <v>39.0342574021462</v>
      </c>
      <c r="H804" s="33" t="n">
        <f aca="false">IF(D804="","",D804-C804)</f>
        <v>-1</v>
      </c>
      <c r="I804" s="33" t="n">
        <f aca="false">IF(E804="","",E804-C804)</f>
        <v>0.25</v>
      </c>
      <c r="J804" s="33" t="n">
        <f aca="false">IF(F804="","",F804-C804)</f>
        <v>-1</v>
      </c>
      <c r="K804" s="33" t="n">
        <f aca="false">IF(G804="","",G804-C804)</f>
        <v>0.034257402146217</v>
      </c>
      <c r="L804" s="33" t="n">
        <f aca="false">IF(H804="","",ABS(H804))</f>
        <v>1</v>
      </c>
      <c r="M804" s="33" t="n">
        <f aca="false">IF(I804="","",ABS(I804))</f>
        <v>0.25</v>
      </c>
      <c r="N804" s="33" t="n">
        <f aca="false">IF(J804="","",ABS(J804))</f>
        <v>1</v>
      </c>
      <c r="O804" s="33" t="n">
        <f aca="false">IF(K804="","",ABS(K804))</f>
        <v>0.034257402146217</v>
      </c>
      <c r="P804" s="34" t="str">
        <f aca="false">IF(B804&gt;=Eval_Start_Week,"YES","")</f>
        <v>YES</v>
      </c>
      <c r="Q804" s="34" t="str">
        <f aca="false">IF(AND(B804&gt;=Cal_Start_Week,B804&lt;=Cal_End_Week),"YES","")</f>
        <v>YES</v>
      </c>
    </row>
    <row r="805" customFormat="false" ht="15" hidden="false" customHeight="false" outlineLevel="0" collapsed="false">
      <c r="A805" s="31" t="str">
        <f aca="false">Demand_History!C805</f>
        <v>KIT-008</v>
      </c>
      <c r="B805" s="31" t="n">
        <f aca="false">Demand_History!A805</f>
        <v>76</v>
      </c>
      <c r="C805" s="32" t="n">
        <f aca="false">Demand_History!D805</f>
        <v>35</v>
      </c>
      <c r="D805" s="33" t="n">
        <f aca="false">IF(B805&gt;=2,C804,"")</f>
        <v>39</v>
      </c>
      <c r="E805" s="33" t="n">
        <f aca="false">IF(B805&gt;=5,AVERAGE(C801:C804),"")</f>
        <v>39.5</v>
      </c>
      <c r="F805" s="33" t="n">
        <f aca="false">IF(B805&gt;=9,AVERAGE(C797:C804),"")</f>
        <v>38</v>
      </c>
      <c r="G805" s="33" t="n">
        <f aca="false">IF(B805=1,"",IF(B805=2,C804,SES_Alpha*C804+(1-SES_Alpha)*G804))</f>
        <v>39.0239801815024</v>
      </c>
      <c r="H805" s="33" t="n">
        <f aca="false">IF(D805="","",D805-C805)</f>
        <v>4</v>
      </c>
      <c r="I805" s="33" t="n">
        <f aca="false">IF(E805="","",E805-C805)</f>
        <v>4.5</v>
      </c>
      <c r="J805" s="33" t="n">
        <f aca="false">IF(F805="","",F805-C805)</f>
        <v>3</v>
      </c>
      <c r="K805" s="33" t="n">
        <f aca="false">IF(G805="","",G805-C805)</f>
        <v>4.02398018150235</v>
      </c>
      <c r="L805" s="33" t="n">
        <f aca="false">IF(H805="","",ABS(H805))</f>
        <v>4</v>
      </c>
      <c r="M805" s="33" t="n">
        <f aca="false">IF(I805="","",ABS(I805))</f>
        <v>4.5</v>
      </c>
      <c r="N805" s="33" t="n">
        <f aca="false">IF(J805="","",ABS(J805))</f>
        <v>3</v>
      </c>
      <c r="O805" s="33" t="n">
        <f aca="false">IF(K805="","",ABS(K805))</f>
        <v>4.02398018150235</v>
      </c>
      <c r="P805" s="34" t="str">
        <f aca="false">IF(B805&gt;=Eval_Start_Week,"YES","")</f>
        <v>YES</v>
      </c>
      <c r="Q805" s="34" t="str">
        <f aca="false">IF(AND(B805&gt;=Cal_Start_Week,B805&lt;=Cal_End_Week),"YES","")</f>
        <v>YES</v>
      </c>
    </row>
    <row r="806" customFormat="false" ht="15" hidden="false" customHeight="false" outlineLevel="0" collapsed="false">
      <c r="A806" s="31" t="str">
        <f aca="false">Demand_History!C806</f>
        <v>KIT-008</v>
      </c>
      <c r="B806" s="31" t="n">
        <f aca="false">Demand_History!A806</f>
        <v>77</v>
      </c>
      <c r="C806" s="32" t="n">
        <f aca="false">Demand_History!D806</f>
        <v>47</v>
      </c>
      <c r="D806" s="33" t="n">
        <f aca="false">IF(B806&gt;=2,C805,"")</f>
        <v>35</v>
      </c>
      <c r="E806" s="33" t="n">
        <f aca="false">IF(B806&gt;=5,AVERAGE(C802:C805),"")</f>
        <v>38.75</v>
      </c>
      <c r="F806" s="33" t="n">
        <f aca="false">IF(B806&gt;=9,AVERAGE(C798:C805),"")</f>
        <v>37.875</v>
      </c>
      <c r="G806" s="33" t="n">
        <f aca="false">IF(B806=1,"",IF(B806=2,C805,SES_Alpha*C805+(1-SES_Alpha)*G805))</f>
        <v>37.8167861270516</v>
      </c>
      <c r="H806" s="33" t="n">
        <f aca="false">IF(D806="","",D806-C806)</f>
        <v>-12</v>
      </c>
      <c r="I806" s="33" t="n">
        <f aca="false">IF(E806="","",E806-C806)</f>
        <v>-8.25</v>
      </c>
      <c r="J806" s="33" t="n">
        <f aca="false">IF(F806="","",F806-C806)</f>
        <v>-9.125</v>
      </c>
      <c r="K806" s="33" t="n">
        <f aca="false">IF(G806="","",G806-C806)</f>
        <v>-9.18321387294836</v>
      </c>
      <c r="L806" s="33" t="n">
        <f aca="false">IF(H806="","",ABS(H806))</f>
        <v>12</v>
      </c>
      <c r="M806" s="33" t="n">
        <f aca="false">IF(I806="","",ABS(I806))</f>
        <v>8.25</v>
      </c>
      <c r="N806" s="33" t="n">
        <f aca="false">IF(J806="","",ABS(J806))</f>
        <v>9.125</v>
      </c>
      <c r="O806" s="33" t="n">
        <f aca="false">IF(K806="","",ABS(K806))</f>
        <v>9.18321387294836</v>
      </c>
      <c r="P806" s="34" t="str">
        <f aca="false">IF(B806&gt;=Eval_Start_Week,"YES","")</f>
        <v>YES</v>
      </c>
      <c r="Q806" s="34" t="str">
        <f aca="false">IF(AND(B806&gt;=Cal_Start_Week,B806&lt;=Cal_End_Week),"YES","")</f>
        <v>YES</v>
      </c>
    </row>
    <row r="807" customFormat="false" ht="15" hidden="false" customHeight="false" outlineLevel="0" collapsed="false">
      <c r="A807" s="31" t="str">
        <f aca="false">Demand_History!C807</f>
        <v>KIT-008</v>
      </c>
      <c r="B807" s="31" t="n">
        <f aca="false">Demand_History!A807</f>
        <v>78</v>
      </c>
      <c r="C807" s="32" t="n">
        <f aca="false">Demand_History!D807</f>
        <v>42</v>
      </c>
      <c r="D807" s="33" t="n">
        <f aca="false">IF(B807&gt;=2,C806,"")</f>
        <v>47</v>
      </c>
      <c r="E807" s="33" t="n">
        <f aca="false">IF(B807&gt;=5,AVERAGE(C803:C806),"")</f>
        <v>39.75</v>
      </c>
      <c r="F807" s="33" t="n">
        <f aca="false">IF(B807&gt;=9,AVERAGE(C799:C806),"")</f>
        <v>39.25</v>
      </c>
      <c r="G807" s="33" t="n">
        <f aca="false">IF(B807=1,"",IF(B807=2,C806,SES_Alpha*C806+(1-SES_Alpha)*G806))</f>
        <v>40.5717502889362</v>
      </c>
      <c r="H807" s="33" t="n">
        <f aca="false">IF(D807="","",D807-C807)</f>
        <v>5</v>
      </c>
      <c r="I807" s="33" t="n">
        <f aca="false">IF(E807="","",E807-C807)</f>
        <v>-2.25</v>
      </c>
      <c r="J807" s="33" t="n">
        <f aca="false">IF(F807="","",F807-C807)</f>
        <v>-2.75</v>
      </c>
      <c r="K807" s="33" t="n">
        <f aca="false">IF(G807="","",G807-C807)</f>
        <v>-1.42824971106385</v>
      </c>
      <c r="L807" s="33" t="n">
        <f aca="false">IF(H807="","",ABS(H807))</f>
        <v>5</v>
      </c>
      <c r="M807" s="33" t="n">
        <f aca="false">IF(I807="","",ABS(I807))</f>
        <v>2.25</v>
      </c>
      <c r="N807" s="33" t="n">
        <f aca="false">IF(J807="","",ABS(J807))</f>
        <v>2.75</v>
      </c>
      <c r="O807" s="33" t="n">
        <f aca="false">IF(K807="","",ABS(K807))</f>
        <v>1.42824971106385</v>
      </c>
      <c r="P807" s="34" t="str">
        <f aca="false">IF(B807&gt;=Eval_Start_Week,"YES","")</f>
        <v>YES</v>
      </c>
      <c r="Q807" s="34" t="str">
        <f aca="false">IF(AND(B807&gt;=Cal_Start_Week,B807&lt;=Cal_End_Week),"YES","")</f>
        <v>YES</v>
      </c>
    </row>
    <row r="808" customFormat="false" ht="15" hidden="false" customHeight="false" outlineLevel="0" collapsed="false">
      <c r="A808" s="31" t="str">
        <f aca="false">Demand_History!C808</f>
        <v>KIT-008</v>
      </c>
      <c r="B808" s="31" t="n">
        <f aca="false">Demand_History!A808</f>
        <v>79</v>
      </c>
      <c r="C808" s="32" t="n">
        <f aca="false">Demand_History!D808</f>
        <v>48</v>
      </c>
      <c r="D808" s="33" t="n">
        <f aca="false">IF(B808&gt;=2,C807,"")</f>
        <v>42</v>
      </c>
      <c r="E808" s="33" t="n">
        <f aca="false">IF(B808&gt;=5,AVERAGE(C804:C807),"")</f>
        <v>40.75</v>
      </c>
      <c r="F808" s="33" t="n">
        <f aca="false">IF(B808&gt;=9,AVERAGE(C800:C807),"")</f>
        <v>40</v>
      </c>
      <c r="G808" s="33" t="n">
        <f aca="false">IF(B808=1,"",IF(B808=2,C807,SES_Alpha*C807+(1-SES_Alpha)*G807))</f>
        <v>41.0002252022553</v>
      </c>
      <c r="H808" s="33" t="n">
        <f aca="false">IF(D808="","",D808-C808)</f>
        <v>-6</v>
      </c>
      <c r="I808" s="33" t="n">
        <f aca="false">IF(E808="","",E808-C808)</f>
        <v>-7.25</v>
      </c>
      <c r="J808" s="33" t="n">
        <f aca="false">IF(F808="","",F808-C808)</f>
        <v>-8</v>
      </c>
      <c r="K808" s="33" t="n">
        <f aca="false">IF(G808="","",G808-C808)</f>
        <v>-6.9997747977447</v>
      </c>
      <c r="L808" s="33" t="n">
        <f aca="false">IF(H808="","",ABS(H808))</f>
        <v>6</v>
      </c>
      <c r="M808" s="33" t="n">
        <f aca="false">IF(I808="","",ABS(I808))</f>
        <v>7.25</v>
      </c>
      <c r="N808" s="33" t="n">
        <f aca="false">IF(J808="","",ABS(J808))</f>
        <v>8</v>
      </c>
      <c r="O808" s="33" t="n">
        <f aca="false">IF(K808="","",ABS(K808))</f>
        <v>6.9997747977447</v>
      </c>
      <c r="P808" s="34" t="str">
        <f aca="false">IF(B808&gt;=Eval_Start_Week,"YES","")</f>
        <v>YES</v>
      </c>
      <c r="Q808" s="34" t="str">
        <f aca="false">IF(AND(B808&gt;=Cal_Start_Week,B808&lt;=Cal_End_Week),"YES","")</f>
        <v>YES</v>
      </c>
    </row>
    <row r="809" customFormat="false" ht="15" hidden="false" customHeight="false" outlineLevel="0" collapsed="false">
      <c r="A809" s="31" t="str">
        <f aca="false">Demand_History!C809</f>
        <v>KIT-008</v>
      </c>
      <c r="B809" s="31" t="n">
        <f aca="false">Demand_History!A809</f>
        <v>80</v>
      </c>
      <c r="C809" s="32" t="n">
        <f aca="false">Demand_History!D809</f>
        <v>43</v>
      </c>
      <c r="D809" s="33" t="n">
        <f aca="false">IF(B809&gt;=2,C808,"")</f>
        <v>48</v>
      </c>
      <c r="E809" s="33" t="n">
        <f aca="false">IF(B809&gt;=5,AVERAGE(C805:C808),"")</f>
        <v>43</v>
      </c>
      <c r="F809" s="33" t="n">
        <f aca="false">IF(B809&gt;=9,AVERAGE(C801:C808),"")</f>
        <v>41.25</v>
      </c>
      <c r="G809" s="33" t="n">
        <f aca="false">IF(B809=1,"",IF(B809=2,C808,SES_Alpha*C808+(1-SES_Alpha)*G808))</f>
        <v>43.1001576415787</v>
      </c>
      <c r="H809" s="33" t="n">
        <f aca="false">IF(D809="","",D809-C809)</f>
        <v>5</v>
      </c>
      <c r="I809" s="33" t="n">
        <f aca="false">IF(E809="","",E809-C809)</f>
        <v>0</v>
      </c>
      <c r="J809" s="33" t="n">
        <f aca="false">IF(F809="","",F809-C809)</f>
        <v>-1.75</v>
      </c>
      <c r="K809" s="33" t="n">
        <f aca="false">IF(G809="","",G809-C809)</f>
        <v>0.100157641578704</v>
      </c>
      <c r="L809" s="33" t="n">
        <f aca="false">IF(H809="","",ABS(H809))</f>
        <v>5</v>
      </c>
      <c r="M809" s="33" t="n">
        <f aca="false">IF(I809="","",ABS(I809))</f>
        <v>0</v>
      </c>
      <c r="N809" s="33" t="n">
        <f aca="false">IF(J809="","",ABS(J809))</f>
        <v>1.75</v>
      </c>
      <c r="O809" s="33" t="n">
        <f aca="false">IF(K809="","",ABS(K809))</f>
        <v>0.100157641578704</v>
      </c>
      <c r="P809" s="34" t="str">
        <f aca="false">IF(B809&gt;=Eval_Start_Week,"YES","")</f>
        <v>YES</v>
      </c>
      <c r="Q809" s="34" t="str">
        <f aca="false">IF(AND(B809&gt;=Cal_Start_Week,B809&lt;=Cal_End_Week),"YES","")</f>
        <v>YES</v>
      </c>
    </row>
    <row r="810" customFormat="false" ht="15" hidden="false" customHeight="false" outlineLevel="0" collapsed="false">
      <c r="A810" s="31" t="str">
        <f aca="false">Demand_History!C810</f>
        <v>KIT-008</v>
      </c>
      <c r="B810" s="31" t="n">
        <f aca="false">Demand_History!A810</f>
        <v>81</v>
      </c>
      <c r="C810" s="32" t="n">
        <f aca="false">Demand_History!D810</f>
        <v>46</v>
      </c>
      <c r="D810" s="33" t="n">
        <f aca="false">IF(B810&gt;=2,C809,"")</f>
        <v>43</v>
      </c>
      <c r="E810" s="33" t="n">
        <f aca="false">IF(B810&gt;=5,AVERAGE(C806:C809),"")</f>
        <v>45</v>
      </c>
      <c r="F810" s="33" t="n">
        <f aca="false">IF(B810&gt;=9,AVERAGE(C802:C809),"")</f>
        <v>41.875</v>
      </c>
      <c r="G810" s="33" t="n">
        <f aca="false">IF(B810=1,"",IF(B810=2,C809,SES_Alpha*C809+(1-SES_Alpha)*G809))</f>
        <v>43.0701103491051</v>
      </c>
      <c r="H810" s="33" t="n">
        <f aca="false">IF(D810="","",D810-C810)</f>
        <v>-3</v>
      </c>
      <c r="I810" s="33" t="n">
        <f aca="false">IF(E810="","",E810-C810)</f>
        <v>-1</v>
      </c>
      <c r="J810" s="33" t="n">
        <f aca="false">IF(F810="","",F810-C810)</f>
        <v>-4.125</v>
      </c>
      <c r="K810" s="33" t="n">
        <f aca="false">IF(G810="","",G810-C810)</f>
        <v>-2.92988965089491</v>
      </c>
      <c r="L810" s="33" t="n">
        <f aca="false">IF(H810="","",ABS(H810))</f>
        <v>3</v>
      </c>
      <c r="M810" s="33" t="n">
        <f aca="false">IF(I810="","",ABS(I810))</f>
        <v>1</v>
      </c>
      <c r="N810" s="33" t="n">
        <f aca="false">IF(J810="","",ABS(J810))</f>
        <v>4.125</v>
      </c>
      <c r="O810" s="33" t="n">
        <f aca="false">IF(K810="","",ABS(K810))</f>
        <v>2.92988965089491</v>
      </c>
      <c r="P810" s="34" t="str">
        <f aca="false">IF(B810&gt;=Eval_Start_Week,"YES","")</f>
        <v>YES</v>
      </c>
      <c r="Q810" s="34" t="str">
        <f aca="false">IF(AND(B810&gt;=Cal_Start_Week,B810&lt;=Cal_End_Week),"YES","")</f>
        <v>YES</v>
      </c>
    </row>
    <row r="811" customFormat="false" ht="15" hidden="false" customHeight="false" outlineLevel="0" collapsed="false">
      <c r="A811" s="31" t="str">
        <f aca="false">Demand_History!C811</f>
        <v>KIT-008</v>
      </c>
      <c r="B811" s="31" t="n">
        <f aca="false">Demand_History!A811</f>
        <v>82</v>
      </c>
      <c r="C811" s="32" t="n">
        <f aca="false">Demand_History!D811</f>
        <v>39</v>
      </c>
      <c r="D811" s="33" t="n">
        <f aca="false">IF(B811&gt;=2,C810,"")</f>
        <v>46</v>
      </c>
      <c r="E811" s="33" t="n">
        <f aca="false">IF(B811&gt;=5,AVERAGE(C807:C810),"")</f>
        <v>44.75</v>
      </c>
      <c r="F811" s="33" t="n">
        <f aca="false">IF(B811&gt;=9,AVERAGE(C803:C810),"")</f>
        <v>42.25</v>
      </c>
      <c r="G811" s="33" t="n">
        <f aca="false">IF(B811=1,"",IF(B811=2,C810,SES_Alpha*C810+(1-SES_Alpha)*G810))</f>
        <v>43.9490772443736</v>
      </c>
      <c r="H811" s="33" t="n">
        <f aca="false">IF(D811="","",D811-C811)</f>
        <v>7</v>
      </c>
      <c r="I811" s="33" t="n">
        <f aca="false">IF(E811="","",E811-C811)</f>
        <v>5.75</v>
      </c>
      <c r="J811" s="33" t="n">
        <f aca="false">IF(F811="","",F811-C811)</f>
        <v>3.25</v>
      </c>
      <c r="K811" s="33" t="n">
        <f aca="false">IF(G811="","",G811-C811)</f>
        <v>4.94907724437356</v>
      </c>
      <c r="L811" s="33" t="n">
        <f aca="false">IF(H811="","",ABS(H811))</f>
        <v>7</v>
      </c>
      <c r="M811" s="33" t="n">
        <f aca="false">IF(I811="","",ABS(I811))</f>
        <v>5.75</v>
      </c>
      <c r="N811" s="33" t="n">
        <f aca="false">IF(J811="","",ABS(J811))</f>
        <v>3.25</v>
      </c>
      <c r="O811" s="33" t="n">
        <f aca="false">IF(K811="","",ABS(K811))</f>
        <v>4.94907724437356</v>
      </c>
      <c r="P811" s="34" t="str">
        <f aca="false">IF(B811&gt;=Eval_Start_Week,"YES","")</f>
        <v>YES</v>
      </c>
      <c r="Q811" s="34" t="str">
        <f aca="false">IF(AND(B811&gt;=Cal_Start_Week,B811&lt;=Cal_End_Week),"YES","")</f>
        <v>YES</v>
      </c>
    </row>
    <row r="812" customFormat="false" ht="15" hidden="false" customHeight="false" outlineLevel="0" collapsed="false">
      <c r="A812" s="31" t="str">
        <f aca="false">Demand_History!C812</f>
        <v>KIT-008</v>
      </c>
      <c r="B812" s="31" t="n">
        <f aca="false">Demand_History!A812</f>
        <v>83</v>
      </c>
      <c r="C812" s="32" t="n">
        <f aca="false">Demand_History!D812</f>
        <v>43</v>
      </c>
      <c r="D812" s="33" t="n">
        <f aca="false">IF(B812&gt;=2,C811,"")</f>
        <v>39</v>
      </c>
      <c r="E812" s="33" t="n">
        <f aca="false">IF(B812&gt;=5,AVERAGE(C808:C811),"")</f>
        <v>44</v>
      </c>
      <c r="F812" s="33" t="n">
        <f aca="false">IF(B812&gt;=9,AVERAGE(C804:C811),"")</f>
        <v>42.375</v>
      </c>
      <c r="G812" s="33" t="n">
        <f aca="false">IF(B812=1,"",IF(B812=2,C811,SES_Alpha*C811+(1-SES_Alpha)*G811))</f>
        <v>42.4643540710615</v>
      </c>
      <c r="H812" s="33" t="n">
        <f aca="false">IF(D812="","",D812-C812)</f>
        <v>-4</v>
      </c>
      <c r="I812" s="33" t="n">
        <f aca="false">IF(E812="","",E812-C812)</f>
        <v>1</v>
      </c>
      <c r="J812" s="33" t="n">
        <f aca="false">IF(F812="","",F812-C812)</f>
        <v>-0.625</v>
      </c>
      <c r="K812" s="33" t="n">
        <f aca="false">IF(G812="","",G812-C812)</f>
        <v>-0.535645928938507</v>
      </c>
      <c r="L812" s="33" t="n">
        <f aca="false">IF(H812="","",ABS(H812))</f>
        <v>4</v>
      </c>
      <c r="M812" s="33" t="n">
        <f aca="false">IF(I812="","",ABS(I812))</f>
        <v>1</v>
      </c>
      <c r="N812" s="33" t="n">
        <f aca="false">IF(J812="","",ABS(J812))</f>
        <v>0.625</v>
      </c>
      <c r="O812" s="33" t="n">
        <f aca="false">IF(K812="","",ABS(K812))</f>
        <v>0.535645928938507</v>
      </c>
      <c r="P812" s="34" t="str">
        <f aca="false">IF(B812&gt;=Eval_Start_Week,"YES","")</f>
        <v>YES</v>
      </c>
      <c r="Q812" s="34" t="str">
        <f aca="false">IF(AND(B812&gt;=Cal_Start_Week,B812&lt;=Cal_End_Week),"YES","")</f>
        <v>YES</v>
      </c>
    </row>
    <row r="813" customFormat="false" ht="15" hidden="false" customHeight="false" outlineLevel="0" collapsed="false">
      <c r="A813" s="31" t="str">
        <f aca="false">Demand_History!C813</f>
        <v>KIT-008</v>
      </c>
      <c r="B813" s="31" t="n">
        <f aca="false">Demand_History!A813</f>
        <v>84</v>
      </c>
      <c r="C813" s="32" t="n">
        <f aca="false">Demand_History!D813</f>
        <v>51</v>
      </c>
      <c r="D813" s="33" t="n">
        <f aca="false">IF(B813&gt;=2,C812,"")</f>
        <v>43</v>
      </c>
      <c r="E813" s="33" t="n">
        <f aca="false">IF(B813&gt;=5,AVERAGE(C809:C812),"")</f>
        <v>42.75</v>
      </c>
      <c r="F813" s="33" t="n">
        <f aca="false">IF(B813&gt;=9,AVERAGE(C805:C812),"")</f>
        <v>42.875</v>
      </c>
      <c r="G813" s="33" t="n">
        <f aca="false">IF(B813=1,"",IF(B813=2,C812,SES_Alpha*C812+(1-SES_Alpha)*G812))</f>
        <v>42.625047849743</v>
      </c>
      <c r="H813" s="33" t="n">
        <f aca="false">IF(D813="","",D813-C813)</f>
        <v>-8</v>
      </c>
      <c r="I813" s="33" t="n">
        <f aca="false">IF(E813="","",E813-C813)</f>
        <v>-8.25</v>
      </c>
      <c r="J813" s="33" t="n">
        <f aca="false">IF(F813="","",F813-C813)</f>
        <v>-8.125</v>
      </c>
      <c r="K813" s="33" t="n">
        <f aca="false">IF(G813="","",G813-C813)</f>
        <v>-8.37495215025696</v>
      </c>
      <c r="L813" s="33" t="n">
        <f aca="false">IF(H813="","",ABS(H813))</f>
        <v>8</v>
      </c>
      <c r="M813" s="33" t="n">
        <f aca="false">IF(I813="","",ABS(I813))</f>
        <v>8.25</v>
      </c>
      <c r="N813" s="33" t="n">
        <f aca="false">IF(J813="","",ABS(J813))</f>
        <v>8.125</v>
      </c>
      <c r="O813" s="33" t="n">
        <f aca="false">IF(K813="","",ABS(K813))</f>
        <v>8.37495215025696</v>
      </c>
      <c r="P813" s="34" t="str">
        <f aca="false">IF(B813&gt;=Eval_Start_Week,"YES","")</f>
        <v>YES</v>
      </c>
      <c r="Q813" s="34" t="str">
        <f aca="false">IF(AND(B813&gt;=Cal_Start_Week,B813&lt;=Cal_End_Week),"YES","")</f>
        <v>YES</v>
      </c>
    </row>
    <row r="814" customFormat="false" ht="15" hidden="false" customHeight="false" outlineLevel="0" collapsed="false">
      <c r="A814" s="31" t="str">
        <f aca="false">Demand_History!C814</f>
        <v>KIT-008</v>
      </c>
      <c r="B814" s="31" t="n">
        <f aca="false">Demand_History!A814</f>
        <v>85</v>
      </c>
      <c r="C814" s="32" t="n">
        <f aca="false">Demand_History!D814</f>
        <v>35</v>
      </c>
      <c r="D814" s="33" t="n">
        <f aca="false">IF(B814&gt;=2,C813,"")</f>
        <v>51</v>
      </c>
      <c r="E814" s="33" t="n">
        <f aca="false">IF(B814&gt;=5,AVERAGE(C810:C813),"")</f>
        <v>44.75</v>
      </c>
      <c r="F814" s="33" t="n">
        <f aca="false">IF(B814&gt;=9,AVERAGE(C806:C813),"")</f>
        <v>44.875</v>
      </c>
      <c r="G814" s="33" t="n">
        <f aca="false">IF(B814=1,"",IF(B814=2,C813,SES_Alpha*C813+(1-SES_Alpha)*G813))</f>
        <v>45.1375334948201</v>
      </c>
      <c r="H814" s="33" t="n">
        <f aca="false">IF(D814="","",D814-C814)</f>
        <v>16</v>
      </c>
      <c r="I814" s="33" t="n">
        <f aca="false">IF(E814="","",E814-C814)</f>
        <v>9.75</v>
      </c>
      <c r="J814" s="33" t="n">
        <f aca="false">IF(F814="","",F814-C814)</f>
        <v>9.875</v>
      </c>
      <c r="K814" s="33" t="n">
        <f aca="false">IF(G814="","",G814-C814)</f>
        <v>10.1375334948201</v>
      </c>
      <c r="L814" s="33" t="n">
        <f aca="false">IF(H814="","",ABS(H814))</f>
        <v>16</v>
      </c>
      <c r="M814" s="33" t="n">
        <f aca="false">IF(I814="","",ABS(I814))</f>
        <v>9.75</v>
      </c>
      <c r="N814" s="33" t="n">
        <f aca="false">IF(J814="","",ABS(J814))</f>
        <v>9.875</v>
      </c>
      <c r="O814" s="33" t="n">
        <f aca="false">IF(K814="","",ABS(K814))</f>
        <v>10.1375334948201</v>
      </c>
      <c r="P814" s="34" t="str">
        <f aca="false">IF(B814&gt;=Eval_Start_Week,"YES","")</f>
        <v>YES</v>
      </c>
      <c r="Q814" s="34" t="str">
        <f aca="false">IF(AND(B814&gt;=Cal_Start_Week,B814&lt;=Cal_End_Week),"YES","")</f>
        <v>YES</v>
      </c>
    </row>
    <row r="815" customFormat="false" ht="15" hidden="false" customHeight="false" outlineLevel="0" collapsed="false">
      <c r="A815" s="31" t="str">
        <f aca="false">Demand_History!C815</f>
        <v>KIT-008</v>
      </c>
      <c r="B815" s="31" t="n">
        <f aca="false">Demand_History!A815</f>
        <v>86</v>
      </c>
      <c r="C815" s="32" t="n">
        <f aca="false">Demand_History!D815</f>
        <v>45</v>
      </c>
      <c r="D815" s="33" t="n">
        <f aca="false">IF(B815&gt;=2,C814,"")</f>
        <v>35</v>
      </c>
      <c r="E815" s="33" t="n">
        <f aca="false">IF(B815&gt;=5,AVERAGE(C811:C814),"")</f>
        <v>42</v>
      </c>
      <c r="F815" s="33" t="n">
        <f aca="false">IF(B815&gt;=9,AVERAGE(C807:C814),"")</f>
        <v>43.375</v>
      </c>
      <c r="G815" s="33" t="n">
        <f aca="false">IF(B815=1,"",IF(B815=2,C814,SES_Alpha*C814+(1-SES_Alpha)*G814))</f>
        <v>42.0962734463741</v>
      </c>
      <c r="H815" s="33" t="n">
        <f aca="false">IF(D815="","",D815-C815)</f>
        <v>-10</v>
      </c>
      <c r="I815" s="33" t="n">
        <f aca="false">IF(E815="","",E815-C815)</f>
        <v>-3</v>
      </c>
      <c r="J815" s="33" t="n">
        <f aca="false">IF(F815="","",F815-C815)</f>
        <v>-1.625</v>
      </c>
      <c r="K815" s="33" t="n">
        <f aca="false">IF(G815="","",G815-C815)</f>
        <v>-2.90372655362592</v>
      </c>
      <c r="L815" s="33" t="n">
        <f aca="false">IF(H815="","",ABS(H815))</f>
        <v>10</v>
      </c>
      <c r="M815" s="33" t="n">
        <f aca="false">IF(I815="","",ABS(I815))</f>
        <v>3</v>
      </c>
      <c r="N815" s="33" t="n">
        <f aca="false">IF(J815="","",ABS(J815))</f>
        <v>1.625</v>
      </c>
      <c r="O815" s="33" t="n">
        <f aca="false">IF(K815="","",ABS(K815))</f>
        <v>2.90372655362592</v>
      </c>
      <c r="P815" s="34" t="str">
        <f aca="false">IF(B815&gt;=Eval_Start_Week,"YES","")</f>
        <v>YES</v>
      </c>
      <c r="Q815" s="34" t="str">
        <f aca="false">IF(AND(B815&gt;=Cal_Start_Week,B815&lt;=Cal_End_Week),"YES","")</f>
        <v>YES</v>
      </c>
    </row>
    <row r="816" customFormat="false" ht="15" hidden="false" customHeight="false" outlineLevel="0" collapsed="false">
      <c r="A816" s="31" t="str">
        <f aca="false">Demand_History!C816</f>
        <v>KIT-008</v>
      </c>
      <c r="B816" s="31" t="n">
        <f aca="false">Demand_History!A816</f>
        <v>87</v>
      </c>
      <c r="C816" s="32" t="n">
        <f aca="false">Demand_History!D816</f>
        <v>47</v>
      </c>
      <c r="D816" s="33" t="n">
        <f aca="false">IF(B816&gt;=2,C815,"")</f>
        <v>45</v>
      </c>
      <c r="E816" s="33" t="n">
        <f aca="false">IF(B816&gt;=5,AVERAGE(C812:C815),"")</f>
        <v>43.5</v>
      </c>
      <c r="F816" s="33" t="n">
        <f aca="false">IF(B816&gt;=9,AVERAGE(C808:C815),"")</f>
        <v>43.75</v>
      </c>
      <c r="G816" s="33" t="n">
        <f aca="false">IF(B816=1,"",IF(B816=2,C815,SES_Alpha*C815+(1-SES_Alpha)*G815))</f>
        <v>42.9673914124619</v>
      </c>
      <c r="H816" s="33" t="n">
        <f aca="false">IF(D816="","",D816-C816)</f>
        <v>-2</v>
      </c>
      <c r="I816" s="33" t="n">
        <f aca="false">IF(E816="","",E816-C816)</f>
        <v>-3.5</v>
      </c>
      <c r="J816" s="33" t="n">
        <f aca="false">IF(F816="","",F816-C816)</f>
        <v>-3.25</v>
      </c>
      <c r="K816" s="33" t="n">
        <f aca="false">IF(G816="","",G816-C816)</f>
        <v>-4.03260858753814</v>
      </c>
      <c r="L816" s="33" t="n">
        <f aca="false">IF(H816="","",ABS(H816))</f>
        <v>2</v>
      </c>
      <c r="M816" s="33" t="n">
        <f aca="false">IF(I816="","",ABS(I816))</f>
        <v>3.5</v>
      </c>
      <c r="N816" s="33" t="n">
        <f aca="false">IF(J816="","",ABS(J816))</f>
        <v>3.25</v>
      </c>
      <c r="O816" s="33" t="n">
        <f aca="false">IF(K816="","",ABS(K816))</f>
        <v>4.03260858753814</v>
      </c>
      <c r="P816" s="34" t="str">
        <f aca="false">IF(B816&gt;=Eval_Start_Week,"YES","")</f>
        <v>YES</v>
      </c>
      <c r="Q816" s="34" t="str">
        <f aca="false">IF(AND(B816&gt;=Cal_Start_Week,B816&lt;=Cal_End_Week),"YES","")</f>
        <v>YES</v>
      </c>
    </row>
    <row r="817" customFormat="false" ht="15" hidden="false" customHeight="false" outlineLevel="0" collapsed="false">
      <c r="A817" s="31" t="str">
        <f aca="false">Demand_History!C817</f>
        <v>KIT-008</v>
      </c>
      <c r="B817" s="31" t="n">
        <f aca="false">Demand_History!A817</f>
        <v>88</v>
      </c>
      <c r="C817" s="32" t="n">
        <f aca="false">Demand_History!D817</f>
        <v>42</v>
      </c>
      <c r="D817" s="33" t="n">
        <f aca="false">IF(B817&gt;=2,C816,"")</f>
        <v>47</v>
      </c>
      <c r="E817" s="33" t="n">
        <f aca="false">IF(B817&gt;=5,AVERAGE(C813:C816),"")</f>
        <v>44.5</v>
      </c>
      <c r="F817" s="33" t="n">
        <f aca="false">IF(B817&gt;=9,AVERAGE(C809:C816),"")</f>
        <v>43.625</v>
      </c>
      <c r="G817" s="33" t="n">
        <f aca="false">IF(B817=1,"",IF(B817=2,C816,SES_Alpha*C816+(1-SES_Alpha)*G816))</f>
        <v>44.1771739887233</v>
      </c>
      <c r="H817" s="33" t="n">
        <f aca="false">IF(D817="","",D817-C817)</f>
        <v>5</v>
      </c>
      <c r="I817" s="33" t="n">
        <f aca="false">IF(E817="","",E817-C817)</f>
        <v>2.5</v>
      </c>
      <c r="J817" s="33" t="n">
        <f aca="false">IF(F817="","",F817-C817)</f>
        <v>1.625</v>
      </c>
      <c r="K817" s="33" t="n">
        <f aca="false">IF(G817="","",G817-C817)</f>
        <v>2.1771739887233</v>
      </c>
      <c r="L817" s="33" t="n">
        <f aca="false">IF(H817="","",ABS(H817))</f>
        <v>5</v>
      </c>
      <c r="M817" s="33" t="n">
        <f aca="false">IF(I817="","",ABS(I817))</f>
        <v>2.5</v>
      </c>
      <c r="N817" s="33" t="n">
        <f aca="false">IF(J817="","",ABS(J817))</f>
        <v>1.625</v>
      </c>
      <c r="O817" s="33" t="n">
        <f aca="false">IF(K817="","",ABS(K817))</f>
        <v>2.1771739887233</v>
      </c>
      <c r="P817" s="34" t="str">
        <f aca="false">IF(B817&gt;=Eval_Start_Week,"YES","")</f>
        <v>YES</v>
      </c>
      <c r="Q817" s="34" t="str">
        <f aca="false">IF(AND(B817&gt;=Cal_Start_Week,B817&lt;=Cal_End_Week),"YES","")</f>
        <v>YES</v>
      </c>
    </row>
    <row r="818" customFormat="false" ht="15" hidden="false" customHeight="false" outlineLevel="0" collapsed="false">
      <c r="A818" s="31" t="str">
        <f aca="false">Demand_History!C818</f>
        <v>KIT-008</v>
      </c>
      <c r="B818" s="31" t="n">
        <f aca="false">Demand_History!A818</f>
        <v>89</v>
      </c>
      <c r="C818" s="32" t="n">
        <f aca="false">Demand_History!D818</f>
        <v>43</v>
      </c>
      <c r="D818" s="33" t="n">
        <f aca="false">IF(B818&gt;=2,C817,"")</f>
        <v>42</v>
      </c>
      <c r="E818" s="33" t="n">
        <f aca="false">IF(B818&gt;=5,AVERAGE(C814:C817),"")</f>
        <v>42.25</v>
      </c>
      <c r="F818" s="33" t="n">
        <f aca="false">IF(B818&gt;=9,AVERAGE(C810:C817),"")</f>
        <v>43.5</v>
      </c>
      <c r="G818" s="33" t="n">
        <f aca="false">IF(B818=1,"",IF(B818=2,C817,SES_Alpha*C817+(1-SES_Alpha)*G817))</f>
        <v>43.5240217921063</v>
      </c>
      <c r="H818" s="33" t="n">
        <f aca="false">IF(D818="","",D818-C818)</f>
        <v>-1</v>
      </c>
      <c r="I818" s="33" t="n">
        <f aca="false">IF(E818="","",E818-C818)</f>
        <v>-0.75</v>
      </c>
      <c r="J818" s="33" t="n">
        <f aca="false">IF(F818="","",F818-C818)</f>
        <v>0.5</v>
      </c>
      <c r="K818" s="33" t="n">
        <f aca="false">IF(G818="","",G818-C818)</f>
        <v>0.524021792106304</v>
      </c>
      <c r="L818" s="33" t="n">
        <f aca="false">IF(H818="","",ABS(H818))</f>
        <v>1</v>
      </c>
      <c r="M818" s="33" t="n">
        <f aca="false">IF(I818="","",ABS(I818))</f>
        <v>0.75</v>
      </c>
      <c r="N818" s="33" t="n">
        <f aca="false">IF(J818="","",ABS(J818))</f>
        <v>0.5</v>
      </c>
      <c r="O818" s="33" t="n">
        <f aca="false">IF(K818="","",ABS(K818))</f>
        <v>0.524021792106304</v>
      </c>
      <c r="P818" s="34" t="str">
        <f aca="false">IF(B818&gt;=Eval_Start_Week,"YES","")</f>
        <v>YES</v>
      </c>
      <c r="Q818" s="34" t="str">
        <f aca="false">IF(AND(B818&gt;=Cal_Start_Week,B818&lt;=Cal_End_Week),"YES","")</f>
        <v/>
      </c>
    </row>
    <row r="819" customFormat="false" ht="15" hidden="false" customHeight="false" outlineLevel="0" collapsed="false">
      <c r="A819" s="31" t="str">
        <f aca="false">Demand_History!C819</f>
        <v>KIT-008</v>
      </c>
      <c r="B819" s="31" t="n">
        <f aca="false">Demand_History!A819</f>
        <v>90</v>
      </c>
      <c r="C819" s="32" t="n">
        <f aca="false">Demand_History!D819</f>
        <v>45</v>
      </c>
      <c r="D819" s="33" t="n">
        <f aca="false">IF(B819&gt;=2,C818,"")</f>
        <v>43</v>
      </c>
      <c r="E819" s="33" t="n">
        <f aca="false">IF(B819&gt;=5,AVERAGE(C815:C818),"")</f>
        <v>44.25</v>
      </c>
      <c r="F819" s="33" t="n">
        <f aca="false">IF(B819&gt;=9,AVERAGE(C811:C818),"")</f>
        <v>43.125</v>
      </c>
      <c r="G819" s="33" t="n">
        <f aca="false">IF(B819=1,"",IF(B819=2,C818,SES_Alpha*C818+(1-SES_Alpha)*G818))</f>
        <v>43.3668152544744</v>
      </c>
      <c r="H819" s="33" t="n">
        <f aca="false">IF(D819="","",D819-C819)</f>
        <v>-2</v>
      </c>
      <c r="I819" s="33" t="n">
        <f aca="false">IF(E819="","",E819-C819)</f>
        <v>-0.75</v>
      </c>
      <c r="J819" s="33" t="n">
        <f aca="false">IF(F819="","",F819-C819)</f>
        <v>-1.875</v>
      </c>
      <c r="K819" s="33" t="n">
        <f aca="false">IF(G819="","",G819-C819)</f>
        <v>-1.63318474552559</v>
      </c>
      <c r="L819" s="33" t="n">
        <f aca="false">IF(H819="","",ABS(H819))</f>
        <v>2</v>
      </c>
      <c r="M819" s="33" t="n">
        <f aca="false">IF(I819="","",ABS(I819))</f>
        <v>0.75</v>
      </c>
      <c r="N819" s="33" t="n">
        <f aca="false">IF(J819="","",ABS(J819))</f>
        <v>1.875</v>
      </c>
      <c r="O819" s="33" t="n">
        <f aca="false">IF(K819="","",ABS(K819))</f>
        <v>1.63318474552559</v>
      </c>
      <c r="P819" s="34" t="str">
        <f aca="false">IF(B819&gt;=Eval_Start_Week,"YES","")</f>
        <v>YES</v>
      </c>
      <c r="Q819" s="34" t="str">
        <f aca="false">IF(AND(B819&gt;=Cal_Start_Week,B819&lt;=Cal_End_Week),"YES","")</f>
        <v/>
      </c>
    </row>
    <row r="820" customFormat="false" ht="15" hidden="false" customHeight="false" outlineLevel="0" collapsed="false">
      <c r="A820" s="31" t="str">
        <f aca="false">Demand_History!C820</f>
        <v>KIT-008</v>
      </c>
      <c r="B820" s="31" t="n">
        <f aca="false">Demand_History!A820</f>
        <v>91</v>
      </c>
      <c r="C820" s="32" t="n">
        <f aca="false">Demand_History!D820</f>
        <v>37</v>
      </c>
      <c r="D820" s="33" t="n">
        <f aca="false">IF(B820&gt;=2,C819,"")</f>
        <v>45</v>
      </c>
      <c r="E820" s="33" t="n">
        <f aca="false">IF(B820&gt;=5,AVERAGE(C816:C819),"")</f>
        <v>44.25</v>
      </c>
      <c r="F820" s="33" t="n">
        <f aca="false">IF(B820&gt;=9,AVERAGE(C812:C819),"")</f>
        <v>43.875</v>
      </c>
      <c r="G820" s="33" t="n">
        <f aca="false">IF(B820=1,"",IF(B820=2,C819,SES_Alpha*C819+(1-SES_Alpha)*G819))</f>
        <v>43.8567706781321</v>
      </c>
      <c r="H820" s="33" t="n">
        <f aca="false">IF(D820="","",D820-C820)</f>
        <v>8</v>
      </c>
      <c r="I820" s="33" t="n">
        <f aca="false">IF(E820="","",E820-C820)</f>
        <v>7.25</v>
      </c>
      <c r="J820" s="33" t="n">
        <f aca="false">IF(F820="","",F820-C820)</f>
        <v>6.875</v>
      </c>
      <c r="K820" s="33" t="n">
        <f aca="false">IF(G820="","",G820-C820)</f>
        <v>6.85677067813209</v>
      </c>
      <c r="L820" s="33" t="n">
        <f aca="false">IF(H820="","",ABS(H820))</f>
        <v>8</v>
      </c>
      <c r="M820" s="33" t="n">
        <f aca="false">IF(I820="","",ABS(I820))</f>
        <v>7.25</v>
      </c>
      <c r="N820" s="33" t="n">
        <f aca="false">IF(J820="","",ABS(J820))</f>
        <v>6.875</v>
      </c>
      <c r="O820" s="33" t="n">
        <f aca="false">IF(K820="","",ABS(K820))</f>
        <v>6.85677067813209</v>
      </c>
      <c r="P820" s="34" t="str">
        <f aca="false">IF(B820&gt;=Eval_Start_Week,"YES","")</f>
        <v>YES</v>
      </c>
      <c r="Q820" s="34" t="str">
        <f aca="false">IF(AND(B820&gt;=Cal_Start_Week,B820&lt;=Cal_End_Week),"YES","")</f>
        <v/>
      </c>
    </row>
    <row r="821" customFormat="false" ht="15" hidden="false" customHeight="false" outlineLevel="0" collapsed="false">
      <c r="A821" s="31" t="str">
        <f aca="false">Demand_History!C821</f>
        <v>KIT-008</v>
      </c>
      <c r="B821" s="31" t="n">
        <f aca="false">Demand_History!A821</f>
        <v>92</v>
      </c>
      <c r="C821" s="32" t="n">
        <f aca="false">Demand_History!D821</f>
        <v>42</v>
      </c>
      <c r="D821" s="33" t="n">
        <f aca="false">IF(B821&gt;=2,C820,"")</f>
        <v>37</v>
      </c>
      <c r="E821" s="33" t="n">
        <f aca="false">IF(B821&gt;=5,AVERAGE(C817:C820),"")</f>
        <v>41.75</v>
      </c>
      <c r="F821" s="33" t="n">
        <f aca="false">IF(B821&gt;=9,AVERAGE(C813:C820),"")</f>
        <v>43.125</v>
      </c>
      <c r="G821" s="33" t="n">
        <f aca="false">IF(B821=1,"",IF(B821=2,C820,SES_Alpha*C820+(1-SES_Alpha)*G820))</f>
        <v>41.7997394746925</v>
      </c>
      <c r="H821" s="33" t="n">
        <f aca="false">IF(D821="","",D821-C821)</f>
        <v>-5</v>
      </c>
      <c r="I821" s="33" t="n">
        <f aca="false">IF(E821="","",E821-C821)</f>
        <v>-0.25</v>
      </c>
      <c r="J821" s="33" t="n">
        <f aca="false">IF(F821="","",F821-C821)</f>
        <v>1.125</v>
      </c>
      <c r="K821" s="33" t="n">
        <f aca="false">IF(G821="","",G821-C821)</f>
        <v>-0.200260525307542</v>
      </c>
      <c r="L821" s="33" t="n">
        <f aca="false">IF(H821="","",ABS(H821))</f>
        <v>5</v>
      </c>
      <c r="M821" s="33" t="n">
        <f aca="false">IF(I821="","",ABS(I821))</f>
        <v>0.25</v>
      </c>
      <c r="N821" s="33" t="n">
        <f aca="false">IF(J821="","",ABS(J821))</f>
        <v>1.125</v>
      </c>
      <c r="O821" s="33" t="n">
        <f aca="false">IF(K821="","",ABS(K821))</f>
        <v>0.200260525307542</v>
      </c>
      <c r="P821" s="34" t="str">
        <f aca="false">IF(B821&gt;=Eval_Start_Week,"YES","")</f>
        <v>YES</v>
      </c>
      <c r="Q821" s="34" t="str">
        <f aca="false">IF(AND(B821&gt;=Cal_Start_Week,B821&lt;=Cal_End_Week),"YES","")</f>
        <v/>
      </c>
    </row>
    <row r="822" customFormat="false" ht="15" hidden="false" customHeight="false" outlineLevel="0" collapsed="false">
      <c r="A822" s="31" t="str">
        <f aca="false">Demand_History!C822</f>
        <v>KIT-008</v>
      </c>
      <c r="B822" s="31" t="n">
        <f aca="false">Demand_History!A822</f>
        <v>93</v>
      </c>
      <c r="C822" s="32" t="n">
        <f aca="false">Demand_History!D822</f>
        <v>36</v>
      </c>
      <c r="D822" s="33" t="n">
        <f aca="false">IF(B822&gt;=2,C821,"")</f>
        <v>42</v>
      </c>
      <c r="E822" s="33" t="n">
        <f aca="false">IF(B822&gt;=5,AVERAGE(C818:C821),"")</f>
        <v>41.75</v>
      </c>
      <c r="F822" s="33" t="n">
        <f aca="false">IF(B822&gt;=9,AVERAGE(C814:C821),"")</f>
        <v>42</v>
      </c>
      <c r="G822" s="33" t="n">
        <f aca="false">IF(B822=1,"",IF(B822=2,C821,SES_Alpha*C821+(1-SES_Alpha)*G821))</f>
        <v>41.8598176322847</v>
      </c>
      <c r="H822" s="33" t="n">
        <f aca="false">IF(D822="","",D822-C822)</f>
        <v>6</v>
      </c>
      <c r="I822" s="33" t="n">
        <f aca="false">IF(E822="","",E822-C822)</f>
        <v>5.75</v>
      </c>
      <c r="J822" s="33" t="n">
        <f aca="false">IF(F822="","",F822-C822)</f>
        <v>6</v>
      </c>
      <c r="K822" s="33" t="n">
        <f aca="false">IF(G822="","",G822-C822)</f>
        <v>5.85981763228472</v>
      </c>
      <c r="L822" s="33" t="n">
        <f aca="false">IF(H822="","",ABS(H822))</f>
        <v>6</v>
      </c>
      <c r="M822" s="33" t="n">
        <f aca="false">IF(I822="","",ABS(I822))</f>
        <v>5.75</v>
      </c>
      <c r="N822" s="33" t="n">
        <f aca="false">IF(J822="","",ABS(J822))</f>
        <v>6</v>
      </c>
      <c r="O822" s="33" t="n">
        <f aca="false">IF(K822="","",ABS(K822))</f>
        <v>5.85981763228472</v>
      </c>
      <c r="P822" s="34" t="str">
        <f aca="false">IF(B822&gt;=Eval_Start_Week,"YES","")</f>
        <v>YES</v>
      </c>
      <c r="Q822" s="34" t="str">
        <f aca="false">IF(AND(B822&gt;=Cal_Start_Week,B822&lt;=Cal_End_Week),"YES","")</f>
        <v/>
      </c>
    </row>
    <row r="823" customFormat="false" ht="15" hidden="false" customHeight="false" outlineLevel="0" collapsed="false">
      <c r="A823" s="31" t="str">
        <f aca="false">Demand_History!C823</f>
        <v>KIT-008</v>
      </c>
      <c r="B823" s="31" t="n">
        <f aca="false">Demand_History!A823</f>
        <v>94</v>
      </c>
      <c r="C823" s="32" t="n">
        <f aca="false">Demand_History!D823</f>
        <v>37</v>
      </c>
      <c r="D823" s="33" t="n">
        <f aca="false">IF(B823&gt;=2,C822,"")</f>
        <v>36</v>
      </c>
      <c r="E823" s="33" t="n">
        <f aca="false">IF(B823&gt;=5,AVERAGE(C819:C822),"")</f>
        <v>40</v>
      </c>
      <c r="F823" s="33" t="n">
        <f aca="false">IF(B823&gt;=9,AVERAGE(C815:C822),"")</f>
        <v>42.125</v>
      </c>
      <c r="G823" s="33" t="n">
        <f aca="false">IF(B823=1,"",IF(B823=2,C822,SES_Alpha*C822+(1-SES_Alpha)*G822))</f>
        <v>40.1018723425993</v>
      </c>
      <c r="H823" s="33" t="n">
        <f aca="false">IF(D823="","",D823-C823)</f>
        <v>-1</v>
      </c>
      <c r="I823" s="33" t="n">
        <f aca="false">IF(E823="","",E823-C823)</f>
        <v>3</v>
      </c>
      <c r="J823" s="33" t="n">
        <f aca="false">IF(F823="","",F823-C823)</f>
        <v>5.125</v>
      </c>
      <c r="K823" s="33" t="n">
        <f aca="false">IF(G823="","",G823-C823)</f>
        <v>3.1018723425993</v>
      </c>
      <c r="L823" s="33" t="n">
        <f aca="false">IF(H823="","",ABS(H823))</f>
        <v>1</v>
      </c>
      <c r="M823" s="33" t="n">
        <f aca="false">IF(I823="","",ABS(I823))</f>
        <v>3</v>
      </c>
      <c r="N823" s="33" t="n">
        <f aca="false">IF(J823="","",ABS(J823))</f>
        <v>5.125</v>
      </c>
      <c r="O823" s="33" t="n">
        <f aca="false">IF(K823="","",ABS(K823))</f>
        <v>3.1018723425993</v>
      </c>
      <c r="P823" s="34" t="str">
        <f aca="false">IF(B823&gt;=Eval_Start_Week,"YES","")</f>
        <v>YES</v>
      </c>
      <c r="Q823" s="34" t="str">
        <f aca="false">IF(AND(B823&gt;=Cal_Start_Week,B823&lt;=Cal_End_Week),"YES","")</f>
        <v/>
      </c>
    </row>
    <row r="824" customFormat="false" ht="15" hidden="false" customHeight="false" outlineLevel="0" collapsed="false">
      <c r="A824" s="31" t="str">
        <f aca="false">Demand_History!C824</f>
        <v>KIT-008</v>
      </c>
      <c r="B824" s="31" t="n">
        <f aca="false">Demand_History!A824</f>
        <v>95</v>
      </c>
      <c r="C824" s="32" t="n">
        <f aca="false">Demand_History!D824</f>
        <v>37</v>
      </c>
      <c r="D824" s="33" t="n">
        <f aca="false">IF(B824&gt;=2,C823,"")</f>
        <v>37</v>
      </c>
      <c r="E824" s="33" t="n">
        <f aca="false">IF(B824&gt;=5,AVERAGE(C820:C823),"")</f>
        <v>38</v>
      </c>
      <c r="F824" s="33" t="n">
        <f aca="false">IF(B824&gt;=9,AVERAGE(C816:C823),"")</f>
        <v>41.125</v>
      </c>
      <c r="G824" s="33" t="n">
        <f aca="false">IF(B824=1,"",IF(B824=2,C823,SES_Alpha*C823+(1-SES_Alpha)*G823))</f>
        <v>39.1713106398195</v>
      </c>
      <c r="H824" s="33" t="n">
        <f aca="false">IF(D824="","",D824-C824)</f>
        <v>0</v>
      </c>
      <c r="I824" s="33" t="n">
        <f aca="false">IF(E824="","",E824-C824)</f>
        <v>1</v>
      </c>
      <c r="J824" s="33" t="n">
        <f aca="false">IF(F824="","",F824-C824)</f>
        <v>4.125</v>
      </c>
      <c r="K824" s="33" t="n">
        <f aca="false">IF(G824="","",G824-C824)</f>
        <v>2.17131063981951</v>
      </c>
      <c r="L824" s="33" t="n">
        <f aca="false">IF(H824="","",ABS(H824))</f>
        <v>0</v>
      </c>
      <c r="M824" s="33" t="n">
        <f aca="false">IF(I824="","",ABS(I824))</f>
        <v>1</v>
      </c>
      <c r="N824" s="33" t="n">
        <f aca="false">IF(J824="","",ABS(J824))</f>
        <v>4.125</v>
      </c>
      <c r="O824" s="33" t="n">
        <f aca="false">IF(K824="","",ABS(K824))</f>
        <v>2.17131063981951</v>
      </c>
      <c r="P824" s="34" t="str">
        <f aca="false">IF(B824&gt;=Eval_Start_Week,"YES","")</f>
        <v>YES</v>
      </c>
      <c r="Q824" s="34" t="str">
        <f aca="false">IF(AND(B824&gt;=Cal_Start_Week,B824&lt;=Cal_End_Week),"YES","")</f>
        <v/>
      </c>
    </row>
    <row r="825" customFormat="false" ht="15" hidden="false" customHeight="false" outlineLevel="0" collapsed="false">
      <c r="A825" s="31" t="str">
        <f aca="false">Demand_History!C825</f>
        <v>KIT-008</v>
      </c>
      <c r="B825" s="31" t="n">
        <f aca="false">Demand_History!A825</f>
        <v>96</v>
      </c>
      <c r="C825" s="32" t="n">
        <f aca="false">Demand_History!D825</f>
        <v>39</v>
      </c>
      <c r="D825" s="33" t="n">
        <f aca="false">IF(B825&gt;=2,C824,"")</f>
        <v>37</v>
      </c>
      <c r="E825" s="33" t="n">
        <f aca="false">IF(B825&gt;=5,AVERAGE(C821:C824),"")</f>
        <v>38</v>
      </c>
      <c r="F825" s="33" t="n">
        <f aca="false">IF(B825&gt;=9,AVERAGE(C817:C824),"")</f>
        <v>39.875</v>
      </c>
      <c r="G825" s="33" t="n">
        <f aca="false">IF(B825=1,"",IF(B825=2,C824,SES_Alpha*C824+(1-SES_Alpha)*G824))</f>
        <v>38.5199174478737</v>
      </c>
      <c r="H825" s="33" t="n">
        <f aca="false">IF(D825="","",D825-C825)</f>
        <v>-2</v>
      </c>
      <c r="I825" s="33" t="n">
        <f aca="false">IF(E825="","",E825-C825)</f>
        <v>-1</v>
      </c>
      <c r="J825" s="33" t="n">
        <f aca="false">IF(F825="","",F825-C825)</f>
        <v>0.875</v>
      </c>
      <c r="K825" s="33" t="n">
        <f aca="false">IF(G825="","",G825-C825)</f>
        <v>-0.480082552126348</v>
      </c>
      <c r="L825" s="33" t="n">
        <f aca="false">IF(H825="","",ABS(H825))</f>
        <v>2</v>
      </c>
      <c r="M825" s="33" t="n">
        <f aca="false">IF(I825="","",ABS(I825))</f>
        <v>1</v>
      </c>
      <c r="N825" s="33" t="n">
        <f aca="false">IF(J825="","",ABS(J825))</f>
        <v>0.875</v>
      </c>
      <c r="O825" s="33" t="n">
        <f aca="false">IF(K825="","",ABS(K825))</f>
        <v>0.480082552126348</v>
      </c>
      <c r="P825" s="34" t="str">
        <f aca="false">IF(B825&gt;=Eval_Start_Week,"YES","")</f>
        <v>YES</v>
      </c>
      <c r="Q825" s="34" t="str">
        <f aca="false">IF(AND(B825&gt;=Cal_Start_Week,B825&lt;=Cal_End_Week),"YES","")</f>
        <v/>
      </c>
    </row>
    <row r="826" customFormat="false" ht="15" hidden="false" customHeight="false" outlineLevel="0" collapsed="false">
      <c r="A826" s="31" t="str">
        <f aca="false">Demand_History!C826</f>
        <v>KIT-008</v>
      </c>
      <c r="B826" s="31" t="n">
        <f aca="false">Demand_History!A826</f>
        <v>97</v>
      </c>
      <c r="C826" s="32" t="n">
        <f aca="false">Demand_History!D826</f>
        <v>41</v>
      </c>
      <c r="D826" s="33" t="n">
        <f aca="false">IF(B826&gt;=2,C825,"")</f>
        <v>39</v>
      </c>
      <c r="E826" s="33" t="n">
        <f aca="false">IF(B826&gt;=5,AVERAGE(C822:C825),"")</f>
        <v>37.25</v>
      </c>
      <c r="F826" s="33" t="n">
        <f aca="false">IF(B826&gt;=9,AVERAGE(C818:C825),"")</f>
        <v>39.5</v>
      </c>
      <c r="G826" s="33" t="n">
        <f aca="false">IF(B826=1,"",IF(B826=2,C825,SES_Alpha*C825+(1-SES_Alpha)*G825))</f>
        <v>38.6639422135116</v>
      </c>
      <c r="H826" s="33" t="n">
        <f aca="false">IF(D826="","",D826-C826)</f>
        <v>-2</v>
      </c>
      <c r="I826" s="33" t="n">
        <f aca="false">IF(E826="","",E826-C826)</f>
        <v>-3.75</v>
      </c>
      <c r="J826" s="33" t="n">
        <f aca="false">IF(F826="","",F826-C826)</f>
        <v>-1.5</v>
      </c>
      <c r="K826" s="33" t="n">
        <f aca="false">IF(G826="","",G826-C826)</f>
        <v>-2.33605778648845</v>
      </c>
      <c r="L826" s="33" t="n">
        <f aca="false">IF(H826="","",ABS(H826))</f>
        <v>2</v>
      </c>
      <c r="M826" s="33" t="n">
        <f aca="false">IF(I826="","",ABS(I826))</f>
        <v>3.75</v>
      </c>
      <c r="N826" s="33" t="n">
        <f aca="false">IF(J826="","",ABS(J826))</f>
        <v>1.5</v>
      </c>
      <c r="O826" s="33" t="n">
        <f aca="false">IF(K826="","",ABS(K826))</f>
        <v>2.33605778648845</v>
      </c>
      <c r="P826" s="34" t="str">
        <f aca="false">IF(B826&gt;=Eval_Start_Week,"YES","")</f>
        <v>YES</v>
      </c>
      <c r="Q826" s="34" t="str">
        <f aca="false">IF(AND(B826&gt;=Cal_Start_Week,B826&lt;=Cal_End_Week),"YES","")</f>
        <v/>
      </c>
    </row>
    <row r="827" customFormat="false" ht="15" hidden="false" customHeight="false" outlineLevel="0" collapsed="false">
      <c r="A827" s="31" t="str">
        <f aca="false">Demand_History!C827</f>
        <v>KIT-008</v>
      </c>
      <c r="B827" s="31" t="n">
        <f aca="false">Demand_History!A827</f>
        <v>98</v>
      </c>
      <c r="C827" s="32" t="n">
        <f aca="false">Demand_History!D827</f>
        <v>42</v>
      </c>
      <c r="D827" s="33" t="n">
        <f aca="false">IF(B827&gt;=2,C826,"")</f>
        <v>41</v>
      </c>
      <c r="E827" s="33" t="n">
        <f aca="false">IF(B827&gt;=5,AVERAGE(C823:C826),"")</f>
        <v>38.5</v>
      </c>
      <c r="F827" s="33" t="n">
        <f aca="false">IF(B827&gt;=9,AVERAGE(C819:C826),"")</f>
        <v>39.25</v>
      </c>
      <c r="G827" s="33" t="n">
        <f aca="false">IF(B827=1,"",IF(B827=2,C826,SES_Alpha*C826+(1-SES_Alpha)*G826))</f>
        <v>39.3647595494581</v>
      </c>
      <c r="H827" s="33" t="n">
        <f aca="false">IF(D827="","",D827-C827)</f>
        <v>-1</v>
      </c>
      <c r="I827" s="33" t="n">
        <f aca="false">IF(E827="","",E827-C827)</f>
        <v>-3.5</v>
      </c>
      <c r="J827" s="33" t="n">
        <f aca="false">IF(F827="","",F827-C827)</f>
        <v>-2.75</v>
      </c>
      <c r="K827" s="33" t="n">
        <f aca="false">IF(G827="","",G827-C827)</f>
        <v>-2.63524045054191</v>
      </c>
      <c r="L827" s="33" t="n">
        <f aca="false">IF(H827="","",ABS(H827))</f>
        <v>1</v>
      </c>
      <c r="M827" s="33" t="n">
        <f aca="false">IF(I827="","",ABS(I827))</f>
        <v>3.5</v>
      </c>
      <c r="N827" s="33" t="n">
        <f aca="false">IF(J827="","",ABS(J827))</f>
        <v>2.75</v>
      </c>
      <c r="O827" s="33" t="n">
        <f aca="false">IF(K827="","",ABS(K827))</f>
        <v>2.63524045054191</v>
      </c>
      <c r="P827" s="34" t="str">
        <f aca="false">IF(B827&gt;=Eval_Start_Week,"YES","")</f>
        <v>YES</v>
      </c>
      <c r="Q827" s="34" t="str">
        <f aca="false">IF(AND(B827&gt;=Cal_Start_Week,B827&lt;=Cal_End_Week),"YES","")</f>
        <v/>
      </c>
    </row>
    <row r="828" customFormat="false" ht="15" hidden="false" customHeight="false" outlineLevel="0" collapsed="false">
      <c r="A828" s="31" t="str">
        <f aca="false">Demand_History!C828</f>
        <v>KIT-008</v>
      </c>
      <c r="B828" s="31" t="n">
        <f aca="false">Demand_History!A828</f>
        <v>99</v>
      </c>
      <c r="C828" s="32" t="n">
        <f aca="false">Demand_History!D828</f>
        <v>34</v>
      </c>
      <c r="D828" s="33" t="n">
        <f aca="false">IF(B828&gt;=2,C827,"")</f>
        <v>42</v>
      </c>
      <c r="E828" s="33" t="n">
        <f aca="false">IF(B828&gt;=5,AVERAGE(C824:C827),"")</f>
        <v>39.75</v>
      </c>
      <c r="F828" s="33" t="n">
        <f aca="false">IF(B828&gt;=9,AVERAGE(C820:C827),"")</f>
        <v>38.875</v>
      </c>
      <c r="G828" s="33" t="n">
        <f aca="false">IF(B828=1,"",IF(B828=2,C827,SES_Alpha*C827+(1-SES_Alpha)*G827))</f>
        <v>40.1553316846207</v>
      </c>
      <c r="H828" s="33" t="n">
        <f aca="false">IF(D828="","",D828-C828)</f>
        <v>8</v>
      </c>
      <c r="I828" s="33" t="n">
        <f aca="false">IF(E828="","",E828-C828)</f>
        <v>5.75</v>
      </c>
      <c r="J828" s="33" t="n">
        <f aca="false">IF(F828="","",F828-C828)</f>
        <v>4.875</v>
      </c>
      <c r="K828" s="33" t="n">
        <f aca="false">IF(G828="","",G828-C828)</f>
        <v>6.15533168462066</v>
      </c>
      <c r="L828" s="33" t="n">
        <f aca="false">IF(H828="","",ABS(H828))</f>
        <v>8</v>
      </c>
      <c r="M828" s="33" t="n">
        <f aca="false">IF(I828="","",ABS(I828))</f>
        <v>5.75</v>
      </c>
      <c r="N828" s="33" t="n">
        <f aca="false">IF(J828="","",ABS(J828))</f>
        <v>4.875</v>
      </c>
      <c r="O828" s="33" t="n">
        <f aca="false">IF(K828="","",ABS(K828))</f>
        <v>6.15533168462066</v>
      </c>
      <c r="P828" s="34" t="str">
        <f aca="false">IF(B828&gt;=Eval_Start_Week,"YES","")</f>
        <v>YES</v>
      </c>
      <c r="Q828" s="34" t="str">
        <f aca="false">IF(AND(B828&gt;=Cal_Start_Week,B828&lt;=Cal_End_Week),"YES","")</f>
        <v/>
      </c>
    </row>
    <row r="829" customFormat="false" ht="15" hidden="false" customHeight="false" outlineLevel="0" collapsed="false">
      <c r="A829" s="31" t="str">
        <f aca="false">Demand_History!C829</f>
        <v>KIT-008</v>
      </c>
      <c r="B829" s="31" t="n">
        <f aca="false">Demand_History!A829</f>
        <v>100</v>
      </c>
      <c r="C829" s="32" t="n">
        <f aca="false">Demand_History!D829</f>
        <v>49</v>
      </c>
      <c r="D829" s="33" t="n">
        <f aca="false">IF(B829&gt;=2,C828,"")</f>
        <v>34</v>
      </c>
      <c r="E829" s="33" t="n">
        <f aca="false">IF(B829&gt;=5,AVERAGE(C825:C828),"")</f>
        <v>39</v>
      </c>
      <c r="F829" s="33" t="n">
        <f aca="false">IF(B829&gt;=9,AVERAGE(C821:C828),"")</f>
        <v>38.5</v>
      </c>
      <c r="G829" s="33" t="n">
        <f aca="false">IF(B829=1,"",IF(B829=2,C828,SES_Alpha*C828+(1-SES_Alpha)*G828))</f>
        <v>38.3087321792345</v>
      </c>
      <c r="H829" s="33" t="n">
        <f aca="false">IF(D829="","",D829-C829)</f>
        <v>-15</v>
      </c>
      <c r="I829" s="33" t="n">
        <f aca="false">IF(E829="","",E829-C829)</f>
        <v>-10</v>
      </c>
      <c r="J829" s="33" t="n">
        <f aca="false">IF(F829="","",F829-C829)</f>
        <v>-10.5</v>
      </c>
      <c r="K829" s="33" t="n">
        <f aca="false">IF(G829="","",G829-C829)</f>
        <v>-10.6912678207655</v>
      </c>
      <c r="L829" s="33" t="n">
        <f aca="false">IF(H829="","",ABS(H829))</f>
        <v>15</v>
      </c>
      <c r="M829" s="33" t="n">
        <f aca="false">IF(I829="","",ABS(I829))</f>
        <v>10</v>
      </c>
      <c r="N829" s="33" t="n">
        <f aca="false">IF(J829="","",ABS(J829))</f>
        <v>10.5</v>
      </c>
      <c r="O829" s="33" t="n">
        <f aca="false">IF(K829="","",ABS(K829))</f>
        <v>10.6912678207655</v>
      </c>
      <c r="P829" s="34" t="str">
        <f aca="false">IF(B829&gt;=Eval_Start_Week,"YES","")</f>
        <v>YES</v>
      </c>
      <c r="Q829" s="34" t="str">
        <f aca="false">IF(AND(B829&gt;=Cal_Start_Week,B829&lt;=Cal_End_Week),"YES","")</f>
        <v/>
      </c>
    </row>
    <row r="830" customFormat="false" ht="15" hidden="false" customHeight="false" outlineLevel="0" collapsed="false">
      <c r="A830" s="31" t="str">
        <f aca="false">Demand_History!C830</f>
        <v>KIT-008</v>
      </c>
      <c r="B830" s="31" t="n">
        <f aca="false">Demand_History!A830</f>
        <v>101</v>
      </c>
      <c r="C830" s="32" t="n">
        <f aca="false">Demand_History!D830</f>
        <v>45</v>
      </c>
      <c r="D830" s="33" t="n">
        <f aca="false">IF(B830&gt;=2,C829,"")</f>
        <v>49</v>
      </c>
      <c r="E830" s="33" t="n">
        <f aca="false">IF(B830&gt;=5,AVERAGE(C826:C829),"")</f>
        <v>41.5</v>
      </c>
      <c r="F830" s="33" t="n">
        <f aca="false">IF(B830&gt;=9,AVERAGE(C822:C829),"")</f>
        <v>39.375</v>
      </c>
      <c r="G830" s="33" t="n">
        <f aca="false">IF(B830=1,"",IF(B830=2,C829,SES_Alpha*C829+(1-SES_Alpha)*G829))</f>
        <v>41.5161125254641</v>
      </c>
      <c r="H830" s="33" t="n">
        <f aca="false">IF(D830="","",D830-C830)</f>
        <v>4</v>
      </c>
      <c r="I830" s="33" t="n">
        <f aca="false">IF(E830="","",E830-C830)</f>
        <v>-3.5</v>
      </c>
      <c r="J830" s="33" t="n">
        <f aca="false">IF(F830="","",F830-C830)</f>
        <v>-5.625</v>
      </c>
      <c r="K830" s="33" t="n">
        <f aca="false">IF(G830="","",G830-C830)</f>
        <v>-3.48388747453588</v>
      </c>
      <c r="L830" s="33" t="n">
        <f aca="false">IF(H830="","",ABS(H830))</f>
        <v>4</v>
      </c>
      <c r="M830" s="33" t="n">
        <f aca="false">IF(I830="","",ABS(I830))</f>
        <v>3.5</v>
      </c>
      <c r="N830" s="33" t="n">
        <f aca="false">IF(J830="","",ABS(J830))</f>
        <v>5.625</v>
      </c>
      <c r="O830" s="33" t="n">
        <f aca="false">IF(K830="","",ABS(K830))</f>
        <v>3.48388747453588</v>
      </c>
      <c r="P830" s="34" t="str">
        <f aca="false">IF(B830&gt;=Eval_Start_Week,"YES","")</f>
        <v>YES</v>
      </c>
      <c r="Q830" s="34" t="str">
        <f aca="false">IF(AND(B830&gt;=Cal_Start_Week,B830&lt;=Cal_End_Week),"YES","")</f>
        <v/>
      </c>
    </row>
    <row r="831" customFormat="false" ht="15" hidden="false" customHeight="false" outlineLevel="0" collapsed="false">
      <c r="A831" s="31" t="str">
        <f aca="false">Demand_History!C831</f>
        <v>KIT-008</v>
      </c>
      <c r="B831" s="31" t="n">
        <f aca="false">Demand_History!A831</f>
        <v>102</v>
      </c>
      <c r="C831" s="32" t="n">
        <f aca="false">Demand_History!D831</f>
        <v>43</v>
      </c>
      <c r="D831" s="33" t="n">
        <f aca="false">IF(B831&gt;=2,C830,"")</f>
        <v>45</v>
      </c>
      <c r="E831" s="33" t="n">
        <f aca="false">IF(B831&gt;=5,AVERAGE(C827:C830),"")</f>
        <v>42.5</v>
      </c>
      <c r="F831" s="33" t="n">
        <f aca="false">IF(B831&gt;=9,AVERAGE(C823:C830),"")</f>
        <v>40.5</v>
      </c>
      <c r="G831" s="33" t="n">
        <f aca="false">IF(B831=1,"",IF(B831=2,C830,SES_Alpha*C830+(1-SES_Alpha)*G830))</f>
        <v>42.5612787678249</v>
      </c>
      <c r="H831" s="33" t="n">
        <f aca="false">IF(D831="","",D831-C831)</f>
        <v>2</v>
      </c>
      <c r="I831" s="33" t="n">
        <f aca="false">IF(E831="","",E831-C831)</f>
        <v>-0.5</v>
      </c>
      <c r="J831" s="33" t="n">
        <f aca="false">IF(F831="","",F831-C831)</f>
        <v>-2.5</v>
      </c>
      <c r="K831" s="33" t="n">
        <f aca="false">IF(G831="","",G831-C831)</f>
        <v>-0.438721232175119</v>
      </c>
      <c r="L831" s="33" t="n">
        <f aca="false">IF(H831="","",ABS(H831))</f>
        <v>2</v>
      </c>
      <c r="M831" s="33" t="n">
        <f aca="false">IF(I831="","",ABS(I831))</f>
        <v>0.5</v>
      </c>
      <c r="N831" s="33" t="n">
        <f aca="false">IF(J831="","",ABS(J831))</f>
        <v>2.5</v>
      </c>
      <c r="O831" s="33" t="n">
        <f aca="false">IF(K831="","",ABS(K831))</f>
        <v>0.438721232175119</v>
      </c>
      <c r="P831" s="34" t="str">
        <f aca="false">IF(B831&gt;=Eval_Start_Week,"YES","")</f>
        <v>YES</v>
      </c>
      <c r="Q831" s="34" t="str">
        <f aca="false">IF(AND(B831&gt;=Cal_Start_Week,B831&lt;=Cal_End_Week),"YES","")</f>
        <v/>
      </c>
    </row>
    <row r="832" customFormat="false" ht="15" hidden="false" customHeight="false" outlineLevel="0" collapsed="false">
      <c r="A832" s="31" t="str">
        <f aca="false">Demand_History!C832</f>
        <v>KIT-008</v>
      </c>
      <c r="B832" s="31" t="n">
        <f aca="false">Demand_History!A832</f>
        <v>103</v>
      </c>
      <c r="C832" s="32" t="n">
        <f aca="false">Demand_History!D832</f>
        <v>38</v>
      </c>
      <c r="D832" s="33" t="n">
        <f aca="false">IF(B832&gt;=2,C831,"")</f>
        <v>43</v>
      </c>
      <c r="E832" s="33" t="n">
        <f aca="false">IF(B832&gt;=5,AVERAGE(C828:C831),"")</f>
        <v>42.75</v>
      </c>
      <c r="F832" s="33" t="n">
        <f aca="false">IF(B832&gt;=9,AVERAGE(C824:C831),"")</f>
        <v>41.25</v>
      </c>
      <c r="G832" s="33" t="n">
        <f aca="false">IF(B832=1,"",IF(B832=2,C831,SES_Alpha*C831+(1-SES_Alpha)*G831))</f>
        <v>42.6928951374774</v>
      </c>
      <c r="H832" s="33" t="n">
        <f aca="false">IF(D832="","",D832-C832)</f>
        <v>5</v>
      </c>
      <c r="I832" s="33" t="n">
        <f aca="false">IF(E832="","",E832-C832)</f>
        <v>4.75</v>
      </c>
      <c r="J832" s="33" t="n">
        <f aca="false">IF(F832="","",F832-C832)</f>
        <v>3.25</v>
      </c>
      <c r="K832" s="33" t="n">
        <f aca="false">IF(G832="","",G832-C832)</f>
        <v>4.69289513747741</v>
      </c>
      <c r="L832" s="33" t="n">
        <f aca="false">IF(H832="","",ABS(H832))</f>
        <v>5</v>
      </c>
      <c r="M832" s="33" t="n">
        <f aca="false">IF(I832="","",ABS(I832))</f>
        <v>4.75</v>
      </c>
      <c r="N832" s="33" t="n">
        <f aca="false">IF(J832="","",ABS(J832))</f>
        <v>3.25</v>
      </c>
      <c r="O832" s="33" t="n">
        <f aca="false">IF(K832="","",ABS(K832))</f>
        <v>4.69289513747741</v>
      </c>
      <c r="P832" s="34" t="str">
        <f aca="false">IF(B832&gt;=Eval_Start_Week,"YES","")</f>
        <v>YES</v>
      </c>
      <c r="Q832" s="34" t="str">
        <f aca="false">IF(AND(B832&gt;=Cal_Start_Week,B832&lt;=Cal_End_Week),"YES","")</f>
        <v/>
      </c>
    </row>
    <row r="833" customFormat="false" ht="15" hidden="false" customHeight="false" outlineLevel="0" collapsed="false">
      <c r="A833" s="31" t="str">
        <f aca="false">Demand_History!C833</f>
        <v>KIT-008</v>
      </c>
      <c r="B833" s="31" t="n">
        <f aca="false">Demand_History!A833</f>
        <v>104</v>
      </c>
      <c r="C833" s="32" t="n">
        <f aca="false">Demand_History!D833</f>
        <v>40</v>
      </c>
      <c r="D833" s="33" t="n">
        <f aca="false">IF(B833&gt;=2,C832,"")</f>
        <v>38</v>
      </c>
      <c r="E833" s="33" t="n">
        <f aca="false">IF(B833&gt;=5,AVERAGE(C829:C832),"")</f>
        <v>43.75</v>
      </c>
      <c r="F833" s="33" t="n">
        <f aca="false">IF(B833&gt;=9,AVERAGE(C825:C832),"")</f>
        <v>41.375</v>
      </c>
      <c r="G833" s="33" t="n">
        <f aca="false">IF(B833=1,"",IF(B833=2,C832,SES_Alpha*C832+(1-SES_Alpha)*G832))</f>
        <v>41.2850265962342</v>
      </c>
      <c r="H833" s="33" t="n">
        <f aca="false">IF(D833="","",D833-C833)</f>
        <v>-2</v>
      </c>
      <c r="I833" s="33" t="n">
        <f aca="false">IF(E833="","",E833-C833)</f>
        <v>3.75</v>
      </c>
      <c r="J833" s="33" t="n">
        <f aca="false">IF(F833="","",F833-C833)</f>
        <v>1.375</v>
      </c>
      <c r="K833" s="33" t="n">
        <f aca="false">IF(G833="","",G833-C833)</f>
        <v>1.28502659623419</v>
      </c>
      <c r="L833" s="33" t="n">
        <f aca="false">IF(H833="","",ABS(H833))</f>
        <v>2</v>
      </c>
      <c r="M833" s="33" t="n">
        <f aca="false">IF(I833="","",ABS(I833))</f>
        <v>3.75</v>
      </c>
      <c r="N833" s="33" t="n">
        <f aca="false">IF(J833="","",ABS(J833))</f>
        <v>1.375</v>
      </c>
      <c r="O833" s="33" t="n">
        <f aca="false">IF(K833="","",ABS(K833))</f>
        <v>1.28502659623419</v>
      </c>
      <c r="P833" s="34" t="str">
        <f aca="false">IF(B833&gt;=Eval_Start_Week,"YES","")</f>
        <v>YES</v>
      </c>
      <c r="Q833" s="34" t="str">
        <f aca="false">IF(AND(B833&gt;=Cal_Start_Week,B833&lt;=Cal_End_Week),"YES","")</f>
        <v/>
      </c>
    </row>
    <row r="834" customFormat="false" ht="15" hidden="false" customHeight="false" outlineLevel="0" collapsed="false">
      <c r="A834" s="31" t="str">
        <f aca="false">Demand_History!C834</f>
        <v>KIT-009</v>
      </c>
      <c r="B834" s="31" t="n">
        <f aca="false">Demand_History!A834</f>
        <v>1</v>
      </c>
      <c r="C834" s="32" t="n">
        <f aca="false">Demand_History!D834</f>
        <v>21</v>
      </c>
      <c r="D834" s="33" t="str">
        <f aca="false">IF(B834&gt;=2,C833,"")</f>
        <v/>
      </c>
      <c r="E834" s="33" t="str">
        <f aca="false">IF(B834&gt;=5,AVERAGE(C830:C833),"")</f>
        <v/>
      </c>
      <c r="F834" s="33" t="str">
        <f aca="false">IF(B834&gt;=9,AVERAGE(C826:C833),"")</f>
        <v/>
      </c>
      <c r="G834" s="33" t="str">
        <f aca="false">IF(B834=1,"",IF(B834=2,C833,SES_Alpha*C833+(1-SES_Alpha)*G833))</f>
        <v/>
      </c>
      <c r="H834" s="33" t="str">
        <f aca="false">IF(D834="","",D834-C834)</f>
        <v/>
      </c>
      <c r="I834" s="33" t="str">
        <f aca="false">IF(E834="","",E834-C834)</f>
        <v/>
      </c>
      <c r="J834" s="33" t="str">
        <f aca="false">IF(F834="","",F834-C834)</f>
        <v/>
      </c>
      <c r="K834" s="33" t="str">
        <f aca="false">IF(G834="","",G834-C834)</f>
        <v/>
      </c>
      <c r="L834" s="33" t="str">
        <f aca="false">IF(H834="","",ABS(H834))</f>
        <v/>
      </c>
      <c r="M834" s="33" t="str">
        <f aca="false">IF(I834="","",ABS(I834))</f>
        <v/>
      </c>
      <c r="N834" s="33" t="str">
        <f aca="false">IF(J834="","",ABS(J834))</f>
        <v/>
      </c>
      <c r="O834" s="33" t="str">
        <f aca="false">IF(K834="","",ABS(K834))</f>
        <v/>
      </c>
      <c r="P834" s="34" t="str">
        <f aca="false">IF(B834&gt;=Eval_Start_Week,"YES","")</f>
        <v/>
      </c>
      <c r="Q834" s="34" t="str">
        <f aca="false">IF(AND(B834&gt;=Cal_Start_Week,B834&lt;=Cal_End_Week),"YES","")</f>
        <v/>
      </c>
    </row>
    <row r="835" customFormat="false" ht="15" hidden="false" customHeight="false" outlineLevel="0" collapsed="false">
      <c r="A835" s="31" t="str">
        <f aca="false">Demand_History!C835</f>
        <v>KIT-009</v>
      </c>
      <c r="B835" s="31" t="n">
        <f aca="false">Demand_History!A835</f>
        <v>2</v>
      </c>
      <c r="C835" s="32" t="n">
        <f aca="false">Demand_History!D835</f>
        <v>21</v>
      </c>
      <c r="D835" s="33" t="n">
        <f aca="false">IF(B835&gt;=2,C834,"")</f>
        <v>21</v>
      </c>
      <c r="E835" s="33" t="str">
        <f aca="false">IF(B835&gt;=5,AVERAGE(C831:C834),"")</f>
        <v/>
      </c>
      <c r="F835" s="33" t="str">
        <f aca="false">IF(B835&gt;=9,AVERAGE(C827:C834),"")</f>
        <v/>
      </c>
      <c r="G835" s="33" t="n">
        <f aca="false">IF(B835=1,"",IF(B835=2,C834,SES_Alpha*C834+(1-SES_Alpha)*G834))</f>
        <v>21</v>
      </c>
      <c r="H835" s="33" t="n">
        <f aca="false">IF(D835="","",D835-C835)</f>
        <v>0</v>
      </c>
      <c r="I835" s="33" t="str">
        <f aca="false">IF(E835="","",E835-C835)</f>
        <v/>
      </c>
      <c r="J835" s="33" t="str">
        <f aca="false">IF(F835="","",F835-C835)</f>
        <v/>
      </c>
      <c r="K835" s="33" t="n">
        <f aca="false">IF(G835="","",G835-C835)</f>
        <v>0</v>
      </c>
      <c r="L835" s="33" t="n">
        <f aca="false">IF(H835="","",ABS(H835))</f>
        <v>0</v>
      </c>
      <c r="M835" s="33" t="str">
        <f aca="false">IF(I835="","",ABS(I835))</f>
        <v/>
      </c>
      <c r="N835" s="33" t="str">
        <f aca="false">IF(J835="","",ABS(J835))</f>
        <v/>
      </c>
      <c r="O835" s="33" t="n">
        <f aca="false">IF(K835="","",ABS(K835))</f>
        <v>0</v>
      </c>
      <c r="P835" s="34" t="str">
        <f aca="false">IF(B835&gt;=Eval_Start_Week,"YES","")</f>
        <v/>
      </c>
      <c r="Q835" s="34" t="str">
        <f aca="false">IF(AND(B835&gt;=Cal_Start_Week,B835&lt;=Cal_End_Week),"YES","")</f>
        <v/>
      </c>
    </row>
    <row r="836" customFormat="false" ht="15" hidden="false" customHeight="false" outlineLevel="0" collapsed="false">
      <c r="A836" s="31" t="str">
        <f aca="false">Demand_History!C836</f>
        <v>KIT-009</v>
      </c>
      <c r="B836" s="31" t="n">
        <f aca="false">Demand_History!A836</f>
        <v>3</v>
      </c>
      <c r="C836" s="32" t="n">
        <f aca="false">Demand_History!D836</f>
        <v>15</v>
      </c>
      <c r="D836" s="33" t="n">
        <f aca="false">IF(B836&gt;=2,C835,"")</f>
        <v>21</v>
      </c>
      <c r="E836" s="33" t="str">
        <f aca="false">IF(B836&gt;=5,AVERAGE(C832:C835),"")</f>
        <v/>
      </c>
      <c r="F836" s="33" t="str">
        <f aca="false">IF(B836&gt;=9,AVERAGE(C828:C835),"")</f>
        <v/>
      </c>
      <c r="G836" s="33" t="n">
        <f aca="false">IF(B836=1,"",IF(B836=2,C835,SES_Alpha*C835+(1-SES_Alpha)*G835))</f>
        <v>21</v>
      </c>
      <c r="H836" s="33" t="n">
        <f aca="false">IF(D836="","",D836-C836)</f>
        <v>6</v>
      </c>
      <c r="I836" s="33" t="str">
        <f aca="false">IF(E836="","",E836-C836)</f>
        <v/>
      </c>
      <c r="J836" s="33" t="str">
        <f aca="false">IF(F836="","",F836-C836)</f>
        <v/>
      </c>
      <c r="K836" s="33" t="n">
        <f aca="false">IF(G836="","",G836-C836)</f>
        <v>6</v>
      </c>
      <c r="L836" s="33" t="n">
        <f aca="false">IF(H836="","",ABS(H836))</f>
        <v>6</v>
      </c>
      <c r="M836" s="33" t="str">
        <f aca="false">IF(I836="","",ABS(I836))</f>
        <v/>
      </c>
      <c r="N836" s="33" t="str">
        <f aca="false">IF(J836="","",ABS(J836))</f>
        <v/>
      </c>
      <c r="O836" s="33" t="n">
        <f aca="false">IF(K836="","",ABS(K836))</f>
        <v>6</v>
      </c>
      <c r="P836" s="34" t="str">
        <f aca="false">IF(B836&gt;=Eval_Start_Week,"YES","")</f>
        <v/>
      </c>
      <c r="Q836" s="34" t="str">
        <f aca="false">IF(AND(B836&gt;=Cal_Start_Week,B836&lt;=Cal_End_Week),"YES","")</f>
        <v/>
      </c>
    </row>
    <row r="837" customFormat="false" ht="15" hidden="false" customHeight="false" outlineLevel="0" collapsed="false">
      <c r="A837" s="31" t="str">
        <f aca="false">Demand_History!C837</f>
        <v>KIT-009</v>
      </c>
      <c r="B837" s="31" t="n">
        <f aca="false">Demand_History!A837</f>
        <v>4</v>
      </c>
      <c r="C837" s="32" t="n">
        <f aca="false">Demand_History!D837</f>
        <v>22</v>
      </c>
      <c r="D837" s="33" t="n">
        <f aca="false">IF(B837&gt;=2,C836,"")</f>
        <v>15</v>
      </c>
      <c r="E837" s="33" t="str">
        <f aca="false">IF(B837&gt;=5,AVERAGE(C833:C836),"")</f>
        <v/>
      </c>
      <c r="F837" s="33" t="str">
        <f aca="false">IF(B837&gt;=9,AVERAGE(C829:C836),"")</f>
        <v/>
      </c>
      <c r="G837" s="33" t="n">
        <f aca="false">IF(B837=1,"",IF(B837=2,C836,SES_Alpha*C836+(1-SES_Alpha)*G836))</f>
        <v>19.2</v>
      </c>
      <c r="H837" s="33" t="n">
        <f aca="false">IF(D837="","",D837-C837)</f>
        <v>-7</v>
      </c>
      <c r="I837" s="33" t="str">
        <f aca="false">IF(E837="","",E837-C837)</f>
        <v/>
      </c>
      <c r="J837" s="33" t="str">
        <f aca="false">IF(F837="","",F837-C837)</f>
        <v/>
      </c>
      <c r="K837" s="33" t="n">
        <f aca="false">IF(G837="","",G837-C837)</f>
        <v>-2.8</v>
      </c>
      <c r="L837" s="33" t="n">
        <f aca="false">IF(H837="","",ABS(H837))</f>
        <v>7</v>
      </c>
      <c r="M837" s="33" t="str">
        <f aca="false">IF(I837="","",ABS(I837))</f>
        <v/>
      </c>
      <c r="N837" s="33" t="str">
        <f aca="false">IF(J837="","",ABS(J837))</f>
        <v/>
      </c>
      <c r="O837" s="33" t="n">
        <f aca="false">IF(K837="","",ABS(K837))</f>
        <v>2.8</v>
      </c>
      <c r="P837" s="34" t="str">
        <f aca="false">IF(B837&gt;=Eval_Start_Week,"YES","")</f>
        <v/>
      </c>
      <c r="Q837" s="34" t="str">
        <f aca="false">IF(AND(B837&gt;=Cal_Start_Week,B837&lt;=Cal_End_Week),"YES","")</f>
        <v/>
      </c>
    </row>
    <row r="838" customFormat="false" ht="15" hidden="false" customHeight="false" outlineLevel="0" collapsed="false">
      <c r="A838" s="31" t="str">
        <f aca="false">Demand_History!C838</f>
        <v>KIT-009</v>
      </c>
      <c r="B838" s="31" t="n">
        <f aca="false">Demand_History!A838</f>
        <v>5</v>
      </c>
      <c r="C838" s="32" t="n">
        <f aca="false">Demand_History!D838</f>
        <v>29</v>
      </c>
      <c r="D838" s="33" t="n">
        <f aca="false">IF(B838&gt;=2,C837,"")</f>
        <v>22</v>
      </c>
      <c r="E838" s="33" t="n">
        <f aca="false">IF(B838&gt;=5,AVERAGE(C834:C837),"")</f>
        <v>19.75</v>
      </c>
      <c r="F838" s="33" t="str">
        <f aca="false">IF(B838&gt;=9,AVERAGE(C830:C837),"")</f>
        <v/>
      </c>
      <c r="G838" s="33" t="n">
        <f aca="false">IF(B838=1,"",IF(B838=2,C837,SES_Alpha*C837+(1-SES_Alpha)*G837))</f>
        <v>20.04</v>
      </c>
      <c r="H838" s="33" t="n">
        <f aca="false">IF(D838="","",D838-C838)</f>
        <v>-7</v>
      </c>
      <c r="I838" s="33" t="n">
        <f aca="false">IF(E838="","",E838-C838)</f>
        <v>-9.25</v>
      </c>
      <c r="J838" s="33" t="str">
        <f aca="false">IF(F838="","",F838-C838)</f>
        <v/>
      </c>
      <c r="K838" s="33" t="n">
        <f aca="false">IF(G838="","",G838-C838)</f>
        <v>-8.96</v>
      </c>
      <c r="L838" s="33" t="n">
        <f aca="false">IF(H838="","",ABS(H838))</f>
        <v>7</v>
      </c>
      <c r="M838" s="33" t="n">
        <f aca="false">IF(I838="","",ABS(I838))</f>
        <v>9.25</v>
      </c>
      <c r="N838" s="33" t="str">
        <f aca="false">IF(J838="","",ABS(J838))</f>
        <v/>
      </c>
      <c r="O838" s="33" t="n">
        <f aca="false">IF(K838="","",ABS(K838))</f>
        <v>8.96</v>
      </c>
      <c r="P838" s="34" t="str">
        <f aca="false">IF(B838&gt;=Eval_Start_Week,"YES","")</f>
        <v/>
      </c>
      <c r="Q838" s="34" t="str">
        <f aca="false">IF(AND(B838&gt;=Cal_Start_Week,B838&lt;=Cal_End_Week),"YES","")</f>
        <v/>
      </c>
    </row>
    <row r="839" customFormat="false" ht="15" hidden="false" customHeight="false" outlineLevel="0" collapsed="false">
      <c r="A839" s="31" t="str">
        <f aca="false">Demand_History!C839</f>
        <v>KIT-009</v>
      </c>
      <c r="B839" s="31" t="n">
        <f aca="false">Demand_History!A839</f>
        <v>6</v>
      </c>
      <c r="C839" s="32" t="n">
        <f aca="false">Demand_History!D839</f>
        <v>15</v>
      </c>
      <c r="D839" s="33" t="n">
        <f aca="false">IF(B839&gt;=2,C838,"")</f>
        <v>29</v>
      </c>
      <c r="E839" s="33" t="n">
        <f aca="false">IF(B839&gt;=5,AVERAGE(C835:C838),"")</f>
        <v>21.75</v>
      </c>
      <c r="F839" s="33" t="str">
        <f aca="false">IF(B839&gt;=9,AVERAGE(C831:C838),"")</f>
        <v/>
      </c>
      <c r="G839" s="33" t="n">
        <f aca="false">IF(B839=1,"",IF(B839=2,C838,SES_Alpha*C838+(1-SES_Alpha)*G838))</f>
        <v>22.728</v>
      </c>
      <c r="H839" s="33" t="n">
        <f aca="false">IF(D839="","",D839-C839)</f>
        <v>14</v>
      </c>
      <c r="I839" s="33" t="n">
        <f aca="false">IF(E839="","",E839-C839)</f>
        <v>6.75</v>
      </c>
      <c r="J839" s="33" t="str">
        <f aca="false">IF(F839="","",F839-C839)</f>
        <v/>
      </c>
      <c r="K839" s="33" t="n">
        <f aca="false">IF(G839="","",G839-C839)</f>
        <v>7.728</v>
      </c>
      <c r="L839" s="33" t="n">
        <f aca="false">IF(H839="","",ABS(H839))</f>
        <v>14</v>
      </c>
      <c r="M839" s="33" t="n">
        <f aca="false">IF(I839="","",ABS(I839))</f>
        <v>6.75</v>
      </c>
      <c r="N839" s="33" t="str">
        <f aca="false">IF(J839="","",ABS(J839))</f>
        <v/>
      </c>
      <c r="O839" s="33" t="n">
        <f aca="false">IF(K839="","",ABS(K839))</f>
        <v>7.728</v>
      </c>
      <c r="P839" s="34" t="str">
        <f aca="false">IF(B839&gt;=Eval_Start_Week,"YES","")</f>
        <v/>
      </c>
      <c r="Q839" s="34" t="str">
        <f aca="false">IF(AND(B839&gt;=Cal_Start_Week,B839&lt;=Cal_End_Week),"YES","")</f>
        <v/>
      </c>
    </row>
    <row r="840" customFormat="false" ht="15" hidden="false" customHeight="false" outlineLevel="0" collapsed="false">
      <c r="A840" s="31" t="str">
        <f aca="false">Demand_History!C840</f>
        <v>KIT-009</v>
      </c>
      <c r="B840" s="31" t="n">
        <f aca="false">Demand_History!A840</f>
        <v>7</v>
      </c>
      <c r="C840" s="32" t="n">
        <f aca="false">Demand_History!D840</f>
        <v>24</v>
      </c>
      <c r="D840" s="33" t="n">
        <f aca="false">IF(B840&gt;=2,C839,"")</f>
        <v>15</v>
      </c>
      <c r="E840" s="33" t="n">
        <f aca="false">IF(B840&gt;=5,AVERAGE(C836:C839),"")</f>
        <v>20.25</v>
      </c>
      <c r="F840" s="33" t="str">
        <f aca="false">IF(B840&gt;=9,AVERAGE(C832:C839),"")</f>
        <v/>
      </c>
      <c r="G840" s="33" t="n">
        <f aca="false">IF(B840=1,"",IF(B840=2,C839,SES_Alpha*C839+(1-SES_Alpha)*G839))</f>
        <v>20.4096</v>
      </c>
      <c r="H840" s="33" t="n">
        <f aca="false">IF(D840="","",D840-C840)</f>
        <v>-9</v>
      </c>
      <c r="I840" s="33" t="n">
        <f aca="false">IF(E840="","",E840-C840)</f>
        <v>-3.75</v>
      </c>
      <c r="J840" s="33" t="str">
        <f aca="false">IF(F840="","",F840-C840)</f>
        <v/>
      </c>
      <c r="K840" s="33" t="n">
        <f aca="false">IF(G840="","",G840-C840)</f>
        <v>-3.5904</v>
      </c>
      <c r="L840" s="33" t="n">
        <f aca="false">IF(H840="","",ABS(H840))</f>
        <v>9</v>
      </c>
      <c r="M840" s="33" t="n">
        <f aca="false">IF(I840="","",ABS(I840))</f>
        <v>3.75</v>
      </c>
      <c r="N840" s="33" t="str">
        <f aca="false">IF(J840="","",ABS(J840))</f>
        <v/>
      </c>
      <c r="O840" s="33" t="n">
        <f aca="false">IF(K840="","",ABS(K840))</f>
        <v>3.5904</v>
      </c>
      <c r="P840" s="34" t="str">
        <f aca="false">IF(B840&gt;=Eval_Start_Week,"YES","")</f>
        <v/>
      </c>
      <c r="Q840" s="34" t="str">
        <f aca="false">IF(AND(B840&gt;=Cal_Start_Week,B840&lt;=Cal_End_Week),"YES","")</f>
        <v/>
      </c>
    </row>
    <row r="841" customFormat="false" ht="15" hidden="false" customHeight="false" outlineLevel="0" collapsed="false">
      <c r="A841" s="31" t="str">
        <f aca="false">Demand_History!C841</f>
        <v>KIT-009</v>
      </c>
      <c r="B841" s="31" t="n">
        <f aca="false">Demand_History!A841</f>
        <v>8</v>
      </c>
      <c r="C841" s="32" t="n">
        <f aca="false">Demand_History!D841</f>
        <v>22</v>
      </c>
      <c r="D841" s="33" t="n">
        <f aca="false">IF(B841&gt;=2,C840,"")</f>
        <v>24</v>
      </c>
      <c r="E841" s="33" t="n">
        <f aca="false">IF(B841&gt;=5,AVERAGE(C837:C840),"")</f>
        <v>22.5</v>
      </c>
      <c r="F841" s="33" t="str">
        <f aca="false">IF(B841&gt;=9,AVERAGE(C833:C840),"")</f>
        <v/>
      </c>
      <c r="G841" s="33" t="n">
        <f aca="false">IF(B841=1,"",IF(B841=2,C840,SES_Alpha*C840+(1-SES_Alpha)*G840))</f>
        <v>21.48672</v>
      </c>
      <c r="H841" s="33" t="n">
        <f aca="false">IF(D841="","",D841-C841)</f>
        <v>2</v>
      </c>
      <c r="I841" s="33" t="n">
        <f aca="false">IF(E841="","",E841-C841)</f>
        <v>0.5</v>
      </c>
      <c r="J841" s="33" t="str">
        <f aca="false">IF(F841="","",F841-C841)</f>
        <v/>
      </c>
      <c r="K841" s="33" t="n">
        <f aca="false">IF(G841="","",G841-C841)</f>
        <v>-0.513280000000002</v>
      </c>
      <c r="L841" s="33" t="n">
        <f aca="false">IF(H841="","",ABS(H841))</f>
        <v>2</v>
      </c>
      <c r="M841" s="33" t="n">
        <f aca="false">IF(I841="","",ABS(I841))</f>
        <v>0.5</v>
      </c>
      <c r="N841" s="33" t="str">
        <f aca="false">IF(J841="","",ABS(J841))</f>
        <v/>
      </c>
      <c r="O841" s="33" t="n">
        <f aca="false">IF(K841="","",ABS(K841))</f>
        <v>0.513280000000002</v>
      </c>
      <c r="P841" s="34" t="str">
        <f aca="false">IF(B841&gt;=Eval_Start_Week,"YES","")</f>
        <v/>
      </c>
      <c r="Q841" s="34" t="str">
        <f aca="false">IF(AND(B841&gt;=Cal_Start_Week,B841&lt;=Cal_End_Week),"YES","")</f>
        <v/>
      </c>
    </row>
    <row r="842" customFormat="false" ht="15" hidden="false" customHeight="false" outlineLevel="0" collapsed="false">
      <c r="A842" s="31" t="str">
        <f aca="false">Demand_History!C842</f>
        <v>KIT-009</v>
      </c>
      <c r="B842" s="31" t="n">
        <f aca="false">Demand_History!A842</f>
        <v>9</v>
      </c>
      <c r="C842" s="32" t="n">
        <f aca="false">Demand_History!D842</f>
        <v>21</v>
      </c>
      <c r="D842" s="33" t="n">
        <f aca="false">IF(B842&gt;=2,C841,"")</f>
        <v>22</v>
      </c>
      <c r="E842" s="33" t="n">
        <f aca="false">IF(B842&gt;=5,AVERAGE(C838:C841),"")</f>
        <v>22.5</v>
      </c>
      <c r="F842" s="33" t="n">
        <f aca="false">IF(B842&gt;=9,AVERAGE(C834:C841),"")</f>
        <v>21.125</v>
      </c>
      <c r="G842" s="33" t="n">
        <f aca="false">IF(B842=1,"",IF(B842=2,C841,SES_Alpha*C841+(1-SES_Alpha)*G841))</f>
        <v>21.640704</v>
      </c>
      <c r="H842" s="33" t="n">
        <f aca="false">IF(D842="","",D842-C842)</f>
        <v>1</v>
      </c>
      <c r="I842" s="33" t="n">
        <f aca="false">IF(E842="","",E842-C842)</f>
        <v>1.5</v>
      </c>
      <c r="J842" s="33" t="n">
        <f aca="false">IF(F842="","",F842-C842)</f>
        <v>0.125</v>
      </c>
      <c r="K842" s="33" t="n">
        <f aca="false">IF(G842="","",G842-C842)</f>
        <v>0.640704</v>
      </c>
      <c r="L842" s="33" t="n">
        <f aca="false">IF(H842="","",ABS(H842))</f>
        <v>1</v>
      </c>
      <c r="M842" s="33" t="n">
        <f aca="false">IF(I842="","",ABS(I842))</f>
        <v>1.5</v>
      </c>
      <c r="N842" s="33" t="n">
        <f aca="false">IF(J842="","",ABS(J842))</f>
        <v>0.125</v>
      </c>
      <c r="O842" s="33" t="n">
        <f aca="false">IF(K842="","",ABS(K842))</f>
        <v>0.640704</v>
      </c>
      <c r="P842" s="34" t="str">
        <f aca="false">IF(B842&gt;=Eval_Start_Week,"YES","")</f>
        <v/>
      </c>
      <c r="Q842" s="34" t="str">
        <f aca="false">IF(AND(B842&gt;=Cal_Start_Week,B842&lt;=Cal_End_Week),"YES","")</f>
        <v/>
      </c>
    </row>
    <row r="843" customFormat="false" ht="15" hidden="false" customHeight="false" outlineLevel="0" collapsed="false">
      <c r="A843" s="31" t="str">
        <f aca="false">Demand_History!C843</f>
        <v>KIT-009</v>
      </c>
      <c r="B843" s="31" t="n">
        <f aca="false">Demand_History!A843</f>
        <v>10</v>
      </c>
      <c r="C843" s="32" t="n">
        <f aca="false">Demand_History!D843</f>
        <v>26</v>
      </c>
      <c r="D843" s="33" t="n">
        <f aca="false">IF(B843&gt;=2,C842,"")</f>
        <v>21</v>
      </c>
      <c r="E843" s="33" t="n">
        <f aca="false">IF(B843&gt;=5,AVERAGE(C839:C842),"")</f>
        <v>20.5</v>
      </c>
      <c r="F843" s="33" t="n">
        <f aca="false">IF(B843&gt;=9,AVERAGE(C835:C842),"")</f>
        <v>21.125</v>
      </c>
      <c r="G843" s="33" t="n">
        <f aca="false">IF(B843=1,"",IF(B843=2,C842,SES_Alpha*C842+(1-SES_Alpha)*G842))</f>
        <v>21.4484928</v>
      </c>
      <c r="H843" s="33" t="n">
        <f aca="false">IF(D843="","",D843-C843)</f>
        <v>-5</v>
      </c>
      <c r="I843" s="33" t="n">
        <f aca="false">IF(E843="","",E843-C843)</f>
        <v>-5.5</v>
      </c>
      <c r="J843" s="33" t="n">
        <f aca="false">IF(F843="","",F843-C843)</f>
        <v>-4.875</v>
      </c>
      <c r="K843" s="33" t="n">
        <f aca="false">IF(G843="","",G843-C843)</f>
        <v>-4.5515072</v>
      </c>
      <c r="L843" s="33" t="n">
        <f aca="false">IF(H843="","",ABS(H843))</f>
        <v>5</v>
      </c>
      <c r="M843" s="33" t="n">
        <f aca="false">IF(I843="","",ABS(I843))</f>
        <v>5.5</v>
      </c>
      <c r="N843" s="33" t="n">
        <f aca="false">IF(J843="","",ABS(J843))</f>
        <v>4.875</v>
      </c>
      <c r="O843" s="33" t="n">
        <f aca="false">IF(K843="","",ABS(K843))</f>
        <v>4.5515072</v>
      </c>
      <c r="P843" s="34" t="str">
        <f aca="false">IF(B843&gt;=Eval_Start_Week,"YES","")</f>
        <v/>
      </c>
      <c r="Q843" s="34" t="str">
        <f aca="false">IF(AND(B843&gt;=Cal_Start_Week,B843&lt;=Cal_End_Week),"YES","")</f>
        <v/>
      </c>
    </row>
    <row r="844" customFormat="false" ht="15" hidden="false" customHeight="false" outlineLevel="0" collapsed="false">
      <c r="A844" s="31" t="str">
        <f aca="false">Demand_History!C844</f>
        <v>KIT-009</v>
      </c>
      <c r="B844" s="31" t="n">
        <f aca="false">Demand_History!A844</f>
        <v>11</v>
      </c>
      <c r="C844" s="32" t="n">
        <f aca="false">Demand_History!D844</f>
        <v>18</v>
      </c>
      <c r="D844" s="33" t="n">
        <f aca="false">IF(B844&gt;=2,C843,"")</f>
        <v>26</v>
      </c>
      <c r="E844" s="33" t="n">
        <f aca="false">IF(B844&gt;=5,AVERAGE(C840:C843),"")</f>
        <v>23.25</v>
      </c>
      <c r="F844" s="33" t="n">
        <f aca="false">IF(B844&gt;=9,AVERAGE(C836:C843),"")</f>
        <v>21.75</v>
      </c>
      <c r="G844" s="33" t="n">
        <f aca="false">IF(B844=1,"",IF(B844=2,C843,SES_Alpha*C843+(1-SES_Alpha)*G843))</f>
        <v>22.81394496</v>
      </c>
      <c r="H844" s="33" t="n">
        <f aca="false">IF(D844="","",D844-C844)</f>
        <v>8</v>
      </c>
      <c r="I844" s="33" t="n">
        <f aca="false">IF(E844="","",E844-C844)</f>
        <v>5.25</v>
      </c>
      <c r="J844" s="33" t="n">
        <f aca="false">IF(F844="","",F844-C844)</f>
        <v>3.75</v>
      </c>
      <c r="K844" s="33" t="n">
        <f aca="false">IF(G844="","",G844-C844)</f>
        <v>4.81394496</v>
      </c>
      <c r="L844" s="33" t="n">
        <f aca="false">IF(H844="","",ABS(H844))</f>
        <v>8</v>
      </c>
      <c r="M844" s="33" t="n">
        <f aca="false">IF(I844="","",ABS(I844))</f>
        <v>5.25</v>
      </c>
      <c r="N844" s="33" t="n">
        <f aca="false">IF(J844="","",ABS(J844))</f>
        <v>3.75</v>
      </c>
      <c r="O844" s="33" t="n">
        <f aca="false">IF(K844="","",ABS(K844))</f>
        <v>4.81394496</v>
      </c>
      <c r="P844" s="34" t="str">
        <f aca="false">IF(B844&gt;=Eval_Start_Week,"YES","")</f>
        <v/>
      </c>
      <c r="Q844" s="34" t="str">
        <f aca="false">IF(AND(B844&gt;=Cal_Start_Week,B844&lt;=Cal_End_Week),"YES","")</f>
        <v/>
      </c>
    </row>
    <row r="845" customFormat="false" ht="15" hidden="false" customHeight="false" outlineLevel="0" collapsed="false">
      <c r="A845" s="31" t="str">
        <f aca="false">Demand_History!C845</f>
        <v>KIT-009</v>
      </c>
      <c r="B845" s="31" t="n">
        <f aca="false">Demand_History!A845</f>
        <v>12</v>
      </c>
      <c r="C845" s="32" t="n">
        <f aca="false">Demand_History!D845</f>
        <v>22</v>
      </c>
      <c r="D845" s="33" t="n">
        <f aca="false">IF(B845&gt;=2,C844,"")</f>
        <v>18</v>
      </c>
      <c r="E845" s="33" t="n">
        <f aca="false">IF(B845&gt;=5,AVERAGE(C841:C844),"")</f>
        <v>21.75</v>
      </c>
      <c r="F845" s="33" t="n">
        <f aca="false">IF(B845&gt;=9,AVERAGE(C837:C844),"")</f>
        <v>22.125</v>
      </c>
      <c r="G845" s="33" t="n">
        <f aca="false">IF(B845=1,"",IF(B845=2,C844,SES_Alpha*C844+(1-SES_Alpha)*G844))</f>
        <v>21.369761472</v>
      </c>
      <c r="H845" s="33" t="n">
        <f aca="false">IF(D845="","",D845-C845)</f>
        <v>-4</v>
      </c>
      <c r="I845" s="33" t="n">
        <f aca="false">IF(E845="","",E845-C845)</f>
        <v>-0.25</v>
      </c>
      <c r="J845" s="33" t="n">
        <f aca="false">IF(F845="","",F845-C845)</f>
        <v>0.125</v>
      </c>
      <c r="K845" s="33" t="n">
        <f aca="false">IF(G845="","",G845-C845)</f>
        <v>-0.630238528000003</v>
      </c>
      <c r="L845" s="33" t="n">
        <f aca="false">IF(H845="","",ABS(H845))</f>
        <v>4</v>
      </c>
      <c r="M845" s="33" t="n">
        <f aca="false">IF(I845="","",ABS(I845))</f>
        <v>0.25</v>
      </c>
      <c r="N845" s="33" t="n">
        <f aca="false">IF(J845="","",ABS(J845))</f>
        <v>0.125</v>
      </c>
      <c r="O845" s="33" t="n">
        <f aca="false">IF(K845="","",ABS(K845))</f>
        <v>0.630238528000003</v>
      </c>
      <c r="P845" s="34" t="str">
        <f aca="false">IF(B845&gt;=Eval_Start_Week,"YES","")</f>
        <v/>
      </c>
      <c r="Q845" s="34" t="str">
        <f aca="false">IF(AND(B845&gt;=Cal_Start_Week,B845&lt;=Cal_End_Week),"YES","")</f>
        <v/>
      </c>
    </row>
    <row r="846" customFormat="false" ht="15" hidden="false" customHeight="false" outlineLevel="0" collapsed="false">
      <c r="A846" s="31" t="str">
        <f aca="false">Demand_History!C846</f>
        <v>KIT-009</v>
      </c>
      <c r="B846" s="31" t="n">
        <f aca="false">Demand_History!A846</f>
        <v>13</v>
      </c>
      <c r="C846" s="32" t="n">
        <f aca="false">Demand_History!D846</f>
        <v>27</v>
      </c>
      <c r="D846" s="33" t="n">
        <f aca="false">IF(B846&gt;=2,C845,"")</f>
        <v>22</v>
      </c>
      <c r="E846" s="33" t="n">
        <f aca="false">IF(B846&gt;=5,AVERAGE(C842:C845),"")</f>
        <v>21.75</v>
      </c>
      <c r="F846" s="33" t="n">
        <f aca="false">IF(B846&gt;=9,AVERAGE(C838:C845),"")</f>
        <v>22.125</v>
      </c>
      <c r="G846" s="33" t="n">
        <f aca="false">IF(B846=1,"",IF(B846=2,C845,SES_Alpha*C845+(1-SES_Alpha)*G845))</f>
        <v>21.5588330304</v>
      </c>
      <c r="H846" s="33" t="n">
        <f aca="false">IF(D846="","",D846-C846)</f>
        <v>-5</v>
      </c>
      <c r="I846" s="33" t="n">
        <f aca="false">IF(E846="","",E846-C846)</f>
        <v>-5.25</v>
      </c>
      <c r="J846" s="33" t="n">
        <f aca="false">IF(F846="","",F846-C846)</f>
        <v>-4.875</v>
      </c>
      <c r="K846" s="33" t="n">
        <f aca="false">IF(G846="","",G846-C846)</f>
        <v>-5.44116696960001</v>
      </c>
      <c r="L846" s="33" t="n">
        <f aca="false">IF(H846="","",ABS(H846))</f>
        <v>5</v>
      </c>
      <c r="M846" s="33" t="n">
        <f aca="false">IF(I846="","",ABS(I846))</f>
        <v>5.25</v>
      </c>
      <c r="N846" s="33" t="n">
        <f aca="false">IF(J846="","",ABS(J846))</f>
        <v>4.875</v>
      </c>
      <c r="O846" s="33" t="n">
        <f aca="false">IF(K846="","",ABS(K846))</f>
        <v>5.44116696960001</v>
      </c>
      <c r="P846" s="34" t="str">
        <f aca="false">IF(B846&gt;=Eval_Start_Week,"YES","")</f>
        <v/>
      </c>
      <c r="Q846" s="34" t="str">
        <f aca="false">IF(AND(B846&gt;=Cal_Start_Week,B846&lt;=Cal_End_Week),"YES","")</f>
        <v/>
      </c>
    </row>
    <row r="847" customFormat="false" ht="15" hidden="false" customHeight="false" outlineLevel="0" collapsed="false">
      <c r="A847" s="31" t="str">
        <f aca="false">Demand_History!C847</f>
        <v>KIT-009</v>
      </c>
      <c r="B847" s="31" t="n">
        <f aca="false">Demand_History!A847</f>
        <v>14</v>
      </c>
      <c r="C847" s="32" t="n">
        <f aca="false">Demand_History!D847</f>
        <v>22</v>
      </c>
      <c r="D847" s="33" t="n">
        <f aca="false">IF(B847&gt;=2,C846,"")</f>
        <v>27</v>
      </c>
      <c r="E847" s="33" t="n">
        <f aca="false">IF(B847&gt;=5,AVERAGE(C843:C846),"")</f>
        <v>23.25</v>
      </c>
      <c r="F847" s="33" t="n">
        <f aca="false">IF(B847&gt;=9,AVERAGE(C839:C846),"")</f>
        <v>21.875</v>
      </c>
      <c r="G847" s="33" t="n">
        <f aca="false">IF(B847=1,"",IF(B847=2,C846,SES_Alpha*C846+(1-SES_Alpha)*G846))</f>
        <v>23.19118312128</v>
      </c>
      <c r="H847" s="33" t="n">
        <f aca="false">IF(D847="","",D847-C847)</f>
        <v>5</v>
      </c>
      <c r="I847" s="33" t="n">
        <f aca="false">IF(E847="","",E847-C847)</f>
        <v>1.25</v>
      </c>
      <c r="J847" s="33" t="n">
        <f aca="false">IF(F847="","",F847-C847)</f>
        <v>-0.125</v>
      </c>
      <c r="K847" s="33" t="n">
        <f aca="false">IF(G847="","",G847-C847)</f>
        <v>1.19118312127999</v>
      </c>
      <c r="L847" s="33" t="n">
        <f aca="false">IF(H847="","",ABS(H847))</f>
        <v>5</v>
      </c>
      <c r="M847" s="33" t="n">
        <f aca="false">IF(I847="","",ABS(I847))</f>
        <v>1.25</v>
      </c>
      <c r="N847" s="33" t="n">
        <f aca="false">IF(J847="","",ABS(J847))</f>
        <v>0.125</v>
      </c>
      <c r="O847" s="33" t="n">
        <f aca="false">IF(K847="","",ABS(K847))</f>
        <v>1.19118312127999</v>
      </c>
      <c r="P847" s="34" t="str">
        <f aca="false">IF(B847&gt;=Eval_Start_Week,"YES","")</f>
        <v/>
      </c>
      <c r="Q847" s="34" t="str">
        <f aca="false">IF(AND(B847&gt;=Cal_Start_Week,B847&lt;=Cal_End_Week),"YES","")</f>
        <v/>
      </c>
    </row>
    <row r="848" customFormat="false" ht="15" hidden="false" customHeight="false" outlineLevel="0" collapsed="false">
      <c r="A848" s="31" t="str">
        <f aca="false">Demand_History!C848</f>
        <v>KIT-009</v>
      </c>
      <c r="B848" s="31" t="n">
        <f aca="false">Demand_History!A848</f>
        <v>15</v>
      </c>
      <c r="C848" s="32" t="n">
        <f aca="false">Demand_History!D848</f>
        <v>21</v>
      </c>
      <c r="D848" s="33" t="n">
        <f aca="false">IF(B848&gt;=2,C847,"")</f>
        <v>22</v>
      </c>
      <c r="E848" s="33" t="n">
        <f aca="false">IF(B848&gt;=5,AVERAGE(C844:C847),"")</f>
        <v>22.25</v>
      </c>
      <c r="F848" s="33" t="n">
        <f aca="false">IF(B848&gt;=9,AVERAGE(C840:C847),"")</f>
        <v>22.75</v>
      </c>
      <c r="G848" s="33" t="n">
        <f aca="false">IF(B848=1,"",IF(B848=2,C847,SES_Alpha*C847+(1-SES_Alpha)*G847))</f>
        <v>22.833828184896</v>
      </c>
      <c r="H848" s="33" t="n">
        <f aca="false">IF(D848="","",D848-C848)</f>
        <v>1</v>
      </c>
      <c r="I848" s="33" t="n">
        <f aca="false">IF(E848="","",E848-C848)</f>
        <v>1.25</v>
      </c>
      <c r="J848" s="33" t="n">
        <f aca="false">IF(F848="","",F848-C848)</f>
        <v>1.75</v>
      </c>
      <c r="K848" s="33" t="n">
        <f aca="false">IF(G848="","",G848-C848)</f>
        <v>1.83382818489599</v>
      </c>
      <c r="L848" s="33" t="n">
        <f aca="false">IF(H848="","",ABS(H848))</f>
        <v>1</v>
      </c>
      <c r="M848" s="33" t="n">
        <f aca="false">IF(I848="","",ABS(I848))</f>
        <v>1.25</v>
      </c>
      <c r="N848" s="33" t="n">
        <f aca="false">IF(J848="","",ABS(J848))</f>
        <v>1.75</v>
      </c>
      <c r="O848" s="33" t="n">
        <f aca="false">IF(K848="","",ABS(K848))</f>
        <v>1.83382818489599</v>
      </c>
      <c r="P848" s="34" t="str">
        <f aca="false">IF(B848&gt;=Eval_Start_Week,"YES","")</f>
        <v/>
      </c>
      <c r="Q848" s="34" t="str">
        <f aca="false">IF(AND(B848&gt;=Cal_Start_Week,B848&lt;=Cal_End_Week),"YES","")</f>
        <v/>
      </c>
    </row>
    <row r="849" customFormat="false" ht="15" hidden="false" customHeight="false" outlineLevel="0" collapsed="false">
      <c r="A849" s="31" t="str">
        <f aca="false">Demand_History!C849</f>
        <v>KIT-009</v>
      </c>
      <c r="B849" s="31" t="n">
        <f aca="false">Demand_History!A849</f>
        <v>16</v>
      </c>
      <c r="C849" s="32" t="n">
        <f aca="false">Demand_History!D849</f>
        <v>23</v>
      </c>
      <c r="D849" s="33" t="n">
        <f aca="false">IF(B849&gt;=2,C848,"")</f>
        <v>21</v>
      </c>
      <c r="E849" s="33" t="n">
        <f aca="false">IF(B849&gt;=5,AVERAGE(C845:C848),"")</f>
        <v>23</v>
      </c>
      <c r="F849" s="33" t="n">
        <f aca="false">IF(B849&gt;=9,AVERAGE(C841:C848),"")</f>
        <v>22.375</v>
      </c>
      <c r="G849" s="33" t="n">
        <f aca="false">IF(B849=1,"",IF(B849=2,C848,SES_Alpha*C848+(1-SES_Alpha)*G848))</f>
        <v>22.2836797294272</v>
      </c>
      <c r="H849" s="33" t="n">
        <f aca="false">IF(D849="","",D849-C849)</f>
        <v>-2</v>
      </c>
      <c r="I849" s="33" t="n">
        <f aca="false">IF(E849="","",E849-C849)</f>
        <v>0</v>
      </c>
      <c r="J849" s="33" t="n">
        <f aca="false">IF(F849="","",F849-C849)</f>
        <v>-0.625</v>
      </c>
      <c r="K849" s="33" t="n">
        <f aca="false">IF(G849="","",G849-C849)</f>
        <v>-0.716320270572808</v>
      </c>
      <c r="L849" s="33" t="n">
        <f aca="false">IF(H849="","",ABS(H849))</f>
        <v>2</v>
      </c>
      <c r="M849" s="33" t="n">
        <f aca="false">IF(I849="","",ABS(I849))</f>
        <v>0</v>
      </c>
      <c r="N849" s="33" t="n">
        <f aca="false">IF(J849="","",ABS(J849))</f>
        <v>0.625</v>
      </c>
      <c r="O849" s="33" t="n">
        <f aca="false">IF(K849="","",ABS(K849))</f>
        <v>0.716320270572808</v>
      </c>
      <c r="P849" s="34" t="str">
        <f aca="false">IF(B849&gt;=Eval_Start_Week,"YES","")</f>
        <v/>
      </c>
      <c r="Q849" s="34" t="str">
        <f aca="false">IF(AND(B849&gt;=Cal_Start_Week,B849&lt;=Cal_End_Week),"YES","")</f>
        <v/>
      </c>
    </row>
    <row r="850" customFormat="false" ht="15" hidden="false" customHeight="false" outlineLevel="0" collapsed="false">
      <c r="A850" s="31" t="str">
        <f aca="false">Demand_History!C850</f>
        <v>KIT-009</v>
      </c>
      <c r="B850" s="31" t="n">
        <f aca="false">Demand_History!A850</f>
        <v>17</v>
      </c>
      <c r="C850" s="32" t="n">
        <f aca="false">Demand_History!D850</f>
        <v>22</v>
      </c>
      <c r="D850" s="33" t="n">
        <f aca="false">IF(B850&gt;=2,C849,"")</f>
        <v>23</v>
      </c>
      <c r="E850" s="33" t="n">
        <f aca="false">IF(B850&gt;=5,AVERAGE(C846:C849),"")</f>
        <v>23.25</v>
      </c>
      <c r="F850" s="33" t="n">
        <f aca="false">IF(B850&gt;=9,AVERAGE(C842:C849),"")</f>
        <v>22.5</v>
      </c>
      <c r="G850" s="33" t="n">
        <f aca="false">IF(B850=1,"",IF(B850=2,C849,SES_Alpha*C849+(1-SES_Alpha)*G849))</f>
        <v>22.498575810599</v>
      </c>
      <c r="H850" s="33" t="n">
        <f aca="false">IF(D850="","",D850-C850)</f>
        <v>1</v>
      </c>
      <c r="I850" s="33" t="n">
        <f aca="false">IF(E850="","",E850-C850)</f>
        <v>1.25</v>
      </c>
      <c r="J850" s="33" t="n">
        <f aca="false">IF(F850="","",F850-C850)</f>
        <v>0.5</v>
      </c>
      <c r="K850" s="33" t="n">
        <f aca="false">IF(G850="","",G850-C850)</f>
        <v>0.498575810599032</v>
      </c>
      <c r="L850" s="33" t="n">
        <f aca="false">IF(H850="","",ABS(H850))</f>
        <v>1</v>
      </c>
      <c r="M850" s="33" t="n">
        <f aca="false">IF(I850="","",ABS(I850))</f>
        <v>1.25</v>
      </c>
      <c r="N850" s="33" t="n">
        <f aca="false">IF(J850="","",ABS(J850))</f>
        <v>0.5</v>
      </c>
      <c r="O850" s="33" t="n">
        <f aca="false">IF(K850="","",ABS(K850))</f>
        <v>0.498575810599032</v>
      </c>
      <c r="P850" s="34" t="str">
        <f aca="false">IF(B850&gt;=Eval_Start_Week,"YES","")</f>
        <v/>
      </c>
      <c r="Q850" s="34" t="str">
        <f aca="false">IF(AND(B850&gt;=Cal_Start_Week,B850&lt;=Cal_End_Week),"YES","")</f>
        <v/>
      </c>
    </row>
    <row r="851" customFormat="false" ht="15" hidden="false" customHeight="false" outlineLevel="0" collapsed="false">
      <c r="A851" s="31" t="str">
        <f aca="false">Demand_History!C851</f>
        <v>KIT-009</v>
      </c>
      <c r="B851" s="31" t="n">
        <f aca="false">Demand_History!A851</f>
        <v>18</v>
      </c>
      <c r="C851" s="32" t="n">
        <f aca="false">Demand_History!D851</f>
        <v>28</v>
      </c>
      <c r="D851" s="33" t="n">
        <f aca="false">IF(B851&gt;=2,C850,"")</f>
        <v>22</v>
      </c>
      <c r="E851" s="33" t="n">
        <f aca="false">IF(B851&gt;=5,AVERAGE(C847:C850),"")</f>
        <v>22</v>
      </c>
      <c r="F851" s="33" t="n">
        <f aca="false">IF(B851&gt;=9,AVERAGE(C843:C850),"")</f>
        <v>22.625</v>
      </c>
      <c r="G851" s="33" t="n">
        <f aca="false">IF(B851=1,"",IF(B851=2,C850,SES_Alpha*C850+(1-SES_Alpha)*G850))</f>
        <v>22.3490030674193</v>
      </c>
      <c r="H851" s="33" t="n">
        <f aca="false">IF(D851="","",D851-C851)</f>
        <v>-6</v>
      </c>
      <c r="I851" s="33" t="n">
        <f aca="false">IF(E851="","",E851-C851)</f>
        <v>-6</v>
      </c>
      <c r="J851" s="33" t="n">
        <f aca="false">IF(F851="","",F851-C851)</f>
        <v>-5.375</v>
      </c>
      <c r="K851" s="33" t="n">
        <f aca="false">IF(G851="","",G851-C851)</f>
        <v>-5.65099693258068</v>
      </c>
      <c r="L851" s="33" t="n">
        <f aca="false">IF(H851="","",ABS(H851))</f>
        <v>6</v>
      </c>
      <c r="M851" s="33" t="n">
        <f aca="false">IF(I851="","",ABS(I851))</f>
        <v>6</v>
      </c>
      <c r="N851" s="33" t="n">
        <f aca="false">IF(J851="","",ABS(J851))</f>
        <v>5.375</v>
      </c>
      <c r="O851" s="33" t="n">
        <f aca="false">IF(K851="","",ABS(K851))</f>
        <v>5.65099693258068</v>
      </c>
      <c r="P851" s="34" t="str">
        <f aca="false">IF(B851&gt;=Eval_Start_Week,"YES","")</f>
        <v/>
      </c>
      <c r="Q851" s="34" t="str">
        <f aca="false">IF(AND(B851&gt;=Cal_Start_Week,B851&lt;=Cal_End_Week),"YES","")</f>
        <v/>
      </c>
    </row>
    <row r="852" customFormat="false" ht="15" hidden="false" customHeight="false" outlineLevel="0" collapsed="false">
      <c r="A852" s="31" t="str">
        <f aca="false">Demand_History!C852</f>
        <v>KIT-009</v>
      </c>
      <c r="B852" s="31" t="n">
        <f aca="false">Demand_History!A852</f>
        <v>19</v>
      </c>
      <c r="C852" s="32" t="n">
        <f aca="false">Demand_History!D852</f>
        <v>20</v>
      </c>
      <c r="D852" s="33" t="n">
        <f aca="false">IF(B852&gt;=2,C851,"")</f>
        <v>28</v>
      </c>
      <c r="E852" s="33" t="n">
        <f aca="false">IF(B852&gt;=5,AVERAGE(C848:C851),"")</f>
        <v>23.5</v>
      </c>
      <c r="F852" s="33" t="n">
        <f aca="false">IF(B852&gt;=9,AVERAGE(C844:C851),"")</f>
        <v>22.875</v>
      </c>
      <c r="G852" s="33" t="n">
        <f aca="false">IF(B852=1,"",IF(B852=2,C851,SES_Alpha*C851+(1-SES_Alpha)*G851))</f>
        <v>24.0443021471935</v>
      </c>
      <c r="H852" s="33" t="n">
        <f aca="false">IF(D852="","",D852-C852)</f>
        <v>8</v>
      </c>
      <c r="I852" s="33" t="n">
        <f aca="false">IF(E852="","",E852-C852)</f>
        <v>3.5</v>
      </c>
      <c r="J852" s="33" t="n">
        <f aca="false">IF(F852="","",F852-C852)</f>
        <v>2.875</v>
      </c>
      <c r="K852" s="33" t="n">
        <f aca="false">IF(G852="","",G852-C852)</f>
        <v>4.04430214719353</v>
      </c>
      <c r="L852" s="33" t="n">
        <f aca="false">IF(H852="","",ABS(H852))</f>
        <v>8</v>
      </c>
      <c r="M852" s="33" t="n">
        <f aca="false">IF(I852="","",ABS(I852))</f>
        <v>3.5</v>
      </c>
      <c r="N852" s="33" t="n">
        <f aca="false">IF(J852="","",ABS(J852))</f>
        <v>2.875</v>
      </c>
      <c r="O852" s="33" t="n">
        <f aca="false">IF(K852="","",ABS(K852))</f>
        <v>4.04430214719353</v>
      </c>
      <c r="P852" s="34" t="str">
        <f aca="false">IF(B852&gt;=Eval_Start_Week,"YES","")</f>
        <v/>
      </c>
      <c r="Q852" s="34" t="str">
        <f aca="false">IF(AND(B852&gt;=Cal_Start_Week,B852&lt;=Cal_End_Week),"YES","")</f>
        <v/>
      </c>
    </row>
    <row r="853" customFormat="false" ht="15" hidden="false" customHeight="false" outlineLevel="0" collapsed="false">
      <c r="A853" s="31" t="str">
        <f aca="false">Demand_History!C853</f>
        <v>KIT-009</v>
      </c>
      <c r="B853" s="31" t="n">
        <f aca="false">Demand_History!A853</f>
        <v>20</v>
      </c>
      <c r="C853" s="32" t="n">
        <f aca="false">Demand_History!D853</f>
        <v>27</v>
      </c>
      <c r="D853" s="33" t="n">
        <f aca="false">IF(B853&gt;=2,C852,"")</f>
        <v>20</v>
      </c>
      <c r="E853" s="33" t="n">
        <f aca="false">IF(B853&gt;=5,AVERAGE(C849:C852),"")</f>
        <v>23.25</v>
      </c>
      <c r="F853" s="33" t="n">
        <f aca="false">IF(B853&gt;=9,AVERAGE(C845:C852),"")</f>
        <v>23.125</v>
      </c>
      <c r="G853" s="33" t="n">
        <f aca="false">IF(B853=1,"",IF(B853=2,C852,SES_Alpha*C852+(1-SES_Alpha)*G852))</f>
        <v>22.8310115030355</v>
      </c>
      <c r="H853" s="33" t="n">
        <f aca="false">IF(D853="","",D853-C853)</f>
        <v>-7</v>
      </c>
      <c r="I853" s="33" t="n">
        <f aca="false">IF(E853="","",E853-C853)</f>
        <v>-3.75</v>
      </c>
      <c r="J853" s="33" t="n">
        <f aca="false">IF(F853="","",F853-C853)</f>
        <v>-3.875</v>
      </c>
      <c r="K853" s="33" t="n">
        <f aca="false">IF(G853="","",G853-C853)</f>
        <v>-4.16898849696453</v>
      </c>
      <c r="L853" s="33" t="n">
        <f aca="false">IF(H853="","",ABS(H853))</f>
        <v>7</v>
      </c>
      <c r="M853" s="33" t="n">
        <f aca="false">IF(I853="","",ABS(I853))</f>
        <v>3.75</v>
      </c>
      <c r="N853" s="33" t="n">
        <f aca="false">IF(J853="","",ABS(J853))</f>
        <v>3.875</v>
      </c>
      <c r="O853" s="33" t="n">
        <f aca="false">IF(K853="","",ABS(K853))</f>
        <v>4.16898849696453</v>
      </c>
      <c r="P853" s="34" t="str">
        <f aca="false">IF(B853&gt;=Eval_Start_Week,"YES","")</f>
        <v/>
      </c>
      <c r="Q853" s="34" t="str">
        <f aca="false">IF(AND(B853&gt;=Cal_Start_Week,B853&lt;=Cal_End_Week),"YES","")</f>
        <v/>
      </c>
    </row>
    <row r="854" customFormat="false" ht="15" hidden="false" customHeight="false" outlineLevel="0" collapsed="false">
      <c r="A854" s="31" t="str">
        <f aca="false">Demand_History!C854</f>
        <v>KIT-009</v>
      </c>
      <c r="B854" s="31" t="n">
        <f aca="false">Demand_History!A854</f>
        <v>21</v>
      </c>
      <c r="C854" s="32" t="n">
        <f aca="false">Demand_History!D854</f>
        <v>20</v>
      </c>
      <c r="D854" s="33" t="n">
        <f aca="false">IF(B854&gt;=2,C853,"")</f>
        <v>27</v>
      </c>
      <c r="E854" s="33" t="n">
        <f aca="false">IF(B854&gt;=5,AVERAGE(C850:C853),"")</f>
        <v>24.25</v>
      </c>
      <c r="F854" s="33" t="n">
        <f aca="false">IF(B854&gt;=9,AVERAGE(C846:C853),"")</f>
        <v>23.75</v>
      </c>
      <c r="G854" s="33" t="n">
        <f aca="false">IF(B854=1,"",IF(B854=2,C853,SES_Alpha*C853+(1-SES_Alpha)*G853))</f>
        <v>24.0817080521248</v>
      </c>
      <c r="H854" s="33" t="n">
        <f aca="false">IF(D854="","",D854-C854)</f>
        <v>7</v>
      </c>
      <c r="I854" s="33" t="n">
        <f aca="false">IF(E854="","",E854-C854)</f>
        <v>4.25</v>
      </c>
      <c r="J854" s="33" t="n">
        <f aca="false">IF(F854="","",F854-C854)</f>
        <v>3.75</v>
      </c>
      <c r="K854" s="33" t="n">
        <f aca="false">IF(G854="","",G854-C854)</f>
        <v>4.08170805212482</v>
      </c>
      <c r="L854" s="33" t="n">
        <f aca="false">IF(H854="","",ABS(H854))</f>
        <v>7</v>
      </c>
      <c r="M854" s="33" t="n">
        <f aca="false">IF(I854="","",ABS(I854))</f>
        <v>4.25</v>
      </c>
      <c r="N854" s="33" t="n">
        <f aca="false">IF(J854="","",ABS(J854))</f>
        <v>3.75</v>
      </c>
      <c r="O854" s="33" t="n">
        <f aca="false">IF(K854="","",ABS(K854))</f>
        <v>4.08170805212482</v>
      </c>
      <c r="P854" s="34" t="str">
        <f aca="false">IF(B854&gt;=Eval_Start_Week,"YES","")</f>
        <v/>
      </c>
      <c r="Q854" s="34" t="str">
        <f aca="false">IF(AND(B854&gt;=Cal_Start_Week,B854&lt;=Cal_End_Week),"YES","")</f>
        <v/>
      </c>
    </row>
    <row r="855" customFormat="false" ht="15" hidden="false" customHeight="false" outlineLevel="0" collapsed="false">
      <c r="A855" s="31" t="str">
        <f aca="false">Demand_History!C855</f>
        <v>KIT-009</v>
      </c>
      <c r="B855" s="31" t="n">
        <f aca="false">Demand_History!A855</f>
        <v>22</v>
      </c>
      <c r="C855" s="32" t="n">
        <f aca="false">Demand_History!D855</f>
        <v>26</v>
      </c>
      <c r="D855" s="33" t="n">
        <f aca="false">IF(B855&gt;=2,C854,"")</f>
        <v>20</v>
      </c>
      <c r="E855" s="33" t="n">
        <f aca="false">IF(B855&gt;=5,AVERAGE(C851:C854),"")</f>
        <v>23.75</v>
      </c>
      <c r="F855" s="33" t="n">
        <f aca="false">IF(B855&gt;=9,AVERAGE(C847:C854),"")</f>
        <v>22.875</v>
      </c>
      <c r="G855" s="33" t="n">
        <f aca="false">IF(B855=1,"",IF(B855=2,C854,SES_Alpha*C854+(1-SES_Alpha)*G854))</f>
        <v>22.8571956364874</v>
      </c>
      <c r="H855" s="33" t="n">
        <f aca="false">IF(D855="","",D855-C855)</f>
        <v>-6</v>
      </c>
      <c r="I855" s="33" t="n">
        <f aca="false">IF(E855="","",E855-C855)</f>
        <v>-2.25</v>
      </c>
      <c r="J855" s="33" t="n">
        <f aca="false">IF(F855="","",F855-C855)</f>
        <v>-3.125</v>
      </c>
      <c r="K855" s="33" t="n">
        <f aca="false">IF(G855="","",G855-C855)</f>
        <v>-3.14280436351262</v>
      </c>
      <c r="L855" s="33" t="n">
        <f aca="false">IF(H855="","",ABS(H855))</f>
        <v>6</v>
      </c>
      <c r="M855" s="33" t="n">
        <f aca="false">IF(I855="","",ABS(I855))</f>
        <v>2.25</v>
      </c>
      <c r="N855" s="33" t="n">
        <f aca="false">IF(J855="","",ABS(J855))</f>
        <v>3.125</v>
      </c>
      <c r="O855" s="33" t="n">
        <f aca="false">IF(K855="","",ABS(K855))</f>
        <v>3.14280436351262</v>
      </c>
      <c r="P855" s="34" t="str">
        <f aca="false">IF(B855&gt;=Eval_Start_Week,"YES","")</f>
        <v/>
      </c>
      <c r="Q855" s="34" t="str">
        <f aca="false">IF(AND(B855&gt;=Cal_Start_Week,B855&lt;=Cal_End_Week),"YES","")</f>
        <v/>
      </c>
    </row>
    <row r="856" customFormat="false" ht="15" hidden="false" customHeight="false" outlineLevel="0" collapsed="false">
      <c r="A856" s="31" t="str">
        <f aca="false">Demand_History!C856</f>
        <v>KIT-009</v>
      </c>
      <c r="B856" s="31" t="n">
        <f aca="false">Demand_History!A856</f>
        <v>23</v>
      </c>
      <c r="C856" s="32" t="n">
        <f aca="false">Demand_History!D856</f>
        <v>24</v>
      </c>
      <c r="D856" s="33" t="n">
        <f aca="false">IF(B856&gt;=2,C855,"")</f>
        <v>26</v>
      </c>
      <c r="E856" s="33" t="n">
        <f aca="false">IF(B856&gt;=5,AVERAGE(C852:C855),"")</f>
        <v>23.25</v>
      </c>
      <c r="F856" s="33" t="n">
        <f aca="false">IF(B856&gt;=9,AVERAGE(C848:C855),"")</f>
        <v>23.375</v>
      </c>
      <c r="G856" s="33" t="n">
        <f aca="false">IF(B856=1,"",IF(B856=2,C855,SES_Alpha*C855+(1-SES_Alpha)*G855))</f>
        <v>23.8000369455412</v>
      </c>
      <c r="H856" s="33" t="n">
        <f aca="false">IF(D856="","",D856-C856)</f>
        <v>2</v>
      </c>
      <c r="I856" s="33" t="n">
        <f aca="false">IF(E856="","",E856-C856)</f>
        <v>-0.75</v>
      </c>
      <c r="J856" s="33" t="n">
        <f aca="false">IF(F856="","",F856-C856)</f>
        <v>-0.625</v>
      </c>
      <c r="K856" s="33" t="n">
        <f aca="false">IF(G856="","",G856-C856)</f>
        <v>-0.199963054458838</v>
      </c>
      <c r="L856" s="33" t="n">
        <f aca="false">IF(H856="","",ABS(H856))</f>
        <v>2</v>
      </c>
      <c r="M856" s="33" t="n">
        <f aca="false">IF(I856="","",ABS(I856))</f>
        <v>0.75</v>
      </c>
      <c r="N856" s="33" t="n">
        <f aca="false">IF(J856="","",ABS(J856))</f>
        <v>0.625</v>
      </c>
      <c r="O856" s="33" t="n">
        <f aca="false">IF(K856="","",ABS(K856))</f>
        <v>0.199963054458838</v>
      </c>
      <c r="P856" s="34" t="str">
        <f aca="false">IF(B856&gt;=Eval_Start_Week,"YES","")</f>
        <v/>
      </c>
      <c r="Q856" s="34" t="str">
        <f aca="false">IF(AND(B856&gt;=Cal_Start_Week,B856&lt;=Cal_End_Week),"YES","")</f>
        <v/>
      </c>
    </row>
    <row r="857" customFormat="false" ht="15" hidden="false" customHeight="false" outlineLevel="0" collapsed="false">
      <c r="A857" s="31" t="str">
        <f aca="false">Demand_History!C857</f>
        <v>KIT-009</v>
      </c>
      <c r="B857" s="31" t="n">
        <f aca="false">Demand_History!A857</f>
        <v>24</v>
      </c>
      <c r="C857" s="32" t="n">
        <f aca="false">Demand_History!D857</f>
        <v>15</v>
      </c>
      <c r="D857" s="33" t="n">
        <f aca="false">IF(B857&gt;=2,C856,"")</f>
        <v>24</v>
      </c>
      <c r="E857" s="33" t="n">
        <f aca="false">IF(B857&gt;=5,AVERAGE(C853:C856),"")</f>
        <v>24.25</v>
      </c>
      <c r="F857" s="33" t="n">
        <f aca="false">IF(B857&gt;=9,AVERAGE(C849:C856),"")</f>
        <v>23.75</v>
      </c>
      <c r="G857" s="33" t="n">
        <f aca="false">IF(B857=1,"",IF(B857=2,C856,SES_Alpha*C856+(1-SES_Alpha)*G856))</f>
        <v>23.8600258618788</v>
      </c>
      <c r="H857" s="33" t="n">
        <f aca="false">IF(D857="","",D857-C857)</f>
        <v>9</v>
      </c>
      <c r="I857" s="33" t="n">
        <f aca="false">IF(E857="","",E857-C857)</f>
        <v>9.25</v>
      </c>
      <c r="J857" s="33" t="n">
        <f aca="false">IF(F857="","",F857-C857)</f>
        <v>8.75</v>
      </c>
      <c r="K857" s="33" t="n">
        <f aca="false">IF(G857="","",G857-C857)</f>
        <v>8.86002586187881</v>
      </c>
      <c r="L857" s="33" t="n">
        <f aca="false">IF(H857="","",ABS(H857))</f>
        <v>9</v>
      </c>
      <c r="M857" s="33" t="n">
        <f aca="false">IF(I857="","",ABS(I857))</f>
        <v>9.25</v>
      </c>
      <c r="N857" s="33" t="n">
        <f aca="false">IF(J857="","",ABS(J857))</f>
        <v>8.75</v>
      </c>
      <c r="O857" s="33" t="n">
        <f aca="false">IF(K857="","",ABS(K857))</f>
        <v>8.86002586187881</v>
      </c>
      <c r="P857" s="34" t="str">
        <f aca="false">IF(B857&gt;=Eval_Start_Week,"YES","")</f>
        <v/>
      </c>
      <c r="Q857" s="34" t="str">
        <f aca="false">IF(AND(B857&gt;=Cal_Start_Week,B857&lt;=Cal_End_Week),"YES","")</f>
        <v/>
      </c>
    </row>
    <row r="858" customFormat="false" ht="15" hidden="false" customHeight="false" outlineLevel="0" collapsed="false">
      <c r="A858" s="31" t="str">
        <f aca="false">Demand_History!C858</f>
        <v>KIT-009</v>
      </c>
      <c r="B858" s="31" t="n">
        <f aca="false">Demand_History!A858</f>
        <v>25</v>
      </c>
      <c r="C858" s="32" t="n">
        <f aca="false">Demand_History!D858</f>
        <v>25</v>
      </c>
      <c r="D858" s="33" t="n">
        <f aca="false">IF(B858&gt;=2,C857,"")</f>
        <v>15</v>
      </c>
      <c r="E858" s="33" t="n">
        <f aca="false">IF(B858&gt;=5,AVERAGE(C854:C857),"")</f>
        <v>21.25</v>
      </c>
      <c r="F858" s="33" t="n">
        <f aca="false">IF(B858&gt;=9,AVERAGE(C850:C857),"")</f>
        <v>22.75</v>
      </c>
      <c r="G858" s="33" t="n">
        <f aca="false">IF(B858=1,"",IF(B858=2,C857,SES_Alpha*C857+(1-SES_Alpha)*G857))</f>
        <v>21.2020181033152</v>
      </c>
      <c r="H858" s="33" t="n">
        <f aca="false">IF(D858="","",D858-C858)</f>
        <v>-10</v>
      </c>
      <c r="I858" s="33" t="n">
        <f aca="false">IF(E858="","",E858-C858)</f>
        <v>-3.75</v>
      </c>
      <c r="J858" s="33" t="n">
        <f aca="false">IF(F858="","",F858-C858)</f>
        <v>-2.25</v>
      </c>
      <c r="K858" s="33" t="n">
        <f aca="false">IF(G858="","",G858-C858)</f>
        <v>-3.79798189668484</v>
      </c>
      <c r="L858" s="33" t="n">
        <f aca="false">IF(H858="","",ABS(H858))</f>
        <v>10</v>
      </c>
      <c r="M858" s="33" t="n">
        <f aca="false">IF(I858="","",ABS(I858))</f>
        <v>3.75</v>
      </c>
      <c r="N858" s="33" t="n">
        <f aca="false">IF(J858="","",ABS(J858))</f>
        <v>2.25</v>
      </c>
      <c r="O858" s="33" t="n">
        <f aca="false">IF(K858="","",ABS(K858))</f>
        <v>3.79798189668484</v>
      </c>
      <c r="P858" s="34" t="str">
        <f aca="false">IF(B858&gt;=Eval_Start_Week,"YES","")</f>
        <v/>
      </c>
      <c r="Q858" s="34" t="str">
        <f aca="false">IF(AND(B858&gt;=Cal_Start_Week,B858&lt;=Cal_End_Week),"YES","")</f>
        <v/>
      </c>
    </row>
    <row r="859" customFormat="false" ht="15" hidden="false" customHeight="false" outlineLevel="0" collapsed="false">
      <c r="A859" s="31" t="str">
        <f aca="false">Demand_History!C859</f>
        <v>KIT-009</v>
      </c>
      <c r="B859" s="31" t="n">
        <f aca="false">Demand_History!A859</f>
        <v>26</v>
      </c>
      <c r="C859" s="32" t="n">
        <f aca="false">Demand_History!D859</f>
        <v>21</v>
      </c>
      <c r="D859" s="33" t="n">
        <f aca="false">IF(B859&gt;=2,C858,"")</f>
        <v>25</v>
      </c>
      <c r="E859" s="33" t="n">
        <f aca="false">IF(B859&gt;=5,AVERAGE(C855:C858),"")</f>
        <v>22.5</v>
      </c>
      <c r="F859" s="33" t="n">
        <f aca="false">IF(B859&gt;=9,AVERAGE(C851:C858),"")</f>
        <v>23.125</v>
      </c>
      <c r="G859" s="33" t="n">
        <f aca="false">IF(B859=1,"",IF(B859=2,C858,SES_Alpha*C858+(1-SES_Alpha)*G858))</f>
        <v>22.3414126723206</v>
      </c>
      <c r="H859" s="33" t="n">
        <f aca="false">IF(D859="","",D859-C859)</f>
        <v>4</v>
      </c>
      <c r="I859" s="33" t="n">
        <f aca="false">IF(E859="","",E859-C859)</f>
        <v>1.5</v>
      </c>
      <c r="J859" s="33" t="n">
        <f aca="false">IF(F859="","",F859-C859)</f>
        <v>2.125</v>
      </c>
      <c r="K859" s="33" t="n">
        <f aca="false">IF(G859="","",G859-C859)</f>
        <v>1.34141267232062</v>
      </c>
      <c r="L859" s="33" t="n">
        <f aca="false">IF(H859="","",ABS(H859))</f>
        <v>4</v>
      </c>
      <c r="M859" s="33" t="n">
        <f aca="false">IF(I859="","",ABS(I859))</f>
        <v>1.5</v>
      </c>
      <c r="N859" s="33" t="n">
        <f aca="false">IF(J859="","",ABS(J859))</f>
        <v>2.125</v>
      </c>
      <c r="O859" s="33" t="n">
        <f aca="false">IF(K859="","",ABS(K859))</f>
        <v>1.34141267232062</v>
      </c>
      <c r="P859" s="34" t="str">
        <f aca="false">IF(B859&gt;=Eval_Start_Week,"YES","")</f>
        <v/>
      </c>
      <c r="Q859" s="34" t="str">
        <f aca="false">IF(AND(B859&gt;=Cal_Start_Week,B859&lt;=Cal_End_Week),"YES","")</f>
        <v/>
      </c>
    </row>
    <row r="860" customFormat="false" ht="15" hidden="false" customHeight="false" outlineLevel="0" collapsed="false">
      <c r="A860" s="31" t="str">
        <f aca="false">Demand_History!C860</f>
        <v>KIT-009</v>
      </c>
      <c r="B860" s="31" t="n">
        <f aca="false">Demand_History!A860</f>
        <v>27</v>
      </c>
      <c r="C860" s="32" t="n">
        <f aca="false">Demand_History!D860</f>
        <v>24</v>
      </c>
      <c r="D860" s="33" t="n">
        <f aca="false">IF(B860&gt;=2,C859,"")</f>
        <v>21</v>
      </c>
      <c r="E860" s="33" t="n">
        <f aca="false">IF(B860&gt;=5,AVERAGE(C856:C859),"")</f>
        <v>21.25</v>
      </c>
      <c r="F860" s="33" t="n">
        <f aca="false">IF(B860&gt;=9,AVERAGE(C852:C859),"")</f>
        <v>22.25</v>
      </c>
      <c r="G860" s="33" t="n">
        <f aca="false">IF(B860=1,"",IF(B860=2,C859,SES_Alpha*C859+(1-SES_Alpha)*G859))</f>
        <v>21.9389888706244</v>
      </c>
      <c r="H860" s="33" t="n">
        <f aca="false">IF(D860="","",D860-C860)</f>
        <v>-3</v>
      </c>
      <c r="I860" s="33" t="n">
        <f aca="false">IF(E860="","",E860-C860)</f>
        <v>-2.75</v>
      </c>
      <c r="J860" s="33" t="n">
        <f aca="false">IF(F860="","",F860-C860)</f>
        <v>-1.75</v>
      </c>
      <c r="K860" s="33" t="n">
        <f aca="false">IF(G860="","",G860-C860)</f>
        <v>-2.06101112937557</v>
      </c>
      <c r="L860" s="33" t="n">
        <f aca="false">IF(H860="","",ABS(H860))</f>
        <v>3</v>
      </c>
      <c r="M860" s="33" t="n">
        <f aca="false">IF(I860="","",ABS(I860))</f>
        <v>2.75</v>
      </c>
      <c r="N860" s="33" t="n">
        <f aca="false">IF(J860="","",ABS(J860))</f>
        <v>1.75</v>
      </c>
      <c r="O860" s="33" t="n">
        <f aca="false">IF(K860="","",ABS(K860))</f>
        <v>2.06101112937557</v>
      </c>
      <c r="P860" s="34" t="str">
        <f aca="false">IF(B860&gt;=Eval_Start_Week,"YES","")</f>
        <v/>
      </c>
      <c r="Q860" s="34" t="str">
        <f aca="false">IF(AND(B860&gt;=Cal_Start_Week,B860&lt;=Cal_End_Week),"YES","")</f>
        <v/>
      </c>
    </row>
    <row r="861" customFormat="false" ht="15" hidden="false" customHeight="false" outlineLevel="0" collapsed="false">
      <c r="A861" s="31" t="str">
        <f aca="false">Demand_History!C861</f>
        <v>KIT-009</v>
      </c>
      <c r="B861" s="31" t="n">
        <f aca="false">Demand_History!A861</f>
        <v>28</v>
      </c>
      <c r="C861" s="32" t="n">
        <f aca="false">Demand_History!D861</f>
        <v>31</v>
      </c>
      <c r="D861" s="33" t="n">
        <f aca="false">IF(B861&gt;=2,C860,"")</f>
        <v>24</v>
      </c>
      <c r="E861" s="33" t="n">
        <f aca="false">IF(B861&gt;=5,AVERAGE(C857:C860),"")</f>
        <v>21.25</v>
      </c>
      <c r="F861" s="33" t="n">
        <f aca="false">IF(B861&gt;=9,AVERAGE(C853:C860),"")</f>
        <v>22.75</v>
      </c>
      <c r="G861" s="33" t="n">
        <f aca="false">IF(B861=1,"",IF(B861=2,C860,SES_Alpha*C860+(1-SES_Alpha)*G860))</f>
        <v>22.5572922094371</v>
      </c>
      <c r="H861" s="33" t="n">
        <f aca="false">IF(D861="","",D861-C861)</f>
        <v>-7</v>
      </c>
      <c r="I861" s="33" t="n">
        <f aca="false">IF(E861="","",E861-C861)</f>
        <v>-9.75</v>
      </c>
      <c r="J861" s="33" t="n">
        <f aca="false">IF(F861="","",F861-C861)</f>
        <v>-8.25</v>
      </c>
      <c r="K861" s="33" t="n">
        <f aca="false">IF(G861="","",G861-C861)</f>
        <v>-8.4427077905629</v>
      </c>
      <c r="L861" s="33" t="n">
        <f aca="false">IF(H861="","",ABS(H861))</f>
        <v>7</v>
      </c>
      <c r="M861" s="33" t="n">
        <f aca="false">IF(I861="","",ABS(I861))</f>
        <v>9.75</v>
      </c>
      <c r="N861" s="33" t="n">
        <f aca="false">IF(J861="","",ABS(J861))</f>
        <v>8.25</v>
      </c>
      <c r="O861" s="33" t="n">
        <f aca="false">IF(K861="","",ABS(K861))</f>
        <v>8.4427077905629</v>
      </c>
      <c r="P861" s="34" t="str">
        <f aca="false">IF(B861&gt;=Eval_Start_Week,"YES","")</f>
        <v/>
      </c>
      <c r="Q861" s="34" t="str">
        <f aca="false">IF(AND(B861&gt;=Cal_Start_Week,B861&lt;=Cal_End_Week),"YES","")</f>
        <v/>
      </c>
    </row>
    <row r="862" customFormat="false" ht="15" hidden="false" customHeight="false" outlineLevel="0" collapsed="false">
      <c r="A862" s="31" t="str">
        <f aca="false">Demand_History!C862</f>
        <v>KIT-009</v>
      </c>
      <c r="B862" s="31" t="n">
        <f aca="false">Demand_History!A862</f>
        <v>29</v>
      </c>
      <c r="C862" s="32" t="n">
        <f aca="false">Demand_History!D862</f>
        <v>21</v>
      </c>
      <c r="D862" s="33" t="n">
        <f aca="false">IF(B862&gt;=2,C861,"")</f>
        <v>31</v>
      </c>
      <c r="E862" s="33" t="n">
        <f aca="false">IF(B862&gt;=5,AVERAGE(C858:C861),"")</f>
        <v>25.25</v>
      </c>
      <c r="F862" s="33" t="n">
        <f aca="false">IF(B862&gt;=9,AVERAGE(C854:C861),"")</f>
        <v>23.25</v>
      </c>
      <c r="G862" s="33" t="n">
        <f aca="false">IF(B862=1,"",IF(B862=2,C861,SES_Alpha*C861+(1-SES_Alpha)*G861))</f>
        <v>25.090104546606</v>
      </c>
      <c r="H862" s="33" t="n">
        <f aca="false">IF(D862="","",D862-C862)</f>
        <v>10</v>
      </c>
      <c r="I862" s="33" t="n">
        <f aca="false">IF(E862="","",E862-C862)</f>
        <v>4.25</v>
      </c>
      <c r="J862" s="33" t="n">
        <f aca="false">IF(F862="","",F862-C862)</f>
        <v>2.25</v>
      </c>
      <c r="K862" s="33" t="n">
        <f aca="false">IF(G862="","",G862-C862)</f>
        <v>4.09010454660596</v>
      </c>
      <c r="L862" s="33" t="n">
        <f aca="false">IF(H862="","",ABS(H862))</f>
        <v>10</v>
      </c>
      <c r="M862" s="33" t="n">
        <f aca="false">IF(I862="","",ABS(I862))</f>
        <v>4.25</v>
      </c>
      <c r="N862" s="33" t="n">
        <f aca="false">IF(J862="","",ABS(J862))</f>
        <v>2.25</v>
      </c>
      <c r="O862" s="33" t="n">
        <f aca="false">IF(K862="","",ABS(K862))</f>
        <v>4.09010454660596</v>
      </c>
      <c r="P862" s="34" t="str">
        <f aca="false">IF(B862&gt;=Eval_Start_Week,"YES","")</f>
        <v/>
      </c>
      <c r="Q862" s="34" t="str">
        <f aca="false">IF(AND(B862&gt;=Cal_Start_Week,B862&lt;=Cal_End_Week),"YES","")</f>
        <v/>
      </c>
    </row>
    <row r="863" customFormat="false" ht="15" hidden="false" customHeight="false" outlineLevel="0" collapsed="false">
      <c r="A863" s="31" t="str">
        <f aca="false">Demand_History!C863</f>
        <v>KIT-009</v>
      </c>
      <c r="B863" s="31" t="n">
        <f aca="false">Demand_History!A863</f>
        <v>30</v>
      </c>
      <c r="C863" s="32" t="n">
        <f aca="false">Demand_History!D863</f>
        <v>22</v>
      </c>
      <c r="D863" s="33" t="n">
        <f aca="false">IF(B863&gt;=2,C862,"")</f>
        <v>21</v>
      </c>
      <c r="E863" s="33" t="n">
        <f aca="false">IF(B863&gt;=5,AVERAGE(C859:C862),"")</f>
        <v>24.25</v>
      </c>
      <c r="F863" s="33" t="n">
        <f aca="false">IF(B863&gt;=9,AVERAGE(C855:C862),"")</f>
        <v>23.375</v>
      </c>
      <c r="G863" s="33" t="n">
        <f aca="false">IF(B863=1,"",IF(B863=2,C862,SES_Alpha*C862+(1-SES_Alpha)*G862))</f>
        <v>23.8630731826242</v>
      </c>
      <c r="H863" s="33" t="n">
        <f aca="false">IF(D863="","",D863-C863)</f>
        <v>-1</v>
      </c>
      <c r="I863" s="33" t="n">
        <f aca="false">IF(E863="","",E863-C863)</f>
        <v>2.25</v>
      </c>
      <c r="J863" s="33" t="n">
        <f aca="false">IF(F863="","",F863-C863)</f>
        <v>1.375</v>
      </c>
      <c r="K863" s="33" t="n">
        <f aca="false">IF(G863="","",G863-C863)</f>
        <v>1.86307318262417</v>
      </c>
      <c r="L863" s="33" t="n">
        <f aca="false">IF(H863="","",ABS(H863))</f>
        <v>1</v>
      </c>
      <c r="M863" s="33" t="n">
        <f aca="false">IF(I863="","",ABS(I863))</f>
        <v>2.25</v>
      </c>
      <c r="N863" s="33" t="n">
        <f aca="false">IF(J863="","",ABS(J863))</f>
        <v>1.375</v>
      </c>
      <c r="O863" s="33" t="n">
        <f aca="false">IF(K863="","",ABS(K863))</f>
        <v>1.86307318262417</v>
      </c>
      <c r="P863" s="34" t="str">
        <f aca="false">IF(B863&gt;=Eval_Start_Week,"YES","")</f>
        <v/>
      </c>
      <c r="Q863" s="34" t="str">
        <f aca="false">IF(AND(B863&gt;=Cal_Start_Week,B863&lt;=Cal_End_Week),"YES","")</f>
        <v/>
      </c>
    </row>
    <row r="864" customFormat="false" ht="15" hidden="false" customHeight="false" outlineLevel="0" collapsed="false">
      <c r="A864" s="31" t="str">
        <f aca="false">Demand_History!C864</f>
        <v>KIT-009</v>
      </c>
      <c r="B864" s="31" t="n">
        <f aca="false">Demand_History!A864</f>
        <v>31</v>
      </c>
      <c r="C864" s="32" t="n">
        <f aca="false">Demand_History!D864</f>
        <v>31</v>
      </c>
      <c r="D864" s="33" t="n">
        <f aca="false">IF(B864&gt;=2,C863,"")</f>
        <v>22</v>
      </c>
      <c r="E864" s="33" t="n">
        <f aca="false">IF(B864&gt;=5,AVERAGE(C860:C863),"")</f>
        <v>24.5</v>
      </c>
      <c r="F864" s="33" t="n">
        <f aca="false">IF(B864&gt;=9,AVERAGE(C856:C863),"")</f>
        <v>22.875</v>
      </c>
      <c r="G864" s="33" t="n">
        <f aca="false">IF(B864=1,"",IF(B864=2,C863,SES_Alpha*C863+(1-SES_Alpha)*G863))</f>
        <v>23.3041512278369</v>
      </c>
      <c r="H864" s="33" t="n">
        <f aca="false">IF(D864="","",D864-C864)</f>
        <v>-9</v>
      </c>
      <c r="I864" s="33" t="n">
        <f aca="false">IF(E864="","",E864-C864)</f>
        <v>-6.5</v>
      </c>
      <c r="J864" s="33" t="n">
        <f aca="false">IF(F864="","",F864-C864)</f>
        <v>-8.125</v>
      </c>
      <c r="K864" s="33" t="n">
        <f aca="false">IF(G864="","",G864-C864)</f>
        <v>-7.69584877216308</v>
      </c>
      <c r="L864" s="33" t="n">
        <f aca="false">IF(H864="","",ABS(H864))</f>
        <v>9</v>
      </c>
      <c r="M864" s="33" t="n">
        <f aca="false">IF(I864="","",ABS(I864))</f>
        <v>6.5</v>
      </c>
      <c r="N864" s="33" t="n">
        <f aca="false">IF(J864="","",ABS(J864))</f>
        <v>8.125</v>
      </c>
      <c r="O864" s="33" t="n">
        <f aca="false">IF(K864="","",ABS(K864))</f>
        <v>7.69584877216308</v>
      </c>
      <c r="P864" s="34" t="str">
        <f aca="false">IF(B864&gt;=Eval_Start_Week,"YES","")</f>
        <v/>
      </c>
      <c r="Q864" s="34" t="str">
        <f aca="false">IF(AND(B864&gt;=Cal_Start_Week,B864&lt;=Cal_End_Week),"YES","")</f>
        <v/>
      </c>
    </row>
    <row r="865" customFormat="false" ht="15" hidden="false" customHeight="false" outlineLevel="0" collapsed="false">
      <c r="A865" s="31" t="str">
        <f aca="false">Demand_History!C865</f>
        <v>KIT-009</v>
      </c>
      <c r="B865" s="31" t="n">
        <f aca="false">Demand_History!A865</f>
        <v>32</v>
      </c>
      <c r="C865" s="32" t="n">
        <f aca="false">Demand_History!D865</f>
        <v>27</v>
      </c>
      <c r="D865" s="33" t="n">
        <f aca="false">IF(B865&gt;=2,C864,"")</f>
        <v>31</v>
      </c>
      <c r="E865" s="33" t="n">
        <f aca="false">IF(B865&gt;=5,AVERAGE(C861:C864),"")</f>
        <v>26.25</v>
      </c>
      <c r="F865" s="33" t="n">
        <f aca="false">IF(B865&gt;=9,AVERAGE(C857:C864),"")</f>
        <v>23.75</v>
      </c>
      <c r="G865" s="33" t="n">
        <f aca="false">IF(B865=1,"",IF(B865=2,C864,SES_Alpha*C864+(1-SES_Alpha)*G864))</f>
        <v>25.6129058594858</v>
      </c>
      <c r="H865" s="33" t="n">
        <f aca="false">IF(D865="","",D865-C865)</f>
        <v>4</v>
      </c>
      <c r="I865" s="33" t="n">
        <f aca="false">IF(E865="","",E865-C865)</f>
        <v>-0.75</v>
      </c>
      <c r="J865" s="33" t="n">
        <f aca="false">IF(F865="","",F865-C865)</f>
        <v>-3.25</v>
      </c>
      <c r="K865" s="33" t="n">
        <f aca="false">IF(G865="","",G865-C865)</f>
        <v>-1.38709414051416</v>
      </c>
      <c r="L865" s="33" t="n">
        <f aca="false">IF(H865="","",ABS(H865))</f>
        <v>4</v>
      </c>
      <c r="M865" s="33" t="n">
        <f aca="false">IF(I865="","",ABS(I865))</f>
        <v>0.75</v>
      </c>
      <c r="N865" s="33" t="n">
        <f aca="false">IF(J865="","",ABS(J865))</f>
        <v>3.25</v>
      </c>
      <c r="O865" s="33" t="n">
        <f aca="false">IF(K865="","",ABS(K865))</f>
        <v>1.38709414051416</v>
      </c>
      <c r="P865" s="34" t="str">
        <f aca="false">IF(B865&gt;=Eval_Start_Week,"YES","")</f>
        <v/>
      </c>
      <c r="Q865" s="34" t="str">
        <f aca="false">IF(AND(B865&gt;=Cal_Start_Week,B865&lt;=Cal_End_Week),"YES","")</f>
        <v/>
      </c>
    </row>
    <row r="866" customFormat="false" ht="15" hidden="false" customHeight="false" outlineLevel="0" collapsed="false">
      <c r="A866" s="31" t="str">
        <f aca="false">Demand_History!C866</f>
        <v>KIT-009</v>
      </c>
      <c r="B866" s="31" t="n">
        <f aca="false">Demand_History!A866</f>
        <v>33</v>
      </c>
      <c r="C866" s="32" t="n">
        <f aca="false">Demand_History!D866</f>
        <v>32</v>
      </c>
      <c r="D866" s="33" t="n">
        <f aca="false">IF(B866&gt;=2,C865,"")</f>
        <v>27</v>
      </c>
      <c r="E866" s="33" t="n">
        <f aca="false">IF(B866&gt;=5,AVERAGE(C862:C865),"")</f>
        <v>25.25</v>
      </c>
      <c r="F866" s="33" t="n">
        <f aca="false">IF(B866&gt;=9,AVERAGE(C858:C865),"")</f>
        <v>25.25</v>
      </c>
      <c r="G866" s="33" t="n">
        <f aca="false">IF(B866=1,"",IF(B866=2,C865,SES_Alpha*C865+(1-SES_Alpha)*G865))</f>
        <v>26.0290341016401</v>
      </c>
      <c r="H866" s="33" t="n">
        <f aca="false">IF(D866="","",D866-C866)</f>
        <v>-5</v>
      </c>
      <c r="I866" s="33" t="n">
        <f aca="false">IF(E866="","",E866-C866)</f>
        <v>-6.75</v>
      </c>
      <c r="J866" s="33" t="n">
        <f aca="false">IF(F866="","",F866-C866)</f>
        <v>-6.75</v>
      </c>
      <c r="K866" s="33" t="n">
        <f aca="false">IF(G866="","",G866-C866)</f>
        <v>-5.97096589835991</v>
      </c>
      <c r="L866" s="33" t="n">
        <f aca="false">IF(H866="","",ABS(H866))</f>
        <v>5</v>
      </c>
      <c r="M866" s="33" t="n">
        <f aca="false">IF(I866="","",ABS(I866))</f>
        <v>6.75</v>
      </c>
      <c r="N866" s="33" t="n">
        <f aca="false">IF(J866="","",ABS(J866))</f>
        <v>6.75</v>
      </c>
      <c r="O866" s="33" t="n">
        <f aca="false">IF(K866="","",ABS(K866))</f>
        <v>5.97096589835991</v>
      </c>
      <c r="P866" s="34" t="str">
        <f aca="false">IF(B866&gt;=Eval_Start_Week,"YES","")</f>
        <v/>
      </c>
      <c r="Q866" s="34" t="str">
        <f aca="false">IF(AND(B866&gt;=Cal_Start_Week,B866&lt;=Cal_End_Week),"YES","")</f>
        <v/>
      </c>
    </row>
    <row r="867" customFormat="false" ht="15" hidden="false" customHeight="false" outlineLevel="0" collapsed="false">
      <c r="A867" s="31" t="str">
        <f aca="false">Demand_History!C867</f>
        <v>KIT-009</v>
      </c>
      <c r="B867" s="31" t="n">
        <f aca="false">Demand_History!A867</f>
        <v>34</v>
      </c>
      <c r="C867" s="32" t="n">
        <f aca="false">Demand_History!D867</f>
        <v>28</v>
      </c>
      <c r="D867" s="33" t="n">
        <f aca="false">IF(B867&gt;=2,C866,"")</f>
        <v>32</v>
      </c>
      <c r="E867" s="33" t="n">
        <f aca="false">IF(B867&gt;=5,AVERAGE(C863:C866),"")</f>
        <v>28</v>
      </c>
      <c r="F867" s="33" t="n">
        <f aca="false">IF(B867&gt;=9,AVERAGE(C859:C866),"")</f>
        <v>26.125</v>
      </c>
      <c r="G867" s="33" t="n">
        <f aca="false">IF(B867=1,"",IF(B867=2,C866,SES_Alpha*C866+(1-SES_Alpha)*G866))</f>
        <v>27.8203238711481</v>
      </c>
      <c r="H867" s="33" t="n">
        <f aca="false">IF(D867="","",D867-C867)</f>
        <v>4</v>
      </c>
      <c r="I867" s="33" t="n">
        <f aca="false">IF(E867="","",E867-C867)</f>
        <v>0</v>
      </c>
      <c r="J867" s="33" t="n">
        <f aca="false">IF(F867="","",F867-C867)</f>
        <v>-1.875</v>
      </c>
      <c r="K867" s="33" t="n">
        <f aca="false">IF(G867="","",G867-C867)</f>
        <v>-0.179676128851945</v>
      </c>
      <c r="L867" s="33" t="n">
        <f aca="false">IF(H867="","",ABS(H867))</f>
        <v>4</v>
      </c>
      <c r="M867" s="33" t="n">
        <f aca="false">IF(I867="","",ABS(I867))</f>
        <v>0</v>
      </c>
      <c r="N867" s="33" t="n">
        <f aca="false">IF(J867="","",ABS(J867))</f>
        <v>1.875</v>
      </c>
      <c r="O867" s="33" t="n">
        <f aca="false">IF(K867="","",ABS(K867))</f>
        <v>0.179676128851945</v>
      </c>
      <c r="P867" s="34" t="str">
        <f aca="false">IF(B867&gt;=Eval_Start_Week,"YES","")</f>
        <v/>
      </c>
      <c r="Q867" s="34" t="str">
        <f aca="false">IF(AND(B867&gt;=Cal_Start_Week,B867&lt;=Cal_End_Week),"YES","")</f>
        <v/>
      </c>
    </row>
    <row r="868" customFormat="false" ht="15" hidden="false" customHeight="false" outlineLevel="0" collapsed="false">
      <c r="A868" s="31" t="str">
        <f aca="false">Demand_History!C868</f>
        <v>KIT-009</v>
      </c>
      <c r="B868" s="31" t="n">
        <f aca="false">Demand_History!A868</f>
        <v>35</v>
      </c>
      <c r="C868" s="32" t="n">
        <f aca="false">Demand_History!D868</f>
        <v>24</v>
      </c>
      <c r="D868" s="33" t="n">
        <f aca="false">IF(B868&gt;=2,C867,"")</f>
        <v>28</v>
      </c>
      <c r="E868" s="33" t="n">
        <f aca="false">IF(B868&gt;=5,AVERAGE(C864:C867),"")</f>
        <v>29.5</v>
      </c>
      <c r="F868" s="33" t="n">
        <f aca="false">IF(B868&gt;=9,AVERAGE(C860:C867),"")</f>
        <v>27</v>
      </c>
      <c r="G868" s="33" t="n">
        <f aca="false">IF(B868=1,"",IF(B868=2,C867,SES_Alpha*C867+(1-SES_Alpha)*G867))</f>
        <v>27.8742267098036</v>
      </c>
      <c r="H868" s="33" t="n">
        <f aca="false">IF(D868="","",D868-C868)</f>
        <v>4</v>
      </c>
      <c r="I868" s="33" t="n">
        <f aca="false">IF(E868="","",E868-C868)</f>
        <v>5.5</v>
      </c>
      <c r="J868" s="33" t="n">
        <f aca="false">IF(F868="","",F868-C868)</f>
        <v>3</v>
      </c>
      <c r="K868" s="33" t="n">
        <f aca="false">IF(G868="","",G868-C868)</f>
        <v>3.87422670980364</v>
      </c>
      <c r="L868" s="33" t="n">
        <f aca="false">IF(H868="","",ABS(H868))</f>
        <v>4</v>
      </c>
      <c r="M868" s="33" t="n">
        <f aca="false">IF(I868="","",ABS(I868))</f>
        <v>5.5</v>
      </c>
      <c r="N868" s="33" t="n">
        <f aca="false">IF(J868="","",ABS(J868))</f>
        <v>3</v>
      </c>
      <c r="O868" s="33" t="n">
        <f aca="false">IF(K868="","",ABS(K868))</f>
        <v>3.87422670980364</v>
      </c>
      <c r="P868" s="34" t="str">
        <f aca="false">IF(B868&gt;=Eval_Start_Week,"YES","")</f>
        <v/>
      </c>
      <c r="Q868" s="34" t="str">
        <f aca="false">IF(AND(B868&gt;=Cal_Start_Week,B868&lt;=Cal_End_Week),"YES","")</f>
        <v/>
      </c>
    </row>
    <row r="869" customFormat="false" ht="15" hidden="false" customHeight="false" outlineLevel="0" collapsed="false">
      <c r="A869" s="31" t="str">
        <f aca="false">Demand_History!C869</f>
        <v>KIT-009</v>
      </c>
      <c r="B869" s="31" t="n">
        <f aca="false">Demand_History!A869</f>
        <v>36</v>
      </c>
      <c r="C869" s="32" t="n">
        <f aca="false">Demand_History!D869</f>
        <v>27</v>
      </c>
      <c r="D869" s="33" t="n">
        <f aca="false">IF(B869&gt;=2,C868,"")</f>
        <v>24</v>
      </c>
      <c r="E869" s="33" t="n">
        <f aca="false">IF(B869&gt;=5,AVERAGE(C865:C868),"")</f>
        <v>27.75</v>
      </c>
      <c r="F869" s="33" t="n">
        <f aca="false">IF(B869&gt;=9,AVERAGE(C861:C868),"")</f>
        <v>27</v>
      </c>
      <c r="G869" s="33" t="n">
        <f aca="false">IF(B869=1,"",IF(B869=2,C868,SES_Alpha*C868+(1-SES_Alpha)*G868))</f>
        <v>26.7119586968625</v>
      </c>
      <c r="H869" s="33" t="n">
        <f aca="false">IF(D869="","",D869-C869)</f>
        <v>-3</v>
      </c>
      <c r="I869" s="33" t="n">
        <f aca="false">IF(E869="","",E869-C869)</f>
        <v>0.75</v>
      </c>
      <c r="J869" s="33" t="n">
        <f aca="false">IF(F869="","",F869-C869)</f>
        <v>0</v>
      </c>
      <c r="K869" s="33" t="n">
        <f aca="false">IF(G869="","",G869-C869)</f>
        <v>-0.288041303137458</v>
      </c>
      <c r="L869" s="33" t="n">
        <f aca="false">IF(H869="","",ABS(H869))</f>
        <v>3</v>
      </c>
      <c r="M869" s="33" t="n">
        <f aca="false">IF(I869="","",ABS(I869))</f>
        <v>0.75</v>
      </c>
      <c r="N869" s="33" t="n">
        <f aca="false">IF(J869="","",ABS(J869))</f>
        <v>0</v>
      </c>
      <c r="O869" s="33" t="n">
        <f aca="false">IF(K869="","",ABS(K869))</f>
        <v>0.288041303137458</v>
      </c>
      <c r="P869" s="34" t="str">
        <f aca="false">IF(B869&gt;=Eval_Start_Week,"YES","")</f>
        <v/>
      </c>
      <c r="Q869" s="34" t="str">
        <f aca="false">IF(AND(B869&gt;=Cal_Start_Week,B869&lt;=Cal_End_Week),"YES","")</f>
        <v/>
      </c>
    </row>
    <row r="870" customFormat="false" ht="15" hidden="false" customHeight="false" outlineLevel="0" collapsed="false">
      <c r="A870" s="31" t="str">
        <f aca="false">Demand_History!C870</f>
        <v>KIT-009</v>
      </c>
      <c r="B870" s="31" t="n">
        <f aca="false">Demand_History!A870</f>
        <v>37</v>
      </c>
      <c r="C870" s="32" t="n">
        <f aca="false">Demand_History!D870</f>
        <v>32</v>
      </c>
      <c r="D870" s="33" t="n">
        <f aca="false">IF(B870&gt;=2,C869,"")</f>
        <v>27</v>
      </c>
      <c r="E870" s="33" t="n">
        <f aca="false">IF(B870&gt;=5,AVERAGE(C866:C869),"")</f>
        <v>27.75</v>
      </c>
      <c r="F870" s="33" t="n">
        <f aca="false">IF(B870&gt;=9,AVERAGE(C862:C869),"")</f>
        <v>26.5</v>
      </c>
      <c r="G870" s="33" t="n">
        <f aca="false">IF(B870=1,"",IF(B870=2,C869,SES_Alpha*C869+(1-SES_Alpha)*G869))</f>
        <v>26.7983710878038</v>
      </c>
      <c r="H870" s="33" t="n">
        <f aca="false">IF(D870="","",D870-C870)</f>
        <v>-5</v>
      </c>
      <c r="I870" s="33" t="n">
        <f aca="false">IF(E870="","",E870-C870)</f>
        <v>-4.25</v>
      </c>
      <c r="J870" s="33" t="n">
        <f aca="false">IF(F870="","",F870-C870)</f>
        <v>-5.5</v>
      </c>
      <c r="K870" s="33" t="n">
        <f aca="false">IF(G870="","",G870-C870)</f>
        <v>-5.20162891219622</v>
      </c>
      <c r="L870" s="33" t="n">
        <f aca="false">IF(H870="","",ABS(H870))</f>
        <v>5</v>
      </c>
      <c r="M870" s="33" t="n">
        <f aca="false">IF(I870="","",ABS(I870))</f>
        <v>4.25</v>
      </c>
      <c r="N870" s="33" t="n">
        <f aca="false">IF(J870="","",ABS(J870))</f>
        <v>5.5</v>
      </c>
      <c r="O870" s="33" t="n">
        <f aca="false">IF(K870="","",ABS(K870))</f>
        <v>5.20162891219622</v>
      </c>
      <c r="P870" s="34" t="str">
        <f aca="false">IF(B870&gt;=Eval_Start_Week,"YES","")</f>
        <v/>
      </c>
      <c r="Q870" s="34" t="str">
        <f aca="false">IF(AND(B870&gt;=Cal_Start_Week,B870&lt;=Cal_End_Week),"YES","")</f>
        <v>YES</v>
      </c>
    </row>
    <row r="871" customFormat="false" ht="15" hidden="false" customHeight="false" outlineLevel="0" collapsed="false">
      <c r="A871" s="31" t="str">
        <f aca="false">Demand_History!C871</f>
        <v>KIT-009</v>
      </c>
      <c r="B871" s="31" t="n">
        <f aca="false">Demand_History!A871</f>
        <v>38</v>
      </c>
      <c r="C871" s="32" t="n">
        <f aca="false">Demand_History!D871</f>
        <v>31</v>
      </c>
      <c r="D871" s="33" t="n">
        <f aca="false">IF(B871&gt;=2,C870,"")</f>
        <v>32</v>
      </c>
      <c r="E871" s="33" t="n">
        <f aca="false">IF(B871&gt;=5,AVERAGE(C867:C870),"")</f>
        <v>27.75</v>
      </c>
      <c r="F871" s="33" t="n">
        <f aca="false">IF(B871&gt;=9,AVERAGE(C863:C870),"")</f>
        <v>27.875</v>
      </c>
      <c r="G871" s="33" t="n">
        <f aca="false">IF(B871=1,"",IF(B871=2,C870,SES_Alpha*C870+(1-SES_Alpha)*G870))</f>
        <v>28.3588597614626</v>
      </c>
      <c r="H871" s="33" t="n">
        <f aca="false">IF(D871="","",D871-C871)</f>
        <v>1</v>
      </c>
      <c r="I871" s="33" t="n">
        <f aca="false">IF(E871="","",E871-C871)</f>
        <v>-3.25</v>
      </c>
      <c r="J871" s="33" t="n">
        <f aca="false">IF(F871="","",F871-C871)</f>
        <v>-3.125</v>
      </c>
      <c r="K871" s="33" t="n">
        <f aca="false">IF(G871="","",G871-C871)</f>
        <v>-2.64114023853735</v>
      </c>
      <c r="L871" s="33" t="n">
        <f aca="false">IF(H871="","",ABS(H871))</f>
        <v>1</v>
      </c>
      <c r="M871" s="33" t="n">
        <f aca="false">IF(I871="","",ABS(I871))</f>
        <v>3.25</v>
      </c>
      <c r="N871" s="33" t="n">
        <f aca="false">IF(J871="","",ABS(J871))</f>
        <v>3.125</v>
      </c>
      <c r="O871" s="33" t="n">
        <f aca="false">IF(K871="","",ABS(K871))</f>
        <v>2.64114023853735</v>
      </c>
      <c r="P871" s="34" t="str">
        <f aca="false">IF(B871&gt;=Eval_Start_Week,"YES","")</f>
        <v/>
      </c>
      <c r="Q871" s="34" t="str">
        <f aca="false">IF(AND(B871&gt;=Cal_Start_Week,B871&lt;=Cal_End_Week),"YES","")</f>
        <v>YES</v>
      </c>
    </row>
    <row r="872" customFormat="false" ht="15" hidden="false" customHeight="false" outlineLevel="0" collapsed="false">
      <c r="A872" s="31" t="str">
        <f aca="false">Demand_History!C872</f>
        <v>KIT-009</v>
      </c>
      <c r="B872" s="31" t="n">
        <f aca="false">Demand_History!A872</f>
        <v>39</v>
      </c>
      <c r="C872" s="32" t="n">
        <f aca="false">Demand_History!D872</f>
        <v>28</v>
      </c>
      <c r="D872" s="33" t="n">
        <f aca="false">IF(B872&gt;=2,C871,"")</f>
        <v>31</v>
      </c>
      <c r="E872" s="33" t="n">
        <f aca="false">IF(B872&gt;=5,AVERAGE(C868:C871),"")</f>
        <v>28.5</v>
      </c>
      <c r="F872" s="33" t="n">
        <f aca="false">IF(B872&gt;=9,AVERAGE(C864:C871),"")</f>
        <v>29</v>
      </c>
      <c r="G872" s="33" t="n">
        <f aca="false">IF(B872=1,"",IF(B872=2,C871,SES_Alpha*C871+(1-SES_Alpha)*G871))</f>
        <v>29.1512018330238</v>
      </c>
      <c r="H872" s="33" t="n">
        <f aca="false">IF(D872="","",D872-C872)</f>
        <v>3</v>
      </c>
      <c r="I872" s="33" t="n">
        <f aca="false">IF(E872="","",E872-C872)</f>
        <v>0.5</v>
      </c>
      <c r="J872" s="33" t="n">
        <f aca="false">IF(F872="","",F872-C872)</f>
        <v>1</v>
      </c>
      <c r="K872" s="33" t="n">
        <f aca="false">IF(G872="","",G872-C872)</f>
        <v>1.15120183302385</v>
      </c>
      <c r="L872" s="33" t="n">
        <f aca="false">IF(H872="","",ABS(H872))</f>
        <v>3</v>
      </c>
      <c r="M872" s="33" t="n">
        <f aca="false">IF(I872="","",ABS(I872))</f>
        <v>0.5</v>
      </c>
      <c r="N872" s="33" t="n">
        <f aca="false">IF(J872="","",ABS(J872))</f>
        <v>1</v>
      </c>
      <c r="O872" s="33" t="n">
        <f aca="false">IF(K872="","",ABS(K872))</f>
        <v>1.15120183302385</v>
      </c>
      <c r="P872" s="34" t="str">
        <f aca="false">IF(B872&gt;=Eval_Start_Week,"YES","")</f>
        <v/>
      </c>
      <c r="Q872" s="34" t="str">
        <f aca="false">IF(AND(B872&gt;=Cal_Start_Week,B872&lt;=Cal_End_Week),"YES","")</f>
        <v>YES</v>
      </c>
    </row>
    <row r="873" customFormat="false" ht="15" hidden="false" customHeight="false" outlineLevel="0" collapsed="false">
      <c r="A873" s="31" t="str">
        <f aca="false">Demand_History!C873</f>
        <v>KIT-009</v>
      </c>
      <c r="B873" s="31" t="n">
        <f aca="false">Demand_History!A873</f>
        <v>40</v>
      </c>
      <c r="C873" s="32" t="n">
        <f aca="false">Demand_History!D873</f>
        <v>28</v>
      </c>
      <c r="D873" s="33" t="n">
        <f aca="false">IF(B873&gt;=2,C872,"")</f>
        <v>28</v>
      </c>
      <c r="E873" s="33" t="n">
        <f aca="false">IF(B873&gt;=5,AVERAGE(C869:C872),"")</f>
        <v>29.5</v>
      </c>
      <c r="F873" s="33" t="n">
        <f aca="false">IF(B873&gt;=9,AVERAGE(C865:C872),"")</f>
        <v>28.625</v>
      </c>
      <c r="G873" s="33" t="n">
        <f aca="false">IF(B873=1,"",IF(B873=2,C872,SES_Alpha*C872+(1-SES_Alpha)*G872))</f>
        <v>28.8058412831167</v>
      </c>
      <c r="H873" s="33" t="n">
        <f aca="false">IF(D873="","",D873-C873)</f>
        <v>0</v>
      </c>
      <c r="I873" s="33" t="n">
        <f aca="false">IF(E873="","",E873-C873)</f>
        <v>1.5</v>
      </c>
      <c r="J873" s="33" t="n">
        <f aca="false">IF(F873="","",F873-C873)</f>
        <v>0.625</v>
      </c>
      <c r="K873" s="33" t="n">
        <f aca="false">IF(G873="","",G873-C873)</f>
        <v>0.805841283116692</v>
      </c>
      <c r="L873" s="33" t="n">
        <f aca="false">IF(H873="","",ABS(H873))</f>
        <v>0</v>
      </c>
      <c r="M873" s="33" t="n">
        <f aca="false">IF(I873="","",ABS(I873))</f>
        <v>1.5</v>
      </c>
      <c r="N873" s="33" t="n">
        <f aca="false">IF(J873="","",ABS(J873))</f>
        <v>0.625</v>
      </c>
      <c r="O873" s="33" t="n">
        <f aca="false">IF(K873="","",ABS(K873))</f>
        <v>0.805841283116692</v>
      </c>
      <c r="P873" s="34" t="str">
        <f aca="false">IF(B873&gt;=Eval_Start_Week,"YES","")</f>
        <v/>
      </c>
      <c r="Q873" s="34" t="str">
        <f aca="false">IF(AND(B873&gt;=Cal_Start_Week,B873&lt;=Cal_End_Week),"YES","")</f>
        <v>YES</v>
      </c>
    </row>
    <row r="874" customFormat="false" ht="15" hidden="false" customHeight="false" outlineLevel="0" collapsed="false">
      <c r="A874" s="31" t="str">
        <f aca="false">Demand_History!C874</f>
        <v>KIT-009</v>
      </c>
      <c r="B874" s="31" t="n">
        <f aca="false">Demand_History!A874</f>
        <v>41</v>
      </c>
      <c r="C874" s="32" t="n">
        <f aca="false">Demand_History!D874</f>
        <v>28</v>
      </c>
      <c r="D874" s="33" t="n">
        <f aca="false">IF(B874&gt;=2,C873,"")</f>
        <v>28</v>
      </c>
      <c r="E874" s="33" t="n">
        <f aca="false">IF(B874&gt;=5,AVERAGE(C870:C873),"")</f>
        <v>29.75</v>
      </c>
      <c r="F874" s="33" t="n">
        <f aca="false">IF(B874&gt;=9,AVERAGE(C866:C873),"")</f>
        <v>28.75</v>
      </c>
      <c r="G874" s="33" t="n">
        <f aca="false">IF(B874=1,"",IF(B874=2,C873,SES_Alpha*C873+(1-SES_Alpha)*G873))</f>
        <v>28.5640888981817</v>
      </c>
      <c r="H874" s="33" t="n">
        <f aca="false">IF(D874="","",D874-C874)</f>
        <v>0</v>
      </c>
      <c r="I874" s="33" t="n">
        <f aca="false">IF(E874="","",E874-C874)</f>
        <v>1.75</v>
      </c>
      <c r="J874" s="33" t="n">
        <f aca="false">IF(F874="","",F874-C874)</f>
        <v>0.75</v>
      </c>
      <c r="K874" s="33" t="n">
        <f aca="false">IF(G874="","",G874-C874)</f>
        <v>0.56408889818168</v>
      </c>
      <c r="L874" s="33" t="n">
        <f aca="false">IF(H874="","",ABS(H874))</f>
        <v>0</v>
      </c>
      <c r="M874" s="33" t="n">
        <f aca="false">IF(I874="","",ABS(I874))</f>
        <v>1.75</v>
      </c>
      <c r="N874" s="33" t="n">
        <f aca="false">IF(J874="","",ABS(J874))</f>
        <v>0.75</v>
      </c>
      <c r="O874" s="33" t="n">
        <f aca="false">IF(K874="","",ABS(K874))</f>
        <v>0.56408889818168</v>
      </c>
      <c r="P874" s="34" t="str">
        <f aca="false">IF(B874&gt;=Eval_Start_Week,"YES","")</f>
        <v/>
      </c>
      <c r="Q874" s="34" t="str">
        <f aca="false">IF(AND(B874&gt;=Cal_Start_Week,B874&lt;=Cal_End_Week),"YES","")</f>
        <v>YES</v>
      </c>
    </row>
    <row r="875" customFormat="false" ht="15" hidden="false" customHeight="false" outlineLevel="0" collapsed="false">
      <c r="A875" s="31" t="str">
        <f aca="false">Demand_History!C875</f>
        <v>KIT-009</v>
      </c>
      <c r="B875" s="31" t="n">
        <f aca="false">Demand_History!A875</f>
        <v>42</v>
      </c>
      <c r="C875" s="32" t="n">
        <f aca="false">Demand_History!D875</f>
        <v>26</v>
      </c>
      <c r="D875" s="33" t="n">
        <f aca="false">IF(B875&gt;=2,C874,"")</f>
        <v>28</v>
      </c>
      <c r="E875" s="33" t="n">
        <f aca="false">IF(B875&gt;=5,AVERAGE(C871:C874),"")</f>
        <v>28.75</v>
      </c>
      <c r="F875" s="33" t="n">
        <f aca="false">IF(B875&gt;=9,AVERAGE(C867:C874),"")</f>
        <v>28.25</v>
      </c>
      <c r="G875" s="33" t="n">
        <f aca="false">IF(B875=1,"",IF(B875=2,C874,SES_Alpha*C874+(1-SES_Alpha)*G874))</f>
        <v>28.3948622287272</v>
      </c>
      <c r="H875" s="33" t="n">
        <f aca="false">IF(D875="","",D875-C875)</f>
        <v>2</v>
      </c>
      <c r="I875" s="33" t="n">
        <f aca="false">IF(E875="","",E875-C875)</f>
        <v>2.75</v>
      </c>
      <c r="J875" s="33" t="n">
        <f aca="false">IF(F875="","",F875-C875)</f>
        <v>2.25</v>
      </c>
      <c r="K875" s="33" t="n">
        <f aca="false">IF(G875="","",G875-C875)</f>
        <v>2.39486222872718</v>
      </c>
      <c r="L875" s="33" t="n">
        <f aca="false">IF(H875="","",ABS(H875))</f>
        <v>2</v>
      </c>
      <c r="M875" s="33" t="n">
        <f aca="false">IF(I875="","",ABS(I875))</f>
        <v>2.75</v>
      </c>
      <c r="N875" s="33" t="n">
        <f aca="false">IF(J875="","",ABS(J875))</f>
        <v>2.25</v>
      </c>
      <c r="O875" s="33" t="n">
        <f aca="false">IF(K875="","",ABS(K875))</f>
        <v>2.39486222872718</v>
      </c>
      <c r="P875" s="34" t="str">
        <f aca="false">IF(B875&gt;=Eval_Start_Week,"YES","")</f>
        <v/>
      </c>
      <c r="Q875" s="34" t="str">
        <f aca="false">IF(AND(B875&gt;=Cal_Start_Week,B875&lt;=Cal_End_Week),"YES","")</f>
        <v>YES</v>
      </c>
    </row>
    <row r="876" customFormat="false" ht="15" hidden="false" customHeight="false" outlineLevel="0" collapsed="false">
      <c r="A876" s="31" t="str">
        <f aca="false">Demand_History!C876</f>
        <v>KIT-009</v>
      </c>
      <c r="B876" s="31" t="n">
        <f aca="false">Demand_History!A876</f>
        <v>43</v>
      </c>
      <c r="C876" s="32" t="n">
        <f aca="false">Demand_History!D876</f>
        <v>37</v>
      </c>
      <c r="D876" s="33" t="n">
        <f aca="false">IF(B876&gt;=2,C875,"")</f>
        <v>26</v>
      </c>
      <c r="E876" s="33" t="n">
        <f aca="false">IF(B876&gt;=5,AVERAGE(C872:C875),"")</f>
        <v>27.5</v>
      </c>
      <c r="F876" s="33" t="n">
        <f aca="false">IF(B876&gt;=9,AVERAGE(C868:C875),"")</f>
        <v>28</v>
      </c>
      <c r="G876" s="33" t="n">
        <f aca="false">IF(B876=1,"",IF(B876=2,C875,SES_Alpha*C875+(1-SES_Alpha)*G875))</f>
        <v>27.676403560109</v>
      </c>
      <c r="H876" s="33" t="n">
        <f aca="false">IF(D876="","",D876-C876)</f>
        <v>-11</v>
      </c>
      <c r="I876" s="33" t="n">
        <f aca="false">IF(E876="","",E876-C876)</f>
        <v>-9.5</v>
      </c>
      <c r="J876" s="33" t="n">
        <f aca="false">IF(F876="","",F876-C876)</f>
        <v>-9</v>
      </c>
      <c r="K876" s="33" t="n">
        <f aca="false">IF(G876="","",G876-C876)</f>
        <v>-9.32359643989098</v>
      </c>
      <c r="L876" s="33" t="n">
        <f aca="false">IF(H876="","",ABS(H876))</f>
        <v>11</v>
      </c>
      <c r="M876" s="33" t="n">
        <f aca="false">IF(I876="","",ABS(I876))</f>
        <v>9.5</v>
      </c>
      <c r="N876" s="33" t="n">
        <f aca="false">IF(J876="","",ABS(J876))</f>
        <v>9</v>
      </c>
      <c r="O876" s="33" t="n">
        <f aca="false">IF(K876="","",ABS(K876))</f>
        <v>9.32359643989098</v>
      </c>
      <c r="P876" s="34" t="str">
        <f aca="false">IF(B876&gt;=Eval_Start_Week,"YES","")</f>
        <v/>
      </c>
      <c r="Q876" s="34" t="str">
        <f aca="false">IF(AND(B876&gt;=Cal_Start_Week,B876&lt;=Cal_End_Week),"YES","")</f>
        <v>YES</v>
      </c>
    </row>
    <row r="877" customFormat="false" ht="15" hidden="false" customHeight="false" outlineLevel="0" collapsed="false">
      <c r="A877" s="31" t="str">
        <f aca="false">Demand_History!C877</f>
        <v>KIT-009</v>
      </c>
      <c r="B877" s="31" t="n">
        <f aca="false">Demand_History!A877</f>
        <v>44</v>
      </c>
      <c r="C877" s="32" t="n">
        <f aca="false">Demand_History!D877</f>
        <v>29</v>
      </c>
      <c r="D877" s="33" t="n">
        <f aca="false">IF(B877&gt;=2,C876,"")</f>
        <v>37</v>
      </c>
      <c r="E877" s="33" t="n">
        <f aca="false">IF(B877&gt;=5,AVERAGE(C873:C876),"")</f>
        <v>29.75</v>
      </c>
      <c r="F877" s="33" t="n">
        <f aca="false">IF(B877&gt;=9,AVERAGE(C869:C876),"")</f>
        <v>29.625</v>
      </c>
      <c r="G877" s="33" t="n">
        <f aca="false">IF(B877=1,"",IF(B877=2,C876,SES_Alpha*C876+(1-SES_Alpha)*G876))</f>
        <v>30.4734824920763</v>
      </c>
      <c r="H877" s="33" t="n">
        <f aca="false">IF(D877="","",D877-C877)</f>
        <v>8</v>
      </c>
      <c r="I877" s="33" t="n">
        <f aca="false">IF(E877="","",E877-C877)</f>
        <v>0.75</v>
      </c>
      <c r="J877" s="33" t="n">
        <f aca="false">IF(F877="","",F877-C877)</f>
        <v>0.625</v>
      </c>
      <c r="K877" s="33" t="n">
        <f aca="false">IF(G877="","",G877-C877)</f>
        <v>1.47348249207631</v>
      </c>
      <c r="L877" s="33" t="n">
        <f aca="false">IF(H877="","",ABS(H877))</f>
        <v>8</v>
      </c>
      <c r="M877" s="33" t="n">
        <f aca="false">IF(I877="","",ABS(I877))</f>
        <v>0.75</v>
      </c>
      <c r="N877" s="33" t="n">
        <f aca="false">IF(J877="","",ABS(J877))</f>
        <v>0.625</v>
      </c>
      <c r="O877" s="33" t="n">
        <f aca="false">IF(K877="","",ABS(K877))</f>
        <v>1.47348249207631</v>
      </c>
      <c r="P877" s="34" t="str">
        <f aca="false">IF(B877&gt;=Eval_Start_Week,"YES","")</f>
        <v/>
      </c>
      <c r="Q877" s="34" t="str">
        <f aca="false">IF(AND(B877&gt;=Cal_Start_Week,B877&lt;=Cal_End_Week),"YES","")</f>
        <v>YES</v>
      </c>
    </row>
    <row r="878" customFormat="false" ht="15" hidden="false" customHeight="false" outlineLevel="0" collapsed="false">
      <c r="A878" s="31" t="str">
        <f aca="false">Demand_History!C878</f>
        <v>KIT-009</v>
      </c>
      <c r="B878" s="31" t="n">
        <f aca="false">Demand_History!A878</f>
        <v>45</v>
      </c>
      <c r="C878" s="32" t="n">
        <f aca="false">Demand_History!D878</f>
        <v>24</v>
      </c>
      <c r="D878" s="33" t="n">
        <f aca="false">IF(B878&gt;=2,C877,"")</f>
        <v>29</v>
      </c>
      <c r="E878" s="33" t="n">
        <f aca="false">IF(B878&gt;=5,AVERAGE(C874:C877),"")</f>
        <v>30</v>
      </c>
      <c r="F878" s="33" t="n">
        <f aca="false">IF(B878&gt;=9,AVERAGE(C870:C877),"")</f>
        <v>29.875</v>
      </c>
      <c r="G878" s="33" t="n">
        <f aca="false">IF(B878=1,"",IF(B878=2,C877,SES_Alpha*C877+(1-SES_Alpha)*G877))</f>
        <v>30.0314377444534</v>
      </c>
      <c r="H878" s="33" t="n">
        <f aca="false">IF(D878="","",D878-C878)</f>
        <v>5</v>
      </c>
      <c r="I878" s="33" t="n">
        <f aca="false">IF(E878="","",E878-C878)</f>
        <v>6</v>
      </c>
      <c r="J878" s="33" t="n">
        <f aca="false">IF(F878="","",F878-C878)</f>
        <v>5.875</v>
      </c>
      <c r="K878" s="33" t="n">
        <f aca="false">IF(G878="","",G878-C878)</f>
        <v>6.03143774445342</v>
      </c>
      <c r="L878" s="33" t="n">
        <f aca="false">IF(H878="","",ABS(H878))</f>
        <v>5</v>
      </c>
      <c r="M878" s="33" t="n">
        <f aca="false">IF(I878="","",ABS(I878))</f>
        <v>6</v>
      </c>
      <c r="N878" s="33" t="n">
        <f aca="false">IF(J878="","",ABS(J878))</f>
        <v>5.875</v>
      </c>
      <c r="O878" s="33" t="n">
        <f aca="false">IF(K878="","",ABS(K878))</f>
        <v>6.03143774445342</v>
      </c>
      <c r="P878" s="34" t="str">
        <f aca="false">IF(B878&gt;=Eval_Start_Week,"YES","")</f>
        <v/>
      </c>
      <c r="Q878" s="34" t="str">
        <f aca="false">IF(AND(B878&gt;=Cal_Start_Week,B878&lt;=Cal_End_Week),"YES","")</f>
        <v>YES</v>
      </c>
    </row>
    <row r="879" customFormat="false" ht="15" hidden="false" customHeight="false" outlineLevel="0" collapsed="false">
      <c r="A879" s="31" t="str">
        <f aca="false">Demand_History!C879</f>
        <v>KIT-009</v>
      </c>
      <c r="B879" s="31" t="n">
        <f aca="false">Demand_History!A879</f>
        <v>46</v>
      </c>
      <c r="C879" s="32" t="n">
        <f aca="false">Demand_History!D879</f>
        <v>27</v>
      </c>
      <c r="D879" s="33" t="n">
        <f aca="false">IF(B879&gt;=2,C878,"")</f>
        <v>24</v>
      </c>
      <c r="E879" s="33" t="n">
        <f aca="false">IF(B879&gt;=5,AVERAGE(C875:C878),"")</f>
        <v>29</v>
      </c>
      <c r="F879" s="33" t="n">
        <f aca="false">IF(B879&gt;=9,AVERAGE(C871:C878),"")</f>
        <v>28.875</v>
      </c>
      <c r="G879" s="33" t="n">
        <f aca="false">IF(B879=1,"",IF(B879=2,C878,SES_Alpha*C878+(1-SES_Alpha)*G878))</f>
        <v>28.2220064211174</v>
      </c>
      <c r="H879" s="33" t="n">
        <f aca="false">IF(D879="","",D879-C879)</f>
        <v>-3</v>
      </c>
      <c r="I879" s="33" t="n">
        <f aca="false">IF(E879="","",E879-C879)</f>
        <v>2</v>
      </c>
      <c r="J879" s="33" t="n">
        <f aca="false">IF(F879="","",F879-C879)</f>
        <v>1.875</v>
      </c>
      <c r="K879" s="33" t="n">
        <f aca="false">IF(G879="","",G879-C879)</f>
        <v>1.22200642111739</v>
      </c>
      <c r="L879" s="33" t="n">
        <f aca="false">IF(H879="","",ABS(H879))</f>
        <v>3</v>
      </c>
      <c r="M879" s="33" t="n">
        <f aca="false">IF(I879="","",ABS(I879))</f>
        <v>2</v>
      </c>
      <c r="N879" s="33" t="n">
        <f aca="false">IF(J879="","",ABS(J879))</f>
        <v>1.875</v>
      </c>
      <c r="O879" s="33" t="n">
        <f aca="false">IF(K879="","",ABS(K879))</f>
        <v>1.22200642111739</v>
      </c>
      <c r="P879" s="34" t="str">
        <f aca="false">IF(B879&gt;=Eval_Start_Week,"YES","")</f>
        <v/>
      </c>
      <c r="Q879" s="34" t="str">
        <f aca="false">IF(AND(B879&gt;=Cal_Start_Week,B879&lt;=Cal_End_Week),"YES","")</f>
        <v>YES</v>
      </c>
    </row>
    <row r="880" customFormat="false" ht="15" hidden="false" customHeight="false" outlineLevel="0" collapsed="false">
      <c r="A880" s="31" t="str">
        <f aca="false">Demand_History!C880</f>
        <v>KIT-009</v>
      </c>
      <c r="B880" s="31" t="n">
        <f aca="false">Demand_History!A880</f>
        <v>47</v>
      </c>
      <c r="C880" s="32" t="n">
        <f aca="false">Demand_History!D880</f>
        <v>33</v>
      </c>
      <c r="D880" s="33" t="n">
        <f aca="false">IF(B880&gt;=2,C879,"")</f>
        <v>27</v>
      </c>
      <c r="E880" s="33" t="n">
        <f aca="false">IF(B880&gt;=5,AVERAGE(C876:C879),"")</f>
        <v>29.25</v>
      </c>
      <c r="F880" s="33" t="n">
        <f aca="false">IF(B880&gt;=9,AVERAGE(C872:C879),"")</f>
        <v>28.375</v>
      </c>
      <c r="G880" s="33" t="n">
        <f aca="false">IF(B880=1,"",IF(B880=2,C879,SES_Alpha*C879+(1-SES_Alpha)*G879))</f>
        <v>27.8554044947822</v>
      </c>
      <c r="H880" s="33" t="n">
        <f aca="false">IF(D880="","",D880-C880)</f>
        <v>-6</v>
      </c>
      <c r="I880" s="33" t="n">
        <f aca="false">IF(E880="","",E880-C880)</f>
        <v>-3.75</v>
      </c>
      <c r="J880" s="33" t="n">
        <f aca="false">IF(F880="","",F880-C880)</f>
        <v>-4.625</v>
      </c>
      <c r="K880" s="33" t="n">
        <f aca="false">IF(G880="","",G880-C880)</f>
        <v>-5.14459550521783</v>
      </c>
      <c r="L880" s="33" t="n">
        <f aca="false">IF(H880="","",ABS(H880))</f>
        <v>6</v>
      </c>
      <c r="M880" s="33" t="n">
        <f aca="false">IF(I880="","",ABS(I880))</f>
        <v>3.75</v>
      </c>
      <c r="N880" s="33" t="n">
        <f aca="false">IF(J880="","",ABS(J880))</f>
        <v>4.625</v>
      </c>
      <c r="O880" s="33" t="n">
        <f aca="false">IF(K880="","",ABS(K880))</f>
        <v>5.14459550521783</v>
      </c>
      <c r="P880" s="34" t="str">
        <f aca="false">IF(B880&gt;=Eval_Start_Week,"YES","")</f>
        <v/>
      </c>
      <c r="Q880" s="34" t="str">
        <f aca="false">IF(AND(B880&gt;=Cal_Start_Week,B880&lt;=Cal_End_Week),"YES","")</f>
        <v>YES</v>
      </c>
    </row>
    <row r="881" customFormat="false" ht="15" hidden="false" customHeight="false" outlineLevel="0" collapsed="false">
      <c r="A881" s="31" t="str">
        <f aca="false">Demand_History!C881</f>
        <v>KIT-009</v>
      </c>
      <c r="B881" s="31" t="n">
        <f aca="false">Demand_History!A881</f>
        <v>48</v>
      </c>
      <c r="C881" s="32" t="n">
        <f aca="false">Demand_History!D881</f>
        <v>33</v>
      </c>
      <c r="D881" s="33" t="n">
        <f aca="false">IF(B881&gt;=2,C880,"")</f>
        <v>33</v>
      </c>
      <c r="E881" s="33" t="n">
        <f aca="false">IF(B881&gt;=5,AVERAGE(C877:C880),"")</f>
        <v>28.25</v>
      </c>
      <c r="F881" s="33" t="n">
        <f aca="false">IF(B881&gt;=9,AVERAGE(C873:C880),"")</f>
        <v>29</v>
      </c>
      <c r="G881" s="33" t="n">
        <f aca="false">IF(B881=1,"",IF(B881=2,C880,SES_Alpha*C880+(1-SES_Alpha)*G880))</f>
        <v>29.3987831463475</v>
      </c>
      <c r="H881" s="33" t="n">
        <f aca="false">IF(D881="","",D881-C881)</f>
        <v>0</v>
      </c>
      <c r="I881" s="33" t="n">
        <f aca="false">IF(E881="","",E881-C881)</f>
        <v>-4.75</v>
      </c>
      <c r="J881" s="33" t="n">
        <f aca="false">IF(F881="","",F881-C881)</f>
        <v>-4</v>
      </c>
      <c r="K881" s="33" t="n">
        <f aca="false">IF(G881="","",G881-C881)</f>
        <v>-3.60121685365248</v>
      </c>
      <c r="L881" s="33" t="n">
        <f aca="false">IF(H881="","",ABS(H881))</f>
        <v>0</v>
      </c>
      <c r="M881" s="33" t="n">
        <f aca="false">IF(I881="","",ABS(I881))</f>
        <v>4.75</v>
      </c>
      <c r="N881" s="33" t="n">
        <f aca="false">IF(J881="","",ABS(J881))</f>
        <v>4</v>
      </c>
      <c r="O881" s="33" t="n">
        <f aca="false">IF(K881="","",ABS(K881))</f>
        <v>3.60121685365248</v>
      </c>
      <c r="P881" s="34" t="str">
        <f aca="false">IF(B881&gt;=Eval_Start_Week,"YES","")</f>
        <v/>
      </c>
      <c r="Q881" s="34" t="str">
        <f aca="false">IF(AND(B881&gt;=Cal_Start_Week,B881&lt;=Cal_End_Week),"YES","")</f>
        <v>YES</v>
      </c>
    </row>
    <row r="882" customFormat="false" ht="15" hidden="false" customHeight="false" outlineLevel="0" collapsed="false">
      <c r="A882" s="31" t="str">
        <f aca="false">Demand_History!C882</f>
        <v>KIT-009</v>
      </c>
      <c r="B882" s="31" t="n">
        <f aca="false">Demand_History!A882</f>
        <v>49</v>
      </c>
      <c r="C882" s="32" t="n">
        <f aca="false">Demand_History!D882</f>
        <v>29</v>
      </c>
      <c r="D882" s="33" t="n">
        <f aca="false">IF(B882&gt;=2,C881,"")</f>
        <v>33</v>
      </c>
      <c r="E882" s="33" t="n">
        <f aca="false">IF(B882&gt;=5,AVERAGE(C878:C881),"")</f>
        <v>29.25</v>
      </c>
      <c r="F882" s="33" t="n">
        <f aca="false">IF(B882&gt;=9,AVERAGE(C874:C881),"")</f>
        <v>29.625</v>
      </c>
      <c r="G882" s="33" t="n">
        <f aca="false">IF(B882=1,"",IF(B882=2,C881,SES_Alpha*C881+(1-SES_Alpha)*G881))</f>
        <v>30.4791482024433</v>
      </c>
      <c r="H882" s="33" t="n">
        <f aca="false">IF(D882="","",D882-C882)</f>
        <v>4</v>
      </c>
      <c r="I882" s="33" t="n">
        <f aca="false">IF(E882="","",E882-C882)</f>
        <v>0.25</v>
      </c>
      <c r="J882" s="33" t="n">
        <f aca="false">IF(F882="","",F882-C882)</f>
        <v>0.625</v>
      </c>
      <c r="K882" s="33" t="n">
        <f aca="false">IF(G882="","",G882-C882)</f>
        <v>1.47914820244326</v>
      </c>
      <c r="L882" s="33" t="n">
        <f aca="false">IF(H882="","",ABS(H882))</f>
        <v>4</v>
      </c>
      <c r="M882" s="33" t="n">
        <f aca="false">IF(I882="","",ABS(I882))</f>
        <v>0.25</v>
      </c>
      <c r="N882" s="33" t="n">
        <f aca="false">IF(J882="","",ABS(J882))</f>
        <v>0.625</v>
      </c>
      <c r="O882" s="33" t="n">
        <f aca="false">IF(K882="","",ABS(K882))</f>
        <v>1.47914820244326</v>
      </c>
      <c r="P882" s="34" t="str">
        <f aca="false">IF(B882&gt;=Eval_Start_Week,"YES","")</f>
        <v/>
      </c>
      <c r="Q882" s="34" t="str">
        <f aca="false">IF(AND(B882&gt;=Cal_Start_Week,B882&lt;=Cal_End_Week),"YES","")</f>
        <v>YES</v>
      </c>
    </row>
    <row r="883" customFormat="false" ht="15" hidden="false" customHeight="false" outlineLevel="0" collapsed="false">
      <c r="A883" s="31" t="str">
        <f aca="false">Demand_History!C883</f>
        <v>KIT-009</v>
      </c>
      <c r="B883" s="31" t="n">
        <f aca="false">Demand_History!A883</f>
        <v>50</v>
      </c>
      <c r="C883" s="32" t="n">
        <f aca="false">Demand_History!D883</f>
        <v>27</v>
      </c>
      <c r="D883" s="33" t="n">
        <f aca="false">IF(B883&gt;=2,C882,"")</f>
        <v>29</v>
      </c>
      <c r="E883" s="33" t="n">
        <f aca="false">IF(B883&gt;=5,AVERAGE(C879:C882),"")</f>
        <v>30.5</v>
      </c>
      <c r="F883" s="33" t="n">
        <f aca="false">IF(B883&gt;=9,AVERAGE(C875:C882),"")</f>
        <v>29.75</v>
      </c>
      <c r="G883" s="33" t="n">
        <f aca="false">IF(B883=1,"",IF(B883=2,C882,SES_Alpha*C882+(1-SES_Alpha)*G882))</f>
        <v>30.0354037417103</v>
      </c>
      <c r="H883" s="33" t="n">
        <f aca="false">IF(D883="","",D883-C883)</f>
        <v>2</v>
      </c>
      <c r="I883" s="33" t="n">
        <f aca="false">IF(E883="","",E883-C883)</f>
        <v>3.5</v>
      </c>
      <c r="J883" s="33" t="n">
        <f aca="false">IF(F883="","",F883-C883)</f>
        <v>2.75</v>
      </c>
      <c r="K883" s="33" t="n">
        <f aca="false">IF(G883="","",G883-C883)</f>
        <v>3.03540374171028</v>
      </c>
      <c r="L883" s="33" t="n">
        <f aca="false">IF(H883="","",ABS(H883))</f>
        <v>2</v>
      </c>
      <c r="M883" s="33" t="n">
        <f aca="false">IF(I883="","",ABS(I883))</f>
        <v>3.5</v>
      </c>
      <c r="N883" s="33" t="n">
        <f aca="false">IF(J883="","",ABS(J883))</f>
        <v>2.75</v>
      </c>
      <c r="O883" s="33" t="n">
        <f aca="false">IF(K883="","",ABS(K883))</f>
        <v>3.03540374171028</v>
      </c>
      <c r="P883" s="34" t="str">
        <f aca="false">IF(B883&gt;=Eval_Start_Week,"YES","")</f>
        <v/>
      </c>
      <c r="Q883" s="34" t="str">
        <f aca="false">IF(AND(B883&gt;=Cal_Start_Week,B883&lt;=Cal_End_Week),"YES","")</f>
        <v>YES</v>
      </c>
    </row>
    <row r="884" customFormat="false" ht="15" hidden="false" customHeight="false" outlineLevel="0" collapsed="false">
      <c r="A884" s="31" t="str">
        <f aca="false">Demand_History!C884</f>
        <v>KIT-009</v>
      </c>
      <c r="B884" s="31" t="n">
        <f aca="false">Demand_History!A884</f>
        <v>51</v>
      </c>
      <c r="C884" s="32" t="n">
        <f aca="false">Demand_History!D884</f>
        <v>31</v>
      </c>
      <c r="D884" s="33" t="n">
        <f aca="false">IF(B884&gt;=2,C883,"")</f>
        <v>27</v>
      </c>
      <c r="E884" s="33" t="n">
        <f aca="false">IF(B884&gt;=5,AVERAGE(C880:C883),"")</f>
        <v>30.5</v>
      </c>
      <c r="F884" s="33" t="n">
        <f aca="false">IF(B884&gt;=9,AVERAGE(C876:C883),"")</f>
        <v>29.875</v>
      </c>
      <c r="G884" s="33" t="n">
        <f aca="false">IF(B884=1,"",IF(B884=2,C883,SES_Alpha*C883+(1-SES_Alpha)*G883))</f>
        <v>29.1247826191972</v>
      </c>
      <c r="H884" s="33" t="n">
        <f aca="false">IF(D884="","",D884-C884)</f>
        <v>-4</v>
      </c>
      <c r="I884" s="33" t="n">
        <f aca="false">IF(E884="","",E884-C884)</f>
        <v>-0.5</v>
      </c>
      <c r="J884" s="33" t="n">
        <f aca="false">IF(F884="","",F884-C884)</f>
        <v>-1.125</v>
      </c>
      <c r="K884" s="33" t="n">
        <f aca="false">IF(G884="","",G884-C884)</f>
        <v>-1.8752173808028</v>
      </c>
      <c r="L884" s="33" t="n">
        <f aca="false">IF(H884="","",ABS(H884))</f>
        <v>4</v>
      </c>
      <c r="M884" s="33" t="n">
        <f aca="false">IF(I884="","",ABS(I884))</f>
        <v>0.5</v>
      </c>
      <c r="N884" s="33" t="n">
        <f aca="false">IF(J884="","",ABS(J884))</f>
        <v>1.125</v>
      </c>
      <c r="O884" s="33" t="n">
        <f aca="false">IF(K884="","",ABS(K884))</f>
        <v>1.8752173808028</v>
      </c>
      <c r="P884" s="34" t="str">
        <f aca="false">IF(B884&gt;=Eval_Start_Week,"YES","")</f>
        <v/>
      </c>
      <c r="Q884" s="34" t="str">
        <f aca="false">IF(AND(B884&gt;=Cal_Start_Week,B884&lt;=Cal_End_Week),"YES","")</f>
        <v>YES</v>
      </c>
    </row>
    <row r="885" customFormat="false" ht="15" hidden="false" customHeight="false" outlineLevel="0" collapsed="false">
      <c r="A885" s="31" t="str">
        <f aca="false">Demand_History!C885</f>
        <v>KIT-009</v>
      </c>
      <c r="B885" s="31" t="n">
        <f aca="false">Demand_History!A885</f>
        <v>52</v>
      </c>
      <c r="C885" s="32" t="n">
        <f aca="false">Demand_History!D885</f>
        <v>23</v>
      </c>
      <c r="D885" s="33" t="n">
        <f aca="false">IF(B885&gt;=2,C884,"")</f>
        <v>31</v>
      </c>
      <c r="E885" s="33" t="n">
        <f aca="false">IF(B885&gt;=5,AVERAGE(C881:C884),"")</f>
        <v>30</v>
      </c>
      <c r="F885" s="33" t="n">
        <f aca="false">IF(B885&gt;=9,AVERAGE(C877:C884),"")</f>
        <v>29.125</v>
      </c>
      <c r="G885" s="33" t="n">
        <f aca="false">IF(B885=1,"",IF(B885=2,C884,SES_Alpha*C884+(1-SES_Alpha)*G884))</f>
        <v>29.687347833438</v>
      </c>
      <c r="H885" s="33" t="n">
        <f aca="false">IF(D885="","",D885-C885)</f>
        <v>8</v>
      </c>
      <c r="I885" s="33" t="n">
        <f aca="false">IF(E885="","",E885-C885)</f>
        <v>7</v>
      </c>
      <c r="J885" s="33" t="n">
        <f aca="false">IF(F885="","",F885-C885)</f>
        <v>6.125</v>
      </c>
      <c r="K885" s="33" t="n">
        <f aca="false">IF(G885="","",G885-C885)</f>
        <v>6.68734783343804</v>
      </c>
      <c r="L885" s="33" t="n">
        <f aca="false">IF(H885="","",ABS(H885))</f>
        <v>8</v>
      </c>
      <c r="M885" s="33" t="n">
        <f aca="false">IF(I885="","",ABS(I885))</f>
        <v>7</v>
      </c>
      <c r="N885" s="33" t="n">
        <f aca="false">IF(J885="","",ABS(J885))</f>
        <v>6.125</v>
      </c>
      <c r="O885" s="33" t="n">
        <f aca="false">IF(K885="","",ABS(K885))</f>
        <v>6.68734783343804</v>
      </c>
      <c r="P885" s="34" t="str">
        <f aca="false">IF(B885&gt;=Eval_Start_Week,"YES","")</f>
        <v/>
      </c>
      <c r="Q885" s="34" t="str">
        <f aca="false">IF(AND(B885&gt;=Cal_Start_Week,B885&lt;=Cal_End_Week),"YES","")</f>
        <v>YES</v>
      </c>
    </row>
    <row r="886" customFormat="false" ht="15" hidden="false" customHeight="false" outlineLevel="0" collapsed="false">
      <c r="A886" s="31" t="str">
        <f aca="false">Demand_History!C886</f>
        <v>KIT-009</v>
      </c>
      <c r="B886" s="31" t="n">
        <f aca="false">Demand_History!A886</f>
        <v>53</v>
      </c>
      <c r="C886" s="32" t="n">
        <f aca="false">Demand_History!D886</f>
        <v>25</v>
      </c>
      <c r="D886" s="33" t="n">
        <f aca="false">IF(B886&gt;=2,C885,"")</f>
        <v>23</v>
      </c>
      <c r="E886" s="33" t="n">
        <f aca="false">IF(B886&gt;=5,AVERAGE(C882:C885),"")</f>
        <v>27.5</v>
      </c>
      <c r="F886" s="33" t="n">
        <f aca="false">IF(B886&gt;=9,AVERAGE(C878:C885),"")</f>
        <v>28.375</v>
      </c>
      <c r="G886" s="33" t="n">
        <f aca="false">IF(B886=1,"",IF(B886=2,C885,SES_Alpha*C885+(1-SES_Alpha)*G885))</f>
        <v>27.6811434834066</v>
      </c>
      <c r="H886" s="33" t="n">
        <f aca="false">IF(D886="","",D886-C886)</f>
        <v>-2</v>
      </c>
      <c r="I886" s="33" t="n">
        <f aca="false">IF(E886="","",E886-C886)</f>
        <v>2.5</v>
      </c>
      <c r="J886" s="33" t="n">
        <f aca="false">IF(F886="","",F886-C886)</f>
        <v>3.375</v>
      </c>
      <c r="K886" s="33" t="n">
        <f aca="false">IF(G886="","",G886-C886)</f>
        <v>2.68114348340663</v>
      </c>
      <c r="L886" s="33" t="n">
        <f aca="false">IF(H886="","",ABS(H886))</f>
        <v>2</v>
      </c>
      <c r="M886" s="33" t="n">
        <f aca="false">IF(I886="","",ABS(I886))</f>
        <v>2.5</v>
      </c>
      <c r="N886" s="33" t="n">
        <f aca="false">IF(J886="","",ABS(J886))</f>
        <v>3.375</v>
      </c>
      <c r="O886" s="33" t="n">
        <f aca="false">IF(K886="","",ABS(K886))</f>
        <v>2.68114348340663</v>
      </c>
      <c r="P886" s="34" t="str">
        <f aca="false">IF(B886&gt;=Eval_Start_Week,"YES","")</f>
        <v>YES</v>
      </c>
      <c r="Q886" s="34" t="str">
        <f aca="false">IF(AND(B886&gt;=Cal_Start_Week,B886&lt;=Cal_End_Week),"YES","")</f>
        <v>YES</v>
      </c>
    </row>
    <row r="887" customFormat="false" ht="15" hidden="false" customHeight="false" outlineLevel="0" collapsed="false">
      <c r="A887" s="31" t="str">
        <f aca="false">Demand_History!C887</f>
        <v>KIT-009</v>
      </c>
      <c r="B887" s="31" t="n">
        <f aca="false">Demand_History!A887</f>
        <v>54</v>
      </c>
      <c r="C887" s="32" t="n">
        <f aca="false">Demand_History!D887</f>
        <v>35</v>
      </c>
      <c r="D887" s="33" t="n">
        <f aca="false">IF(B887&gt;=2,C886,"")</f>
        <v>25</v>
      </c>
      <c r="E887" s="33" t="n">
        <f aca="false">IF(B887&gt;=5,AVERAGE(C883:C886),"")</f>
        <v>26.5</v>
      </c>
      <c r="F887" s="33" t="n">
        <f aca="false">IF(B887&gt;=9,AVERAGE(C879:C886),"")</f>
        <v>28.5</v>
      </c>
      <c r="G887" s="33" t="n">
        <f aca="false">IF(B887=1,"",IF(B887=2,C886,SES_Alpha*C886+(1-SES_Alpha)*G886))</f>
        <v>26.8768004383846</v>
      </c>
      <c r="H887" s="33" t="n">
        <f aca="false">IF(D887="","",D887-C887)</f>
        <v>-10</v>
      </c>
      <c r="I887" s="33" t="n">
        <f aca="false">IF(E887="","",E887-C887)</f>
        <v>-8.5</v>
      </c>
      <c r="J887" s="33" t="n">
        <f aca="false">IF(F887="","",F887-C887)</f>
        <v>-6.5</v>
      </c>
      <c r="K887" s="33" t="n">
        <f aca="false">IF(G887="","",G887-C887)</f>
        <v>-8.12319956161536</v>
      </c>
      <c r="L887" s="33" t="n">
        <f aca="false">IF(H887="","",ABS(H887))</f>
        <v>10</v>
      </c>
      <c r="M887" s="33" t="n">
        <f aca="false">IF(I887="","",ABS(I887))</f>
        <v>8.5</v>
      </c>
      <c r="N887" s="33" t="n">
        <f aca="false">IF(J887="","",ABS(J887))</f>
        <v>6.5</v>
      </c>
      <c r="O887" s="33" t="n">
        <f aca="false">IF(K887="","",ABS(K887))</f>
        <v>8.12319956161536</v>
      </c>
      <c r="P887" s="34" t="str">
        <f aca="false">IF(B887&gt;=Eval_Start_Week,"YES","")</f>
        <v>YES</v>
      </c>
      <c r="Q887" s="34" t="str">
        <f aca="false">IF(AND(B887&gt;=Cal_Start_Week,B887&lt;=Cal_End_Week),"YES","")</f>
        <v>YES</v>
      </c>
    </row>
    <row r="888" customFormat="false" ht="15" hidden="false" customHeight="false" outlineLevel="0" collapsed="false">
      <c r="A888" s="31" t="str">
        <f aca="false">Demand_History!C888</f>
        <v>KIT-009</v>
      </c>
      <c r="B888" s="31" t="n">
        <f aca="false">Demand_History!A888</f>
        <v>55</v>
      </c>
      <c r="C888" s="32" t="n">
        <f aca="false">Demand_History!D888</f>
        <v>29</v>
      </c>
      <c r="D888" s="33" t="n">
        <f aca="false">IF(B888&gt;=2,C887,"")</f>
        <v>35</v>
      </c>
      <c r="E888" s="33" t="n">
        <f aca="false">IF(B888&gt;=5,AVERAGE(C884:C887),"")</f>
        <v>28.5</v>
      </c>
      <c r="F888" s="33" t="n">
        <f aca="false">IF(B888&gt;=9,AVERAGE(C880:C887),"")</f>
        <v>29.5</v>
      </c>
      <c r="G888" s="33" t="n">
        <f aca="false">IF(B888=1,"",IF(B888=2,C887,SES_Alpha*C887+(1-SES_Alpha)*G887))</f>
        <v>29.3137603068692</v>
      </c>
      <c r="H888" s="33" t="n">
        <f aca="false">IF(D888="","",D888-C888)</f>
        <v>6</v>
      </c>
      <c r="I888" s="33" t="n">
        <f aca="false">IF(E888="","",E888-C888)</f>
        <v>-0.5</v>
      </c>
      <c r="J888" s="33" t="n">
        <f aca="false">IF(F888="","",F888-C888)</f>
        <v>0.5</v>
      </c>
      <c r="K888" s="33" t="n">
        <f aca="false">IF(G888="","",G888-C888)</f>
        <v>0.313760306869245</v>
      </c>
      <c r="L888" s="33" t="n">
        <f aca="false">IF(H888="","",ABS(H888))</f>
        <v>6</v>
      </c>
      <c r="M888" s="33" t="n">
        <f aca="false">IF(I888="","",ABS(I888))</f>
        <v>0.5</v>
      </c>
      <c r="N888" s="33" t="n">
        <f aca="false">IF(J888="","",ABS(J888))</f>
        <v>0.5</v>
      </c>
      <c r="O888" s="33" t="n">
        <f aca="false">IF(K888="","",ABS(K888))</f>
        <v>0.313760306869245</v>
      </c>
      <c r="P888" s="34" t="str">
        <f aca="false">IF(B888&gt;=Eval_Start_Week,"YES","")</f>
        <v>YES</v>
      </c>
      <c r="Q888" s="34" t="str">
        <f aca="false">IF(AND(B888&gt;=Cal_Start_Week,B888&lt;=Cal_End_Week),"YES","")</f>
        <v>YES</v>
      </c>
    </row>
    <row r="889" customFormat="false" ht="15" hidden="false" customHeight="false" outlineLevel="0" collapsed="false">
      <c r="A889" s="31" t="str">
        <f aca="false">Demand_History!C889</f>
        <v>KIT-009</v>
      </c>
      <c r="B889" s="31" t="n">
        <f aca="false">Demand_History!A889</f>
        <v>56</v>
      </c>
      <c r="C889" s="32" t="n">
        <f aca="false">Demand_History!D889</f>
        <v>33</v>
      </c>
      <c r="D889" s="33" t="n">
        <f aca="false">IF(B889&gt;=2,C888,"")</f>
        <v>29</v>
      </c>
      <c r="E889" s="33" t="n">
        <f aca="false">IF(B889&gt;=5,AVERAGE(C885:C888),"")</f>
        <v>28</v>
      </c>
      <c r="F889" s="33" t="n">
        <f aca="false">IF(B889&gt;=9,AVERAGE(C881:C888),"")</f>
        <v>29</v>
      </c>
      <c r="G889" s="33" t="n">
        <f aca="false">IF(B889=1,"",IF(B889=2,C888,SES_Alpha*C888+(1-SES_Alpha)*G888))</f>
        <v>29.2196322148085</v>
      </c>
      <c r="H889" s="33" t="n">
        <f aca="false">IF(D889="","",D889-C889)</f>
        <v>-4</v>
      </c>
      <c r="I889" s="33" t="n">
        <f aca="false">IF(E889="","",E889-C889)</f>
        <v>-5</v>
      </c>
      <c r="J889" s="33" t="n">
        <f aca="false">IF(F889="","",F889-C889)</f>
        <v>-4</v>
      </c>
      <c r="K889" s="33" t="n">
        <f aca="false">IF(G889="","",G889-C889)</f>
        <v>-3.78036778519153</v>
      </c>
      <c r="L889" s="33" t="n">
        <f aca="false">IF(H889="","",ABS(H889))</f>
        <v>4</v>
      </c>
      <c r="M889" s="33" t="n">
        <f aca="false">IF(I889="","",ABS(I889))</f>
        <v>5</v>
      </c>
      <c r="N889" s="33" t="n">
        <f aca="false">IF(J889="","",ABS(J889))</f>
        <v>4</v>
      </c>
      <c r="O889" s="33" t="n">
        <f aca="false">IF(K889="","",ABS(K889))</f>
        <v>3.78036778519153</v>
      </c>
      <c r="P889" s="34" t="str">
        <f aca="false">IF(B889&gt;=Eval_Start_Week,"YES","")</f>
        <v>YES</v>
      </c>
      <c r="Q889" s="34" t="str">
        <f aca="false">IF(AND(B889&gt;=Cal_Start_Week,B889&lt;=Cal_End_Week),"YES","")</f>
        <v>YES</v>
      </c>
    </row>
    <row r="890" customFormat="false" ht="15" hidden="false" customHeight="false" outlineLevel="0" collapsed="false">
      <c r="A890" s="31" t="str">
        <f aca="false">Demand_History!C890</f>
        <v>KIT-009</v>
      </c>
      <c r="B890" s="31" t="n">
        <f aca="false">Demand_History!A890</f>
        <v>57</v>
      </c>
      <c r="C890" s="32" t="n">
        <f aca="false">Demand_History!D890</f>
        <v>37</v>
      </c>
      <c r="D890" s="33" t="n">
        <f aca="false">IF(B890&gt;=2,C889,"")</f>
        <v>33</v>
      </c>
      <c r="E890" s="33" t="n">
        <f aca="false">IF(B890&gt;=5,AVERAGE(C886:C889),"")</f>
        <v>30.5</v>
      </c>
      <c r="F890" s="33" t="n">
        <f aca="false">IF(B890&gt;=9,AVERAGE(C882:C889),"")</f>
        <v>29</v>
      </c>
      <c r="G890" s="33" t="n">
        <f aca="false">IF(B890=1,"",IF(B890=2,C889,SES_Alpha*C889+(1-SES_Alpha)*G889))</f>
        <v>30.3537425503659</v>
      </c>
      <c r="H890" s="33" t="n">
        <f aca="false">IF(D890="","",D890-C890)</f>
        <v>-4</v>
      </c>
      <c r="I890" s="33" t="n">
        <f aca="false">IF(E890="","",E890-C890)</f>
        <v>-6.5</v>
      </c>
      <c r="J890" s="33" t="n">
        <f aca="false">IF(F890="","",F890-C890)</f>
        <v>-8</v>
      </c>
      <c r="K890" s="33" t="n">
        <f aca="false">IF(G890="","",G890-C890)</f>
        <v>-6.64625744963407</v>
      </c>
      <c r="L890" s="33" t="n">
        <f aca="false">IF(H890="","",ABS(H890))</f>
        <v>4</v>
      </c>
      <c r="M890" s="33" t="n">
        <f aca="false">IF(I890="","",ABS(I890))</f>
        <v>6.5</v>
      </c>
      <c r="N890" s="33" t="n">
        <f aca="false">IF(J890="","",ABS(J890))</f>
        <v>8</v>
      </c>
      <c r="O890" s="33" t="n">
        <f aca="false">IF(K890="","",ABS(K890))</f>
        <v>6.64625744963407</v>
      </c>
      <c r="P890" s="34" t="str">
        <f aca="false">IF(B890&gt;=Eval_Start_Week,"YES","")</f>
        <v>YES</v>
      </c>
      <c r="Q890" s="34" t="str">
        <f aca="false">IF(AND(B890&gt;=Cal_Start_Week,B890&lt;=Cal_End_Week),"YES","")</f>
        <v>YES</v>
      </c>
    </row>
    <row r="891" customFormat="false" ht="15" hidden="false" customHeight="false" outlineLevel="0" collapsed="false">
      <c r="A891" s="31" t="str">
        <f aca="false">Demand_History!C891</f>
        <v>KIT-009</v>
      </c>
      <c r="B891" s="31" t="n">
        <f aca="false">Demand_History!A891</f>
        <v>58</v>
      </c>
      <c r="C891" s="32" t="n">
        <f aca="false">Demand_History!D891</f>
        <v>35</v>
      </c>
      <c r="D891" s="33" t="n">
        <f aca="false">IF(B891&gt;=2,C890,"")</f>
        <v>37</v>
      </c>
      <c r="E891" s="33" t="n">
        <f aca="false">IF(B891&gt;=5,AVERAGE(C887:C890),"")</f>
        <v>33.5</v>
      </c>
      <c r="F891" s="33" t="n">
        <f aca="false">IF(B891&gt;=9,AVERAGE(C883:C890),"")</f>
        <v>30</v>
      </c>
      <c r="G891" s="33" t="n">
        <f aca="false">IF(B891=1,"",IF(B891=2,C890,SES_Alpha*C890+(1-SES_Alpha)*G890))</f>
        <v>32.3476197852562</v>
      </c>
      <c r="H891" s="33" t="n">
        <f aca="false">IF(D891="","",D891-C891)</f>
        <v>2</v>
      </c>
      <c r="I891" s="33" t="n">
        <f aca="false">IF(E891="","",E891-C891)</f>
        <v>-1.5</v>
      </c>
      <c r="J891" s="33" t="n">
        <f aca="false">IF(F891="","",F891-C891)</f>
        <v>-5</v>
      </c>
      <c r="K891" s="33" t="n">
        <f aca="false">IF(G891="","",G891-C891)</f>
        <v>-2.65238021474385</v>
      </c>
      <c r="L891" s="33" t="n">
        <f aca="false">IF(H891="","",ABS(H891))</f>
        <v>2</v>
      </c>
      <c r="M891" s="33" t="n">
        <f aca="false">IF(I891="","",ABS(I891))</f>
        <v>1.5</v>
      </c>
      <c r="N891" s="33" t="n">
        <f aca="false">IF(J891="","",ABS(J891))</f>
        <v>5</v>
      </c>
      <c r="O891" s="33" t="n">
        <f aca="false">IF(K891="","",ABS(K891))</f>
        <v>2.65238021474385</v>
      </c>
      <c r="P891" s="34" t="str">
        <f aca="false">IF(B891&gt;=Eval_Start_Week,"YES","")</f>
        <v>YES</v>
      </c>
      <c r="Q891" s="34" t="str">
        <f aca="false">IF(AND(B891&gt;=Cal_Start_Week,B891&lt;=Cal_End_Week),"YES","")</f>
        <v>YES</v>
      </c>
    </row>
    <row r="892" customFormat="false" ht="15" hidden="false" customHeight="false" outlineLevel="0" collapsed="false">
      <c r="A892" s="31" t="str">
        <f aca="false">Demand_History!C892</f>
        <v>KIT-009</v>
      </c>
      <c r="B892" s="31" t="n">
        <f aca="false">Demand_History!A892</f>
        <v>59</v>
      </c>
      <c r="C892" s="32" t="n">
        <f aca="false">Demand_History!D892</f>
        <v>32</v>
      </c>
      <c r="D892" s="33" t="n">
        <f aca="false">IF(B892&gt;=2,C891,"")</f>
        <v>35</v>
      </c>
      <c r="E892" s="33" t="n">
        <f aca="false">IF(B892&gt;=5,AVERAGE(C888:C891),"")</f>
        <v>33.5</v>
      </c>
      <c r="F892" s="33" t="n">
        <f aca="false">IF(B892&gt;=9,AVERAGE(C884:C891),"")</f>
        <v>31</v>
      </c>
      <c r="G892" s="33" t="n">
        <f aca="false">IF(B892=1,"",IF(B892=2,C891,SES_Alpha*C891+(1-SES_Alpha)*G891))</f>
        <v>33.1433338496793</v>
      </c>
      <c r="H892" s="33" t="n">
        <f aca="false">IF(D892="","",D892-C892)</f>
        <v>3</v>
      </c>
      <c r="I892" s="33" t="n">
        <f aca="false">IF(E892="","",E892-C892)</f>
        <v>1.5</v>
      </c>
      <c r="J892" s="33" t="n">
        <f aca="false">IF(F892="","",F892-C892)</f>
        <v>-1</v>
      </c>
      <c r="K892" s="33" t="n">
        <f aca="false">IF(G892="","",G892-C892)</f>
        <v>1.14333384967931</v>
      </c>
      <c r="L892" s="33" t="n">
        <f aca="false">IF(H892="","",ABS(H892))</f>
        <v>3</v>
      </c>
      <c r="M892" s="33" t="n">
        <f aca="false">IF(I892="","",ABS(I892))</f>
        <v>1.5</v>
      </c>
      <c r="N892" s="33" t="n">
        <f aca="false">IF(J892="","",ABS(J892))</f>
        <v>1</v>
      </c>
      <c r="O892" s="33" t="n">
        <f aca="false">IF(K892="","",ABS(K892))</f>
        <v>1.14333384967931</v>
      </c>
      <c r="P892" s="34" t="str">
        <f aca="false">IF(B892&gt;=Eval_Start_Week,"YES","")</f>
        <v>YES</v>
      </c>
      <c r="Q892" s="34" t="str">
        <f aca="false">IF(AND(B892&gt;=Cal_Start_Week,B892&lt;=Cal_End_Week),"YES","")</f>
        <v>YES</v>
      </c>
    </row>
    <row r="893" customFormat="false" ht="15" hidden="false" customHeight="false" outlineLevel="0" collapsed="false">
      <c r="A893" s="31" t="str">
        <f aca="false">Demand_History!C893</f>
        <v>KIT-009</v>
      </c>
      <c r="B893" s="31" t="n">
        <f aca="false">Demand_History!A893</f>
        <v>60</v>
      </c>
      <c r="C893" s="32" t="n">
        <f aca="false">Demand_History!D893</f>
        <v>42</v>
      </c>
      <c r="D893" s="33" t="n">
        <f aca="false">IF(B893&gt;=2,C892,"")</f>
        <v>32</v>
      </c>
      <c r="E893" s="33" t="n">
        <f aca="false">IF(B893&gt;=5,AVERAGE(C889:C892),"")</f>
        <v>34.25</v>
      </c>
      <c r="F893" s="33" t="n">
        <f aca="false">IF(B893&gt;=9,AVERAGE(C885:C892),"")</f>
        <v>31.125</v>
      </c>
      <c r="G893" s="33" t="n">
        <f aca="false">IF(B893=1,"",IF(B893=2,C892,SES_Alpha*C892+(1-SES_Alpha)*G892))</f>
        <v>32.8003336947755</v>
      </c>
      <c r="H893" s="33" t="n">
        <f aca="false">IF(D893="","",D893-C893)</f>
        <v>-10</v>
      </c>
      <c r="I893" s="33" t="n">
        <f aca="false">IF(E893="","",E893-C893)</f>
        <v>-7.75</v>
      </c>
      <c r="J893" s="33" t="n">
        <f aca="false">IF(F893="","",F893-C893)</f>
        <v>-10.875</v>
      </c>
      <c r="K893" s="33" t="n">
        <f aca="false">IF(G893="","",G893-C893)</f>
        <v>-9.19966630522448</v>
      </c>
      <c r="L893" s="33" t="n">
        <f aca="false">IF(H893="","",ABS(H893))</f>
        <v>10</v>
      </c>
      <c r="M893" s="33" t="n">
        <f aca="false">IF(I893="","",ABS(I893))</f>
        <v>7.75</v>
      </c>
      <c r="N893" s="33" t="n">
        <f aca="false">IF(J893="","",ABS(J893))</f>
        <v>10.875</v>
      </c>
      <c r="O893" s="33" t="n">
        <f aca="false">IF(K893="","",ABS(K893))</f>
        <v>9.19966630522448</v>
      </c>
      <c r="P893" s="34" t="str">
        <f aca="false">IF(B893&gt;=Eval_Start_Week,"YES","")</f>
        <v>YES</v>
      </c>
      <c r="Q893" s="34" t="str">
        <f aca="false">IF(AND(B893&gt;=Cal_Start_Week,B893&lt;=Cal_End_Week),"YES","")</f>
        <v>YES</v>
      </c>
    </row>
    <row r="894" customFormat="false" ht="15" hidden="false" customHeight="false" outlineLevel="0" collapsed="false">
      <c r="A894" s="31" t="str">
        <f aca="false">Demand_History!C894</f>
        <v>KIT-009</v>
      </c>
      <c r="B894" s="31" t="n">
        <f aca="false">Demand_History!A894</f>
        <v>61</v>
      </c>
      <c r="C894" s="32" t="n">
        <f aca="false">Demand_History!D894</f>
        <v>36</v>
      </c>
      <c r="D894" s="33" t="n">
        <f aca="false">IF(B894&gt;=2,C893,"")</f>
        <v>42</v>
      </c>
      <c r="E894" s="33" t="n">
        <f aca="false">IF(B894&gt;=5,AVERAGE(C890:C893),"")</f>
        <v>36.5</v>
      </c>
      <c r="F894" s="33" t="n">
        <f aca="false">IF(B894&gt;=9,AVERAGE(C886:C893),"")</f>
        <v>33.5</v>
      </c>
      <c r="G894" s="33" t="n">
        <f aca="false">IF(B894=1,"",IF(B894=2,C893,SES_Alpha*C893+(1-SES_Alpha)*G893))</f>
        <v>35.5602335863429</v>
      </c>
      <c r="H894" s="33" t="n">
        <f aca="false">IF(D894="","",D894-C894)</f>
        <v>6</v>
      </c>
      <c r="I894" s="33" t="n">
        <f aca="false">IF(E894="","",E894-C894)</f>
        <v>0.5</v>
      </c>
      <c r="J894" s="33" t="n">
        <f aca="false">IF(F894="","",F894-C894)</f>
        <v>-2.5</v>
      </c>
      <c r="K894" s="33" t="n">
        <f aca="false">IF(G894="","",G894-C894)</f>
        <v>-0.439766413657139</v>
      </c>
      <c r="L894" s="33" t="n">
        <f aca="false">IF(H894="","",ABS(H894))</f>
        <v>6</v>
      </c>
      <c r="M894" s="33" t="n">
        <f aca="false">IF(I894="","",ABS(I894))</f>
        <v>0.5</v>
      </c>
      <c r="N894" s="33" t="n">
        <f aca="false">IF(J894="","",ABS(J894))</f>
        <v>2.5</v>
      </c>
      <c r="O894" s="33" t="n">
        <f aca="false">IF(K894="","",ABS(K894))</f>
        <v>0.439766413657139</v>
      </c>
      <c r="P894" s="34" t="str">
        <f aca="false">IF(B894&gt;=Eval_Start_Week,"YES","")</f>
        <v>YES</v>
      </c>
      <c r="Q894" s="34" t="str">
        <f aca="false">IF(AND(B894&gt;=Cal_Start_Week,B894&lt;=Cal_End_Week),"YES","")</f>
        <v>YES</v>
      </c>
    </row>
    <row r="895" customFormat="false" ht="15" hidden="false" customHeight="false" outlineLevel="0" collapsed="false">
      <c r="A895" s="31" t="str">
        <f aca="false">Demand_History!C895</f>
        <v>KIT-009</v>
      </c>
      <c r="B895" s="31" t="n">
        <f aca="false">Demand_History!A895</f>
        <v>62</v>
      </c>
      <c r="C895" s="32" t="n">
        <f aca="false">Demand_History!D895</f>
        <v>31</v>
      </c>
      <c r="D895" s="33" t="n">
        <f aca="false">IF(B895&gt;=2,C894,"")</f>
        <v>36</v>
      </c>
      <c r="E895" s="33" t="n">
        <f aca="false">IF(B895&gt;=5,AVERAGE(C891:C894),"")</f>
        <v>36.25</v>
      </c>
      <c r="F895" s="33" t="n">
        <f aca="false">IF(B895&gt;=9,AVERAGE(C887:C894),"")</f>
        <v>34.875</v>
      </c>
      <c r="G895" s="33" t="n">
        <f aca="false">IF(B895=1,"",IF(B895=2,C894,SES_Alpha*C894+(1-SES_Alpha)*G894))</f>
        <v>35.69216351044</v>
      </c>
      <c r="H895" s="33" t="n">
        <f aca="false">IF(D895="","",D895-C895)</f>
        <v>5</v>
      </c>
      <c r="I895" s="33" t="n">
        <f aca="false">IF(E895="","",E895-C895)</f>
        <v>5.25</v>
      </c>
      <c r="J895" s="33" t="n">
        <f aca="false">IF(F895="","",F895-C895)</f>
        <v>3.875</v>
      </c>
      <c r="K895" s="33" t="n">
        <f aca="false">IF(G895="","",G895-C895)</f>
        <v>4.69216351044</v>
      </c>
      <c r="L895" s="33" t="n">
        <f aca="false">IF(H895="","",ABS(H895))</f>
        <v>5</v>
      </c>
      <c r="M895" s="33" t="n">
        <f aca="false">IF(I895="","",ABS(I895))</f>
        <v>5.25</v>
      </c>
      <c r="N895" s="33" t="n">
        <f aca="false">IF(J895="","",ABS(J895))</f>
        <v>3.875</v>
      </c>
      <c r="O895" s="33" t="n">
        <f aca="false">IF(K895="","",ABS(K895))</f>
        <v>4.69216351044</v>
      </c>
      <c r="P895" s="34" t="str">
        <f aca="false">IF(B895&gt;=Eval_Start_Week,"YES","")</f>
        <v>YES</v>
      </c>
      <c r="Q895" s="34" t="str">
        <f aca="false">IF(AND(B895&gt;=Cal_Start_Week,B895&lt;=Cal_End_Week),"YES","")</f>
        <v>YES</v>
      </c>
    </row>
    <row r="896" customFormat="false" ht="15" hidden="false" customHeight="false" outlineLevel="0" collapsed="false">
      <c r="A896" s="31" t="str">
        <f aca="false">Demand_History!C896</f>
        <v>KIT-009</v>
      </c>
      <c r="B896" s="31" t="n">
        <f aca="false">Demand_History!A896</f>
        <v>63</v>
      </c>
      <c r="C896" s="32" t="n">
        <f aca="false">Demand_History!D896</f>
        <v>37</v>
      </c>
      <c r="D896" s="33" t="n">
        <f aca="false">IF(B896&gt;=2,C895,"")</f>
        <v>31</v>
      </c>
      <c r="E896" s="33" t="n">
        <f aca="false">IF(B896&gt;=5,AVERAGE(C892:C895),"")</f>
        <v>35.25</v>
      </c>
      <c r="F896" s="33" t="n">
        <f aca="false">IF(B896&gt;=9,AVERAGE(C888:C895),"")</f>
        <v>34.375</v>
      </c>
      <c r="G896" s="33" t="n">
        <f aca="false">IF(B896=1,"",IF(B896=2,C895,SES_Alpha*C895+(1-SES_Alpha)*G895))</f>
        <v>34.284514457308</v>
      </c>
      <c r="H896" s="33" t="n">
        <f aca="false">IF(D896="","",D896-C896)</f>
        <v>-6</v>
      </c>
      <c r="I896" s="33" t="n">
        <f aca="false">IF(E896="","",E896-C896)</f>
        <v>-1.75</v>
      </c>
      <c r="J896" s="33" t="n">
        <f aca="false">IF(F896="","",F896-C896)</f>
        <v>-2.625</v>
      </c>
      <c r="K896" s="33" t="n">
        <f aca="false">IF(G896="","",G896-C896)</f>
        <v>-2.71548554269201</v>
      </c>
      <c r="L896" s="33" t="n">
        <f aca="false">IF(H896="","",ABS(H896))</f>
        <v>6</v>
      </c>
      <c r="M896" s="33" t="n">
        <f aca="false">IF(I896="","",ABS(I896))</f>
        <v>1.75</v>
      </c>
      <c r="N896" s="33" t="n">
        <f aca="false">IF(J896="","",ABS(J896))</f>
        <v>2.625</v>
      </c>
      <c r="O896" s="33" t="n">
        <f aca="false">IF(K896="","",ABS(K896))</f>
        <v>2.71548554269201</v>
      </c>
      <c r="P896" s="34" t="str">
        <f aca="false">IF(B896&gt;=Eval_Start_Week,"YES","")</f>
        <v>YES</v>
      </c>
      <c r="Q896" s="34" t="str">
        <f aca="false">IF(AND(B896&gt;=Cal_Start_Week,B896&lt;=Cal_End_Week),"YES","")</f>
        <v>YES</v>
      </c>
    </row>
    <row r="897" customFormat="false" ht="15" hidden="false" customHeight="false" outlineLevel="0" collapsed="false">
      <c r="A897" s="31" t="str">
        <f aca="false">Demand_History!C897</f>
        <v>KIT-009</v>
      </c>
      <c r="B897" s="31" t="n">
        <f aca="false">Demand_History!A897</f>
        <v>64</v>
      </c>
      <c r="C897" s="32" t="n">
        <f aca="false">Demand_History!D897</f>
        <v>35</v>
      </c>
      <c r="D897" s="33" t="n">
        <f aca="false">IF(B897&gt;=2,C896,"")</f>
        <v>37</v>
      </c>
      <c r="E897" s="33" t="n">
        <f aca="false">IF(B897&gt;=5,AVERAGE(C893:C896),"")</f>
        <v>36.5</v>
      </c>
      <c r="F897" s="33" t="n">
        <f aca="false">IF(B897&gt;=9,AVERAGE(C889:C896),"")</f>
        <v>35.375</v>
      </c>
      <c r="G897" s="33" t="n">
        <f aca="false">IF(B897=1,"",IF(B897=2,C896,SES_Alpha*C896+(1-SES_Alpha)*G896))</f>
        <v>35.0991601201156</v>
      </c>
      <c r="H897" s="33" t="n">
        <f aca="false">IF(D897="","",D897-C897)</f>
        <v>2</v>
      </c>
      <c r="I897" s="33" t="n">
        <f aca="false">IF(E897="","",E897-C897)</f>
        <v>1.5</v>
      </c>
      <c r="J897" s="33" t="n">
        <f aca="false">IF(F897="","",F897-C897)</f>
        <v>0.375</v>
      </c>
      <c r="K897" s="33" t="n">
        <f aca="false">IF(G897="","",G897-C897)</f>
        <v>0.0991601201155916</v>
      </c>
      <c r="L897" s="33" t="n">
        <f aca="false">IF(H897="","",ABS(H897))</f>
        <v>2</v>
      </c>
      <c r="M897" s="33" t="n">
        <f aca="false">IF(I897="","",ABS(I897))</f>
        <v>1.5</v>
      </c>
      <c r="N897" s="33" t="n">
        <f aca="false">IF(J897="","",ABS(J897))</f>
        <v>0.375</v>
      </c>
      <c r="O897" s="33" t="n">
        <f aca="false">IF(K897="","",ABS(K897))</f>
        <v>0.0991601201155916</v>
      </c>
      <c r="P897" s="34" t="str">
        <f aca="false">IF(B897&gt;=Eval_Start_Week,"YES","")</f>
        <v>YES</v>
      </c>
      <c r="Q897" s="34" t="str">
        <f aca="false">IF(AND(B897&gt;=Cal_Start_Week,B897&lt;=Cal_End_Week),"YES","")</f>
        <v>YES</v>
      </c>
    </row>
    <row r="898" customFormat="false" ht="15" hidden="false" customHeight="false" outlineLevel="0" collapsed="false">
      <c r="A898" s="31" t="str">
        <f aca="false">Demand_History!C898</f>
        <v>KIT-009</v>
      </c>
      <c r="B898" s="31" t="n">
        <f aca="false">Demand_History!A898</f>
        <v>65</v>
      </c>
      <c r="C898" s="32" t="n">
        <f aca="false">Demand_History!D898</f>
        <v>29</v>
      </c>
      <c r="D898" s="33" t="n">
        <f aca="false">IF(B898&gt;=2,C897,"")</f>
        <v>35</v>
      </c>
      <c r="E898" s="33" t="n">
        <f aca="false">IF(B898&gt;=5,AVERAGE(C894:C897),"")</f>
        <v>34.75</v>
      </c>
      <c r="F898" s="33" t="n">
        <f aca="false">IF(B898&gt;=9,AVERAGE(C890:C897),"")</f>
        <v>35.625</v>
      </c>
      <c r="G898" s="33" t="n">
        <f aca="false">IF(B898=1,"",IF(B898=2,C897,SES_Alpha*C897+(1-SES_Alpha)*G897))</f>
        <v>35.0694120840809</v>
      </c>
      <c r="H898" s="33" t="n">
        <f aca="false">IF(D898="","",D898-C898)</f>
        <v>6</v>
      </c>
      <c r="I898" s="33" t="n">
        <f aca="false">IF(E898="","",E898-C898)</f>
        <v>5.75</v>
      </c>
      <c r="J898" s="33" t="n">
        <f aca="false">IF(F898="","",F898-C898)</f>
        <v>6.625</v>
      </c>
      <c r="K898" s="33" t="n">
        <f aca="false">IF(G898="","",G898-C898)</f>
        <v>6.06941208408091</v>
      </c>
      <c r="L898" s="33" t="n">
        <f aca="false">IF(H898="","",ABS(H898))</f>
        <v>6</v>
      </c>
      <c r="M898" s="33" t="n">
        <f aca="false">IF(I898="","",ABS(I898))</f>
        <v>5.75</v>
      </c>
      <c r="N898" s="33" t="n">
        <f aca="false">IF(J898="","",ABS(J898))</f>
        <v>6.625</v>
      </c>
      <c r="O898" s="33" t="n">
        <f aca="false">IF(K898="","",ABS(K898))</f>
        <v>6.06941208408091</v>
      </c>
      <c r="P898" s="34" t="str">
        <f aca="false">IF(B898&gt;=Eval_Start_Week,"YES","")</f>
        <v>YES</v>
      </c>
      <c r="Q898" s="34" t="str">
        <f aca="false">IF(AND(B898&gt;=Cal_Start_Week,B898&lt;=Cal_End_Week),"YES","")</f>
        <v>YES</v>
      </c>
    </row>
    <row r="899" customFormat="false" ht="15" hidden="false" customHeight="false" outlineLevel="0" collapsed="false">
      <c r="A899" s="31" t="str">
        <f aca="false">Demand_History!C899</f>
        <v>KIT-009</v>
      </c>
      <c r="B899" s="31" t="n">
        <f aca="false">Demand_History!A899</f>
        <v>66</v>
      </c>
      <c r="C899" s="32" t="n">
        <f aca="false">Demand_History!D899</f>
        <v>34</v>
      </c>
      <c r="D899" s="33" t="n">
        <f aca="false">IF(B899&gt;=2,C898,"")</f>
        <v>29</v>
      </c>
      <c r="E899" s="33" t="n">
        <f aca="false">IF(B899&gt;=5,AVERAGE(C895:C898),"")</f>
        <v>33</v>
      </c>
      <c r="F899" s="33" t="n">
        <f aca="false">IF(B899&gt;=9,AVERAGE(C891:C898),"")</f>
        <v>34.625</v>
      </c>
      <c r="G899" s="33" t="n">
        <f aca="false">IF(B899=1,"",IF(B899=2,C898,SES_Alpha*C898+(1-SES_Alpha)*G898))</f>
        <v>33.2485884588566</v>
      </c>
      <c r="H899" s="33" t="n">
        <f aca="false">IF(D899="","",D899-C899)</f>
        <v>-5</v>
      </c>
      <c r="I899" s="33" t="n">
        <f aca="false">IF(E899="","",E899-C899)</f>
        <v>-1</v>
      </c>
      <c r="J899" s="33" t="n">
        <f aca="false">IF(F899="","",F899-C899)</f>
        <v>0.625</v>
      </c>
      <c r="K899" s="33" t="n">
        <f aca="false">IF(G899="","",G899-C899)</f>
        <v>-0.751411541143369</v>
      </c>
      <c r="L899" s="33" t="n">
        <f aca="false">IF(H899="","",ABS(H899))</f>
        <v>5</v>
      </c>
      <c r="M899" s="33" t="n">
        <f aca="false">IF(I899="","",ABS(I899))</f>
        <v>1</v>
      </c>
      <c r="N899" s="33" t="n">
        <f aca="false">IF(J899="","",ABS(J899))</f>
        <v>0.625</v>
      </c>
      <c r="O899" s="33" t="n">
        <f aca="false">IF(K899="","",ABS(K899))</f>
        <v>0.751411541143369</v>
      </c>
      <c r="P899" s="34" t="str">
        <f aca="false">IF(B899&gt;=Eval_Start_Week,"YES","")</f>
        <v>YES</v>
      </c>
      <c r="Q899" s="34" t="str">
        <f aca="false">IF(AND(B899&gt;=Cal_Start_Week,B899&lt;=Cal_End_Week),"YES","")</f>
        <v>YES</v>
      </c>
    </row>
    <row r="900" customFormat="false" ht="15" hidden="false" customHeight="false" outlineLevel="0" collapsed="false">
      <c r="A900" s="31" t="str">
        <f aca="false">Demand_History!C900</f>
        <v>KIT-009</v>
      </c>
      <c r="B900" s="31" t="n">
        <f aca="false">Demand_History!A900</f>
        <v>67</v>
      </c>
      <c r="C900" s="32" t="n">
        <f aca="false">Demand_History!D900</f>
        <v>33</v>
      </c>
      <c r="D900" s="33" t="n">
        <f aca="false">IF(B900&gt;=2,C899,"")</f>
        <v>34</v>
      </c>
      <c r="E900" s="33" t="n">
        <f aca="false">IF(B900&gt;=5,AVERAGE(C896:C899),"")</f>
        <v>33.75</v>
      </c>
      <c r="F900" s="33" t="n">
        <f aca="false">IF(B900&gt;=9,AVERAGE(C892:C899),"")</f>
        <v>34.5</v>
      </c>
      <c r="G900" s="33" t="n">
        <f aca="false">IF(B900=1,"",IF(B900=2,C899,SES_Alpha*C899+(1-SES_Alpha)*G899))</f>
        <v>33.4740119211996</v>
      </c>
      <c r="H900" s="33" t="n">
        <f aca="false">IF(D900="","",D900-C900)</f>
        <v>1</v>
      </c>
      <c r="I900" s="33" t="n">
        <f aca="false">IF(E900="","",E900-C900)</f>
        <v>0.75</v>
      </c>
      <c r="J900" s="33" t="n">
        <f aca="false">IF(F900="","",F900-C900)</f>
        <v>1.5</v>
      </c>
      <c r="K900" s="33" t="n">
        <f aca="false">IF(G900="","",G900-C900)</f>
        <v>0.47401192119964</v>
      </c>
      <c r="L900" s="33" t="n">
        <f aca="false">IF(H900="","",ABS(H900))</f>
        <v>1</v>
      </c>
      <c r="M900" s="33" t="n">
        <f aca="false">IF(I900="","",ABS(I900))</f>
        <v>0.75</v>
      </c>
      <c r="N900" s="33" t="n">
        <f aca="false">IF(J900="","",ABS(J900))</f>
        <v>1.5</v>
      </c>
      <c r="O900" s="33" t="n">
        <f aca="false">IF(K900="","",ABS(K900))</f>
        <v>0.47401192119964</v>
      </c>
      <c r="P900" s="34" t="str">
        <f aca="false">IF(B900&gt;=Eval_Start_Week,"YES","")</f>
        <v>YES</v>
      </c>
      <c r="Q900" s="34" t="str">
        <f aca="false">IF(AND(B900&gt;=Cal_Start_Week,B900&lt;=Cal_End_Week),"YES","")</f>
        <v>YES</v>
      </c>
    </row>
    <row r="901" customFormat="false" ht="15" hidden="false" customHeight="false" outlineLevel="0" collapsed="false">
      <c r="A901" s="31" t="str">
        <f aca="false">Demand_History!C901</f>
        <v>KIT-009</v>
      </c>
      <c r="B901" s="31" t="n">
        <f aca="false">Demand_History!A901</f>
        <v>68</v>
      </c>
      <c r="C901" s="32" t="n">
        <f aca="false">Demand_History!D901</f>
        <v>24</v>
      </c>
      <c r="D901" s="33" t="n">
        <f aca="false">IF(B901&gt;=2,C900,"")</f>
        <v>33</v>
      </c>
      <c r="E901" s="33" t="n">
        <f aca="false">IF(B901&gt;=5,AVERAGE(C897:C900),"")</f>
        <v>32.75</v>
      </c>
      <c r="F901" s="33" t="n">
        <f aca="false">IF(B901&gt;=9,AVERAGE(C893:C900),"")</f>
        <v>34.625</v>
      </c>
      <c r="G901" s="33" t="n">
        <f aca="false">IF(B901=1,"",IF(B901=2,C900,SES_Alpha*C900+(1-SES_Alpha)*G900))</f>
        <v>33.3318083448398</v>
      </c>
      <c r="H901" s="33" t="n">
        <f aca="false">IF(D901="","",D901-C901)</f>
        <v>9</v>
      </c>
      <c r="I901" s="33" t="n">
        <f aca="false">IF(E901="","",E901-C901)</f>
        <v>8.75</v>
      </c>
      <c r="J901" s="33" t="n">
        <f aca="false">IF(F901="","",F901-C901)</f>
        <v>10.625</v>
      </c>
      <c r="K901" s="33" t="n">
        <f aca="false">IF(G901="","",G901-C901)</f>
        <v>9.33180834483975</v>
      </c>
      <c r="L901" s="33" t="n">
        <f aca="false">IF(H901="","",ABS(H901))</f>
        <v>9</v>
      </c>
      <c r="M901" s="33" t="n">
        <f aca="false">IF(I901="","",ABS(I901))</f>
        <v>8.75</v>
      </c>
      <c r="N901" s="33" t="n">
        <f aca="false">IF(J901="","",ABS(J901))</f>
        <v>10.625</v>
      </c>
      <c r="O901" s="33" t="n">
        <f aca="false">IF(K901="","",ABS(K901))</f>
        <v>9.33180834483975</v>
      </c>
      <c r="P901" s="34" t="str">
        <f aca="false">IF(B901&gt;=Eval_Start_Week,"YES","")</f>
        <v>YES</v>
      </c>
      <c r="Q901" s="34" t="str">
        <f aca="false">IF(AND(B901&gt;=Cal_Start_Week,B901&lt;=Cal_End_Week),"YES","")</f>
        <v>YES</v>
      </c>
    </row>
    <row r="902" customFormat="false" ht="15" hidden="false" customHeight="false" outlineLevel="0" collapsed="false">
      <c r="A902" s="31" t="str">
        <f aca="false">Demand_History!C902</f>
        <v>KIT-009</v>
      </c>
      <c r="B902" s="31" t="n">
        <f aca="false">Demand_History!A902</f>
        <v>69</v>
      </c>
      <c r="C902" s="32" t="n">
        <f aca="false">Demand_History!D902</f>
        <v>34</v>
      </c>
      <c r="D902" s="33" t="n">
        <f aca="false">IF(B902&gt;=2,C901,"")</f>
        <v>24</v>
      </c>
      <c r="E902" s="33" t="n">
        <f aca="false">IF(B902&gt;=5,AVERAGE(C898:C901),"")</f>
        <v>30</v>
      </c>
      <c r="F902" s="33" t="n">
        <f aca="false">IF(B902&gt;=9,AVERAGE(C894:C901),"")</f>
        <v>32.375</v>
      </c>
      <c r="G902" s="33" t="n">
        <f aca="false">IF(B902=1,"",IF(B902=2,C901,SES_Alpha*C901+(1-SES_Alpha)*G901))</f>
        <v>30.5322658413878</v>
      </c>
      <c r="H902" s="33" t="n">
        <f aca="false">IF(D902="","",D902-C902)</f>
        <v>-10</v>
      </c>
      <c r="I902" s="33" t="n">
        <f aca="false">IF(E902="","",E902-C902)</f>
        <v>-4</v>
      </c>
      <c r="J902" s="33" t="n">
        <f aca="false">IF(F902="","",F902-C902)</f>
        <v>-1.625</v>
      </c>
      <c r="K902" s="33" t="n">
        <f aca="false">IF(G902="","",G902-C902)</f>
        <v>-3.46773415861218</v>
      </c>
      <c r="L902" s="33" t="n">
        <f aca="false">IF(H902="","",ABS(H902))</f>
        <v>10</v>
      </c>
      <c r="M902" s="33" t="n">
        <f aca="false">IF(I902="","",ABS(I902))</f>
        <v>4</v>
      </c>
      <c r="N902" s="33" t="n">
        <f aca="false">IF(J902="","",ABS(J902))</f>
        <v>1.625</v>
      </c>
      <c r="O902" s="33" t="n">
        <f aca="false">IF(K902="","",ABS(K902))</f>
        <v>3.46773415861218</v>
      </c>
      <c r="P902" s="34" t="str">
        <f aca="false">IF(B902&gt;=Eval_Start_Week,"YES","")</f>
        <v>YES</v>
      </c>
      <c r="Q902" s="34" t="str">
        <f aca="false">IF(AND(B902&gt;=Cal_Start_Week,B902&lt;=Cal_End_Week),"YES","")</f>
        <v>YES</v>
      </c>
    </row>
    <row r="903" customFormat="false" ht="15" hidden="false" customHeight="false" outlineLevel="0" collapsed="false">
      <c r="A903" s="31" t="str">
        <f aca="false">Demand_History!C903</f>
        <v>KIT-009</v>
      </c>
      <c r="B903" s="31" t="n">
        <f aca="false">Demand_History!A903</f>
        <v>70</v>
      </c>
      <c r="C903" s="32" t="n">
        <f aca="false">Demand_History!D903</f>
        <v>33</v>
      </c>
      <c r="D903" s="33" t="n">
        <f aca="false">IF(B903&gt;=2,C902,"")</f>
        <v>34</v>
      </c>
      <c r="E903" s="33" t="n">
        <f aca="false">IF(B903&gt;=5,AVERAGE(C899:C902),"")</f>
        <v>31.25</v>
      </c>
      <c r="F903" s="33" t="n">
        <f aca="false">IF(B903&gt;=9,AVERAGE(C895:C902),"")</f>
        <v>32.125</v>
      </c>
      <c r="G903" s="33" t="n">
        <f aca="false">IF(B903=1,"",IF(B903=2,C902,SES_Alpha*C902+(1-SES_Alpha)*G902))</f>
        <v>31.5725860889715</v>
      </c>
      <c r="H903" s="33" t="n">
        <f aca="false">IF(D903="","",D903-C903)</f>
        <v>1</v>
      </c>
      <c r="I903" s="33" t="n">
        <f aca="false">IF(E903="","",E903-C903)</f>
        <v>-1.75</v>
      </c>
      <c r="J903" s="33" t="n">
        <f aca="false">IF(F903="","",F903-C903)</f>
        <v>-0.875</v>
      </c>
      <c r="K903" s="33" t="n">
        <f aca="false">IF(G903="","",G903-C903)</f>
        <v>-1.42741391102853</v>
      </c>
      <c r="L903" s="33" t="n">
        <f aca="false">IF(H903="","",ABS(H903))</f>
        <v>1</v>
      </c>
      <c r="M903" s="33" t="n">
        <f aca="false">IF(I903="","",ABS(I903))</f>
        <v>1.75</v>
      </c>
      <c r="N903" s="33" t="n">
        <f aca="false">IF(J903="","",ABS(J903))</f>
        <v>0.875</v>
      </c>
      <c r="O903" s="33" t="n">
        <f aca="false">IF(K903="","",ABS(K903))</f>
        <v>1.42741391102853</v>
      </c>
      <c r="P903" s="34" t="str">
        <f aca="false">IF(B903&gt;=Eval_Start_Week,"YES","")</f>
        <v>YES</v>
      </c>
      <c r="Q903" s="34" t="str">
        <f aca="false">IF(AND(B903&gt;=Cal_Start_Week,B903&lt;=Cal_End_Week),"YES","")</f>
        <v>YES</v>
      </c>
    </row>
    <row r="904" customFormat="false" ht="15" hidden="false" customHeight="false" outlineLevel="0" collapsed="false">
      <c r="A904" s="31" t="str">
        <f aca="false">Demand_History!C904</f>
        <v>KIT-009</v>
      </c>
      <c r="B904" s="31" t="n">
        <f aca="false">Demand_History!A904</f>
        <v>71</v>
      </c>
      <c r="C904" s="32" t="n">
        <f aca="false">Demand_History!D904</f>
        <v>33</v>
      </c>
      <c r="D904" s="33" t="n">
        <f aca="false">IF(B904&gt;=2,C903,"")</f>
        <v>33</v>
      </c>
      <c r="E904" s="33" t="n">
        <f aca="false">IF(B904&gt;=5,AVERAGE(C900:C903),"")</f>
        <v>31</v>
      </c>
      <c r="F904" s="33" t="n">
        <f aca="false">IF(B904&gt;=9,AVERAGE(C896:C903),"")</f>
        <v>32.375</v>
      </c>
      <c r="G904" s="33" t="n">
        <f aca="false">IF(B904=1,"",IF(B904=2,C903,SES_Alpha*C903+(1-SES_Alpha)*G903))</f>
        <v>32.00081026228</v>
      </c>
      <c r="H904" s="33" t="n">
        <f aca="false">IF(D904="","",D904-C904)</f>
        <v>0</v>
      </c>
      <c r="I904" s="33" t="n">
        <f aca="false">IF(E904="","",E904-C904)</f>
        <v>-2</v>
      </c>
      <c r="J904" s="33" t="n">
        <f aca="false">IF(F904="","",F904-C904)</f>
        <v>-0.625</v>
      </c>
      <c r="K904" s="33" t="n">
        <f aca="false">IF(G904="","",G904-C904)</f>
        <v>-0.999189737719966</v>
      </c>
      <c r="L904" s="33" t="n">
        <f aca="false">IF(H904="","",ABS(H904))</f>
        <v>0</v>
      </c>
      <c r="M904" s="33" t="n">
        <f aca="false">IF(I904="","",ABS(I904))</f>
        <v>2</v>
      </c>
      <c r="N904" s="33" t="n">
        <f aca="false">IF(J904="","",ABS(J904))</f>
        <v>0.625</v>
      </c>
      <c r="O904" s="33" t="n">
        <f aca="false">IF(K904="","",ABS(K904))</f>
        <v>0.999189737719966</v>
      </c>
      <c r="P904" s="34" t="str">
        <f aca="false">IF(B904&gt;=Eval_Start_Week,"YES","")</f>
        <v>YES</v>
      </c>
      <c r="Q904" s="34" t="str">
        <f aca="false">IF(AND(B904&gt;=Cal_Start_Week,B904&lt;=Cal_End_Week),"YES","")</f>
        <v>YES</v>
      </c>
    </row>
    <row r="905" customFormat="false" ht="15" hidden="false" customHeight="false" outlineLevel="0" collapsed="false">
      <c r="A905" s="31" t="str">
        <f aca="false">Demand_History!C905</f>
        <v>KIT-009</v>
      </c>
      <c r="B905" s="31" t="n">
        <f aca="false">Demand_History!A905</f>
        <v>72</v>
      </c>
      <c r="C905" s="32" t="n">
        <f aca="false">Demand_History!D905</f>
        <v>27</v>
      </c>
      <c r="D905" s="33" t="n">
        <f aca="false">IF(B905&gt;=2,C904,"")</f>
        <v>33</v>
      </c>
      <c r="E905" s="33" t="n">
        <f aca="false">IF(B905&gt;=5,AVERAGE(C901:C904),"")</f>
        <v>31</v>
      </c>
      <c r="F905" s="33" t="n">
        <f aca="false">IF(B905&gt;=9,AVERAGE(C897:C904),"")</f>
        <v>31.875</v>
      </c>
      <c r="G905" s="33" t="n">
        <f aca="false">IF(B905=1,"",IF(B905=2,C904,SES_Alpha*C904+(1-SES_Alpha)*G904))</f>
        <v>32.300567183596</v>
      </c>
      <c r="H905" s="33" t="n">
        <f aca="false">IF(D905="","",D905-C905)</f>
        <v>6</v>
      </c>
      <c r="I905" s="33" t="n">
        <f aca="false">IF(E905="","",E905-C905)</f>
        <v>4</v>
      </c>
      <c r="J905" s="33" t="n">
        <f aca="false">IF(F905="","",F905-C905)</f>
        <v>4.875</v>
      </c>
      <c r="K905" s="33" t="n">
        <f aca="false">IF(G905="","",G905-C905)</f>
        <v>5.30056718359602</v>
      </c>
      <c r="L905" s="33" t="n">
        <f aca="false">IF(H905="","",ABS(H905))</f>
        <v>6</v>
      </c>
      <c r="M905" s="33" t="n">
        <f aca="false">IF(I905="","",ABS(I905))</f>
        <v>4</v>
      </c>
      <c r="N905" s="33" t="n">
        <f aca="false">IF(J905="","",ABS(J905))</f>
        <v>4.875</v>
      </c>
      <c r="O905" s="33" t="n">
        <f aca="false">IF(K905="","",ABS(K905))</f>
        <v>5.30056718359602</v>
      </c>
      <c r="P905" s="34" t="str">
        <f aca="false">IF(B905&gt;=Eval_Start_Week,"YES","")</f>
        <v>YES</v>
      </c>
      <c r="Q905" s="34" t="str">
        <f aca="false">IF(AND(B905&gt;=Cal_Start_Week,B905&lt;=Cal_End_Week),"YES","")</f>
        <v>YES</v>
      </c>
    </row>
    <row r="906" customFormat="false" ht="15" hidden="false" customHeight="false" outlineLevel="0" collapsed="false">
      <c r="A906" s="31" t="str">
        <f aca="false">Demand_History!C906</f>
        <v>KIT-009</v>
      </c>
      <c r="B906" s="31" t="n">
        <f aca="false">Demand_History!A906</f>
        <v>73</v>
      </c>
      <c r="C906" s="32" t="n">
        <f aca="false">Demand_History!D906</f>
        <v>33</v>
      </c>
      <c r="D906" s="33" t="n">
        <f aca="false">IF(B906&gt;=2,C905,"")</f>
        <v>27</v>
      </c>
      <c r="E906" s="33" t="n">
        <f aca="false">IF(B906&gt;=5,AVERAGE(C902:C905),"")</f>
        <v>31.75</v>
      </c>
      <c r="F906" s="33" t="n">
        <f aca="false">IF(B906&gt;=9,AVERAGE(C898:C905),"")</f>
        <v>30.875</v>
      </c>
      <c r="G906" s="33" t="n">
        <f aca="false">IF(B906=1,"",IF(B906=2,C905,SES_Alpha*C905+(1-SES_Alpha)*G905))</f>
        <v>30.7103970285172</v>
      </c>
      <c r="H906" s="33" t="n">
        <f aca="false">IF(D906="","",D906-C906)</f>
        <v>-6</v>
      </c>
      <c r="I906" s="33" t="n">
        <f aca="false">IF(E906="","",E906-C906)</f>
        <v>-1.25</v>
      </c>
      <c r="J906" s="33" t="n">
        <f aca="false">IF(F906="","",F906-C906)</f>
        <v>-2.125</v>
      </c>
      <c r="K906" s="33" t="n">
        <f aca="false">IF(G906="","",G906-C906)</f>
        <v>-2.28960297148279</v>
      </c>
      <c r="L906" s="33" t="n">
        <f aca="false">IF(H906="","",ABS(H906))</f>
        <v>6</v>
      </c>
      <c r="M906" s="33" t="n">
        <f aca="false">IF(I906="","",ABS(I906))</f>
        <v>1.25</v>
      </c>
      <c r="N906" s="33" t="n">
        <f aca="false">IF(J906="","",ABS(J906))</f>
        <v>2.125</v>
      </c>
      <c r="O906" s="33" t="n">
        <f aca="false">IF(K906="","",ABS(K906))</f>
        <v>2.28960297148279</v>
      </c>
      <c r="P906" s="34" t="str">
        <f aca="false">IF(B906&gt;=Eval_Start_Week,"YES","")</f>
        <v>YES</v>
      </c>
      <c r="Q906" s="34" t="str">
        <f aca="false">IF(AND(B906&gt;=Cal_Start_Week,B906&lt;=Cal_End_Week),"YES","")</f>
        <v>YES</v>
      </c>
    </row>
    <row r="907" customFormat="false" ht="15" hidden="false" customHeight="false" outlineLevel="0" collapsed="false">
      <c r="A907" s="31" t="str">
        <f aca="false">Demand_History!C907</f>
        <v>KIT-009</v>
      </c>
      <c r="B907" s="31" t="n">
        <f aca="false">Demand_History!A907</f>
        <v>74</v>
      </c>
      <c r="C907" s="32" t="n">
        <f aca="false">Demand_History!D907</f>
        <v>35</v>
      </c>
      <c r="D907" s="33" t="n">
        <f aca="false">IF(B907&gt;=2,C906,"")</f>
        <v>33</v>
      </c>
      <c r="E907" s="33" t="n">
        <f aca="false">IF(B907&gt;=5,AVERAGE(C903:C906),"")</f>
        <v>31.5</v>
      </c>
      <c r="F907" s="33" t="n">
        <f aca="false">IF(B907&gt;=9,AVERAGE(C899:C906),"")</f>
        <v>31.375</v>
      </c>
      <c r="G907" s="33" t="n">
        <f aca="false">IF(B907=1,"",IF(B907=2,C906,SES_Alpha*C906+(1-SES_Alpha)*G906))</f>
        <v>31.3972779199621</v>
      </c>
      <c r="H907" s="33" t="n">
        <f aca="false">IF(D907="","",D907-C907)</f>
        <v>-2</v>
      </c>
      <c r="I907" s="33" t="n">
        <f aca="false">IF(E907="","",E907-C907)</f>
        <v>-3.5</v>
      </c>
      <c r="J907" s="33" t="n">
        <f aca="false">IF(F907="","",F907-C907)</f>
        <v>-3.625</v>
      </c>
      <c r="K907" s="33" t="n">
        <f aca="false">IF(G907="","",G907-C907)</f>
        <v>-3.60272208003795</v>
      </c>
      <c r="L907" s="33" t="n">
        <f aca="false">IF(H907="","",ABS(H907))</f>
        <v>2</v>
      </c>
      <c r="M907" s="33" t="n">
        <f aca="false">IF(I907="","",ABS(I907))</f>
        <v>3.5</v>
      </c>
      <c r="N907" s="33" t="n">
        <f aca="false">IF(J907="","",ABS(J907))</f>
        <v>3.625</v>
      </c>
      <c r="O907" s="33" t="n">
        <f aca="false">IF(K907="","",ABS(K907))</f>
        <v>3.60272208003795</v>
      </c>
      <c r="P907" s="34" t="str">
        <f aca="false">IF(B907&gt;=Eval_Start_Week,"YES","")</f>
        <v>YES</v>
      </c>
      <c r="Q907" s="34" t="str">
        <f aca="false">IF(AND(B907&gt;=Cal_Start_Week,B907&lt;=Cal_End_Week),"YES","")</f>
        <v>YES</v>
      </c>
    </row>
    <row r="908" customFormat="false" ht="15" hidden="false" customHeight="false" outlineLevel="0" collapsed="false">
      <c r="A908" s="31" t="str">
        <f aca="false">Demand_History!C908</f>
        <v>KIT-009</v>
      </c>
      <c r="B908" s="31" t="n">
        <f aca="false">Demand_History!A908</f>
        <v>75</v>
      </c>
      <c r="C908" s="32" t="n">
        <f aca="false">Demand_History!D908</f>
        <v>36</v>
      </c>
      <c r="D908" s="33" t="n">
        <f aca="false">IF(B908&gt;=2,C907,"")</f>
        <v>35</v>
      </c>
      <c r="E908" s="33" t="n">
        <f aca="false">IF(B908&gt;=5,AVERAGE(C904:C907),"")</f>
        <v>32</v>
      </c>
      <c r="F908" s="33" t="n">
        <f aca="false">IF(B908&gt;=9,AVERAGE(C900:C907),"")</f>
        <v>31.5</v>
      </c>
      <c r="G908" s="33" t="n">
        <f aca="false">IF(B908=1,"",IF(B908=2,C907,SES_Alpha*C907+(1-SES_Alpha)*G907))</f>
        <v>32.4780945439734</v>
      </c>
      <c r="H908" s="33" t="n">
        <f aca="false">IF(D908="","",D908-C908)</f>
        <v>-1</v>
      </c>
      <c r="I908" s="33" t="n">
        <f aca="false">IF(E908="","",E908-C908)</f>
        <v>-4</v>
      </c>
      <c r="J908" s="33" t="n">
        <f aca="false">IF(F908="","",F908-C908)</f>
        <v>-4.5</v>
      </c>
      <c r="K908" s="33" t="n">
        <f aca="false">IF(G908="","",G908-C908)</f>
        <v>-3.52190545602657</v>
      </c>
      <c r="L908" s="33" t="n">
        <f aca="false">IF(H908="","",ABS(H908))</f>
        <v>1</v>
      </c>
      <c r="M908" s="33" t="n">
        <f aca="false">IF(I908="","",ABS(I908))</f>
        <v>4</v>
      </c>
      <c r="N908" s="33" t="n">
        <f aca="false">IF(J908="","",ABS(J908))</f>
        <v>4.5</v>
      </c>
      <c r="O908" s="33" t="n">
        <f aca="false">IF(K908="","",ABS(K908))</f>
        <v>3.52190545602657</v>
      </c>
      <c r="P908" s="34" t="str">
        <f aca="false">IF(B908&gt;=Eval_Start_Week,"YES","")</f>
        <v>YES</v>
      </c>
      <c r="Q908" s="34" t="str">
        <f aca="false">IF(AND(B908&gt;=Cal_Start_Week,B908&lt;=Cal_End_Week),"YES","")</f>
        <v>YES</v>
      </c>
    </row>
    <row r="909" customFormat="false" ht="15" hidden="false" customHeight="false" outlineLevel="0" collapsed="false">
      <c r="A909" s="31" t="str">
        <f aca="false">Demand_History!C909</f>
        <v>KIT-009</v>
      </c>
      <c r="B909" s="31" t="n">
        <f aca="false">Demand_History!A909</f>
        <v>76</v>
      </c>
      <c r="C909" s="32" t="n">
        <f aca="false">Demand_History!D909</f>
        <v>30</v>
      </c>
      <c r="D909" s="33" t="n">
        <f aca="false">IF(B909&gt;=2,C908,"")</f>
        <v>36</v>
      </c>
      <c r="E909" s="33" t="n">
        <f aca="false">IF(B909&gt;=5,AVERAGE(C905:C908),"")</f>
        <v>32.75</v>
      </c>
      <c r="F909" s="33" t="n">
        <f aca="false">IF(B909&gt;=9,AVERAGE(C901:C908),"")</f>
        <v>31.875</v>
      </c>
      <c r="G909" s="33" t="n">
        <f aca="false">IF(B909=1,"",IF(B909=2,C908,SES_Alpha*C908+(1-SES_Alpha)*G908))</f>
        <v>33.5346661807814</v>
      </c>
      <c r="H909" s="33" t="n">
        <f aca="false">IF(D909="","",D909-C909)</f>
        <v>6</v>
      </c>
      <c r="I909" s="33" t="n">
        <f aca="false">IF(E909="","",E909-C909)</f>
        <v>2.75</v>
      </c>
      <c r="J909" s="33" t="n">
        <f aca="false">IF(F909="","",F909-C909)</f>
        <v>1.875</v>
      </c>
      <c r="K909" s="33" t="n">
        <f aca="false">IF(G909="","",G909-C909)</f>
        <v>3.5346661807814</v>
      </c>
      <c r="L909" s="33" t="n">
        <f aca="false">IF(H909="","",ABS(H909))</f>
        <v>6</v>
      </c>
      <c r="M909" s="33" t="n">
        <f aca="false">IF(I909="","",ABS(I909))</f>
        <v>2.75</v>
      </c>
      <c r="N909" s="33" t="n">
        <f aca="false">IF(J909="","",ABS(J909))</f>
        <v>1.875</v>
      </c>
      <c r="O909" s="33" t="n">
        <f aca="false">IF(K909="","",ABS(K909))</f>
        <v>3.5346661807814</v>
      </c>
      <c r="P909" s="34" t="str">
        <f aca="false">IF(B909&gt;=Eval_Start_Week,"YES","")</f>
        <v>YES</v>
      </c>
      <c r="Q909" s="34" t="str">
        <f aca="false">IF(AND(B909&gt;=Cal_Start_Week,B909&lt;=Cal_End_Week),"YES","")</f>
        <v>YES</v>
      </c>
    </row>
    <row r="910" customFormat="false" ht="15" hidden="false" customHeight="false" outlineLevel="0" collapsed="false">
      <c r="A910" s="31" t="str">
        <f aca="false">Demand_History!C910</f>
        <v>KIT-009</v>
      </c>
      <c r="B910" s="31" t="n">
        <f aca="false">Demand_History!A910</f>
        <v>77</v>
      </c>
      <c r="C910" s="32" t="n">
        <f aca="false">Demand_History!D910</f>
        <v>39</v>
      </c>
      <c r="D910" s="33" t="n">
        <f aca="false">IF(B910&gt;=2,C909,"")</f>
        <v>30</v>
      </c>
      <c r="E910" s="33" t="n">
        <f aca="false">IF(B910&gt;=5,AVERAGE(C906:C909),"")</f>
        <v>33.5</v>
      </c>
      <c r="F910" s="33" t="n">
        <f aca="false">IF(B910&gt;=9,AVERAGE(C902:C909),"")</f>
        <v>32.625</v>
      </c>
      <c r="G910" s="33" t="n">
        <f aca="false">IF(B910=1,"",IF(B910=2,C909,SES_Alpha*C909+(1-SES_Alpha)*G909))</f>
        <v>32.474266326547</v>
      </c>
      <c r="H910" s="33" t="n">
        <f aca="false">IF(D910="","",D910-C910)</f>
        <v>-9</v>
      </c>
      <c r="I910" s="33" t="n">
        <f aca="false">IF(E910="","",E910-C910)</f>
        <v>-5.5</v>
      </c>
      <c r="J910" s="33" t="n">
        <f aca="false">IF(F910="","",F910-C910)</f>
        <v>-6.375</v>
      </c>
      <c r="K910" s="33" t="n">
        <f aca="false">IF(G910="","",G910-C910)</f>
        <v>-6.52573367345302</v>
      </c>
      <c r="L910" s="33" t="n">
        <f aca="false">IF(H910="","",ABS(H910))</f>
        <v>9</v>
      </c>
      <c r="M910" s="33" t="n">
        <f aca="false">IF(I910="","",ABS(I910))</f>
        <v>5.5</v>
      </c>
      <c r="N910" s="33" t="n">
        <f aca="false">IF(J910="","",ABS(J910))</f>
        <v>6.375</v>
      </c>
      <c r="O910" s="33" t="n">
        <f aca="false">IF(K910="","",ABS(K910))</f>
        <v>6.52573367345302</v>
      </c>
      <c r="P910" s="34" t="str">
        <f aca="false">IF(B910&gt;=Eval_Start_Week,"YES","")</f>
        <v>YES</v>
      </c>
      <c r="Q910" s="34" t="str">
        <f aca="false">IF(AND(B910&gt;=Cal_Start_Week,B910&lt;=Cal_End_Week),"YES","")</f>
        <v>YES</v>
      </c>
    </row>
    <row r="911" customFormat="false" ht="15" hidden="false" customHeight="false" outlineLevel="0" collapsed="false">
      <c r="A911" s="31" t="str">
        <f aca="false">Demand_History!C911</f>
        <v>KIT-009</v>
      </c>
      <c r="B911" s="31" t="n">
        <f aca="false">Demand_History!A911</f>
        <v>78</v>
      </c>
      <c r="C911" s="32" t="n">
        <f aca="false">Demand_History!D911</f>
        <v>30</v>
      </c>
      <c r="D911" s="33" t="n">
        <f aca="false">IF(B911&gt;=2,C910,"")</f>
        <v>39</v>
      </c>
      <c r="E911" s="33" t="n">
        <f aca="false">IF(B911&gt;=5,AVERAGE(C907:C910),"")</f>
        <v>35</v>
      </c>
      <c r="F911" s="33" t="n">
        <f aca="false">IF(B911&gt;=9,AVERAGE(C903:C910),"")</f>
        <v>33.25</v>
      </c>
      <c r="G911" s="33" t="n">
        <f aca="false">IF(B911=1,"",IF(B911=2,C910,SES_Alpha*C910+(1-SES_Alpha)*G910))</f>
        <v>34.4319864285829</v>
      </c>
      <c r="H911" s="33" t="n">
        <f aca="false">IF(D911="","",D911-C911)</f>
        <v>9</v>
      </c>
      <c r="I911" s="33" t="n">
        <f aca="false">IF(E911="","",E911-C911)</f>
        <v>5</v>
      </c>
      <c r="J911" s="33" t="n">
        <f aca="false">IF(F911="","",F911-C911)</f>
        <v>3.25</v>
      </c>
      <c r="K911" s="33" t="n">
        <f aca="false">IF(G911="","",G911-C911)</f>
        <v>4.43198642858289</v>
      </c>
      <c r="L911" s="33" t="n">
        <f aca="false">IF(H911="","",ABS(H911))</f>
        <v>9</v>
      </c>
      <c r="M911" s="33" t="n">
        <f aca="false">IF(I911="","",ABS(I911))</f>
        <v>5</v>
      </c>
      <c r="N911" s="33" t="n">
        <f aca="false">IF(J911="","",ABS(J911))</f>
        <v>3.25</v>
      </c>
      <c r="O911" s="33" t="n">
        <f aca="false">IF(K911="","",ABS(K911))</f>
        <v>4.43198642858289</v>
      </c>
      <c r="P911" s="34" t="str">
        <f aca="false">IF(B911&gt;=Eval_Start_Week,"YES","")</f>
        <v>YES</v>
      </c>
      <c r="Q911" s="34" t="str">
        <f aca="false">IF(AND(B911&gt;=Cal_Start_Week,B911&lt;=Cal_End_Week),"YES","")</f>
        <v>YES</v>
      </c>
    </row>
    <row r="912" customFormat="false" ht="15" hidden="false" customHeight="false" outlineLevel="0" collapsed="false">
      <c r="A912" s="31" t="str">
        <f aca="false">Demand_History!C912</f>
        <v>KIT-009</v>
      </c>
      <c r="B912" s="31" t="n">
        <f aca="false">Demand_History!A912</f>
        <v>79</v>
      </c>
      <c r="C912" s="32" t="n">
        <f aca="false">Demand_History!D912</f>
        <v>35</v>
      </c>
      <c r="D912" s="33" t="n">
        <f aca="false">IF(B912&gt;=2,C911,"")</f>
        <v>30</v>
      </c>
      <c r="E912" s="33" t="n">
        <f aca="false">IF(B912&gt;=5,AVERAGE(C908:C911),"")</f>
        <v>33.75</v>
      </c>
      <c r="F912" s="33" t="n">
        <f aca="false">IF(B912&gt;=9,AVERAGE(C904:C911),"")</f>
        <v>32.875</v>
      </c>
      <c r="G912" s="33" t="n">
        <f aca="false">IF(B912=1,"",IF(B912=2,C911,SES_Alpha*C911+(1-SES_Alpha)*G911))</f>
        <v>33.102390500008</v>
      </c>
      <c r="H912" s="33" t="n">
        <f aca="false">IF(D912="","",D912-C912)</f>
        <v>-5</v>
      </c>
      <c r="I912" s="33" t="n">
        <f aca="false">IF(E912="","",E912-C912)</f>
        <v>-1.25</v>
      </c>
      <c r="J912" s="33" t="n">
        <f aca="false">IF(F912="","",F912-C912)</f>
        <v>-2.125</v>
      </c>
      <c r="K912" s="33" t="n">
        <f aca="false">IF(G912="","",G912-C912)</f>
        <v>-1.89760949999198</v>
      </c>
      <c r="L912" s="33" t="n">
        <f aca="false">IF(H912="","",ABS(H912))</f>
        <v>5</v>
      </c>
      <c r="M912" s="33" t="n">
        <f aca="false">IF(I912="","",ABS(I912))</f>
        <v>1.25</v>
      </c>
      <c r="N912" s="33" t="n">
        <f aca="false">IF(J912="","",ABS(J912))</f>
        <v>2.125</v>
      </c>
      <c r="O912" s="33" t="n">
        <f aca="false">IF(K912="","",ABS(K912))</f>
        <v>1.89760949999198</v>
      </c>
      <c r="P912" s="34" t="str">
        <f aca="false">IF(B912&gt;=Eval_Start_Week,"YES","")</f>
        <v>YES</v>
      </c>
      <c r="Q912" s="34" t="str">
        <f aca="false">IF(AND(B912&gt;=Cal_Start_Week,B912&lt;=Cal_End_Week),"YES","")</f>
        <v>YES</v>
      </c>
    </row>
    <row r="913" customFormat="false" ht="15" hidden="false" customHeight="false" outlineLevel="0" collapsed="false">
      <c r="A913" s="31" t="str">
        <f aca="false">Demand_History!C913</f>
        <v>KIT-009</v>
      </c>
      <c r="B913" s="31" t="n">
        <f aca="false">Demand_History!A913</f>
        <v>80</v>
      </c>
      <c r="C913" s="32" t="n">
        <f aca="false">Demand_History!D913</f>
        <v>44</v>
      </c>
      <c r="D913" s="33" t="n">
        <f aca="false">IF(B913&gt;=2,C912,"")</f>
        <v>35</v>
      </c>
      <c r="E913" s="33" t="n">
        <f aca="false">IF(B913&gt;=5,AVERAGE(C909:C912),"")</f>
        <v>33.5</v>
      </c>
      <c r="F913" s="33" t="n">
        <f aca="false">IF(B913&gt;=9,AVERAGE(C905:C912),"")</f>
        <v>33.125</v>
      </c>
      <c r="G913" s="33" t="n">
        <f aca="false">IF(B913=1,"",IF(B913=2,C912,SES_Alpha*C912+(1-SES_Alpha)*G912))</f>
        <v>33.6716733500056</v>
      </c>
      <c r="H913" s="33" t="n">
        <f aca="false">IF(D913="","",D913-C913)</f>
        <v>-9</v>
      </c>
      <c r="I913" s="33" t="n">
        <f aca="false">IF(E913="","",E913-C913)</f>
        <v>-10.5</v>
      </c>
      <c r="J913" s="33" t="n">
        <f aca="false">IF(F913="","",F913-C913)</f>
        <v>-10.875</v>
      </c>
      <c r="K913" s="33" t="n">
        <f aca="false">IF(G913="","",G913-C913)</f>
        <v>-10.3283266499944</v>
      </c>
      <c r="L913" s="33" t="n">
        <f aca="false">IF(H913="","",ABS(H913))</f>
        <v>9</v>
      </c>
      <c r="M913" s="33" t="n">
        <f aca="false">IF(I913="","",ABS(I913))</f>
        <v>10.5</v>
      </c>
      <c r="N913" s="33" t="n">
        <f aca="false">IF(J913="","",ABS(J913))</f>
        <v>10.875</v>
      </c>
      <c r="O913" s="33" t="n">
        <f aca="false">IF(K913="","",ABS(K913))</f>
        <v>10.3283266499944</v>
      </c>
      <c r="P913" s="34" t="str">
        <f aca="false">IF(B913&gt;=Eval_Start_Week,"YES","")</f>
        <v>YES</v>
      </c>
      <c r="Q913" s="34" t="str">
        <f aca="false">IF(AND(B913&gt;=Cal_Start_Week,B913&lt;=Cal_End_Week),"YES","")</f>
        <v>YES</v>
      </c>
    </row>
    <row r="914" customFormat="false" ht="15" hidden="false" customHeight="false" outlineLevel="0" collapsed="false">
      <c r="A914" s="31" t="str">
        <f aca="false">Demand_History!C914</f>
        <v>KIT-009</v>
      </c>
      <c r="B914" s="31" t="n">
        <f aca="false">Demand_History!A914</f>
        <v>81</v>
      </c>
      <c r="C914" s="32" t="n">
        <f aca="false">Demand_History!D914</f>
        <v>33</v>
      </c>
      <c r="D914" s="33" t="n">
        <f aca="false">IF(B914&gt;=2,C913,"")</f>
        <v>44</v>
      </c>
      <c r="E914" s="33" t="n">
        <f aca="false">IF(B914&gt;=5,AVERAGE(C910:C913),"")</f>
        <v>37</v>
      </c>
      <c r="F914" s="33" t="n">
        <f aca="false">IF(B914&gt;=9,AVERAGE(C906:C913),"")</f>
        <v>35.25</v>
      </c>
      <c r="G914" s="33" t="n">
        <f aca="false">IF(B914=1,"",IF(B914=2,C913,SES_Alpha*C913+(1-SES_Alpha)*G913))</f>
        <v>36.7701713450039</v>
      </c>
      <c r="H914" s="33" t="n">
        <f aca="false">IF(D914="","",D914-C914)</f>
        <v>11</v>
      </c>
      <c r="I914" s="33" t="n">
        <f aca="false">IF(E914="","",E914-C914)</f>
        <v>4</v>
      </c>
      <c r="J914" s="33" t="n">
        <f aca="false">IF(F914="","",F914-C914)</f>
        <v>2.25</v>
      </c>
      <c r="K914" s="33" t="n">
        <f aca="false">IF(G914="","",G914-C914)</f>
        <v>3.77017134500393</v>
      </c>
      <c r="L914" s="33" t="n">
        <f aca="false">IF(H914="","",ABS(H914))</f>
        <v>11</v>
      </c>
      <c r="M914" s="33" t="n">
        <f aca="false">IF(I914="","",ABS(I914))</f>
        <v>4</v>
      </c>
      <c r="N914" s="33" t="n">
        <f aca="false">IF(J914="","",ABS(J914))</f>
        <v>2.25</v>
      </c>
      <c r="O914" s="33" t="n">
        <f aca="false">IF(K914="","",ABS(K914))</f>
        <v>3.77017134500393</v>
      </c>
      <c r="P914" s="34" t="str">
        <f aca="false">IF(B914&gt;=Eval_Start_Week,"YES","")</f>
        <v>YES</v>
      </c>
      <c r="Q914" s="34" t="str">
        <f aca="false">IF(AND(B914&gt;=Cal_Start_Week,B914&lt;=Cal_End_Week),"YES","")</f>
        <v>YES</v>
      </c>
    </row>
    <row r="915" customFormat="false" ht="15" hidden="false" customHeight="false" outlineLevel="0" collapsed="false">
      <c r="A915" s="31" t="str">
        <f aca="false">Demand_History!C915</f>
        <v>KIT-009</v>
      </c>
      <c r="B915" s="31" t="n">
        <f aca="false">Demand_History!A915</f>
        <v>82</v>
      </c>
      <c r="C915" s="32" t="n">
        <f aca="false">Demand_History!D915</f>
        <v>34</v>
      </c>
      <c r="D915" s="33" t="n">
        <f aca="false">IF(B915&gt;=2,C914,"")</f>
        <v>33</v>
      </c>
      <c r="E915" s="33" t="n">
        <f aca="false">IF(B915&gt;=5,AVERAGE(C911:C914),"")</f>
        <v>35.5</v>
      </c>
      <c r="F915" s="33" t="n">
        <f aca="false">IF(B915&gt;=9,AVERAGE(C907:C914),"")</f>
        <v>35.25</v>
      </c>
      <c r="G915" s="33" t="n">
        <f aca="false">IF(B915=1,"",IF(B915=2,C914,SES_Alpha*C914+(1-SES_Alpha)*G914))</f>
        <v>35.6391199415028</v>
      </c>
      <c r="H915" s="33" t="n">
        <f aca="false">IF(D915="","",D915-C915)</f>
        <v>-1</v>
      </c>
      <c r="I915" s="33" t="n">
        <f aca="false">IF(E915="","",E915-C915)</f>
        <v>1.5</v>
      </c>
      <c r="J915" s="33" t="n">
        <f aca="false">IF(F915="","",F915-C915)</f>
        <v>1.25</v>
      </c>
      <c r="K915" s="33" t="n">
        <f aca="false">IF(G915="","",G915-C915)</f>
        <v>1.63911994150275</v>
      </c>
      <c r="L915" s="33" t="n">
        <f aca="false">IF(H915="","",ABS(H915))</f>
        <v>1</v>
      </c>
      <c r="M915" s="33" t="n">
        <f aca="false">IF(I915="","",ABS(I915))</f>
        <v>1.5</v>
      </c>
      <c r="N915" s="33" t="n">
        <f aca="false">IF(J915="","",ABS(J915))</f>
        <v>1.25</v>
      </c>
      <c r="O915" s="33" t="n">
        <f aca="false">IF(K915="","",ABS(K915))</f>
        <v>1.63911994150275</v>
      </c>
      <c r="P915" s="34" t="str">
        <f aca="false">IF(B915&gt;=Eval_Start_Week,"YES","")</f>
        <v>YES</v>
      </c>
      <c r="Q915" s="34" t="str">
        <f aca="false">IF(AND(B915&gt;=Cal_Start_Week,B915&lt;=Cal_End_Week),"YES","")</f>
        <v>YES</v>
      </c>
    </row>
    <row r="916" customFormat="false" ht="15" hidden="false" customHeight="false" outlineLevel="0" collapsed="false">
      <c r="A916" s="31" t="str">
        <f aca="false">Demand_History!C916</f>
        <v>KIT-009</v>
      </c>
      <c r="B916" s="31" t="n">
        <f aca="false">Demand_History!A916</f>
        <v>83</v>
      </c>
      <c r="C916" s="32" t="n">
        <f aca="false">Demand_History!D916</f>
        <v>43</v>
      </c>
      <c r="D916" s="33" t="n">
        <f aca="false">IF(B916&gt;=2,C915,"")</f>
        <v>34</v>
      </c>
      <c r="E916" s="33" t="n">
        <f aca="false">IF(B916&gt;=5,AVERAGE(C912:C915),"")</f>
        <v>36.5</v>
      </c>
      <c r="F916" s="33" t="n">
        <f aca="false">IF(B916&gt;=9,AVERAGE(C908:C915),"")</f>
        <v>35.125</v>
      </c>
      <c r="G916" s="33" t="n">
        <f aca="false">IF(B916=1,"",IF(B916=2,C915,SES_Alpha*C915+(1-SES_Alpha)*G915))</f>
        <v>35.1473839590519</v>
      </c>
      <c r="H916" s="33" t="n">
        <f aca="false">IF(D916="","",D916-C916)</f>
        <v>-9</v>
      </c>
      <c r="I916" s="33" t="n">
        <f aca="false">IF(E916="","",E916-C916)</f>
        <v>-6.5</v>
      </c>
      <c r="J916" s="33" t="n">
        <f aca="false">IF(F916="","",F916-C916)</f>
        <v>-7.875</v>
      </c>
      <c r="K916" s="33" t="n">
        <f aca="false">IF(G916="","",G916-C916)</f>
        <v>-7.85261604094808</v>
      </c>
      <c r="L916" s="33" t="n">
        <f aca="false">IF(H916="","",ABS(H916))</f>
        <v>9</v>
      </c>
      <c r="M916" s="33" t="n">
        <f aca="false">IF(I916="","",ABS(I916))</f>
        <v>6.5</v>
      </c>
      <c r="N916" s="33" t="n">
        <f aca="false">IF(J916="","",ABS(J916))</f>
        <v>7.875</v>
      </c>
      <c r="O916" s="33" t="n">
        <f aca="false">IF(K916="","",ABS(K916))</f>
        <v>7.85261604094808</v>
      </c>
      <c r="P916" s="34" t="str">
        <f aca="false">IF(B916&gt;=Eval_Start_Week,"YES","")</f>
        <v>YES</v>
      </c>
      <c r="Q916" s="34" t="str">
        <f aca="false">IF(AND(B916&gt;=Cal_Start_Week,B916&lt;=Cal_End_Week),"YES","")</f>
        <v>YES</v>
      </c>
    </row>
    <row r="917" customFormat="false" ht="15" hidden="false" customHeight="false" outlineLevel="0" collapsed="false">
      <c r="A917" s="31" t="str">
        <f aca="false">Demand_History!C917</f>
        <v>KIT-009</v>
      </c>
      <c r="B917" s="31" t="n">
        <f aca="false">Demand_History!A917</f>
        <v>84</v>
      </c>
      <c r="C917" s="32" t="n">
        <f aca="false">Demand_History!D917</f>
        <v>36</v>
      </c>
      <c r="D917" s="33" t="n">
        <f aca="false">IF(B917&gt;=2,C916,"")</f>
        <v>43</v>
      </c>
      <c r="E917" s="33" t="n">
        <f aca="false">IF(B917&gt;=5,AVERAGE(C913:C916),"")</f>
        <v>38.5</v>
      </c>
      <c r="F917" s="33" t="n">
        <f aca="false">IF(B917&gt;=9,AVERAGE(C909:C916),"")</f>
        <v>36</v>
      </c>
      <c r="G917" s="33" t="n">
        <f aca="false">IF(B917=1,"",IF(B917=2,C916,SES_Alpha*C916+(1-SES_Alpha)*G916))</f>
        <v>37.5031687713363</v>
      </c>
      <c r="H917" s="33" t="n">
        <f aca="false">IF(D917="","",D917-C917)</f>
        <v>7</v>
      </c>
      <c r="I917" s="33" t="n">
        <f aca="false">IF(E917="","",E917-C917)</f>
        <v>2.5</v>
      </c>
      <c r="J917" s="33" t="n">
        <f aca="false">IF(F917="","",F917-C917)</f>
        <v>0</v>
      </c>
      <c r="K917" s="33" t="n">
        <f aca="false">IF(G917="","",G917-C917)</f>
        <v>1.50316877133634</v>
      </c>
      <c r="L917" s="33" t="n">
        <f aca="false">IF(H917="","",ABS(H917))</f>
        <v>7</v>
      </c>
      <c r="M917" s="33" t="n">
        <f aca="false">IF(I917="","",ABS(I917))</f>
        <v>2.5</v>
      </c>
      <c r="N917" s="33" t="n">
        <f aca="false">IF(J917="","",ABS(J917))</f>
        <v>0</v>
      </c>
      <c r="O917" s="33" t="n">
        <f aca="false">IF(K917="","",ABS(K917))</f>
        <v>1.50316877133634</v>
      </c>
      <c r="P917" s="34" t="str">
        <f aca="false">IF(B917&gt;=Eval_Start_Week,"YES","")</f>
        <v>YES</v>
      </c>
      <c r="Q917" s="34" t="str">
        <f aca="false">IF(AND(B917&gt;=Cal_Start_Week,B917&lt;=Cal_End_Week),"YES","")</f>
        <v>YES</v>
      </c>
    </row>
    <row r="918" customFormat="false" ht="15" hidden="false" customHeight="false" outlineLevel="0" collapsed="false">
      <c r="A918" s="31" t="str">
        <f aca="false">Demand_History!C918</f>
        <v>KIT-009</v>
      </c>
      <c r="B918" s="31" t="n">
        <f aca="false">Demand_History!A918</f>
        <v>85</v>
      </c>
      <c r="C918" s="32" t="n">
        <f aca="false">Demand_History!D918</f>
        <v>36</v>
      </c>
      <c r="D918" s="33" t="n">
        <f aca="false">IF(B918&gt;=2,C917,"")</f>
        <v>36</v>
      </c>
      <c r="E918" s="33" t="n">
        <f aca="false">IF(B918&gt;=5,AVERAGE(C914:C917),"")</f>
        <v>36.5</v>
      </c>
      <c r="F918" s="33" t="n">
        <f aca="false">IF(B918&gt;=9,AVERAGE(C910:C917),"")</f>
        <v>36.75</v>
      </c>
      <c r="G918" s="33" t="n">
        <f aca="false">IF(B918=1,"",IF(B918=2,C917,SES_Alpha*C917+(1-SES_Alpha)*G917))</f>
        <v>37.0522181399354</v>
      </c>
      <c r="H918" s="33" t="n">
        <f aca="false">IF(D918="","",D918-C918)</f>
        <v>0</v>
      </c>
      <c r="I918" s="33" t="n">
        <f aca="false">IF(E918="","",E918-C918)</f>
        <v>0.5</v>
      </c>
      <c r="J918" s="33" t="n">
        <f aca="false">IF(F918="","",F918-C918)</f>
        <v>0.75</v>
      </c>
      <c r="K918" s="33" t="n">
        <f aca="false">IF(G918="","",G918-C918)</f>
        <v>1.05221813993543</v>
      </c>
      <c r="L918" s="33" t="n">
        <f aca="false">IF(H918="","",ABS(H918))</f>
        <v>0</v>
      </c>
      <c r="M918" s="33" t="n">
        <f aca="false">IF(I918="","",ABS(I918))</f>
        <v>0.5</v>
      </c>
      <c r="N918" s="33" t="n">
        <f aca="false">IF(J918="","",ABS(J918))</f>
        <v>0.75</v>
      </c>
      <c r="O918" s="33" t="n">
        <f aca="false">IF(K918="","",ABS(K918))</f>
        <v>1.05221813993543</v>
      </c>
      <c r="P918" s="34" t="str">
        <f aca="false">IF(B918&gt;=Eval_Start_Week,"YES","")</f>
        <v>YES</v>
      </c>
      <c r="Q918" s="34" t="str">
        <f aca="false">IF(AND(B918&gt;=Cal_Start_Week,B918&lt;=Cal_End_Week),"YES","")</f>
        <v>YES</v>
      </c>
    </row>
    <row r="919" customFormat="false" ht="15" hidden="false" customHeight="false" outlineLevel="0" collapsed="false">
      <c r="A919" s="31" t="str">
        <f aca="false">Demand_History!C919</f>
        <v>KIT-009</v>
      </c>
      <c r="B919" s="31" t="n">
        <f aca="false">Demand_History!A919</f>
        <v>86</v>
      </c>
      <c r="C919" s="32" t="n">
        <f aca="false">Demand_History!D919</f>
        <v>39</v>
      </c>
      <c r="D919" s="33" t="n">
        <f aca="false">IF(B919&gt;=2,C918,"")</f>
        <v>36</v>
      </c>
      <c r="E919" s="33" t="n">
        <f aca="false">IF(B919&gt;=5,AVERAGE(C915:C918),"")</f>
        <v>37.25</v>
      </c>
      <c r="F919" s="33" t="n">
        <f aca="false">IF(B919&gt;=9,AVERAGE(C911:C918),"")</f>
        <v>36.375</v>
      </c>
      <c r="G919" s="33" t="n">
        <f aca="false">IF(B919=1,"",IF(B919=2,C918,SES_Alpha*C918+(1-SES_Alpha)*G918))</f>
        <v>36.7365526979548</v>
      </c>
      <c r="H919" s="33" t="n">
        <f aca="false">IF(D919="","",D919-C919)</f>
        <v>-3</v>
      </c>
      <c r="I919" s="33" t="n">
        <f aca="false">IF(E919="","",E919-C919)</f>
        <v>-1.75</v>
      </c>
      <c r="J919" s="33" t="n">
        <f aca="false">IF(F919="","",F919-C919)</f>
        <v>-2.625</v>
      </c>
      <c r="K919" s="33" t="n">
        <f aca="false">IF(G919="","",G919-C919)</f>
        <v>-2.2634473020452</v>
      </c>
      <c r="L919" s="33" t="n">
        <f aca="false">IF(H919="","",ABS(H919))</f>
        <v>3</v>
      </c>
      <c r="M919" s="33" t="n">
        <f aca="false">IF(I919="","",ABS(I919))</f>
        <v>1.75</v>
      </c>
      <c r="N919" s="33" t="n">
        <f aca="false">IF(J919="","",ABS(J919))</f>
        <v>2.625</v>
      </c>
      <c r="O919" s="33" t="n">
        <f aca="false">IF(K919="","",ABS(K919))</f>
        <v>2.2634473020452</v>
      </c>
      <c r="P919" s="34" t="str">
        <f aca="false">IF(B919&gt;=Eval_Start_Week,"YES","")</f>
        <v>YES</v>
      </c>
      <c r="Q919" s="34" t="str">
        <f aca="false">IF(AND(B919&gt;=Cal_Start_Week,B919&lt;=Cal_End_Week),"YES","")</f>
        <v>YES</v>
      </c>
    </row>
    <row r="920" customFormat="false" ht="15" hidden="false" customHeight="false" outlineLevel="0" collapsed="false">
      <c r="A920" s="31" t="str">
        <f aca="false">Demand_History!C920</f>
        <v>KIT-009</v>
      </c>
      <c r="B920" s="31" t="n">
        <f aca="false">Demand_History!A920</f>
        <v>87</v>
      </c>
      <c r="C920" s="32" t="n">
        <f aca="false">Demand_History!D920</f>
        <v>44</v>
      </c>
      <c r="D920" s="33" t="n">
        <f aca="false">IF(B920&gt;=2,C919,"")</f>
        <v>39</v>
      </c>
      <c r="E920" s="33" t="n">
        <f aca="false">IF(B920&gt;=5,AVERAGE(C916:C919),"")</f>
        <v>38.5</v>
      </c>
      <c r="F920" s="33" t="n">
        <f aca="false">IF(B920&gt;=9,AVERAGE(C912:C919),"")</f>
        <v>37.5</v>
      </c>
      <c r="G920" s="33" t="n">
        <f aca="false">IF(B920=1,"",IF(B920=2,C919,SES_Alpha*C919+(1-SES_Alpha)*G919))</f>
        <v>37.4155868885684</v>
      </c>
      <c r="H920" s="33" t="n">
        <f aca="false">IF(D920="","",D920-C920)</f>
        <v>-5</v>
      </c>
      <c r="I920" s="33" t="n">
        <f aca="false">IF(E920="","",E920-C920)</f>
        <v>-5.5</v>
      </c>
      <c r="J920" s="33" t="n">
        <f aca="false">IF(F920="","",F920-C920)</f>
        <v>-6.5</v>
      </c>
      <c r="K920" s="33" t="n">
        <f aca="false">IF(G920="","",G920-C920)</f>
        <v>-6.58441311143164</v>
      </c>
      <c r="L920" s="33" t="n">
        <f aca="false">IF(H920="","",ABS(H920))</f>
        <v>5</v>
      </c>
      <c r="M920" s="33" t="n">
        <f aca="false">IF(I920="","",ABS(I920))</f>
        <v>5.5</v>
      </c>
      <c r="N920" s="33" t="n">
        <f aca="false">IF(J920="","",ABS(J920))</f>
        <v>6.5</v>
      </c>
      <c r="O920" s="33" t="n">
        <f aca="false">IF(K920="","",ABS(K920))</f>
        <v>6.58441311143164</v>
      </c>
      <c r="P920" s="34" t="str">
        <f aca="false">IF(B920&gt;=Eval_Start_Week,"YES","")</f>
        <v>YES</v>
      </c>
      <c r="Q920" s="34" t="str">
        <f aca="false">IF(AND(B920&gt;=Cal_Start_Week,B920&lt;=Cal_End_Week),"YES","")</f>
        <v>YES</v>
      </c>
    </row>
    <row r="921" customFormat="false" ht="15" hidden="false" customHeight="false" outlineLevel="0" collapsed="false">
      <c r="A921" s="31" t="str">
        <f aca="false">Demand_History!C921</f>
        <v>KIT-009</v>
      </c>
      <c r="B921" s="31" t="n">
        <f aca="false">Demand_History!A921</f>
        <v>88</v>
      </c>
      <c r="C921" s="32" t="n">
        <f aca="false">Demand_History!D921</f>
        <v>26</v>
      </c>
      <c r="D921" s="33" t="n">
        <f aca="false">IF(B921&gt;=2,C920,"")</f>
        <v>44</v>
      </c>
      <c r="E921" s="33" t="n">
        <f aca="false">IF(B921&gt;=5,AVERAGE(C917:C920),"")</f>
        <v>38.75</v>
      </c>
      <c r="F921" s="33" t="n">
        <f aca="false">IF(B921&gt;=9,AVERAGE(C913:C920),"")</f>
        <v>38.625</v>
      </c>
      <c r="G921" s="33" t="n">
        <f aca="false">IF(B921=1,"",IF(B921=2,C920,SES_Alpha*C920+(1-SES_Alpha)*G920))</f>
        <v>39.3909108219979</v>
      </c>
      <c r="H921" s="33" t="n">
        <f aca="false">IF(D921="","",D921-C921)</f>
        <v>18</v>
      </c>
      <c r="I921" s="33" t="n">
        <f aca="false">IF(E921="","",E921-C921)</f>
        <v>12.75</v>
      </c>
      <c r="J921" s="33" t="n">
        <f aca="false">IF(F921="","",F921-C921)</f>
        <v>12.625</v>
      </c>
      <c r="K921" s="33" t="n">
        <f aca="false">IF(G921="","",G921-C921)</f>
        <v>13.3909108219979</v>
      </c>
      <c r="L921" s="33" t="n">
        <f aca="false">IF(H921="","",ABS(H921))</f>
        <v>18</v>
      </c>
      <c r="M921" s="33" t="n">
        <f aca="false">IF(I921="","",ABS(I921))</f>
        <v>12.75</v>
      </c>
      <c r="N921" s="33" t="n">
        <f aca="false">IF(J921="","",ABS(J921))</f>
        <v>12.625</v>
      </c>
      <c r="O921" s="33" t="n">
        <f aca="false">IF(K921="","",ABS(K921))</f>
        <v>13.3909108219979</v>
      </c>
      <c r="P921" s="34" t="str">
        <f aca="false">IF(B921&gt;=Eval_Start_Week,"YES","")</f>
        <v>YES</v>
      </c>
      <c r="Q921" s="34" t="str">
        <f aca="false">IF(AND(B921&gt;=Cal_Start_Week,B921&lt;=Cal_End_Week),"YES","")</f>
        <v>YES</v>
      </c>
    </row>
    <row r="922" customFormat="false" ht="15" hidden="false" customHeight="false" outlineLevel="0" collapsed="false">
      <c r="A922" s="31" t="str">
        <f aca="false">Demand_History!C922</f>
        <v>KIT-009</v>
      </c>
      <c r="B922" s="31" t="n">
        <f aca="false">Demand_History!A922</f>
        <v>89</v>
      </c>
      <c r="C922" s="32" t="n">
        <f aca="false">Demand_History!D922</f>
        <v>34</v>
      </c>
      <c r="D922" s="33" t="n">
        <f aca="false">IF(B922&gt;=2,C921,"")</f>
        <v>26</v>
      </c>
      <c r="E922" s="33" t="n">
        <f aca="false">IF(B922&gt;=5,AVERAGE(C918:C921),"")</f>
        <v>36.25</v>
      </c>
      <c r="F922" s="33" t="n">
        <f aca="false">IF(B922&gt;=9,AVERAGE(C914:C921),"")</f>
        <v>36.375</v>
      </c>
      <c r="G922" s="33" t="n">
        <f aca="false">IF(B922=1,"",IF(B922=2,C921,SES_Alpha*C921+(1-SES_Alpha)*G921))</f>
        <v>35.3736375753985</v>
      </c>
      <c r="H922" s="33" t="n">
        <f aca="false">IF(D922="","",D922-C922)</f>
        <v>-8</v>
      </c>
      <c r="I922" s="33" t="n">
        <f aca="false">IF(E922="","",E922-C922)</f>
        <v>2.25</v>
      </c>
      <c r="J922" s="33" t="n">
        <f aca="false">IF(F922="","",F922-C922)</f>
        <v>2.375</v>
      </c>
      <c r="K922" s="33" t="n">
        <f aca="false">IF(G922="","",G922-C922)</f>
        <v>1.37363757539849</v>
      </c>
      <c r="L922" s="33" t="n">
        <f aca="false">IF(H922="","",ABS(H922))</f>
        <v>8</v>
      </c>
      <c r="M922" s="33" t="n">
        <f aca="false">IF(I922="","",ABS(I922))</f>
        <v>2.25</v>
      </c>
      <c r="N922" s="33" t="n">
        <f aca="false">IF(J922="","",ABS(J922))</f>
        <v>2.375</v>
      </c>
      <c r="O922" s="33" t="n">
        <f aca="false">IF(K922="","",ABS(K922))</f>
        <v>1.37363757539849</v>
      </c>
      <c r="P922" s="34" t="str">
        <f aca="false">IF(B922&gt;=Eval_Start_Week,"YES","")</f>
        <v>YES</v>
      </c>
      <c r="Q922" s="34" t="str">
        <f aca="false">IF(AND(B922&gt;=Cal_Start_Week,B922&lt;=Cal_End_Week),"YES","")</f>
        <v/>
      </c>
    </row>
    <row r="923" customFormat="false" ht="15" hidden="false" customHeight="false" outlineLevel="0" collapsed="false">
      <c r="A923" s="31" t="str">
        <f aca="false">Demand_History!C923</f>
        <v>KIT-009</v>
      </c>
      <c r="B923" s="31" t="n">
        <f aca="false">Demand_History!A923</f>
        <v>90</v>
      </c>
      <c r="C923" s="32" t="n">
        <f aca="false">Demand_History!D923</f>
        <v>33</v>
      </c>
      <c r="D923" s="33" t="n">
        <f aca="false">IF(B923&gt;=2,C922,"")</f>
        <v>34</v>
      </c>
      <c r="E923" s="33" t="n">
        <f aca="false">IF(B923&gt;=5,AVERAGE(C919:C922),"")</f>
        <v>35.75</v>
      </c>
      <c r="F923" s="33" t="n">
        <f aca="false">IF(B923&gt;=9,AVERAGE(C915:C922),"")</f>
        <v>36.5</v>
      </c>
      <c r="G923" s="33" t="n">
        <f aca="false">IF(B923=1,"",IF(B923=2,C922,SES_Alpha*C922+(1-SES_Alpha)*G922))</f>
        <v>34.9615463027789</v>
      </c>
      <c r="H923" s="33" t="n">
        <f aca="false">IF(D923="","",D923-C923)</f>
        <v>1</v>
      </c>
      <c r="I923" s="33" t="n">
        <f aca="false">IF(E923="","",E923-C923)</f>
        <v>2.75</v>
      </c>
      <c r="J923" s="33" t="n">
        <f aca="false">IF(F923="","",F923-C923)</f>
        <v>3.5</v>
      </c>
      <c r="K923" s="33" t="n">
        <f aca="false">IF(G923="","",G923-C923)</f>
        <v>1.96154630277894</v>
      </c>
      <c r="L923" s="33" t="n">
        <f aca="false">IF(H923="","",ABS(H923))</f>
        <v>1</v>
      </c>
      <c r="M923" s="33" t="n">
        <f aca="false">IF(I923="","",ABS(I923))</f>
        <v>2.75</v>
      </c>
      <c r="N923" s="33" t="n">
        <f aca="false">IF(J923="","",ABS(J923))</f>
        <v>3.5</v>
      </c>
      <c r="O923" s="33" t="n">
        <f aca="false">IF(K923="","",ABS(K923))</f>
        <v>1.96154630277894</v>
      </c>
      <c r="P923" s="34" t="str">
        <f aca="false">IF(B923&gt;=Eval_Start_Week,"YES","")</f>
        <v>YES</v>
      </c>
      <c r="Q923" s="34" t="str">
        <f aca="false">IF(AND(B923&gt;=Cal_Start_Week,B923&lt;=Cal_End_Week),"YES","")</f>
        <v/>
      </c>
    </row>
    <row r="924" customFormat="false" ht="15" hidden="false" customHeight="false" outlineLevel="0" collapsed="false">
      <c r="A924" s="31" t="str">
        <f aca="false">Demand_History!C924</f>
        <v>KIT-009</v>
      </c>
      <c r="B924" s="31" t="n">
        <f aca="false">Demand_History!A924</f>
        <v>91</v>
      </c>
      <c r="C924" s="32" t="n">
        <f aca="false">Demand_History!D924</f>
        <v>33</v>
      </c>
      <c r="D924" s="33" t="n">
        <f aca="false">IF(B924&gt;=2,C923,"")</f>
        <v>33</v>
      </c>
      <c r="E924" s="33" t="n">
        <f aca="false">IF(B924&gt;=5,AVERAGE(C920:C923),"")</f>
        <v>34.25</v>
      </c>
      <c r="F924" s="33" t="n">
        <f aca="false">IF(B924&gt;=9,AVERAGE(C916:C923),"")</f>
        <v>36.375</v>
      </c>
      <c r="G924" s="33" t="n">
        <f aca="false">IF(B924=1,"",IF(B924=2,C923,SES_Alpha*C923+(1-SES_Alpha)*G923))</f>
        <v>34.3730824119453</v>
      </c>
      <c r="H924" s="33" t="n">
        <f aca="false">IF(D924="","",D924-C924)</f>
        <v>0</v>
      </c>
      <c r="I924" s="33" t="n">
        <f aca="false">IF(E924="","",E924-C924)</f>
        <v>1.25</v>
      </c>
      <c r="J924" s="33" t="n">
        <f aca="false">IF(F924="","",F924-C924)</f>
        <v>3.375</v>
      </c>
      <c r="K924" s="33" t="n">
        <f aca="false">IF(G924="","",G924-C924)</f>
        <v>1.37308241194526</v>
      </c>
      <c r="L924" s="33" t="n">
        <f aca="false">IF(H924="","",ABS(H924))</f>
        <v>0</v>
      </c>
      <c r="M924" s="33" t="n">
        <f aca="false">IF(I924="","",ABS(I924))</f>
        <v>1.25</v>
      </c>
      <c r="N924" s="33" t="n">
        <f aca="false">IF(J924="","",ABS(J924))</f>
        <v>3.375</v>
      </c>
      <c r="O924" s="33" t="n">
        <f aca="false">IF(K924="","",ABS(K924))</f>
        <v>1.37308241194526</v>
      </c>
      <c r="P924" s="34" t="str">
        <f aca="false">IF(B924&gt;=Eval_Start_Week,"YES","")</f>
        <v>YES</v>
      </c>
      <c r="Q924" s="34" t="str">
        <f aca="false">IF(AND(B924&gt;=Cal_Start_Week,B924&lt;=Cal_End_Week),"YES","")</f>
        <v/>
      </c>
    </row>
    <row r="925" customFormat="false" ht="15" hidden="false" customHeight="false" outlineLevel="0" collapsed="false">
      <c r="A925" s="31" t="str">
        <f aca="false">Demand_History!C925</f>
        <v>KIT-009</v>
      </c>
      <c r="B925" s="31" t="n">
        <f aca="false">Demand_History!A925</f>
        <v>92</v>
      </c>
      <c r="C925" s="32" t="n">
        <f aca="false">Demand_History!D925</f>
        <v>35</v>
      </c>
      <c r="D925" s="33" t="n">
        <f aca="false">IF(B925&gt;=2,C924,"")</f>
        <v>33</v>
      </c>
      <c r="E925" s="33" t="n">
        <f aca="false">IF(B925&gt;=5,AVERAGE(C921:C924),"")</f>
        <v>31.5</v>
      </c>
      <c r="F925" s="33" t="n">
        <f aca="false">IF(B925&gt;=9,AVERAGE(C917:C924),"")</f>
        <v>35.125</v>
      </c>
      <c r="G925" s="33" t="n">
        <f aca="false">IF(B925=1,"",IF(B925=2,C924,SES_Alpha*C924+(1-SES_Alpha)*G924))</f>
        <v>33.9611576883617</v>
      </c>
      <c r="H925" s="33" t="n">
        <f aca="false">IF(D925="","",D925-C925)</f>
        <v>-2</v>
      </c>
      <c r="I925" s="33" t="n">
        <f aca="false">IF(E925="","",E925-C925)</f>
        <v>-3.5</v>
      </c>
      <c r="J925" s="33" t="n">
        <f aca="false">IF(F925="","",F925-C925)</f>
        <v>0.125</v>
      </c>
      <c r="K925" s="33" t="n">
        <f aca="false">IF(G925="","",G925-C925)</f>
        <v>-1.03884231163832</v>
      </c>
      <c r="L925" s="33" t="n">
        <f aca="false">IF(H925="","",ABS(H925))</f>
        <v>2</v>
      </c>
      <c r="M925" s="33" t="n">
        <f aca="false">IF(I925="","",ABS(I925))</f>
        <v>3.5</v>
      </c>
      <c r="N925" s="33" t="n">
        <f aca="false">IF(J925="","",ABS(J925))</f>
        <v>0.125</v>
      </c>
      <c r="O925" s="33" t="n">
        <f aca="false">IF(K925="","",ABS(K925))</f>
        <v>1.03884231163832</v>
      </c>
      <c r="P925" s="34" t="str">
        <f aca="false">IF(B925&gt;=Eval_Start_Week,"YES","")</f>
        <v>YES</v>
      </c>
      <c r="Q925" s="34" t="str">
        <f aca="false">IF(AND(B925&gt;=Cal_Start_Week,B925&lt;=Cal_End_Week),"YES","")</f>
        <v/>
      </c>
    </row>
    <row r="926" customFormat="false" ht="15" hidden="false" customHeight="false" outlineLevel="0" collapsed="false">
      <c r="A926" s="31" t="str">
        <f aca="false">Demand_History!C926</f>
        <v>KIT-009</v>
      </c>
      <c r="B926" s="31" t="n">
        <f aca="false">Demand_History!A926</f>
        <v>93</v>
      </c>
      <c r="C926" s="32" t="n">
        <f aca="false">Demand_History!D926</f>
        <v>35</v>
      </c>
      <c r="D926" s="33" t="n">
        <f aca="false">IF(B926&gt;=2,C925,"")</f>
        <v>35</v>
      </c>
      <c r="E926" s="33" t="n">
        <f aca="false">IF(B926&gt;=5,AVERAGE(C922:C925),"")</f>
        <v>33.75</v>
      </c>
      <c r="F926" s="33" t="n">
        <f aca="false">IF(B926&gt;=9,AVERAGE(C918:C925),"")</f>
        <v>35</v>
      </c>
      <c r="G926" s="33" t="n">
        <f aca="false">IF(B926=1,"",IF(B926=2,C925,SES_Alpha*C925+(1-SES_Alpha)*G925))</f>
        <v>34.2728103818532</v>
      </c>
      <c r="H926" s="33" t="n">
        <f aca="false">IF(D926="","",D926-C926)</f>
        <v>0</v>
      </c>
      <c r="I926" s="33" t="n">
        <f aca="false">IF(E926="","",E926-C926)</f>
        <v>-1.25</v>
      </c>
      <c r="J926" s="33" t="n">
        <f aca="false">IF(F926="","",F926-C926)</f>
        <v>0</v>
      </c>
      <c r="K926" s="33" t="n">
        <f aca="false">IF(G926="","",G926-C926)</f>
        <v>-0.727189618146824</v>
      </c>
      <c r="L926" s="33" t="n">
        <f aca="false">IF(H926="","",ABS(H926))</f>
        <v>0</v>
      </c>
      <c r="M926" s="33" t="n">
        <f aca="false">IF(I926="","",ABS(I926))</f>
        <v>1.25</v>
      </c>
      <c r="N926" s="33" t="n">
        <f aca="false">IF(J926="","",ABS(J926))</f>
        <v>0</v>
      </c>
      <c r="O926" s="33" t="n">
        <f aca="false">IF(K926="","",ABS(K926))</f>
        <v>0.727189618146824</v>
      </c>
      <c r="P926" s="34" t="str">
        <f aca="false">IF(B926&gt;=Eval_Start_Week,"YES","")</f>
        <v>YES</v>
      </c>
      <c r="Q926" s="34" t="str">
        <f aca="false">IF(AND(B926&gt;=Cal_Start_Week,B926&lt;=Cal_End_Week),"YES","")</f>
        <v/>
      </c>
    </row>
    <row r="927" customFormat="false" ht="15" hidden="false" customHeight="false" outlineLevel="0" collapsed="false">
      <c r="A927" s="31" t="str">
        <f aca="false">Demand_History!C927</f>
        <v>KIT-009</v>
      </c>
      <c r="B927" s="31" t="n">
        <f aca="false">Demand_History!A927</f>
        <v>94</v>
      </c>
      <c r="C927" s="32" t="n">
        <f aca="false">Demand_History!D927</f>
        <v>42</v>
      </c>
      <c r="D927" s="33" t="n">
        <f aca="false">IF(B927&gt;=2,C926,"")</f>
        <v>35</v>
      </c>
      <c r="E927" s="33" t="n">
        <f aca="false">IF(B927&gt;=5,AVERAGE(C923:C926),"")</f>
        <v>34</v>
      </c>
      <c r="F927" s="33" t="n">
        <f aca="false">IF(B927&gt;=9,AVERAGE(C919:C926),"")</f>
        <v>34.875</v>
      </c>
      <c r="G927" s="33" t="n">
        <f aca="false">IF(B927=1,"",IF(B927=2,C926,SES_Alpha*C926+(1-SES_Alpha)*G926))</f>
        <v>34.4909672672972</v>
      </c>
      <c r="H927" s="33" t="n">
        <f aca="false">IF(D927="","",D927-C927)</f>
        <v>-7</v>
      </c>
      <c r="I927" s="33" t="n">
        <f aca="false">IF(E927="","",E927-C927)</f>
        <v>-8</v>
      </c>
      <c r="J927" s="33" t="n">
        <f aca="false">IF(F927="","",F927-C927)</f>
        <v>-7.125</v>
      </c>
      <c r="K927" s="33" t="n">
        <f aca="false">IF(G927="","",G927-C927)</f>
        <v>-7.50903273270278</v>
      </c>
      <c r="L927" s="33" t="n">
        <f aca="false">IF(H927="","",ABS(H927))</f>
        <v>7</v>
      </c>
      <c r="M927" s="33" t="n">
        <f aca="false">IF(I927="","",ABS(I927))</f>
        <v>8</v>
      </c>
      <c r="N927" s="33" t="n">
        <f aca="false">IF(J927="","",ABS(J927))</f>
        <v>7.125</v>
      </c>
      <c r="O927" s="33" t="n">
        <f aca="false">IF(K927="","",ABS(K927))</f>
        <v>7.50903273270278</v>
      </c>
      <c r="P927" s="34" t="str">
        <f aca="false">IF(B927&gt;=Eval_Start_Week,"YES","")</f>
        <v>YES</v>
      </c>
      <c r="Q927" s="34" t="str">
        <f aca="false">IF(AND(B927&gt;=Cal_Start_Week,B927&lt;=Cal_End_Week),"YES","")</f>
        <v/>
      </c>
    </row>
    <row r="928" customFormat="false" ht="15" hidden="false" customHeight="false" outlineLevel="0" collapsed="false">
      <c r="A928" s="31" t="str">
        <f aca="false">Demand_History!C928</f>
        <v>KIT-009</v>
      </c>
      <c r="B928" s="31" t="n">
        <f aca="false">Demand_History!A928</f>
        <v>95</v>
      </c>
      <c r="C928" s="32" t="n">
        <f aca="false">Demand_History!D928</f>
        <v>35</v>
      </c>
      <c r="D928" s="33" t="n">
        <f aca="false">IF(B928&gt;=2,C927,"")</f>
        <v>42</v>
      </c>
      <c r="E928" s="33" t="n">
        <f aca="false">IF(B928&gt;=5,AVERAGE(C924:C927),"")</f>
        <v>36.25</v>
      </c>
      <c r="F928" s="33" t="n">
        <f aca="false">IF(B928&gt;=9,AVERAGE(C920:C927),"")</f>
        <v>35.25</v>
      </c>
      <c r="G928" s="33" t="n">
        <f aca="false">IF(B928=1,"",IF(B928=2,C927,SES_Alpha*C927+(1-SES_Alpha)*G927))</f>
        <v>36.7436770871081</v>
      </c>
      <c r="H928" s="33" t="n">
        <f aca="false">IF(D928="","",D928-C928)</f>
        <v>7</v>
      </c>
      <c r="I928" s="33" t="n">
        <f aca="false">IF(E928="","",E928-C928)</f>
        <v>1.25</v>
      </c>
      <c r="J928" s="33" t="n">
        <f aca="false">IF(F928="","",F928-C928)</f>
        <v>0.25</v>
      </c>
      <c r="K928" s="33" t="n">
        <f aca="false">IF(G928="","",G928-C928)</f>
        <v>1.74367708710805</v>
      </c>
      <c r="L928" s="33" t="n">
        <f aca="false">IF(H928="","",ABS(H928))</f>
        <v>7</v>
      </c>
      <c r="M928" s="33" t="n">
        <f aca="false">IF(I928="","",ABS(I928))</f>
        <v>1.25</v>
      </c>
      <c r="N928" s="33" t="n">
        <f aca="false">IF(J928="","",ABS(J928))</f>
        <v>0.25</v>
      </c>
      <c r="O928" s="33" t="n">
        <f aca="false">IF(K928="","",ABS(K928))</f>
        <v>1.74367708710805</v>
      </c>
      <c r="P928" s="34" t="str">
        <f aca="false">IF(B928&gt;=Eval_Start_Week,"YES","")</f>
        <v>YES</v>
      </c>
      <c r="Q928" s="34" t="str">
        <f aca="false">IF(AND(B928&gt;=Cal_Start_Week,B928&lt;=Cal_End_Week),"YES","")</f>
        <v/>
      </c>
    </row>
    <row r="929" customFormat="false" ht="15" hidden="false" customHeight="false" outlineLevel="0" collapsed="false">
      <c r="A929" s="31" t="str">
        <f aca="false">Demand_History!C929</f>
        <v>KIT-009</v>
      </c>
      <c r="B929" s="31" t="n">
        <f aca="false">Demand_History!A929</f>
        <v>96</v>
      </c>
      <c r="C929" s="32" t="n">
        <f aca="false">Demand_History!D929</f>
        <v>41</v>
      </c>
      <c r="D929" s="33" t="n">
        <f aca="false">IF(B929&gt;=2,C928,"")</f>
        <v>35</v>
      </c>
      <c r="E929" s="33" t="n">
        <f aca="false">IF(B929&gt;=5,AVERAGE(C925:C928),"")</f>
        <v>36.75</v>
      </c>
      <c r="F929" s="33" t="n">
        <f aca="false">IF(B929&gt;=9,AVERAGE(C921:C928),"")</f>
        <v>34.125</v>
      </c>
      <c r="G929" s="33" t="n">
        <f aca="false">IF(B929=1,"",IF(B929=2,C928,SES_Alpha*C928+(1-SES_Alpha)*G928))</f>
        <v>36.2205739609756</v>
      </c>
      <c r="H929" s="33" t="n">
        <f aca="false">IF(D929="","",D929-C929)</f>
        <v>-6</v>
      </c>
      <c r="I929" s="33" t="n">
        <f aca="false">IF(E929="","",E929-C929)</f>
        <v>-4.25</v>
      </c>
      <c r="J929" s="33" t="n">
        <f aca="false">IF(F929="","",F929-C929)</f>
        <v>-6.875</v>
      </c>
      <c r="K929" s="33" t="n">
        <f aca="false">IF(G929="","",G929-C929)</f>
        <v>-4.77942603902437</v>
      </c>
      <c r="L929" s="33" t="n">
        <f aca="false">IF(H929="","",ABS(H929))</f>
        <v>6</v>
      </c>
      <c r="M929" s="33" t="n">
        <f aca="false">IF(I929="","",ABS(I929))</f>
        <v>4.25</v>
      </c>
      <c r="N929" s="33" t="n">
        <f aca="false">IF(J929="","",ABS(J929))</f>
        <v>6.875</v>
      </c>
      <c r="O929" s="33" t="n">
        <f aca="false">IF(K929="","",ABS(K929))</f>
        <v>4.77942603902437</v>
      </c>
      <c r="P929" s="34" t="str">
        <f aca="false">IF(B929&gt;=Eval_Start_Week,"YES","")</f>
        <v>YES</v>
      </c>
      <c r="Q929" s="34" t="str">
        <f aca="false">IF(AND(B929&gt;=Cal_Start_Week,B929&lt;=Cal_End_Week),"YES","")</f>
        <v/>
      </c>
    </row>
    <row r="930" customFormat="false" ht="15" hidden="false" customHeight="false" outlineLevel="0" collapsed="false">
      <c r="A930" s="31" t="str">
        <f aca="false">Demand_History!C930</f>
        <v>KIT-009</v>
      </c>
      <c r="B930" s="31" t="n">
        <f aca="false">Demand_History!A930</f>
        <v>97</v>
      </c>
      <c r="C930" s="32" t="n">
        <f aca="false">Demand_History!D930</f>
        <v>43</v>
      </c>
      <c r="D930" s="33" t="n">
        <f aca="false">IF(B930&gt;=2,C929,"")</f>
        <v>41</v>
      </c>
      <c r="E930" s="33" t="n">
        <f aca="false">IF(B930&gt;=5,AVERAGE(C926:C929),"")</f>
        <v>38.25</v>
      </c>
      <c r="F930" s="33" t="n">
        <f aca="false">IF(B930&gt;=9,AVERAGE(C922:C929),"")</f>
        <v>36</v>
      </c>
      <c r="G930" s="33" t="n">
        <f aca="false">IF(B930=1,"",IF(B930=2,C929,SES_Alpha*C929+(1-SES_Alpha)*G929))</f>
        <v>37.6544017726829</v>
      </c>
      <c r="H930" s="33" t="n">
        <f aca="false">IF(D930="","",D930-C930)</f>
        <v>-2</v>
      </c>
      <c r="I930" s="33" t="n">
        <f aca="false">IF(E930="","",E930-C930)</f>
        <v>-4.75</v>
      </c>
      <c r="J930" s="33" t="n">
        <f aca="false">IF(F930="","",F930-C930)</f>
        <v>-7</v>
      </c>
      <c r="K930" s="33" t="n">
        <f aca="false">IF(G930="","",G930-C930)</f>
        <v>-5.34559822731706</v>
      </c>
      <c r="L930" s="33" t="n">
        <f aca="false">IF(H930="","",ABS(H930))</f>
        <v>2</v>
      </c>
      <c r="M930" s="33" t="n">
        <f aca="false">IF(I930="","",ABS(I930))</f>
        <v>4.75</v>
      </c>
      <c r="N930" s="33" t="n">
        <f aca="false">IF(J930="","",ABS(J930))</f>
        <v>7</v>
      </c>
      <c r="O930" s="33" t="n">
        <f aca="false">IF(K930="","",ABS(K930))</f>
        <v>5.34559822731706</v>
      </c>
      <c r="P930" s="34" t="str">
        <f aca="false">IF(B930&gt;=Eval_Start_Week,"YES","")</f>
        <v>YES</v>
      </c>
      <c r="Q930" s="34" t="str">
        <f aca="false">IF(AND(B930&gt;=Cal_Start_Week,B930&lt;=Cal_End_Week),"YES","")</f>
        <v/>
      </c>
    </row>
    <row r="931" customFormat="false" ht="15" hidden="false" customHeight="false" outlineLevel="0" collapsed="false">
      <c r="A931" s="31" t="str">
        <f aca="false">Demand_History!C931</f>
        <v>KIT-009</v>
      </c>
      <c r="B931" s="31" t="n">
        <f aca="false">Demand_History!A931</f>
        <v>98</v>
      </c>
      <c r="C931" s="32" t="n">
        <f aca="false">Demand_History!D931</f>
        <v>36</v>
      </c>
      <c r="D931" s="33" t="n">
        <f aca="false">IF(B931&gt;=2,C930,"")</f>
        <v>43</v>
      </c>
      <c r="E931" s="33" t="n">
        <f aca="false">IF(B931&gt;=5,AVERAGE(C927:C930),"")</f>
        <v>40.25</v>
      </c>
      <c r="F931" s="33" t="n">
        <f aca="false">IF(B931&gt;=9,AVERAGE(C923:C930),"")</f>
        <v>37.125</v>
      </c>
      <c r="G931" s="33" t="n">
        <f aca="false">IF(B931=1,"",IF(B931=2,C930,SES_Alpha*C930+(1-SES_Alpha)*G930))</f>
        <v>39.2580812408781</v>
      </c>
      <c r="H931" s="33" t="n">
        <f aca="false">IF(D931="","",D931-C931)</f>
        <v>7</v>
      </c>
      <c r="I931" s="33" t="n">
        <f aca="false">IF(E931="","",E931-C931)</f>
        <v>4.25</v>
      </c>
      <c r="J931" s="33" t="n">
        <f aca="false">IF(F931="","",F931-C931)</f>
        <v>1.125</v>
      </c>
      <c r="K931" s="33" t="n">
        <f aca="false">IF(G931="","",G931-C931)</f>
        <v>3.25808124087806</v>
      </c>
      <c r="L931" s="33" t="n">
        <f aca="false">IF(H931="","",ABS(H931))</f>
        <v>7</v>
      </c>
      <c r="M931" s="33" t="n">
        <f aca="false">IF(I931="","",ABS(I931))</f>
        <v>4.25</v>
      </c>
      <c r="N931" s="33" t="n">
        <f aca="false">IF(J931="","",ABS(J931))</f>
        <v>1.125</v>
      </c>
      <c r="O931" s="33" t="n">
        <f aca="false">IF(K931="","",ABS(K931))</f>
        <v>3.25808124087806</v>
      </c>
      <c r="P931" s="34" t="str">
        <f aca="false">IF(B931&gt;=Eval_Start_Week,"YES","")</f>
        <v>YES</v>
      </c>
      <c r="Q931" s="34" t="str">
        <f aca="false">IF(AND(B931&gt;=Cal_Start_Week,B931&lt;=Cal_End_Week),"YES","")</f>
        <v/>
      </c>
    </row>
    <row r="932" customFormat="false" ht="15" hidden="false" customHeight="false" outlineLevel="0" collapsed="false">
      <c r="A932" s="31" t="str">
        <f aca="false">Demand_History!C932</f>
        <v>KIT-009</v>
      </c>
      <c r="B932" s="31" t="n">
        <f aca="false">Demand_History!A932</f>
        <v>99</v>
      </c>
      <c r="C932" s="32" t="n">
        <f aca="false">Demand_History!D932</f>
        <v>42</v>
      </c>
      <c r="D932" s="33" t="n">
        <f aca="false">IF(B932&gt;=2,C931,"")</f>
        <v>36</v>
      </c>
      <c r="E932" s="33" t="n">
        <f aca="false">IF(B932&gt;=5,AVERAGE(C928:C931),"")</f>
        <v>38.75</v>
      </c>
      <c r="F932" s="33" t="n">
        <f aca="false">IF(B932&gt;=9,AVERAGE(C924:C931),"")</f>
        <v>37.5</v>
      </c>
      <c r="G932" s="33" t="n">
        <f aca="false">IF(B932=1,"",IF(B932=2,C931,SES_Alpha*C931+(1-SES_Alpha)*G931))</f>
        <v>38.2806568686146</v>
      </c>
      <c r="H932" s="33" t="n">
        <f aca="false">IF(D932="","",D932-C932)</f>
        <v>-6</v>
      </c>
      <c r="I932" s="33" t="n">
        <f aca="false">IF(E932="","",E932-C932)</f>
        <v>-3.25</v>
      </c>
      <c r="J932" s="33" t="n">
        <f aca="false">IF(F932="","",F932-C932)</f>
        <v>-4.5</v>
      </c>
      <c r="K932" s="33" t="n">
        <f aca="false">IF(G932="","",G932-C932)</f>
        <v>-3.71934313138536</v>
      </c>
      <c r="L932" s="33" t="n">
        <f aca="false">IF(H932="","",ABS(H932))</f>
        <v>6</v>
      </c>
      <c r="M932" s="33" t="n">
        <f aca="false">IF(I932="","",ABS(I932))</f>
        <v>3.25</v>
      </c>
      <c r="N932" s="33" t="n">
        <f aca="false">IF(J932="","",ABS(J932))</f>
        <v>4.5</v>
      </c>
      <c r="O932" s="33" t="n">
        <f aca="false">IF(K932="","",ABS(K932))</f>
        <v>3.71934313138536</v>
      </c>
      <c r="P932" s="34" t="str">
        <f aca="false">IF(B932&gt;=Eval_Start_Week,"YES","")</f>
        <v>YES</v>
      </c>
      <c r="Q932" s="34" t="str">
        <f aca="false">IF(AND(B932&gt;=Cal_Start_Week,B932&lt;=Cal_End_Week),"YES","")</f>
        <v/>
      </c>
    </row>
    <row r="933" customFormat="false" ht="15" hidden="false" customHeight="false" outlineLevel="0" collapsed="false">
      <c r="A933" s="31" t="str">
        <f aca="false">Demand_History!C933</f>
        <v>KIT-009</v>
      </c>
      <c r="B933" s="31" t="n">
        <f aca="false">Demand_History!A933</f>
        <v>100</v>
      </c>
      <c r="C933" s="32" t="n">
        <f aca="false">Demand_History!D933</f>
        <v>51</v>
      </c>
      <c r="D933" s="33" t="n">
        <f aca="false">IF(B933&gt;=2,C932,"")</f>
        <v>42</v>
      </c>
      <c r="E933" s="33" t="n">
        <f aca="false">IF(B933&gt;=5,AVERAGE(C929:C932),"")</f>
        <v>40.5</v>
      </c>
      <c r="F933" s="33" t="n">
        <f aca="false">IF(B933&gt;=9,AVERAGE(C925:C932),"")</f>
        <v>38.625</v>
      </c>
      <c r="G933" s="33" t="n">
        <f aca="false">IF(B933=1,"",IF(B933=2,C932,SES_Alpha*C932+(1-SES_Alpha)*G932))</f>
        <v>39.3964598080303</v>
      </c>
      <c r="H933" s="33" t="n">
        <f aca="false">IF(D933="","",D933-C933)</f>
        <v>-9</v>
      </c>
      <c r="I933" s="33" t="n">
        <f aca="false">IF(E933="","",E933-C933)</f>
        <v>-10.5</v>
      </c>
      <c r="J933" s="33" t="n">
        <f aca="false">IF(F933="","",F933-C933)</f>
        <v>-12.375</v>
      </c>
      <c r="K933" s="33" t="n">
        <f aca="false">IF(G933="","",G933-C933)</f>
        <v>-11.6035401919698</v>
      </c>
      <c r="L933" s="33" t="n">
        <f aca="false">IF(H933="","",ABS(H933))</f>
        <v>9</v>
      </c>
      <c r="M933" s="33" t="n">
        <f aca="false">IF(I933="","",ABS(I933))</f>
        <v>10.5</v>
      </c>
      <c r="N933" s="33" t="n">
        <f aca="false">IF(J933="","",ABS(J933))</f>
        <v>12.375</v>
      </c>
      <c r="O933" s="33" t="n">
        <f aca="false">IF(K933="","",ABS(K933))</f>
        <v>11.6035401919698</v>
      </c>
      <c r="P933" s="34" t="str">
        <f aca="false">IF(B933&gt;=Eval_Start_Week,"YES","")</f>
        <v>YES</v>
      </c>
      <c r="Q933" s="34" t="str">
        <f aca="false">IF(AND(B933&gt;=Cal_Start_Week,B933&lt;=Cal_End_Week),"YES","")</f>
        <v/>
      </c>
    </row>
    <row r="934" customFormat="false" ht="15" hidden="false" customHeight="false" outlineLevel="0" collapsed="false">
      <c r="A934" s="31" t="str">
        <f aca="false">Demand_History!C934</f>
        <v>KIT-009</v>
      </c>
      <c r="B934" s="31" t="n">
        <f aca="false">Demand_History!A934</f>
        <v>101</v>
      </c>
      <c r="C934" s="32" t="n">
        <f aca="false">Demand_History!D934</f>
        <v>43</v>
      </c>
      <c r="D934" s="33" t="n">
        <f aca="false">IF(B934&gt;=2,C933,"")</f>
        <v>51</v>
      </c>
      <c r="E934" s="33" t="n">
        <f aca="false">IF(B934&gt;=5,AVERAGE(C930:C933),"")</f>
        <v>43</v>
      </c>
      <c r="F934" s="33" t="n">
        <f aca="false">IF(B934&gt;=9,AVERAGE(C926:C933),"")</f>
        <v>40.625</v>
      </c>
      <c r="G934" s="33" t="n">
        <f aca="false">IF(B934=1,"",IF(B934=2,C933,SES_Alpha*C933+(1-SES_Alpha)*G933))</f>
        <v>42.8775218656212</v>
      </c>
      <c r="H934" s="33" t="n">
        <f aca="false">IF(D934="","",D934-C934)</f>
        <v>8</v>
      </c>
      <c r="I934" s="33" t="n">
        <f aca="false">IF(E934="","",E934-C934)</f>
        <v>0</v>
      </c>
      <c r="J934" s="33" t="n">
        <f aca="false">IF(F934="","",F934-C934)</f>
        <v>-2.375</v>
      </c>
      <c r="K934" s="33" t="n">
        <f aca="false">IF(G934="","",G934-C934)</f>
        <v>-0.122478134378824</v>
      </c>
      <c r="L934" s="33" t="n">
        <f aca="false">IF(H934="","",ABS(H934))</f>
        <v>8</v>
      </c>
      <c r="M934" s="33" t="n">
        <f aca="false">IF(I934="","",ABS(I934))</f>
        <v>0</v>
      </c>
      <c r="N934" s="33" t="n">
        <f aca="false">IF(J934="","",ABS(J934))</f>
        <v>2.375</v>
      </c>
      <c r="O934" s="33" t="n">
        <f aca="false">IF(K934="","",ABS(K934))</f>
        <v>0.122478134378824</v>
      </c>
      <c r="P934" s="34" t="str">
        <f aca="false">IF(B934&gt;=Eval_Start_Week,"YES","")</f>
        <v>YES</v>
      </c>
      <c r="Q934" s="34" t="str">
        <f aca="false">IF(AND(B934&gt;=Cal_Start_Week,B934&lt;=Cal_End_Week),"YES","")</f>
        <v/>
      </c>
    </row>
    <row r="935" customFormat="false" ht="15" hidden="false" customHeight="false" outlineLevel="0" collapsed="false">
      <c r="A935" s="31" t="str">
        <f aca="false">Demand_History!C935</f>
        <v>KIT-009</v>
      </c>
      <c r="B935" s="31" t="n">
        <f aca="false">Demand_History!A935</f>
        <v>102</v>
      </c>
      <c r="C935" s="32" t="n">
        <f aca="false">Demand_History!D935</f>
        <v>38</v>
      </c>
      <c r="D935" s="33" t="n">
        <f aca="false">IF(B935&gt;=2,C934,"")</f>
        <v>43</v>
      </c>
      <c r="E935" s="33" t="n">
        <f aca="false">IF(B935&gt;=5,AVERAGE(C931:C934),"")</f>
        <v>43</v>
      </c>
      <c r="F935" s="33" t="n">
        <f aca="false">IF(B935&gt;=9,AVERAGE(C927:C934),"")</f>
        <v>41.625</v>
      </c>
      <c r="G935" s="33" t="n">
        <f aca="false">IF(B935=1,"",IF(B935=2,C934,SES_Alpha*C934+(1-SES_Alpha)*G934))</f>
        <v>42.9142653059348</v>
      </c>
      <c r="H935" s="33" t="n">
        <f aca="false">IF(D935="","",D935-C935)</f>
        <v>5</v>
      </c>
      <c r="I935" s="33" t="n">
        <f aca="false">IF(E935="","",E935-C935)</f>
        <v>5</v>
      </c>
      <c r="J935" s="33" t="n">
        <f aca="false">IF(F935="","",F935-C935)</f>
        <v>3.625</v>
      </c>
      <c r="K935" s="33" t="n">
        <f aca="false">IF(G935="","",G935-C935)</f>
        <v>4.91426530593482</v>
      </c>
      <c r="L935" s="33" t="n">
        <f aca="false">IF(H935="","",ABS(H935))</f>
        <v>5</v>
      </c>
      <c r="M935" s="33" t="n">
        <f aca="false">IF(I935="","",ABS(I935))</f>
        <v>5</v>
      </c>
      <c r="N935" s="33" t="n">
        <f aca="false">IF(J935="","",ABS(J935))</f>
        <v>3.625</v>
      </c>
      <c r="O935" s="33" t="n">
        <f aca="false">IF(K935="","",ABS(K935))</f>
        <v>4.91426530593482</v>
      </c>
      <c r="P935" s="34" t="str">
        <f aca="false">IF(B935&gt;=Eval_Start_Week,"YES","")</f>
        <v>YES</v>
      </c>
      <c r="Q935" s="34" t="str">
        <f aca="false">IF(AND(B935&gt;=Cal_Start_Week,B935&lt;=Cal_End_Week),"YES","")</f>
        <v/>
      </c>
    </row>
    <row r="936" customFormat="false" ht="15" hidden="false" customHeight="false" outlineLevel="0" collapsed="false">
      <c r="A936" s="31" t="str">
        <f aca="false">Demand_History!C936</f>
        <v>KIT-009</v>
      </c>
      <c r="B936" s="31" t="n">
        <f aca="false">Demand_History!A936</f>
        <v>103</v>
      </c>
      <c r="C936" s="32" t="n">
        <f aca="false">Demand_History!D936</f>
        <v>41</v>
      </c>
      <c r="D936" s="33" t="n">
        <f aca="false">IF(B936&gt;=2,C935,"")</f>
        <v>38</v>
      </c>
      <c r="E936" s="33" t="n">
        <f aca="false">IF(B936&gt;=5,AVERAGE(C932:C935),"")</f>
        <v>43.5</v>
      </c>
      <c r="F936" s="33" t="n">
        <f aca="false">IF(B936&gt;=9,AVERAGE(C928:C935),"")</f>
        <v>41.125</v>
      </c>
      <c r="G936" s="33" t="n">
        <f aca="false">IF(B936=1,"",IF(B936=2,C935,SES_Alpha*C935+(1-SES_Alpha)*G935))</f>
        <v>41.4399857141544</v>
      </c>
      <c r="H936" s="33" t="n">
        <f aca="false">IF(D936="","",D936-C936)</f>
        <v>-3</v>
      </c>
      <c r="I936" s="33" t="n">
        <f aca="false">IF(E936="","",E936-C936)</f>
        <v>2.5</v>
      </c>
      <c r="J936" s="33" t="n">
        <f aca="false">IF(F936="","",F936-C936)</f>
        <v>0.125</v>
      </c>
      <c r="K936" s="33" t="n">
        <f aca="false">IF(G936="","",G936-C936)</f>
        <v>0.439985714154375</v>
      </c>
      <c r="L936" s="33" t="n">
        <f aca="false">IF(H936="","",ABS(H936))</f>
        <v>3</v>
      </c>
      <c r="M936" s="33" t="n">
        <f aca="false">IF(I936="","",ABS(I936))</f>
        <v>2.5</v>
      </c>
      <c r="N936" s="33" t="n">
        <f aca="false">IF(J936="","",ABS(J936))</f>
        <v>0.125</v>
      </c>
      <c r="O936" s="33" t="n">
        <f aca="false">IF(K936="","",ABS(K936))</f>
        <v>0.439985714154375</v>
      </c>
      <c r="P936" s="34" t="str">
        <f aca="false">IF(B936&gt;=Eval_Start_Week,"YES","")</f>
        <v>YES</v>
      </c>
      <c r="Q936" s="34" t="str">
        <f aca="false">IF(AND(B936&gt;=Cal_Start_Week,B936&lt;=Cal_End_Week),"YES","")</f>
        <v/>
      </c>
    </row>
    <row r="937" customFormat="false" ht="15" hidden="false" customHeight="false" outlineLevel="0" collapsed="false">
      <c r="A937" s="31" t="str">
        <f aca="false">Demand_History!C937</f>
        <v>KIT-009</v>
      </c>
      <c r="B937" s="31" t="n">
        <f aca="false">Demand_History!A937</f>
        <v>104</v>
      </c>
      <c r="C937" s="32" t="n">
        <f aca="false">Demand_History!D937</f>
        <v>36</v>
      </c>
      <c r="D937" s="33" t="n">
        <f aca="false">IF(B937&gt;=2,C936,"")</f>
        <v>41</v>
      </c>
      <c r="E937" s="33" t="n">
        <f aca="false">IF(B937&gt;=5,AVERAGE(C933:C936),"")</f>
        <v>43.25</v>
      </c>
      <c r="F937" s="33" t="n">
        <f aca="false">IF(B937&gt;=9,AVERAGE(C929:C936),"")</f>
        <v>41.875</v>
      </c>
      <c r="G937" s="33" t="n">
        <f aca="false">IF(B937=1,"",IF(B937=2,C936,SES_Alpha*C936+(1-SES_Alpha)*G936))</f>
        <v>41.3079899999081</v>
      </c>
      <c r="H937" s="33" t="n">
        <f aca="false">IF(D937="","",D937-C937)</f>
        <v>5</v>
      </c>
      <c r="I937" s="33" t="n">
        <f aca="false">IF(E937="","",E937-C937)</f>
        <v>7.25</v>
      </c>
      <c r="J937" s="33" t="n">
        <f aca="false">IF(F937="","",F937-C937)</f>
        <v>5.875</v>
      </c>
      <c r="K937" s="33" t="n">
        <f aca="false">IF(G937="","",G937-C937)</f>
        <v>5.30798999990806</v>
      </c>
      <c r="L937" s="33" t="n">
        <f aca="false">IF(H937="","",ABS(H937))</f>
        <v>5</v>
      </c>
      <c r="M937" s="33" t="n">
        <f aca="false">IF(I937="","",ABS(I937))</f>
        <v>7.25</v>
      </c>
      <c r="N937" s="33" t="n">
        <f aca="false">IF(J937="","",ABS(J937))</f>
        <v>5.875</v>
      </c>
      <c r="O937" s="33" t="n">
        <f aca="false">IF(K937="","",ABS(K937))</f>
        <v>5.30798999990806</v>
      </c>
      <c r="P937" s="34" t="str">
        <f aca="false">IF(B937&gt;=Eval_Start_Week,"YES","")</f>
        <v>YES</v>
      </c>
      <c r="Q937" s="34" t="str">
        <f aca="false">IF(AND(B937&gt;=Cal_Start_Week,B937&lt;=Cal_End_Week),"YES","")</f>
        <v/>
      </c>
    </row>
    <row r="938" customFormat="false" ht="15" hidden="false" customHeight="false" outlineLevel="0" collapsed="false">
      <c r="A938" s="31" t="str">
        <f aca="false">Demand_History!C938</f>
        <v>KIT-010</v>
      </c>
      <c r="B938" s="31" t="n">
        <f aca="false">Demand_History!A938</f>
        <v>1</v>
      </c>
      <c r="C938" s="32" t="n">
        <f aca="false">Demand_History!D938</f>
        <v>109</v>
      </c>
      <c r="D938" s="33" t="str">
        <f aca="false">IF(B938&gt;=2,C937,"")</f>
        <v/>
      </c>
      <c r="E938" s="33" t="str">
        <f aca="false">IF(B938&gt;=5,AVERAGE(C934:C937),"")</f>
        <v/>
      </c>
      <c r="F938" s="33" t="str">
        <f aca="false">IF(B938&gt;=9,AVERAGE(C930:C937),"")</f>
        <v/>
      </c>
      <c r="G938" s="33" t="str">
        <f aca="false">IF(B938=1,"",IF(B938=2,C937,SES_Alpha*C937+(1-SES_Alpha)*G937))</f>
        <v/>
      </c>
      <c r="H938" s="33" t="str">
        <f aca="false">IF(D938="","",D938-C938)</f>
        <v/>
      </c>
      <c r="I938" s="33" t="str">
        <f aca="false">IF(E938="","",E938-C938)</f>
        <v/>
      </c>
      <c r="J938" s="33" t="str">
        <f aca="false">IF(F938="","",F938-C938)</f>
        <v/>
      </c>
      <c r="K938" s="33" t="str">
        <f aca="false">IF(G938="","",G938-C938)</f>
        <v/>
      </c>
      <c r="L938" s="33" t="str">
        <f aca="false">IF(H938="","",ABS(H938))</f>
        <v/>
      </c>
      <c r="M938" s="33" t="str">
        <f aca="false">IF(I938="","",ABS(I938))</f>
        <v/>
      </c>
      <c r="N938" s="33" t="str">
        <f aca="false">IF(J938="","",ABS(J938))</f>
        <v/>
      </c>
      <c r="O938" s="33" t="str">
        <f aca="false">IF(K938="","",ABS(K938))</f>
        <v/>
      </c>
      <c r="P938" s="34" t="str">
        <f aca="false">IF(B938&gt;=Eval_Start_Week,"YES","")</f>
        <v/>
      </c>
      <c r="Q938" s="34" t="str">
        <f aca="false">IF(AND(B938&gt;=Cal_Start_Week,B938&lt;=Cal_End_Week),"YES","")</f>
        <v/>
      </c>
    </row>
    <row r="939" customFormat="false" ht="15" hidden="false" customHeight="false" outlineLevel="0" collapsed="false">
      <c r="A939" s="31" t="str">
        <f aca="false">Demand_History!C939</f>
        <v>KIT-010</v>
      </c>
      <c r="B939" s="31" t="n">
        <f aca="false">Demand_History!A939</f>
        <v>2</v>
      </c>
      <c r="C939" s="32" t="n">
        <f aca="false">Demand_History!D939</f>
        <v>92</v>
      </c>
      <c r="D939" s="33" t="n">
        <f aca="false">IF(B939&gt;=2,C938,"")</f>
        <v>109</v>
      </c>
      <c r="E939" s="33" t="str">
        <f aca="false">IF(B939&gt;=5,AVERAGE(C935:C938),"")</f>
        <v/>
      </c>
      <c r="F939" s="33" t="str">
        <f aca="false">IF(B939&gt;=9,AVERAGE(C931:C938),"")</f>
        <v/>
      </c>
      <c r="G939" s="33" t="n">
        <f aca="false">IF(B939=1,"",IF(B939=2,C938,SES_Alpha*C938+(1-SES_Alpha)*G938))</f>
        <v>109</v>
      </c>
      <c r="H939" s="33" t="n">
        <f aca="false">IF(D939="","",D939-C939)</f>
        <v>17</v>
      </c>
      <c r="I939" s="33" t="str">
        <f aca="false">IF(E939="","",E939-C939)</f>
        <v/>
      </c>
      <c r="J939" s="33" t="str">
        <f aca="false">IF(F939="","",F939-C939)</f>
        <v/>
      </c>
      <c r="K939" s="33" t="n">
        <f aca="false">IF(G939="","",G939-C939)</f>
        <v>17</v>
      </c>
      <c r="L939" s="33" t="n">
        <f aca="false">IF(H939="","",ABS(H939))</f>
        <v>17</v>
      </c>
      <c r="M939" s="33" t="str">
        <f aca="false">IF(I939="","",ABS(I939))</f>
        <v/>
      </c>
      <c r="N939" s="33" t="str">
        <f aca="false">IF(J939="","",ABS(J939))</f>
        <v/>
      </c>
      <c r="O939" s="33" t="n">
        <f aca="false">IF(K939="","",ABS(K939))</f>
        <v>17</v>
      </c>
      <c r="P939" s="34" t="str">
        <f aca="false">IF(B939&gt;=Eval_Start_Week,"YES","")</f>
        <v/>
      </c>
      <c r="Q939" s="34" t="str">
        <f aca="false">IF(AND(B939&gt;=Cal_Start_Week,B939&lt;=Cal_End_Week),"YES","")</f>
        <v/>
      </c>
    </row>
    <row r="940" customFormat="false" ht="15" hidden="false" customHeight="false" outlineLevel="0" collapsed="false">
      <c r="A940" s="31" t="str">
        <f aca="false">Demand_History!C940</f>
        <v>KIT-010</v>
      </c>
      <c r="B940" s="31" t="n">
        <f aca="false">Demand_History!A940</f>
        <v>3</v>
      </c>
      <c r="C940" s="32" t="n">
        <f aca="false">Demand_History!D940</f>
        <v>98</v>
      </c>
      <c r="D940" s="33" t="n">
        <f aca="false">IF(B940&gt;=2,C939,"")</f>
        <v>92</v>
      </c>
      <c r="E940" s="33" t="str">
        <f aca="false">IF(B940&gt;=5,AVERAGE(C936:C939),"")</f>
        <v/>
      </c>
      <c r="F940" s="33" t="str">
        <f aca="false">IF(B940&gt;=9,AVERAGE(C932:C939),"")</f>
        <v/>
      </c>
      <c r="G940" s="33" t="n">
        <f aca="false">IF(B940=1,"",IF(B940=2,C939,SES_Alpha*C939+(1-SES_Alpha)*G939))</f>
        <v>103.9</v>
      </c>
      <c r="H940" s="33" t="n">
        <f aca="false">IF(D940="","",D940-C940)</f>
        <v>-6</v>
      </c>
      <c r="I940" s="33" t="str">
        <f aca="false">IF(E940="","",E940-C940)</f>
        <v/>
      </c>
      <c r="J940" s="33" t="str">
        <f aca="false">IF(F940="","",F940-C940)</f>
        <v/>
      </c>
      <c r="K940" s="33" t="n">
        <f aca="false">IF(G940="","",G940-C940)</f>
        <v>5.89999999999999</v>
      </c>
      <c r="L940" s="33" t="n">
        <f aca="false">IF(H940="","",ABS(H940))</f>
        <v>6</v>
      </c>
      <c r="M940" s="33" t="str">
        <f aca="false">IF(I940="","",ABS(I940))</f>
        <v/>
      </c>
      <c r="N940" s="33" t="str">
        <f aca="false">IF(J940="","",ABS(J940))</f>
        <v/>
      </c>
      <c r="O940" s="33" t="n">
        <f aca="false">IF(K940="","",ABS(K940))</f>
        <v>5.89999999999999</v>
      </c>
      <c r="P940" s="34" t="str">
        <f aca="false">IF(B940&gt;=Eval_Start_Week,"YES","")</f>
        <v/>
      </c>
      <c r="Q940" s="34" t="str">
        <f aca="false">IF(AND(B940&gt;=Cal_Start_Week,B940&lt;=Cal_End_Week),"YES","")</f>
        <v/>
      </c>
    </row>
    <row r="941" customFormat="false" ht="15" hidden="false" customHeight="false" outlineLevel="0" collapsed="false">
      <c r="A941" s="31" t="str">
        <f aca="false">Demand_History!C941</f>
        <v>KIT-010</v>
      </c>
      <c r="B941" s="31" t="n">
        <f aca="false">Demand_History!A941</f>
        <v>4</v>
      </c>
      <c r="C941" s="32" t="n">
        <f aca="false">Demand_History!D941</f>
        <v>111</v>
      </c>
      <c r="D941" s="33" t="n">
        <f aca="false">IF(B941&gt;=2,C940,"")</f>
        <v>98</v>
      </c>
      <c r="E941" s="33" t="str">
        <f aca="false">IF(B941&gt;=5,AVERAGE(C937:C940),"")</f>
        <v/>
      </c>
      <c r="F941" s="33" t="str">
        <f aca="false">IF(B941&gt;=9,AVERAGE(C933:C940),"")</f>
        <v/>
      </c>
      <c r="G941" s="33" t="n">
        <f aca="false">IF(B941=1,"",IF(B941=2,C940,SES_Alpha*C940+(1-SES_Alpha)*G940))</f>
        <v>102.13</v>
      </c>
      <c r="H941" s="33" t="n">
        <f aca="false">IF(D941="","",D941-C941)</f>
        <v>-13</v>
      </c>
      <c r="I941" s="33" t="str">
        <f aca="false">IF(E941="","",E941-C941)</f>
        <v/>
      </c>
      <c r="J941" s="33" t="str">
        <f aca="false">IF(F941="","",F941-C941)</f>
        <v/>
      </c>
      <c r="K941" s="33" t="n">
        <f aca="false">IF(G941="","",G941-C941)</f>
        <v>-8.87000000000001</v>
      </c>
      <c r="L941" s="33" t="n">
        <f aca="false">IF(H941="","",ABS(H941))</f>
        <v>13</v>
      </c>
      <c r="M941" s="33" t="str">
        <f aca="false">IF(I941="","",ABS(I941))</f>
        <v/>
      </c>
      <c r="N941" s="33" t="str">
        <f aca="false">IF(J941="","",ABS(J941))</f>
        <v/>
      </c>
      <c r="O941" s="33" t="n">
        <f aca="false">IF(K941="","",ABS(K941))</f>
        <v>8.87000000000001</v>
      </c>
      <c r="P941" s="34" t="str">
        <f aca="false">IF(B941&gt;=Eval_Start_Week,"YES","")</f>
        <v/>
      </c>
      <c r="Q941" s="34" t="str">
        <f aca="false">IF(AND(B941&gt;=Cal_Start_Week,B941&lt;=Cal_End_Week),"YES","")</f>
        <v/>
      </c>
    </row>
    <row r="942" customFormat="false" ht="15" hidden="false" customHeight="false" outlineLevel="0" collapsed="false">
      <c r="A942" s="31" t="str">
        <f aca="false">Demand_History!C942</f>
        <v>KIT-010</v>
      </c>
      <c r="B942" s="31" t="n">
        <f aca="false">Demand_History!A942</f>
        <v>5</v>
      </c>
      <c r="C942" s="32" t="n">
        <f aca="false">Demand_History!D942</f>
        <v>95</v>
      </c>
      <c r="D942" s="33" t="n">
        <f aca="false">IF(B942&gt;=2,C941,"")</f>
        <v>111</v>
      </c>
      <c r="E942" s="33" t="n">
        <f aca="false">IF(B942&gt;=5,AVERAGE(C938:C941),"")</f>
        <v>102.5</v>
      </c>
      <c r="F942" s="33" t="str">
        <f aca="false">IF(B942&gt;=9,AVERAGE(C934:C941),"")</f>
        <v/>
      </c>
      <c r="G942" s="33" t="n">
        <f aca="false">IF(B942=1,"",IF(B942=2,C941,SES_Alpha*C941+(1-SES_Alpha)*G941))</f>
        <v>104.791</v>
      </c>
      <c r="H942" s="33" t="n">
        <f aca="false">IF(D942="","",D942-C942)</f>
        <v>16</v>
      </c>
      <c r="I942" s="33" t="n">
        <f aca="false">IF(E942="","",E942-C942)</f>
        <v>7.5</v>
      </c>
      <c r="J942" s="33" t="str">
        <f aca="false">IF(F942="","",F942-C942)</f>
        <v/>
      </c>
      <c r="K942" s="33" t="n">
        <f aca="false">IF(G942="","",G942-C942)</f>
        <v>9.79099999999998</v>
      </c>
      <c r="L942" s="33" t="n">
        <f aca="false">IF(H942="","",ABS(H942))</f>
        <v>16</v>
      </c>
      <c r="M942" s="33" t="n">
        <f aca="false">IF(I942="","",ABS(I942))</f>
        <v>7.5</v>
      </c>
      <c r="N942" s="33" t="str">
        <f aca="false">IF(J942="","",ABS(J942))</f>
        <v/>
      </c>
      <c r="O942" s="33" t="n">
        <f aca="false">IF(K942="","",ABS(K942))</f>
        <v>9.79099999999998</v>
      </c>
      <c r="P942" s="34" t="str">
        <f aca="false">IF(B942&gt;=Eval_Start_Week,"YES","")</f>
        <v/>
      </c>
      <c r="Q942" s="34" t="str">
        <f aca="false">IF(AND(B942&gt;=Cal_Start_Week,B942&lt;=Cal_End_Week),"YES","")</f>
        <v/>
      </c>
    </row>
    <row r="943" customFormat="false" ht="15" hidden="false" customHeight="false" outlineLevel="0" collapsed="false">
      <c r="A943" s="31" t="str">
        <f aca="false">Demand_History!C943</f>
        <v>KIT-010</v>
      </c>
      <c r="B943" s="31" t="n">
        <f aca="false">Demand_History!A943</f>
        <v>6</v>
      </c>
      <c r="C943" s="32" t="n">
        <f aca="false">Demand_History!D943</f>
        <v>102</v>
      </c>
      <c r="D943" s="33" t="n">
        <f aca="false">IF(B943&gt;=2,C942,"")</f>
        <v>95</v>
      </c>
      <c r="E943" s="33" t="n">
        <f aca="false">IF(B943&gt;=5,AVERAGE(C939:C942),"")</f>
        <v>99</v>
      </c>
      <c r="F943" s="33" t="str">
        <f aca="false">IF(B943&gt;=9,AVERAGE(C935:C942),"")</f>
        <v/>
      </c>
      <c r="G943" s="33" t="n">
        <f aca="false">IF(B943=1,"",IF(B943=2,C942,SES_Alpha*C942+(1-SES_Alpha)*G942))</f>
        <v>101.8537</v>
      </c>
      <c r="H943" s="33" t="n">
        <f aca="false">IF(D943="","",D943-C943)</f>
        <v>-7</v>
      </c>
      <c r="I943" s="33" t="n">
        <f aca="false">IF(E943="","",E943-C943)</f>
        <v>-3</v>
      </c>
      <c r="J943" s="33" t="str">
        <f aca="false">IF(F943="","",F943-C943)</f>
        <v/>
      </c>
      <c r="K943" s="33" t="n">
        <f aca="false">IF(G943="","",G943-C943)</f>
        <v>-0.146300000000011</v>
      </c>
      <c r="L943" s="33" t="n">
        <f aca="false">IF(H943="","",ABS(H943))</f>
        <v>7</v>
      </c>
      <c r="M943" s="33" t="n">
        <f aca="false">IF(I943="","",ABS(I943))</f>
        <v>3</v>
      </c>
      <c r="N943" s="33" t="str">
        <f aca="false">IF(J943="","",ABS(J943))</f>
        <v/>
      </c>
      <c r="O943" s="33" t="n">
        <f aca="false">IF(K943="","",ABS(K943))</f>
        <v>0.146300000000011</v>
      </c>
      <c r="P943" s="34" t="str">
        <f aca="false">IF(B943&gt;=Eval_Start_Week,"YES","")</f>
        <v/>
      </c>
      <c r="Q943" s="34" t="str">
        <f aca="false">IF(AND(B943&gt;=Cal_Start_Week,B943&lt;=Cal_End_Week),"YES","")</f>
        <v/>
      </c>
    </row>
    <row r="944" customFormat="false" ht="15" hidden="false" customHeight="false" outlineLevel="0" collapsed="false">
      <c r="A944" s="31" t="str">
        <f aca="false">Demand_History!C944</f>
        <v>KIT-010</v>
      </c>
      <c r="B944" s="31" t="n">
        <f aca="false">Demand_History!A944</f>
        <v>7</v>
      </c>
      <c r="C944" s="32" t="n">
        <f aca="false">Demand_History!D944</f>
        <v>89</v>
      </c>
      <c r="D944" s="33" t="n">
        <f aca="false">IF(B944&gt;=2,C943,"")</f>
        <v>102</v>
      </c>
      <c r="E944" s="33" t="n">
        <f aca="false">IF(B944&gt;=5,AVERAGE(C940:C943),"")</f>
        <v>101.5</v>
      </c>
      <c r="F944" s="33" t="str">
        <f aca="false">IF(B944&gt;=9,AVERAGE(C936:C943),"")</f>
        <v/>
      </c>
      <c r="G944" s="33" t="n">
        <f aca="false">IF(B944=1,"",IF(B944=2,C943,SES_Alpha*C943+(1-SES_Alpha)*G943))</f>
        <v>101.89759</v>
      </c>
      <c r="H944" s="33" t="n">
        <f aca="false">IF(D944="","",D944-C944)</f>
        <v>13</v>
      </c>
      <c r="I944" s="33" t="n">
        <f aca="false">IF(E944="","",E944-C944)</f>
        <v>12.5</v>
      </c>
      <c r="J944" s="33" t="str">
        <f aca="false">IF(F944="","",F944-C944)</f>
        <v/>
      </c>
      <c r="K944" s="33" t="n">
        <f aca="false">IF(G944="","",G944-C944)</f>
        <v>12.89759</v>
      </c>
      <c r="L944" s="33" t="n">
        <f aca="false">IF(H944="","",ABS(H944))</f>
        <v>13</v>
      </c>
      <c r="M944" s="33" t="n">
        <f aca="false">IF(I944="","",ABS(I944))</f>
        <v>12.5</v>
      </c>
      <c r="N944" s="33" t="str">
        <f aca="false">IF(J944="","",ABS(J944))</f>
        <v/>
      </c>
      <c r="O944" s="33" t="n">
        <f aca="false">IF(K944="","",ABS(K944))</f>
        <v>12.89759</v>
      </c>
      <c r="P944" s="34" t="str">
        <f aca="false">IF(B944&gt;=Eval_Start_Week,"YES","")</f>
        <v/>
      </c>
      <c r="Q944" s="34" t="str">
        <f aca="false">IF(AND(B944&gt;=Cal_Start_Week,B944&lt;=Cal_End_Week),"YES","")</f>
        <v/>
      </c>
    </row>
    <row r="945" customFormat="false" ht="15" hidden="false" customHeight="false" outlineLevel="0" collapsed="false">
      <c r="A945" s="31" t="str">
        <f aca="false">Demand_History!C945</f>
        <v>KIT-010</v>
      </c>
      <c r="B945" s="31" t="n">
        <f aca="false">Demand_History!A945</f>
        <v>8</v>
      </c>
      <c r="C945" s="32" t="n">
        <f aca="false">Demand_History!D945</f>
        <v>92</v>
      </c>
      <c r="D945" s="33" t="n">
        <f aca="false">IF(B945&gt;=2,C944,"")</f>
        <v>89</v>
      </c>
      <c r="E945" s="33" t="n">
        <f aca="false">IF(B945&gt;=5,AVERAGE(C941:C944),"")</f>
        <v>99.25</v>
      </c>
      <c r="F945" s="33" t="str">
        <f aca="false">IF(B945&gt;=9,AVERAGE(C937:C944),"")</f>
        <v/>
      </c>
      <c r="G945" s="33" t="n">
        <f aca="false">IF(B945=1,"",IF(B945=2,C944,SES_Alpha*C944+(1-SES_Alpha)*G944))</f>
        <v>98.028313</v>
      </c>
      <c r="H945" s="33" t="n">
        <f aca="false">IF(D945="","",D945-C945)</f>
        <v>-3</v>
      </c>
      <c r="I945" s="33" t="n">
        <f aca="false">IF(E945="","",E945-C945)</f>
        <v>7.25</v>
      </c>
      <c r="J945" s="33" t="str">
        <f aca="false">IF(F945="","",F945-C945)</f>
        <v/>
      </c>
      <c r="K945" s="33" t="n">
        <f aca="false">IF(G945="","",G945-C945)</f>
        <v>6.02831299999998</v>
      </c>
      <c r="L945" s="33" t="n">
        <f aca="false">IF(H945="","",ABS(H945))</f>
        <v>3</v>
      </c>
      <c r="M945" s="33" t="n">
        <f aca="false">IF(I945="","",ABS(I945))</f>
        <v>7.25</v>
      </c>
      <c r="N945" s="33" t="str">
        <f aca="false">IF(J945="","",ABS(J945))</f>
        <v/>
      </c>
      <c r="O945" s="33" t="n">
        <f aca="false">IF(K945="","",ABS(K945))</f>
        <v>6.02831299999998</v>
      </c>
      <c r="P945" s="34" t="str">
        <f aca="false">IF(B945&gt;=Eval_Start_Week,"YES","")</f>
        <v/>
      </c>
      <c r="Q945" s="34" t="str">
        <f aca="false">IF(AND(B945&gt;=Cal_Start_Week,B945&lt;=Cal_End_Week),"YES","")</f>
        <v/>
      </c>
    </row>
    <row r="946" customFormat="false" ht="15" hidden="false" customHeight="false" outlineLevel="0" collapsed="false">
      <c r="A946" s="31" t="str">
        <f aca="false">Demand_History!C946</f>
        <v>KIT-010</v>
      </c>
      <c r="B946" s="31" t="n">
        <f aca="false">Demand_History!A946</f>
        <v>9</v>
      </c>
      <c r="C946" s="32" t="n">
        <f aca="false">Demand_History!D946</f>
        <v>95</v>
      </c>
      <c r="D946" s="33" t="n">
        <f aca="false">IF(B946&gt;=2,C945,"")</f>
        <v>92</v>
      </c>
      <c r="E946" s="33" t="n">
        <f aca="false">IF(B946&gt;=5,AVERAGE(C942:C945),"")</f>
        <v>94.5</v>
      </c>
      <c r="F946" s="33" t="n">
        <f aca="false">IF(B946&gt;=9,AVERAGE(C938:C945),"")</f>
        <v>98.5</v>
      </c>
      <c r="G946" s="33" t="n">
        <f aca="false">IF(B946=1,"",IF(B946=2,C945,SES_Alpha*C945+(1-SES_Alpha)*G945))</f>
        <v>96.2198191</v>
      </c>
      <c r="H946" s="33" t="n">
        <f aca="false">IF(D946="","",D946-C946)</f>
        <v>-3</v>
      </c>
      <c r="I946" s="33" t="n">
        <f aca="false">IF(E946="","",E946-C946)</f>
        <v>-0.5</v>
      </c>
      <c r="J946" s="33" t="n">
        <f aca="false">IF(F946="","",F946-C946)</f>
        <v>3.5</v>
      </c>
      <c r="K946" s="33" t="n">
        <f aca="false">IF(G946="","",G946-C946)</f>
        <v>1.21981909999998</v>
      </c>
      <c r="L946" s="33" t="n">
        <f aca="false">IF(H946="","",ABS(H946))</f>
        <v>3</v>
      </c>
      <c r="M946" s="33" t="n">
        <f aca="false">IF(I946="","",ABS(I946))</f>
        <v>0.5</v>
      </c>
      <c r="N946" s="33" t="n">
        <f aca="false">IF(J946="","",ABS(J946))</f>
        <v>3.5</v>
      </c>
      <c r="O946" s="33" t="n">
        <f aca="false">IF(K946="","",ABS(K946))</f>
        <v>1.21981909999998</v>
      </c>
      <c r="P946" s="34" t="str">
        <f aca="false">IF(B946&gt;=Eval_Start_Week,"YES","")</f>
        <v/>
      </c>
      <c r="Q946" s="34" t="str">
        <f aca="false">IF(AND(B946&gt;=Cal_Start_Week,B946&lt;=Cal_End_Week),"YES","")</f>
        <v/>
      </c>
    </row>
    <row r="947" customFormat="false" ht="15" hidden="false" customHeight="false" outlineLevel="0" collapsed="false">
      <c r="A947" s="31" t="str">
        <f aca="false">Demand_History!C947</f>
        <v>KIT-010</v>
      </c>
      <c r="B947" s="31" t="n">
        <f aca="false">Demand_History!A947</f>
        <v>10</v>
      </c>
      <c r="C947" s="32" t="n">
        <f aca="false">Demand_History!D947</f>
        <v>122</v>
      </c>
      <c r="D947" s="33" t="n">
        <f aca="false">IF(B947&gt;=2,C946,"")</f>
        <v>95</v>
      </c>
      <c r="E947" s="33" t="n">
        <f aca="false">IF(B947&gt;=5,AVERAGE(C943:C946),"")</f>
        <v>94.5</v>
      </c>
      <c r="F947" s="33" t="n">
        <f aca="false">IF(B947&gt;=9,AVERAGE(C939:C946),"")</f>
        <v>96.75</v>
      </c>
      <c r="G947" s="33" t="n">
        <f aca="false">IF(B947=1,"",IF(B947=2,C946,SES_Alpha*C946+(1-SES_Alpha)*G946))</f>
        <v>95.85387337</v>
      </c>
      <c r="H947" s="33" t="n">
        <f aca="false">IF(D947="","",D947-C947)</f>
        <v>-27</v>
      </c>
      <c r="I947" s="33" t="n">
        <f aca="false">IF(E947="","",E947-C947)</f>
        <v>-27.5</v>
      </c>
      <c r="J947" s="33" t="n">
        <f aca="false">IF(F947="","",F947-C947)</f>
        <v>-25.25</v>
      </c>
      <c r="K947" s="33" t="n">
        <f aca="false">IF(G947="","",G947-C947)</f>
        <v>-26.14612663</v>
      </c>
      <c r="L947" s="33" t="n">
        <f aca="false">IF(H947="","",ABS(H947))</f>
        <v>27</v>
      </c>
      <c r="M947" s="33" t="n">
        <f aca="false">IF(I947="","",ABS(I947))</f>
        <v>27.5</v>
      </c>
      <c r="N947" s="33" t="n">
        <f aca="false">IF(J947="","",ABS(J947))</f>
        <v>25.25</v>
      </c>
      <c r="O947" s="33" t="n">
        <f aca="false">IF(K947="","",ABS(K947))</f>
        <v>26.14612663</v>
      </c>
      <c r="P947" s="34" t="str">
        <f aca="false">IF(B947&gt;=Eval_Start_Week,"YES","")</f>
        <v/>
      </c>
      <c r="Q947" s="34" t="str">
        <f aca="false">IF(AND(B947&gt;=Cal_Start_Week,B947&lt;=Cal_End_Week),"YES","")</f>
        <v/>
      </c>
    </row>
    <row r="948" customFormat="false" ht="15" hidden="false" customHeight="false" outlineLevel="0" collapsed="false">
      <c r="A948" s="31" t="str">
        <f aca="false">Demand_History!C948</f>
        <v>KIT-010</v>
      </c>
      <c r="B948" s="31" t="n">
        <f aca="false">Demand_History!A948</f>
        <v>11</v>
      </c>
      <c r="C948" s="32" t="n">
        <f aca="false">Demand_History!D948</f>
        <v>96</v>
      </c>
      <c r="D948" s="33" t="n">
        <f aca="false">IF(B948&gt;=2,C947,"")</f>
        <v>122</v>
      </c>
      <c r="E948" s="33" t="n">
        <f aca="false">IF(B948&gt;=5,AVERAGE(C944:C947),"")</f>
        <v>99.5</v>
      </c>
      <c r="F948" s="33" t="n">
        <f aca="false">IF(B948&gt;=9,AVERAGE(C940:C947),"")</f>
        <v>100.5</v>
      </c>
      <c r="G948" s="33" t="n">
        <f aca="false">IF(B948=1,"",IF(B948=2,C947,SES_Alpha*C947+(1-SES_Alpha)*G947))</f>
        <v>103.697711359</v>
      </c>
      <c r="H948" s="33" t="n">
        <f aca="false">IF(D948="","",D948-C948)</f>
        <v>26</v>
      </c>
      <c r="I948" s="33" t="n">
        <f aca="false">IF(E948="","",E948-C948)</f>
        <v>3.5</v>
      </c>
      <c r="J948" s="33" t="n">
        <f aca="false">IF(F948="","",F948-C948)</f>
        <v>4.5</v>
      </c>
      <c r="K948" s="33" t="n">
        <f aca="false">IF(G948="","",G948-C948)</f>
        <v>7.69771135899998</v>
      </c>
      <c r="L948" s="33" t="n">
        <f aca="false">IF(H948="","",ABS(H948))</f>
        <v>26</v>
      </c>
      <c r="M948" s="33" t="n">
        <f aca="false">IF(I948="","",ABS(I948))</f>
        <v>3.5</v>
      </c>
      <c r="N948" s="33" t="n">
        <f aca="false">IF(J948="","",ABS(J948))</f>
        <v>4.5</v>
      </c>
      <c r="O948" s="33" t="n">
        <f aca="false">IF(K948="","",ABS(K948))</f>
        <v>7.69771135899998</v>
      </c>
      <c r="P948" s="34" t="str">
        <f aca="false">IF(B948&gt;=Eval_Start_Week,"YES","")</f>
        <v/>
      </c>
      <c r="Q948" s="34" t="str">
        <f aca="false">IF(AND(B948&gt;=Cal_Start_Week,B948&lt;=Cal_End_Week),"YES","")</f>
        <v/>
      </c>
    </row>
    <row r="949" customFormat="false" ht="15" hidden="false" customHeight="false" outlineLevel="0" collapsed="false">
      <c r="A949" s="31" t="str">
        <f aca="false">Demand_History!C949</f>
        <v>KIT-010</v>
      </c>
      <c r="B949" s="31" t="n">
        <f aca="false">Demand_History!A949</f>
        <v>12</v>
      </c>
      <c r="C949" s="32" t="n">
        <f aca="false">Demand_History!D949</f>
        <v>95</v>
      </c>
      <c r="D949" s="33" t="n">
        <f aca="false">IF(B949&gt;=2,C948,"")</f>
        <v>96</v>
      </c>
      <c r="E949" s="33" t="n">
        <f aca="false">IF(B949&gt;=5,AVERAGE(C945:C948),"")</f>
        <v>101.25</v>
      </c>
      <c r="F949" s="33" t="n">
        <f aca="false">IF(B949&gt;=9,AVERAGE(C941:C948),"")</f>
        <v>100.25</v>
      </c>
      <c r="G949" s="33" t="n">
        <f aca="false">IF(B949=1,"",IF(B949=2,C948,SES_Alpha*C948+(1-SES_Alpha)*G948))</f>
        <v>101.3883979513</v>
      </c>
      <c r="H949" s="33" t="n">
        <f aca="false">IF(D949="","",D949-C949)</f>
        <v>1</v>
      </c>
      <c r="I949" s="33" t="n">
        <f aca="false">IF(E949="","",E949-C949)</f>
        <v>6.25</v>
      </c>
      <c r="J949" s="33" t="n">
        <f aca="false">IF(F949="","",F949-C949)</f>
        <v>5.25</v>
      </c>
      <c r="K949" s="33" t="n">
        <f aca="false">IF(G949="","",G949-C949)</f>
        <v>6.38839795129998</v>
      </c>
      <c r="L949" s="33" t="n">
        <f aca="false">IF(H949="","",ABS(H949))</f>
        <v>1</v>
      </c>
      <c r="M949" s="33" t="n">
        <f aca="false">IF(I949="","",ABS(I949))</f>
        <v>6.25</v>
      </c>
      <c r="N949" s="33" t="n">
        <f aca="false">IF(J949="","",ABS(J949))</f>
        <v>5.25</v>
      </c>
      <c r="O949" s="33" t="n">
        <f aca="false">IF(K949="","",ABS(K949))</f>
        <v>6.38839795129998</v>
      </c>
      <c r="P949" s="34" t="str">
        <f aca="false">IF(B949&gt;=Eval_Start_Week,"YES","")</f>
        <v/>
      </c>
      <c r="Q949" s="34" t="str">
        <f aca="false">IF(AND(B949&gt;=Cal_Start_Week,B949&lt;=Cal_End_Week),"YES","")</f>
        <v/>
      </c>
    </row>
    <row r="950" customFormat="false" ht="15" hidden="false" customHeight="false" outlineLevel="0" collapsed="false">
      <c r="A950" s="31" t="str">
        <f aca="false">Demand_History!C950</f>
        <v>KIT-010</v>
      </c>
      <c r="B950" s="31" t="n">
        <f aca="false">Demand_History!A950</f>
        <v>13</v>
      </c>
      <c r="C950" s="32" t="n">
        <f aca="false">Demand_History!D950</f>
        <v>94</v>
      </c>
      <c r="D950" s="33" t="n">
        <f aca="false">IF(B950&gt;=2,C949,"")</f>
        <v>95</v>
      </c>
      <c r="E950" s="33" t="n">
        <f aca="false">IF(B950&gt;=5,AVERAGE(C946:C949),"")</f>
        <v>102</v>
      </c>
      <c r="F950" s="33" t="n">
        <f aca="false">IF(B950&gt;=9,AVERAGE(C942:C949),"")</f>
        <v>98.25</v>
      </c>
      <c r="G950" s="33" t="n">
        <f aca="false">IF(B950=1,"",IF(B950=2,C949,SES_Alpha*C949+(1-SES_Alpha)*G949))</f>
        <v>99.47187856591</v>
      </c>
      <c r="H950" s="33" t="n">
        <f aca="false">IF(D950="","",D950-C950)</f>
        <v>1</v>
      </c>
      <c r="I950" s="33" t="n">
        <f aca="false">IF(E950="","",E950-C950)</f>
        <v>8</v>
      </c>
      <c r="J950" s="33" t="n">
        <f aca="false">IF(F950="","",F950-C950)</f>
        <v>4.25</v>
      </c>
      <c r="K950" s="33" t="n">
        <f aca="false">IF(G950="","",G950-C950)</f>
        <v>5.47187856590998</v>
      </c>
      <c r="L950" s="33" t="n">
        <f aca="false">IF(H950="","",ABS(H950))</f>
        <v>1</v>
      </c>
      <c r="M950" s="33" t="n">
        <f aca="false">IF(I950="","",ABS(I950))</f>
        <v>8</v>
      </c>
      <c r="N950" s="33" t="n">
        <f aca="false">IF(J950="","",ABS(J950))</f>
        <v>4.25</v>
      </c>
      <c r="O950" s="33" t="n">
        <f aca="false">IF(K950="","",ABS(K950))</f>
        <v>5.47187856590998</v>
      </c>
      <c r="P950" s="34" t="str">
        <f aca="false">IF(B950&gt;=Eval_Start_Week,"YES","")</f>
        <v/>
      </c>
      <c r="Q950" s="34" t="str">
        <f aca="false">IF(AND(B950&gt;=Cal_Start_Week,B950&lt;=Cal_End_Week),"YES","")</f>
        <v/>
      </c>
    </row>
    <row r="951" customFormat="false" ht="15" hidden="false" customHeight="false" outlineLevel="0" collapsed="false">
      <c r="A951" s="31" t="str">
        <f aca="false">Demand_History!C951</f>
        <v>KIT-010</v>
      </c>
      <c r="B951" s="31" t="n">
        <f aca="false">Demand_History!A951</f>
        <v>14</v>
      </c>
      <c r="C951" s="32" t="n">
        <f aca="false">Demand_History!D951</f>
        <v>98</v>
      </c>
      <c r="D951" s="33" t="n">
        <f aca="false">IF(B951&gt;=2,C950,"")</f>
        <v>94</v>
      </c>
      <c r="E951" s="33" t="n">
        <f aca="false">IF(B951&gt;=5,AVERAGE(C947:C950),"")</f>
        <v>101.75</v>
      </c>
      <c r="F951" s="33" t="n">
        <f aca="false">IF(B951&gt;=9,AVERAGE(C943:C950),"")</f>
        <v>98.125</v>
      </c>
      <c r="G951" s="33" t="n">
        <f aca="false">IF(B951=1,"",IF(B951=2,C950,SES_Alpha*C950+(1-SES_Alpha)*G950))</f>
        <v>97.830314996137</v>
      </c>
      <c r="H951" s="33" t="n">
        <f aca="false">IF(D951="","",D951-C951)</f>
        <v>-4</v>
      </c>
      <c r="I951" s="33" t="n">
        <f aca="false">IF(E951="","",E951-C951)</f>
        <v>3.75</v>
      </c>
      <c r="J951" s="33" t="n">
        <f aca="false">IF(F951="","",F951-C951)</f>
        <v>0.125</v>
      </c>
      <c r="K951" s="33" t="n">
        <f aca="false">IF(G951="","",G951-C951)</f>
        <v>-0.169685003863023</v>
      </c>
      <c r="L951" s="33" t="n">
        <f aca="false">IF(H951="","",ABS(H951))</f>
        <v>4</v>
      </c>
      <c r="M951" s="33" t="n">
        <f aca="false">IF(I951="","",ABS(I951))</f>
        <v>3.75</v>
      </c>
      <c r="N951" s="33" t="n">
        <f aca="false">IF(J951="","",ABS(J951))</f>
        <v>0.125</v>
      </c>
      <c r="O951" s="33" t="n">
        <f aca="false">IF(K951="","",ABS(K951))</f>
        <v>0.169685003863023</v>
      </c>
      <c r="P951" s="34" t="str">
        <f aca="false">IF(B951&gt;=Eval_Start_Week,"YES","")</f>
        <v/>
      </c>
      <c r="Q951" s="34" t="str">
        <f aca="false">IF(AND(B951&gt;=Cal_Start_Week,B951&lt;=Cal_End_Week),"YES","")</f>
        <v/>
      </c>
    </row>
    <row r="952" customFormat="false" ht="15" hidden="false" customHeight="false" outlineLevel="0" collapsed="false">
      <c r="A952" s="31" t="str">
        <f aca="false">Demand_History!C952</f>
        <v>KIT-010</v>
      </c>
      <c r="B952" s="31" t="n">
        <f aca="false">Demand_History!A952</f>
        <v>15</v>
      </c>
      <c r="C952" s="32" t="n">
        <f aca="false">Demand_History!D952</f>
        <v>107</v>
      </c>
      <c r="D952" s="33" t="n">
        <f aca="false">IF(B952&gt;=2,C951,"")</f>
        <v>98</v>
      </c>
      <c r="E952" s="33" t="n">
        <f aca="false">IF(B952&gt;=5,AVERAGE(C948:C951),"")</f>
        <v>95.75</v>
      </c>
      <c r="F952" s="33" t="n">
        <f aca="false">IF(B952&gt;=9,AVERAGE(C944:C951),"")</f>
        <v>97.625</v>
      </c>
      <c r="G952" s="33" t="n">
        <f aca="false">IF(B952=1,"",IF(B952=2,C951,SES_Alpha*C951+(1-SES_Alpha)*G951))</f>
        <v>97.8812204972959</v>
      </c>
      <c r="H952" s="33" t="n">
        <f aca="false">IF(D952="","",D952-C952)</f>
        <v>-9</v>
      </c>
      <c r="I952" s="33" t="n">
        <f aca="false">IF(E952="","",E952-C952)</f>
        <v>-11.25</v>
      </c>
      <c r="J952" s="33" t="n">
        <f aca="false">IF(F952="","",F952-C952)</f>
        <v>-9.375</v>
      </c>
      <c r="K952" s="33" t="n">
        <f aca="false">IF(G952="","",G952-C952)</f>
        <v>-9.11877950270412</v>
      </c>
      <c r="L952" s="33" t="n">
        <f aca="false">IF(H952="","",ABS(H952))</f>
        <v>9</v>
      </c>
      <c r="M952" s="33" t="n">
        <f aca="false">IF(I952="","",ABS(I952))</f>
        <v>11.25</v>
      </c>
      <c r="N952" s="33" t="n">
        <f aca="false">IF(J952="","",ABS(J952))</f>
        <v>9.375</v>
      </c>
      <c r="O952" s="33" t="n">
        <f aca="false">IF(K952="","",ABS(K952))</f>
        <v>9.11877950270412</v>
      </c>
      <c r="P952" s="34" t="str">
        <f aca="false">IF(B952&gt;=Eval_Start_Week,"YES","")</f>
        <v/>
      </c>
      <c r="Q952" s="34" t="str">
        <f aca="false">IF(AND(B952&gt;=Cal_Start_Week,B952&lt;=Cal_End_Week),"YES","")</f>
        <v/>
      </c>
    </row>
    <row r="953" customFormat="false" ht="15" hidden="false" customHeight="false" outlineLevel="0" collapsed="false">
      <c r="A953" s="31" t="str">
        <f aca="false">Demand_History!C953</f>
        <v>KIT-010</v>
      </c>
      <c r="B953" s="31" t="n">
        <f aca="false">Demand_History!A953</f>
        <v>16</v>
      </c>
      <c r="C953" s="32" t="n">
        <f aca="false">Demand_History!D953</f>
        <v>102</v>
      </c>
      <c r="D953" s="33" t="n">
        <f aca="false">IF(B953&gt;=2,C952,"")</f>
        <v>107</v>
      </c>
      <c r="E953" s="33" t="n">
        <f aca="false">IF(B953&gt;=5,AVERAGE(C949:C952),"")</f>
        <v>98.5</v>
      </c>
      <c r="F953" s="33" t="n">
        <f aca="false">IF(B953&gt;=9,AVERAGE(C945:C952),"")</f>
        <v>99.875</v>
      </c>
      <c r="G953" s="33" t="n">
        <f aca="false">IF(B953=1,"",IF(B953=2,C952,SES_Alpha*C952+(1-SES_Alpha)*G952))</f>
        <v>100.616854348107</v>
      </c>
      <c r="H953" s="33" t="n">
        <f aca="false">IF(D953="","",D953-C953)</f>
        <v>5</v>
      </c>
      <c r="I953" s="33" t="n">
        <f aca="false">IF(E953="","",E953-C953)</f>
        <v>-3.5</v>
      </c>
      <c r="J953" s="33" t="n">
        <f aca="false">IF(F953="","",F953-C953)</f>
        <v>-2.125</v>
      </c>
      <c r="K953" s="33" t="n">
        <f aca="false">IF(G953="","",G953-C953)</f>
        <v>-1.38314565189287</v>
      </c>
      <c r="L953" s="33" t="n">
        <f aca="false">IF(H953="","",ABS(H953))</f>
        <v>5</v>
      </c>
      <c r="M953" s="33" t="n">
        <f aca="false">IF(I953="","",ABS(I953))</f>
        <v>3.5</v>
      </c>
      <c r="N953" s="33" t="n">
        <f aca="false">IF(J953="","",ABS(J953))</f>
        <v>2.125</v>
      </c>
      <c r="O953" s="33" t="n">
        <f aca="false">IF(K953="","",ABS(K953))</f>
        <v>1.38314565189287</v>
      </c>
      <c r="P953" s="34" t="str">
        <f aca="false">IF(B953&gt;=Eval_Start_Week,"YES","")</f>
        <v/>
      </c>
      <c r="Q953" s="34" t="str">
        <f aca="false">IF(AND(B953&gt;=Cal_Start_Week,B953&lt;=Cal_End_Week),"YES","")</f>
        <v/>
      </c>
    </row>
    <row r="954" customFormat="false" ht="15" hidden="false" customHeight="false" outlineLevel="0" collapsed="false">
      <c r="A954" s="31" t="str">
        <f aca="false">Demand_History!C954</f>
        <v>KIT-010</v>
      </c>
      <c r="B954" s="31" t="n">
        <f aca="false">Demand_History!A954</f>
        <v>17</v>
      </c>
      <c r="C954" s="32" t="n">
        <f aca="false">Demand_History!D954</f>
        <v>121</v>
      </c>
      <c r="D954" s="33" t="n">
        <f aca="false">IF(B954&gt;=2,C953,"")</f>
        <v>102</v>
      </c>
      <c r="E954" s="33" t="n">
        <f aca="false">IF(B954&gt;=5,AVERAGE(C950:C953),"")</f>
        <v>100.25</v>
      </c>
      <c r="F954" s="33" t="n">
        <f aca="false">IF(B954&gt;=9,AVERAGE(C946:C953),"")</f>
        <v>101.125</v>
      </c>
      <c r="G954" s="33" t="n">
        <f aca="false">IF(B954=1,"",IF(B954=2,C953,SES_Alpha*C953+(1-SES_Alpha)*G953))</f>
        <v>101.031798043675</v>
      </c>
      <c r="H954" s="33" t="n">
        <f aca="false">IF(D954="","",D954-C954)</f>
        <v>-19</v>
      </c>
      <c r="I954" s="33" t="n">
        <f aca="false">IF(E954="","",E954-C954)</f>
        <v>-20.75</v>
      </c>
      <c r="J954" s="33" t="n">
        <f aca="false">IF(F954="","",F954-C954)</f>
        <v>-19.875</v>
      </c>
      <c r="K954" s="33" t="n">
        <f aca="false">IF(G954="","",G954-C954)</f>
        <v>-19.968201956325</v>
      </c>
      <c r="L954" s="33" t="n">
        <f aca="false">IF(H954="","",ABS(H954))</f>
        <v>19</v>
      </c>
      <c r="M954" s="33" t="n">
        <f aca="false">IF(I954="","",ABS(I954))</f>
        <v>20.75</v>
      </c>
      <c r="N954" s="33" t="n">
        <f aca="false">IF(J954="","",ABS(J954))</f>
        <v>19.875</v>
      </c>
      <c r="O954" s="33" t="n">
        <f aca="false">IF(K954="","",ABS(K954))</f>
        <v>19.968201956325</v>
      </c>
      <c r="P954" s="34" t="str">
        <f aca="false">IF(B954&gt;=Eval_Start_Week,"YES","")</f>
        <v/>
      </c>
      <c r="Q954" s="34" t="str">
        <f aca="false">IF(AND(B954&gt;=Cal_Start_Week,B954&lt;=Cal_End_Week),"YES","")</f>
        <v/>
      </c>
    </row>
    <row r="955" customFormat="false" ht="15" hidden="false" customHeight="false" outlineLevel="0" collapsed="false">
      <c r="A955" s="31" t="str">
        <f aca="false">Demand_History!C955</f>
        <v>KIT-010</v>
      </c>
      <c r="B955" s="31" t="n">
        <f aca="false">Demand_History!A955</f>
        <v>18</v>
      </c>
      <c r="C955" s="32" t="n">
        <f aca="false">Demand_History!D955</f>
        <v>102</v>
      </c>
      <c r="D955" s="33" t="n">
        <f aca="false">IF(B955&gt;=2,C954,"")</f>
        <v>121</v>
      </c>
      <c r="E955" s="33" t="n">
        <f aca="false">IF(B955&gt;=5,AVERAGE(C951:C954),"")</f>
        <v>107</v>
      </c>
      <c r="F955" s="33" t="n">
        <f aca="false">IF(B955&gt;=9,AVERAGE(C947:C954),"")</f>
        <v>104.375</v>
      </c>
      <c r="G955" s="33" t="n">
        <f aca="false">IF(B955=1,"",IF(B955=2,C954,SES_Alpha*C954+(1-SES_Alpha)*G954))</f>
        <v>107.022258630572</v>
      </c>
      <c r="H955" s="33" t="n">
        <f aca="false">IF(D955="","",D955-C955)</f>
        <v>19</v>
      </c>
      <c r="I955" s="33" t="n">
        <f aca="false">IF(E955="","",E955-C955)</f>
        <v>5</v>
      </c>
      <c r="J955" s="33" t="n">
        <f aca="false">IF(F955="","",F955-C955)</f>
        <v>2.375</v>
      </c>
      <c r="K955" s="33" t="n">
        <f aca="false">IF(G955="","",G955-C955)</f>
        <v>5.02225863057248</v>
      </c>
      <c r="L955" s="33" t="n">
        <f aca="false">IF(H955="","",ABS(H955))</f>
        <v>19</v>
      </c>
      <c r="M955" s="33" t="n">
        <f aca="false">IF(I955="","",ABS(I955))</f>
        <v>5</v>
      </c>
      <c r="N955" s="33" t="n">
        <f aca="false">IF(J955="","",ABS(J955))</f>
        <v>2.375</v>
      </c>
      <c r="O955" s="33" t="n">
        <f aca="false">IF(K955="","",ABS(K955))</f>
        <v>5.02225863057248</v>
      </c>
      <c r="P955" s="34" t="str">
        <f aca="false">IF(B955&gt;=Eval_Start_Week,"YES","")</f>
        <v/>
      </c>
      <c r="Q955" s="34" t="str">
        <f aca="false">IF(AND(B955&gt;=Cal_Start_Week,B955&lt;=Cal_End_Week),"YES","")</f>
        <v/>
      </c>
    </row>
    <row r="956" customFormat="false" ht="15" hidden="false" customHeight="false" outlineLevel="0" collapsed="false">
      <c r="A956" s="31" t="str">
        <f aca="false">Demand_History!C956</f>
        <v>KIT-010</v>
      </c>
      <c r="B956" s="31" t="n">
        <f aca="false">Demand_History!A956</f>
        <v>19</v>
      </c>
      <c r="C956" s="32" t="n">
        <f aca="false">Demand_History!D956</f>
        <v>115</v>
      </c>
      <c r="D956" s="33" t="n">
        <f aca="false">IF(B956&gt;=2,C955,"")</f>
        <v>102</v>
      </c>
      <c r="E956" s="33" t="n">
        <f aca="false">IF(B956&gt;=5,AVERAGE(C952:C955),"")</f>
        <v>108</v>
      </c>
      <c r="F956" s="33" t="n">
        <f aca="false">IF(B956&gt;=9,AVERAGE(C948:C955),"")</f>
        <v>101.875</v>
      </c>
      <c r="G956" s="33" t="n">
        <f aca="false">IF(B956=1,"",IF(B956=2,C955,SES_Alpha*C955+(1-SES_Alpha)*G955))</f>
        <v>105.515581041401</v>
      </c>
      <c r="H956" s="33" t="n">
        <f aca="false">IF(D956="","",D956-C956)</f>
        <v>-13</v>
      </c>
      <c r="I956" s="33" t="n">
        <f aca="false">IF(E956="","",E956-C956)</f>
        <v>-7</v>
      </c>
      <c r="J956" s="33" t="n">
        <f aca="false">IF(F956="","",F956-C956)</f>
        <v>-13.125</v>
      </c>
      <c r="K956" s="33" t="n">
        <f aca="false">IF(G956="","",G956-C956)</f>
        <v>-9.48441895859928</v>
      </c>
      <c r="L956" s="33" t="n">
        <f aca="false">IF(H956="","",ABS(H956))</f>
        <v>13</v>
      </c>
      <c r="M956" s="33" t="n">
        <f aca="false">IF(I956="","",ABS(I956))</f>
        <v>7</v>
      </c>
      <c r="N956" s="33" t="n">
        <f aca="false">IF(J956="","",ABS(J956))</f>
        <v>13.125</v>
      </c>
      <c r="O956" s="33" t="n">
        <f aca="false">IF(K956="","",ABS(K956))</f>
        <v>9.48441895859928</v>
      </c>
      <c r="P956" s="34" t="str">
        <f aca="false">IF(B956&gt;=Eval_Start_Week,"YES","")</f>
        <v/>
      </c>
      <c r="Q956" s="34" t="str">
        <f aca="false">IF(AND(B956&gt;=Cal_Start_Week,B956&lt;=Cal_End_Week),"YES","")</f>
        <v/>
      </c>
    </row>
    <row r="957" customFormat="false" ht="15" hidden="false" customHeight="false" outlineLevel="0" collapsed="false">
      <c r="A957" s="31" t="str">
        <f aca="false">Demand_History!C957</f>
        <v>KIT-010</v>
      </c>
      <c r="B957" s="31" t="n">
        <f aca="false">Demand_History!A957</f>
        <v>20</v>
      </c>
      <c r="C957" s="32" t="n">
        <f aca="false">Demand_History!D957</f>
        <v>103</v>
      </c>
      <c r="D957" s="33" t="n">
        <f aca="false">IF(B957&gt;=2,C956,"")</f>
        <v>115</v>
      </c>
      <c r="E957" s="33" t="n">
        <f aca="false">IF(B957&gt;=5,AVERAGE(C953:C956),"")</f>
        <v>110</v>
      </c>
      <c r="F957" s="33" t="n">
        <f aca="false">IF(B957&gt;=9,AVERAGE(C949:C956),"")</f>
        <v>104.25</v>
      </c>
      <c r="G957" s="33" t="n">
        <f aca="false">IF(B957=1,"",IF(B957=2,C956,SES_Alpha*C956+(1-SES_Alpha)*G956))</f>
        <v>108.360906728981</v>
      </c>
      <c r="H957" s="33" t="n">
        <f aca="false">IF(D957="","",D957-C957)</f>
        <v>12</v>
      </c>
      <c r="I957" s="33" t="n">
        <f aca="false">IF(E957="","",E957-C957)</f>
        <v>7</v>
      </c>
      <c r="J957" s="33" t="n">
        <f aca="false">IF(F957="","",F957-C957)</f>
        <v>1.25</v>
      </c>
      <c r="K957" s="33" t="n">
        <f aca="false">IF(G957="","",G957-C957)</f>
        <v>5.3609067289805</v>
      </c>
      <c r="L957" s="33" t="n">
        <f aca="false">IF(H957="","",ABS(H957))</f>
        <v>12</v>
      </c>
      <c r="M957" s="33" t="n">
        <f aca="false">IF(I957="","",ABS(I957))</f>
        <v>7</v>
      </c>
      <c r="N957" s="33" t="n">
        <f aca="false">IF(J957="","",ABS(J957))</f>
        <v>1.25</v>
      </c>
      <c r="O957" s="33" t="n">
        <f aca="false">IF(K957="","",ABS(K957))</f>
        <v>5.3609067289805</v>
      </c>
      <c r="P957" s="34" t="str">
        <f aca="false">IF(B957&gt;=Eval_Start_Week,"YES","")</f>
        <v/>
      </c>
      <c r="Q957" s="34" t="str">
        <f aca="false">IF(AND(B957&gt;=Cal_Start_Week,B957&lt;=Cal_End_Week),"YES","")</f>
        <v/>
      </c>
    </row>
    <row r="958" customFormat="false" ht="15" hidden="false" customHeight="false" outlineLevel="0" collapsed="false">
      <c r="A958" s="31" t="str">
        <f aca="false">Demand_History!C958</f>
        <v>KIT-010</v>
      </c>
      <c r="B958" s="31" t="n">
        <f aca="false">Demand_History!A958</f>
        <v>21</v>
      </c>
      <c r="C958" s="32" t="n">
        <f aca="false">Demand_History!D958</f>
        <v>106</v>
      </c>
      <c r="D958" s="33" t="n">
        <f aca="false">IF(B958&gt;=2,C957,"")</f>
        <v>103</v>
      </c>
      <c r="E958" s="33" t="n">
        <f aca="false">IF(B958&gt;=5,AVERAGE(C954:C957),"")</f>
        <v>110.25</v>
      </c>
      <c r="F958" s="33" t="n">
        <f aca="false">IF(B958&gt;=9,AVERAGE(C950:C957),"")</f>
        <v>105.25</v>
      </c>
      <c r="G958" s="33" t="n">
        <f aca="false">IF(B958=1,"",IF(B958=2,C957,SES_Alpha*C957+(1-SES_Alpha)*G957))</f>
        <v>106.752634710286</v>
      </c>
      <c r="H958" s="33" t="n">
        <f aca="false">IF(D958="","",D958-C958)</f>
        <v>-3</v>
      </c>
      <c r="I958" s="33" t="n">
        <f aca="false">IF(E958="","",E958-C958)</f>
        <v>4.25</v>
      </c>
      <c r="J958" s="33" t="n">
        <f aca="false">IF(F958="","",F958-C958)</f>
        <v>-0.75</v>
      </c>
      <c r="K958" s="33" t="n">
        <f aca="false">IF(G958="","",G958-C958)</f>
        <v>0.752634710286344</v>
      </c>
      <c r="L958" s="33" t="n">
        <f aca="false">IF(H958="","",ABS(H958))</f>
        <v>3</v>
      </c>
      <c r="M958" s="33" t="n">
        <f aca="false">IF(I958="","",ABS(I958))</f>
        <v>4.25</v>
      </c>
      <c r="N958" s="33" t="n">
        <f aca="false">IF(J958="","",ABS(J958))</f>
        <v>0.75</v>
      </c>
      <c r="O958" s="33" t="n">
        <f aca="false">IF(K958="","",ABS(K958))</f>
        <v>0.752634710286344</v>
      </c>
      <c r="P958" s="34" t="str">
        <f aca="false">IF(B958&gt;=Eval_Start_Week,"YES","")</f>
        <v/>
      </c>
      <c r="Q958" s="34" t="str">
        <f aca="false">IF(AND(B958&gt;=Cal_Start_Week,B958&lt;=Cal_End_Week),"YES","")</f>
        <v/>
      </c>
    </row>
    <row r="959" customFormat="false" ht="15" hidden="false" customHeight="false" outlineLevel="0" collapsed="false">
      <c r="A959" s="31" t="str">
        <f aca="false">Demand_History!C959</f>
        <v>KIT-010</v>
      </c>
      <c r="B959" s="31" t="n">
        <f aca="false">Demand_History!A959</f>
        <v>22</v>
      </c>
      <c r="C959" s="32" t="n">
        <f aca="false">Demand_History!D959</f>
        <v>85</v>
      </c>
      <c r="D959" s="33" t="n">
        <f aca="false">IF(B959&gt;=2,C958,"")</f>
        <v>106</v>
      </c>
      <c r="E959" s="33" t="n">
        <f aca="false">IF(B959&gt;=5,AVERAGE(C955:C958),"")</f>
        <v>106.5</v>
      </c>
      <c r="F959" s="33" t="n">
        <f aca="false">IF(B959&gt;=9,AVERAGE(C951:C958),"")</f>
        <v>106.75</v>
      </c>
      <c r="G959" s="33" t="n">
        <f aca="false">IF(B959=1,"",IF(B959=2,C958,SES_Alpha*C958+(1-SES_Alpha)*G958))</f>
        <v>106.5268442972</v>
      </c>
      <c r="H959" s="33" t="n">
        <f aca="false">IF(D959="","",D959-C959)</f>
        <v>21</v>
      </c>
      <c r="I959" s="33" t="n">
        <f aca="false">IF(E959="","",E959-C959)</f>
        <v>21.5</v>
      </c>
      <c r="J959" s="33" t="n">
        <f aca="false">IF(F959="","",F959-C959)</f>
        <v>21.75</v>
      </c>
      <c r="K959" s="33" t="n">
        <f aca="false">IF(G959="","",G959-C959)</f>
        <v>21.5268442972004</v>
      </c>
      <c r="L959" s="33" t="n">
        <f aca="false">IF(H959="","",ABS(H959))</f>
        <v>21</v>
      </c>
      <c r="M959" s="33" t="n">
        <f aca="false">IF(I959="","",ABS(I959))</f>
        <v>21.5</v>
      </c>
      <c r="N959" s="33" t="n">
        <f aca="false">IF(J959="","",ABS(J959))</f>
        <v>21.75</v>
      </c>
      <c r="O959" s="33" t="n">
        <f aca="false">IF(K959="","",ABS(K959))</f>
        <v>21.5268442972004</v>
      </c>
      <c r="P959" s="34" t="str">
        <f aca="false">IF(B959&gt;=Eval_Start_Week,"YES","")</f>
        <v/>
      </c>
      <c r="Q959" s="34" t="str">
        <f aca="false">IF(AND(B959&gt;=Cal_Start_Week,B959&lt;=Cal_End_Week),"YES","")</f>
        <v/>
      </c>
    </row>
    <row r="960" customFormat="false" ht="15" hidden="false" customHeight="false" outlineLevel="0" collapsed="false">
      <c r="A960" s="31" t="str">
        <f aca="false">Demand_History!C960</f>
        <v>KIT-010</v>
      </c>
      <c r="B960" s="31" t="n">
        <f aca="false">Demand_History!A960</f>
        <v>23</v>
      </c>
      <c r="C960" s="32" t="n">
        <f aca="false">Demand_History!D960</f>
        <v>99</v>
      </c>
      <c r="D960" s="33" t="n">
        <f aca="false">IF(B960&gt;=2,C959,"")</f>
        <v>85</v>
      </c>
      <c r="E960" s="33" t="n">
        <f aca="false">IF(B960&gt;=5,AVERAGE(C956:C959),"")</f>
        <v>102.25</v>
      </c>
      <c r="F960" s="33" t="n">
        <f aca="false">IF(B960&gt;=9,AVERAGE(C952:C959),"")</f>
        <v>105.125</v>
      </c>
      <c r="G960" s="33" t="n">
        <f aca="false">IF(B960=1,"",IF(B960=2,C959,SES_Alpha*C959+(1-SES_Alpha)*G959))</f>
        <v>100.06879100804</v>
      </c>
      <c r="H960" s="33" t="n">
        <f aca="false">IF(D960="","",D960-C960)</f>
        <v>-14</v>
      </c>
      <c r="I960" s="33" t="n">
        <f aca="false">IF(E960="","",E960-C960)</f>
        <v>3.25</v>
      </c>
      <c r="J960" s="33" t="n">
        <f aca="false">IF(F960="","",F960-C960)</f>
        <v>6.125</v>
      </c>
      <c r="K960" s="33" t="n">
        <f aca="false">IF(G960="","",G960-C960)</f>
        <v>1.06879100804029</v>
      </c>
      <c r="L960" s="33" t="n">
        <f aca="false">IF(H960="","",ABS(H960))</f>
        <v>14</v>
      </c>
      <c r="M960" s="33" t="n">
        <f aca="false">IF(I960="","",ABS(I960))</f>
        <v>3.25</v>
      </c>
      <c r="N960" s="33" t="n">
        <f aca="false">IF(J960="","",ABS(J960))</f>
        <v>6.125</v>
      </c>
      <c r="O960" s="33" t="n">
        <f aca="false">IF(K960="","",ABS(K960))</f>
        <v>1.06879100804029</v>
      </c>
      <c r="P960" s="34" t="str">
        <f aca="false">IF(B960&gt;=Eval_Start_Week,"YES","")</f>
        <v/>
      </c>
      <c r="Q960" s="34" t="str">
        <f aca="false">IF(AND(B960&gt;=Cal_Start_Week,B960&lt;=Cal_End_Week),"YES","")</f>
        <v/>
      </c>
    </row>
    <row r="961" customFormat="false" ht="15" hidden="false" customHeight="false" outlineLevel="0" collapsed="false">
      <c r="A961" s="31" t="str">
        <f aca="false">Demand_History!C961</f>
        <v>KIT-010</v>
      </c>
      <c r="B961" s="31" t="n">
        <f aca="false">Demand_History!A961</f>
        <v>24</v>
      </c>
      <c r="C961" s="32" t="n">
        <f aca="false">Demand_History!D961</f>
        <v>99</v>
      </c>
      <c r="D961" s="33" t="n">
        <f aca="false">IF(B961&gt;=2,C960,"")</f>
        <v>99</v>
      </c>
      <c r="E961" s="33" t="n">
        <f aca="false">IF(B961&gt;=5,AVERAGE(C957:C960),"")</f>
        <v>98.25</v>
      </c>
      <c r="F961" s="33" t="n">
        <f aca="false">IF(B961&gt;=9,AVERAGE(C953:C960),"")</f>
        <v>104.125</v>
      </c>
      <c r="G961" s="33" t="n">
        <f aca="false">IF(B961=1,"",IF(B961=2,C960,SES_Alpha*C960+(1-SES_Alpha)*G960))</f>
        <v>99.7481537056282</v>
      </c>
      <c r="H961" s="33" t="n">
        <f aca="false">IF(D961="","",D961-C961)</f>
        <v>0</v>
      </c>
      <c r="I961" s="33" t="n">
        <f aca="false">IF(E961="","",E961-C961)</f>
        <v>-0.75</v>
      </c>
      <c r="J961" s="33" t="n">
        <f aca="false">IF(F961="","",F961-C961)</f>
        <v>5.125</v>
      </c>
      <c r="K961" s="33" t="n">
        <f aca="false">IF(G961="","",G961-C961)</f>
        <v>0.748153705628198</v>
      </c>
      <c r="L961" s="33" t="n">
        <f aca="false">IF(H961="","",ABS(H961))</f>
        <v>0</v>
      </c>
      <c r="M961" s="33" t="n">
        <f aca="false">IF(I961="","",ABS(I961))</f>
        <v>0.75</v>
      </c>
      <c r="N961" s="33" t="n">
        <f aca="false">IF(J961="","",ABS(J961))</f>
        <v>5.125</v>
      </c>
      <c r="O961" s="33" t="n">
        <f aca="false">IF(K961="","",ABS(K961))</f>
        <v>0.748153705628198</v>
      </c>
      <c r="P961" s="34" t="str">
        <f aca="false">IF(B961&gt;=Eval_Start_Week,"YES","")</f>
        <v/>
      </c>
      <c r="Q961" s="34" t="str">
        <f aca="false">IF(AND(B961&gt;=Cal_Start_Week,B961&lt;=Cal_End_Week),"YES","")</f>
        <v/>
      </c>
    </row>
    <row r="962" customFormat="false" ht="15" hidden="false" customHeight="false" outlineLevel="0" collapsed="false">
      <c r="A962" s="31" t="str">
        <f aca="false">Demand_History!C962</f>
        <v>KIT-010</v>
      </c>
      <c r="B962" s="31" t="n">
        <f aca="false">Demand_History!A962</f>
        <v>25</v>
      </c>
      <c r="C962" s="32" t="n">
        <f aca="false">Demand_History!D962</f>
        <v>98</v>
      </c>
      <c r="D962" s="33" t="n">
        <f aca="false">IF(B962&gt;=2,C961,"")</f>
        <v>99</v>
      </c>
      <c r="E962" s="33" t="n">
        <f aca="false">IF(B962&gt;=5,AVERAGE(C958:C961),"")</f>
        <v>97.25</v>
      </c>
      <c r="F962" s="33" t="n">
        <f aca="false">IF(B962&gt;=9,AVERAGE(C954:C961),"")</f>
        <v>103.75</v>
      </c>
      <c r="G962" s="33" t="n">
        <f aca="false">IF(B962=1,"",IF(B962=2,C961,SES_Alpha*C961+(1-SES_Alpha)*G961))</f>
        <v>99.5237075939397</v>
      </c>
      <c r="H962" s="33" t="n">
        <f aca="false">IF(D962="","",D962-C962)</f>
        <v>1</v>
      </c>
      <c r="I962" s="33" t="n">
        <f aca="false">IF(E962="","",E962-C962)</f>
        <v>-0.75</v>
      </c>
      <c r="J962" s="33" t="n">
        <f aca="false">IF(F962="","",F962-C962)</f>
        <v>5.75</v>
      </c>
      <c r="K962" s="33" t="n">
        <f aca="false">IF(G962="","",G962-C962)</f>
        <v>1.52370759393973</v>
      </c>
      <c r="L962" s="33" t="n">
        <f aca="false">IF(H962="","",ABS(H962))</f>
        <v>1</v>
      </c>
      <c r="M962" s="33" t="n">
        <f aca="false">IF(I962="","",ABS(I962))</f>
        <v>0.75</v>
      </c>
      <c r="N962" s="33" t="n">
        <f aca="false">IF(J962="","",ABS(J962))</f>
        <v>5.75</v>
      </c>
      <c r="O962" s="33" t="n">
        <f aca="false">IF(K962="","",ABS(K962))</f>
        <v>1.52370759393973</v>
      </c>
      <c r="P962" s="34" t="str">
        <f aca="false">IF(B962&gt;=Eval_Start_Week,"YES","")</f>
        <v/>
      </c>
      <c r="Q962" s="34" t="str">
        <f aca="false">IF(AND(B962&gt;=Cal_Start_Week,B962&lt;=Cal_End_Week),"YES","")</f>
        <v/>
      </c>
    </row>
    <row r="963" customFormat="false" ht="15" hidden="false" customHeight="false" outlineLevel="0" collapsed="false">
      <c r="A963" s="31" t="str">
        <f aca="false">Demand_History!C963</f>
        <v>KIT-010</v>
      </c>
      <c r="B963" s="31" t="n">
        <f aca="false">Demand_History!A963</f>
        <v>26</v>
      </c>
      <c r="C963" s="32" t="n">
        <f aca="false">Demand_History!D963</f>
        <v>78</v>
      </c>
      <c r="D963" s="33" t="n">
        <f aca="false">IF(B963&gt;=2,C962,"")</f>
        <v>98</v>
      </c>
      <c r="E963" s="33" t="n">
        <f aca="false">IF(B963&gt;=5,AVERAGE(C959:C962),"")</f>
        <v>95.25</v>
      </c>
      <c r="F963" s="33" t="n">
        <f aca="false">IF(B963&gt;=9,AVERAGE(C955:C962),"")</f>
        <v>100.875</v>
      </c>
      <c r="G963" s="33" t="n">
        <f aca="false">IF(B963=1,"",IF(B963=2,C962,SES_Alpha*C962+(1-SES_Alpha)*G962))</f>
        <v>99.0665953157578</v>
      </c>
      <c r="H963" s="33" t="n">
        <f aca="false">IF(D963="","",D963-C963)</f>
        <v>20</v>
      </c>
      <c r="I963" s="33" t="n">
        <f aca="false">IF(E963="","",E963-C963)</f>
        <v>17.25</v>
      </c>
      <c r="J963" s="33" t="n">
        <f aca="false">IF(F963="","",F963-C963)</f>
        <v>22.875</v>
      </c>
      <c r="K963" s="33" t="n">
        <f aca="false">IF(G963="","",G963-C963)</f>
        <v>21.0665953157578</v>
      </c>
      <c r="L963" s="33" t="n">
        <f aca="false">IF(H963="","",ABS(H963))</f>
        <v>20</v>
      </c>
      <c r="M963" s="33" t="n">
        <f aca="false">IF(I963="","",ABS(I963))</f>
        <v>17.25</v>
      </c>
      <c r="N963" s="33" t="n">
        <f aca="false">IF(J963="","",ABS(J963))</f>
        <v>22.875</v>
      </c>
      <c r="O963" s="33" t="n">
        <f aca="false">IF(K963="","",ABS(K963))</f>
        <v>21.0665953157578</v>
      </c>
      <c r="P963" s="34" t="str">
        <f aca="false">IF(B963&gt;=Eval_Start_Week,"YES","")</f>
        <v/>
      </c>
      <c r="Q963" s="34" t="str">
        <f aca="false">IF(AND(B963&gt;=Cal_Start_Week,B963&lt;=Cal_End_Week),"YES","")</f>
        <v/>
      </c>
    </row>
    <row r="964" customFormat="false" ht="15" hidden="false" customHeight="false" outlineLevel="0" collapsed="false">
      <c r="A964" s="31" t="str">
        <f aca="false">Demand_History!C964</f>
        <v>KIT-010</v>
      </c>
      <c r="B964" s="31" t="n">
        <f aca="false">Demand_History!A964</f>
        <v>27</v>
      </c>
      <c r="C964" s="32" t="n">
        <f aca="false">Demand_History!D964</f>
        <v>109</v>
      </c>
      <c r="D964" s="33" t="n">
        <f aca="false">IF(B964&gt;=2,C963,"")</f>
        <v>78</v>
      </c>
      <c r="E964" s="33" t="n">
        <f aca="false">IF(B964&gt;=5,AVERAGE(C960:C963),"")</f>
        <v>93.5</v>
      </c>
      <c r="F964" s="33" t="n">
        <f aca="false">IF(B964&gt;=9,AVERAGE(C956:C963),"")</f>
        <v>97.875</v>
      </c>
      <c r="G964" s="33" t="n">
        <f aca="false">IF(B964=1,"",IF(B964=2,C963,SES_Alpha*C963+(1-SES_Alpha)*G963))</f>
        <v>92.7466167210305</v>
      </c>
      <c r="H964" s="33" t="n">
        <f aca="false">IF(D964="","",D964-C964)</f>
        <v>-31</v>
      </c>
      <c r="I964" s="33" t="n">
        <f aca="false">IF(E964="","",E964-C964)</f>
        <v>-15.5</v>
      </c>
      <c r="J964" s="33" t="n">
        <f aca="false">IF(F964="","",F964-C964)</f>
        <v>-11.125</v>
      </c>
      <c r="K964" s="33" t="n">
        <f aca="false">IF(G964="","",G964-C964)</f>
        <v>-16.2533832789696</v>
      </c>
      <c r="L964" s="33" t="n">
        <f aca="false">IF(H964="","",ABS(H964))</f>
        <v>31</v>
      </c>
      <c r="M964" s="33" t="n">
        <f aca="false">IF(I964="","",ABS(I964))</f>
        <v>15.5</v>
      </c>
      <c r="N964" s="33" t="n">
        <f aca="false">IF(J964="","",ABS(J964))</f>
        <v>11.125</v>
      </c>
      <c r="O964" s="33" t="n">
        <f aca="false">IF(K964="","",ABS(K964))</f>
        <v>16.2533832789696</v>
      </c>
      <c r="P964" s="34" t="str">
        <f aca="false">IF(B964&gt;=Eval_Start_Week,"YES","")</f>
        <v/>
      </c>
      <c r="Q964" s="34" t="str">
        <f aca="false">IF(AND(B964&gt;=Cal_Start_Week,B964&lt;=Cal_End_Week),"YES","")</f>
        <v/>
      </c>
    </row>
    <row r="965" customFormat="false" ht="15" hidden="false" customHeight="false" outlineLevel="0" collapsed="false">
      <c r="A965" s="31" t="str">
        <f aca="false">Demand_History!C965</f>
        <v>KIT-010</v>
      </c>
      <c r="B965" s="31" t="n">
        <f aca="false">Demand_History!A965</f>
        <v>28</v>
      </c>
      <c r="C965" s="32" t="n">
        <f aca="false">Demand_History!D965</f>
        <v>96</v>
      </c>
      <c r="D965" s="33" t="n">
        <f aca="false">IF(B965&gt;=2,C964,"")</f>
        <v>109</v>
      </c>
      <c r="E965" s="33" t="n">
        <f aca="false">IF(B965&gt;=5,AVERAGE(C961:C964),"")</f>
        <v>96</v>
      </c>
      <c r="F965" s="33" t="n">
        <f aca="false">IF(B965&gt;=9,AVERAGE(C957:C964),"")</f>
        <v>97.125</v>
      </c>
      <c r="G965" s="33" t="n">
        <f aca="false">IF(B965=1,"",IF(B965=2,C964,SES_Alpha*C964+(1-SES_Alpha)*G964))</f>
        <v>97.6226317047213</v>
      </c>
      <c r="H965" s="33" t="n">
        <f aca="false">IF(D965="","",D965-C965)</f>
        <v>13</v>
      </c>
      <c r="I965" s="33" t="n">
        <f aca="false">IF(E965="","",E965-C965)</f>
        <v>0</v>
      </c>
      <c r="J965" s="33" t="n">
        <f aca="false">IF(F965="","",F965-C965)</f>
        <v>1.125</v>
      </c>
      <c r="K965" s="33" t="n">
        <f aca="false">IF(G965="","",G965-C965)</f>
        <v>1.6226317047213</v>
      </c>
      <c r="L965" s="33" t="n">
        <f aca="false">IF(H965="","",ABS(H965))</f>
        <v>13</v>
      </c>
      <c r="M965" s="33" t="n">
        <f aca="false">IF(I965="","",ABS(I965))</f>
        <v>0</v>
      </c>
      <c r="N965" s="33" t="n">
        <f aca="false">IF(J965="","",ABS(J965))</f>
        <v>1.125</v>
      </c>
      <c r="O965" s="33" t="n">
        <f aca="false">IF(K965="","",ABS(K965))</f>
        <v>1.6226317047213</v>
      </c>
      <c r="P965" s="34" t="str">
        <f aca="false">IF(B965&gt;=Eval_Start_Week,"YES","")</f>
        <v/>
      </c>
      <c r="Q965" s="34" t="str">
        <f aca="false">IF(AND(B965&gt;=Cal_Start_Week,B965&lt;=Cal_End_Week),"YES","")</f>
        <v/>
      </c>
    </row>
    <row r="966" customFormat="false" ht="15" hidden="false" customHeight="false" outlineLevel="0" collapsed="false">
      <c r="A966" s="31" t="str">
        <f aca="false">Demand_History!C966</f>
        <v>KIT-010</v>
      </c>
      <c r="B966" s="31" t="n">
        <f aca="false">Demand_History!A966</f>
        <v>29</v>
      </c>
      <c r="C966" s="32" t="n">
        <f aca="false">Demand_History!D966</f>
        <v>96</v>
      </c>
      <c r="D966" s="33" t="n">
        <f aca="false">IF(B966&gt;=2,C965,"")</f>
        <v>96</v>
      </c>
      <c r="E966" s="33" t="n">
        <f aca="false">IF(B966&gt;=5,AVERAGE(C962:C965),"")</f>
        <v>95.25</v>
      </c>
      <c r="F966" s="33" t="n">
        <f aca="false">IF(B966&gt;=9,AVERAGE(C958:C965),"")</f>
        <v>96.25</v>
      </c>
      <c r="G966" s="33" t="n">
        <f aca="false">IF(B966=1,"",IF(B966=2,C965,SES_Alpha*C965+(1-SES_Alpha)*G965))</f>
        <v>97.1358421933049</v>
      </c>
      <c r="H966" s="33" t="n">
        <f aca="false">IF(D966="","",D966-C966)</f>
        <v>0</v>
      </c>
      <c r="I966" s="33" t="n">
        <f aca="false">IF(E966="","",E966-C966)</f>
        <v>-0.75</v>
      </c>
      <c r="J966" s="33" t="n">
        <f aca="false">IF(F966="","",F966-C966)</f>
        <v>0.25</v>
      </c>
      <c r="K966" s="33" t="n">
        <f aca="false">IF(G966="","",G966-C966)</f>
        <v>1.1358421933049</v>
      </c>
      <c r="L966" s="33" t="n">
        <f aca="false">IF(H966="","",ABS(H966))</f>
        <v>0</v>
      </c>
      <c r="M966" s="33" t="n">
        <f aca="false">IF(I966="","",ABS(I966))</f>
        <v>0.75</v>
      </c>
      <c r="N966" s="33" t="n">
        <f aca="false">IF(J966="","",ABS(J966))</f>
        <v>0.25</v>
      </c>
      <c r="O966" s="33" t="n">
        <f aca="false">IF(K966="","",ABS(K966))</f>
        <v>1.1358421933049</v>
      </c>
      <c r="P966" s="34" t="str">
        <f aca="false">IF(B966&gt;=Eval_Start_Week,"YES","")</f>
        <v/>
      </c>
      <c r="Q966" s="34" t="str">
        <f aca="false">IF(AND(B966&gt;=Cal_Start_Week,B966&lt;=Cal_End_Week),"YES","")</f>
        <v/>
      </c>
    </row>
    <row r="967" customFormat="false" ht="15" hidden="false" customHeight="false" outlineLevel="0" collapsed="false">
      <c r="A967" s="31" t="str">
        <f aca="false">Demand_History!C967</f>
        <v>KIT-010</v>
      </c>
      <c r="B967" s="31" t="n">
        <f aca="false">Demand_History!A967</f>
        <v>30</v>
      </c>
      <c r="C967" s="32" t="n">
        <f aca="false">Demand_History!D967</f>
        <v>97</v>
      </c>
      <c r="D967" s="33" t="n">
        <f aca="false">IF(B967&gt;=2,C966,"")</f>
        <v>96</v>
      </c>
      <c r="E967" s="33" t="n">
        <f aca="false">IF(B967&gt;=5,AVERAGE(C963:C966),"")</f>
        <v>94.75</v>
      </c>
      <c r="F967" s="33" t="n">
        <f aca="false">IF(B967&gt;=9,AVERAGE(C959:C966),"")</f>
        <v>95</v>
      </c>
      <c r="G967" s="33" t="n">
        <f aca="false">IF(B967=1,"",IF(B967=2,C966,SES_Alpha*C966+(1-SES_Alpha)*G966))</f>
        <v>96.7950895353134</v>
      </c>
      <c r="H967" s="33" t="n">
        <f aca="false">IF(D967="","",D967-C967)</f>
        <v>-1</v>
      </c>
      <c r="I967" s="33" t="n">
        <f aca="false">IF(E967="","",E967-C967)</f>
        <v>-2.25</v>
      </c>
      <c r="J967" s="33" t="n">
        <f aca="false">IF(F967="","",F967-C967)</f>
        <v>-2</v>
      </c>
      <c r="K967" s="33" t="n">
        <f aca="false">IF(G967="","",G967-C967)</f>
        <v>-0.204910464686577</v>
      </c>
      <c r="L967" s="33" t="n">
        <f aca="false">IF(H967="","",ABS(H967))</f>
        <v>1</v>
      </c>
      <c r="M967" s="33" t="n">
        <f aca="false">IF(I967="","",ABS(I967))</f>
        <v>2.25</v>
      </c>
      <c r="N967" s="33" t="n">
        <f aca="false">IF(J967="","",ABS(J967))</f>
        <v>2</v>
      </c>
      <c r="O967" s="33" t="n">
        <f aca="false">IF(K967="","",ABS(K967))</f>
        <v>0.204910464686577</v>
      </c>
      <c r="P967" s="34" t="str">
        <f aca="false">IF(B967&gt;=Eval_Start_Week,"YES","")</f>
        <v/>
      </c>
      <c r="Q967" s="34" t="str">
        <f aca="false">IF(AND(B967&gt;=Cal_Start_Week,B967&lt;=Cal_End_Week),"YES","")</f>
        <v/>
      </c>
    </row>
    <row r="968" customFormat="false" ht="15" hidden="false" customHeight="false" outlineLevel="0" collapsed="false">
      <c r="A968" s="31" t="str">
        <f aca="false">Demand_History!C968</f>
        <v>KIT-010</v>
      </c>
      <c r="B968" s="31" t="n">
        <f aca="false">Demand_History!A968</f>
        <v>31</v>
      </c>
      <c r="C968" s="32" t="n">
        <f aca="false">Demand_History!D968</f>
        <v>98</v>
      </c>
      <c r="D968" s="33" t="n">
        <f aca="false">IF(B968&gt;=2,C967,"")</f>
        <v>97</v>
      </c>
      <c r="E968" s="33" t="n">
        <f aca="false">IF(B968&gt;=5,AVERAGE(C964:C967),"")</f>
        <v>99.5</v>
      </c>
      <c r="F968" s="33" t="n">
        <f aca="false">IF(B968&gt;=9,AVERAGE(C960:C967),"")</f>
        <v>96.5</v>
      </c>
      <c r="G968" s="33" t="n">
        <f aca="false">IF(B968=1,"",IF(B968=2,C967,SES_Alpha*C967+(1-SES_Alpha)*G967))</f>
        <v>96.8565626747194</v>
      </c>
      <c r="H968" s="33" t="n">
        <f aca="false">IF(D968="","",D968-C968)</f>
        <v>-1</v>
      </c>
      <c r="I968" s="33" t="n">
        <f aca="false">IF(E968="","",E968-C968)</f>
        <v>1.5</v>
      </c>
      <c r="J968" s="33" t="n">
        <f aca="false">IF(F968="","",F968-C968)</f>
        <v>-1.5</v>
      </c>
      <c r="K968" s="33" t="n">
        <f aca="false">IF(G968="","",G968-C968)</f>
        <v>-1.14343732528062</v>
      </c>
      <c r="L968" s="33" t="n">
        <f aca="false">IF(H968="","",ABS(H968))</f>
        <v>1</v>
      </c>
      <c r="M968" s="33" t="n">
        <f aca="false">IF(I968="","",ABS(I968))</f>
        <v>1.5</v>
      </c>
      <c r="N968" s="33" t="n">
        <f aca="false">IF(J968="","",ABS(J968))</f>
        <v>1.5</v>
      </c>
      <c r="O968" s="33" t="n">
        <f aca="false">IF(K968="","",ABS(K968))</f>
        <v>1.14343732528062</v>
      </c>
      <c r="P968" s="34" t="str">
        <f aca="false">IF(B968&gt;=Eval_Start_Week,"YES","")</f>
        <v/>
      </c>
      <c r="Q968" s="34" t="str">
        <f aca="false">IF(AND(B968&gt;=Cal_Start_Week,B968&lt;=Cal_End_Week),"YES","")</f>
        <v/>
      </c>
    </row>
    <row r="969" customFormat="false" ht="15" hidden="false" customHeight="false" outlineLevel="0" collapsed="false">
      <c r="A969" s="31" t="str">
        <f aca="false">Demand_History!C969</f>
        <v>KIT-010</v>
      </c>
      <c r="B969" s="31" t="n">
        <f aca="false">Demand_History!A969</f>
        <v>32</v>
      </c>
      <c r="C969" s="32" t="n">
        <f aca="false">Demand_History!D969</f>
        <v>104</v>
      </c>
      <c r="D969" s="33" t="n">
        <f aca="false">IF(B969&gt;=2,C968,"")</f>
        <v>98</v>
      </c>
      <c r="E969" s="33" t="n">
        <f aca="false">IF(B969&gt;=5,AVERAGE(C965:C968),"")</f>
        <v>96.75</v>
      </c>
      <c r="F969" s="33" t="n">
        <f aca="false">IF(B969&gt;=9,AVERAGE(C961:C968),"")</f>
        <v>96.375</v>
      </c>
      <c r="G969" s="33" t="n">
        <f aca="false">IF(B969=1,"",IF(B969=2,C968,SES_Alpha*C968+(1-SES_Alpha)*G968))</f>
        <v>97.1995938723036</v>
      </c>
      <c r="H969" s="33" t="n">
        <f aca="false">IF(D969="","",D969-C969)</f>
        <v>-6</v>
      </c>
      <c r="I969" s="33" t="n">
        <f aca="false">IF(E969="","",E969-C969)</f>
        <v>-7.25</v>
      </c>
      <c r="J969" s="33" t="n">
        <f aca="false">IF(F969="","",F969-C969)</f>
        <v>-7.625</v>
      </c>
      <c r="K969" s="33" t="n">
        <f aca="false">IF(G969="","",G969-C969)</f>
        <v>-6.80040612769645</v>
      </c>
      <c r="L969" s="33" t="n">
        <f aca="false">IF(H969="","",ABS(H969))</f>
        <v>6</v>
      </c>
      <c r="M969" s="33" t="n">
        <f aca="false">IF(I969="","",ABS(I969))</f>
        <v>7.25</v>
      </c>
      <c r="N969" s="33" t="n">
        <f aca="false">IF(J969="","",ABS(J969))</f>
        <v>7.625</v>
      </c>
      <c r="O969" s="33" t="n">
        <f aca="false">IF(K969="","",ABS(K969))</f>
        <v>6.80040612769645</v>
      </c>
      <c r="P969" s="34" t="str">
        <f aca="false">IF(B969&gt;=Eval_Start_Week,"YES","")</f>
        <v/>
      </c>
      <c r="Q969" s="34" t="str">
        <f aca="false">IF(AND(B969&gt;=Cal_Start_Week,B969&lt;=Cal_End_Week),"YES","")</f>
        <v/>
      </c>
    </row>
    <row r="970" customFormat="false" ht="15" hidden="false" customHeight="false" outlineLevel="0" collapsed="false">
      <c r="A970" s="31" t="str">
        <f aca="false">Demand_History!C970</f>
        <v>KIT-010</v>
      </c>
      <c r="B970" s="31" t="n">
        <f aca="false">Demand_History!A970</f>
        <v>33</v>
      </c>
      <c r="C970" s="32" t="n">
        <f aca="false">Demand_History!D970</f>
        <v>87</v>
      </c>
      <c r="D970" s="33" t="n">
        <f aca="false">IF(B970&gt;=2,C969,"")</f>
        <v>104</v>
      </c>
      <c r="E970" s="33" t="n">
        <f aca="false">IF(B970&gt;=5,AVERAGE(C966:C969),"")</f>
        <v>98.75</v>
      </c>
      <c r="F970" s="33" t="n">
        <f aca="false">IF(B970&gt;=9,AVERAGE(C962:C969),"")</f>
        <v>97</v>
      </c>
      <c r="G970" s="33" t="n">
        <f aca="false">IF(B970=1,"",IF(B970=2,C969,SES_Alpha*C969+(1-SES_Alpha)*G969))</f>
        <v>99.2397157106125</v>
      </c>
      <c r="H970" s="33" t="n">
        <f aca="false">IF(D970="","",D970-C970)</f>
        <v>17</v>
      </c>
      <c r="I970" s="33" t="n">
        <f aca="false">IF(E970="","",E970-C970)</f>
        <v>11.75</v>
      </c>
      <c r="J970" s="33" t="n">
        <f aca="false">IF(F970="","",F970-C970)</f>
        <v>10</v>
      </c>
      <c r="K970" s="33" t="n">
        <f aca="false">IF(G970="","",G970-C970)</f>
        <v>12.2397157106125</v>
      </c>
      <c r="L970" s="33" t="n">
        <f aca="false">IF(H970="","",ABS(H970))</f>
        <v>17</v>
      </c>
      <c r="M970" s="33" t="n">
        <f aca="false">IF(I970="","",ABS(I970))</f>
        <v>11.75</v>
      </c>
      <c r="N970" s="33" t="n">
        <f aca="false">IF(J970="","",ABS(J970))</f>
        <v>10</v>
      </c>
      <c r="O970" s="33" t="n">
        <f aca="false">IF(K970="","",ABS(K970))</f>
        <v>12.2397157106125</v>
      </c>
      <c r="P970" s="34" t="str">
        <f aca="false">IF(B970&gt;=Eval_Start_Week,"YES","")</f>
        <v/>
      </c>
      <c r="Q970" s="34" t="str">
        <f aca="false">IF(AND(B970&gt;=Cal_Start_Week,B970&lt;=Cal_End_Week),"YES","")</f>
        <v/>
      </c>
    </row>
    <row r="971" customFormat="false" ht="15" hidden="false" customHeight="false" outlineLevel="0" collapsed="false">
      <c r="A971" s="31" t="str">
        <f aca="false">Demand_History!C971</f>
        <v>KIT-010</v>
      </c>
      <c r="B971" s="31" t="n">
        <f aca="false">Demand_History!A971</f>
        <v>34</v>
      </c>
      <c r="C971" s="32" t="n">
        <f aca="false">Demand_History!D971</f>
        <v>91</v>
      </c>
      <c r="D971" s="33" t="n">
        <f aca="false">IF(B971&gt;=2,C970,"")</f>
        <v>87</v>
      </c>
      <c r="E971" s="33" t="n">
        <f aca="false">IF(B971&gt;=5,AVERAGE(C967:C970),"")</f>
        <v>96.5</v>
      </c>
      <c r="F971" s="33" t="n">
        <f aca="false">IF(B971&gt;=9,AVERAGE(C963:C970),"")</f>
        <v>95.625</v>
      </c>
      <c r="G971" s="33" t="n">
        <f aca="false">IF(B971=1,"",IF(B971=2,C970,SES_Alpha*C970+(1-SES_Alpha)*G970))</f>
        <v>95.5678009974287</v>
      </c>
      <c r="H971" s="33" t="n">
        <f aca="false">IF(D971="","",D971-C971)</f>
        <v>-4</v>
      </c>
      <c r="I971" s="33" t="n">
        <f aca="false">IF(E971="","",E971-C971)</f>
        <v>5.5</v>
      </c>
      <c r="J971" s="33" t="n">
        <f aca="false">IF(F971="","",F971-C971)</f>
        <v>4.625</v>
      </c>
      <c r="K971" s="33" t="n">
        <f aca="false">IF(G971="","",G971-C971)</f>
        <v>4.56780099742873</v>
      </c>
      <c r="L971" s="33" t="n">
        <f aca="false">IF(H971="","",ABS(H971))</f>
        <v>4</v>
      </c>
      <c r="M971" s="33" t="n">
        <f aca="false">IF(I971="","",ABS(I971))</f>
        <v>5.5</v>
      </c>
      <c r="N971" s="33" t="n">
        <f aca="false">IF(J971="","",ABS(J971))</f>
        <v>4.625</v>
      </c>
      <c r="O971" s="33" t="n">
        <f aca="false">IF(K971="","",ABS(K971))</f>
        <v>4.56780099742873</v>
      </c>
      <c r="P971" s="34" t="str">
        <f aca="false">IF(B971&gt;=Eval_Start_Week,"YES","")</f>
        <v/>
      </c>
      <c r="Q971" s="34" t="str">
        <f aca="false">IF(AND(B971&gt;=Cal_Start_Week,B971&lt;=Cal_End_Week),"YES","")</f>
        <v/>
      </c>
    </row>
    <row r="972" customFormat="false" ht="15" hidden="false" customHeight="false" outlineLevel="0" collapsed="false">
      <c r="A972" s="31" t="str">
        <f aca="false">Demand_History!C972</f>
        <v>KIT-010</v>
      </c>
      <c r="B972" s="31" t="n">
        <f aca="false">Demand_History!A972</f>
        <v>35</v>
      </c>
      <c r="C972" s="32" t="n">
        <f aca="false">Demand_History!D972</f>
        <v>103</v>
      </c>
      <c r="D972" s="33" t="n">
        <f aca="false">IF(B972&gt;=2,C971,"")</f>
        <v>91</v>
      </c>
      <c r="E972" s="33" t="n">
        <f aca="false">IF(B972&gt;=5,AVERAGE(C968:C971),"")</f>
        <v>95</v>
      </c>
      <c r="F972" s="33" t="n">
        <f aca="false">IF(B972&gt;=9,AVERAGE(C964:C971),"")</f>
        <v>97.25</v>
      </c>
      <c r="G972" s="33" t="n">
        <f aca="false">IF(B972=1,"",IF(B972=2,C971,SES_Alpha*C971+(1-SES_Alpha)*G971))</f>
        <v>94.1974606982001</v>
      </c>
      <c r="H972" s="33" t="n">
        <f aca="false">IF(D972="","",D972-C972)</f>
        <v>-12</v>
      </c>
      <c r="I972" s="33" t="n">
        <f aca="false">IF(E972="","",E972-C972)</f>
        <v>-8</v>
      </c>
      <c r="J972" s="33" t="n">
        <f aca="false">IF(F972="","",F972-C972)</f>
        <v>-5.75</v>
      </c>
      <c r="K972" s="33" t="n">
        <f aca="false">IF(G972="","",G972-C972)</f>
        <v>-8.8025393017999</v>
      </c>
      <c r="L972" s="33" t="n">
        <f aca="false">IF(H972="","",ABS(H972))</f>
        <v>12</v>
      </c>
      <c r="M972" s="33" t="n">
        <f aca="false">IF(I972="","",ABS(I972))</f>
        <v>8</v>
      </c>
      <c r="N972" s="33" t="n">
        <f aca="false">IF(J972="","",ABS(J972))</f>
        <v>5.75</v>
      </c>
      <c r="O972" s="33" t="n">
        <f aca="false">IF(K972="","",ABS(K972))</f>
        <v>8.8025393017999</v>
      </c>
      <c r="P972" s="34" t="str">
        <f aca="false">IF(B972&gt;=Eval_Start_Week,"YES","")</f>
        <v/>
      </c>
      <c r="Q972" s="34" t="str">
        <f aca="false">IF(AND(B972&gt;=Cal_Start_Week,B972&lt;=Cal_End_Week),"YES","")</f>
        <v/>
      </c>
    </row>
    <row r="973" customFormat="false" ht="15" hidden="false" customHeight="false" outlineLevel="0" collapsed="false">
      <c r="A973" s="31" t="str">
        <f aca="false">Demand_History!C973</f>
        <v>KIT-010</v>
      </c>
      <c r="B973" s="31" t="n">
        <f aca="false">Demand_History!A973</f>
        <v>36</v>
      </c>
      <c r="C973" s="32" t="n">
        <f aca="false">Demand_History!D973</f>
        <v>101</v>
      </c>
      <c r="D973" s="33" t="n">
        <f aca="false">IF(B973&gt;=2,C972,"")</f>
        <v>103</v>
      </c>
      <c r="E973" s="33" t="n">
        <f aca="false">IF(B973&gt;=5,AVERAGE(C969:C972),"")</f>
        <v>96.25</v>
      </c>
      <c r="F973" s="33" t="n">
        <f aca="false">IF(B973&gt;=9,AVERAGE(C965:C972),"")</f>
        <v>96.5</v>
      </c>
      <c r="G973" s="33" t="n">
        <f aca="false">IF(B973=1,"",IF(B973=2,C972,SES_Alpha*C972+(1-SES_Alpha)*G972))</f>
        <v>96.8382224887401</v>
      </c>
      <c r="H973" s="33" t="n">
        <f aca="false">IF(D973="","",D973-C973)</f>
        <v>2</v>
      </c>
      <c r="I973" s="33" t="n">
        <f aca="false">IF(E973="","",E973-C973)</f>
        <v>-4.75</v>
      </c>
      <c r="J973" s="33" t="n">
        <f aca="false">IF(F973="","",F973-C973)</f>
        <v>-4.5</v>
      </c>
      <c r="K973" s="33" t="n">
        <f aca="false">IF(G973="","",G973-C973)</f>
        <v>-4.16177751125994</v>
      </c>
      <c r="L973" s="33" t="n">
        <f aca="false">IF(H973="","",ABS(H973))</f>
        <v>2</v>
      </c>
      <c r="M973" s="33" t="n">
        <f aca="false">IF(I973="","",ABS(I973))</f>
        <v>4.75</v>
      </c>
      <c r="N973" s="33" t="n">
        <f aca="false">IF(J973="","",ABS(J973))</f>
        <v>4.5</v>
      </c>
      <c r="O973" s="33" t="n">
        <f aca="false">IF(K973="","",ABS(K973))</f>
        <v>4.16177751125994</v>
      </c>
      <c r="P973" s="34" t="str">
        <f aca="false">IF(B973&gt;=Eval_Start_Week,"YES","")</f>
        <v/>
      </c>
      <c r="Q973" s="34" t="str">
        <f aca="false">IF(AND(B973&gt;=Cal_Start_Week,B973&lt;=Cal_End_Week),"YES","")</f>
        <v/>
      </c>
    </row>
    <row r="974" customFormat="false" ht="15" hidden="false" customHeight="false" outlineLevel="0" collapsed="false">
      <c r="A974" s="31" t="str">
        <f aca="false">Demand_History!C974</f>
        <v>KIT-010</v>
      </c>
      <c r="B974" s="31" t="n">
        <f aca="false">Demand_History!A974</f>
        <v>37</v>
      </c>
      <c r="C974" s="32" t="n">
        <f aca="false">Demand_History!D974</f>
        <v>96</v>
      </c>
      <c r="D974" s="33" t="n">
        <f aca="false">IF(B974&gt;=2,C973,"")</f>
        <v>101</v>
      </c>
      <c r="E974" s="33" t="n">
        <f aca="false">IF(B974&gt;=5,AVERAGE(C970:C973),"")</f>
        <v>95.5</v>
      </c>
      <c r="F974" s="33" t="n">
        <f aca="false">IF(B974&gt;=9,AVERAGE(C966:C973),"")</f>
        <v>97.125</v>
      </c>
      <c r="G974" s="33" t="n">
        <f aca="false">IF(B974=1,"",IF(B974=2,C973,SES_Alpha*C973+(1-SES_Alpha)*G973))</f>
        <v>98.086755742118</v>
      </c>
      <c r="H974" s="33" t="n">
        <f aca="false">IF(D974="","",D974-C974)</f>
        <v>5</v>
      </c>
      <c r="I974" s="33" t="n">
        <f aca="false">IF(E974="","",E974-C974)</f>
        <v>-0.5</v>
      </c>
      <c r="J974" s="33" t="n">
        <f aca="false">IF(F974="","",F974-C974)</f>
        <v>1.125</v>
      </c>
      <c r="K974" s="33" t="n">
        <f aca="false">IF(G974="","",G974-C974)</f>
        <v>2.08675574211803</v>
      </c>
      <c r="L974" s="33" t="n">
        <f aca="false">IF(H974="","",ABS(H974))</f>
        <v>5</v>
      </c>
      <c r="M974" s="33" t="n">
        <f aca="false">IF(I974="","",ABS(I974))</f>
        <v>0.5</v>
      </c>
      <c r="N974" s="33" t="n">
        <f aca="false">IF(J974="","",ABS(J974))</f>
        <v>1.125</v>
      </c>
      <c r="O974" s="33" t="n">
        <f aca="false">IF(K974="","",ABS(K974))</f>
        <v>2.08675574211803</v>
      </c>
      <c r="P974" s="34" t="str">
        <f aca="false">IF(B974&gt;=Eval_Start_Week,"YES","")</f>
        <v/>
      </c>
      <c r="Q974" s="34" t="str">
        <f aca="false">IF(AND(B974&gt;=Cal_Start_Week,B974&lt;=Cal_End_Week),"YES","")</f>
        <v>YES</v>
      </c>
    </row>
    <row r="975" customFormat="false" ht="15" hidden="false" customHeight="false" outlineLevel="0" collapsed="false">
      <c r="A975" s="31" t="str">
        <f aca="false">Demand_History!C975</f>
        <v>KIT-010</v>
      </c>
      <c r="B975" s="31" t="n">
        <f aca="false">Demand_History!A975</f>
        <v>38</v>
      </c>
      <c r="C975" s="32" t="n">
        <f aca="false">Demand_History!D975</f>
        <v>94</v>
      </c>
      <c r="D975" s="33" t="n">
        <f aca="false">IF(B975&gt;=2,C974,"")</f>
        <v>96</v>
      </c>
      <c r="E975" s="33" t="n">
        <f aca="false">IF(B975&gt;=5,AVERAGE(C971:C974),"")</f>
        <v>97.75</v>
      </c>
      <c r="F975" s="33" t="n">
        <f aca="false">IF(B975&gt;=9,AVERAGE(C967:C974),"")</f>
        <v>97.125</v>
      </c>
      <c r="G975" s="33" t="n">
        <f aca="false">IF(B975=1,"",IF(B975=2,C974,SES_Alpha*C974+(1-SES_Alpha)*G974))</f>
        <v>97.4607290194826</v>
      </c>
      <c r="H975" s="33" t="n">
        <f aca="false">IF(D975="","",D975-C975)</f>
        <v>2</v>
      </c>
      <c r="I975" s="33" t="n">
        <f aca="false">IF(E975="","",E975-C975)</f>
        <v>3.75</v>
      </c>
      <c r="J975" s="33" t="n">
        <f aca="false">IF(F975="","",F975-C975)</f>
        <v>3.125</v>
      </c>
      <c r="K975" s="33" t="n">
        <f aca="false">IF(G975="","",G975-C975)</f>
        <v>3.46072901948261</v>
      </c>
      <c r="L975" s="33" t="n">
        <f aca="false">IF(H975="","",ABS(H975))</f>
        <v>2</v>
      </c>
      <c r="M975" s="33" t="n">
        <f aca="false">IF(I975="","",ABS(I975))</f>
        <v>3.75</v>
      </c>
      <c r="N975" s="33" t="n">
        <f aca="false">IF(J975="","",ABS(J975))</f>
        <v>3.125</v>
      </c>
      <c r="O975" s="33" t="n">
        <f aca="false">IF(K975="","",ABS(K975))</f>
        <v>3.46072901948261</v>
      </c>
      <c r="P975" s="34" t="str">
        <f aca="false">IF(B975&gt;=Eval_Start_Week,"YES","")</f>
        <v/>
      </c>
      <c r="Q975" s="34" t="str">
        <f aca="false">IF(AND(B975&gt;=Cal_Start_Week,B975&lt;=Cal_End_Week),"YES","")</f>
        <v>YES</v>
      </c>
    </row>
    <row r="976" customFormat="false" ht="15" hidden="false" customHeight="false" outlineLevel="0" collapsed="false">
      <c r="A976" s="31" t="str">
        <f aca="false">Demand_History!C976</f>
        <v>KIT-010</v>
      </c>
      <c r="B976" s="31" t="n">
        <f aca="false">Demand_History!A976</f>
        <v>39</v>
      </c>
      <c r="C976" s="32" t="n">
        <f aca="false">Demand_History!D976</f>
        <v>92</v>
      </c>
      <c r="D976" s="33" t="n">
        <f aca="false">IF(B976&gt;=2,C975,"")</f>
        <v>94</v>
      </c>
      <c r="E976" s="33" t="n">
        <f aca="false">IF(B976&gt;=5,AVERAGE(C972:C975),"")</f>
        <v>98.5</v>
      </c>
      <c r="F976" s="33" t="n">
        <f aca="false">IF(B976&gt;=9,AVERAGE(C968:C975),"")</f>
        <v>96.75</v>
      </c>
      <c r="G976" s="33" t="n">
        <f aca="false">IF(B976=1,"",IF(B976=2,C975,SES_Alpha*C975+(1-SES_Alpha)*G975))</f>
        <v>96.4225103136378</v>
      </c>
      <c r="H976" s="33" t="n">
        <f aca="false">IF(D976="","",D976-C976)</f>
        <v>2</v>
      </c>
      <c r="I976" s="33" t="n">
        <f aca="false">IF(E976="","",E976-C976)</f>
        <v>6.5</v>
      </c>
      <c r="J976" s="33" t="n">
        <f aca="false">IF(F976="","",F976-C976)</f>
        <v>4.75</v>
      </c>
      <c r="K976" s="33" t="n">
        <f aca="false">IF(G976="","",G976-C976)</f>
        <v>4.42251031363783</v>
      </c>
      <c r="L976" s="33" t="n">
        <f aca="false">IF(H976="","",ABS(H976))</f>
        <v>2</v>
      </c>
      <c r="M976" s="33" t="n">
        <f aca="false">IF(I976="","",ABS(I976))</f>
        <v>6.5</v>
      </c>
      <c r="N976" s="33" t="n">
        <f aca="false">IF(J976="","",ABS(J976))</f>
        <v>4.75</v>
      </c>
      <c r="O976" s="33" t="n">
        <f aca="false">IF(K976="","",ABS(K976))</f>
        <v>4.42251031363783</v>
      </c>
      <c r="P976" s="34" t="str">
        <f aca="false">IF(B976&gt;=Eval_Start_Week,"YES","")</f>
        <v/>
      </c>
      <c r="Q976" s="34" t="str">
        <f aca="false">IF(AND(B976&gt;=Cal_Start_Week,B976&lt;=Cal_End_Week),"YES","")</f>
        <v>YES</v>
      </c>
    </row>
    <row r="977" customFormat="false" ht="15" hidden="false" customHeight="false" outlineLevel="0" collapsed="false">
      <c r="A977" s="31" t="str">
        <f aca="false">Demand_History!C977</f>
        <v>KIT-010</v>
      </c>
      <c r="B977" s="31" t="n">
        <f aca="false">Demand_History!A977</f>
        <v>40</v>
      </c>
      <c r="C977" s="32" t="n">
        <f aca="false">Demand_History!D977</f>
        <v>99</v>
      </c>
      <c r="D977" s="33" t="n">
        <f aca="false">IF(B977&gt;=2,C976,"")</f>
        <v>92</v>
      </c>
      <c r="E977" s="33" t="n">
        <f aca="false">IF(B977&gt;=5,AVERAGE(C973:C976),"")</f>
        <v>95.75</v>
      </c>
      <c r="F977" s="33" t="n">
        <f aca="false">IF(B977&gt;=9,AVERAGE(C969:C976),"")</f>
        <v>96</v>
      </c>
      <c r="G977" s="33" t="n">
        <f aca="false">IF(B977=1,"",IF(B977=2,C976,SES_Alpha*C976+(1-SES_Alpha)*G976))</f>
        <v>95.0957572195465</v>
      </c>
      <c r="H977" s="33" t="n">
        <f aca="false">IF(D977="","",D977-C977)</f>
        <v>-7</v>
      </c>
      <c r="I977" s="33" t="n">
        <f aca="false">IF(E977="","",E977-C977)</f>
        <v>-3.25</v>
      </c>
      <c r="J977" s="33" t="n">
        <f aca="false">IF(F977="","",F977-C977)</f>
        <v>-3</v>
      </c>
      <c r="K977" s="33" t="n">
        <f aca="false">IF(G977="","",G977-C977)</f>
        <v>-3.90424278045353</v>
      </c>
      <c r="L977" s="33" t="n">
        <f aca="false">IF(H977="","",ABS(H977))</f>
        <v>7</v>
      </c>
      <c r="M977" s="33" t="n">
        <f aca="false">IF(I977="","",ABS(I977))</f>
        <v>3.25</v>
      </c>
      <c r="N977" s="33" t="n">
        <f aca="false">IF(J977="","",ABS(J977))</f>
        <v>3</v>
      </c>
      <c r="O977" s="33" t="n">
        <f aca="false">IF(K977="","",ABS(K977))</f>
        <v>3.90424278045353</v>
      </c>
      <c r="P977" s="34" t="str">
        <f aca="false">IF(B977&gt;=Eval_Start_Week,"YES","")</f>
        <v/>
      </c>
      <c r="Q977" s="34" t="str">
        <f aca="false">IF(AND(B977&gt;=Cal_Start_Week,B977&lt;=Cal_End_Week),"YES","")</f>
        <v>YES</v>
      </c>
    </row>
    <row r="978" customFormat="false" ht="15" hidden="false" customHeight="false" outlineLevel="0" collapsed="false">
      <c r="A978" s="31" t="str">
        <f aca="false">Demand_History!C978</f>
        <v>KIT-010</v>
      </c>
      <c r="B978" s="31" t="n">
        <f aca="false">Demand_History!A978</f>
        <v>41</v>
      </c>
      <c r="C978" s="32" t="n">
        <f aca="false">Demand_History!D978</f>
        <v>112</v>
      </c>
      <c r="D978" s="33" t="n">
        <f aca="false">IF(B978&gt;=2,C977,"")</f>
        <v>99</v>
      </c>
      <c r="E978" s="33" t="n">
        <f aca="false">IF(B978&gt;=5,AVERAGE(C974:C977),"")</f>
        <v>95.25</v>
      </c>
      <c r="F978" s="33" t="n">
        <f aca="false">IF(B978&gt;=9,AVERAGE(C970:C977),"")</f>
        <v>95.375</v>
      </c>
      <c r="G978" s="33" t="n">
        <f aca="false">IF(B978=1,"",IF(B978=2,C977,SES_Alpha*C977+(1-SES_Alpha)*G977))</f>
        <v>96.2670300536825</v>
      </c>
      <c r="H978" s="33" t="n">
        <f aca="false">IF(D978="","",D978-C978)</f>
        <v>-13</v>
      </c>
      <c r="I978" s="33" t="n">
        <f aca="false">IF(E978="","",E978-C978)</f>
        <v>-16.75</v>
      </c>
      <c r="J978" s="33" t="n">
        <f aca="false">IF(F978="","",F978-C978)</f>
        <v>-16.625</v>
      </c>
      <c r="K978" s="33" t="n">
        <f aca="false">IF(G978="","",G978-C978)</f>
        <v>-15.7329699463175</v>
      </c>
      <c r="L978" s="33" t="n">
        <f aca="false">IF(H978="","",ABS(H978))</f>
        <v>13</v>
      </c>
      <c r="M978" s="33" t="n">
        <f aca="false">IF(I978="","",ABS(I978))</f>
        <v>16.75</v>
      </c>
      <c r="N978" s="33" t="n">
        <f aca="false">IF(J978="","",ABS(J978))</f>
        <v>16.625</v>
      </c>
      <c r="O978" s="33" t="n">
        <f aca="false">IF(K978="","",ABS(K978))</f>
        <v>15.7329699463175</v>
      </c>
      <c r="P978" s="34" t="str">
        <f aca="false">IF(B978&gt;=Eval_Start_Week,"YES","")</f>
        <v/>
      </c>
      <c r="Q978" s="34" t="str">
        <f aca="false">IF(AND(B978&gt;=Cal_Start_Week,B978&lt;=Cal_End_Week),"YES","")</f>
        <v>YES</v>
      </c>
    </row>
    <row r="979" customFormat="false" ht="15" hidden="false" customHeight="false" outlineLevel="0" collapsed="false">
      <c r="A979" s="31" t="str">
        <f aca="false">Demand_History!C979</f>
        <v>KIT-010</v>
      </c>
      <c r="B979" s="31" t="n">
        <f aca="false">Demand_History!A979</f>
        <v>42</v>
      </c>
      <c r="C979" s="32" t="n">
        <f aca="false">Demand_History!D979</f>
        <v>89</v>
      </c>
      <c r="D979" s="33" t="n">
        <f aca="false">IF(B979&gt;=2,C978,"")</f>
        <v>112</v>
      </c>
      <c r="E979" s="33" t="n">
        <f aca="false">IF(B979&gt;=5,AVERAGE(C975:C978),"")</f>
        <v>99.25</v>
      </c>
      <c r="F979" s="33" t="n">
        <f aca="false">IF(B979&gt;=9,AVERAGE(C971:C978),"")</f>
        <v>98.5</v>
      </c>
      <c r="G979" s="33" t="n">
        <f aca="false">IF(B979=1,"",IF(B979=2,C978,SES_Alpha*C978+(1-SES_Alpha)*G978))</f>
        <v>100.986921037578</v>
      </c>
      <c r="H979" s="33" t="n">
        <f aca="false">IF(D979="","",D979-C979)</f>
        <v>23</v>
      </c>
      <c r="I979" s="33" t="n">
        <f aca="false">IF(E979="","",E979-C979)</f>
        <v>10.25</v>
      </c>
      <c r="J979" s="33" t="n">
        <f aca="false">IF(F979="","",F979-C979)</f>
        <v>9.5</v>
      </c>
      <c r="K979" s="33" t="n">
        <f aca="false">IF(G979="","",G979-C979)</f>
        <v>11.9869210375778</v>
      </c>
      <c r="L979" s="33" t="n">
        <f aca="false">IF(H979="","",ABS(H979))</f>
        <v>23</v>
      </c>
      <c r="M979" s="33" t="n">
        <f aca="false">IF(I979="","",ABS(I979))</f>
        <v>10.25</v>
      </c>
      <c r="N979" s="33" t="n">
        <f aca="false">IF(J979="","",ABS(J979))</f>
        <v>9.5</v>
      </c>
      <c r="O979" s="33" t="n">
        <f aca="false">IF(K979="","",ABS(K979))</f>
        <v>11.9869210375778</v>
      </c>
      <c r="P979" s="34" t="str">
        <f aca="false">IF(B979&gt;=Eval_Start_Week,"YES","")</f>
        <v/>
      </c>
      <c r="Q979" s="34" t="str">
        <f aca="false">IF(AND(B979&gt;=Cal_Start_Week,B979&lt;=Cal_End_Week),"YES","")</f>
        <v>YES</v>
      </c>
    </row>
    <row r="980" customFormat="false" ht="15" hidden="false" customHeight="false" outlineLevel="0" collapsed="false">
      <c r="A980" s="31" t="str">
        <f aca="false">Demand_History!C980</f>
        <v>KIT-010</v>
      </c>
      <c r="B980" s="31" t="n">
        <f aca="false">Demand_History!A980</f>
        <v>43</v>
      </c>
      <c r="C980" s="32" t="n">
        <f aca="false">Demand_History!D980</f>
        <v>115</v>
      </c>
      <c r="D980" s="33" t="n">
        <f aca="false">IF(B980&gt;=2,C979,"")</f>
        <v>89</v>
      </c>
      <c r="E980" s="33" t="n">
        <f aca="false">IF(B980&gt;=5,AVERAGE(C976:C979),"")</f>
        <v>98</v>
      </c>
      <c r="F980" s="33" t="n">
        <f aca="false">IF(B980&gt;=9,AVERAGE(C972:C979),"")</f>
        <v>98.25</v>
      </c>
      <c r="G980" s="33" t="n">
        <f aca="false">IF(B980=1,"",IF(B980=2,C979,SES_Alpha*C979+(1-SES_Alpha)*G979))</f>
        <v>97.3908447263044</v>
      </c>
      <c r="H980" s="33" t="n">
        <f aca="false">IF(D980="","",D980-C980)</f>
        <v>-26</v>
      </c>
      <c r="I980" s="33" t="n">
        <f aca="false">IF(E980="","",E980-C980)</f>
        <v>-17</v>
      </c>
      <c r="J980" s="33" t="n">
        <f aca="false">IF(F980="","",F980-C980)</f>
        <v>-16.75</v>
      </c>
      <c r="K980" s="33" t="n">
        <f aca="false">IF(G980="","",G980-C980)</f>
        <v>-17.6091552736956</v>
      </c>
      <c r="L980" s="33" t="n">
        <f aca="false">IF(H980="","",ABS(H980))</f>
        <v>26</v>
      </c>
      <c r="M980" s="33" t="n">
        <f aca="false">IF(I980="","",ABS(I980))</f>
        <v>17</v>
      </c>
      <c r="N980" s="33" t="n">
        <f aca="false">IF(J980="","",ABS(J980))</f>
        <v>16.75</v>
      </c>
      <c r="O980" s="33" t="n">
        <f aca="false">IF(K980="","",ABS(K980))</f>
        <v>17.6091552736956</v>
      </c>
      <c r="P980" s="34" t="str">
        <f aca="false">IF(B980&gt;=Eval_Start_Week,"YES","")</f>
        <v/>
      </c>
      <c r="Q980" s="34" t="str">
        <f aca="false">IF(AND(B980&gt;=Cal_Start_Week,B980&lt;=Cal_End_Week),"YES","")</f>
        <v>YES</v>
      </c>
    </row>
    <row r="981" customFormat="false" ht="15" hidden="false" customHeight="false" outlineLevel="0" collapsed="false">
      <c r="A981" s="31" t="str">
        <f aca="false">Demand_History!C981</f>
        <v>KIT-010</v>
      </c>
      <c r="B981" s="31" t="n">
        <f aca="false">Demand_History!A981</f>
        <v>44</v>
      </c>
      <c r="C981" s="32" t="n">
        <f aca="false">Demand_History!D981</f>
        <v>108</v>
      </c>
      <c r="D981" s="33" t="n">
        <f aca="false">IF(B981&gt;=2,C980,"")</f>
        <v>115</v>
      </c>
      <c r="E981" s="33" t="n">
        <f aca="false">IF(B981&gt;=5,AVERAGE(C977:C980),"")</f>
        <v>103.75</v>
      </c>
      <c r="F981" s="33" t="n">
        <f aca="false">IF(B981&gt;=9,AVERAGE(C973:C980),"")</f>
        <v>99.75</v>
      </c>
      <c r="G981" s="33" t="n">
        <f aca="false">IF(B981=1,"",IF(B981=2,C980,SES_Alpha*C980+(1-SES_Alpha)*G980))</f>
        <v>102.673591308413</v>
      </c>
      <c r="H981" s="33" t="n">
        <f aca="false">IF(D981="","",D981-C981)</f>
        <v>7</v>
      </c>
      <c r="I981" s="33" t="n">
        <f aca="false">IF(E981="","",E981-C981)</f>
        <v>-4.25</v>
      </c>
      <c r="J981" s="33" t="n">
        <f aca="false">IF(F981="","",F981-C981)</f>
        <v>-8.25</v>
      </c>
      <c r="K981" s="33" t="n">
        <f aca="false">IF(G981="","",G981-C981)</f>
        <v>-5.32640869158691</v>
      </c>
      <c r="L981" s="33" t="n">
        <f aca="false">IF(H981="","",ABS(H981))</f>
        <v>7</v>
      </c>
      <c r="M981" s="33" t="n">
        <f aca="false">IF(I981="","",ABS(I981))</f>
        <v>4.25</v>
      </c>
      <c r="N981" s="33" t="n">
        <f aca="false">IF(J981="","",ABS(J981))</f>
        <v>8.25</v>
      </c>
      <c r="O981" s="33" t="n">
        <f aca="false">IF(K981="","",ABS(K981))</f>
        <v>5.32640869158691</v>
      </c>
      <c r="P981" s="34" t="str">
        <f aca="false">IF(B981&gt;=Eval_Start_Week,"YES","")</f>
        <v/>
      </c>
      <c r="Q981" s="34" t="str">
        <f aca="false">IF(AND(B981&gt;=Cal_Start_Week,B981&lt;=Cal_End_Week),"YES","")</f>
        <v>YES</v>
      </c>
    </row>
    <row r="982" customFormat="false" ht="15" hidden="false" customHeight="false" outlineLevel="0" collapsed="false">
      <c r="A982" s="31" t="str">
        <f aca="false">Demand_History!C982</f>
        <v>KIT-010</v>
      </c>
      <c r="B982" s="31" t="n">
        <f aca="false">Demand_History!A982</f>
        <v>45</v>
      </c>
      <c r="C982" s="32" t="n">
        <f aca="false">Demand_History!D982</f>
        <v>95</v>
      </c>
      <c r="D982" s="33" t="n">
        <f aca="false">IF(B982&gt;=2,C981,"")</f>
        <v>108</v>
      </c>
      <c r="E982" s="33" t="n">
        <f aca="false">IF(B982&gt;=5,AVERAGE(C978:C981),"")</f>
        <v>106</v>
      </c>
      <c r="F982" s="33" t="n">
        <f aca="false">IF(B982&gt;=9,AVERAGE(C974:C981),"")</f>
        <v>100.625</v>
      </c>
      <c r="G982" s="33" t="n">
        <f aca="false">IF(B982=1,"",IF(B982=2,C981,SES_Alpha*C981+(1-SES_Alpha)*G981))</f>
        <v>104.271513915889</v>
      </c>
      <c r="H982" s="33" t="n">
        <f aca="false">IF(D982="","",D982-C982)</f>
        <v>13</v>
      </c>
      <c r="I982" s="33" t="n">
        <f aca="false">IF(E982="","",E982-C982)</f>
        <v>11</v>
      </c>
      <c r="J982" s="33" t="n">
        <f aca="false">IF(F982="","",F982-C982)</f>
        <v>5.625</v>
      </c>
      <c r="K982" s="33" t="n">
        <f aca="false">IF(G982="","",G982-C982)</f>
        <v>9.27151391588916</v>
      </c>
      <c r="L982" s="33" t="n">
        <f aca="false">IF(H982="","",ABS(H982))</f>
        <v>13</v>
      </c>
      <c r="M982" s="33" t="n">
        <f aca="false">IF(I982="","",ABS(I982))</f>
        <v>11</v>
      </c>
      <c r="N982" s="33" t="n">
        <f aca="false">IF(J982="","",ABS(J982))</f>
        <v>5.625</v>
      </c>
      <c r="O982" s="33" t="n">
        <f aca="false">IF(K982="","",ABS(K982))</f>
        <v>9.27151391588916</v>
      </c>
      <c r="P982" s="34" t="str">
        <f aca="false">IF(B982&gt;=Eval_Start_Week,"YES","")</f>
        <v/>
      </c>
      <c r="Q982" s="34" t="str">
        <f aca="false">IF(AND(B982&gt;=Cal_Start_Week,B982&lt;=Cal_End_Week),"YES","")</f>
        <v>YES</v>
      </c>
    </row>
    <row r="983" customFormat="false" ht="15" hidden="false" customHeight="false" outlineLevel="0" collapsed="false">
      <c r="A983" s="31" t="str">
        <f aca="false">Demand_History!C983</f>
        <v>KIT-010</v>
      </c>
      <c r="B983" s="31" t="n">
        <f aca="false">Demand_History!A983</f>
        <v>46</v>
      </c>
      <c r="C983" s="32" t="n">
        <f aca="false">Demand_History!D983</f>
        <v>108</v>
      </c>
      <c r="D983" s="33" t="n">
        <f aca="false">IF(B983&gt;=2,C982,"")</f>
        <v>95</v>
      </c>
      <c r="E983" s="33" t="n">
        <f aca="false">IF(B983&gt;=5,AVERAGE(C979:C982),"")</f>
        <v>101.75</v>
      </c>
      <c r="F983" s="33" t="n">
        <f aca="false">IF(B983&gt;=9,AVERAGE(C975:C982),"")</f>
        <v>100.5</v>
      </c>
      <c r="G983" s="33" t="n">
        <f aca="false">IF(B983=1,"",IF(B983=2,C982,SES_Alpha*C982+(1-SES_Alpha)*G982))</f>
        <v>101.490059741122</v>
      </c>
      <c r="H983" s="33" t="n">
        <f aca="false">IF(D983="","",D983-C983)</f>
        <v>-13</v>
      </c>
      <c r="I983" s="33" t="n">
        <f aca="false">IF(E983="","",E983-C983)</f>
        <v>-6.25</v>
      </c>
      <c r="J983" s="33" t="n">
        <f aca="false">IF(F983="","",F983-C983)</f>
        <v>-7.5</v>
      </c>
      <c r="K983" s="33" t="n">
        <f aca="false">IF(G983="","",G983-C983)</f>
        <v>-6.50994025887759</v>
      </c>
      <c r="L983" s="33" t="n">
        <f aca="false">IF(H983="","",ABS(H983))</f>
        <v>13</v>
      </c>
      <c r="M983" s="33" t="n">
        <f aca="false">IF(I983="","",ABS(I983))</f>
        <v>6.25</v>
      </c>
      <c r="N983" s="33" t="n">
        <f aca="false">IF(J983="","",ABS(J983))</f>
        <v>7.5</v>
      </c>
      <c r="O983" s="33" t="n">
        <f aca="false">IF(K983="","",ABS(K983))</f>
        <v>6.50994025887759</v>
      </c>
      <c r="P983" s="34" t="str">
        <f aca="false">IF(B983&gt;=Eval_Start_Week,"YES","")</f>
        <v/>
      </c>
      <c r="Q983" s="34" t="str">
        <f aca="false">IF(AND(B983&gt;=Cal_Start_Week,B983&lt;=Cal_End_Week),"YES","")</f>
        <v>YES</v>
      </c>
    </row>
    <row r="984" customFormat="false" ht="15" hidden="false" customHeight="false" outlineLevel="0" collapsed="false">
      <c r="A984" s="31" t="str">
        <f aca="false">Demand_History!C984</f>
        <v>KIT-010</v>
      </c>
      <c r="B984" s="31" t="n">
        <f aca="false">Demand_History!A984</f>
        <v>47</v>
      </c>
      <c r="C984" s="32" t="n">
        <f aca="false">Demand_History!D984</f>
        <v>85</v>
      </c>
      <c r="D984" s="33" t="n">
        <f aca="false">IF(B984&gt;=2,C983,"")</f>
        <v>108</v>
      </c>
      <c r="E984" s="33" t="n">
        <f aca="false">IF(B984&gt;=5,AVERAGE(C980:C983),"")</f>
        <v>106.5</v>
      </c>
      <c r="F984" s="33" t="n">
        <f aca="false">IF(B984&gt;=9,AVERAGE(C976:C983),"")</f>
        <v>102.25</v>
      </c>
      <c r="G984" s="33" t="n">
        <f aca="false">IF(B984=1,"",IF(B984=2,C983,SES_Alpha*C983+(1-SES_Alpha)*G983))</f>
        <v>103.443041818786</v>
      </c>
      <c r="H984" s="33" t="n">
        <f aca="false">IF(D984="","",D984-C984)</f>
        <v>23</v>
      </c>
      <c r="I984" s="33" t="n">
        <f aca="false">IF(E984="","",E984-C984)</f>
        <v>21.5</v>
      </c>
      <c r="J984" s="33" t="n">
        <f aca="false">IF(F984="","",F984-C984)</f>
        <v>17.25</v>
      </c>
      <c r="K984" s="33" t="n">
        <f aca="false">IF(G984="","",G984-C984)</f>
        <v>18.4430418187857</v>
      </c>
      <c r="L984" s="33" t="n">
        <f aca="false">IF(H984="","",ABS(H984))</f>
        <v>23</v>
      </c>
      <c r="M984" s="33" t="n">
        <f aca="false">IF(I984="","",ABS(I984))</f>
        <v>21.5</v>
      </c>
      <c r="N984" s="33" t="n">
        <f aca="false">IF(J984="","",ABS(J984))</f>
        <v>17.25</v>
      </c>
      <c r="O984" s="33" t="n">
        <f aca="false">IF(K984="","",ABS(K984))</f>
        <v>18.4430418187857</v>
      </c>
      <c r="P984" s="34" t="str">
        <f aca="false">IF(B984&gt;=Eval_Start_Week,"YES","")</f>
        <v/>
      </c>
      <c r="Q984" s="34" t="str">
        <f aca="false">IF(AND(B984&gt;=Cal_Start_Week,B984&lt;=Cal_End_Week),"YES","")</f>
        <v>YES</v>
      </c>
    </row>
    <row r="985" customFormat="false" ht="15" hidden="false" customHeight="false" outlineLevel="0" collapsed="false">
      <c r="A985" s="31" t="str">
        <f aca="false">Demand_History!C985</f>
        <v>KIT-010</v>
      </c>
      <c r="B985" s="31" t="n">
        <f aca="false">Demand_History!A985</f>
        <v>48</v>
      </c>
      <c r="C985" s="32" t="n">
        <f aca="false">Demand_History!D985</f>
        <v>83</v>
      </c>
      <c r="D985" s="33" t="n">
        <f aca="false">IF(B985&gt;=2,C984,"")</f>
        <v>85</v>
      </c>
      <c r="E985" s="33" t="n">
        <f aca="false">IF(B985&gt;=5,AVERAGE(C981:C984),"")</f>
        <v>99</v>
      </c>
      <c r="F985" s="33" t="n">
        <f aca="false">IF(B985&gt;=9,AVERAGE(C977:C984),"")</f>
        <v>101.375</v>
      </c>
      <c r="G985" s="33" t="n">
        <f aca="false">IF(B985=1,"",IF(B985=2,C984,SES_Alpha*C984+(1-SES_Alpha)*G984))</f>
        <v>97.91012927315</v>
      </c>
      <c r="H985" s="33" t="n">
        <f aca="false">IF(D985="","",D985-C985)</f>
        <v>2</v>
      </c>
      <c r="I985" s="33" t="n">
        <f aca="false">IF(E985="","",E985-C985)</f>
        <v>16</v>
      </c>
      <c r="J985" s="33" t="n">
        <f aca="false">IF(F985="","",F985-C985)</f>
        <v>18.375</v>
      </c>
      <c r="K985" s="33" t="n">
        <f aca="false">IF(G985="","",G985-C985)</f>
        <v>14.91012927315</v>
      </c>
      <c r="L985" s="33" t="n">
        <f aca="false">IF(H985="","",ABS(H985))</f>
        <v>2</v>
      </c>
      <c r="M985" s="33" t="n">
        <f aca="false">IF(I985="","",ABS(I985))</f>
        <v>16</v>
      </c>
      <c r="N985" s="33" t="n">
        <f aca="false">IF(J985="","",ABS(J985))</f>
        <v>18.375</v>
      </c>
      <c r="O985" s="33" t="n">
        <f aca="false">IF(K985="","",ABS(K985))</f>
        <v>14.91012927315</v>
      </c>
      <c r="P985" s="34" t="str">
        <f aca="false">IF(B985&gt;=Eval_Start_Week,"YES","")</f>
        <v/>
      </c>
      <c r="Q985" s="34" t="str">
        <f aca="false">IF(AND(B985&gt;=Cal_Start_Week,B985&lt;=Cal_End_Week),"YES","")</f>
        <v>YES</v>
      </c>
    </row>
    <row r="986" customFormat="false" ht="15" hidden="false" customHeight="false" outlineLevel="0" collapsed="false">
      <c r="A986" s="31" t="str">
        <f aca="false">Demand_History!C986</f>
        <v>KIT-010</v>
      </c>
      <c r="B986" s="31" t="n">
        <f aca="false">Demand_History!A986</f>
        <v>49</v>
      </c>
      <c r="C986" s="32" t="n">
        <f aca="false">Demand_History!D986</f>
        <v>87</v>
      </c>
      <c r="D986" s="33" t="n">
        <f aca="false">IF(B986&gt;=2,C985,"")</f>
        <v>83</v>
      </c>
      <c r="E986" s="33" t="n">
        <f aca="false">IF(B986&gt;=5,AVERAGE(C982:C985),"")</f>
        <v>92.75</v>
      </c>
      <c r="F986" s="33" t="n">
        <f aca="false">IF(B986&gt;=9,AVERAGE(C978:C985),"")</f>
        <v>99.375</v>
      </c>
      <c r="G986" s="33" t="n">
        <f aca="false">IF(B986=1,"",IF(B986=2,C985,SES_Alpha*C985+(1-SES_Alpha)*G985))</f>
        <v>93.437090491205</v>
      </c>
      <c r="H986" s="33" t="n">
        <f aca="false">IF(D986="","",D986-C986)</f>
        <v>-4</v>
      </c>
      <c r="I986" s="33" t="n">
        <f aca="false">IF(E986="","",E986-C986)</f>
        <v>5.75</v>
      </c>
      <c r="J986" s="33" t="n">
        <f aca="false">IF(F986="","",F986-C986)</f>
        <v>12.375</v>
      </c>
      <c r="K986" s="33" t="n">
        <f aca="false">IF(G986="","",G986-C986)</f>
        <v>6.43709049120497</v>
      </c>
      <c r="L986" s="33" t="n">
        <f aca="false">IF(H986="","",ABS(H986))</f>
        <v>4</v>
      </c>
      <c r="M986" s="33" t="n">
        <f aca="false">IF(I986="","",ABS(I986))</f>
        <v>5.75</v>
      </c>
      <c r="N986" s="33" t="n">
        <f aca="false">IF(J986="","",ABS(J986))</f>
        <v>12.375</v>
      </c>
      <c r="O986" s="33" t="n">
        <f aca="false">IF(K986="","",ABS(K986))</f>
        <v>6.43709049120497</v>
      </c>
      <c r="P986" s="34" t="str">
        <f aca="false">IF(B986&gt;=Eval_Start_Week,"YES","")</f>
        <v/>
      </c>
      <c r="Q986" s="34" t="str">
        <f aca="false">IF(AND(B986&gt;=Cal_Start_Week,B986&lt;=Cal_End_Week),"YES","")</f>
        <v>YES</v>
      </c>
    </row>
    <row r="987" customFormat="false" ht="15" hidden="false" customHeight="false" outlineLevel="0" collapsed="false">
      <c r="A987" s="31" t="str">
        <f aca="false">Demand_History!C987</f>
        <v>KIT-010</v>
      </c>
      <c r="B987" s="31" t="n">
        <f aca="false">Demand_History!A987</f>
        <v>50</v>
      </c>
      <c r="C987" s="32" t="n">
        <f aca="false">Demand_History!D987</f>
        <v>96</v>
      </c>
      <c r="D987" s="33" t="n">
        <f aca="false">IF(B987&gt;=2,C986,"")</f>
        <v>87</v>
      </c>
      <c r="E987" s="33" t="n">
        <f aca="false">IF(B987&gt;=5,AVERAGE(C983:C986),"")</f>
        <v>90.75</v>
      </c>
      <c r="F987" s="33" t="n">
        <f aca="false">IF(B987&gt;=9,AVERAGE(C979:C986),"")</f>
        <v>96.25</v>
      </c>
      <c r="G987" s="33" t="n">
        <f aca="false">IF(B987=1,"",IF(B987=2,C986,SES_Alpha*C986+(1-SES_Alpha)*G986))</f>
        <v>91.5059633438435</v>
      </c>
      <c r="H987" s="33" t="n">
        <f aca="false">IF(D987="","",D987-C987)</f>
        <v>-9</v>
      </c>
      <c r="I987" s="33" t="n">
        <f aca="false">IF(E987="","",E987-C987)</f>
        <v>-5.25</v>
      </c>
      <c r="J987" s="33" t="n">
        <f aca="false">IF(F987="","",F987-C987)</f>
        <v>0.25</v>
      </c>
      <c r="K987" s="33" t="n">
        <f aca="false">IF(G987="","",G987-C987)</f>
        <v>-4.49403665615652</v>
      </c>
      <c r="L987" s="33" t="n">
        <f aca="false">IF(H987="","",ABS(H987))</f>
        <v>9</v>
      </c>
      <c r="M987" s="33" t="n">
        <f aca="false">IF(I987="","",ABS(I987))</f>
        <v>5.25</v>
      </c>
      <c r="N987" s="33" t="n">
        <f aca="false">IF(J987="","",ABS(J987))</f>
        <v>0.25</v>
      </c>
      <c r="O987" s="33" t="n">
        <f aca="false">IF(K987="","",ABS(K987))</f>
        <v>4.49403665615652</v>
      </c>
      <c r="P987" s="34" t="str">
        <f aca="false">IF(B987&gt;=Eval_Start_Week,"YES","")</f>
        <v/>
      </c>
      <c r="Q987" s="34" t="str">
        <f aca="false">IF(AND(B987&gt;=Cal_Start_Week,B987&lt;=Cal_End_Week),"YES","")</f>
        <v>YES</v>
      </c>
    </row>
    <row r="988" customFormat="false" ht="15" hidden="false" customHeight="false" outlineLevel="0" collapsed="false">
      <c r="A988" s="31" t="str">
        <f aca="false">Demand_History!C988</f>
        <v>KIT-010</v>
      </c>
      <c r="B988" s="31" t="n">
        <f aca="false">Demand_History!A988</f>
        <v>51</v>
      </c>
      <c r="C988" s="32" t="n">
        <f aca="false">Demand_History!D988</f>
        <v>97</v>
      </c>
      <c r="D988" s="33" t="n">
        <f aca="false">IF(B988&gt;=2,C987,"")</f>
        <v>96</v>
      </c>
      <c r="E988" s="33" t="n">
        <f aca="false">IF(B988&gt;=5,AVERAGE(C984:C987),"")</f>
        <v>87.75</v>
      </c>
      <c r="F988" s="33" t="n">
        <f aca="false">IF(B988&gt;=9,AVERAGE(C980:C987),"")</f>
        <v>97.125</v>
      </c>
      <c r="G988" s="33" t="n">
        <f aca="false">IF(B988=1,"",IF(B988=2,C987,SES_Alpha*C987+(1-SES_Alpha)*G987))</f>
        <v>92.8541743406904</v>
      </c>
      <c r="H988" s="33" t="n">
        <f aca="false">IF(D988="","",D988-C988)</f>
        <v>-1</v>
      </c>
      <c r="I988" s="33" t="n">
        <f aca="false">IF(E988="","",E988-C988)</f>
        <v>-9.25</v>
      </c>
      <c r="J988" s="33" t="n">
        <f aca="false">IF(F988="","",F988-C988)</f>
        <v>0.125</v>
      </c>
      <c r="K988" s="33" t="n">
        <f aca="false">IF(G988="","",G988-C988)</f>
        <v>-4.14582565930958</v>
      </c>
      <c r="L988" s="33" t="n">
        <f aca="false">IF(H988="","",ABS(H988))</f>
        <v>1</v>
      </c>
      <c r="M988" s="33" t="n">
        <f aca="false">IF(I988="","",ABS(I988))</f>
        <v>9.25</v>
      </c>
      <c r="N988" s="33" t="n">
        <f aca="false">IF(J988="","",ABS(J988))</f>
        <v>0.125</v>
      </c>
      <c r="O988" s="33" t="n">
        <f aca="false">IF(K988="","",ABS(K988))</f>
        <v>4.14582565930958</v>
      </c>
      <c r="P988" s="34" t="str">
        <f aca="false">IF(B988&gt;=Eval_Start_Week,"YES","")</f>
        <v/>
      </c>
      <c r="Q988" s="34" t="str">
        <f aca="false">IF(AND(B988&gt;=Cal_Start_Week,B988&lt;=Cal_End_Week),"YES","")</f>
        <v>YES</v>
      </c>
    </row>
    <row r="989" customFormat="false" ht="15" hidden="false" customHeight="false" outlineLevel="0" collapsed="false">
      <c r="A989" s="31" t="str">
        <f aca="false">Demand_History!C989</f>
        <v>KIT-010</v>
      </c>
      <c r="B989" s="31" t="n">
        <f aca="false">Demand_History!A989</f>
        <v>52</v>
      </c>
      <c r="C989" s="32" t="n">
        <f aca="false">Demand_History!D989</f>
        <v>95</v>
      </c>
      <c r="D989" s="33" t="n">
        <f aca="false">IF(B989&gt;=2,C988,"")</f>
        <v>97</v>
      </c>
      <c r="E989" s="33" t="n">
        <f aca="false">IF(B989&gt;=5,AVERAGE(C985:C988),"")</f>
        <v>90.75</v>
      </c>
      <c r="F989" s="33" t="n">
        <f aca="false">IF(B989&gt;=9,AVERAGE(C981:C988),"")</f>
        <v>94.875</v>
      </c>
      <c r="G989" s="33" t="n">
        <f aca="false">IF(B989=1,"",IF(B989=2,C988,SES_Alpha*C988+(1-SES_Alpha)*G988))</f>
        <v>94.0979220384833</v>
      </c>
      <c r="H989" s="33" t="n">
        <f aca="false">IF(D989="","",D989-C989)</f>
        <v>2</v>
      </c>
      <c r="I989" s="33" t="n">
        <f aca="false">IF(E989="","",E989-C989)</f>
        <v>-4.25</v>
      </c>
      <c r="J989" s="33" t="n">
        <f aca="false">IF(F989="","",F989-C989)</f>
        <v>-0.125</v>
      </c>
      <c r="K989" s="33" t="n">
        <f aca="false">IF(G989="","",G989-C989)</f>
        <v>-0.90207796151671</v>
      </c>
      <c r="L989" s="33" t="n">
        <f aca="false">IF(H989="","",ABS(H989))</f>
        <v>2</v>
      </c>
      <c r="M989" s="33" t="n">
        <f aca="false">IF(I989="","",ABS(I989))</f>
        <v>4.25</v>
      </c>
      <c r="N989" s="33" t="n">
        <f aca="false">IF(J989="","",ABS(J989))</f>
        <v>0.125</v>
      </c>
      <c r="O989" s="33" t="n">
        <f aca="false">IF(K989="","",ABS(K989))</f>
        <v>0.90207796151671</v>
      </c>
      <c r="P989" s="34" t="str">
        <f aca="false">IF(B989&gt;=Eval_Start_Week,"YES","")</f>
        <v/>
      </c>
      <c r="Q989" s="34" t="str">
        <f aca="false">IF(AND(B989&gt;=Cal_Start_Week,B989&lt;=Cal_End_Week),"YES","")</f>
        <v>YES</v>
      </c>
    </row>
    <row r="990" customFormat="false" ht="15" hidden="false" customHeight="false" outlineLevel="0" collapsed="false">
      <c r="A990" s="31" t="str">
        <f aca="false">Demand_History!C990</f>
        <v>KIT-010</v>
      </c>
      <c r="B990" s="31" t="n">
        <f aca="false">Demand_History!A990</f>
        <v>53</v>
      </c>
      <c r="C990" s="32" t="n">
        <f aca="false">Demand_History!D990</f>
        <v>101</v>
      </c>
      <c r="D990" s="33" t="n">
        <f aca="false">IF(B990&gt;=2,C989,"")</f>
        <v>95</v>
      </c>
      <c r="E990" s="33" t="n">
        <f aca="false">IF(B990&gt;=5,AVERAGE(C986:C989),"")</f>
        <v>93.75</v>
      </c>
      <c r="F990" s="33" t="n">
        <f aca="false">IF(B990&gt;=9,AVERAGE(C982:C989),"")</f>
        <v>93.25</v>
      </c>
      <c r="G990" s="33" t="n">
        <f aca="false">IF(B990=1,"",IF(B990=2,C989,SES_Alpha*C989+(1-SES_Alpha)*G989))</f>
        <v>94.3685454269383</v>
      </c>
      <c r="H990" s="33" t="n">
        <f aca="false">IF(D990="","",D990-C990)</f>
        <v>-6</v>
      </c>
      <c r="I990" s="33" t="n">
        <f aca="false">IF(E990="","",E990-C990)</f>
        <v>-7.25</v>
      </c>
      <c r="J990" s="33" t="n">
        <f aca="false">IF(F990="","",F990-C990)</f>
        <v>-7.75</v>
      </c>
      <c r="K990" s="33" t="n">
        <f aca="false">IF(G990="","",G990-C990)</f>
        <v>-6.6314545730617</v>
      </c>
      <c r="L990" s="33" t="n">
        <f aca="false">IF(H990="","",ABS(H990))</f>
        <v>6</v>
      </c>
      <c r="M990" s="33" t="n">
        <f aca="false">IF(I990="","",ABS(I990))</f>
        <v>7.25</v>
      </c>
      <c r="N990" s="33" t="n">
        <f aca="false">IF(J990="","",ABS(J990))</f>
        <v>7.75</v>
      </c>
      <c r="O990" s="33" t="n">
        <f aca="false">IF(K990="","",ABS(K990))</f>
        <v>6.6314545730617</v>
      </c>
      <c r="P990" s="34" t="str">
        <f aca="false">IF(B990&gt;=Eval_Start_Week,"YES","")</f>
        <v>YES</v>
      </c>
      <c r="Q990" s="34" t="str">
        <f aca="false">IF(AND(B990&gt;=Cal_Start_Week,B990&lt;=Cal_End_Week),"YES","")</f>
        <v>YES</v>
      </c>
    </row>
    <row r="991" customFormat="false" ht="15" hidden="false" customHeight="false" outlineLevel="0" collapsed="false">
      <c r="A991" s="31" t="str">
        <f aca="false">Demand_History!C991</f>
        <v>KIT-010</v>
      </c>
      <c r="B991" s="31" t="n">
        <f aca="false">Demand_History!A991</f>
        <v>54</v>
      </c>
      <c r="C991" s="32" t="n">
        <f aca="false">Demand_History!D991</f>
        <v>79</v>
      </c>
      <c r="D991" s="33" t="n">
        <f aca="false">IF(B991&gt;=2,C990,"")</f>
        <v>101</v>
      </c>
      <c r="E991" s="33" t="n">
        <f aca="false">IF(B991&gt;=5,AVERAGE(C987:C990),"")</f>
        <v>97.25</v>
      </c>
      <c r="F991" s="33" t="n">
        <f aca="false">IF(B991&gt;=9,AVERAGE(C983:C990),"")</f>
        <v>94</v>
      </c>
      <c r="G991" s="33" t="n">
        <f aca="false">IF(B991=1,"",IF(B991=2,C990,SES_Alpha*C990+(1-SES_Alpha)*G990))</f>
        <v>96.3579817988568</v>
      </c>
      <c r="H991" s="33" t="n">
        <f aca="false">IF(D991="","",D991-C991)</f>
        <v>22</v>
      </c>
      <c r="I991" s="33" t="n">
        <f aca="false">IF(E991="","",E991-C991)</f>
        <v>18.25</v>
      </c>
      <c r="J991" s="33" t="n">
        <f aca="false">IF(F991="","",F991-C991)</f>
        <v>15</v>
      </c>
      <c r="K991" s="33" t="n">
        <f aca="false">IF(G991="","",G991-C991)</f>
        <v>17.3579817988568</v>
      </c>
      <c r="L991" s="33" t="n">
        <f aca="false">IF(H991="","",ABS(H991))</f>
        <v>22</v>
      </c>
      <c r="M991" s="33" t="n">
        <f aca="false">IF(I991="","",ABS(I991))</f>
        <v>18.25</v>
      </c>
      <c r="N991" s="33" t="n">
        <f aca="false">IF(J991="","",ABS(J991))</f>
        <v>15</v>
      </c>
      <c r="O991" s="33" t="n">
        <f aca="false">IF(K991="","",ABS(K991))</f>
        <v>17.3579817988568</v>
      </c>
      <c r="P991" s="34" t="str">
        <f aca="false">IF(B991&gt;=Eval_Start_Week,"YES","")</f>
        <v>YES</v>
      </c>
      <c r="Q991" s="34" t="str">
        <f aca="false">IF(AND(B991&gt;=Cal_Start_Week,B991&lt;=Cal_End_Week),"YES","")</f>
        <v>YES</v>
      </c>
    </row>
    <row r="992" customFormat="false" ht="15" hidden="false" customHeight="false" outlineLevel="0" collapsed="false">
      <c r="A992" s="31" t="str">
        <f aca="false">Demand_History!C992</f>
        <v>KIT-010</v>
      </c>
      <c r="B992" s="31" t="n">
        <f aca="false">Demand_History!A992</f>
        <v>55</v>
      </c>
      <c r="C992" s="32" t="n">
        <f aca="false">Demand_History!D992</f>
        <v>105</v>
      </c>
      <c r="D992" s="33" t="n">
        <f aca="false">IF(B992&gt;=2,C991,"")</f>
        <v>79</v>
      </c>
      <c r="E992" s="33" t="n">
        <f aca="false">IF(B992&gt;=5,AVERAGE(C988:C991),"")</f>
        <v>93</v>
      </c>
      <c r="F992" s="33" t="n">
        <f aca="false">IF(B992&gt;=9,AVERAGE(C984:C991),"")</f>
        <v>90.375</v>
      </c>
      <c r="G992" s="33" t="n">
        <f aca="false">IF(B992=1,"",IF(B992=2,C991,SES_Alpha*C991+(1-SES_Alpha)*G991))</f>
        <v>91.1505872591998</v>
      </c>
      <c r="H992" s="33" t="n">
        <f aca="false">IF(D992="","",D992-C992)</f>
        <v>-26</v>
      </c>
      <c r="I992" s="33" t="n">
        <f aca="false">IF(E992="","",E992-C992)</f>
        <v>-12</v>
      </c>
      <c r="J992" s="33" t="n">
        <f aca="false">IF(F992="","",F992-C992)</f>
        <v>-14.625</v>
      </c>
      <c r="K992" s="33" t="n">
        <f aca="false">IF(G992="","",G992-C992)</f>
        <v>-13.8494127408002</v>
      </c>
      <c r="L992" s="33" t="n">
        <f aca="false">IF(H992="","",ABS(H992))</f>
        <v>26</v>
      </c>
      <c r="M992" s="33" t="n">
        <f aca="false">IF(I992="","",ABS(I992))</f>
        <v>12</v>
      </c>
      <c r="N992" s="33" t="n">
        <f aca="false">IF(J992="","",ABS(J992))</f>
        <v>14.625</v>
      </c>
      <c r="O992" s="33" t="n">
        <f aca="false">IF(K992="","",ABS(K992))</f>
        <v>13.8494127408002</v>
      </c>
      <c r="P992" s="34" t="str">
        <f aca="false">IF(B992&gt;=Eval_Start_Week,"YES","")</f>
        <v>YES</v>
      </c>
      <c r="Q992" s="34" t="str">
        <f aca="false">IF(AND(B992&gt;=Cal_Start_Week,B992&lt;=Cal_End_Week),"YES","")</f>
        <v>YES</v>
      </c>
    </row>
    <row r="993" customFormat="false" ht="15" hidden="false" customHeight="false" outlineLevel="0" collapsed="false">
      <c r="A993" s="31" t="str">
        <f aca="false">Demand_History!C993</f>
        <v>KIT-010</v>
      </c>
      <c r="B993" s="31" t="n">
        <f aca="false">Demand_History!A993</f>
        <v>56</v>
      </c>
      <c r="C993" s="32" t="n">
        <f aca="false">Demand_History!D993</f>
        <v>86</v>
      </c>
      <c r="D993" s="33" t="n">
        <f aca="false">IF(B993&gt;=2,C992,"")</f>
        <v>105</v>
      </c>
      <c r="E993" s="33" t="n">
        <f aca="false">IF(B993&gt;=5,AVERAGE(C989:C992),"")</f>
        <v>95</v>
      </c>
      <c r="F993" s="33" t="n">
        <f aca="false">IF(B993&gt;=9,AVERAGE(C985:C992),"")</f>
        <v>92.875</v>
      </c>
      <c r="G993" s="33" t="n">
        <f aca="false">IF(B993=1,"",IF(B993=2,C992,SES_Alpha*C992+(1-SES_Alpha)*G992))</f>
        <v>95.3054110814398</v>
      </c>
      <c r="H993" s="33" t="n">
        <f aca="false">IF(D993="","",D993-C993)</f>
        <v>19</v>
      </c>
      <c r="I993" s="33" t="n">
        <f aca="false">IF(E993="","",E993-C993)</f>
        <v>9</v>
      </c>
      <c r="J993" s="33" t="n">
        <f aca="false">IF(F993="","",F993-C993)</f>
        <v>6.875</v>
      </c>
      <c r="K993" s="33" t="n">
        <f aca="false">IF(G993="","",G993-C993)</f>
        <v>9.30541108143981</v>
      </c>
      <c r="L993" s="33" t="n">
        <f aca="false">IF(H993="","",ABS(H993))</f>
        <v>19</v>
      </c>
      <c r="M993" s="33" t="n">
        <f aca="false">IF(I993="","",ABS(I993))</f>
        <v>9</v>
      </c>
      <c r="N993" s="33" t="n">
        <f aca="false">IF(J993="","",ABS(J993))</f>
        <v>6.875</v>
      </c>
      <c r="O993" s="33" t="n">
        <f aca="false">IF(K993="","",ABS(K993))</f>
        <v>9.30541108143981</v>
      </c>
      <c r="P993" s="34" t="str">
        <f aca="false">IF(B993&gt;=Eval_Start_Week,"YES","")</f>
        <v>YES</v>
      </c>
      <c r="Q993" s="34" t="str">
        <f aca="false">IF(AND(B993&gt;=Cal_Start_Week,B993&lt;=Cal_End_Week),"YES","")</f>
        <v>YES</v>
      </c>
    </row>
    <row r="994" customFormat="false" ht="15" hidden="false" customHeight="false" outlineLevel="0" collapsed="false">
      <c r="A994" s="31" t="str">
        <f aca="false">Demand_History!C994</f>
        <v>KIT-010</v>
      </c>
      <c r="B994" s="31" t="n">
        <f aca="false">Demand_History!A994</f>
        <v>57</v>
      </c>
      <c r="C994" s="32" t="n">
        <f aca="false">Demand_History!D994</f>
        <v>93</v>
      </c>
      <c r="D994" s="33" t="n">
        <f aca="false">IF(B994&gt;=2,C993,"")</f>
        <v>86</v>
      </c>
      <c r="E994" s="33" t="n">
        <f aca="false">IF(B994&gt;=5,AVERAGE(C990:C993),"")</f>
        <v>92.75</v>
      </c>
      <c r="F994" s="33" t="n">
        <f aca="false">IF(B994&gt;=9,AVERAGE(C986:C993),"")</f>
        <v>93.25</v>
      </c>
      <c r="G994" s="33" t="n">
        <f aca="false">IF(B994=1,"",IF(B994=2,C993,SES_Alpha*C993+(1-SES_Alpha)*G993))</f>
        <v>92.5137877570079</v>
      </c>
      <c r="H994" s="33" t="n">
        <f aca="false">IF(D994="","",D994-C994)</f>
        <v>-7</v>
      </c>
      <c r="I994" s="33" t="n">
        <f aca="false">IF(E994="","",E994-C994)</f>
        <v>-0.25</v>
      </c>
      <c r="J994" s="33" t="n">
        <f aca="false">IF(F994="","",F994-C994)</f>
        <v>0.25</v>
      </c>
      <c r="K994" s="33" t="n">
        <f aca="false">IF(G994="","",G994-C994)</f>
        <v>-0.486212242992139</v>
      </c>
      <c r="L994" s="33" t="n">
        <f aca="false">IF(H994="","",ABS(H994))</f>
        <v>7</v>
      </c>
      <c r="M994" s="33" t="n">
        <f aca="false">IF(I994="","",ABS(I994))</f>
        <v>0.25</v>
      </c>
      <c r="N994" s="33" t="n">
        <f aca="false">IF(J994="","",ABS(J994))</f>
        <v>0.25</v>
      </c>
      <c r="O994" s="33" t="n">
        <f aca="false">IF(K994="","",ABS(K994))</f>
        <v>0.486212242992139</v>
      </c>
      <c r="P994" s="34" t="str">
        <f aca="false">IF(B994&gt;=Eval_Start_Week,"YES","")</f>
        <v>YES</v>
      </c>
      <c r="Q994" s="34" t="str">
        <f aca="false">IF(AND(B994&gt;=Cal_Start_Week,B994&lt;=Cal_End_Week),"YES","")</f>
        <v>YES</v>
      </c>
    </row>
    <row r="995" customFormat="false" ht="15" hidden="false" customHeight="false" outlineLevel="0" collapsed="false">
      <c r="A995" s="31" t="str">
        <f aca="false">Demand_History!C995</f>
        <v>KIT-010</v>
      </c>
      <c r="B995" s="31" t="n">
        <f aca="false">Demand_History!A995</f>
        <v>58</v>
      </c>
      <c r="C995" s="32" t="n">
        <f aca="false">Demand_History!D995</f>
        <v>96</v>
      </c>
      <c r="D995" s="33" t="n">
        <f aca="false">IF(B995&gt;=2,C994,"")</f>
        <v>93</v>
      </c>
      <c r="E995" s="33" t="n">
        <f aca="false">IF(B995&gt;=5,AVERAGE(C991:C994),"")</f>
        <v>90.75</v>
      </c>
      <c r="F995" s="33" t="n">
        <f aca="false">IF(B995&gt;=9,AVERAGE(C987:C994),"")</f>
        <v>94</v>
      </c>
      <c r="G995" s="33" t="n">
        <f aca="false">IF(B995=1,"",IF(B995=2,C994,SES_Alpha*C994+(1-SES_Alpha)*G994))</f>
        <v>92.6596514299055</v>
      </c>
      <c r="H995" s="33" t="n">
        <f aca="false">IF(D995="","",D995-C995)</f>
        <v>-3</v>
      </c>
      <c r="I995" s="33" t="n">
        <f aca="false">IF(E995="","",E995-C995)</f>
        <v>-5.25</v>
      </c>
      <c r="J995" s="33" t="n">
        <f aca="false">IF(F995="","",F995-C995)</f>
        <v>-2</v>
      </c>
      <c r="K995" s="33" t="n">
        <f aca="false">IF(G995="","",G995-C995)</f>
        <v>-3.34034857009451</v>
      </c>
      <c r="L995" s="33" t="n">
        <f aca="false">IF(H995="","",ABS(H995))</f>
        <v>3</v>
      </c>
      <c r="M995" s="33" t="n">
        <f aca="false">IF(I995="","",ABS(I995))</f>
        <v>5.25</v>
      </c>
      <c r="N995" s="33" t="n">
        <f aca="false">IF(J995="","",ABS(J995))</f>
        <v>2</v>
      </c>
      <c r="O995" s="33" t="n">
        <f aca="false">IF(K995="","",ABS(K995))</f>
        <v>3.34034857009451</v>
      </c>
      <c r="P995" s="34" t="str">
        <f aca="false">IF(B995&gt;=Eval_Start_Week,"YES","")</f>
        <v>YES</v>
      </c>
      <c r="Q995" s="34" t="str">
        <f aca="false">IF(AND(B995&gt;=Cal_Start_Week,B995&lt;=Cal_End_Week),"YES","")</f>
        <v>YES</v>
      </c>
    </row>
    <row r="996" customFormat="false" ht="15" hidden="false" customHeight="false" outlineLevel="0" collapsed="false">
      <c r="A996" s="31" t="str">
        <f aca="false">Demand_History!C996</f>
        <v>KIT-010</v>
      </c>
      <c r="B996" s="31" t="n">
        <f aca="false">Demand_History!A996</f>
        <v>59</v>
      </c>
      <c r="C996" s="32" t="n">
        <f aca="false">Demand_History!D996</f>
        <v>88</v>
      </c>
      <c r="D996" s="33" t="n">
        <f aca="false">IF(B996&gt;=2,C995,"")</f>
        <v>96</v>
      </c>
      <c r="E996" s="33" t="n">
        <f aca="false">IF(B996&gt;=5,AVERAGE(C992:C995),"")</f>
        <v>95</v>
      </c>
      <c r="F996" s="33" t="n">
        <f aca="false">IF(B996&gt;=9,AVERAGE(C988:C995),"")</f>
        <v>94</v>
      </c>
      <c r="G996" s="33" t="n">
        <f aca="false">IF(B996=1,"",IF(B996=2,C995,SES_Alpha*C995+(1-SES_Alpha)*G995))</f>
        <v>93.6617560009338</v>
      </c>
      <c r="H996" s="33" t="n">
        <f aca="false">IF(D996="","",D996-C996)</f>
        <v>8</v>
      </c>
      <c r="I996" s="33" t="n">
        <f aca="false">IF(E996="","",E996-C996)</f>
        <v>7</v>
      </c>
      <c r="J996" s="33" t="n">
        <f aca="false">IF(F996="","",F996-C996)</f>
        <v>6</v>
      </c>
      <c r="K996" s="33" t="n">
        <f aca="false">IF(G996="","",G996-C996)</f>
        <v>5.66175600093384</v>
      </c>
      <c r="L996" s="33" t="n">
        <f aca="false">IF(H996="","",ABS(H996))</f>
        <v>8</v>
      </c>
      <c r="M996" s="33" t="n">
        <f aca="false">IF(I996="","",ABS(I996))</f>
        <v>7</v>
      </c>
      <c r="N996" s="33" t="n">
        <f aca="false">IF(J996="","",ABS(J996))</f>
        <v>6</v>
      </c>
      <c r="O996" s="33" t="n">
        <f aca="false">IF(K996="","",ABS(K996))</f>
        <v>5.66175600093384</v>
      </c>
      <c r="P996" s="34" t="str">
        <f aca="false">IF(B996&gt;=Eval_Start_Week,"YES","")</f>
        <v>YES</v>
      </c>
      <c r="Q996" s="34" t="str">
        <f aca="false">IF(AND(B996&gt;=Cal_Start_Week,B996&lt;=Cal_End_Week),"YES","")</f>
        <v>YES</v>
      </c>
    </row>
    <row r="997" customFormat="false" ht="15" hidden="false" customHeight="false" outlineLevel="0" collapsed="false">
      <c r="A997" s="31" t="str">
        <f aca="false">Demand_History!C997</f>
        <v>KIT-010</v>
      </c>
      <c r="B997" s="31" t="n">
        <f aca="false">Demand_History!A997</f>
        <v>60</v>
      </c>
      <c r="C997" s="32" t="n">
        <f aca="false">Demand_History!D997</f>
        <v>86</v>
      </c>
      <c r="D997" s="33" t="n">
        <f aca="false">IF(B997&gt;=2,C996,"")</f>
        <v>88</v>
      </c>
      <c r="E997" s="33" t="n">
        <f aca="false">IF(B997&gt;=5,AVERAGE(C993:C996),"")</f>
        <v>90.75</v>
      </c>
      <c r="F997" s="33" t="n">
        <f aca="false">IF(B997&gt;=9,AVERAGE(C989:C996),"")</f>
        <v>92.875</v>
      </c>
      <c r="G997" s="33" t="n">
        <f aca="false">IF(B997=1,"",IF(B997=2,C996,SES_Alpha*C996+(1-SES_Alpha)*G996))</f>
        <v>91.9632292006537</v>
      </c>
      <c r="H997" s="33" t="n">
        <f aca="false">IF(D997="","",D997-C997)</f>
        <v>2</v>
      </c>
      <c r="I997" s="33" t="n">
        <f aca="false">IF(E997="","",E997-C997)</f>
        <v>4.75</v>
      </c>
      <c r="J997" s="33" t="n">
        <f aca="false">IF(F997="","",F997-C997)</f>
        <v>6.875</v>
      </c>
      <c r="K997" s="33" t="n">
        <f aca="false">IF(G997="","",G997-C997)</f>
        <v>5.96322920065367</v>
      </c>
      <c r="L997" s="33" t="n">
        <f aca="false">IF(H997="","",ABS(H997))</f>
        <v>2</v>
      </c>
      <c r="M997" s="33" t="n">
        <f aca="false">IF(I997="","",ABS(I997))</f>
        <v>4.75</v>
      </c>
      <c r="N997" s="33" t="n">
        <f aca="false">IF(J997="","",ABS(J997))</f>
        <v>6.875</v>
      </c>
      <c r="O997" s="33" t="n">
        <f aca="false">IF(K997="","",ABS(K997))</f>
        <v>5.96322920065367</v>
      </c>
      <c r="P997" s="34" t="str">
        <f aca="false">IF(B997&gt;=Eval_Start_Week,"YES","")</f>
        <v>YES</v>
      </c>
      <c r="Q997" s="34" t="str">
        <f aca="false">IF(AND(B997&gt;=Cal_Start_Week,B997&lt;=Cal_End_Week),"YES","")</f>
        <v>YES</v>
      </c>
    </row>
    <row r="998" customFormat="false" ht="15" hidden="false" customHeight="false" outlineLevel="0" collapsed="false">
      <c r="A998" s="31" t="str">
        <f aca="false">Demand_History!C998</f>
        <v>KIT-010</v>
      </c>
      <c r="B998" s="31" t="n">
        <f aca="false">Demand_History!A998</f>
        <v>61</v>
      </c>
      <c r="C998" s="32" t="n">
        <f aca="false">Demand_History!D998</f>
        <v>90</v>
      </c>
      <c r="D998" s="33" t="n">
        <f aca="false">IF(B998&gt;=2,C997,"")</f>
        <v>86</v>
      </c>
      <c r="E998" s="33" t="n">
        <f aca="false">IF(B998&gt;=5,AVERAGE(C994:C997),"")</f>
        <v>90.75</v>
      </c>
      <c r="F998" s="33" t="n">
        <f aca="false">IF(B998&gt;=9,AVERAGE(C990:C997),"")</f>
        <v>91.75</v>
      </c>
      <c r="G998" s="33" t="n">
        <f aca="false">IF(B998=1,"",IF(B998=2,C997,SES_Alpha*C997+(1-SES_Alpha)*G997))</f>
        <v>90.1742604404576</v>
      </c>
      <c r="H998" s="33" t="n">
        <f aca="false">IF(D998="","",D998-C998)</f>
        <v>-4</v>
      </c>
      <c r="I998" s="33" t="n">
        <f aca="false">IF(E998="","",E998-C998)</f>
        <v>0.75</v>
      </c>
      <c r="J998" s="33" t="n">
        <f aca="false">IF(F998="","",F998-C998)</f>
        <v>1.75</v>
      </c>
      <c r="K998" s="33" t="n">
        <f aca="false">IF(G998="","",G998-C998)</f>
        <v>0.174260440457559</v>
      </c>
      <c r="L998" s="33" t="n">
        <f aca="false">IF(H998="","",ABS(H998))</f>
        <v>4</v>
      </c>
      <c r="M998" s="33" t="n">
        <f aca="false">IF(I998="","",ABS(I998))</f>
        <v>0.75</v>
      </c>
      <c r="N998" s="33" t="n">
        <f aca="false">IF(J998="","",ABS(J998))</f>
        <v>1.75</v>
      </c>
      <c r="O998" s="33" t="n">
        <f aca="false">IF(K998="","",ABS(K998))</f>
        <v>0.174260440457559</v>
      </c>
      <c r="P998" s="34" t="str">
        <f aca="false">IF(B998&gt;=Eval_Start_Week,"YES","")</f>
        <v>YES</v>
      </c>
      <c r="Q998" s="34" t="str">
        <f aca="false">IF(AND(B998&gt;=Cal_Start_Week,B998&lt;=Cal_End_Week),"YES","")</f>
        <v>YES</v>
      </c>
    </row>
    <row r="999" customFormat="false" ht="15" hidden="false" customHeight="false" outlineLevel="0" collapsed="false">
      <c r="A999" s="31" t="str">
        <f aca="false">Demand_History!C999</f>
        <v>KIT-010</v>
      </c>
      <c r="B999" s="31" t="n">
        <f aca="false">Demand_History!A999</f>
        <v>62</v>
      </c>
      <c r="C999" s="32" t="n">
        <f aca="false">Demand_History!D999</f>
        <v>100</v>
      </c>
      <c r="D999" s="33" t="n">
        <f aca="false">IF(B999&gt;=2,C998,"")</f>
        <v>90</v>
      </c>
      <c r="E999" s="33" t="n">
        <f aca="false">IF(B999&gt;=5,AVERAGE(C995:C998),"")</f>
        <v>90</v>
      </c>
      <c r="F999" s="33" t="n">
        <f aca="false">IF(B999&gt;=9,AVERAGE(C991:C998),"")</f>
        <v>90.375</v>
      </c>
      <c r="G999" s="33" t="n">
        <f aca="false">IF(B999=1,"",IF(B999=2,C998,SES_Alpha*C998+(1-SES_Alpha)*G998))</f>
        <v>90.1219823083203</v>
      </c>
      <c r="H999" s="33" t="n">
        <f aca="false">IF(D999="","",D999-C999)</f>
        <v>-10</v>
      </c>
      <c r="I999" s="33" t="n">
        <f aca="false">IF(E999="","",E999-C999)</f>
        <v>-10</v>
      </c>
      <c r="J999" s="33" t="n">
        <f aca="false">IF(F999="","",F999-C999)</f>
        <v>-9.625</v>
      </c>
      <c r="K999" s="33" t="n">
        <f aca="false">IF(G999="","",G999-C999)</f>
        <v>-9.87801769167972</v>
      </c>
      <c r="L999" s="33" t="n">
        <f aca="false">IF(H999="","",ABS(H999))</f>
        <v>10</v>
      </c>
      <c r="M999" s="33" t="n">
        <f aca="false">IF(I999="","",ABS(I999))</f>
        <v>10</v>
      </c>
      <c r="N999" s="33" t="n">
        <f aca="false">IF(J999="","",ABS(J999))</f>
        <v>9.625</v>
      </c>
      <c r="O999" s="33" t="n">
        <f aca="false">IF(K999="","",ABS(K999))</f>
        <v>9.87801769167972</v>
      </c>
      <c r="P999" s="34" t="str">
        <f aca="false">IF(B999&gt;=Eval_Start_Week,"YES","")</f>
        <v>YES</v>
      </c>
      <c r="Q999" s="34" t="str">
        <f aca="false">IF(AND(B999&gt;=Cal_Start_Week,B999&lt;=Cal_End_Week),"YES","")</f>
        <v>YES</v>
      </c>
    </row>
    <row r="1000" customFormat="false" ht="15" hidden="false" customHeight="false" outlineLevel="0" collapsed="false">
      <c r="A1000" s="31" t="str">
        <f aca="false">Demand_History!C1000</f>
        <v>KIT-010</v>
      </c>
      <c r="B1000" s="31" t="n">
        <f aca="false">Demand_History!A1000</f>
        <v>63</v>
      </c>
      <c r="C1000" s="32" t="n">
        <f aca="false">Demand_History!D1000</f>
        <v>106</v>
      </c>
      <c r="D1000" s="33" t="n">
        <f aca="false">IF(B1000&gt;=2,C999,"")</f>
        <v>100</v>
      </c>
      <c r="E1000" s="33" t="n">
        <f aca="false">IF(B1000&gt;=5,AVERAGE(C996:C999),"")</f>
        <v>91</v>
      </c>
      <c r="F1000" s="33" t="n">
        <f aca="false">IF(B1000&gt;=9,AVERAGE(C992:C999),"")</f>
        <v>93</v>
      </c>
      <c r="G1000" s="33" t="n">
        <f aca="false">IF(B1000=1,"",IF(B1000=2,C999,SES_Alpha*C999+(1-SES_Alpha)*G999))</f>
        <v>93.0853876158242</v>
      </c>
      <c r="H1000" s="33" t="n">
        <f aca="false">IF(D1000="","",D1000-C1000)</f>
        <v>-6</v>
      </c>
      <c r="I1000" s="33" t="n">
        <f aca="false">IF(E1000="","",E1000-C1000)</f>
        <v>-15</v>
      </c>
      <c r="J1000" s="33" t="n">
        <f aca="false">IF(F1000="","",F1000-C1000)</f>
        <v>-13</v>
      </c>
      <c r="K1000" s="33" t="n">
        <f aca="false">IF(G1000="","",G1000-C1000)</f>
        <v>-12.9146123841758</v>
      </c>
      <c r="L1000" s="33" t="n">
        <f aca="false">IF(H1000="","",ABS(H1000))</f>
        <v>6</v>
      </c>
      <c r="M1000" s="33" t="n">
        <f aca="false">IF(I1000="","",ABS(I1000))</f>
        <v>15</v>
      </c>
      <c r="N1000" s="33" t="n">
        <f aca="false">IF(J1000="","",ABS(J1000))</f>
        <v>13</v>
      </c>
      <c r="O1000" s="33" t="n">
        <f aca="false">IF(K1000="","",ABS(K1000))</f>
        <v>12.9146123841758</v>
      </c>
      <c r="P1000" s="34" t="str">
        <f aca="false">IF(B1000&gt;=Eval_Start_Week,"YES","")</f>
        <v>YES</v>
      </c>
      <c r="Q1000" s="34" t="str">
        <f aca="false">IF(AND(B1000&gt;=Cal_Start_Week,B1000&lt;=Cal_End_Week),"YES","")</f>
        <v>YES</v>
      </c>
    </row>
    <row r="1001" customFormat="false" ht="15" hidden="false" customHeight="false" outlineLevel="0" collapsed="false">
      <c r="A1001" s="31" t="str">
        <f aca="false">Demand_History!C1001</f>
        <v>KIT-010</v>
      </c>
      <c r="B1001" s="31" t="n">
        <f aca="false">Demand_History!A1001</f>
        <v>64</v>
      </c>
      <c r="C1001" s="32" t="n">
        <f aca="false">Demand_History!D1001</f>
        <v>106</v>
      </c>
      <c r="D1001" s="33" t="n">
        <f aca="false">IF(B1001&gt;=2,C1000,"")</f>
        <v>106</v>
      </c>
      <c r="E1001" s="33" t="n">
        <f aca="false">IF(B1001&gt;=5,AVERAGE(C997:C1000),"")</f>
        <v>95.5</v>
      </c>
      <c r="F1001" s="33" t="n">
        <f aca="false">IF(B1001&gt;=9,AVERAGE(C993:C1000),"")</f>
        <v>93.125</v>
      </c>
      <c r="G1001" s="33" t="n">
        <f aca="false">IF(B1001=1,"",IF(B1001=2,C1000,SES_Alpha*C1000+(1-SES_Alpha)*G1000))</f>
        <v>96.9597713310769</v>
      </c>
      <c r="H1001" s="33" t="n">
        <f aca="false">IF(D1001="","",D1001-C1001)</f>
        <v>0</v>
      </c>
      <c r="I1001" s="33" t="n">
        <f aca="false">IF(E1001="","",E1001-C1001)</f>
        <v>-10.5</v>
      </c>
      <c r="J1001" s="33" t="n">
        <f aca="false">IF(F1001="","",F1001-C1001)</f>
        <v>-12.875</v>
      </c>
      <c r="K1001" s="33" t="n">
        <f aca="false">IF(G1001="","",G1001-C1001)</f>
        <v>-9.04022866892306</v>
      </c>
      <c r="L1001" s="33" t="n">
        <f aca="false">IF(H1001="","",ABS(H1001))</f>
        <v>0</v>
      </c>
      <c r="M1001" s="33" t="n">
        <f aca="false">IF(I1001="","",ABS(I1001))</f>
        <v>10.5</v>
      </c>
      <c r="N1001" s="33" t="n">
        <f aca="false">IF(J1001="","",ABS(J1001))</f>
        <v>12.875</v>
      </c>
      <c r="O1001" s="33" t="n">
        <f aca="false">IF(K1001="","",ABS(K1001))</f>
        <v>9.04022866892306</v>
      </c>
      <c r="P1001" s="34" t="str">
        <f aca="false">IF(B1001&gt;=Eval_Start_Week,"YES","")</f>
        <v>YES</v>
      </c>
      <c r="Q1001" s="34" t="str">
        <f aca="false">IF(AND(B1001&gt;=Cal_Start_Week,B1001&lt;=Cal_End_Week),"YES","")</f>
        <v>YES</v>
      </c>
    </row>
    <row r="1002" customFormat="false" ht="15" hidden="false" customHeight="false" outlineLevel="0" collapsed="false">
      <c r="A1002" s="31" t="str">
        <f aca="false">Demand_History!C1002</f>
        <v>KIT-010</v>
      </c>
      <c r="B1002" s="31" t="n">
        <f aca="false">Demand_History!A1002</f>
        <v>65</v>
      </c>
      <c r="C1002" s="32" t="n">
        <f aca="false">Demand_History!D1002</f>
        <v>90</v>
      </c>
      <c r="D1002" s="33" t="n">
        <f aca="false">IF(B1002&gt;=2,C1001,"")</f>
        <v>106</v>
      </c>
      <c r="E1002" s="33" t="n">
        <f aca="false">IF(B1002&gt;=5,AVERAGE(C998:C1001),"")</f>
        <v>100.5</v>
      </c>
      <c r="F1002" s="33" t="n">
        <f aca="false">IF(B1002&gt;=9,AVERAGE(C994:C1001),"")</f>
        <v>95.625</v>
      </c>
      <c r="G1002" s="33" t="n">
        <f aca="false">IF(B1002=1,"",IF(B1002=2,C1001,SES_Alpha*C1001+(1-SES_Alpha)*G1001))</f>
        <v>99.6718399317539</v>
      </c>
      <c r="H1002" s="33" t="n">
        <f aca="false">IF(D1002="","",D1002-C1002)</f>
        <v>16</v>
      </c>
      <c r="I1002" s="33" t="n">
        <f aca="false">IF(E1002="","",E1002-C1002)</f>
        <v>10.5</v>
      </c>
      <c r="J1002" s="33" t="n">
        <f aca="false">IF(F1002="","",F1002-C1002)</f>
        <v>5.625</v>
      </c>
      <c r="K1002" s="33" t="n">
        <f aca="false">IF(G1002="","",G1002-C1002)</f>
        <v>9.67183993175385</v>
      </c>
      <c r="L1002" s="33" t="n">
        <f aca="false">IF(H1002="","",ABS(H1002))</f>
        <v>16</v>
      </c>
      <c r="M1002" s="33" t="n">
        <f aca="false">IF(I1002="","",ABS(I1002))</f>
        <v>10.5</v>
      </c>
      <c r="N1002" s="33" t="n">
        <f aca="false">IF(J1002="","",ABS(J1002))</f>
        <v>5.625</v>
      </c>
      <c r="O1002" s="33" t="n">
        <f aca="false">IF(K1002="","",ABS(K1002))</f>
        <v>9.67183993175385</v>
      </c>
      <c r="P1002" s="34" t="str">
        <f aca="false">IF(B1002&gt;=Eval_Start_Week,"YES","")</f>
        <v>YES</v>
      </c>
      <c r="Q1002" s="34" t="str">
        <f aca="false">IF(AND(B1002&gt;=Cal_Start_Week,B1002&lt;=Cal_End_Week),"YES","")</f>
        <v>YES</v>
      </c>
    </row>
    <row r="1003" customFormat="false" ht="15" hidden="false" customHeight="false" outlineLevel="0" collapsed="false">
      <c r="A1003" s="31" t="str">
        <f aca="false">Demand_History!C1003</f>
        <v>KIT-010</v>
      </c>
      <c r="B1003" s="31" t="n">
        <f aca="false">Demand_History!A1003</f>
        <v>66</v>
      </c>
      <c r="C1003" s="32" t="n">
        <f aca="false">Demand_History!D1003</f>
        <v>92</v>
      </c>
      <c r="D1003" s="33" t="n">
        <f aca="false">IF(B1003&gt;=2,C1002,"")</f>
        <v>90</v>
      </c>
      <c r="E1003" s="33" t="n">
        <f aca="false">IF(B1003&gt;=5,AVERAGE(C999:C1002),"")</f>
        <v>100.5</v>
      </c>
      <c r="F1003" s="33" t="n">
        <f aca="false">IF(B1003&gt;=9,AVERAGE(C995:C1002),"")</f>
        <v>95.25</v>
      </c>
      <c r="G1003" s="33" t="n">
        <f aca="false">IF(B1003=1,"",IF(B1003=2,C1002,SES_Alpha*C1002+(1-SES_Alpha)*G1002))</f>
        <v>96.7702879522277</v>
      </c>
      <c r="H1003" s="33" t="n">
        <f aca="false">IF(D1003="","",D1003-C1003)</f>
        <v>-2</v>
      </c>
      <c r="I1003" s="33" t="n">
        <f aca="false">IF(E1003="","",E1003-C1003)</f>
        <v>8.5</v>
      </c>
      <c r="J1003" s="33" t="n">
        <f aca="false">IF(F1003="","",F1003-C1003)</f>
        <v>3.25</v>
      </c>
      <c r="K1003" s="33" t="n">
        <f aca="false">IF(G1003="","",G1003-C1003)</f>
        <v>4.77028795222769</v>
      </c>
      <c r="L1003" s="33" t="n">
        <f aca="false">IF(H1003="","",ABS(H1003))</f>
        <v>2</v>
      </c>
      <c r="M1003" s="33" t="n">
        <f aca="false">IF(I1003="","",ABS(I1003))</f>
        <v>8.5</v>
      </c>
      <c r="N1003" s="33" t="n">
        <f aca="false">IF(J1003="","",ABS(J1003))</f>
        <v>3.25</v>
      </c>
      <c r="O1003" s="33" t="n">
        <f aca="false">IF(K1003="","",ABS(K1003))</f>
        <v>4.77028795222769</v>
      </c>
      <c r="P1003" s="34" t="str">
        <f aca="false">IF(B1003&gt;=Eval_Start_Week,"YES","")</f>
        <v>YES</v>
      </c>
      <c r="Q1003" s="34" t="str">
        <f aca="false">IF(AND(B1003&gt;=Cal_Start_Week,B1003&lt;=Cal_End_Week),"YES","")</f>
        <v>YES</v>
      </c>
    </row>
    <row r="1004" customFormat="false" ht="15" hidden="false" customHeight="false" outlineLevel="0" collapsed="false">
      <c r="A1004" s="31" t="str">
        <f aca="false">Demand_History!C1004</f>
        <v>KIT-010</v>
      </c>
      <c r="B1004" s="31" t="n">
        <f aca="false">Demand_History!A1004</f>
        <v>67</v>
      </c>
      <c r="C1004" s="32" t="n">
        <f aca="false">Demand_History!D1004</f>
        <v>91</v>
      </c>
      <c r="D1004" s="33" t="n">
        <f aca="false">IF(B1004&gt;=2,C1003,"")</f>
        <v>92</v>
      </c>
      <c r="E1004" s="33" t="n">
        <f aca="false">IF(B1004&gt;=5,AVERAGE(C1000:C1003),"")</f>
        <v>98.5</v>
      </c>
      <c r="F1004" s="33" t="n">
        <f aca="false">IF(B1004&gt;=9,AVERAGE(C996:C1003),"")</f>
        <v>94.75</v>
      </c>
      <c r="G1004" s="33" t="n">
        <f aca="false">IF(B1004=1,"",IF(B1004=2,C1003,SES_Alpha*C1003+(1-SES_Alpha)*G1003))</f>
        <v>95.3392015665594</v>
      </c>
      <c r="H1004" s="33" t="n">
        <f aca="false">IF(D1004="","",D1004-C1004)</f>
        <v>1</v>
      </c>
      <c r="I1004" s="33" t="n">
        <f aca="false">IF(E1004="","",E1004-C1004)</f>
        <v>7.5</v>
      </c>
      <c r="J1004" s="33" t="n">
        <f aca="false">IF(F1004="","",F1004-C1004)</f>
        <v>3.75</v>
      </c>
      <c r="K1004" s="33" t="n">
        <f aca="false">IF(G1004="","",G1004-C1004)</f>
        <v>4.33920156655937</v>
      </c>
      <c r="L1004" s="33" t="n">
        <f aca="false">IF(H1004="","",ABS(H1004))</f>
        <v>1</v>
      </c>
      <c r="M1004" s="33" t="n">
        <f aca="false">IF(I1004="","",ABS(I1004))</f>
        <v>7.5</v>
      </c>
      <c r="N1004" s="33" t="n">
        <f aca="false">IF(J1004="","",ABS(J1004))</f>
        <v>3.75</v>
      </c>
      <c r="O1004" s="33" t="n">
        <f aca="false">IF(K1004="","",ABS(K1004))</f>
        <v>4.33920156655937</v>
      </c>
      <c r="P1004" s="34" t="str">
        <f aca="false">IF(B1004&gt;=Eval_Start_Week,"YES","")</f>
        <v>YES</v>
      </c>
      <c r="Q1004" s="34" t="str">
        <f aca="false">IF(AND(B1004&gt;=Cal_Start_Week,B1004&lt;=Cal_End_Week),"YES","")</f>
        <v>YES</v>
      </c>
    </row>
    <row r="1005" customFormat="false" ht="15" hidden="false" customHeight="false" outlineLevel="0" collapsed="false">
      <c r="A1005" s="31" t="str">
        <f aca="false">Demand_History!C1005</f>
        <v>KIT-010</v>
      </c>
      <c r="B1005" s="31" t="n">
        <f aca="false">Demand_History!A1005</f>
        <v>68</v>
      </c>
      <c r="C1005" s="32" t="n">
        <f aca="false">Demand_History!D1005</f>
        <v>105</v>
      </c>
      <c r="D1005" s="33" t="n">
        <f aca="false">IF(B1005&gt;=2,C1004,"")</f>
        <v>91</v>
      </c>
      <c r="E1005" s="33" t="n">
        <f aca="false">IF(B1005&gt;=5,AVERAGE(C1001:C1004),"")</f>
        <v>94.75</v>
      </c>
      <c r="F1005" s="33" t="n">
        <f aca="false">IF(B1005&gt;=9,AVERAGE(C997:C1004),"")</f>
        <v>95.125</v>
      </c>
      <c r="G1005" s="33" t="n">
        <f aca="false">IF(B1005=1,"",IF(B1005=2,C1004,SES_Alpha*C1004+(1-SES_Alpha)*G1004))</f>
        <v>94.0374410965916</v>
      </c>
      <c r="H1005" s="33" t="n">
        <f aca="false">IF(D1005="","",D1005-C1005)</f>
        <v>-14</v>
      </c>
      <c r="I1005" s="33" t="n">
        <f aca="false">IF(E1005="","",E1005-C1005)</f>
        <v>-10.25</v>
      </c>
      <c r="J1005" s="33" t="n">
        <f aca="false">IF(F1005="","",F1005-C1005)</f>
        <v>-9.875</v>
      </c>
      <c r="K1005" s="33" t="n">
        <f aca="false">IF(G1005="","",G1005-C1005)</f>
        <v>-10.9625589034085</v>
      </c>
      <c r="L1005" s="33" t="n">
        <f aca="false">IF(H1005="","",ABS(H1005))</f>
        <v>14</v>
      </c>
      <c r="M1005" s="33" t="n">
        <f aca="false">IF(I1005="","",ABS(I1005))</f>
        <v>10.25</v>
      </c>
      <c r="N1005" s="33" t="n">
        <f aca="false">IF(J1005="","",ABS(J1005))</f>
        <v>9.875</v>
      </c>
      <c r="O1005" s="33" t="n">
        <f aca="false">IF(K1005="","",ABS(K1005))</f>
        <v>10.9625589034085</v>
      </c>
      <c r="P1005" s="34" t="str">
        <f aca="false">IF(B1005&gt;=Eval_Start_Week,"YES","")</f>
        <v>YES</v>
      </c>
      <c r="Q1005" s="34" t="str">
        <f aca="false">IF(AND(B1005&gt;=Cal_Start_Week,B1005&lt;=Cal_End_Week),"YES","")</f>
        <v>YES</v>
      </c>
    </row>
    <row r="1006" customFormat="false" ht="15" hidden="false" customHeight="false" outlineLevel="0" collapsed="false">
      <c r="A1006" s="31" t="str">
        <f aca="false">Demand_History!C1006</f>
        <v>KIT-010</v>
      </c>
      <c r="B1006" s="31" t="n">
        <f aca="false">Demand_History!A1006</f>
        <v>69</v>
      </c>
      <c r="C1006" s="32" t="n">
        <f aca="false">Demand_History!D1006</f>
        <v>79</v>
      </c>
      <c r="D1006" s="33" t="n">
        <f aca="false">IF(B1006&gt;=2,C1005,"")</f>
        <v>105</v>
      </c>
      <c r="E1006" s="33" t="n">
        <f aca="false">IF(B1006&gt;=5,AVERAGE(C1002:C1005),"")</f>
        <v>94.5</v>
      </c>
      <c r="F1006" s="33" t="n">
        <f aca="false">IF(B1006&gt;=9,AVERAGE(C998:C1005),"")</f>
        <v>97.5</v>
      </c>
      <c r="G1006" s="33" t="n">
        <f aca="false">IF(B1006=1,"",IF(B1006=2,C1005,SES_Alpha*C1005+(1-SES_Alpha)*G1005))</f>
        <v>97.3262087676141</v>
      </c>
      <c r="H1006" s="33" t="n">
        <f aca="false">IF(D1006="","",D1006-C1006)</f>
        <v>26</v>
      </c>
      <c r="I1006" s="33" t="n">
        <f aca="false">IF(E1006="","",E1006-C1006)</f>
        <v>15.5</v>
      </c>
      <c r="J1006" s="33" t="n">
        <f aca="false">IF(F1006="","",F1006-C1006)</f>
        <v>18.5</v>
      </c>
      <c r="K1006" s="33" t="n">
        <f aca="false">IF(G1006="","",G1006-C1006)</f>
        <v>18.3262087676141</v>
      </c>
      <c r="L1006" s="33" t="n">
        <f aca="false">IF(H1006="","",ABS(H1006))</f>
        <v>26</v>
      </c>
      <c r="M1006" s="33" t="n">
        <f aca="false">IF(I1006="","",ABS(I1006))</f>
        <v>15.5</v>
      </c>
      <c r="N1006" s="33" t="n">
        <f aca="false">IF(J1006="","",ABS(J1006))</f>
        <v>18.5</v>
      </c>
      <c r="O1006" s="33" t="n">
        <f aca="false">IF(K1006="","",ABS(K1006))</f>
        <v>18.3262087676141</v>
      </c>
      <c r="P1006" s="34" t="str">
        <f aca="false">IF(B1006&gt;=Eval_Start_Week,"YES","")</f>
        <v>YES</v>
      </c>
      <c r="Q1006" s="34" t="str">
        <f aca="false">IF(AND(B1006&gt;=Cal_Start_Week,B1006&lt;=Cal_End_Week),"YES","")</f>
        <v>YES</v>
      </c>
    </row>
    <row r="1007" customFormat="false" ht="15" hidden="false" customHeight="false" outlineLevel="0" collapsed="false">
      <c r="A1007" s="31" t="str">
        <f aca="false">Demand_History!C1007</f>
        <v>KIT-010</v>
      </c>
      <c r="B1007" s="31" t="n">
        <f aca="false">Demand_History!A1007</f>
        <v>70</v>
      </c>
      <c r="C1007" s="32" t="n">
        <f aca="false">Demand_History!D1007</f>
        <v>112</v>
      </c>
      <c r="D1007" s="33" t="n">
        <f aca="false">IF(B1007&gt;=2,C1006,"")</f>
        <v>79</v>
      </c>
      <c r="E1007" s="33" t="n">
        <f aca="false">IF(B1007&gt;=5,AVERAGE(C1003:C1006),"")</f>
        <v>91.75</v>
      </c>
      <c r="F1007" s="33" t="n">
        <f aca="false">IF(B1007&gt;=9,AVERAGE(C999:C1006),"")</f>
        <v>96.125</v>
      </c>
      <c r="G1007" s="33" t="n">
        <f aca="false">IF(B1007=1,"",IF(B1007=2,C1006,SES_Alpha*C1006+(1-SES_Alpha)*G1006))</f>
        <v>91.8283461373299</v>
      </c>
      <c r="H1007" s="33" t="n">
        <f aca="false">IF(D1007="","",D1007-C1007)</f>
        <v>-33</v>
      </c>
      <c r="I1007" s="33" t="n">
        <f aca="false">IF(E1007="","",E1007-C1007)</f>
        <v>-20.25</v>
      </c>
      <c r="J1007" s="33" t="n">
        <f aca="false">IF(F1007="","",F1007-C1007)</f>
        <v>-15.875</v>
      </c>
      <c r="K1007" s="33" t="n">
        <f aca="false">IF(G1007="","",G1007-C1007)</f>
        <v>-20.1716538626702</v>
      </c>
      <c r="L1007" s="33" t="n">
        <f aca="false">IF(H1007="","",ABS(H1007))</f>
        <v>33</v>
      </c>
      <c r="M1007" s="33" t="n">
        <f aca="false">IF(I1007="","",ABS(I1007))</f>
        <v>20.25</v>
      </c>
      <c r="N1007" s="33" t="n">
        <f aca="false">IF(J1007="","",ABS(J1007))</f>
        <v>15.875</v>
      </c>
      <c r="O1007" s="33" t="n">
        <f aca="false">IF(K1007="","",ABS(K1007))</f>
        <v>20.1716538626702</v>
      </c>
      <c r="P1007" s="34" t="str">
        <f aca="false">IF(B1007&gt;=Eval_Start_Week,"YES","")</f>
        <v>YES</v>
      </c>
      <c r="Q1007" s="34" t="str">
        <f aca="false">IF(AND(B1007&gt;=Cal_Start_Week,B1007&lt;=Cal_End_Week),"YES","")</f>
        <v>YES</v>
      </c>
    </row>
    <row r="1008" customFormat="false" ht="15" hidden="false" customHeight="false" outlineLevel="0" collapsed="false">
      <c r="A1008" s="31" t="str">
        <f aca="false">Demand_History!C1008</f>
        <v>KIT-010</v>
      </c>
      <c r="B1008" s="31" t="n">
        <f aca="false">Demand_History!A1008</f>
        <v>71</v>
      </c>
      <c r="C1008" s="32" t="n">
        <f aca="false">Demand_History!D1008</f>
        <v>95</v>
      </c>
      <c r="D1008" s="33" t="n">
        <f aca="false">IF(B1008&gt;=2,C1007,"")</f>
        <v>112</v>
      </c>
      <c r="E1008" s="33" t="n">
        <f aca="false">IF(B1008&gt;=5,AVERAGE(C1004:C1007),"")</f>
        <v>96.75</v>
      </c>
      <c r="F1008" s="33" t="n">
        <f aca="false">IF(B1008&gt;=9,AVERAGE(C1000:C1007),"")</f>
        <v>97.625</v>
      </c>
      <c r="G1008" s="33" t="n">
        <f aca="false">IF(B1008=1,"",IF(B1008=2,C1007,SES_Alpha*C1007+(1-SES_Alpha)*G1007))</f>
        <v>97.8798422961309</v>
      </c>
      <c r="H1008" s="33" t="n">
        <f aca="false">IF(D1008="","",D1008-C1008)</f>
        <v>17</v>
      </c>
      <c r="I1008" s="33" t="n">
        <f aca="false">IF(E1008="","",E1008-C1008)</f>
        <v>1.75</v>
      </c>
      <c r="J1008" s="33" t="n">
        <f aca="false">IF(F1008="","",F1008-C1008)</f>
        <v>2.625</v>
      </c>
      <c r="K1008" s="33" t="n">
        <f aca="false">IF(G1008="","",G1008-C1008)</f>
        <v>2.8798422961309</v>
      </c>
      <c r="L1008" s="33" t="n">
        <f aca="false">IF(H1008="","",ABS(H1008))</f>
        <v>17</v>
      </c>
      <c r="M1008" s="33" t="n">
        <f aca="false">IF(I1008="","",ABS(I1008))</f>
        <v>1.75</v>
      </c>
      <c r="N1008" s="33" t="n">
        <f aca="false">IF(J1008="","",ABS(J1008))</f>
        <v>2.625</v>
      </c>
      <c r="O1008" s="33" t="n">
        <f aca="false">IF(K1008="","",ABS(K1008))</f>
        <v>2.8798422961309</v>
      </c>
      <c r="P1008" s="34" t="str">
        <f aca="false">IF(B1008&gt;=Eval_Start_Week,"YES","")</f>
        <v>YES</v>
      </c>
      <c r="Q1008" s="34" t="str">
        <f aca="false">IF(AND(B1008&gt;=Cal_Start_Week,B1008&lt;=Cal_End_Week),"YES","")</f>
        <v>YES</v>
      </c>
    </row>
    <row r="1009" customFormat="false" ht="15" hidden="false" customHeight="false" outlineLevel="0" collapsed="false">
      <c r="A1009" s="31" t="str">
        <f aca="false">Demand_History!C1009</f>
        <v>KIT-010</v>
      </c>
      <c r="B1009" s="31" t="n">
        <f aca="false">Demand_History!A1009</f>
        <v>72</v>
      </c>
      <c r="C1009" s="32" t="n">
        <f aca="false">Demand_History!D1009</f>
        <v>92</v>
      </c>
      <c r="D1009" s="33" t="n">
        <f aca="false">IF(B1009&gt;=2,C1008,"")</f>
        <v>95</v>
      </c>
      <c r="E1009" s="33" t="n">
        <f aca="false">IF(B1009&gt;=5,AVERAGE(C1005:C1008),"")</f>
        <v>97.75</v>
      </c>
      <c r="F1009" s="33" t="n">
        <f aca="false">IF(B1009&gt;=9,AVERAGE(C1001:C1008),"")</f>
        <v>96.25</v>
      </c>
      <c r="G1009" s="33" t="n">
        <f aca="false">IF(B1009=1,"",IF(B1009=2,C1008,SES_Alpha*C1008+(1-SES_Alpha)*G1008))</f>
        <v>97.0158896072916</v>
      </c>
      <c r="H1009" s="33" t="n">
        <f aca="false">IF(D1009="","",D1009-C1009)</f>
        <v>3</v>
      </c>
      <c r="I1009" s="33" t="n">
        <f aca="false">IF(E1009="","",E1009-C1009)</f>
        <v>5.75</v>
      </c>
      <c r="J1009" s="33" t="n">
        <f aca="false">IF(F1009="","",F1009-C1009)</f>
        <v>4.25</v>
      </c>
      <c r="K1009" s="33" t="n">
        <f aca="false">IF(G1009="","",G1009-C1009)</f>
        <v>5.01588960729163</v>
      </c>
      <c r="L1009" s="33" t="n">
        <f aca="false">IF(H1009="","",ABS(H1009))</f>
        <v>3</v>
      </c>
      <c r="M1009" s="33" t="n">
        <f aca="false">IF(I1009="","",ABS(I1009))</f>
        <v>5.75</v>
      </c>
      <c r="N1009" s="33" t="n">
        <f aca="false">IF(J1009="","",ABS(J1009))</f>
        <v>4.25</v>
      </c>
      <c r="O1009" s="33" t="n">
        <f aca="false">IF(K1009="","",ABS(K1009))</f>
        <v>5.01588960729163</v>
      </c>
      <c r="P1009" s="34" t="str">
        <f aca="false">IF(B1009&gt;=Eval_Start_Week,"YES","")</f>
        <v>YES</v>
      </c>
      <c r="Q1009" s="34" t="str">
        <f aca="false">IF(AND(B1009&gt;=Cal_Start_Week,B1009&lt;=Cal_End_Week),"YES","")</f>
        <v>YES</v>
      </c>
    </row>
    <row r="1010" customFormat="false" ht="15" hidden="false" customHeight="false" outlineLevel="0" collapsed="false">
      <c r="A1010" s="31" t="str">
        <f aca="false">Demand_History!C1010</f>
        <v>KIT-010</v>
      </c>
      <c r="B1010" s="31" t="n">
        <f aca="false">Demand_History!A1010</f>
        <v>73</v>
      </c>
      <c r="C1010" s="32" t="n">
        <f aca="false">Demand_History!D1010</f>
        <v>103</v>
      </c>
      <c r="D1010" s="33" t="n">
        <f aca="false">IF(B1010&gt;=2,C1009,"")</f>
        <v>92</v>
      </c>
      <c r="E1010" s="33" t="n">
        <f aca="false">IF(B1010&gt;=5,AVERAGE(C1006:C1009),"")</f>
        <v>94.5</v>
      </c>
      <c r="F1010" s="33" t="n">
        <f aca="false">IF(B1010&gt;=9,AVERAGE(C1002:C1009),"")</f>
        <v>94.5</v>
      </c>
      <c r="G1010" s="33" t="n">
        <f aca="false">IF(B1010=1,"",IF(B1010=2,C1009,SES_Alpha*C1009+(1-SES_Alpha)*G1009))</f>
        <v>95.5111227251041</v>
      </c>
      <c r="H1010" s="33" t="n">
        <f aca="false">IF(D1010="","",D1010-C1010)</f>
        <v>-11</v>
      </c>
      <c r="I1010" s="33" t="n">
        <f aca="false">IF(E1010="","",E1010-C1010)</f>
        <v>-8.5</v>
      </c>
      <c r="J1010" s="33" t="n">
        <f aca="false">IF(F1010="","",F1010-C1010)</f>
        <v>-8.5</v>
      </c>
      <c r="K1010" s="33" t="n">
        <f aca="false">IF(G1010="","",G1010-C1010)</f>
        <v>-7.48887727489587</v>
      </c>
      <c r="L1010" s="33" t="n">
        <f aca="false">IF(H1010="","",ABS(H1010))</f>
        <v>11</v>
      </c>
      <c r="M1010" s="33" t="n">
        <f aca="false">IF(I1010="","",ABS(I1010))</f>
        <v>8.5</v>
      </c>
      <c r="N1010" s="33" t="n">
        <f aca="false">IF(J1010="","",ABS(J1010))</f>
        <v>8.5</v>
      </c>
      <c r="O1010" s="33" t="n">
        <f aca="false">IF(K1010="","",ABS(K1010))</f>
        <v>7.48887727489587</v>
      </c>
      <c r="P1010" s="34" t="str">
        <f aca="false">IF(B1010&gt;=Eval_Start_Week,"YES","")</f>
        <v>YES</v>
      </c>
      <c r="Q1010" s="34" t="str">
        <f aca="false">IF(AND(B1010&gt;=Cal_Start_Week,B1010&lt;=Cal_End_Week),"YES","")</f>
        <v>YES</v>
      </c>
    </row>
    <row r="1011" customFormat="false" ht="15" hidden="false" customHeight="false" outlineLevel="0" collapsed="false">
      <c r="A1011" s="31" t="str">
        <f aca="false">Demand_History!C1011</f>
        <v>KIT-010</v>
      </c>
      <c r="B1011" s="31" t="n">
        <f aca="false">Demand_History!A1011</f>
        <v>74</v>
      </c>
      <c r="C1011" s="32" t="n">
        <f aca="false">Demand_History!D1011</f>
        <v>110</v>
      </c>
      <c r="D1011" s="33" t="n">
        <f aca="false">IF(B1011&gt;=2,C1010,"")</f>
        <v>103</v>
      </c>
      <c r="E1011" s="33" t="n">
        <f aca="false">IF(B1011&gt;=5,AVERAGE(C1007:C1010),"")</f>
        <v>100.5</v>
      </c>
      <c r="F1011" s="33" t="n">
        <f aca="false">IF(B1011&gt;=9,AVERAGE(C1003:C1010),"")</f>
        <v>96.125</v>
      </c>
      <c r="G1011" s="33" t="n">
        <f aca="false">IF(B1011=1,"",IF(B1011=2,C1010,SES_Alpha*C1010+(1-SES_Alpha)*G1010))</f>
        <v>97.7577859075729</v>
      </c>
      <c r="H1011" s="33" t="n">
        <f aca="false">IF(D1011="","",D1011-C1011)</f>
        <v>-7</v>
      </c>
      <c r="I1011" s="33" t="n">
        <f aca="false">IF(E1011="","",E1011-C1011)</f>
        <v>-9.5</v>
      </c>
      <c r="J1011" s="33" t="n">
        <f aca="false">IF(F1011="","",F1011-C1011)</f>
        <v>-13.875</v>
      </c>
      <c r="K1011" s="33" t="n">
        <f aca="false">IF(G1011="","",G1011-C1011)</f>
        <v>-12.2422140924271</v>
      </c>
      <c r="L1011" s="33" t="n">
        <f aca="false">IF(H1011="","",ABS(H1011))</f>
        <v>7</v>
      </c>
      <c r="M1011" s="33" t="n">
        <f aca="false">IF(I1011="","",ABS(I1011))</f>
        <v>9.5</v>
      </c>
      <c r="N1011" s="33" t="n">
        <f aca="false">IF(J1011="","",ABS(J1011))</f>
        <v>13.875</v>
      </c>
      <c r="O1011" s="33" t="n">
        <f aca="false">IF(K1011="","",ABS(K1011))</f>
        <v>12.2422140924271</v>
      </c>
      <c r="P1011" s="34" t="str">
        <f aca="false">IF(B1011&gt;=Eval_Start_Week,"YES","")</f>
        <v>YES</v>
      </c>
      <c r="Q1011" s="34" t="str">
        <f aca="false">IF(AND(B1011&gt;=Cal_Start_Week,B1011&lt;=Cal_End_Week),"YES","")</f>
        <v>YES</v>
      </c>
    </row>
    <row r="1012" customFormat="false" ht="15" hidden="false" customHeight="false" outlineLevel="0" collapsed="false">
      <c r="A1012" s="31" t="str">
        <f aca="false">Demand_History!C1012</f>
        <v>KIT-010</v>
      </c>
      <c r="B1012" s="31" t="n">
        <f aca="false">Demand_History!A1012</f>
        <v>75</v>
      </c>
      <c r="C1012" s="32" t="n">
        <f aca="false">Demand_History!D1012</f>
        <v>103</v>
      </c>
      <c r="D1012" s="33" t="n">
        <f aca="false">IF(B1012&gt;=2,C1011,"")</f>
        <v>110</v>
      </c>
      <c r="E1012" s="33" t="n">
        <f aca="false">IF(B1012&gt;=5,AVERAGE(C1008:C1011),"")</f>
        <v>100</v>
      </c>
      <c r="F1012" s="33" t="n">
        <f aca="false">IF(B1012&gt;=9,AVERAGE(C1004:C1011),"")</f>
        <v>98.375</v>
      </c>
      <c r="G1012" s="33" t="n">
        <f aca="false">IF(B1012=1,"",IF(B1012=2,C1011,SES_Alpha*C1011+(1-SES_Alpha)*G1011))</f>
        <v>101.430450135301</v>
      </c>
      <c r="H1012" s="33" t="n">
        <f aca="false">IF(D1012="","",D1012-C1012)</f>
        <v>7</v>
      </c>
      <c r="I1012" s="33" t="n">
        <f aca="false">IF(E1012="","",E1012-C1012)</f>
        <v>-3</v>
      </c>
      <c r="J1012" s="33" t="n">
        <f aca="false">IF(F1012="","",F1012-C1012)</f>
        <v>-4.625</v>
      </c>
      <c r="K1012" s="33" t="n">
        <f aca="false">IF(G1012="","",G1012-C1012)</f>
        <v>-1.56954986469898</v>
      </c>
      <c r="L1012" s="33" t="n">
        <f aca="false">IF(H1012="","",ABS(H1012))</f>
        <v>7</v>
      </c>
      <c r="M1012" s="33" t="n">
        <f aca="false">IF(I1012="","",ABS(I1012))</f>
        <v>3</v>
      </c>
      <c r="N1012" s="33" t="n">
        <f aca="false">IF(J1012="","",ABS(J1012))</f>
        <v>4.625</v>
      </c>
      <c r="O1012" s="33" t="n">
        <f aca="false">IF(K1012="","",ABS(K1012))</f>
        <v>1.56954986469898</v>
      </c>
      <c r="P1012" s="34" t="str">
        <f aca="false">IF(B1012&gt;=Eval_Start_Week,"YES","")</f>
        <v>YES</v>
      </c>
      <c r="Q1012" s="34" t="str">
        <f aca="false">IF(AND(B1012&gt;=Cal_Start_Week,B1012&lt;=Cal_End_Week),"YES","")</f>
        <v>YES</v>
      </c>
    </row>
    <row r="1013" customFormat="false" ht="15" hidden="false" customHeight="false" outlineLevel="0" collapsed="false">
      <c r="A1013" s="31" t="str">
        <f aca="false">Demand_History!C1013</f>
        <v>KIT-010</v>
      </c>
      <c r="B1013" s="31" t="n">
        <f aca="false">Demand_History!A1013</f>
        <v>76</v>
      </c>
      <c r="C1013" s="32" t="n">
        <f aca="false">Demand_History!D1013</f>
        <v>111</v>
      </c>
      <c r="D1013" s="33" t="n">
        <f aca="false">IF(B1013&gt;=2,C1012,"")</f>
        <v>103</v>
      </c>
      <c r="E1013" s="33" t="n">
        <f aca="false">IF(B1013&gt;=5,AVERAGE(C1009:C1012),"")</f>
        <v>102</v>
      </c>
      <c r="F1013" s="33" t="n">
        <f aca="false">IF(B1013&gt;=9,AVERAGE(C1005:C1012),"")</f>
        <v>99.875</v>
      </c>
      <c r="G1013" s="33" t="n">
        <f aca="false">IF(B1013=1,"",IF(B1013=2,C1012,SES_Alpha*C1012+(1-SES_Alpha)*G1012))</f>
        <v>101.901315094711</v>
      </c>
      <c r="H1013" s="33" t="n">
        <f aca="false">IF(D1013="","",D1013-C1013)</f>
        <v>-8</v>
      </c>
      <c r="I1013" s="33" t="n">
        <f aca="false">IF(E1013="","",E1013-C1013)</f>
        <v>-9</v>
      </c>
      <c r="J1013" s="33" t="n">
        <f aca="false">IF(F1013="","",F1013-C1013)</f>
        <v>-11.125</v>
      </c>
      <c r="K1013" s="33" t="n">
        <f aca="false">IF(G1013="","",G1013-C1013)</f>
        <v>-9.0986849052893</v>
      </c>
      <c r="L1013" s="33" t="n">
        <f aca="false">IF(H1013="","",ABS(H1013))</f>
        <v>8</v>
      </c>
      <c r="M1013" s="33" t="n">
        <f aca="false">IF(I1013="","",ABS(I1013))</f>
        <v>9</v>
      </c>
      <c r="N1013" s="33" t="n">
        <f aca="false">IF(J1013="","",ABS(J1013))</f>
        <v>11.125</v>
      </c>
      <c r="O1013" s="33" t="n">
        <f aca="false">IF(K1013="","",ABS(K1013))</f>
        <v>9.0986849052893</v>
      </c>
      <c r="P1013" s="34" t="str">
        <f aca="false">IF(B1013&gt;=Eval_Start_Week,"YES","")</f>
        <v>YES</v>
      </c>
      <c r="Q1013" s="34" t="str">
        <f aca="false">IF(AND(B1013&gt;=Cal_Start_Week,B1013&lt;=Cal_End_Week),"YES","")</f>
        <v>YES</v>
      </c>
    </row>
    <row r="1014" customFormat="false" ht="15" hidden="false" customHeight="false" outlineLevel="0" collapsed="false">
      <c r="A1014" s="31" t="str">
        <f aca="false">Demand_History!C1014</f>
        <v>KIT-010</v>
      </c>
      <c r="B1014" s="31" t="n">
        <f aca="false">Demand_History!A1014</f>
        <v>77</v>
      </c>
      <c r="C1014" s="32" t="n">
        <f aca="false">Demand_History!D1014</f>
        <v>101</v>
      </c>
      <c r="D1014" s="33" t="n">
        <f aca="false">IF(B1014&gt;=2,C1013,"")</f>
        <v>111</v>
      </c>
      <c r="E1014" s="33" t="n">
        <f aca="false">IF(B1014&gt;=5,AVERAGE(C1010:C1013),"")</f>
        <v>106.75</v>
      </c>
      <c r="F1014" s="33" t="n">
        <f aca="false">IF(B1014&gt;=9,AVERAGE(C1006:C1013),"")</f>
        <v>100.625</v>
      </c>
      <c r="G1014" s="33" t="n">
        <f aca="false">IF(B1014=1,"",IF(B1014=2,C1013,SES_Alpha*C1013+(1-SES_Alpha)*G1013))</f>
        <v>104.630920566297</v>
      </c>
      <c r="H1014" s="33" t="n">
        <f aca="false">IF(D1014="","",D1014-C1014)</f>
        <v>10</v>
      </c>
      <c r="I1014" s="33" t="n">
        <f aca="false">IF(E1014="","",E1014-C1014)</f>
        <v>5.75</v>
      </c>
      <c r="J1014" s="33" t="n">
        <f aca="false">IF(F1014="","",F1014-C1014)</f>
        <v>-0.375</v>
      </c>
      <c r="K1014" s="33" t="n">
        <f aca="false">IF(G1014="","",G1014-C1014)</f>
        <v>3.63092056629748</v>
      </c>
      <c r="L1014" s="33" t="n">
        <f aca="false">IF(H1014="","",ABS(H1014))</f>
        <v>10</v>
      </c>
      <c r="M1014" s="33" t="n">
        <f aca="false">IF(I1014="","",ABS(I1014))</f>
        <v>5.75</v>
      </c>
      <c r="N1014" s="33" t="n">
        <f aca="false">IF(J1014="","",ABS(J1014))</f>
        <v>0.375</v>
      </c>
      <c r="O1014" s="33" t="n">
        <f aca="false">IF(K1014="","",ABS(K1014))</f>
        <v>3.63092056629748</v>
      </c>
      <c r="P1014" s="34" t="str">
        <f aca="false">IF(B1014&gt;=Eval_Start_Week,"YES","")</f>
        <v>YES</v>
      </c>
      <c r="Q1014" s="34" t="str">
        <f aca="false">IF(AND(B1014&gt;=Cal_Start_Week,B1014&lt;=Cal_End_Week),"YES","")</f>
        <v>YES</v>
      </c>
    </row>
    <row r="1015" customFormat="false" ht="15" hidden="false" customHeight="false" outlineLevel="0" collapsed="false">
      <c r="A1015" s="31" t="str">
        <f aca="false">Demand_History!C1015</f>
        <v>KIT-010</v>
      </c>
      <c r="B1015" s="31" t="n">
        <f aca="false">Demand_History!A1015</f>
        <v>78</v>
      </c>
      <c r="C1015" s="32" t="n">
        <f aca="false">Demand_History!D1015</f>
        <v>112</v>
      </c>
      <c r="D1015" s="33" t="n">
        <f aca="false">IF(B1015&gt;=2,C1014,"")</f>
        <v>101</v>
      </c>
      <c r="E1015" s="33" t="n">
        <f aca="false">IF(B1015&gt;=5,AVERAGE(C1011:C1014),"")</f>
        <v>106.25</v>
      </c>
      <c r="F1015" s="33" t="n">
        <f aca="false">IF(B1015&gt;=9,AVERAGE(C1007:C1014),"")</f>
        <v>103.375</v>
      </c>
      <c r="G1015" s="33" t="n">
        <f aca="false">IF(B1015=1,"",IF(B1015=2,C1014,SES_Alpha*C1014+(1-SES_Alpha)*G1014))</f>
        <v>103.541644396408</v>
      </c>
      <c r="H1015" s="33" t="n">
        <f aca="false">IF(D1015="","",D1015-C1015)</f>
        <v>-11</v>
      </c>
      <c r="I1015" s="33" t="n">
        <f aca="false">IF(E1015="","",E1015-C1015)</f>
        <v>-5.75</v>
      </c>
      <c r="J1015" s="33" t="n">
        <f aca="false">IF(F1015="","",F1015-C1015)</f>
        <v>-8.625</v>
      </c>
      <c r="K1015" s="33" t="n">
        <f aca="false">IF(G1015="","",G1015-C1015)</f>
        <v>-8.45835560359177</v>
      </c>
      <c r="L1015" s="33" t="n">
        <f aca="false">IF(H1015="","",ABS(H1015))</f>
        <v>11</v>
      </c>
      <c r="M1015" s="33" t="n">
        <f aca="false">IF(I1015="","",ABS(I1015))</f>
        <v>5.75</v>
      </c>
      <c r="N1015" s="33" t="n">
        <f aca="false">IF(J1015="","",ABS(J1015))</f>
        <v>8.625</v>
      </c>
      <c r="O1015" s="33" t="n">
        <f aca="false">IF(K1015="","",ABS(K1015))</f>
        <v>8.45835560359177</v>
      </c>
      <c r="P1015" s="34" t="str">
        <f aca="false">IF(B1015&gt;=Eval_Start_Week,"YES","")</f>
        <v>YES</v>
      </c>
      <c r="Q1015" s="34" t="str">
        <f aca="false">IF(AND(B1015&gt;=Cal_Start_Week,B1015&lt;=Cal_End_Week),"YES","")</f>
        <v>YES</v>
      </c>
    </row>
    <row r="1016" customFormat="false" ht="15" hidden="false" customHeight="false" outlineLevel="0" collapsed="false">
      <c r="A1016" s="31" t="str">
        <f aca="false">Demand_History!C1016</f>
        <v>KIT-010</v>
      </c>
      <c r="B1016" s="31" t="n">
        <f aca="false">Demand_History!A1016</f>
        <v>79</v>
      </c>
      <c r="C1016" s="32" t="n">
        <f aca="false">Demand_History!D1016</f>
        <v>113</v>
      </c>
      <c r="D1016" s="33" t="n">
        <f aca="false">IF(B1016&gt;=2,C1015,"")</f>
        <v>112</v>
      </c>
      <c r="E1016" s="33" t="n">
        <f aca="false">IF(B1016&gt;=5,AVERAGE(C1012:C1015),"")</f>
        <v>106.75</v>
      </c>
      <c r="F1016" s="33" t="n">
        <f aca="false">IF(B1016&gt;=9,AVERAGE(C1008:C1015),"")</f>
        <v>103.375</v>
      </c>
      <c r="G1016" s="33" t="n">
        <f aca="false">IF(B1016=1,"",IF(B1016=2,C1015,SES_Alpha*C1015+(1-SES_Alpha)*G1015))</f>
        <v>106.079151077486</v>
      </c>
      <c r="H1016" s="33" t="n">
        <f aca="false">IF(D1016="","",D1016-C1016)</f>
        <v>-1</v>
      </c>
      <c r="I1016" s="33" t="n">
        <f aca="false">IF(E1016="","",E1016-C1016)</f>
        <v>-6.25</v>
      </c>
      <c r="J1016" s="33" t="n">
        <f aca="false">IF(F1016="","",F1016-C1016)</f>
        <v>-9.625</v>
      </c>
      <c r="K1016" s="33" t="n">
        <f aca="false">IF(G1016="","",G1016-C1016)</f>
        <v>-6.92084892251424</v>
      </c>
      <c r="L1016" s="33" t="n">
        <f aca="false">IF(H1016="","",ABS(H1016))</f>
        <v>1</v>
      </c>
      <c r="M1016" s="33" t="n">
        <f aca="false">IF(I1016="","",ABS(I1016))</f>
        <v>6.25</v>
      </c>
      <c r="N1016" s="33" t="n">
        <f aca="false">IF(J1016="","",ABS(J1016))</f>
        <v>9.625</v>
      </c>
      <c r="O1016" s="33" t="n">
        <f aca="false">IF(K1016="","",ABS(K1016))</f>
        <v>6.92084892251424</v>
      </c>
      <c r="P1016" s="34" t="str">
        <f aca="false">IF(B1016&gt;=Eval_Start_Week,"YES","")</f>
        <v>YES</v>
      </c>
      <c r="Q1016" s="34" t="str">
        <f aca="false">IF(AND(B1016&gt;=Cal_Start_Week,B1016&lt;=Cal_End_Week),"YES","")</f>
        <v>YES</v>
      </c>
    </row>
    <row r="1017" customFormat="false" ht="15" hidden="false" customHeight="false" outlineLevel="0" collapsed="false">
      <c r="A1017" s="31" t="str">
        <f aca="false">Demand_History!C1017</f>
        <v>KIT-010</v>
      </c>
      <c r="B1017" s="31" t="n">
        <f aca="false">Demand_History!A1017</f>
        <v>80</v>
      </c>
      <c r="C1017" s="32" t="n">
        <f aca="false">Demand_History!D1017</f>
        <v>99</v>
      </c>
      <c r="D1017" s="33" t="n">
        <f aca="false">IF(B1017&gt;=2,C1016,"")</f>
        <v>113</v>
      </c>
      <c r="E1017" s="33" t="n">
        <f aca="false">IF(B1017&gt;=5,AVERAGE(C1013:C1016),"")</f>
        <v>109.25</v>
      </c>
      <c r="F1017" s="33" t="n">
        <f aca="false">IF(B1017&gt;=9,AVERAGE(C1009:C1016),"")</f>
        <v>105.625</v>
      </c>
      <c r="G1017" s="33" t="n">
        <f aca="false">IF(B1017=1,"",IF(B1017=2,C1016,SES_Alpha*C1016+(1-SES_Alpha)*G1016))</f>
        <v>108.15540575424</v>
      </c>
      <c r="H1017" s="33" t="n">
        <f aca="false">IF(D1017="","",D1017-C1017)</f>
        <v>14</v>
      </c>
      <c r="I1017" s="33" t="n">
        <f aca="false">IF(E1017="","",E1017-C1017)</f>
        <v>10.25</v>
      </c>
      <c r="J1017" s="33" t="n">
        <f aca="false">IF(F1017="","",F1017-C1017)</f>
        <v>6.625</v>
      </c>
      <c r="K1017" s="33" t="n">
        <f aca="false">IF(G1017="","",G1017-C1017)</f>
        <v>9.15540575424004</v>
      </c>
      <c r="L1017" s="33" t="n">
        <f aca="false">IF(H1017="","",ABS(H1017))</f>
        <v>14</v>
      </c>
      <c r="M1017" s="33" t="n">
        <f aca="false">IF(I1017="","",ABS(I1017))</f>
        <v>10.25</v>
      </c>
      <c r="N1017" s="33" t="n">
        <f aca="false">IF(J1017="","",ABS(J1017))</f>
        <v>6.625</v>
      </c>
      <c r="O1017" s="33" t="n">
        <f aca="false">IF(K1017="","",ABS(K1017))</f>
        <v>9.15540575424004</v>
      </c>
      <c r="P1017" s="34" t="str">
        <f aca="false">IF(B1017&gt;=Eval_Start_Week,"YES","")</f>
        <v>YES</v>
      </c>
      <c r="Q1017" s="34" t="str">
        <f aca="false">IF(AND(B1017&gt;=Cal_Start_Week,B1017&lt;=Cal_End_Week),"YES","")</f>
        <v>YES</v>
      </c>
    </row>
    <row r="1018" customFormat="false" ht="15" hidden="false" customHeight="false" outlineLevel="0" collapsed="false">
      <c r="A1018" s="31" t="str">
        <f aca="false">Demand_History!C1018</f>
        <v>KIT-010</v>
      </c>
      <c r="B1018" s="31" t="n">
        <f aca="false">Demand_History!A1018</f>
        <v>81</v>
      </c>
      <c r="C1018" s="32" t="n">
        <f aca="false">Demand_History!D1018</f>
        <v>114</v>
      </c>
      <c r="D1018" s="33" t="n">
        <f aca="false">IF(B1018&gt;=2,C1017,"")</f>
        <v>99</v>
      </c>
      <c r="E1018" s="33" t="n">
        <f aca="false">IF(B1018&gt;=5,AVERAGE(C1014:C1017),"")</f>
        <v>106.25</v>
      </c>
      <c r="F1018" s="33" t="n">
        <f aca="false">IF(B1018&gt;=9,AVERAGE(C1010:C1017),"")</f>
        <v>106.5</v>
      </c>
      <c r="G1018" s="33" t="n">
        <f aca="false">IF(B1018=1,"",IF(B1018=2,C1017,SES_Alpha*C1017+(1-SES_Alpha)*G1017))</f>
        <v>105.408784027968</v>
      </c>
      <c r="H1018" s="33" t="n">
        <f aca="false">IF(D1018="","",D1018-C1018)</f>
        <v>-15</v>
      </c>
      <c r="I1018" s="33" t="n">
        <f aca="false">IF(E1018="","",E1018-C1018)</f>
        <v>-7.75</v>
      </c>
      <c r="J1018" s="33" t="n">
        <f aca="false">IF(F1018="","",F1018-C1018)</f>
        <v>-7.5</v>
      </c>
      <c r="K1018" s="33" t="n">
        <f aca="false">IF(G1018="","",G1018-C1018)</f>
        <v>-8.59121597203198</v>
      </c>
      <c r="L1018" s="33" t="n">
        <f aca="false">IF(H1018="","",ABS(H1018))</f>
        <v>15</v>
      </c>
      <c r="M1018" s="33" t="n">
        <f aca="false">IF(I1018="","",ABS(I1018))</f>
        <v>7.75</v>
      </c>
      <c r="N1018" s="33" t="n">
        <f aca="false">IF(J1018="","",ABS(J1018))</f>
        <v>7.5</v>
      </c>
      <c r="O1018" s="33" t="n">
        <f aca="false">IF(K1018="","",ABS(K1018))</f>
        <v>8.59121597203198</v>
      </c>
      <c r="P1018" s="34" t="str">
        <f aca="false">IF(B1018&gt;=Eval_Start_Week,"YES","")</f>
        <v>YES</v>
      </c>
      <c r="Q1018" s="34" t="str">
        <f aca="false">IF(AND(B1018&gt;=Cal_Start_Week,B1018&lt;=Cal_End_Week),"YES","")</f>
        <v>YES</v>
      </c>
    </row>
    <row r="1019" customFormat="false" ht="15" hidden="false" customHeight="false" outlineLevel="0" collapsed="false">
      <c r="A1019" s="31" t="str">
        <f aca="false">Demand_History!C1019</f>
        <v>KIT-010</v>
      </c>
      <c r="B1019" s="31" t="n">
        <f aca="false">Demand_History!A1019</f>
        <v>82</v>
      </c>
      <c r="C1019" s="32" t="n">
        <f aca="false">Demand_History!D1019</f>
        <v>102</v>
      </c>
      <c r="D1019" s="33" t="n">
        <f aca="false">IF(B1019&gt;=2,C1018,"")</f>
        <v>114</v>
      </c>
      <c r="E1019" s="33" t="n">
        <f aca="false">IF(B1019&gt;=5,AVERAGE(C1015:C1018),"")</f>
        <v>109.5</v>
      </c>
      <c r="F1019" s="33" t="n">
        <f aca="false">IF(B1019&gt;=9,AVERAGE(C1011:C1018),"")</f>
        <v>107.875</v>
      </c>
      <c r="G1019" s="33" t="n">
        <f aca="false">IF(B1019=1,"",IF(B1019=2,C1018,SES_Alpha*C1018+(1-SES_Alpha)*G1018))</f>
        <v>107.986148819578</v>
      </c>
      <c r="H1019" s="33" t="n">
        <f aca="false">IF(D1019="","",D1019-C1019)</f>
        <v>12</v>
      </c>
      <c r="I1019" s="33" t="n">
        <f aca="false">IF(E1019="","",E1019-C1019)</f>
        <v>7.5</v>
      </c>
      <c r="J1019" s="33" t="n">
        <f aca="false">IF(F1019="","",F1019-C1019)</f>
        <v>5.875</v>
      </c>
      <c r="K1019" s="33" t="n">
        <f aca="false">IF(G1019="","",G1019-C1019)</f>
        <v>5.98614881957761</v>
      </c>
      <c r="L1019" s="33" t="n">
        <f aca="false">IF(H1019="","",ABS(H1019))</f>
        <v>12</v>
      </c>
      <c r="M1019" s="33" t="n">
        <f aca="false">IF(I1019="","",ABS(I1019))</f>
        <v>7.5</v>
      </c>
      <c r="N1019" s="33" t="n">
        <f aca="false">IF(J1019="","",ABS(J1019))</f>
        <v>5.875</v>
      </c>
      <c r="O1019" s="33" t="n">
        <f aca="false">IF(K1019="","",ABS(K1019))</f>
        <v>5.98614881957761</v>
      </c>
      <c r="P1019" s="34" t="str">
        <f aca="false">IF(B1019&gt;=Eval_Start_Week,"YES","")</f>
        <v>YES</v>
      </c>
      <c r="Q1019" s="34" t="str">
        <f aca="false">IF(AND(B1019&gt;=Cal_Start_Week,B1019&lt;=Cal_End_Week),"YES","")</f>
        <v>YES</v>
      </c>
    </row>
    <row r="1020" customFormat="false" ht="15" hidden="false" customHeight="false" outlineLevel="0" collapsed="false">
      <c r="A1020" s="31" t="str">
        <f aca="false">Demand_History!C1020</f>
        <v>KIT-010</v>
      </c>
      <c r="B1020" s="31" t="n">
        <f aca="false">Demand_History!A1020</f>
        <v>83</v>
      </c>
      <c r="C1020" s="32" t="n">
        <f aca="false">Demand_History!D1020</f>
        <v>101</v>
      </c>
      <c r="D1020" s="33" t="n">
        <f aca="false">IF(B1020&gt;=2,C1019,"")</f>
        <v>102</v>
      </c>
      <c r="E1020" s="33" t="n">
        <f aca="false">IF(B1020&gt;=5,AVERAGE(C1016:C1019),"")</f>
        <v>107</v>
      </c>
      <c r="F1020" s="33" t="n">
        <f aca="false">IF(B1020&gt;=9,AVERAGE(C1012:C1019),"")</f>
        <v>106.875</v>
      </c>
      <c r="G1020" s="33" t="n">
        <f aca="false">IF(B1020=1,"",IF(B1020=2,C1019,SES_Alpha*C1019+(1-SES_Alpha)*G1019))</f>
        <v>106.190304173704</v>
      </c>
      <c r="H1020" s="33" t="n">
        <f aca="false">IF(D1020="","",D1020-C1020)</f>
        <v>1</v>
      </c>
      <c r="I1020" s="33" t="n">
        <f aca="false">IF(E1020="","",E1020-C1020)</f>
        <v>6</v>
      </c>
      <c r="J1020" s="33" t="n">
        <f aca="false">IF(F1020="","",F1020-C1020)</f>
        <v>5.875</v>
      </c>
      <c r="K1020" s="33" t="n">
        <f aca="false">IF(G1020="","",G1020-C1020)</f>
        <v>5.19030417370432</v>
      </c>
      <c r="L1020" s="33" t="n">
        <f aca="false">IF(H1020="","",ABS(H1020))</f>
        <v>1</v>
      </c>
      <c r="M1020" s="33" t="n">
        <f aca="false">IF(I1020="","",ABS(I1020))</f>
        <v>6</v>
      </c>
      <c r="N1020" s="33" t="n">
        <f aca="false">IF(J1020="","",ABS(J1020))</f>
        <v>5.875</v>
      </c>
      <c r="O1020" s="33" t="n">
        <f aca="false">IF(K1020="","",ABS(K1020))</f>
        <v>5.19030417370432</v>
      </c>
      <c r="P1020" s="34" t="str">
        <f aca="false">IF(B1020&gt;=Eval_Start_Week,"YES","")</f>
        <v>YES</v>
      </c>
      <c r="Q1020" s="34" t="str">
        <f aca="false">IF(AND(B1020&gt;=Cal_Start_Week,B1020&lt;=Cal_End_Week),"YES","")</f>
        <v>YES</v>
      </c>
    </row>
    <row r="1021" customFormat="false" ht="15" hidden="false" customHeight="false" outlineLevel="0" collapsed="false">
      <c r="A1021" s="31" t="str">
        <f aca="false">Demand_History!C1021</f>
        <v>KIT-010</v>
      </c>
      <c r="B1021" s="31" t="n">
        <f aca="false">Demand_History!A1021</f>
        <v>84</v>
      </c>
      <c r="C1021" s="32" t="n">
        <f aca="false">Demand_History!D1021</f>
        <v>91</v>
      </c>
      <c r="D1021" s="33" t="n">
        <f aca="false">IF(B1021&gt;=2,C1020,"")</f>
        <v>101</v>
      </c>
      <c r="E1021" s="33" t="n">
        <f aca="false">IF(B1021&gt;=5,AVERAGE(C1017:C1020),"")</f>
        <v>104</v>
      </c>
      <c r="F1021" s="33" t="n">
        <f aca="false">IF(B1021&gt;=9,AVERAGE(C1013:C1020),"")</f>
        <v>106.625</v>
      </c>
      <c r="G1021" s="33" t="n">
        <f aca="false">IF(B1021=1,"",IF(B1021=2,C1020,SES_Alpha*C1020+(1-SES_Alpha)*G1020))</f>
        <v>104.633212921593</v>
      </c>
      <c r="H1021" s="33" t="n">
        <f aca="false">IF(D1021="","",D1021-C1021)</f>
        <v>10</v>
      </c>
      <c r="I1021" s="33" t="n">
        <f aca="false">IF(E1021="","",E1021-C1021)</f>
        <v>13</v>
      </c>
      <c r="J1021" s="33" t="n">
        <f aca="false">IF(F1021="","",F1021-C1021)</f>
        <v>15.625</v>
      </c>
      <c r="K1021" s="33" t="n">
        <f aca="false">IF(G1021="","",G1021-C1021)</f>
        <v>13.633212921593</v>
      </c>
      <c r="L1021" s="33" t="n">
        <f aca="false">IF(H1021="","",ABS(H1021))</f>
        <v>10</v>
      </c>
      <c r="M1021" s="33" t="n">
        <f aca="false">IF(I1021="","",ABS(I1021))</f>
        <v>13</v>
      </c>
      <c r="N1021" s="33" t="n">
        <f aca="false">IF(J1021="","",ABS(J1021))</f>
        <v>15.625</v>
      </c>
      <c r="O1021" s="33" t="n">
        <f aca="false">IF(K1021="","",ABS(K1021))</f>
        <v>13.633212921593</v>
      </c>
      <c r="P1021" s="34" t="str">
        <f aca="false">IF(B1021&gt;=Eval_Start_Week,"YES","")</f>
        <v>YES</v>
      </c>
      <c r="Q1021" s="34" t="str">
        <f aca="false">IF(AND(B1021&gt;=Cal_Start_Week,B1021&lt;=Cal_End_Week),"YES","")</f>
        <v>YES</v>
      </c>
    </row>
    <row r="1022" customFormat="false" ht="15" hidden="false" customHeight="false" outlineLevel="0" collapsed="false">
      <c r="A1022" s="31" t="str">
        <f aca="false">Demand_History!C1022</f>
        <v>KIT-010</v>
      </c>
      <c r="B1022" s="31" t="n">
        <f aca="false">Demand_History!A1022</f>
        <v>85</v>
      </c>
      <c r="C1022" s="32" t="n">
        <f aca="false">Demand_History!D1022</f>
        <v>97</v>
      </c>
      <c r="D1022" s="33" t="n">
        <f aca="false">IF(B1022&gt;=2,C1021,"")</f>
        <v>91</v>
      </c>
      <c r="E1022" s="33" t="n">
        <f aca="false">IF(B1022&gt;=5,AVERAGE(C1018:C1021),"")</f>
        <v>102</v>
      </c>
      <c r="F1022" s="33" t="n">
        <f aca="false">IF(B1022&gt;=9,AVERAGE(C1014:C1021),"")</f>
        <v>104.125</v>
      </c>
      <c r="G1022" s="33" t="n">
        <f aca="false">IF(B1022=1,"",IF(B1022=2,C1021,SES_Alpha*C1021+(1-SES_Alpha)*G1021))</f>
        <v>100.543249045115</v>
      </c>
      <c r="H1022" s="33" t="n">
        <f aca="false">IF(D1022="","",D1022-C1022)</f>
        <v>-6</v>
      </c>
      <c r="I1022" s="33" t="n">
        <f aca="false">IF(E1022="","",E1022-C1022)</f>
        <v>5</v>
      </c>
      <c r="J1022" s="33" t="n">
        <f aca="false">IF(F1022="","",F1022-C1022)</f>
        <v>7.125</v>
      </c>
      <c r="K1022" s="33" t="n">
        <f aca="false">IF(G1022="","",G1022-C1022)</f>
        <v>3.5432490451151</v>
      </c>
      <c r="L1022" s="33" t="n">
        <f aca="false">IF(H1022="","",ABS(H1022))</f>
        <v>6</v>
      </c>
      <c r="M1022" s="33" t="n">
        <f aca="false">IF(I1022="","",ABS(I1022))</f>
        <v>5</v>
      </c>
      <c r="N1022" s="33" t="n">
        <f aca="false">IF(J1022="","",ABS(J1022))</f>
        <v>7.125</v>
      </c>
      <c r="O1022" s="33" t="n">
        <f aca="false">IF(K1022="","",ABS(K1022))</f>
        <v>3.5432490451151</v>
      </c>
      <c r="P1022" s="34" t="str">
        <f aca="false">IF(B1022&gt;=Eval_Start_Week,"YES","")</f>
        <v>YES</v>
      </c>
      <c r="Q1022" s="34" t="str">
        <f aca="false">IF(AND(B1022&gt;=Cal_Start_Week,B1022&lt;=Cal_End_Week),"YES","")</f>
        <v>YES</v>
      </c>
    </row>
    <row r="1023" customFormat="false" ht="15" hidden="false" customHeight="false" outlineLevel="0" collapsed="false">
      <c r="A1023" s="31" t="str">
        <f aca="false">Demand_History!C1023</f>
        <v>KIT-010</v>
      </c>
      <c r="B1023" s="31" t="n">
        <f aca="false">Demand_History!A1023</f>
        <v>86</v>
      </c>
      <c r="C1023" s="32" t="n">
        <f aca="false">Demand_History!D1023</f>
        <v>108</v>
      </c>
      <c r="D1023" s="33" t="n">
        <f aca="false">IF(B1023&gt;=2,C1022,"")</f>
        <v>97</v>
      </c>
      <c r="E1023" s="33" t="n">
        <f aca="false">IF(B1023&gt;=5,AVERAGE(C1019:C1022),"")</f>
        <v>97.75</v>
      </c>
      <c r="F1023" s="33" t="n">
        <f aca="false">IF(B1023&gt;=9,AVERAGE(C1015:C1022),"")</f>
        <v>103.625</v>
      </c>
      <c r="G1023" s="33" t="n">
        <f aca="false">IF(B1023=1,"",IF(B1023=2,C1022,SES_Alpha*C1022+(1-SES_Alpha)*G1022))</f>
        <v>99.4802743315806</v>
      </c>
      <c r="H1023" s="33" t="n">
        <f aca="false">IF(D1023="","",D1023-C1023)</f>
        <v>-11</v>
      </c>
      <c r="I1023" s="33" t="n">
        <f aca="false">IF(E1023="","",E1023-C1023)</f>
        <v>-10.25</v>
      </c>
      <c r="J1023" s="33" t="n">
        <f aca="false">IF(F1023="","",F1023-C1023)</f>
        <v>-4.375</v>
      </c>
      <c r="K1023" s="33" t="n">
        <f aca="false">IF(G1023="","",G1023-C1023)</f>
        <v>-8.51972566841944</v>
      </c>
      <c r="L1023" s="33" t="n">
        <f aca="false">IF(H1023="","",ABS(H1023))</f>
        <v>11</v>
      </c>
      <c r="M1023" s="33" t="n">
        <f aca="false">IF(I1023="","",ABS(I1023))</f>
        <v>10.25</v>
      </c>
      <c r="N1023" s="33" t="n">
        <f aca="false">IF(J1023="","",ABS(J1023))</f>
        <v>4.375</v>
      </c>
      <c r="O1023" s="33" t="n">
        <f aca="false">IF(K1023="","",ABS(K1023))</f>
        <v>8.51972566841944</v>
      </c>
      <c r="P1023" s="34" t="str">
        <f aca="false">IF(B1023&gt;=Eval_Start_Week,"YES","")</f>
        <v>YES</v>
      </c>
      <c r="Q1023" s="34" t="str">
        <f aca="false">IF(AND(B1023&gt;=Cal_Start_Week,B1023&lt;=Cal_End_Week),"YES","")</f>
        <v>YES</v>
      </c>
    </row>
    <row r="1024" customFormat="false" ht="15" hidden="false" customHeight="false" outlineLevel="0" collapsed="false">
      <c r="A1024" s="31" t="str">
        <f aca="false">Demand_History!C1024</f>
        <v>KIT-010</v>
      </c>
      <c r="B1024" s="31" t="n">
        <f aca="false">Demand_History!A1024</f>
        <v>87</v>
      </c>
      <c r="C1024" s="32" t="n">
        <f aca="false">Demand_History!D1024</f>
        <v>87</v>
      </c>
      <c r="D1024" s="33" t="n">
        <f aca="false">IF(B1024&gt;=2,C1023,"")</f>
        <v>108</v>
      </c>
      <c r="E1024" s="33" t="n">
        <f aca="false">IF(B1024&gt;=5,AVERAGE(C1020:C1023),"")</f>
        <v>99.25</v>
      </c>
      <c r="F1024" s="33" t="n">
        <f aca="false">IF(B1024&gt;=9,AVERAGE(C1016:C1023),"")</f>
        <v>103.125</v>
      </c>
      <c r="G1024" s="33" t="n">
        <f aca="false">IF(B1024=1,"",IF(B1024=2,C1023,SES_Alpha*C1023+(1-SES_Alpha)*G1023))</f>
        <v>102.036192032106</v>
      </c>
      <c r="H1024" s="33" t="n">
        <f aca="false">IF(D1024="","",D1024-C1024)</f>
        <v>21</v>
      </c>
      <c r="I1024" s="33" t="n">
        <f aca="false">IF(E1024="","",E1024-C1024)</f>
        <v>12.25</v>
      </c>
      <c r="J1024" s="33" t="n">
        <f aca="false">IF(F1024="","",F1024-C1024)</f>
        <v>16.125</v>
      </c>
      <c r="K1024" s="33" t="n">
        <f aca="false">IF(G1024="","",G1024-C1024)</f>
        <v>15.0361920321064</v>
      </c>
      <c r="L1024" s="33" t="n">
        <f aca="false">IF(H1024="","",ABS(H1024))</f>
        <v>21</v>
      </c>
      <c r="M1024" s="33" t="n">
        <f aca="false">IF(I1024="","",ABS(I1024))</f>
        <v>12.25</v>
      </c>
      <c r="N1024" s="33" t="n">
        <f aca="false">IF(J1024="","",ABS(J1024))</f>
        <v>16.125</v>
      </c>
      <c r="O1024" s="33" t="n">
        <f aca="false">IF(K1024="","",ABS(K1024))</f>
        <v>15.0361920321064</v>
      </c>
      <c r="P1024" s="34" t="str">
        <f aca="false">IF(B1024&gt;=Eval_Start_Week,"YES","")</f>
        <v>YES</v>
      </c>
      <c r="Q1024" s="34" t="str">
        <f aca="false">IF(AND(B1024&gt;=Cal_Start_Week,B1024&lt;=Cal_End_Week),"YES","")</f>
        <v>YES</v>
      </c>
    </row>
    <row r="1025" customFormat="false" ht="15" hidden="false" customHeight="false" outlineLevel="0" collapsed="false">
      <c r="A1025" s="31" t="str">
        <f aca="false">Demand_History!C1025</f>
        <v>KIT-010</v>
      </c>
      <c r="B1025" s="31" t="n">
        <f aca="false">Demand_History!A1025</f>
        <v>88</v>
      </c>
      <c r="C1025" s="32" t="n">
        <f aca="false">Demand_History!D1025</f>
        <v>107</v>
      </c>
      <c r="D1025" s="33" t="n">
        <f aca="false">IF(B1025&gt;=2,C1024,"")</f>
        <v>87</v>
      </c>
      <c r="E1025" s="33" t="n">
        <f aca="false">IF(B1025&gt;=5,AVERAGE(C1021:C1024),"")</f>
        <v>95.75</v>
      </c>
      <c r="F1025" s="33" t="n">
        <f aca="false">IF(B1025&gt;=9,AVERAGE(C1017:C1024),"")</f>
        <v>99.875</v>
      </c>
      <c r="G1025" s="33" t="n">
        <f aca="false">IF(B1025=1,"",IF(B1025=2,C1024,SES_Alpha*C1024+(1-SES_Alpha)*G1024))</f>
        <v>97.5253344224745</v>
      </c>
      <c r="H1025" s="33" t="n">
        <f aca="false">IF(D1025="","",D1025-C1025)</f>
        <v>-20</v>
      </c>
      <c r="I1025" s="33" t="n">
        <f aca="false">IF(E1025="","",E1025-C1025)</f>
        <v>-11.25</v>
      </c>
      <c r="J1025" s="33" t="n">
        <f aca="false">IF(F1025="","",F1025-C1025)</f>
        <v>-7.125</v>
      </c>
      <c r="K1025" s="33" t="n">
        <f aca="false">IF(G1025="","",G1025-C1025)</f>
        <v>-9.47466557752554</v>
      </c>
      <c r="L1025" s="33" t="n">
        <f aca="false">IF(H1025="","",ABS(H1025))</f>
        <v>20</v>
      </c>
      <c r="M1025" s="33" t="n">
        <f aca="false">IF(I1025="","",ABS(I1025))</f>
        <v>11.25</v>
      </c>
      <c r="N1025" s="33" t="n">
        <f aca="false">IF(J1025="","",ABS(J1025))</f>
        <v>7.125</v>
      </c>
      <c r="O1025" s="33" t="n">
        <f aca="false">IF(K1025="","",ABS(K1025))</f>
        <v>9.47466557752554</v>
      </c>
      <c r="P1025" s="34" t="str">
        <f aca="false">IF(B1025&gt;=Eval_Start_Week,"YES","")</f>
        <v>YES</v>
      </c>
      <c r="Q1025" s="34" t="str">
        <f aca="false">IF(AND(B1025&gt;=Cal_Start_Week,B1025&lt;=Cal_End_Week),"YES","")</f>
        <v>YES</v>
      </c>
    </row>
    <row r="1026" customFormat="false" ht="15" hidden="false" customHeight="false" outlineLevel="0" collapsed="false">
      <c r="A1026" s="31" t="str">
        <f aca="false">Demand_History!C1026</f>
        <v>KIT-010</v>
      </c>
      <c r="B1026" s="31" t="n">
        <f aca="false">Demand_History!A1026</f>
        <v>89</v>
      </c>
      <c r="C1026" s="32" t="n">
        <f aca="false">Demand_History!D1026</f>
        <v>104</v>
      </c>
      <c r="D1026" s="33" t="n">
        <f aca="false">IF(B1026&gt;=2,C1025,"")</f>
        <v>107</v>
      </c>
      <c r="E1026" s="33" t="n">
        <f aca="false">IF(B1026&gt;=5,AVERAGE(C1022:C1025),"")</f>
        <v>99.75</v>
      </c>
      <c r="F1026" s="33" t="n">
        <f aca="false">IF(B1026&gt;=9,AVERAGE(C1018:C1025),"")</f>
        <v>100.875</v>
      </c>
      <c r="G1026" s="33" t="n">
        <f aca="false">IF(B1026=1,"",IF(B1026=2,C1025,SES_Alpha*C1025+(1-SES_Alpha)*G1025))</f>
        <v>100.367734095732</v>
      </c>
      <c r="H1026" s="33" t="n">
        <f aca="false">IF(D1026="","",D1026-C1026)</f>
        <v>3</v>
      </c>
      <c r="I1026" s="33" t="n">
        <f aca="false">IF(E1026="","",E1026-C1026)</f>
        <v>-4.25</v>
      </c>
      <c r="J1026" s="33" t="n">
        <f aca="false">IF(F1026="","",F1026-C1026)</f>
        <v>-3.125</v>
      </c>
      <c r="K1026" s="33" t="n">
        <f aca="false">IF(G1026="","",G1026-C1026)</f>
        <v>-3.63226590426788</v>
      </c>
      <c r="L1026" s="33" t="n">
        <f aca="false">IF(H1026="","",ABS(H1026))</f>
        <v>3</v>
      </c>
      <c r="M1026" s="33" t="n">
        <f aca="false">IF(I1026="","",ABS(I1026))</f>
        <v>4.25</v>
      </c>
      <c r="N1026" s="33" t="n">
        <f aca="false">IF(J1026="","",ABS(J1026))</f>
        <v>3.125</v>
      </c>
      <c r="O1026" s="33" t="n">
        <f aca="false">IF(K1026="","",ABS(K1026))</f>
        <v>3.63226590426788</v>
      </c>
      <c r="P1026" s="34" t="str">
        <f aca="false">IF(B1026&gt;=Eval_Start_Week,"YES","")</f>
        <v>YES</v>
      </c>
      <c r="Q1026" s="34" t="str">
        <f aca="false">IF(AND(B1026&gt;=Cal_Start_Week,B1026&lt;=Cal_End_Week),"YES","")</f>
        <v/>
      </c>
    </row>
    <row r="1027" customFormat="false" ht="15" hidden="false" customHeight="false" outlineLevel="0" collapsed="false">
      <c r="A1027" s="31" t="str">
        <f aca="false">Demand_History!C1027</f>
        <v>KIT-010</v>
      </c>
      <c r="B1027" s="31" t="n">
        <f aca="false">Demand_History!A1027</f>
        <v>90</v>
      </c>
      <c r="C1027" s="32" t="n">
        <f aca="false">Demand_History!D1027</f>
        <v>103</v>
      </c>
      <c r="D1027" s="33" t="n">
        <f aca="false">IF(B1027&gt;=2,C1026,"")</f>
        <v>104</v>
      </c>
      <c r="E1027" s="33" t="n">
        <f aca="false">IF(B1027&gt;=5,AVERAGE(C1023:C1026),"")</f>
        <v>101.5</v>
      </c>
      <c r="F1027" s="33" t="n">
        <f aca="false">IF(B1027&gt;=9,AVERAGE(C1019:C1026),"")</f>
        <v>99.625</v>
      </c>
      <c r="G1027" s="33" t="n">
        <f aca="false">IF(B1027=1,"",IF(B1027=2,C1026,SES_Alpha*C1026+(1-SES_Alpha)*G1026))</f>
        <v>101.457413867012</v>
      </c>
      <c r="H1027" s="33" t="n">
        <f aca="false">IF(D1027="","",D1027-C1027)</f>
        <v>1</v>
      </c>
      <c r="I1027" s="33" t="n">
        <f aca="false">IF(E1027="","",E1027-C1027)</f>
        <v>-1.5</v>
      </c>
      <c r="J1027" s="33" t="n">
        <f aca="false">IF(F1027="","",F1027-C1027)</f>
        <v>-3.375</v>
      </c>
      <c r="K1027" s="33" t="n">
        <f aca="false">IF(G1027="","",G1027-C1027)</f>
        <v>-1.54258613298752</v>
      </c>
      <c r="L1027" s="33" t="n">
        <f aca="false">IF(H1027="","",ABS(H1027))</f>
        <v>1</v>
      </c>
      <c r="M1027" s="33" t="n">
        <f aca="false">IF(I1027="","",ABS(I1027))</f>
        <v>1.5</v>
      </c>
      <c r="N1027" s="33" t="n">
        <f aca="false">IF(J1027="","",ABS(J1027))</f>
        <v>3.375</v>
      </c>
      <c r="O1027" s="33" t="n">
        <f aca="false">IF(K1027="","",ABS(K1027))</f>
        <v>1.54258613298752</v>
      </c>
      <c r="P1027" s="34" t="str">
        <f aca="false">IF(B1027&gt;=Eval_Start_Week,"YES","")</f>
        <v>YES</v>
      </c>
      <c r="Q1027" s="34" t="str">
        <f aca="false">IF(AND(B1027&gt;=Cal_Start_Week,B1027&lt;=Cal_End_Week),"YES","")</f>
        <v/>
      </c>
    </row>
    <row r="1028" customFormat="false" ht="15" hidden="false" customHeight="false" outlineLevel="0" collapsed="false">
      <c r="A1028" s="31" t="str">
        <f aca="false">Demand_History!C1028</f>
        <v>KIT-010</v>
      </c>
      <c r="B1028" s="31" t="n">
        <f aca="false">Demand_History!A1028</f>
        <v>91</v>
      </c>
      <c r="C1028" s="32" t="n">
        <f aca="false">Demand_History!D1028</f>
        <v>78</v>
      </c>
      <c r="D1028" s="33" t="n">
        <f aca="false">IF(B1028&gt;=2,C1027,"")</f>
        <v>103</v>
      </c>
      <c r="E1028" s="33" t="n">
        <f aca="false">IF(B1028&gt;=5,AVERAGE(C1024:C1027),"")</f>
        <v>100.25</v>
      </c>
      <c r="F1028" s="33" t="n">
        <f aca="false">IF(B1028&gt;=9,AVERAGE(C1020:C1027),"")</f>
        <v>99.75</v>
      </c>
      <c r="G1028" s="33" t="n">
        <f aca="false">IF(B1028=1,"",IF(B1028=2,C1027,SES_Alpha*C1027+(1-SES_Alpha)*G1027))</f>
        <v>101.920189706909</v>
      </c>
      <c r="H1028" s="33" t="n">
        <f aca="false">IF(D1028="","",D1028-C1028)</f>
        <v>25</v>
      </c>
      <c r="I1028" s="33" t="n">
        <f aca="false">IF(E1028="","",E1028-C1028)</f>
        <v>22.25</v>
      </c>
      <c r="J1028" s="33" t="n">
        <f aca="false">IF(F1028="","",F1028-C1028)</f>
        <v>21.75</v>
      </c>
      <c r="K1028" s="33" t="n">
        <f aca="false">IF(G1028="","",G1028-C1028)</f>
        <v>23.9201897069087</v>
      </c>
      <c r="L1028" s="33" t="n">
        <f aca="false">IF(H1028="","",ABS(H1028))</f>
        <v>25</v>
      </c>
      <c r="M1028" s="33" t="n">
        <f aca="false">IF(I1028="","",ABS(I1028))</f>
        <v>22.25</v>
      </c>
      <c r="N1028" s="33" t="n">
        <f aca="false">IF(J1028="","",ABS(J1028))</f>
        <v>21.75</v>
      </c>
      <c r="O1028" s="33" t="n">
        <f aca="false">IF(K1028="","",ABS(K1028))</f>
        <v>23.9201897069087</v>
      </c>
      <c r="P1028" s="34" t="str">
        <f aca="false">IF(B1028&gt;=Eval_Start_Week,"YES","")</f>
        <v>YES</v>
      </c>
      <c r="Q1028" s="34" t="str">
        <f aca="false">IF(AND(B1028&gt;=Cal_Start_Week,B1028&lt;=Cal_End_Week),"YES","")</f>
        <v/>
      </c>
    </row>
    <row r="1029" customFormat="false" ht="15" hidden="false" customHeight="false" outlineLevel="0" collapsed="false">
      <c r="A1029" s="31" t="str">
        <f aca="false">Demand_History!C1029</f>
        <v>KIT-010</v>
      </c>
      <c r="B1029" s="31" t="n">
        <f aca="false">Demand_History!A1029</f>
        <v>92</v>
      </c>
      <c r="C1029" s="32" t="n">
        <f aca="false">Demand_History!D1029</f>
        <v>99</v>
      </c>
      <c r="D1029" s="33" t="n">
        <f aca="false">IF(B1029&gt;=2,C1028,"")</f>
        <v>78</v>
      </c>
      <c r="E1029" s="33" t="n">
        <f aca="false">IF(B1029&gt;=5,AVERAGE(C1025:C1028),"")</f>
        <v>98</v>
      </c>
      <c r="F1029" s="33" t="n">
        <f aca="false">IF(B1029&gt;=9,AVERAGE(C1021:C1028),"")</f>
        <v>96.875</v>
      </c>
      <c r="G1029" s="33" t="n">
        <f aca="false">IF(B1029=1,"",IF(B1029=2,C1028,SES_Alpha*C1028+(1-SES_Alpha)*G1028))</f>
        <v>94.7441327948361</v>
      </c>
      <c r="H1029" s="33" t="n">
        <f aca="false">IF(D1029="","",D1029-C1029)</f>
        <v>-21</v>
      </c>
      <c r="I1029" s="33" t="n">
        <f aca="false">IF(E1029="","",E1029-C1029)</f>
        <v>-1</v>
      </c>
      <c r="J1029" s="33" t="n">
        <f aca="false">IF(F1029="","",F1029-C1029)</f>
        <v>-2.125</v>
      </c>
      <c r="K1029" s="33" t="n">
        <f aca="false">IF(G1029="","",G1029-C1029)</f>
        <v>-4.2558672051639</v>
      </c>
      <c r="L1029" s="33" t="n">
        <f aca="false">IF(H1029="","",ABS(H1029))</f>
        <v>21</v>
      </c>
      <c r="M1029" s="33" t="n">
        <f aca="false">IF(I1029="","",ABS(I1029))</f>
        <v>1</v>
      </c>
      <c r="N1029" s="33" t="n">
        <f aca="false">IF(J1029="","",ABS(J1029))</f>
        <v>2.125</v>
      </c>
      <c r="O1029" s="33" t="n">
        <f aca="false">IF(K1029="","",ABS(K1029))</f>
        <v>4.2558672051639</v>
      </c>
      <c r="P1029" s="34" t="str">
        <f aca="false">IF(B1029&gt;=Eval_Start_Week,"YES","")</f>
        <v>YES</v>
      </c>
      <c r="Q1029" s="34" t="str">
        <f aca="false">IF(AND(B1029&gt;=Cal_Start_Week,B1029&lt;=Cal_End_Week),"YES","")</f>
        <v/>
      </c>
    </row>
    <row r="1030" customFormat="false" ht="15" hidden="false" customHeight="false" outlineLevel="0" collapsed="false">
      <c r="A1030" s="31" t="str">
        <f aca="false">Demand_History!C1030</f>
        <v>KIT-010</v>
      </c>
      <c r="B1030" s="31" t="n">
        <f aca="false">Demand_History!A1030</f>
        <v>93</v>
      </c>
      <c r="C1030" s="32" t="n">
        <f aca="false">Demand_History!D1030</f>
        <v>107</v>
      </c>
      <c r="D1030" s="33" t="n">
        <f aca="false">IF(B1030&gt;=2,C1029,"")</f>
        <v>99</v>
      </c>
      <c r="E1030" s="33" t="n">
        <f aca="false">IF(B1030&gt;=5,AVERAGE(C1026:C1029),"")</f>
        <v>96</v>
      </c>
      <c r="F1030" s="33" t="n">
        <f aca="false">IF(B1030&gt;=9,AVERAGE(C1022:C1029),"")</f>
        <v>97.875</v>
      </c>
      <c r="G1030" s="33" t="n">
        <f aca="false">IF(B1030=1,"",IF(B1030=2,C1029,SES_Alpha*C1029+(1-SES_Alpha)*G1029))</f>
        <v>96.0208929563853</v>
      </c>
      <c r="H1030" s="33" t="n">
        <f aca="false">IF(D1030="","",D1030-C1030)</f>
        <v>-8</v>
      </c>
      <c r="I1030" s="33" t="n">
        <f aca="false">IF(E1030="","",E1030-C1030)</f>
        <v>-11</v>
      </c>
      <c r="J1030" s="33" t="n">
        <f aca="false">IF(F1030="","",F1030-C1030)</f>
        <v>-9.125</v>
      </c>
      <c r="K1030" s="33" t="n">
        <f aca="false">IF(G1030="","",G1030-C1030)</f>
        <v>-10.9791070436147</v>
      </c>
      <c r="L1030" s="33" t="n">
        <f aca="false">IF(H1030="","",ABS(H1030))</f>
        <v>8</v>
      </c>
      <c r="M1030" s="33" t="n">
        <f aca="false">IF(I1030="","",ABS(I1030))</f>
        <v>11</v>
      </c>
      <c r="N1030" s="33" t="n">
        <f aca="false">IF(J1030="","",ABS(J1030))</f>
        <v>9.125</v>
      </c>
      <c r="O1030" s="33" t="n">
        <f aca="false">IF(K1030="","",ABS(K1030))</f>
        <v>10.9791070436147</v>
      </c>
      <c r="P1030" s="34" t="str">
        <f aca="false">IF(B1030&gt;=Eval_Start_Week,"YES","")</f>
        <v>YES</v>
      </c>
      <c r="Q1030" s="34" t="str">
        <f aca="false">IF(AND(B1030&gt;=Cal_Start_Week,B1030&lt;=Cal_End_Week),"YES","")</f>
        <v/>
      </c>
    </row>
    <row r="1031" customFormat="false" ht="15" hidden="false" customHeight="false" outlineLevel="0" collapsed="false">
      <c r="A1031" s="31" t="str">
        <f aca="false">Demand_History!C1031</f>
        <v>KIT-010</v>
      </c>
      <c r="B1031" s="31" t="n">
        <f aca="false">Demand_History!A1031</f>
        <v>94</v>
      </c>
      <c r="C1031" s="32" t="n">
        <f aca="false">Demand_History!D1031</f>
        <v>92</v>
      </c>
      <c r="D1031" s="33" t="n">
        <f aca="false">IF(B1031&gt;=2,C1030,"")</f>
        <v>107</v>
      </c>
      <c r="E1031" s="33" t="n">
        <f aca="false">IF(B1031&gt;=5,AVERAGE(C1027:C1030),"")</f>
        <v>96.75</v>
      </c>
      <c r="F1031" s="33" t="n">
        <f aca="false">IF(B1031&gt;=9,AVERAGE(C1023:C1030),"")</f>
        <v>99.125</v>
      </c>
      <c r="G1031" s="33" t="n">
        <f aca="false">IF(B1031=1,"",IF(B1031=2,C1030,SES_Alpha*C1030+(1-SES_Alpha)*G1030))</f>
        <v>99.3146250694697</v>
      </c>
      <c r="H1031" s="33" t="n">
        <f aca="false">IF(D1031="","",D1031-C1031)</f>
        <v>15</v>
      </c>
      <c r="I1031" s="33" t="n">
        <f aca="false">IF(E1031="","",E1031-C1031)</f>
        <v>4.75</v>
      </c>
      <c r="J1031" s="33" t="n">
        <f aca="false">IF(F1031="","",F1031-C1031)</f>
        <v>7.125</v>
      </c>
      <c r="K1031" s="33" t="n">
        <f aca="false">IF(G1031="","",G1031-C1031)</f>
        <v>7.31462506946969</v>
      </c>
      <c r="L1031" s="33" t="n">
        <f aca="false">IF(H1031="","",ABS(H1031))</f>
        <v>15</v>
      </c>
      <c r="M1031" s="33" t="n">
        <f aca="false">IF(I1031="","",ABS(I1031))</f>
        <v>4.75</v>
      </c>
      <c r="N1031" s="33" t="n">
        <f aca="false">IF(J1031="","",ABS(J1031))</f>
        <v>7.125</v>
      </c>
      <c r="O1031" s="33" t="n">
        <f aca="false">IF(K1031="","",ABS(K1031))</f>
        <v>7.31462506946969</v>
      </c>
      <c r="P1031" s="34" t="str">
        <f aca="false">IF(B1031&gt;=Eval_Start_Week,"YES","")</f>
        <v>YES</v>
      </c>
      <c r="Q1031" s="34" t="str">
        <f aca="false">IF(AND(B1031&gt;=Cal_Start_Week,B1031&lt;=Cal_End_Week),"YES","")</f>
        <v/>
      </c>
    </row>
    <row r="1032" customFormat="false" ht="15" hidden="false" customHeight="false" outlineLevel="0" collapsed="false">
      <c r="A1032" s="31" t="str">
        <f aca="false">Demand_History!C1032</f>
        <v>KIT-010</v>
      </c>
      <c r="B1032" s="31" t="n">
        <f aca="false">Demand_History!A1032</f>
        <v>95</v>
      </c>
      <c r="C1032" s="32" t="n">
        <f aca="false">Demand_History!D1032</f>
        <v>101</v>
      </c>
      <c r="D1032" s="33" t="n">
        <f aca="false">IF(B1032&gt;=2,C1031,"")</f>
        <v>92</v>
      </c>
      <c r="E1032" s="33" t="n">
        <f aca="false">IF(B1032&gt;=5,AVERAGE(C1028:C1031),"")</f>
        <v>94</v>
      </c>
      <c r="F1032" s="33" t="n">
        <f aca="false">IF(B1032&gt;=9,AVERAGE(C1024:C1031),"")</f>
        <v>97.125</v>
      </c>
      <c r="G1032" s="33" t="n">
        <f aca="false">IF(B1032=1,"",IF(B1032=2,C1031,SES_Alpha*C1031+(1-SES_Alpha)*G1031))</f>
        <v>97.1202375486288</v>
      </c>
      <c r="H1032" s="33" t="n">
        <f aca="false">IF(D1032="","",D1032-C1032)</f>
        <v>-9</v>
      </c>
      <c r="I1032" s="33" t="n">
        <f aca="false">IF(E1032="","",E1032-C1032)</f>
        <v>-7</v>
      </c>
      <c r="J1032" s="33" t="n">
        <f aca="false">IF(F1032="","",F1032-C1032)</f>
        <v>-3.875</v>
      </c>
      <c r="K1032" s="33" t="n">
        <f aca="false">IF(G1032="","",G1032-C1032)</f>
        <v>-3.87976245137124</v>
      </c>
      <c r="L1032" s="33" t="n">
        <f aca="false">IF(H1032="","",ABS(H1032))</f>
        <v>9</v>
      </c>
      <c r="M1032" s="33" t="n">
        <f aca="false">IF(I1032="","",ABS(I1032))</f>
        <v>7</v>
      </c>
      <c r="N1032" s="33" t="n">
        <f aca="false">IF(J1032="","",ABS(J1032))</f>
        <v>3.875</v>
      </c>
      <c r="O1032" s="33" t="n">
        <f aca="false">IF(K1032="","",ABS(K1032))</f>
        <v>3.87976245137124</v>
      </c>
      <c r="P1032" s="34" t="str">
        <f aca="false">IF(B1032&gt;=Eval_Start_Week,"YES","")</f>
        <v>YES</v>
      </c>
      <c r="Q1032" s="34" t="str">
        <f aca="false">IF(AND(B1032&gt;=Cal_Start_Week,B1032&lt;=Cal_End_Week),"YES","")</f>
        <v/>
      </c>
    </row>
    <row r="1033" customFormat="false" ht="15" hidden="false" customHeight="false" outlineLevel="0" collapsed="false">
      <c r="A1033" s="31" t="str">
        <f aca="false">Demand_History!C1033</f>
        <v>KIT-010</v>
      </c>
      <c r="B1033" s="31" t="n">
        <f aca="false">Demand_History!A1033</f>
        <v>96</v>
      </c>
      <c r="C1033" s="32" t="n">
        <f aca="false">Demand_History!D1033</f>
        <v>76</v>
      </c>
      <c r="D1033" s="33" t="n">
        <f aca="false">IF(B1033&gt;=2,C1032,"")</f>
        <v>101</v>
      </c>
      <c r="E1033" s="33" t="n">
        <f aca="false">IF(B1033&gt;=5,AVERAGE(C1029:C1032),"")</f>
        <v>99.75</v>
      </c>
      <c r="F1033" s="33" t="n">
        <f aca="false">IF(B1033&gt;=9,AVERAGE(C1025:C1032),"")</f>
        <v>98.875</v>
      </c>
      <c r="G1033" s="33" t="n">
        <f aca="false">IF(B1033=1,"",IF(B1033=2,C1032,SES_Alpha*C1032+(1-SES_Alpha)*G1032))</f>
        <v>98.2841662840401</v>
      </c>
      <c r="H1033" s="33" t="n">
        <f aca="false">IF(D1033="","",D1033-C1033)</f>
        <v>25</v>
      </c>
      <c r="I1033" s="33" t="n">
        <f aca="false">IF(E1033="","",E1033-C1033)</f>
        <v>23.75</v>
      </c>
      <c r="J1033" s="33" t="n">
        <f aca="false">IF(F1033="","",F1033-C1033)</f>
        <v>22.875</v>
      </c>
      <c r="K1033" s="33" t="n">
        <f aca="false">IF(G1033="","",G1033-C1033)</f>
        <v>22.2841662840401</v>
      </c>
      <c r="L1033" s="33" t="n">
        <f aca="false">IF(H1033="","",ABS(H1033))</f>
        <v>25</v>
      </c>
      <c r="M1033" s="33" t="n">
        <f aca="false">IF(I1033="","",ABS(I1033))</f>
        <v>23.75</v>
      </c>
      <c r="N1033" s="33" t="n">
        <f aca="false">IF(J1033="","",ABS(J1033))</f>
        <v>22.875</v>
      </c>
      <c r="O1033" s="33" t="n">
        <f aca="false">IF(K1033="","",ABS(K1033))</f>
        <v>22.2841662840401</v>
      </c>
      <c r="P1033" s="34" t="str">
        <f aca="false">IF(B1033&gt;=Eval_Start_Week,"YES","")</f>
        <v>YES</v>
      </c>
      <c r="Q1033" s="34" t="str">
        <f aca="false">IF(AND(B1033&gt;=Cal_Start_Week,B1033&lt;=Cal_End_Week),"YES","")</f>
        <v/>
      </c>
    </row>
    <row r="1034" customFormat="false" ht="15" hidden="false" customHeight="false" outlineLevel="0" collapsed="false">
      <c r="A1034" s="31" t="str">
        <f aca="false">Demand_History!C1034</f>
        <v>KIT-010</v>
      </c>
      <c r="B1034" s="31" t="n">
        <f aca="false">Demand_History!A1034</f>
        <v>97</v>
      </c>
      <c r="C1034" s="32" t="n">
        <f aca="false">Demand_History!D1034</f>
        <v>107</v>
      </c>
      <c r="D1034" s="33" t="n">
        <f aca="false">IF(B1034&gt;=2,C1033,"")</f>
        <v>76</v>
      </c>
      <c r="E1034" s="33" t="n">
        <f aca="false">IF(B1034&gt;=5,AVERAGE(C1030:C1033),"")</f>
        <v>94</v>
      </c>
      <c r="F1034" s="33" t="n">
        <f aca="false">IF(B1034&gt;=9,AVERAGE(C1026:C1033),"")</f>
        <v>95</v>
      </c>
      <c r="G1034" s="33" t="n">
        <f aca="false">IF(B1034=1,"",IF(B1034=2,C1033,SES_Alpha*C1033+(1-SES_Alpha)*G1033))</f>
        <v>91.5989163988281</v>
      </c>
      <c r="H1034" s="33" t="n">
        <f aca="false">IF(D1034="","",D1034-C1034)</f>
        <v>-31</v>
      </c>
      <c r="I1034" s="33" t="n">
        <f aca="false">IF(E1034="","",E1034-C1034)</f>
        <v>-13</v>
      </c>
      <c r="J1034" s="33" t="n">
        <f aca="false">IF(F1034="","",F1034-C1034)</f>
        <v>-12</v>
      </c>
      <c r="K1034" s="33" t="n">
        <f aca="false">IF(G1034="","",G1034-C1034)</f>
        <v>-15.4010836011719</v>
      </c>
      <c r="L1034" s="33" t="n">
        <f aca="false">IF(H1034="","",ABS(H1034))</f>
        <v>31</v>
      </c>
      <c r="M1034" s="33" t="n">
        <f aca="false">IF(I1034="","",ABS(I1034))</f>
        <v>13</v>
      </c>
      <c r="N1034" s="33" t="n">
        <f aca="false">IF(J1034="","",ABS(J1034))</f>
        <v>12</v>
      </c>
      <c r="O1034" s="33" t="n">
        <f aca="false">IF(K1034="","",ABS(K1034))</f>
        <v>15.4010836011719</v>
      </c>
      <c r="P1034" s="34" t="str">
        <f aca="false">IF(B1034&gt;=Eval_Start_Week,"YES","")</f>
        <v>YES</v>
      </c>
      <c r="Q1034" s="34" t="str">
        <f aca="false">IF(AND(B1034&gt;=Cal_Start_Week,B1034&lt;=Cal_End_Week),"YES","")</f>
        <v/>
      </c>
    </row>
    <row r="1035" customFormat="false" ht="15" hidden="false" customHeight="false" outlineLevel="0" collapsed="false">
      <c r="A1035" s="31" t="str">
        <f aca="false">Demand_History!C1035</f>
        <v>KIT-010</v>
      </c>
      <c r="B1035" s="31" t="n">
        <f aca="false">Demand_History!A1035</f>
        <v>98</v>
      </c>
      <c r="C1035" s="32" t="n">
        <f aca="false">Demand_History!D1035</f>
        <v>93</v>
      </c>
      <c r="D1035" s="33" t="n">
        <f aca="false">IF(B1035&gt;=2,C1034,"")</f>
        <v>107</v>
      </c>
      <c r="E1035" s="33" t="n">
        <f aca="false">IF(B1035&gt;=5,AVERAGE(C1031:C1034),"")</f>
        <v>94</v>
      </c>
      <c r="F1035" s="33" t="n">
        <f aca="false">IF(B1035&gt;=9,AVERAGE(C1027:C1034),"")</f>
        <v>95.375</v>
      </c>
      <c r="G1035" s="33" t="n">
        <f aca="false">IF(B1035=1,"",IF(B1035=2,C1034,SES_Alpha*C1034+(1-SES_Alpha)*G1034))</f>
        <v>96.2192414791797</v>
      </c>
      <c r="H1035" s="33" t="n">
        <f aca="false">IF(D1035="","",D1035-C1035)</f>
        <v>14</v>
      </c>
      <c r="I1035" s="33" t="n">
        <f aca="false">IF(E1035="","",E1035-C1035)</f>
        <v>1</v>
      </c>
      <c r="J1035" s="33" t="n">
        <f aca="false">IF(F1035="","",F1035-C1035)</f>
        <v>2.375</v>
      </c>
      <c r="K1035" s="33" t="n">
        <f aca="false">IF(G1035="","",G1035-C1035)</f>
        <v>3.21924147917966</v>
      </c>
      <c r="L1035" s="33" t="n">
        <f aca="false">IF(H1035="","",ABS(H1035))</f>
        <v>14</v>
      </c>
      <c r="M1035" s="33" t="n">
        <f aca="false">IF(I1035="","",ABS(I1035))</f>
        <v>1</v>
      </c>
      <c r="N1035" s="33" t="n">
        <f aca="false">IF(J1035="","",ABS(J1035))</f>
        <v>2.375</v>
      </c>
      <c r="O1035" s="33" t="n">
        <f aca="false">IF(K1035="","",ABS(K1035))</f>
        <v>3.21924147917966</v>
      </c>
      <c r="P1035" s="34" t="str">
        <f aca="false">IF(B1035&gt;=Eval_Start_Week,"YES","")</f>
        <v>YES</v>
      </c>
      <c r="Q1035" s="34" t="str">
        <f aca="false">IF(AND(B1035&gt;=Cal_Start_Week,B1035&lt;=Cal_End_Week),"YES","")</f>
        <v/>
      </c>
    </row>
    <row r="1036" customFormat="false" ht="15" hidden="false" customHeight="false" outlineLevel="0" collapsed="false">
      <c r="A1036" s="31" t="str">
        <f aca="false">Demand_History!C1036</f>
        <v>KIT-010</v>
      </c>
      <c r="B1036" s="31" t="n">
        <f aca="false">Demand_History!A1036</f>
        <v>99</v>
      </c>
      <c r="C1036" s="32" t="n">
        <f aca="false">Demand_History!D1036</f>
        <v>109</v>
      </c>
      <c r="D1036" s="33" t="n">
        <f aca="false">IF(B1036&gt;=2,C1035,"")</f>
        <v>93</v>
      </c>
      <c r="E1036" s="33" t="n">
        <f aca="false">IF(B1036&gt;=5,AVERAGE(C1032:C1035),"")</f>
        <v>94.25</v>
      </c>
      <c r="F1036" s="33" t="n">
        <f aca="false">IF(B1036&gt;=9,AVERAGE(C1028:C1035),"")</f>
        <v>94.125</v>
      </c>
      <c r="G1036" s="33" t="n">
        <f aca="false">IF(B1036=1,"",IF(B1036=2,C1035,SES_Alpha*C1035+(1-SES_Alpha)*G1035))</f>
        <v>95.2534690354258</v>
      </c>
      <c r="H1036" s="33" t="n">
        <f aca="false">IF(D1036="","",D1036-C1036)</f>
        <v>-16</v>
      </c>
      <c r="I1036" s="33" t="n">
        <f aca="false">IF(E1036="","",E1036-C1036)</f>
        <v>-14.75</v>
      </c>
      <c r="J1036" s="33" t="n">
        <f aca="false">IF(F1036="","",F1036-C1036)</f>
        <v>-14.875</v>
      </c>
      <c r="K1036" s="33" t="n">
        <f aca="false">IF(G1036="","",G1036-C1036)</f>
        <v>-13.7465309645742</v>
      </c>
      <c r="L1036" s="33" t="n">
        <f aca="false">IF(H1036="","",ABS(H1036))</f>
        <v>16</v>
      </c>
      <c r="M1036" s="33" t="n">
        <f aca="false">IF(I1036="","",ABS(I1036))</f>
        <v>14.75</v>
      </c>
      <c r="N1036" s="33" t="n">
        <f aca="false">IF(J1036="","",ABS(J1036))</f>
        <v>14.875</v>
      </c>
      <c r="O1036" s="33" t="n">
        <f aca="false">IF(K1036="","",ABS(K1036))</f>
        <v>13.7465309645742</v>
      </c>
      <c r="P1036" s="34" t="str">
        <f aca="false">IF(B1036&gt;=Eval_Start_Week,"YES","")</f>
        <v>YES</v>
      </c>
      <c r="Q1036" s="34" t="str">
        <f aca="false">IF(AND(B1036&gt;=Cal_Start_Week,B1036&lt;=Cal_End_Week),"YES","")</f>
        <v/>
      </c>
    </row>
    <row r="1037" customFormat="false" ht="15" hidden="false" customHeight="false" outlineLevel="0" collapsed="false">
      <c r="A1037" s="31" t="str">
        <f aca="false">Demand_History!C1037</f>
        <v>KIT-010</v>
      </c>
      <c r="B1037" s="31" t="n">
        <f aca="false">Demand_History!A1037</f>
        <v>100</v>
      </c>
      <c r="C1037" s="32" t="n">
        <f aca="false">Demand_History!D1037</f>
        <v>81</v>
      </c>
      <c r="D1037" s="33" t="n">
        <f aca="false">IF(B1037&gt;=2,C1036,"")</f>
        <v>109</v>
      </c>
      <c r="E1037" s="33" t="n">
        <f aca="false">IF(B1037&gt;=5,AVERAGE(C1033:C1036),"")</f>
        <v>96.25</v>
      </c>
      <c r="F1037" s="33" t="n">
        <f aca="false">IF(B1037&gt;=9,AVERAGE(C1029:C1036),"")</f>
        <v>98</v>
      </c>
      <c r="G1037" s="33" t="n">
        <f aca="false">IF(B1037=1,"",IF(B1037=2,C1036,SES_Alpha*C1036+(1-SES_Alpha)*G1036))</f>
        <v>99.377428324798</v>
      </c>
      <c r="H1037" s="33" t="n">
        <f aca="false">IF(D1037="","",D1037-C1037)</f>
        <v>28</v>
      </c>
      <c r="I1037" s="33" t="n">
        <f aca="false">IF(E1037="","",E1037-C1037)</f>
        <v>15.25</v>
      </c>
      <c r="J1037" s="33" t="n">
        <f aca="false">IF(F1037="","",F1037-C1037)</f>
        <v>17</v>
      </c>
      <c r="K1037" s="33" t="n">
        <f aca="false">IF(G1037="","",G1037-C1037)</f>
        <v>18.377428324798</v>
      </c>
      <c r="L1037" s="33" t="n">
        <f aca="false">IF(H1037="","",ABS(H1037))</f>
        <v>28</v>
      </c>
      <c r="M1037" s="33" t="n">
        <f aca="false">IF(I1037="","",ABS(I1037))</f>
        <v>15.25</v>
      </c>
      <c r="N1037" s="33" t="n">
        <f aca="false">IF(J1037="","",ABS(J1037))</f>
        <v>17</v>
      </c>
      <c r="O1037" s="33" t="n">
        <f aca="false">IF(K1037="","",ABS(K1037))</f>
        <v>18.377428324798</v>
      </c>
      <c r="P1037" s="34" t="str">
        <f aca="false">IF(B1037&gt;=Eval_Start_Week,"YES","")</f>
        <v>YES</v>
      </c>
      <c r="Q1037" s="34" t="str">
        <f aca="false">IF(AND(B1037&gt;=Cal_Start_Week,B1037&lt;=Cal_End_Week),"YES","")</f>
        <v/>
      </c>
    </row>
    <row r="1038" customFormat="false" ht="15" hidden="false" customHeight="false" outlineLevel="0" collapsed="false">
      <c r="A1038" s="31" t="str">
        <f aca="false">Demand_History!C1038</f>
        <v>KIT-010</v>
      </c>
      <c r="B1038" s="31" t="n">
        <f aca="false">Demand_History!A1038</f>
        <v>101</v>
      </c>
      <c r="C1038" s="32" t="n">
        <f aca="false">Demand_History!D1038</f>
        <v>107</v>
      </c>
      <c r="D1038" s="33" t="n">
        <f aca="false">IF(B1038&gt;=2,C1037,"")</f>
        <v>81</v>
      </c>
      <c r="E1038" s="33" t="n">
        <f aca="false">IF(B1038&gt;=5,AVERAGE(C1034:C1037),"")</f>
        <v>97.5</v>
      </c>
      <c r="F1038" s="33" t="n">
        <f aca="false">IF(B1038&gt;=9,AVERAGE(C1030:C1037),"")</f>
        <v>95.75</v>
      </c>
      <c r="G1038" s="33" t="n">
        <f aca="false">IF(B1038=1,"",IF(B1038=2,C1037,SES_Alpha*C1037+(1-SES_Alpha)*G1037))</f>
        <v>93.8641998273586</v>
      </c>
      <c r="H1038" s="33" t="n">
        <f aca="false">IF(D1038="","",D1038-C1038)</f>
        <v>-26</v>
      </c>
      <c r="I1038" s="33" t="n">
        <f aca="false">IF(E1038="","",E1038-C1038)</f>
        <v>-9.5</v>
      </c>
      <c r="J1038" s="33" t="n">
        <f aca="false">IF(F1038="","",F1038-C1038)</f>
        <v>-11.25</v>
      </c>
      <c r="K1038" s="33" t="n">
        <f aca="false">IF(G1038="","",G1038-C1038)</f>
        <v>-13.1358001726414</v>
      </c>
      <c r="L1038" s="33" t="n">
        <f aca="false">IF(H1038="","",ABS(H1038))</f>
        <v>26</v>
      </c>
      <c r="M1038" s="33" t="n">
        <f aca="false">IF(I1038="","",ABS(I1038))</f>
        <v>9.5</v>
      </c>
      <c r="N1038" s="33" t="n">
        <f aca="false">IF(J1038="","",ABS(J1038))</f>
        <v>11.25</v>
      </c>
      <c r="O1038" s="33" t="n">
        <f aca="false">IF(K1038="","",ABS(K1038))</f>
        <v>13.1358001726414</v>
      </c>
      <c r="P1038" s="34" t="str">
        <f aca="false">IF(B1038&gt;=Eval_Start_Week,"YES","")</f>
        <v>YES</v>
      </c>
      <c r="Q1038" s="34" t="str">
        <f aca="false">IF(AND(B1038&gt;=Cal_Start_Week,B1038&lt;=Cal_End_Week),"YES","")</f>
        <v/>
      </c>
    </row>
    <row r="1039" customFormat="false" ht="15" hidden="false" customHeight="false" outlineLevel="0" collapsed="false">
      <c r="A1039" s="31" t="str">
        <f aca="false">Demand_History!C1039</f>
        <v>KIT-010</v>
      </c>
      <c r="B1039" s="31" t="n">
        <f aca="false">Demand_History!A1039</f>
        <v>102</v>
      </c>
      <c r="C1039" s="32" t="n">
        <f aca="false">Demand_History!D1039</f>
        <v>98</v>
      </c>
      <c r="D1039" s="33" t="n">
        <f aca="false">IF(B1039&gt;=2,C1038,"")</f>
        <v>107</v>
      </c>
      <c r="E1039" s="33" t="n">
        <f aca="false">IF(B1039&gt;=5,AVERAGE(C1035:C1038),"")</f>
        <v>97.5</v>
      </c>
      <c r="F1039" s="33" t="n">
        <f aca="false">IF(B1039&gt;=9,AVERAGE(C1031:C1038),"")</f>
        <v>95.75</v>
      </c>
      <c r="G1039" s="33" t="n">
        <f aca="false">IF(B1039=1,"",IF(B1039=2,C1038,SES_Alpha*C1038+(1-SES_Alpha)*G1038))</f>
        <v>97.804939879151</v>
      </c>
      <c r="H1039" s="33" t="n">
        <f aca="false">IF(D1039="","",D1039-C1039)</f>
        <v>9</v>
      </c>
      <c r="I1039" s="33" t="n">
        <f aca="false">IF(E1039="","",E1039-C1039)</f>
        <v>-0.5</v>
      </c>
      <c r="J1039" s="33" t="n">
        <f aca="false">IF(F1039="","",F1039-C1039)</f>
        <v>-2.25</v>
      </c>
      <c r="K1039" s="33" t="n">
        <f aca="false">IF(G1039="","",G1039-C1039)</f>
        <v>-0.195060120848979</v>
      </c>
      <c r="L1039" s="33" t="n">
        <f aca="false">IF(H1039="","",ABS(H1039))</f>
        <v>9</v>
      </c>
      <c r="M1039" s="33" t="n">
        <f aca="false">IF(I1039="","",ABS(I1039))</f>
        <v>0.5</v>
      </c>
      <c r="N1039" s="33" t="n">
        <f aca="false">IF(J1039="","",ABS(J1039))</f>
        <v>2.25</v>
      </c>
      <c r="O1039" s="33" t="n">
        <f aca="false">IF(K1039="","",ABS(K1039))</f>
        <v>0.195060120848979</v>
      </c>
      <c r="P1039" s="34" t="str">
        <f aca="false">IF(B1039&gt;=Eval_Start_Week,"YES","")</f>
        <v>YES</v>
      </c>
      <c r="Q1039" s="34" t="str">
        <f aca="false">IF(AND(B1039&gt;=Cal_Start_Week,B1039&lt;=Cal_End_Week),"YES","")</f>
        <v/>
      </c>
    </row>
    <row r="1040" customFormat="false" ht="15" hidden="false" customHeight="false" outlineLevel="0" collapsed="false">
      <c r="A1040" s="31" t="str">
        <f aca="false">Demand_History!C1040</f>
        <v>KIT-010</v>
      </c>
      <c r="B1040" s="31" t="n">
        <f aca="false">Demand_History!A1040</f>
        <v>103</v>
      </c>
      <c r="C1040" s="32" t="n">
        <f aca="false">Demand_History!D1040</f>
        <v>108</v>
      </c>
      <c r="D1040" s="33" t="n">
        <f aca="false">IF(B1040&gt;=2,C1039,"")</f>
        <v>98</v>
      </c>
      <c r="E1040" s="33" t="n">
        <f aca="false">IF(B1040&gt;=5,AVERAGE(C1036:C1039),"")</f>
        <v>98.75</v>
      </c>
      <c r="F1040" s="33" t="n">
        <f aca="false">IF(B1040&gt;=9,AVERAGE(C1032:C1039),"")</f>
        <v>96.5</v>
      </c>
      <c r="G1040" s="33" t="n">
        <f aca="false">IF(B1040=1,"",IF(B1040=2,C1039,SES_Alpha*C1039+(1-SES_Alpha)*G1039))</f>
        <v>97.8634579154057</v>
      </c>
      <c r="H1040" s="33" t="n">
        <f aca="false">IF(D1040="","",D1040-C1040)</f>
        <v>-10</v>
      </c>
      <c r="I1040" s="33" t="n">
        <f aca="false">IF(E1040="","",E1040-C1040)</f>
        <v>-9.25</v>
      </c>
      <c r="J1040" s="33" t="n">
        <f aca="false">IF(F1040="","",F1040-C1040)</f>
        <v>-11.5</v>
      </c>
      <c r="K1040" s="33" t="n">
        <f aca="false">IF(G1040="","",G1040-C1040)</f>
        <v>-10.1365420845943</v>
      </c>
      <c r="L1040" s="33" t="n">
        <f aca="false">IF(H1040="","",ABS(H1040))</f>
        <v>10</v>
      </c>
      <c r="M1040" s="33" t="n">
        <f aca="false">IF(I1040="","",ABS(I1040))</f>
        <v>9.25</v>
      </c>
      <c r="N1040" s="33" t="n">
        <f aca="false">IF(J1040="","",ABS(J1040))</f>
        <v>11.5</v>
      </c>
      <c r="O1040" s="33" t="n">
        <f aca="false">IF(K1040="","",ABS(K1040))</f>
        <v>10.1365420845943</v>
      </c>
      <c r="P1040" s="34" t="str">
        <f aca="false">IF(B1040&gt;=Eval_Start_Week,"YES","")</f>
        <v>YES</v>
      </c>
      <c r="Q1040" s="34" t="str">
        <f aca="false">IF(AND(B1040&gt;=Cal_Start_Week,B1040&lt;=Cal_End_Week),"YES","")</f>
        <v/>
      </c>
    </row>
    <row r="1041" customFormat="false" ht="15" hidden="false" customHeight="false" outlineLevel="0" collapsed="false">
      <c r="A1041" s="31" t="str">
        <f aca="false">Demand_History!C1041</f>
        <v>KIT-010</v>
      </c>
      <c r="B1041" s="31" t="n">
        <f aca="false">Demand_History!A1041</f>
        <v>104</v>
      </c>
      <c r="C1041" s="32" t="n">
        <f aca="false">Demand_History!D1041</f>
        <v>91</v>
      </c>
      <c r="D1041" s="33" t="n">
        <f aca="false">IF(B1041&gt;=2,C1040,"")</f>
        <v>108</v>
      </c>
      <c r="E1041" s="33" t="n">
        <f aca="false">IF(B1041&gt;=5,AVERAGE(C1037:C1040),"")</f>
        <v>98.5</v>
      </c>
      <c r="F1041" s="33" t="n">
        <f aca="false">IF(B1041&gt;=9,AVERAGE(C1033:C1040),"")</f>
        <v>97.375</v>
      </c>
      <c r="G1041" s="33" t="n">
        <f aca="false">IF(B1041=1,"",IF(B1041=2,C1040,SES_Alpha*C1040+(1-SES_Alpha)*G1040))</f>
        <v>100.904420540784</v>
      </c>
      <c r="H1041" s="33" t="n">
        <f aca="false">IF(D1041="","",D1041-C1041)</f>
        <v>17</v>
      </c>
      <c r="I1041" s="33" t="n">
        <f aca="false">IF(E1041="","",E1041-C1041)</f>
        <v>7.5</v>
      </c>
      <c r="J1041" s="33" t="n">
        <f aca="false">IF(F1041="","",F1041-C1041)</f>
        <v>6.375</v>
      </c>
      <c r="K1041" s="33" t="n">
        <f aca="false">IF(G1041="","",G1041-C1041)</f>
        <v>9.904420540784</v>
      </c>
      <c r="L1041" s="33" t="n">
        <f aca="false">IF(H1041="","",ABS(H1041))</f>
        <v>17</v>
      </c>
      <c r="M1041" s="33" t="n">
        <f aca="false">IF(I1041="","",ABS(I1041))</f>
        <v>7.5</v>
      </c>
      <c r="N1041" s="33" t="n">
        <f aca="false">IF(J1041="","",ABS(J1041))</f>
        <v>6.375</v>
      </c>
      <c r="O1041" s="33" t="n">
        <f aca="false">IF(K1041="","",ABS(K1041))</f>
        <v>9.904420540784</v>
      </c>
      <c r="P1041" s="34" t="str">
        <f aca="false">IF(B1041&gt;=Eval_Start_Week,"YES","")</f>
        <v>YES</v>
      </c>
      <c r="Q1041" s="34" t="str">
        <f aca="false">IF(AND(B1041&gt;=Cal_Start_Week,B1041&lt;=Cal_End_Week),"YES","")</f>
        <v/>
      </c>
    </row>
    <row r="1042" customFormat="false" ht="15" hidden="false" customHeight="false" outlineLevel="0" collapsed="false">
      <c r="A1042" s="31" t="str">
        <f aca="false">Demand_History!C1042</f>
        <v>BTH-001</v>
      </c>
      <c r="B1042" s="31" t="n">
        <f aca="false">Demand_History!A1042</f>
        <v>1</v>
      </c>
      <c r="C1042" s="32" t="n">
        <f aca="false">Demand_History!D1042</f>
        <v>159</v>
      </c>
      <c r="D1042" s="33" t="str">
        <f aca="false">IF(B1042&gt;=2,C1041,"")</f>
        <v/>
      </c>
      <c r="E1042" s="33" t="str">
        <f aca="false">IF(B1042&gt;=5,AVERAGE(C1038:C1041),"")</f>
        <v/>
      </c>
      <c r="F1042" s="33" t="str">
        <f aca="false">IF(B1042&gt;=9,AVERAGE(C1034:C1041),"")</f>
        <v/>
      </c>
      <c r="G1042" s="33" t="str">
        <f aca="false">IF(B1042=1,"",IF(B1042=2,C1041,SES_Alpha*C1041+(1-SES_Alpha)*G1041))</f>
        <v/>
      </c>
      <c r="H1042" s="33" t="str">
        <f aca="false">IF(D1042="","",D1042-C1042)</f>
        <v/>
      </c>
      <c r="I1042" s="33" t="str">
        <f aca="false">IF(E1042="","",E1042-C1042)</f>
        <v/>
      </c>
      <c r="J1042" s="33" t="str">
        <f aca="false">IF(F1042="","",F1042-C1042)</f>
        <v/>
      </c>
      <c r="K1042" s="33" t="str">
        <f aca="false">IF(G1042="","",G1042-C1042)</f>
        <v/>
      </c>
      <c r="L1042" s="33" t="str">
        <f aca="false">IF(H1042="","",ABS(H1042))</f>
        <v/>
      </c>
      <c r="M1042" s="33" t="str">
        <f aca="false">IF(I1042="","",ABS(I1042))</f>
        <v/>
      </c>
      <c r="N1042" s="33" t="str">
        <f aca="false">IF(J1042="","",ABS(J1042))</f>
        <v/>
      </c>
      <c r="O1042" s="33" t="str">
        <f aca="false">IF(K1042="","",ABS(K1042))</f>
        <v/>
      </c>
      <c r="P1042" s="34" t="str">
        <f aca="false">IF(B1042&gt;=Eval_Start_Week,"YES","")</f>
        <v/>
      </c>
      <c r="Q1042" s="34" t="str">
        <f aca="false">IF(AND(B1042&gt;=Cal_Start_Week,B1042&lt;=Cal_End_Week),"YES","")</f>
        <v/>
      </c>
    </row>
    <row r="1043" customFormat="false" ht="15" hidden="false" customHeight="false" outlineLevel="0" collapsed="false">
      <c r="A1043" s="31" t="str">
        <f aca="false">Demand_History!C1043</f>
        <v>BTH-001</v>
      </c>
      <c r="B1043" s="31" t="n">
        <f aca="false">Demand_History!A1043</f>
        <v>2</v>
      </c>
      <c r="C1043" s="32" t="n">
        <f aca="false">Demand_History!D1043</f>
        <v>105</v>
      </c>
      <c r="D1043" s="33" t="n">
        <f aca="false">IF(B1043&gt;=2,C1042,"")</f>
        <v>159</v>
      </c>
      <c r="E1043" s="33" t="str">
        <f aca="false">IF(B1043&gt;=5,AVERAGE(C1039:C1042),"")</f>
        <v/>
      </c>
      <c r="F1043" s="33" t="str">
        <f aca="false">IF(B1043&gt;=9,AVERAGE(C1035:C1042),"")</f>
        <v/>
      </c>
      <c r="G1043" s="33" t="n">
        <f aca="false">IF(B1043=1,"",IF(B1043=2,C1042,SES_Alpha*C1042+(1-SES_Alpha)*G1042))</f>
        <v>159</v>
      </c>
      <c r="H1043" s="33" t="n">
        <f aca="false">IF(D1043="","",D1043-C1043)</f>
        <v>54</v>
      </c>
      <c r="I1043" s="33" t="str">
        <f aca="false">IF(E1043="","",E1043-C1043)</f>
        <v/>
      </c>
      <c r="J1043" s="33" t="str">
        <f aca="false">IF(F1043="","",F1043-C1043)</f>
        <v/>
      </c>
      <c r="K1043" s="33" t="n">
        <f aca="false">IF(G1043="","",G1043-C1043)</f>
        <v>54</v>
      </c>
      <c r="L1043" s="33" t="n">
        <f aca="false">IF(H1043="","",ABS(H1043))</f>
        <v>54</v>
      </c>
      <c r="M1043" s="33" t="str">
        <f aca="false">IF(I1043="","",ABS(I1043))</f>
        <v/>
      </c>
      <c r="N1043" s="33" t="str">
        <f aca="false">IF(J1043="","",ABS(J1043))</f>
        <v/>
      </c>
      <c r="O1043" s="33" t="n">
        <f aca="false">IF(K1043="","",ABS(K1043))</f>
        <v>54</v>
      </c>
      <c r="P1043" s="34" t="str">
        <f aca="false">IF(B1043&gt;=Eval_Start_Week,"YES","")</f>
        <v/>
      </c>
      <c r="Q1043" s="34" t="str">
        <f aca="false">IF(AND(B1043&gt;=Cal_Start_Week,B1043&lt;=Cal_End_Week),"YES","")</f>
        <v/>
      </c>
    </row>
    <row r="1044" customFormat="false" ht="15" hidden="false" customHeight="false" outlineLevel="0" collapsed="false">
      <c r="A1044" s="31" t="str">
        <f aca="false">Demand_History!C1044</f>
        <v>BTH-001</v>
      </c>
      <c r="B1044" s="31" t="n">
        <f aca="false">Demand_History!A1044</f>
        <v>3</v>
      </c>
      <c r="C1044" s="32" t="n">
        <f aca="false">Demand_History!D1044</f>
        <v>108</v>
      </c>
      <c r="D1044" s="33" t="n">
        <f aca="false">IF(B1044&gt;=2,C1043,"")</f>
        <v>105</v>
      </c>
      <c r="E1044" s="33" t="str">
        <f aca="false">IF(B1044&gt;=5,AVERAGE(C1040:C1043),"")</f>
        <v/>
      </c>
      <c r="F1044" s="33" t="str">
        <f aca="false">IF(B1044&gt;=9,AVERAGE(C1036:C1043),"")</f>
        <v/>
      </c>
      <c r="G1044" s="33" t="n">
        <f aca="false">IF(B1044=1,"",IF(B1044=2,C1043,SES_Alpha*C1043+(1-SES_Alpha)*G1043))</f>
        <v>142.8</v>
      </c>
      <c r="H1044" s="33" t="n">
        <f aca="false">IF(D1044="","",D1044-C1044)</f>
        <v>-3</v>
      </c>
      <c r="I1044" s="33" t="str">
        <f aca="false">IF(E1044="","",E1044-C1044)</f>
        <v/>
      </c>
      <c r="J1044" s="33" t="str">
        <f aca="false">IF(F1044="","",F1044-C1044)</f>
        <v/>
      </c>
      <c r="K1044" s="33" t="n">
        <f aca="false">IF(G1044="","",G1044-C1044)</f>
        <v>34.8</v>
      </c>
      <c r="L1044" s="33" t="n">
        <f aca="false">IF(H1044="","",ABS(H1044))</f>
        <v>3</v>
      </c>
      <c r="M1044" s="33" t="str">
        <f aca="false">IF(I1044="","",ABS(I1044))</f>
        <v/>
      </c>
      <c r="N1044" s="33" t="str">
        <f aca="false">IF(J1044="","",ABS(J1044))</f>
        <v/>
      </c>
      <c r="O1044" s="33" t="n">
        <f aca="false">IF(K1044="","",ABS(K1044))</f>
        <v>34.8</v>
      </c>
      <c r="P1044" s="34" t="str">
        <f aca="false">IF(B1044&gt;=Eval_Start_Week,"YES","")</f>
        <v/>
      </c>
      <c r="Q1044" s="34" t="str">
        <f aca="false">IF(AND(B1044&gt;=Cal_Start_Week,B1044&lt;=Cal_End_Week),"YES","")</f>
        <v/>
      </c>
    </row>
    <row r="1045" customFormat="false" ht="15" hidden="false" customHeight="false" outlineLevel="0" collapsed="false">
      <c r="A1045" s="31" t="str">
        <f aca="false">Demand_History!C1045</f>
        <v>BTH-001</v>
      </c>
      <c r="B1045" s="31" t="n">
        <f aca="false">Demand_History!A1045</f>
        <v>4</v>
      </c>
      <c r="C1045" s="32" t="n">
        <f aca="false">Demand_History!D1045</f>
        <v>115</v>
      </c>
      <c r="D1045" s="33" t="n">
        <f aca="false">IF(B1045&gt;=2,C1044,"")</f>
        <v>108</v>
      </c>
      <c r="E1045" s="33" t="str">
        <f aca="false">IF(B1045&gt;=5,AVERAGE(C1041:C1044),"")</f>
        <v/>
      </c>
      <c r="F1045" s="33" t="str">
        <f aca="false">IF(B1045&gt;=9,AVERAGE(C1037:C1044),"")</f>
        <v/>
      </c>
      <c r="G1045" s="33" t="n">
        <f aca="false">IF(B1045=1,"",IF(B1045=2,C1044,SES_Alpha*C1044+(1-SES_Alpha)*G1044))</f>
        <v>132.36</v>
      </c>
      <c r="H1045" s="33" t="n">
        <f aca="false">IF(D1045="","",D1045-C1045)</f>
        <v>-7</v>
      </c>
      <c r="I1045" s="33" t="str">
        <f aca="false">IF(E1045="","",E1045-C1045)</f>
        <v/>
      </c>
      <c r="J1045" s="33" t="str">
        <f aca="false">IF(F1045="","",F1045-C1045)</f>
        <v/>
      </c>
      <c r="K1045" s="33" t="n">
        <f aca="false">IF(G1045="","",G1045-C1045)</f>
        <v>17.36</v>
      </c>
      <c r="L1045" s="33" t="n">
        <f aca="false">IF(H1045="","",ABS(H1045))</f>
        <v>7</v>
      </c>
      <c r="M1045" s="33" t="str">
        <f aca="false">IF(I1045="","",ABS(I1045))</f>
        <v/>
      </c>
      <c r="N1045" s="33" t="str">
        <f aca="false">IF(J1045="","",ABS(J1045))</f>
        <v/>
      </c>
      <c r="O1045" s="33" t="n">
        <f aca="false">IF(K1045="","",ABS(K1045))</f>
        <v>17.36</v>
      </c>
      <c r="P1045" s="34" t="str">
        <f aca="false">IF(B1045&gt;=Eval_Start_Week,"YES","")</f>
        <v/>
      </c>
      <c r="Q1045" s="34" t="str">
        <f aca="false">IF(AND(B1045&gt;=Cal_Start_Week,B1045&lt;=Cal_End_Week),"YES","")</f>
        <v/>
      </c>
    </row>
    <row r="1046" customFormat="false" ht="15" hidden="false" customHeight="false" outlineLevel="0" collapsed="false">
      <c r="A1046" s="31" t="str">
        <f aca="false">Demand_History!C1046</f>
        <v>BTH-001</v>
      </c>
      <c r="B1046" s="31" t="n">
        <f aca="false">Demand_History!A1046</f>
        <v>5</v>
      </c>
      <c r="C1046" s="32" t="n">
        <f aca="false">Demand_History!D1046</f>
        <v>102</v>
      </c>
      <c r="D1046" s="33" t="n">
        <f aca="false">IF(B1046&gt;=2,C1045,"")</f>
        <v>115</v>
      </c>
      <c r="E1046" s="33" t="n">
        <f aca="false">IF(B1046&gt;=5,AVERAGE(C1042:C1045),"")</f>
        <v>121.75</v>
      </c>
      <c r="F1046" s="33" t="str">
        <f aca="false">IF(B1046&gt;=9,AVERAGE(C1038:C1045),"")</f>
        <v/>
      </c>
      <c r="G1046" s="33" t="n">
        <f aca="false">IF(B1046=1,"",IF(B1046=2,C1045,SES_Alpha*C1045+(1-SES_Alpha)*G1045))</f>
        <v>127.152</v>
      </c>
      <c r="H1046" s="33" t="n">
        <f aca="false">IF(D1046="","",D1046-C1046)</f>
        <v>13</v>
      </c>
      <c r="I1046" s="33" t="n">
        <f aca="false">IF(E1046="","",E1046-C1046)</f>
        <v>19.75</v>
      </c>
      <c r="J1046" s="33" t="str">
        <f aca="false">IF(F1046="","",F1046-C1046)</f>
        <v/>
      </c>
      <c r="K1046" s="33" t="n">
        <f aca="false">IF(G1046="","",G1046-C1046)</f>
        <v>25.152</v>
      </c>
      <c r="L1046" s="33" t="n">
        <f aca="false">IF(H1046="","",ABS(H1046))</f>
        <v>13</v>
      </c>
      <c r="M1046" s="33" t="n">
        <f aca="false">IF(I1046="","",ABS(I1046))</f>
        <v>19.75</v>
      </c>
      <c r="N1046" s="33" t="str">
        <f aca="false">IF(J1046="","",ABS(J1046))</f>
        <v/>
      </c>
      <c r="O1046" s="33" t="n">
        <f aca="false">IF(K1046="","",ABS(K1046))</f>
        <v>25.152</v>
      </c>
      <c r="P1046" s="34" t="str">
        <f aca="false">IF(B1046&gt;=Eval_Start_Week,"YES","")</f>
        <v/>
      </c>
      <c r="Q1046" s="34" t="str">
        <f aca="false">IF(AND(B1046&gt;=Cal_Start_Week,B1046&lt;=Cal_End_Week),"YES","")</f>
        <v/>
      </c>
    </row>
    <row r="1047" customFormat="false" ht="15" hidden="false" customHeight="false" outlineLevel="0" collapsed="false">
      <c r="A1047" s="31" t="str">
        <f aca="false">Demand_History!C1047</f>
        <v>BTH-001</v>
      </c>
      <c r="B1047" s="31" t="n">
        <f aca="false">Demand_History!A1047</f>
        <v>6</v>
      </c>
      <c r="C1047" s="32" t="n">
        <f aca="false">Demand_History!D1047</f>
        <v>141</v>
      </c>
      <c r="D1047" s="33" t="n">
        <f aca="false">IF(B1047&gt;=2,C1046,"")</f>
        <v>102</v>
      </c>
      <c r="E1047" s="33" t="n">
        <f aca="false">IF(B1047&gt;=5,AVERAGE(C1043:C1046),"")</f>
        <v>107.5</v>
      </c>
      <c r="F1047" s="33" t="str">
        <f aca="false">IF(B1047&gt;=9,AVERAGE(C1039:C1046),"")</f>
        <v/>
      </c>
      <c r="G1047" s="33" t="n">
        <f aca="false">IF(B1047=1,"",IF(B1047=2,C1046,SES_Alpha*C1046+(1-SES_Alpha)*G1046))</f>
        <v>119.6064</v>
      </c>
      <c r="H1047" s="33" t="n">
        <f aca="false">IF(D1047="","",D1047-C1047)</f>
        <v>-39</v>
      </c>
      <c r="I1047" s="33" t="n">
        <f aca="false">IF(E1047="","",E1047-C1047)</f>
        <v>-33.5</v>
      </c>
      <c r="J1047" s="33" t="str">
        <f aca="false">IF(F1047="","",F1047-C1047)</f>
        <v/>
      </c>
      <c r="K1047" s="33" t="n">
        <f aca="false">IF(G1047="","",G1047-C1047)</f>
        <v>-21.3936</v>
      </c>
      <c r="L1047" s="33" t="n">
        <f aca="false">IF(H1047="","",ABS(H1047))</f>
        <v>39</v>
      </c>
      <c r="M1047" s="33" t="n">
        <f aca="false">IF(I1047="","",ABS(I1047))</f>
        <v>33.5</v>
      </c>
      <c r="N1047" s="33" t="str">
        <f aca="false">IF(J1047="","",ABS(J1047))</f>
        <v/>
      </c>
      <c r="O1047" s="33" t="n">
        <f aca="false">IF(K1047="","",ABS(K1047))</f>
        <v>21.3936</v>
      </c>
      <c r="P1047" s="34" t="str">
        <f aca="false">IF(B1047&gt;=Eval_Start_Week,"YES","")</f>
        <v/>
      </c>
      <c r="Q1047" s="34" t="str">
        <f aca="false">IF(AND(B1047&gt;=Cal_Start_Week,B1047&lt;=Cal_End_Week),"YES","")</f>
        <v/>
      </c>
    </row>
    <row r="1048" customFormat="false" ht="15" hidden="false" customHeight="false" outlineLevel="0" collapsed="false">
      <c r="A1048" s="31" t="str">
        <f aca="false">Demand_History!C1048</f>
        <v>BTH-001</v>
      </c>
      <c r="B1048" s="31" t="n">
        <f aca="false">Demand_History!A1048</f>
        <v>7</v>
      </c>
      <c r="C1048" s="32" t="n">
        <f aca="false">Demand_History!D1048</f>
        <v>150</v>
      </c>
      <c r="D1048" s="33" t="n">
        <f aca="false">IF(B1048&gt;=2,C1047,"")</f>
        <v>141</v>
      </c>
      <c r="E1048" s="33" t="n">
        <f aca="false">IF(B1048&gt;=5,AVERAGE(C1044:C1047),"")</f>
        <v>116.5</v>
      </c>
      <c r="F1048" s="33" t="str">
        <f aca="false">IF(B1048&gt;=9,AVERAGE(C1040:C1047),"")</f>
        <v/>
      </c>
      <c r="G1048" s="33" t="n">
        <f aca="false">IF(B1048=1,"",IF(B1048=2,C1047,SES_Alpha*C1047+(1-SES_Alpha)*G1047))</f>
        <v>126.02448</v>
      </c>
      <c r="H1048" s="33" t="n">
        <f aca="false">IF(D1048="","",D1048-C1048)</f>
        <v>-9</v>
      </c>
      <c r="I1048" s="33" t="n">
        <f aca="false">IF(E1048="","",E1048-C1048)</f>
        <v>-33.5</v>
      </c>
      <c r="J1048" s="33" t="str">
        <f aca="false">IF(F1048="","",F1048-C1048)</f>
        <v/>
      </c>
      <c r="K1048" s="33" t="n">
        <f aca="false">IF(G1048="","",G1048-C1048)</f>
        <v>-23.97552</v>
      </c>
      <c r="L1048" s="33" t="n">
        <f aca="false">IF(H1048="","",ABS(H1048))</f>
        <v>9</v>
      </c>
      <c r="M1048" s="33" t="n">
        <f aca="false">IF(I1048="","",ABS(I1048))</f>
        <v>33.5</v>
      </c>
      <c r="N1048" s="33" t="str">
        <f aca="false">IF(J1048="","",ABS(J1048))</f>
        <v/>
      </c>
      <c r="O1048" s="33" t="n">
        <f aca="false">IF(K1048="","",ABS(K1048))</f>
        <v>23.97552</v>
      </c>
      <c r="P1048" s="34" t="str">
        <f aca="false">IF(B1048&gt;=Eval_Start_Week,"YES","")</f>
        <v/>
      </c>
      <c r="Q1048" s="34" t="str">
        <f aca="false">IF(AND(B1048&gt;=Cal_Start_Week,B1048&lt;=Cal_End_Week),"YES","")</f>
        <v/>
      </c>
    </row>
    <row r="1049" customFormat="false" ht="15" hidden="false" customHeight="false" outlineLevel="0" collapsed="false">
      <c r="A1049" s="31" t="str">
        <f aca="false">Demand_History!C1049</f>
        <v>BTH-001</v>
      </c>
      <c r="B1049" s="31" t="n">
        <f aca="false">Demand_History!A1049</f>
        <v>8</v>
      </c>
      <c r="C1049" s="32" t="n">
        <f aca="false">Demand_History!D1049</f>
        <v>108</v>
      </c>
      <c r="D1049" s="33" t="n">
        <f aca="false">IF(B1049&gt;=2,C1048,"")</f>
        <v>150</v>
      </c>
      <c r="E1049" s="33" t="n">
        <f aca="false">IF(B1049&gt;=5,AVERAGE(C1045:C1048),"")</f>
        <v>127</v>
      </c>
      <c r="F1049" s="33" t="str">
        <f aca="false">IF(B1049&gt;=9,AVERAGE(C1041:C1048),"")</f>
        <v/>
      </c>
      <c r="G1049" s="33" t="n">
        <f aca="false">IF(B1049=1,"",IF(B1049=2,C1048,SES_Alpha*C1048+(1-SES_Alpha)*G1048))</f>
        <v>133.217136</v>
      </c>
      <c r="H1049" s="33" t="n">
        <f aca="false">IF(D1049="","",D1049-C1049)</f>
        <v>42</v>
      </c>
      <c r="I1049" s="33" t="n">
        <f aca="false">IF(E1049="","",E1049-C1049)</f>
        <v>19</v>
      </c>
      <c r="J1049" s="33" t="str">
        <f aca="false">IF(F1049="","",F1049-C1049)</f>
        <v/>
      </c>
      <c r="K1049" s="33" t="n">
        <f aca="false">IF(G1049="","",G1049-C1049)</f>
        <v>25.217136</v>
      </c>
      <c r="L1049" s="33" t="n">
        <f aca="false">IF(H1049="","",ABS(H1049))</f>
        <v>42</v>
      </c>
      <c r="M1049" s="33" t="n">
        <f aca="false">IF(I1049="","",ABS(I1049))</f>
        <v>19</v>
      </c>
      <c r="N1049" s="33" t="str">
        <f aca="false">IF(J1049="","",ABS(J1049))</f>
        <v/>
      </c>
      <c r="O1049" s="33" t="n">
        <f aca="false">IF(K1049="","",ABS(K1049))</f>
        <v>25.217136</v>
      </c>
      <c r="P1049" s="34" t="str">
        <f aca="false">IF(B1049&gt;=Eval_Start_Week,"YES","")</f>
        <v/>
      </c>
      <c r="Q1049" s="34" t="str">
        <f aca="false">IF(AND(B1049&gt;=Cal_Start_Week,B1049&lt;=Cal_End_Week),"YES","")</f>
        <v/>
      </c>
    </row>
    <row r="1050" customFormat="false" ht="15" hidden="false" customHeight="false" outlineLevel="0" collapsed="false">
      <c r="A1050" s="31" t="str">
        <f aca="false">Demand_History!C1050</f>
        <v>BTH-001</v>
      </c>
      <c r="B1050" s="31" t="n">
        <f aca="false">Demand_History!A1050</f>
        <v>9</v>
      </c>
      <c r="C1050" s="32" t="n">
        <f aca="false">Demand_History!D1050</f>
        <v>90</v>
      </c>
      <c r="D1050" s="33" t="n">
        <f aca="false">IF(B1050&gt;=2,C1049,"")</f>
        <v>108</v>
      </c>
      <c r="E1050" s="33" t="n">
        <f aca="false">IF(B1050&gt;=5,AVERAGE(C1046:C1049),"")</f>
        <v>125.25</v>
      </c>
      <c r="F1050" s="33" t="n">
        <f aca="false">IF(B1050&gt;=9,AVERAGE(C1042:C1049),"")</f>
        <v>123.5</v>
      </c>
      <c r="G1050" s="33" t="n">
        <f aca="false">IF(B1050=1,"",IF(B1050=2,C1049,SES_Alpha*C1049+(1-SES_Alpha)*G1049))</f>
        <v>125.6519952</v>
      </c>
      <c r="H1050" s="33" t="n">
        <f aca="false">IF(D1050="","",D1050-C1050)</f>
        <v>18</v>
      </c>
      <c r="I1050" s="33" t="n">
        <f aca="false">IF(E1050="","",E1050-C1050)</f>
        <v>35.25</v>
      </c>
      <c r="J1050" s="33" t="n">
        <f aca="false">IF(F1050="","",F1050-C1050)</f>
        <v>33.5</v>
      </c>
      <c r="K1050" s="33" t="n">
        <f aca="false">IF(G1050="","",G1050-C1050)</f>
        <v>35.6519952</v>
      </c>
      <c r="L1050" s="33" t="n">
        <f aca="false">IF(H1050="","",ABS(H1050))</f>
        <v>18</v>
      </c>
      <c r="M1050" s="33" t="n">
        <f aca="false">IF(I1050="","",ABS(I1050))</f>
        <v>35.25</v>
      </c>
      <c r="N1050" s="33" t="n">
        <f aca="false">IF(J1050="","",ABS(J1050))</f>
        <v>33.5</v>
      </c>
      <c r="O1050" s="33" t="n">
        <f aca="false">IF(K1050="","",ABS(K1050))</f>
        <v>35.6519952</v>
      </c>
      <c r="P1050" s="34" t="str">
        <f aca="false">IF(B1050&gt;=Eval_Start_Week,"YES","")</f>
        <v/>
      </c>
      <c r="Q1050" s="34" t="str">
        <f aca="false">IF(AND(B1050&gt;=Cal_Start_Week,B1050&lt;=Cal_End_Week),"YES","")</f>
        <v/>
      </c>
    </row>
    <row r="1051" customFormat="false" ht="15" hidden="false" customHeight="false" outlineLevel="0" collapsed="false">
      <c r="A1051" s="31" t="str">
        <f aca="false">Demand_History!C1051</f>
        <v>BTH-001</v>
      </c>
      <c r="B1051" s="31" t="n">
        <f aca="false">Demand_History!A1051</f>
        <v>10</v>
      </c>
      <c r="C1051" s="32" t="n">
        <f aca="false">Demand_History!D1051</f>
        <v>141</v>
      </c>
      <c r="D1051" s="33" t="n">
        <f aca="false">IF(B1051&gt;=2,C1050,"")</f>
        <v>90</v>
      </c>
      <c r="E1051" s="33" t="n">
        <f aca="false">IF(B1051&gt;=5,AVERAGE(C1047:C1050),"")</f>
        <v>122.25</v>
      </c>
      <c r="F1051" s="33" t="n">
        <f aca="false">IF(B1051&gt;=9,AVERAGE(C1043:C1050),"")</f>
        <v>114.875</v>
      </c>
      <c r="G1051" s="33" t="n">
        <f aca="false">IF(B1051=1,"",IF(B1051=2,C1050,SES_Alpha*C1050+(1-SES_Alpha)*G1050))</f>
        <v>114.95639664</v>
      </c>
      <c r="H1051" s="33" t="n">
        <f aca="false">IF(D1051="","",D1051-C1051)</f>
        <v>-51</v>
      </c>
      <c r="I1051" s="33" t="n">
        <f aca="false">IF(E1051="","",E1051-C1051)</f>
        <v>-18.75</v>
      </c>
      <c r="J1051" s="33" t="n">
        <f aca="false">IF(F1051="","",F1051-C1051)</f>
        <v>-26.125</v>
      </c>
      <c r="K1051" s="33" t="n">
        <f aca="false">IF(G1051="","",G1051-C1051)</f>
        <v>-26.04360336</v>
      </c>
      <c r="L1051" s="33" t="n">
        <f aca="false">IF(H1051="","",ABS(H1051))</f>
        <v>51</v>
      </c>
      <c r="M1051" s="33" t="n">
        <f aca="false">IF(I1051="","",ABS(I1051))</f>
        <v>18.75</v>
      </c>
      <c r="N1051" s="33" t="n">
        <f aca="false">IF(J1051="","",ABS(J1051))</f>
        <v>26.125</v>
      </c>
      <c r="O1051" s="33" t="n">
        <f aca="false">IF(K1051="","",ABS(K1051))</f>
        <v>26.04360336</v>
      </c>
      <c r="P1051" s="34" t="str">
        <f aca="false">IF(B1051&gt;=Eval_Start_Week,"YES","")</f>
        <v/>
      </c>
      <c r="Q1051" s="34" t="str">
        <f aca="false">IF(AND(B1051&gt;=Cal_Start_Week,B1051&lt;=Cal_End_Week),"YES","")</f>
        <v/>
      </c>
    </row>
    <row r="1052" customFormat="false" ht="15" hidden="false" customHeight="false" outlineLevel="0" collapsed="false">
      <c r="A1052" s="31" t="str">
        <f aca="false">Demand_History!C1052</f>
        <v>BTH-001</v>
      </c>
      <c r="B1052" s="31" t="n">
        <f aca="false">Demand_History!A1052</f>
        <v>11</v>
      </c>
      <c r="C1052" s="32" t="n">
        <f aca="false">Demand_History!D1052</f>
        <v>139</v>
      </c>
      <c r="D1052" s="33" t="n">
        <f aca="false">IF(B1052&gt;=2,C1051,"")</f>
        <v>141</v>
      </c>
      <c r="E1052" s="33" t="n">
        <f aca="false">IF(B1052&gt;=5,AVERAGE(C1048:C1051),"")</f>
        <v>122.25</v>
      </c>
      <c r="F1052" s="33" t="n">
        <f aca="false">IF(B1052&gt;=9,AVERAGE(C1044:C1051),"")</f>
        <v>119.375</v>
      </c>
      <c r="G1052" s="33" t="n">
        <f aca="false">IF(B1052=1,"",IF(B1052=2,C1051,SES_Alpha*C1051+(1-SES_Alpha)*G1051))</f>
        <v>122.769477648</v>
      </c>
      <c r="H1052" s="33" t="n">
        <f aca="false">IF(D1052="","",D1052-C1052)</f>
        <v>2</v>
      </c>
      <c r="I1052" s="33" t="n">
        <f aca="false">IF(E1052="","",E1052-C1052)</f>
        <v>-16.75</v>
      </c>
      <c r="J1052" s="33" t="n">
        <f aca="false">IF(F1052="","",F1052-C1052)</f>
        <v>-19.625</v>
      </c>
      <c r="K1052" s="33" t="n">
        <f aca="false">IF(G1052="","",G1052-C1052)</f>
        <v>-16.230522352</v>
      </c>
      <c r="L1052" s="33" t="n">
        <f aca="false">IF(H1052="","",ABS(H1052))</f>
        <v>2</v>
      </c>
      <c r="M1052" s="33" t="n">
        <f aca="false">IF(I1052="","",ABS(I1052))</f>
        <v>16.75</v>
      </c>
      <c r="N1052" s="33" t="n">
        <f aca="false">IF(J1052="","",ABS(J1052))</f>
        <v>19.625</v>
      </c>
      <c r="O1052" s="33" t="n">
        <f aca="false">IF(K1052="","",ABS(K1052))</f>
        <v>16.230522352</v>
      </c>
      <c r="P1052" s="34" t="str">
        <f aca="false">IF(B1052&gt;=Eval_Start_Week,"YES","")</f>
        <v/>
      </c>
      <c r="Q1052" s="34" t="str">
        <f aca="false">IF(AND(B1052&gt;=Cal_Start_Week,B1052&lt;=Cal_End_Week),"YES","")</f>
        <v/>
      </c>
    </row>
    <row r="1053" customFormat="false" ht="15" hidden="false" customHeight="false" outlineLevel="0" collapsed="false">
      <c r="A1053" s="31" t="str">
        <f aca="false">Demand_History!C1053</f>
        <v>BTH-001</v>
      </c>
      <c r="B1053" s="31" t="n">
        <f aca="false">Demand_History!A1053</f>
        <v>12</v>
      </c>
      <c r="C1053" s="32" t="n">
        <f aca="false">Demand_History!D1053</f>
        <v>134</v>
      </c>
      <c r="D1053" s="33" t="n">
        <f aca="false">IF(B1053&gt;=2,C1052,"")</f>
        <v>139</v>
      </c>
      <c r="E1053" s="33" t="n">
        <f aca="false">IF(B1053&gt;=5,AVERAGE(C1049:C1052),"")</f>
        <v>119.5</v>
      </c>
      <c r="F1053" s="33" t="n">
        <f aca="false">IF(B1053&gt;=9,AVERAGE(C1045:C1052),"")</f>
        <v>123.25</v>
      </c>
      <c r="G1053" s="33" t="n">
        <f aca="false">IF(B1053=1,"",IF(B1053=2,C1052,SES_Alpha*C1052+(1-SES_Alpha)*G1052))</f>
        <v>127.6386343536</v>
      </c>
      <c r="H1053" s="33" t="n">
        <f aca="false">IF(D1053="","",D1053-C1053)</f>
        <v>5</v>
      </c>
      <c r="I1053" s="33" t="n">
        <f aca="false">IF(E1053="","",E1053-C1053)</f>
        <v>-14.5</v>
      </c>
      <c r="J1053" s="33" t="n">
        <f aca="false">IF(F1053="","",F1053-C1053)</f>
        <v>-10.75</v>
      </c>
      <c r="K1053" s="33" t="n">
        <f aca="false">IF(G1053="","",G1053-C1053)</f>
        <v>-6.36136564640003</v>
      </c>
      <c r="L1053" s="33" t="n">
        <f aca="false">IF(H1053="","",ABS(H1053))</f>
        <v>5</v>
      </c>
      <c r="M1053" s="33" t="n">
        <f aca="false">IF(I1053="","",ABS(I1053))</f>
        <v>14.5</v>
      </c>
      <c r="N1053" s="33" t="n">
        <f aca="false">IF(J1053="","",ABS(J1053))</f>
        <v>10.75</v>
      </c>
      <c r="O1053" s="33" t="n">
        <f aca="false">IF(K1053="","",ABS(K1053))</f>
        <v>6.36136564640003</v>
      </c>
      <c r="P1053" s="34" t="str">
        <f aca="false">IF(B1053&gt;=Eval_Start_Week,"YES","")</f>
        <v/>
      </c>
      <c r="Q1053" s="34" t="str">
        <f aca="false">IF(AND(B1053&gt;=Cal_Start_Week,B1053&lt;=Cal_End_Week),"YES","")</f>
        <v/>
      </c>
    </row>
    <row r="1054" customFormat="false" ht="15" hidden="false" customHeight="false" outlineLevel="0" collapsed="false">
      <c r="A1054" s="31" t="str">
        <f aca="false">Demand_History!C1054</f>
        <v>BTH-001</v>
      </c>
      <c r="B1054" s="31" t="n">
        <f aca="false">Demand_History!A1054</f>
        <v>13</v>
      </c>
      <c r="C1054" s="32" t="n">
        <f aca="false">Demand_History!D1054</f>
        <v>140</v>
      </c>
      <c r="D1054" s="33" t="n">
        <f aca="false">IF(B1054&gt;=2,C1053,"")</f>
        <v>134</v>
      </c>
      <c r="E1054" s="33" t="n">
        <f aca="false">IF(B1054&gt;=5,AVERAGE(C1050:C1053),"")</f>
        <v>126</v>
      </c>
      <c r="F1054" s="33" t="n">
        <f aca="false">IF(B1054&gt;=9,AVERAGE(C1046:C1053),"")</f>
        <v>125.625</v>
      </c>
      <c r="G1054" s="33" t="n">
        <f aca="false">IF(B1054=1,"",IF(B1054=2,C1053,SES_Alpha*C1053+(1-SES_Alpha)*G1053))</f>
        <v>129.54704404752</v>
      </c>
      <c r="H1054" s="33" t="n">
        <f aca="false">IF(D1054="","",D1054-C1054)</f>
        <v>-6</v>
      </c>
      <c r="I1054" s="33" t="n">
        <f aca="false">IF(E1054="","",E1054-C1054)</f>
        <v>-14</v>
      </c>
      <c r="J1054" s="33" t="n">
        <f aca="false">IF(F1054="","",F1054-C1054)</f>
        <v>-14.375</v>
      </c>
      <c r="K1054" s="33" t="n">
        <f aca="false">IF(G1054="","",G1054-C1054)</f>
        <v>-10.45295595248</v>
      </c>
      <c r="L1054" s="33" t="n">
        <f aca="false">IF(H1054="","",ABS(H1054))</f>
        <v>6</v>
      </c>
      <c r="M1054" s="33" t="n">
        <f aca="false">IF(I1054="","",ABS(I1054))</f>
        <v>14</v>
      </c>
      <c r="N1054" s="33" t="n">
        <f aca="false">IF(J1054="","",ABS(J1054))</f>
        <v>14.375</v>
      </c>
      <c r="O1054" s="33" t="n">
        <f aca="false">IF(K1054="","",ABS(K1054))</f>
        <v>10.45295595248</v>
      </c>
      <c r="P1054" s="34" t="str">
        <f aca="false">IF(B1054&gt;=Eval_Start_Week,"YES","")</f>
        <v/>
      </c>
      <c r="Q1054" s="34" t="str">
        <f aca="false">IF(AND(B1054&gt;=Cal_Start_Week,B1054&lt;=Cal_End_Week),"YES","")</f>
        <v/>
      </c>
    </row>
    <row r="1055" customFormat="false" ht="15" hidden="false" customHeight="false" outlineLevel="0" collapsed="false">
      <c r="A1055" s="31" t="str">
        <f aca="false">Demand_History!C1055</f>
        <v>BTH-001</v>
      </c>
      <c r="B1055" s="31" t="n">
        <f aca="false">Demand_History!A1055</f>
        <v>14</v>
      </c>
      <c r="C1055" s="32" t="n">
        <f aca="false">Demand_History!D1055</f>
        <v>105</v>
      </c>
      <c r="D1055" s="33" t="n">
        <f aca="false">IF(B1055&gt;=2,C1054,"")</f>
        <v>140</v>
      </c>
      <c r="E1055" s="33" t="n">
        <f aca="false">IF(B1055&gt;=5,AVERAGE(C1051:C1054),"")</f>
        <v>138.5</v>
      </c>
      <c r="F1055" s="33" t="n">
        <f aca="false">IF(B1055&gt;=9,AVERAGE(C1047:C1054),"")</f>
        <v>130.375</v>
      </c>
      <c r="G1055" s="33" t="n">
        <f aca="false">IF(B1055=1,"",IF(B1055=2,C1054,SES_Alpha*C1054+(1-SES_Alpha)*G1054))</f>
        <v>132.682930833264</v>
      </c>
      <c r="H1055" s="33" t="n">
        <f aca="false">IF(D1055="","",D1055-C1055)</f>
        <v>35</v>
      </c>
      <c r="I1055" s="33" t="n">
        <f aca="false">IF(E1055="","",E1055-C1055)</f>
        <v>33.5</v>
      </c>
      <c r="J1055" s="33" t="n">
        <f aca="false">IF(F1055="","",F1055-C1055)</f>
        <v>25.375</v>
      </c>
      <c r="K1055" s="33" t="n">
        <f aca="false">IF(G1055="","",G1055-C1055)</f>
        <v>27.682930833264</v>
      </c>
      <c r="L1055" s="33" t="n">
        <f aca="false">IF(H1055="","",ABS(H1055))</f>
        <v>35</v>
      </c>
      <c r="M1055" s="33" t="n">
        <f aca="false">IF(I1055="","",ABS(I1055))</f>
        <v>33.5</v>
      </c>
      <c r="N1055" s="33" t="n">
        <f aca="false">IF(J1055="","",ABS(J1055))</f>
        <v>25.375</v>
      </c>
      <c r="O1055" s="33" t="n">
        <f aca="false">IF(K1055="","",ABS(K1055))</f>
        <v>27.682930833264</v>
      </c>
      <c r="P1055" s="34" t="str">
        <f aca="false">IF(B1055&gt;=Eval_Start_Week,"YES","")</f>
        <v/>
      </c>
      <c r="Q1055" s="34" t="str">
        <f aca="false">IF(AND(B1055&gt;=Cal_Start_Week,B1055&lt;=Cal_End_Week),"YES","")</f>
        <v/>
      </c>
    </row>
    <row r="1056" customFormat="false" ht="15" hidden="false" customHeight="false" outlineLevel="0" collapsed="false">
      <c r="A1056" s="31" t="str">
        <f aca="false">Demand_History!C1056</f>
        <v>BTH-001</v>
      </c>
      <c r="B1056" s="31" t="n">
        <f aca="false">Demand_History!A1056</f>
        <v>15</v>
      </c>
      <c r="C1056" s="32" t="n">
        <f aca="false">Demand_History!D1056</f>
        <v>117</v>
      </c>
      <c r="D1056" s="33" t="n">
        <f aca="false">IF(B1056&gt;=2,C1055,"")</f>
        <v>105</v>
      </c>
      <c r="E1056" s="33" t="n">
        <f aca="false">IF(B1056&gt;=5,AVERAGE(C1052:C1055),"")</f>
        <v>129.5</v>
      </c>
      <c r="F1056" s="33" t="n">
        <f aca="false">IF(B1056&gt;=9,AVERAGE(C1048:C1055),"")</f>
        <v>125.875</v>
      </c>
      <c r="G1056" s="33" t="n">
        <f aca="false">IF(B1056=1,"",IF(B1056=2,C1055,SES_Alpha*C1055+(1-SES_Alpha)*G1055))</f>
        <v>124.378051583285</v>
      </c>
      <c r="H1056" s="33" t="n">
        <f aca="false">IF(D1056="","",D1056-C1056)</f>
        <v>-12</v>
      </c>
      <c r="I1056" s="33" t="n">
        <f aca="false">IF(E1056="","",E1056-C1056)</f>
        <v>12.5</v>
      </c>
      <c r="J1056" s="33" t="n">
        <f aca="false">IF(F1056="","",F1056-C1056)</f>
        <v>8.875</v>
      </c>
      <c r="K1056" s="33" t="n">
        <f aca="false">IF(G1056="","",G1056-C1056)</f>
        <v>7.37805158328479</v>
      </c>
      <c r="L1056" s="33" t="n">
        <f aca="false">IF(H1056="","",ABS(H1056))</f>
        <v>12</v>
      </c>
      <c r="M1056" s="33" t="n">
        <f aca="false">IF(I1056="","",ABS(I1056))</f>
        <v>12.5</v>
      </c>
      <c r="N1056" s="33" t="n">
        <f aca="false">IF(J1056="","",ABS(J1056))</f>
        <v>8.875</v>
      </c>
      <c r="O1056" s="33" t="n">
        <f aca="false">IF(K1056="","",ABS(K1056))</f>
        <v>7.37805158328479</v>
      </c>
      <c r="P1056" s="34" t="str">
        <f aca="false">IF(B1056&gt;=Eval_Start_Week,"YES","")</f>
        <v/>
      </c>
      <c r="Q1056" s="34" t="str">
        <f aca="false">IF(AND(B1056&gt;=Cal_Start_Week,B1056&lt;=Cal_End_Week),"YES","")</f>
        <v/>
      </c>
    </row>
    <row r="1057" customFormat="false" ht="15" hidden="false" customHeight="false" outlineLevel="0" collapsed="false">
      <c r="A1057" s="31" t="str">
        <f aca="false">Demand_History!C1057</f>
        <v>BTH-001</v>
      </c>
      <c r="B1057" s="31" t="n">
        <f aca="false">Demand_History!A1057</f>
        <v>16</v>
      </c>
      <c r="C1057" s="32" t="n">
        <f aca="false">Demand_History!D1057</f>
        <v>96</v>
      </c>
      <c r="D1057" s="33" t="n">
        <f aca="false">IF(B1057&gt;=2,C1056,"")</f>
        <v>117</v>
      </c>
      <c r="E1057" s="33" t="n">
        <f aca="false">IF(B1057&gt;=5,AVERAGE(C1053:C1056),"")</f>
        <v>124</v>
      </c>
      <c r="F1057" s="33" t="n">
        <f aca="false">IF(B1057&gt;=9,AVERAGE(C1049:C1056),"")</f>
        <v>121.75</v>
      </c>
      <c r="G1057" s="33" t="n">
        <f aca="false">IF(B1057=1,"",IF(B1057=2,C1056,SES_Alpha*C1056+(1-SES_Alpha)*G1056))</f>
        <v>122.164636108299</v>
      </c>
      <c r="H1057" s="33" t="n">
        <f aca="false">IF(D1057="","",D1057-C1057)</f>
        <v>21</v>
      </c>
      <c r="I1057" s="33" t="n">
        <f aca="false">IF(E1057="","",E1057-C1057)</f>
        <v>28</v>
      </c>
      <c r="J1057" s="33" t="n">
        <f aca="false">IF(F1057="","",F1057-C1057)</f>
        <v>25.75</v>
      </c>
      <c r="K1057" s="33" t="n">
        <f aca="false">IF(G1057="","",G1057-C1057)</f>
        <v>26.1646361082993</v>
      </c>
      <c r="L1057" s="33" t="n">
        <f aca="false">IF(H1057="","",ABS(H1057))</f>
        <v>21</v>
      </c>
      <c r="M1057" s="33" t="n">
        <f aca="false">IF(I1057="","",ABS(I1057))</f>
        <v>28</v>
      </c>
      <c r="N1057" s="33" t="n">
        <f aca="false">IF(J1057="","",ABS(J1057))</f>
        <v>25.75</v>
      </c>
      <c r="O1057" s="33" t="n">
        <f aca="false">IF(K1057="","",ABS(K1057))</f>
        <v>26.1646361082993</v>
      </c>
      <c r="P1057" s="34" t="str">
        <f aca="false">IF(B1057&gt;=Eval_Start_Week,"YES","")</f>
        <v/>
      </c>
      <c r="Q1057" s="34" t="str">
        <f aca="false">IF(AND(B1057&gt;=Cal_Start_Week,B1057&lt;=Cal_End_Week),"YES","")</f>
        <v/>
      </c>
    </row>
    <row r="1058" customFormat="false" ht="15" hidden="false" customHeight="false" outlineLevel="0" collapsed="false">
      <c r="A1058" s="31" t="str">
        <f aca="false">Demand_History!C1058</f>
        <v>BTH-001</v>
      </c>
      <c r="B1058" s="31" t="n">
        <f aca="false">Demand_History!A1058</f>
        <v>17</v>
      </c>
      <c r="C1058" s="32" t="n">
        <f aca="false">Demand_History!D1058</f>
        <v>95</v>
      </c>
      <c r="D1058" s="33" t="n">
        <f aca="false">IF(B1058&gt;=2,C1057,"")</f>
        <v>96</v>
      </c>
      <c r="E1058" s="33" t="n">
        <f aca="false">IF(B1058&gt;=5,AVERAGE(C1054:C1057),"")</f>
        <v>114.5</v>
      </c>
      <c r="F1058" s="33" t="n">
        <f aca="false">IF(B1058&gt;=9,AVERAGE(C1050:C1057),"")</f>
        <v>120.25</v>
      </c>
      <c r="G1058" s="33" t="n">
        <f aca="false">IF(B1058=1,"",IF(B1058=2,C1057,SES_Alpha*C1057+(1-SES_Alpha)*G1057))</f>
        <v>114.31524527581</v>
      </c>
      <c r="H1058" s="33" t="n">
        <f aca="false">IF(D1058="","",D1058-C1058)</f>
        <v>1</v>
      </c>
      <c r="I1058" s="33" t="n">
        <f aca="false">IF(E1058="","",E1058-C1058)</f>
        <v>19.5</v>
      </c>
      <c r="J1058" s="33" t="n">
        <f aca="false">IF(F1058="","",F1058-C1058)</f>
        <v>25.25</v>
      </c>
      <c r="K1058" s="33" t="n">
        <f aca="false">IF(G1058="","",G1058-C1058)</f>
        <v>19.3152452758095</v>
      </c>
      <c r="L1058" s="33" t="n">
        <f aca="false">IF(H1058="","",ABS(H1058))</f>
        <v>1</v>
      </c>
      <c r="M1058" s="33" t="n">
        <f aca="false">IF(I1058="","",ABS(I1058))</f>
        <v>19.5</v>
      </c>
      <c r="N1058" s="33" t="n">
        <f aca="false">IF(J1058="","",ABS(J1058))</f>
        <v>25.25</v>
      </c>
      <c r="O1058" s="33" t="n">
        <f aca="false">IF(K1058="","",ABS(K1058))</f>
        <v>19.3152452758095</v>
      </c>
      <c r="P1058" s="34" t="str">
        <f aca="false">IF(B1058&gt;=Eval_Start_Week,"YES","")</f>
        <v/>
      </c>
      <c r="Q1058" s="34" t="str">
        <f aca="false">IF(AND(B1058&gt;=Cal_Start_Week,B1058&lt;=Cal_End_Week),"YES","")</f>
        <v/>
      </c>
    </row>
    <row r="1059" customFormat="false" ht="15" hidden="false" customHeight="false" outlineLevel="0" collapsed="false">
      <c r="A1059" s="31" t="str">
        <f aca="false">Demand_History!C1059</f>
        <v>BTH-001</v>
      </c>
      <c r="B1059" s="31" t="n">
        <f aca="false">Demand_History!A1059</f>
        <v>18</v>
      </c>
      <c r="C1059" s="32" t="n">
        <f aca="false">Demand_History!D1059</f>
        <v>137</v>
      </c>
      <c r="D1059" s="33" t="n">
        <f aca="false">IF(B1059&gt;=2,C1058,"")</f>
        <v>95</v>
      </c>
      <c r="E1059" s="33" t="n">
        <f aca="false">IF(B1059&gt;=5,AVERAGE(C1055:C1058),"")</f>
        <v>103.25</v>
      </c>
      <c r="F1059" s="33" t="n">
        <f aca="false">IF(B1059&gt;=9,AVERAGE(C1051:C1058),"")</f>
        <v>120.875</v>
      </c>
      <c r="G1059" s="33" t="n">
        <f aca="false">IF(B1059=1,"",IF(B1059=2,C1058,SES_Alpha*C1058+(1-SES_Alpha)*G1058))</f>
        <v>108.520671693067</v>
      </c>
      <c r="H1059" s="33" t="n">
        <f aca="false">IF(D1059="","",D1059-C1059)</f>
        <v>-42</v>
      </c>
      <c r="I1059" s="33" t="n">
        <f aca="false">IF(E1059="","",E1059-C1059)</f>
        <v>-33.75</v>
      </c>
      <c r="J1059" s="33" t="n">
        <f aca="false">IF(F1059="","",F1059-C1059)</f>
        <v>-16.125</v>
      </c>
      <c r="K1059" s="33" t="n">
        <f aca="false">IF(G1059="","",G1059-C1059)</f>
        <v>-28.4793283069333</v>
      </c>
      <c r="L1059" s="33" t="n">
        <f aca="false">IF(H1059="","",ABS(H1059))</f>
        <v>42</v>
      </c>
      <c r="M1059" s="33" t="n">
        <f aca="false">IF(I1059="","",ABS(I1059))</f>
        <v>33.75</v>
      </c>
      <c r="N1059" s="33" t="n">
        <f aca="false">IF(J1059="","",ABS(J1059))</f>
        <v>16.125</v>
      </c>
      <c r="O1059" s="33" t="n">
        <f aca="false">IF(K1059="","",ABS(K1059))</f>
        <v>28.4793283069333</v>
      </c>
      <c r="P1059" s="34" t="str">
        <f aca="false">IF(B1059&gt;=Eval_Start_Week,"YES","")</f>
        <v/>
      </c>
      <c r="Q1059" s="34" t="str">
        <f aca="false">IF(AND(B1059&gt;=Cal_Start_Week,B1059&lt;=Cal_End_Week),"YES","")</f>
        <v/>
      </c>
    </row>
    <row r="1060" customFormat="false" ht="15" hidden="false" customHeight="false" outlineLevel="0" collapsed="false">
      <c r="A1060" s="31" t="str">
        <f aca="false">Demand_History!C1060</f>
        <v>BTH-001</v>
      </c>
      <c r="B1060" s="31" t="n">
        <f aca="false">Demand_History!A1060</f>
        <v>19</v>
      </c>
      <c r="C1060" s="32" t="n">
        <f aca="false">Demand_History!D1060</f>
        <v>108</v>
      </c>
      <c r="D1060" s="33" t="n">
        <f aca="false">IF(B1060&gt;=2,C1059,"")</f>
        <v>137</v>
      </c>
      <c r="E1060" s="33" t="n">
        <f aca="false">IF(B1060&gt;=5,AVERAGE(C1056:C1059),"")</f>
        <v>111.25</v>
      </c>
      <c r="F1060" s="33" t="n">
        <f aca="false">IF(B1060&gt;=9,AVERAGE(C1052:C1059),"")</f>
        <v>120.375</v>
      </c>
      <c r="G1060" s="33" t="n">
        <f aca="false">IF(B1060=1,"",IF(B1060=2,C1059,SES_Alpha*C1059+(1-SES_Alpha)*G1059))</f>
        <v>117.064470185147</v>
      </c>
      <c r="H1060" s="33" t="n">
        <f aca="false">IF(D1060="","",D1060-C1060)</f>
        <v>29</v>
      </c>
      <c r="I1060" s="33" t="n">
        <f aca="false">IF(E1060="","",E1060-C1060)</f>
        <v>3.25</v>
      </c>
      <c r="J1060" s="33" t="n">
        <f aca="false">IF(F1060="","",F1060-C1060)</f>
        <v>12.375</v>
      </c>
      <c r="K1060" s="33" t="n">
        <f aca="false">IF(G1060="","",G1060-C1060)</f>
        <v>9.06447018514666</v>
      </c>
      <c r="L1060" s="33" t="n">
        <f aca="false">IF(H1060="","",ABS(H1060))</f>
        <v>29</v>
      </c>
      <c r="M1060" s="33" t="n">
        <f aca="false">IF(I1060="","",ABS(I1060))</f>
        <v>3.25</v>
      </c>
      <c r="N1060" s="33" t="n">
        <f aca="false">IF(J1060="","",ABS(J1060))</f>
        <v>12.375</v>
      </c>
      <c r="O1060" s="33" t="n">
        <f aca="false">IF(K1060="","",ABS(K1060))</f>
        <v>9.06447018514666</v>
      </c>
      <c r="P1060" s="34" t="str">
        <f aca="false">IF(B1060&gt;=Eval_Start_Week,"YES","")</f>
        <v/>
      </c>
      <c r="Q1060" s="34" t="str">
        <f aca="false">IF(AND(B1060&gt;=Cal_Start_Week,B1060&lt;=Cal_End_Week),"YES","")</f>
        <v/>
      </c>
    </row>
    <row r="1061" customFormat="false" ht="15" hidden="false" customHeight="false" outlineLevel="0" collapsed="false">
      <c r="A1061" s="31" t="str">
        <f aca="false">Demand_History!C1061</f>
        <v>BTH-001</v>
      </c>
      <c r="B1061" s="31" t="n">
        <f aca="false">Demand_History!A1061</f>
        <v>20</v>
      </c>
      <c r="C1061" s="32" t="n">
        <f aca="false">Demand_History!D1061</f>
        <v>160</v>
      </c>
      <c r="D1061" s="33" t="n">
        <f aca="false">IF(B1061&gt;=2,C1060,"")</f>
        <v>108</v>
      </c>
      <c r="E1061" s="33" t="n">
        <f aca="false">IF(B1061&gt;=5,AVERAGE(C1057:C1060),"")</f>
        <v>109</v>
      </c>
      <c r="F1061" s="33" t="n">
        <f aca="false">IF(B1061&gt;=9,AVERAGE(C1053:C1060),"")</f>
        <v>116.5</v>
      </c>
      <c r="G1061" s="33" t="n">
        <f aca="false">IF(B1061=1,"",IF(B1061=2,C1060,SES_Alpha*C1060+(1-SES_Alpha)*G1060))</f>
        <v>114.345129129603</v>
      </c>
      <c r="H1061" s="33" t="n">
        <f aca="false">IF(D1061="","",D1061-C1061)</f>
        <v>-52</v>
      </c>
      <c r="I1061" s="33" t="n">
        <f aca="false">IF(E1061="","",E1061-C1061)</f>
        <v>-51</v>
      </c>
      <c r="J1061" s="33" t="n">
        <f aca="false">IF(F1061="","",F1061-C1061)</f>
        <v>-43.5</v>
      </c>
      <c r="K1061" s="33" t="n">
        <f aca="false">IF(G1061="","",G1061-C1061)</f>
        <v>-45.6548708703973</v>
      </c>
      <c r="L1061" s="33" t="n">
        <f aca="false">IF(H1061="","",ABS(H1061))</f>
        <v>52</v>
      </c>
      <c r="M1061" s="33" t="n">
        <f aca="false">IF(I1061="","",ABS(I1061))</f>
        <v>51</v>
      </c>
      <c r="N1061" s="33" t="n">
        <f aca="false">IF(J1061="","",ABS(J1061))</f>
        <v>43.5</v>
      </c>
      <c r="O1061" s="33" t="n">
        <f aca="false">IF(K1061="","",ABS(K1061))</f>
        <v>45.6548708703973</v>
      </c>
      <c r="P1061" s="34" t="str">
        <f aca="false">IF(B1061&gt;=Eval_Start_Week,"YES","")</f>
        <v/>
      </c>
      <c r="Q1061" s="34" t="str">
        <f aca="false">IF(AND(B1061&gt;=Cal_Start_Week,B1061&lt;=Cal_End_Week),"YES","")</f>
        <v/>
      </c>
    </row>
    <row r="1062" customFormat="false" ht="15" hidden="false" customHeight="false" outlineLevel="0" collapsed="false">
      <c r="A1062" s="31" t="str">
        <f aca="false">Demand_History!C1062</f>
        <v>BTH-001</v>
      </c>
      <c r="B1062" s="31" t="n">
        <f aca="false">Demand_History!A1062</f>
        <v>21</v>
      </c>
      <c r="C1062" s="32" t="n">
        <f aca="false">Demand_History!D1062</f>
        <v>121</v>
      </c>
      <c r="D1062" s="33" t="n">
        <f aca="false">IF(B1062&gt;=2,C1061,"")</f>
        <v>160</v>
      </c>
      <c r="E1062" s="33" t="n">
        <f aca="false">IF(B1062&gt;=5,AVERAGE(C1058:C1061),"")</f>
        <v>125</v>
      </c>
      <c r="F1062" s="33" t="n">
        <f aca="false">IF(B1062&gt;=9,AVERAGE(C1054:C1061),"")</f>
        <v>119.75</v>
      </c>
      <c r="G1062" s="33" t="n">
        <f aca="false">IF(B1062=1,"",IF(B1062=2,C1061,SES_Alpha*C1061+(1-SES_Alpha)*G1061))</f>
        <v>128.041590390722</v>
      </c>
      <c r="H1062" s="33" t="n">
        <f aca="false">IF(D1062="","",D1062-C1062)</f>
        <v>39</v>
      </c>
      <c r="I1062" s="33" t="n">
        <f aca="false">IF(E1062="","",E1062-C1062)</f>
        <v>4</v>
      </c>
      <c r="J1062" s="33" t="n">
        <f aca="false">IF(F1062="","",F1062-C1062)</f>
        <v>-1.25</v>
      </c>
      <c r="K1062" s="33" t="n">
        <f aca="false">IF(G1062="","",G1062-C1062)</f>
        <v>7.04159039072187</v>
      </c>
      <c r="L1062" s="33" t="n">
        <f aca="false">IF(H1062="","",ABS(H1062))</f>
        <v>39</v>
      </c>
      <c r="M1062" s="33" t="n">
        <f aca="false">IF(I1062="","",ABS(I1062))</f>
        <v>4</v>
      </c>
      <c r="N1062" s="33" t="n">
        <f aca="false">IF(J1062="","",ABS(J1062))</f>
        <v>1.25</v>
      </c>
      <c r="O1062" s="33" t="n">
        <f aca="false">IF(K1062="","",ABS(K1062))</f>
        <v>7.04159039072187</v>
      </c>
      <c r="P1062" s="34" t="str">
        <f aca="false">IF(B1062&gt;=Eval_Start_Week,"YES","")</f>
        <v/>
      </c>
      <c r="Q1062" s="34" t="str">
        <f aca="false">IF(AND(B1062&gt;=Cal_Start_Week,B1062&lt;=Cal_End_Week),"YES","")</f>
        <v/>
      </c>
    </row>
    <row r="1063" customFormat="false" ht="15" hidden="false" customHeight="false" outlineLevel="0" collapsed="false">
      <c r="A1063" s="31" t="str">
        <f aca="false">Demand_History!C1063</f>
        <v>BTH-001</v>
      </c>
      <c r="B1063" s="31" t="n">
        <f aca="false">Demand_History!A1063</f>
        <v>22</v>
      </c>
      <c r="C1063" s="32" t="n">
        <f aca="false">Demand_History!D1063</f>
        <v>109</v>
      </c>
      <c r="D1063" s="33" t="n">
        <f aca="false">IF(B1063&gt;=2,C1062,"")</f>
        <v>121</v>
      </c>
      <c r="E1063" s="33" t="n">
        <f aca="false">IF(B1063&gt;=5,AVERAGE(C1059:C1062),"")</f>
        <v>131.5</v>
      </c>
      <c r="F1063" s="33" t="n">
        <f aca="false">IF(B1063&gt;=9,AVERAGE(C1055:C1062),"")</f>
        <v>117.375</v>
      </c>
      <c r="G1063" s="33" t="n">
        <f aca="false">IF(B1063=1,"",IF(B1063=2,C1062,SES_Alpha*C1062+(1-SES_Alpha)*G1062))</f>
        <v>125.929113273505</v>
      </c>
      <c r="H1063" s="33" t="n">
        <f aca="false">IF(D1063="","",D1063-C1063)</f>
        <v>12</v>
      </c>
      <c r="I1063" s="33" t="n">
        <f aca="false">IF(E1063="","",E1063-C1063)</f>
        <v>22.5</v>
      </c>
      <c r="J1063" s="33" t="n">
        <f aca="false">IF(F1063="","",F1063-C1063)</f>
        <v>8.375</v>
      </c>
      <c r="K1063" s="33" t="n">
        <f aca="false">IF(G1063="","",G1063-C1063)</f>
        <v>16.9291132735053</v>
      </c>
      <c r="L1063" s="33" t="n">
        <f aca="false">IF(H1063="","",ABS(H1063))</f>
        <v>12</v>
      </c>
      <c r="M1063" s="33" t="n">
        <f aca="false">IF(I1063="","",ABS(I1063))</f>
        <v>22.5</v>
      </c>
      <c r="N1063" s="33" t="n">
        <f aca="false">IF(J1063="","",ABS(J1063))</f>
        <v>8.375</v>
      </c>
      <c r="O1063" s="33" t="n">
        <f aca="false">IF(K1063="","",ABS(K1063))</f>
        <v>16.9291132735053</v>
      </c>
      <c r="P1063" s="34" t="str">
        <f aca="false">IF(B1063&gt;=Eval_Start_Week,"YES","")</f>
        <v/>
      </c>
      <c r="Q1063" s="34" t="str">
        <f aca="false">IF(AND(B1063&gt;=Cal_Start_Week,B1063&lt;=Cal_End_Week),"YES","")</f>
        <v/>
      </c>
    </row>
    <row r="1064" customFormat="false" ht="15" hidden="false" customHeight="false" outlineLevel="0" collapsed="false">
      <c r="A1064" s="31" t="str">
        <f aca="false">Demand_History!C1064</f>
        <v>BTH-001</v>
      </c>
      <c r="B1064" s="31" t="n">
        <f aca="false">Demand_History!A1064</f>
        <v>23</v>
      </c>
      <c r="C1064" s="32" t="n">
        <f aca="false">Demand_History!D1064</f>
        <v>134</v>
      </c>
      <c r="D1064" s="33" t="n">
        <f aca="false">IF(B1064&gt;=2,C1063,"")</f>
        <v>109</v>
      </c>
      <c r="E1064" s="33" t="n">
        <f aca="false">IF(B1064&gt;=5,AVERAGE(C1060:C1063),"")</f>
        <v>124.5</v>
      </c>
      <c r="F1064" s="33" t="n">
        <f aca="false">IF(B1064&gt;=9,AVERAGE(C1056:C1063),"")</f>
        <v>117.875</v>
      </c>
      <c r="G1064" s="33" t="n">
        <f aca="false">IF(B1064=1,"",IF(B1064=2,C1063,SES_Alpha*C1063+(1-SES_Alpha)*G1063))</f>
        <v>120.850379291454</v>
      </c>
      <c r="H1064" s="33" t="n">
        <f aca="false">IF(D1064="","",D1064-C1064)</f>
        <v>-25</v>
      </c>
      <c r="I1064" s="33" t="n">
        <f aca="false">IF(E1064="","",E1064-C1064)</f>
        <v>-9.5</v>
      </c>
      <c r="J1064" s="33" t="n">
        <f aca="false">IF(F1064="","",F1064-C1064)</f>
        <v>-16.125</v>
      </c>
      <c r="K1064" s="33" t="n">
        <f aca="false">IF(G1064="","",G1064-C1064)</f>
        <v>-13.1496207085463</v>
      </c>
      <c r="L1064" s="33" t="n">
        <f aca="false">IF(H1064="","",ABS(H1064))</f>
        <v>25</v>
      </c>
      <c r="M1064" s="33" t="n">
        <f aca="false">IF(I1064="","",ABS(I1064))</f>
        <v>9.5</v>
      </c>
      <c r="N1064" s="33" t="n">
        <f aca="false">IF(J1064="","",ABS(J1064))</f>
        <v>16.125</v>
      </c>
      <c r="O1064" s="33" t="n">
        <f aca="false">IF(K1064="","",ABS(K1064))</f>
        <v>13.1496207085463</v>
      </c>
      <c r="P1064" s="34" t="str">
        <f aca="false">IF(B1064&gt;=Eval_Start_Week,"YES","")</f>
        <v/>
      </c>
      <c r="Q1064" s="34" t="str">
        <f aca="false">IF(AND(B1064&gt;=Cal_Start_Week,B1064&lt;=Cal_End_Week),"YES","")</f>
        <v/>
      </c>
    </row>
    <row r="1065" customFormat="false" ht="15" hidden="false" customHeight="false" outlineLevel="0" collapsed="false">
      <c r="A1065" s="31" t="str">
        <f aca="false">Demand_History!C1065</f>
        <v>BTH-001</v>
      </c>
      <c r="B1065" s="31" t="n">
        <f aca="false">Demand_History!A1065</f>
        <v>24</v>
      </c>
      <c r="C1065" s="32" t="n">
        <f aca="false">Demand_History!D1065</f>
        <v>152</v>
      </c>
      <c r="D1065" s="33" t="n">
        <f aca="false">IF(B1065&gt;=2,C1064,"")</f>
        <v>134</v>
      </c>
      <c r="E1065" s="33" t="n">
        <f aca="false">IF(B1065&gt;=5,AVERAGE(C1061:C1064),"")</f>
        <v>131</v>
      </c>
      <c r="F1065" s="33" t="n">
        <f aca="false">IF(B1065&gt;=9,AVERAGE(C1057:C1064),"")</f>
        <v>120</v>
      </c>
      <c r="G1065" s="33" t="n">
        <f aca="false">IF(B1065=1,"",IF(B1065=2,C1064,SES_Alpha*C1064+(1-SES_Alpha)*G1064))</f>
        <v>124.795265504018</v>
      </c>
      <c r="H1065" s="33" t="n">
        <f aca="false">IF(D1065="","",D1065-C1065)</f>
        <v>-18</v>
      </c>
      <c r="I1065" s="33" t="n">
        <f aca="false">IF(E1065="","",E1065-C1065)</f>
        <v>-21</v>
      </c>
      <c r="J1065" s="33" t="n">
        <f aca="false">IF(F1065="","",F1065-C1065)</f>
        <v>-32</v>
      </c>
      <c r="K1065" s="33" t="n">
        <f aca="false">IF(G1065="","",G1065-C1065)</f>
        <v>-27.2047344959824</v>
      </c>
      <c r="L1065" s="33" t="n">
        <f aca="false">IF(H1065="","",ABS(H1065))</f>
        <v>18</v>
      </c>
      <c r="M1065" s="33" t="n">
        <f aca="false">IF(I1065="","",ABS(I1065))</f>
        <v>21</v>
      </c>
      <c r="N1065" s="33" t="n">
        <f aca="false">IF(J1065="","",ABS(J1065))</f>
        <v>32</v>
      </c>
      <c r="O1065" s="33" t="n">
        <f aca="false">IF(K1065="","",ABS(K1065))</f>
        <v>27.2047344959824</v>
      </c>
      <c r="P1065" s="34" t="str">
        <f aca="false">IF(B1065&gt;=Eval_Start_Week,"YES","")</f>
        <v/>
      </c>
      <c r="Q1065" s="34" t="str">
        <f aca="false">IF(AND(B1065&gt;=Cal_Start_Week,B1065&lt;=Cal_End_Week),"YES","")</f>
        <v/>
      </c>
    </row>
    <row r="1066" customFormat="false" ht="15" hidden="false" customHeight="false" outlineLevel="0" collapsed="false">
      <c r="A1066" s="31" t="str">
        <f aca="false">Demand_History!C1066</f>
        <v>BTH-001</v>
      </c>
      <c r="B1066" s="31" t="n">
        <f aca="false">Demand_History!A1066</f>
        <v>25</v>
      </c>
      <c r="C1066" s="32" t="n">
        <f aca="false">Demand_History!D1066</f>
        <v>129</v>
      </c>
      <c r="D1066" s="33" t="n">
        <f aca="false">IF(B1066&gt;=2,C1065,"")</f>
        <v>152</v>
      </c>
      <c r="E1066" s="33" t="n">
        <f aca="false">IF(B1066&gt;=5,AVERAGE(C1062:C1065),"")</f>
        <v>129</v>
      </c>
      <c r="F1066" s="33" t="n">
        <f aca="false">IF(B1066&gt;=9,AVERAGE(C1058:C1065),"")</f>
        <v>127</v>
      </c>
      <c r="G1066" s="33" t="n">
        <f aca="false">IF(B1066=1,"",IF(B1066=2,C1065,SES_Alpha*C1065+(1-SES_Alpha)*G1065))</f>
        <v>132.956685852812</v>
      </c>
      <c r="H1066" s="33" t="n">
        <f aca="false">IF(D1066="","",D1066-C1066)</f>
        <v>23</v>
      </c>
      <c r="I1066" s="33" t="n">
        <f aca="false">IF(E1066="","",E1066-C1066)</f>
        <v>0</v>
      </c>
      <c r="J1066" s="33" t="n">
        <f aca="false">IF(F1066="","",F1066-C1066)</f>
        <v>-2</v>
      </c>
      <c r="K1066" s="33" t="n">
        <f aca="false">IF(G1066="","",G1066-C1066)</f>
        <v>3.95668585281231</v>
      </c>
      <c r="L1066" s="33" t="n">
        <f aca="false">IF(H1066="","",ABS(H1066))</f>
        <v>23</v>
      </c>
      <c r="M1066" s="33" t="n">
        <f aca="false">IF(I1066="","",ABS(I1066))</f>
        <v>0</v>
      </c>
      <c r="N1066" s="33" t="n">
        <f aca="false">IF(J1066="","",ABS(J1066))</f>
        <v>2</v>
      </c>
      <c r="O1066" s="33" t="n">
        <f aca="false">IF(K1066="","",ABS(K1066))</f>
        <v>3.95668585281231</v>
      </c>
      <c r="P1066" s="34" t="str">
        <f aca="false">IF(B1066&gt;=Eval_Start_Week,"YES","")</f>
        <v/>
      </c>
      <c r="Q1066" s="34" t="str">
        <f aca="false">IF(AND(B1066&gt;=Cal_Start_Week,B1066&lt;=Cal_End_Week),"YES","")</f>
        <v/>
      </c>
    </row>
    <row r="1067" customFormat="false" ht="15" hidden="false" customHeight="false" outlineLevel="0" collapsed="false">
      <c r="A1067" s="31" t="str">
        <f aca="false">Demand_History!C1067</f>
        <v>BTH-001</v>
      </c>
      <c r="B1067" s="31" t="n">
        <f aca="false">Demand_History!A1067</f>
        <v>26</v>
      </c>
      <c r="C1067" s="32" t="n">
        <f aca="false">Demand_History!D1067</f>
        <v>99</v>
      </c>
      <c r="D1067" s="33" t="n">
        <f aca="false">IF(B1067&gt;=2,C1066,"")</f>
        <v>129</v>
      </c>
      <c r="E1067" s="33" t="n">
        <f aca="false">IF(B1067&gt;=5,AVERAGE(C1063:C1066),"")</f>
        <v>131</v>
      </c>
      <c r="F1067" s="33" t="n">
        <f aca="false">IF(B1067&gt;=9,AVERAGE(C1059:C1066),"")</f>
        <v>131.25</v>
      </c>
      <c r="G1067" s="33" t="n">
        <f aca="false">IF(B1067=1,"",IF(B1067=2,C1066,SES_Alpha*C1066+(1-SES_Alpha)*G1066))</f>
        <v>131.769680096969</v>
      </c>
      <c r="H1067" s="33" t="n">
        <f aca="false">IF(D1067="","",D1067-C1067)</f>
        <v>30</v>
      </c>
      <c r="I1067" s="33" t="n">
        <f aca="false">IF(E1067="","",E1067-C1067)</f>
        <v>32</v>
      </c>
      <c r="J1067" s="33" t="n">
        <f aca="false">IF(F1067="","",F1067-C1067)</f>
        <v>32.25</v>
      </c>
      <c r="K1067" s="33" t="n">
        <f aca="false">IF(G1067="","",G1067-C1067)</f>
        <v>32.7696800969686</v>
      </c>
      <c r="L1067" s="33" t="n">
        <f aca="false">IF(H1067="","",ABS(H1067))</f>
        <v>30</v>
      </c>
      <c r="M1067" s="33" t="n">
        <f aca="false">IF(I1067="","",ABS(I1067))</f>
        <v>32</v>
      </c>
      <c r="N1067" s="33" t="n">
        <f aca="false">IF(J1067="","",ABS(J1067))</f>
        <v>32.25</v>
      </c>
      <c r="O1067" s="33" t="n">
        <f aca="false">IF(K1067="","",ABS(K1067))</f>
        <v>32.7696800969686</v>
      </c>
      <c r="P1067" s="34" t="str">
        <f aca="false">IF(B1067&gt;=Eval_Start_Week,"YES","")</f>
        <v/>
      </c>
      <c r="Q1067" s="34" t="str">
        <f aca="false">IF(AND(B1067&gt;=Cal_Start_Week,B1067&lt;=Cal_End_Week),"YES","")</f>
        <v/>
      </c>
    </row>
    <row r="1068" customFormat="false" ht="15" hidden="false" customHeight="false" outlineLevel="0" collapsed="false">
      <c r="A1068" s="31" t="str">
        <f aca="false">Demand_History!C1068</f>
        <v>BTH-001</v>
      </c>
      <c r="B1068" s="31" t="n">
        <f aca="false">Demand_History!A1068</f>
        <v>27</v>
      </c>
      <c r="C1068" s="32" t="n">
        <f aca="false">Demand_History!D1068</f>
        <v>127</v>
      </c>
      <c r="D1068" s="33" t="n">
        <f aca="false">IF(B1068&gt;=2,C1067,"")</f>
        <v>99</v>
      </c>
      <c r="E1068" s="33" t="n">
        <f aca="false">IF(B1068&gt;=5,AVERAGE(C1064:C1067),"")</f>
        <v>128.5</v>
      </c>
      <c r="F1068" s="33" t="n">
        <f aca="false">IF(B1068&gt;=9,AVERAGE(C1060:C1067),"")</f>
        <v>126.5</v>
      </c>
      <c r="G1068" s="33" t="n">
        <f aca="false">IF(B1068=1,"",IF(B1068=2,C1067,SES_Alpha*C1067+(1-SES_Alpha)*G1067))</f>
        <v>121.938776067878</v>
      </c>
      <c r="H1068" s="33" t="n">
        <f aca="false">IF(D1068="","",D1068-C1068)</f>
        <v>-28</v>
      </c>
      <c r="I1068" s="33" t="n">
        <f aca="false">IF(E1068="","",E1068-C1068)</f>
        <v>1.5</v>
      </c>
      <c r="J1068" s="33" t="n">
        <f aca="false">IF(F1068="","",F1068-C1068)</f>
        <v>-0.5</v>
      </c>
      <c r="K1068" s="33" t="n">
        <f aca="false">IF(G1068="","",G1068-C1068)</f>
        <v>-5.06122393212198</v>
      </c>
      <c r="L1068" s="33" t="n">
        <f aca="false">IF(H1068="","",ABS(H1068))</f>
        <v>28</v>
      </c>
      <c r="M1068" s="33" t="n">
        <f aca="false">IF(I1068="","",ABS(I1068))</f>
        <v>1.5</v>
      </c>
      <c r="N1068" s="33" t="n">
        <f aca="false">IF(J1068="","",ABS(J1068))</f>
        <v>0.5</v>
      </c>
      <c r="O1068" s="33" t="n">
        <f aca="false">IF(K1068="","",ABS(K1068))</f>
        <v>5.06122393212198</v>
      </c>
      <c r="P1068" s="34" t="str">
        <f aca="false">IF(B1068&gt;=Eval_Start_Week,"YES","")</f>
        <v/>
      </c>
      <c r="Q1068" s="34" t="str">
        <f aca="false">IF(AND(B1068&gt;=Cal_Start_Week,B1068&lt;=Cal_End_Week),"YES","")</f>
        <v/>
      </c>
    </row>
    <row r="1069" customFormat="false" ht="15" hidden="false" customHeight="false" outlineLevel="0" collapsed="false">
      <c r="A1069" s="31" t="str">
        <f aca="false">Demand_History!C1069</f>
        <v>BTH-001</v>
      </c>
      <c r="B1069" s="31" t="n">
        <f aca="false">Demand_History!A1069</f>
        <v>28</v>
      </c>
      <c r="C1069" s="32" t="n">
        <f aca="false">Demand_History!D1069</f>
        <v>144</v>
      </c>
      <c r="D1069" s="33" t="n">
        <f aca="false">IF(B1069&gt;=2,C1068,"")</f>
        <v>127</v>
      </c>
      <c r="E1069" s="33" t="n">
        <f aca="false">IF(B1069&gt;=5,AVERAGE(C1065:C1068),"")</f>
        <v>126.75</v>
      </c>
      <c r="F1069" s="33" t="n">
        <f aca="false">IF(B1069&gt;=9,AVERAGE(C1061:C1068),"")</f>
        <v>128.875</v>
      </c>
      <c r="G1069" s="33" t="n">
        <f aca="false">IF(B1069=1,"",IF(B1069=2,C1068,SES_Alpha*C1068+(1-SES_Alpha)*G1068))</f>
        <v>123.457143247515</v>
      </c>
      <c r="H1069" s="33" t="n">
        <f aca="false">IF(D1069="","",D1069-C1069)</f>
        <v>-17</v>
      </c>
      <c r="I1069" s="33" t="n">
        <f aca="false">IF(E1069="","",E1069-C1069)</f>
        <v>-17.25</v>
      </c>
      <c r="J1069" s="33" t="n">
        <f aca="false">IF(F1069="","",F1069-C1069)</f>
        <v>-15.125</v>
      </c>
      <c r="K1069" s="33" t="n">
        <f aca="false">IF(G1069="","",G1069-C1069)</f>
        <v>-20.5428567524854</v>
      </c>
      <c r="L1069" s="33" t="n">
        <f aca="false">IF(H1069="","",ABS(H1069))</f>
        <v>17</v>
      </c>
      <c r="M1069" s="33" t="n">
        <f aca="false">IF(I1069="","",ABS(I1069))</f>
        <v>17.25</v>
      </c>
      <c r="N1069" s="33" t="n">
        <f aca="false">IF(J1069="","",ABS(J1069))</f>
        <v>15.125</v>
      </c>
      <c r="O1069" s="33" t="n">
        <f aca="false">IF(K1069="","",ABS(K1069))</f>
        <v>20.5428567524854</v>
      </c>
      <c r="P1069" s="34" t="str">
        <f aca="false">IF(B1069&gt;=Eval_Start_Week,"YES","")</f>
        <v/>
      </c>
      <c r="Q1069" s="34" t="str">
        <f aca="false">IF(AND(B1069&gt;=Cal_Start_Week,B1069&lt;=Cal_End_Week),"YES","")</f>
        <v/>
      </c>
    </row>
    <row r="1070" customFormat="false" ht="15" hidden="false" customHeight="false" outlineLevel="0" collapsed="false">
      <c r="A1070" s="31" t="str">
        <f aca="false">Demand_History!C1070</f>
        <v>BTH-001</v>
      </c>
      <c r="B1070" s="31" t="n">
        <f aca="false">Demand_History!A1070</f>
        <v>29</v>
      </c>
      <c r="C1070" s="32" t="n">
        <f aca="false">Demand_History!D1070</f>
        <v>111</v>
      </c>
      <c r="D1070" s="33" t="n">
        <f aca="false">IF(B1070&gt;=2,C1069,"")</f>
        <v>144</v>
      </c>
      <c r="E1070" s="33" t="n">
        <f aca="false">IF(B1070&gt;=5,AVERAGE(C1066:C1069),"")</f>
        <v>124.75</v>
      </c>
      <c r="F1070" s="33" t="n">
        <f aca="false">IF(B1070&gt;=9,AVERAGE(C1062:C1069),"")</f>
        <v>126.875</v>
      </c>
      <c r="G1070" s="33" t="n">
        <f aca="false">IF(B1070=1,"",IF(B1070=2,C1069,SES_Alpha*C1069+(1-SES_Alpha)*G1069))</f>
        <v>129.62000027326</v>
      </c>
      <c r="H1070" s="33" t="n">
        <f aca="false">IF(D1070="","",D1070-C1070)</f>
        <v>33</v>
      </c>
      <c r="I1070" s="33" t="n">
        <f aca="false">IF(E1070="","",E1070-C1070)</f>
        <v>13.75</v>
      </c>
      <c r="J1070" s="33" t="n">
        <f aca="false">IF(F1070="","",F1070-C1070)</f>
        <v>15.875</v>
      </c>
      <c r="K1070" s="33" t="n">
        <f aca="false">IF(G1070="","",G1070-C1070)</f>
        <v>18.6200002732602</v>
      </c>
      <c r="L1070" s="33" t="n">
        <f aca="false">IF(H1070="","",ABS(H1070))</f>
        <v>33</v>
      </c>
      <c r="M1070" s="33" t="n">
        <f aca="false">IF(I1070="","",ABS(I1070))</f>
        <v>13.75</v>
      </c>
      <c r="N1070" s="33" t="n">
        <f aca="false">IF(J1070="","",ABS(J1070))</f>
        <v>15.875</v>
      </c>
      <c r="O1070" s="33" t="n">
        <f aca="false">IF(K1070="","",ABS(K1070))</f>
        <v>18.6200002732602</v>
      </c>
      <c r="P1070" s="34" t="str">
        <f aca="false">IF(B1070&gt;=Eval_Start_Week,"YES","")</f>
        <v/>
      </c>
      <c r="Q1070" s="34" t="str">
        <f aca="false">IF(AND(B1070&gt;=Cal_Start_Week,B1070&lt;=Cal_End_Week),"YES","")</f>
        <v/>
      </c>
    </row>
    <row r="1071" customFormat="false" ht="15" hidden="false" customHeight="false" outlineLevel="0" collapsed="false">
      <c r="A1071" s="31" t="str">
        <f aca="false">Demand_History!C1071</f>
        <v>BTH-001</v>
      </c>
      <c r="B1071" s="31" t="n">
        <f aca="false">Demand_History!A1071</f>
        <v>30</v>
      </c>
      <c r="C1071" s="32" t="n">
        <f aca="false">Demand_History!D1071</f>
        <v>106</v>
      </c>
      <c r="D1071" s="33" t="n">
        <f aca="false">IF(B1071&gt;=2,C1070,"")</f>
        <v>111</v>
      </c>
      <c r="E1071" s="33" t="n">
        <f aca="false">IF(B1071&gt;=5,AVERAGE(C1067:C1070),"")</f>
        <v>120.25</v>
      </c>
      <c r="F1071" s="33" t="n">
        <f aca="false">IF(B1071&gt;=9,AVERAGE(C1063:C1070),"")</f>
        <v>125.625</v>
      </c>
      <c r="G1071" s="33" t="n">
        <f aca="false">IF(B1071=1,"",IF(B1071=2,C1070,SES_Alpha*C1070+(1-SES_Alpha)*G1070))</f>
        <v>124.034000191282</v>
      </c>
      <c r="H1071" s="33" t="n">
        <f aca="false">IF(D1071="","",D1071-C1071)</f>
        <v>5</v>
      </c>
      <c r="I1071" s="33" t="n">
        <f aca="false">IF(E1071="","",E1071-C1071)</f>
        <v>14.25</v>
      </c>
      <c r="J1071" s="33" t="n">
        <f aca="false">IF(F1071="","",F1071-C1071)</f>
        <v>19.625</v>
      </c>
      <c r="K1071" s="33" t="n">
        <f aca="false">IF(G1071="","",G1071-C1071)</f>
        <v>18.0340001912821</v>
      </c>
      <c r="L1071" s="33" t="n">
        <f aca="false">IF(H1071="","",ABS(H1071))</f>
        <v>5</v>
      </c>
      <c r="M1071" s="33" t="n">
        <f aca="false">IF(I1071="","",ABS(I1071))</f>
        <v>14.25</v>
      </c>
      <c r="N1071" s="33" t="n">
        <f aca="false">IF(J1071="","",ABS(J1071))</f>
        <v>19.625</v>
      </c>
      <c r="O1071" s="33" t="n">
        <f aca="false">IF(K1071="","",ABS(K1071))</f>
        <v>18.0340001912821</v>
      </c>
      <c r="P1071" s="34" t="str">
        <f aca="false">IF(B1071&gt;=Eval_Start_Week,"YES","")</f>
        <v/>
      </c>
      <c r="Q1071" s="34" t="str">
        <f aca="false">IF(AND(B1071&gt;=Cal_Start_Week,B1071&lt;=Cal_End_Week),"YES","")</f>
        <v/>
      </c>
    </row>
    <row r="1072" customFormat="false" ht="15" hidden="false" customHeight="false" outlineLevel="0" collapsed="false">
      <c r="A1072" s="31" t="str">
        <f aca="false">Demand_History!C1072</f>
        <v>BTH-001</v>
      </c>
      <c r="B1072" s="31" t="n">
        <f aca="false">Demand_History!A1072</f>
        <v>31</v>
      </c>
      <c r="C1072" s="32" t="n">
        <f aca="false">Demand_History!D1072</f>
        <v>138</v>
      </c>
      <c r="D1072" s="33" t="n">
        <f aca="false">IF(B1072&gt;=2,C1071,"")</f>
        <v>106</v>
      </c>
      <c r="E1072" s="33" t="n">
        <f aca="false">IF(B1072&gt;=5,AVERAGE(C1068:C1071),"")</f>
        <v>122</v>
      </c>
      <c r="F1072" s="33" t="n">
        <f aca="false">IF(B1072&gt;=9,AVERAGE(C1064:C1071),"")</f>
        <v>125.25</v>
      </c>
      <c r="G1072" s="33" t="n">
        <f aca="false">IF(B1072=1,"",IF(B1072=2,C1071,SES_Alpha*C1071+(1-SES_Alpha)*G1071))</f>
        <v>118.623800133897</v>
      </c>
      <c r="H1072" s="33" t="n">
        <f aca="false">IF(D1072="","",D1072-C1072)</f>
        <v>-32</v>
      </c>
      <c r="I1072" s="33" t="n">
        <f aca="false">IF(E1072="","",E1072-C1072)</f>
        <v>-16</v>
      </c>
      <c r="J1072" s="33" t="n">
        <f aca="false">IF(F1072="","",F1072-C1072)</f>
        <v>-12.75</v>
      </c>
      <c r="K1072" s="33" t="n">
        <f aca="false">IF(G1072="","",G1072-C1072)</f>
        <v>-19.3761998661025</v>
      </c>
      <c r="L1072" s="33" t="n">
        <f aca="false">IF(H1072="","",ABS(H1072))</f>
        <v>32</v>
      </c>
      <c r="M1072" s="33" t="n">
        <f aca="false">IF(I1072="","",ABS(I1072))</f>
        <v>16</v>
      </c>
      <c r="N1072" s="33" t="n">
        <f aca="false">IF(J1072="","",ABS(J1072))</f>
        <v>12.75</v>
      </c>
      <c r="O1072" s="33" t="n">
        <f aca="false">IF(K1072="","",ABS(K1072))</f>
        <v>19.3761998661025</v>
      </c>
      <c r="P1072" s="34" t="str">
        <f aca="false">IF(B1072&gt;=Eval_Start_Week,"YES","")</f>
        <v/>
      </c>
      <c r="Q1072" s="34" t="str">
        <f aca="false">IF(AND(B1072&gt;=Cal_Start_Week,B1072&lt;=Cal_End_Week),"YES","")</f>
        <v/>
      </c>
    </row>
    <row r="1073" customFormat="false" ht="15" hidden="false" customHeight="false" outlineLevel="0" collapsed="false">
      <c r="A1073" s="31" t="str">
        <f aca="false">Demand_History!C1073</f>
        <v>BTH-001</v>
      </c>
      <c r="B1073" s="31" t="n">
        <f aca="false">Demand_History!A1073</f>
        <v>32</v>
      </c>
      <c r="C1073" s="32" t="n">
        <f aca="false">Demand_History!D1073</f>
        <v>122</v>
      </c>
      <c r="D1073" s="33" t="n">
        <f aca="false">IF(B1073&gt;=2,C1072,"")</f>
        <v>138</v>
      </c>
      <c r="E1073" s="33" t="n">
        <f aca="false">IF(B1073&gt;=5,AVERAGE(C1069:C1072),"")</f>
        <v>124.75</v>
      </c>
      <c r="F1073" s="33" t="n">
        <f aca="false">IF(B1073&gt;=9,AVERAGE(C1065:C1072),"")</f>
        <v>125.75</v>
      </c>
      <c r="G1073" s="33" t="n">
        <f aca="false">IF(B1073=1,"",IF(B1073=2,C1072,SES_Alpha*C1072+(1-SES_Alpha)*G1072))</f>
        <v>124.436660093728</v>
      </c>
      <c r="H1073" s="33" t="n">
        <f aca="false">IF(D1073="","",D1073-C1073)</f>
        <v>16</v>
      </c>
      <c r="I1073" s="33" t="n">
        <f aca="false">IF(E1073="","",E1073-C1073)</f>
        <v>2.75</v>
      </c>
      <c r="J1073" s="33" t="n">
        <f aca="false">IF(F1073="","",F1073-C1073)</f>
        <v>3.75</v>
      </c>
      <c r="K1073" s="33" t="n">
        <f aca="false">IF(G1073="","",G1073-C1073)</f>
        <v>2.43666009372825</v>
      </c>
      <c r="L1073" s="33" t="n">
        <f aca="false">IF(H1073="","",ABS(H1073))</f>
        <v>16</v>
      </c>
      <c r="M1073" s="33" t="n">
        <f aca="false">IF(I1073="","",ABS(I1073))</f>
        <v>2.75</v>
      </c>
      <c r="N1073" s="33" t="n">
        <f aca="false">IF(J1073="","",ABS(J1073))</f>
        <v>3.75</v>
      </c>
      <c r="O1073" s="33" t="n">
        <f aca="false">IF(K1073="","",ABS(K1073))</f>
        <v>2.43666009372825</v>
      </c>
      <c r="P1073" s="34" t="str">
        <f aca="false">IF(B1073&gt;=Eval_Start_Week,"YES","")</f>
        <v/>
      </c>
      <c r="Q1073" s="34" t="str">
        <f aca="false">IF(AND(B1073&gt;=Cal_Start_Week,B1073&lt;=Cal_End_Week),"YES","")</f>
        <v/>
      </c>
    </row>
    <row r="1074" customFormat="false" ht="15" hidden="false" customHeight="false" outlineLevel="0" collapsed="false">
      <c r="A1074" s="31" t="str">
        <f aca="false">Demand_History!C1074</f>
        <v>BTH-001</v>
      </c>
      <c r="B1074" s="31" t="n">
        <f aca="false">Demand_History!A1074</f>
        <v>33</v>
      </c>
      <c r="C1074" s="32" t="n">
        <f aca="false">Demand_History!D1074</f>
        <v>101</v>
      </c>
      <c r="D1074" s="33" t="n">
        <f aca="false">IF(B1074&gt;=2,C1073,"")</f>
        <v>122</v>
      </c>
      <c r="E1074" s="33" t="n">
        <f aca="false">IF(B1074&gt;=5,AVERAGE(C1070:C1073),"")</f>
        <v>119.25</v>
      </c>
      <c r="F1074" s="33" t="n">
        <f aca="false">IF(B1074&gt;=9,AVERAGE(C1066:C1073),"")</f>
        <v>122</v>
      </c>
      <c r="G1074" s="33" t="n">
        <f aca="false">IF(B1074=1,"",IF(B1074=2,C1073,SES_Alpha*C1073+(1-SES_Alpha)*G1073))</f>
        <v>123.70566206561</v>
      </c>
      <c r="H1074" s="33" t="n">
        <f aca="false">IF(D1074="","",D1074-C1074)</f>
        <v>21</v>
      </c>
      <c r="I1074" s="33" t="n">
        <f aca="false">IF(E1074="","",E1074-C1074)</f>
        <v>18.25</v>
      </c>
      <c r="J1074" s="33" t="n">
        <f aca="false">IF(F1074="","",F1074-C1074)</f>
        <v>21</v>
      </c>
      <c r="K1074" s="33" t="n">
        <f aca="false">IF(G1074="","",G1074-C1074)</f>
        <v>22.7056620656098</v>
      </c>
      <c r="L1074" s="33" t="n">
        <f aca="false">IF(H1074="","",ABS(H1074))</f>
        <v>21</v>
      </c>
      <c r="M1074" s="33" t="n">
        <f aca="false">IF(I1074="","",ABS(I1074))</f>
        <v>18.25</v>
      </c>
      <c r="N1074" s="33" t="n">
        <f aca="false">IF(J1074="","",ABS(J1074))</f>
        <v>21</v>
      </c>
      <c r="O1074" s="33" t="n">
        <f aca="false">IF(K1074="","",ABS(K1074))</f>
        <v>22.7056620656098</v>
      </c>
      <c r="P1074" s="34" t="str">
        <f aca="false">IF(B1074&gt;=Eval_Start_Week,"YES","")</f>
        <v/>
      </c>
      <c r="Q1074" s="34" t="str">
        <f aca="false">IF(AND(B1074&gt;=Cal_Start_Week,B1074&lt;=Cal_End_Week),"YES","")</f>
        <v/>
      </c>
    </row>
    <row r="1075" customFormat="false" ht="15" hidden="false" customHeight="false" outlineLevel="0" collapsed="false">
      <c r="A1075" s="31" t="str">
        <f aca="false">Demand_History!C1075</f>
        <v>BTH-001</v>
      </c>
      <c r="B1075" s="31" t="n">
        <f aca="false">Demand_History!A1075</f>
        <v>34</v>
      </c>
      <c r="C1075" s="32" t="n">
        <f aca="false">Demand_History!D1075</f>
        <v>113</v>
      </c>
      <c r="D1075" s="33" t="n">
        <f aca="false">IF(B1075&gt;=2,C1074,"")</f>
        <v>101</v>
      </c>
      <c r="E1075" s="33" t="n">
        <f aca="false">IF(B1075&gt;=5,AVERAGE(C1071:C1074),"")</f>
        <v>116.75</v>
      </c>
      <c r="F1075" s="33" t="n">
        <f aca="false">IF(B1075&gt;=9,AVERAGE(C1067:C1074),"")</f>
        <v>118.5</v>
      </c>
      <c r="G1075" s="33" t="n">
        <f aca="false">IF(B1075=1,"",IF(B1075=2,C1074,SES_Alpha*C1074+(1-SES_Alpha)*G1074))</f>
        <v>116.893963445927</v>
      </c>
      <c r="H1075" s="33" t="n">
        <f aca="false">IF(D1075="","",D1075-C1075)</f>
        <v>-12</v>
      </c>
      <c r="I1075" s="33" t="n">
        <f aca="false">IF(E1075="","",E1075-C1075)</f>
        <v>3.75</v>
      </c>
      <c r="J1075" s="33" t="n">
        <f aca="false">IF(F1075="","",F1075-C1075)</f>
        <v>5.5</v>
      </c>
      <c r="K1075" s="33" t="n">
        <f aca="false">IF(G1075="","",G1075-C1075)</f>
        <v>3.89396344592683</v>
      </c>
      <c r="L1075" s="33" t="n">
        <f aca="false">IF(H1075="","",ABS(H1075))</f>
        <v>12</v>
      </c>
      <c r="M1075" s="33" t="n">
        <f aca="false">IF(I1075="","",ABS(I1075))</f>
        <v>3.75</v>
      </c>
      <c r="N1075" s="33" t="n">
        <f aca="false">IF(J1075="","",ABS(J1075))</f>
        <v>5.5</v>
      </c>
      <c r="O1075" s="33" t="n">
        <f aca="false">IF(K1075="","",ABS(K1075))</f>
        <v>3.89396344592683</v>
      </c>
      <c r="P1075" s="34" t="str">
        <f aca="false">IF(B1075&gt;=Eval_Start_Week,"YES","")</f>
        <v/>
      </c>
      <c r="Q1075" s="34" t="str">
        <f aca="false">IF(AND(B1075&gt;=Cal_Start_Week,B1075&lt;=Cal_End_Week),"YES","")</f>
        <v/>
      </c>
    </row>
    <row r="1076" customFormat="false" ht="15" hidden="false" customHeight="false" outlineLevel="0" collapsed="false">
      <c r="A1076" s="31" t="str">
        <f aca="false">Demand_History!C1076</f>
        <v>BTH-001</v>
      </c>
      <c r="B1076" s="31" t="n">
        <f aca="false">Demand_History!A1076</f>
        <v>35</v>
      </c>
      <c r="C1076" s="32" t="n">
        <f aca="false">Demand_History!D1076</f>
        <v>107</v>
      </c>
      <c r="D1076" s="33" t="n">
        <f aca="false">IF(B1076&gt;=2,C1075,"")</f>
        <v>113</v>
      </c>
      <c r="E1076" s="33" t="n">
        <f aca="false">IF(B1076&gt;=5,AVERAGE(C1072:C1075),"")</f>
        <v>118.5</v>
      </c>
      <c r="F1076" s="33" t="n">
        <f aca="false">IF(B1076&gt;=9,AVERAGE(C1068:C1075),"")</f>
        <v>120.25</v>
      </c>
      <c r="G1076" s="33" t="n">
        <f aca="false">IF(B1076=1,"",IF(B1076=2,C1075,SES_Alpha*C1075+(1-SES_Alpha)*G1075))</f>
        <v>115.725774412149</v>
      </c>
      <c r="H1076" s="33" t="n">
        <f aca="false">IF(D1076="","",D1076-C1076)</f>
        <v>6</v>
      </c>
      <c r="I1076" s="33" t="n">
        <f aca="false">IF(E1076="","",E1076-C1076)</f>
        <v>11.5</v>
      </c>
      <c r="J1076" s="33" t="n">
        <f aca="false">IF(F1076="","",F1076-C1076)</f>
        <v>13.25</v>
      </c>
      <c r="K1076" s="33" t="n">
        <f aca="false">IF(G1076="","",G1076-C1076)</f>
        <v>8.72577441214878</v>
      </c>
      <c r="L1076" s="33" t="n">
        <f aca="false">IF(H1076="","",ABS(H1076))</f>
        <v>6</v>
      </c>
      <c r="M1076" s="33" t="n">
        <f aca="false">IF(I1076="","",ABS(I1076))</f>
        <v>11.5</v>
      </c>
      <c r="N1076" s="33" t="n">
        <f aca="false">IF(J1076="","",ABS(J1076))</f>
        <v>13.25</v>
      </c>
      <c r="O1076" s="33" t="n">
        <f aca="false">IF(K1076="","",ABS(K1076))</f>
        <v>8.72577441214878</v>
      </c>
      <c r="P1076" s="34" t="str">
        <f aca="false">IF(B1076&gt;=Eval_Start_Week,"YES","")</f>
        <v/>
      </c>
      <c r="Q1076" s="34" t="str">
        <f aca="false">IF(AND(B1076&gt;=Cal_Start_Week,B1076&lt;=Cal_End_Week),"YES","")</f>
        <v/>
      </c>
    </row>
    <row r="1077" customFormat="false" ht="15" hidden="false" customHeight="false" outlineLevel="0" collapsed="false">
      <c r="A1077" s="31" t="str">
        <f aca="false">Demand_History!C1077</f>
        <v>BTH-001</v>
      </c>
      <c r="B1077" s="31" t="n">
        <f aca="false">Demand_History!A1077</f>
        <v>36</v>
      </c>
      <c r="C1077" s="32" t="n">
        <f aca="false">Demand_History!D1077</f>
        <v>125</v>
      </c>
      <c r="D1077" s="33" t="n">
        <f aca="false">IF(B1077&gt;=2,C1076,"")</f>
        <v>107</v>
      </c>
      <c r="E1077" s="33" t="n">
        <f aca="false">IF(B1077&gt;=5,AVERAGE(C1073:C1076),"")</f>
        <v>110.75</v>
      </c>
      <c r="F1077" s="33" t="n">
        <f aca="false">IF(B1077&gt;=9,AVERAGE(C1069:C1076),"")</f>
        <v>117.75</v>
      </c>
      <c r="G1077" s="33" t="n">
        <f aca="false">IF(B1077=1,"",IF(B1077=2,C1076,SES_Alpha*C1076+(1-SES_Alpha)*G1076))</f>
        <v>113.108042088504</v>
      </c>
      <c r="H1077" s="33" t="n">
        <f aca="false">IF(D1077="","",D1077-C1077)</f>
        <v>-18</v>
      </c>
      <c r="I1077" s="33" t="n">
        <f aca="false">IF(E1077="","",E1077-C1077)</f>
        <v>-14.25</v>
      </c>
      <c r="J1077" s="33" t="n">
        <f aca="false">IF(F1077="","",F1077-C1077)</f>
        <v>-7.25</v>
      </c>
      <c r="K1077" s="33" t="n">
        <f aca="false">IF(G1077="","",G1077-C1077)</f>
        <v>-11.8919579114959</v>
      </c>
      <c r="L1077" s="33" t="n">
        <f aca="false">IF(H1077="","",ABS(H1077))</f>
        <v>18</v>
      </c>
      <c r="M1077" s="33" t="n">
        <f aca="false">IF(I1077="","",ABS(I1077))</f>
        <v>14.25</v>
      </c>
      <c r="N1077" s="33" t="n">
        <f aca="false">IF(J1077="","",ABS(J1077))</f>
        <v>7.25</v>
      </c>
      <c r="O1077" s="33" t="n">
        <f aca="false">IF(K1077="","",ABS(K1077))</f>
        <v>11.8919579114959</v>
      </c>
      <c r="P1077" s="34" t="str">
        <f aca="false">IF(B1077&gt;=Eval_Start_Week,"YES","")</f>
        <v/>
      </c>
      <c r="Q1077" s="34" t="str">
        <f aca="false">IF(AND(B1077&gt;=Cal_Start_Week,B1077&lt;=Cal_End_Week),"YES","")</f>
        <v/>
      </c>
    </row>
    <row r="1078" customFormat="false" ht="15" hidden="false" customHeight="false" outlineLevel="0" collapsed="false">
      <c r="A1078" s="31" t="str">
        <f aca="false">Demand_History!C1078</f>
        <v>BTH-001</v>
      </c>
      <c r="B1078" s="31" t="n">
        <f aca="false">Demand_History!A1078</f>
        <v>37</v>
      </c>
      <c r="C1078" s="32" t="n">
        <f aca="false">Demand_History!D1078</f>
        <v>122</v>
      </c>
      <c r="D1078" s="33" t="n">
        <f aca="false">IF(B1078&gt;=2,C1077,"")</f>
        <v>125</v>
      </c>
      <c r="E1078" s="33" t="n">
        <f aca="false">IF(B1078&gt;=5,AVERAGE(C1074:C1077),"")</f>
        <v>111.5</v>
      </c>
      <c r="F1078" s="33" t="n">
        <f aca="false">IF(B1078&gt;=9,AVERAGE(C1070:C1077),"")</f>
        <v>115.375</v>
      </c>
      <c r="G1078" s="33" t="n">
        <f aca="false">IF(B1078=1,"",IF(B1078=2,C1077,SES_Alpha*C1077+(1-SES_Alpha)*G1077))</f>
        <v>116.675629461953</v>
      </c>
      <c r="H1078" s="33" t="n">
        <f aca="false">IF(D1078="","",D1078-C1078)</f>
        <v>3</v>
      </c>
      <c r="I1078" s="33" t="n">
        <f aca="false">IF(E1078="","",E1078-C1078)</f>
        <v>-10.5</v>
      </c>
      <c r="J1078" s="33" t="n">
        <f aca="false">IF(F1078="","",F1078-C1078)</f>
        <v>-6.625</v>
      </c>
      <c r="K1078" s="33" t="n">
        <f aca="false">IF(G1078="","",G1078-C1078)</f>
        <v>-5.32437053804711</v>
      </c>
      <c r="L1078" s="33" t="n">
        <f aca="false">IF(H1078="","",ABS(H1078))</f>
        <v>3</v>
      </c>
      <c r="M1078" s="33" t="n">
        <f aca="false">IF(I1078="","",ABS(I1078))</f>
        <v>10.5</v>
      </c>
      <c r="N1078" s="33" t="n">
        <f aca="false">IF(J1078="","",ABS(J1078))</f>
        <v>6.625</v>
      </c>
      <c r="O1078" s="33" t="n">
        <f aca="false">IF(K1078="","",ABS(K1078))</f>
        <v>5.32437053804711</v>
      </c>
      <c r="P1078" s="34" t="str">
        <f aca="false">IF(B1078&gt;=Eval_Start_Week,"YES","")</f>
        <v/>
      </c>
      <c r="Q1078" s="34" t="str">
        <f aca="false">IF(AND(B1078&gt;=Cal_Start_Week,B1078&lt;=Cal_End_Week),"YES","")</f>
        <v>YES</v>
      </c>
    </row>
    <row r="1079" customFormat="false" ht="15" hidden="false" customHeight="false" outlineLevel="0" collapsed="false">
      <c r="A1079" s="31" t="str">
        <f aca="false">Demand_History!C1079</f>
        <v>BTH-001</v>
      </c>
      <c r="B1079" s="31" t="n">
        <f aca="false">Demand_History!A1079</f>
        <v>38</v>
      </c>
      <c r="C1079" s="32" t="n">
        <f aca="false">Demand_History!D1079</f>
        <v>140</v>
      </c>
      <c r="D1079" s="33" t="n">
        <f aca="false">IF(B1079&gt;=2,C1078,"")</f>
        <v>122</v>
      </c>
      <c r="E1079" s="33" t="n">
        <f aca="false">IF(B1079&gt;=5,AVERAGE(C1075:C1078),"")</f>
        <v>116.75</v>
      </c>
      <c r="F1079" s="33" t="n">
        <f aca="false">IF(B1079&gt;=9,AVERAGE(C1071:C1078),"")</f>
        <v>116.75</v>
      </c>
      <c r="G1079" s="33" t="n">
        <f aca="false">IF(B1079=1,"",IF(B1079=2,C1078,SES_Alpha*C1078+(1-SES_Alpha)*G1078))</f>
        <v>118.272940623367</v>
      </c>
      <c r="H1079" s="33" t="n">
        <f aca="false">IF(D1079="","",D1079-C1079)</f>
        <v>-18</v>
      </c>
      <c r="I1079" s="33" t="n">
        <f aca="false">IF(E1079="","",E1079-C1079)</f>
        <v>-23.25</v>
      </c>
      <c r="J1079" s="33" t="n">
        <f aca="false">IF(F1079="","",F1079-C1079)</f>
        <v>-23.25</v>
      </c>
      <c r="K1079" s="33" t="n">
        <f aca="false">IF(G1079="","",G1079-C1079)</f>
        <v>-21.727059376633</v>
      </c>
      <c r="L1079" s="33" t="n">
        <f aca="false">IF(H1079="","",ABS(H1079))</f>
        <v>18</v>
      </c>
      <c r="M1079" s="33" t="n">
        <f aca="false">IF(I1079="","",ABS(I1079))</f>
        <v>23.25</v>
      </c>
      <c r="N1079" s="33" t="n">
        <f aca="false">IF(J1079="","",ABS(J1079))</f>
        <v>23.25</v>
      </c>
      <c r="O1079" s="33" t="n">
        <f aca="false">IF(K1079="","",ABS(K1079))</f>
        <v>21.727059376633</v>
      </c>
      <c r="P1079" s="34" t="str">
        <f aca="false">IF(B1079&gt;=Eval_Start_Week,"YES","")</f>
        <v/>
      </c>
      <c r="Q1079" s="34" t="str">
        <f aca="false">IF(AND(B1079&gt;=Cal_Start_Week,B1079&lt;=Cal_End_Week),"YES","")</f>
        <v>YES</v>
      </c>
    </row>
    <row r="1080" customFormat="false" ht="15" hidden="false" customHeight="false" outlineLevel="0" collapsed="false">
      <c r="A1080" s="31" t="str">
        <f aca="false">Demand_History!C1080</f>
        <v>BTH-001</v>
      </c>
      <c r="B1080" s="31" t="n">
        <f aca="false">Demand_History!A1080</f>
        <v>39</v>
      </c>
      <c r="C1080" s="32" t="n">
        <f aca="false">Demand_History!D1080</f>
        <v>132</v>
      </c>
      <c r="D1080" s="33" t="n">
        <f aca="false">IF(B1080&gt;=2,C1079,"")</f>
        <v>140</v>
      </c>
      <c r="E1080" s="33" t="n">
        <f aca="false">IF(B1080&gt;=5,AVERAGE(C1076:C1079),"")</f>
        <v>123.5</v>
      </c>
      <c r="F1080" s="33" t="n">
        <f aca="false">IF(B1080&gt;=9,AVERAGE(C1072:C1079),"")</f>
        <v>121</v>
      </c>
      <c r="G1080" s="33" t="n">
        <f aca="false">IF(B1080=1,"",IF(B1080=2,C1079,SES_Alpha*C1079+(1-SES_Alpha)*G1079))</f>
        <v>124.791058436357</v>
      </c>
      <c r="H1080" s="33" t="n">
        <f aca="false">IF(D1080="","",D1080-C1080)</f>
        <v>8</v>
      </c>
      <c r="I1080" s="33" t="n">
        <f aca="false">IF(E1080="","",E1080-C1080)</f>
        <v>-8.5</v>
      </c>
      <c r="J1080" s="33" t="n">
        <f aca="false">IF(F1080="","",F1080-C1080)</f>
        <v>-11</v>
      </c>
      <c r="K1080" s="33" t="n">
        <f aca="false">IF(G1080="","",G1080-C1080)</f>
        <v>-7.20894156364309</v>
      </c>
      <c r="L1080" s="33" t="n">
        <f aca="false">IF(H1080="","",ABS(H1080))</f>
        <v>8</v>
      </c>
      <c r="M1080" s="33" t="n">
        <f aca="false">IF(I1080="","",ABS(I1080))</f>
        <v>8.5</v>
      </c>
      <c r="N1080" s="33" t="n">
        <f aca="false">IF(J1080="","",ABS(J1080))</f>
        <v>11</v>
      </c>
      <c r="O1080" s="33" t="n">
        <f aca="false">IF(K1080="","",ABS(K1080))</f>
        <v>7.20894156364309</v>
      </c>
      <c r="P1080" s="34" t="str">
        <f aca="false">IF(B1080&gt;=Eval_Start_Week,"YES","")</f>
        <v/>
      </c>
      <c r="Q1080" s="34" t="str">
        <f aca="false">IF(AND(B1080&gt;=Cal_Start_Week,B1080&lt;=Cal_End_Week),"YES","")</f>
        <v>YES</v>
      </c>
    </row>
    <row r="1081" customFormat="false" ht="15" hidden="false" customHeight="false" outlineLevel="0" collapsed="false">
      <c r="A1081" s="31" t="str">
        <f aca="false">Demand_History!C1081</f>
        <v>BTH-001</v>
      </c>
      <c r="B1081" s="31" t="n">
        <f aca="false">Demand_History!A1081</f>
        <v>40</v>
      </c>
      <c r="C1081" s="32" t="n">
        <f aca="false">Demand_History!D1081</f>
        <v>93</v>
      </c>
      <c r="D1081" s="33" t="n">
        <f aca="false">IF(B1081&gt;=2,C1080,"")</f>
        <v>132</v>
      </c>
      <c r="E1081" s="33" t="n">
        <f aca="false">IF(B1081&gt;=5,AVERAGE(C1077:C1080),"")</f>
        <v>129.75</v>
      </c>
      <c r="F1081" s="33" t="n">
        <f aca="false">IF(B1081&gt;=9,AVERAGE(C1073:C1080),"")</f>
        <v>120.25</v>
      </c>
      <c r="G1081" s="33" t="n">
        <f aca="false">IF(B1081=1,"",IF(B1081=2,C1080,SES_Alpha*C1080+(1-SES_Alpha)*G1080))</f>
        <v>126.95374090545</v>
      </c>
      <c r="H1081" s="33" t="n">
        <f aca="false">IF(D1081="","",D1081-C1081)</f>
        <v>39</v>
      </c>
      <c r="I1081" s="33" t="n">
        <f aca="false">IF(E1081="","",E1081-C1081)</f>
        <v>36.75</v>
      </c>
      <c r="J1081" s="33" t="n">
        <f aca="false">IF(F1081="","",F1081-C1081)</f>
        <v>27.25</v>
      </c>
      <c r="K1081" s="33" t="n">
        <f aca="false">IF(G1081="","",G1081-C1081)</f>
        <v>33.9537409054498</v>
      </c>
      <c r="L1081" s="33" t="n">
        <f aca="false">IF(H1081="","",ABS(H1081))</f>
        <v>39</v>
      </c>
      <c r="M1081" s="33" t="n">
        <f aca="false">IF(I1081="","",ABS(I1081))</f>
        <v>36.75</v>
      </c>
      <c r="N1081" s="33" t="n">
        <f aca="false">IF(J1081="","",ABS(J1081))</f>
        <v>27.25</v>
      </c>
      <c r="O1081" s="33" t="n">
        <f aca="false">IF(K1081="","",ABS(K1081))</f>
        <v>33.9537409054498</v>
      </c>
      <c r="P1081" s="34" t="str">
        <f aca="false">IF(B1081&gt;=Eval_Start_Week,"YES","")</f>
        <v/>
      </c>
      <c r="Q1081" s="34" t="str">
        <f aca="false">IF(AND(B1081&gt;=Cal_Start_Week,B1081&lt;=Cal_End_Week),"YES","")</f>
        <v>YES</v>
      </c>
    </row>
    <row r="1082" customFormat="false" ht="15" hidden="false" customHeight="false" outlineLevel="0" collapsed="false">
      <c r="A1082" s="31" t="str">
        <f aca="false">Demand_History!C1082</f>
        <v>BTH-001</v>
      </c>
      <c r="B1082" s="31" t="n">
        <f aca="false">Demand_History!A1082</f>
        <v>41</v>
      </c>
      <c r="C1082" s="32" t="n">
        <f aca="false">Demand_History!D1082</f>
        <v>127</v>
      </c>
      <c r="D1082" s="33" t="n">
        <f aca="false">IF(B1082&gt;=2,C1081,"")</f>
        <v>93</v>
      </c>
      <c r="E1082" s="33" t="n">
        <f aca="false">IF(B1082&gt;=5,AVERAGE(C1078:C1081),"")</f>
        <v>121.75</v>
      </c>
      <c r="F1082" s="33" t="n">
        <f aca="false">IF(B1082&gt;=9,AVERAGE(C1074:C1081),"")</f>
        <v>116.625</v>
      </c>
      <c r="G1082" s="33" t="n">
        <f aca="false">IF(B1082=1,"",IF(B1082=2,C1081,SES_Alpha*C1081+(1-SES_Alpha)*G1081))</f>
        <v>116.767618633815</v>
      </c>
      <c r="H1082" s="33" t="n">
        <f aca="false">IF(D1082="","",D1082-C1082)</f>
        <v>-34</v>
      </c>
      <c r="I1082" s="33" t="n">
        <f aca="false">IF(E1082="","",E1082-C1082)</f>
        <v>-5.25</v>
      </c>
      <c r="J1082" s="33" t="n">
        <f aca="false">IF(F1082="","",F1082-C1082)</f>
        <v>-10.375</v>
      </c>
      <c r="K1082" s="33" t="n">
        <f aca="false">IF(G1082="","",G1082-C1082)</f>
        <v>-10.2323813661851</v>
      </c>
      <c r="L1082" s="33" t="n">
        <f aca="false">IF(H1082="","",ABS(H1082))</f>
        <v>34</v>
      </c>
      <c r="M1082" s="33" t="n">
        <f aca="false">IF(I1082="","",ABS(I1082))</f>
        <v>5.25</v>
      </c>
      <c r="N1082" s="33" t="n">
        <f aca="false">IF(J1082="","",ABS(J1082))</f>
        <v>10.375</v>
      </c>
      <c r="O1082" s="33" t="n">
        <f aca="false">IF(K1082="","",ABS(K1082))</f>
        <v>10.2323813661851</v>
      </c>
      <c r="P1082" s="34" t="str">
        <f aca="false">IF(B1082&gt;=Eval_Start_Week,"YES","")</f>
        <v/>
      </c>
      <c r="Q1082" s="34" t="str">
        <f aca="false">IF(AND(B1082&gt;=Cal_Start_Week,B1082&lt;=Cal_End_Week),"YES","")</f>
        <v>YES</v>
      </c>
    </row>
    <row r="1083" customFormat="false" ht="15" hidden="false" customHeight="false" outlineLevel="0" collapsed="false">
      <c r="A1083" s="31" t="str">
        <f aca="false">Demand_History!C1083</f>
        <v>BTH-001</v>
      </c>
      <c r="B1083" s="31" t="n">
        <f aca="false">Demand_History!A1083</f>
        <v>42</v>
      </c>
      <c r="C1083" s="32" t="n">
        <f aca="false">Demand_History!D1083</f>
        <v>136</v>
      </c>
      <c r="D1083" s="33" t="n">
        <f aca="false">IF(B1083&gt;=2,C1082,"")</f>
        <v>127</v>
      </c>
      <c r="E1083" s="33" t="n">
        <f aca="false">IF(B1083&gt;=5,AVERAGE(C1079:C1082),"")</f>
        <v>123</v>
      </c>
      <c r="F1083" s="33" t="n">
        <f aca="false">IF(B1083&gt;=9,AVERAGE(C1075:C1082),"")</f>
        <v>119.875</v>
      </c>
      <c r="G1083" s="33" t="n">
        <f aca="false">IF(B1083=1,"",IF(B1083=2,C1082,SES_Alpha*C1082+(1-SES_Alpha)*G1082))</f>
        <v>119.83733304367</v>
      </c>
      <c r="H1083" s="33" t="n">
        <f aca="false">IF(D1083="","",D1083-C1083)</f>
        <v>-9</v>
      </c>
      <c r="I1083" s="33" t="n">
        <f aca="false">IF(E1083="","",E1083-C1083)</f>
        <v>-13</v>
      </c>
      <c r="J1083" s="33" t="n">
        <f aca="false">IF(F1083="","",F1083-C1083)</f>
        <v>-16.125</v>
      </c>
      <c r="K1083" s="33" t="n">
        <f aca="false">IF(G1083="","",G1083-C1083)</f>
        <v>-16.1626669563296</v>
      </c>
      <c r="L1083" s="33" t="n">
        <f aca="false">IF(H1083="","",ABS(H1083))</f>
        <v>9</v>
      </c>
      <c r="M1083" s="33" t="n">
        <f aca="false">IF(I1083="","",ABS(I1083))</f>
        <v>13</v>
      </c>
      <c r="N1083" s="33" t="n">
        <f aca="false">IF(J1083="","",ABS(J1083))</f>
        <v>16.125</v>
      </c>
      <c r="O1083" s="33" t="n">
        <f aca="false">IF(K1083="","",ABS(K1083))</f>
        <v>16.1626669563296</v>
      </c>
      <c r="P1083" s="34" t="str">
        <f aca="false">IF(B1083&gt;=Eval_Start_Week,"YES","")</f>
        <v/>
      </c>
      <c r="Q1083" s="34" t="str">
        <f aca="false">IF(AND(B1083&gt;=Cal_Start_Week,B1083&lt;=Cal_End_Week),"YES","")</f>
        <v>YES</v>
      </c>
    </row>
    <row r="1084" customFormat="false" ht="15" hidden="false" customHeight="false" outlineLevel="0" collapsed="false">
      <c r="A1084" s="31" t="str">
        <f aca="false">Demand_History!C1084</f>
        <v>BTH-001</v>
      </c>
      <c r="B1084" s="31" t="n">
        <f aca="false">Demand_History!A1084</f>
        <v>43</v>
      </c>
      <c r="C1084" s="32" t="n">
        <f aca="false">Demand_History!D1084</f>
        <v>128</v>
      </c>
      <c r="D1084" s="33" t="n">
        <f aca="false">IF(B1084&gt;=2,C1083,"")</f>
        <v>136</v>
      </c>
      <c r="E1084" s="33" t="n">
        <f aca="false">IF(B1084&gt;=5,AVERAGE(C1080:C1083),"")</f>
        <v>122</v>
      </c>
      <c r="F1084" s="33" t="n">
        <f aca="false">IF(B1084&gt;=9,AVERAGE(C1076:C1083),"")</f>
        <v>122.75</v>
      </c>
      <c r="G1084" s="33" t="n">
        <f aca="false">IF(B1084=1,"",IF(B1084=2,C1083,SES_Alpha*C1083+(1-SES_Alpha)*G1083))</f>
        <v>124.686133130569</v>
      </c>
      <c r="H1084" s="33" t="n">
        <f aca="false">IF(D1084="","",D1084-C1084)</f>
        <v>8</v>
      </c>
      <c r="I1084" s="33" t="n">
        <f aca="false">IF(E1084="","",E1084-C1084)</f>
        <v>-6</v>
      </c>
      <c r="J1084" s="33" t="n">
        <f aca="false">IF(F1084="","",F1084-C1084)</f>
        <v>-5.25</v>
      </c>
      <c r="K1084" s="33" t="n">
        <f aca="false">IF(G1084="","",G1084-C1084)</f>
        <v>-3.31386686943073</v>
      </c>
      <c r="L1084" s="33" t="n">
        <f aca="false">IF(H1084="","",ABS(H1084))</f>
        <v>8</v>
      </c>
      <c r="M1084" s="33" t="n">
        <f aca="false">IF(I1084="","",ABS(I1084))</f>
        <v>6</v>
      </c>
      <c r="N1084" s="33" t="n">
        <f aca="false">IF(J1084="","",ABS(J1084))</f>
        <v>5.25</v>
      </c>
      <c r="O1084" s="33" t="n">
        <f aca="false">IF(K1084="","",ABS(K1084))</f>
        <v>3.31386686943073</v>
      </c>
      <c r="P1084" s="34" t="str">
        <f aca="false">IF(B1084&gt;=Eval_Start_Week,"YES","")</f>
        <v/>
      </c>
      <c r="Q1084" s="34" t="str">
        <f aca="false">IF(AND(B1084&gt;=Cal_Start_Week,B1084&lt;=Cal_End_Week),"YES","")</f>
        <v>YES</v>
      </c>
    </row>
    <row r="1085" customFormat="false" ht="15" hidden="false" customHeight="false" outlineLevel="0" collapsed="false">
      <c r="A1085" s="31" t="str">
        <f aca="false">Demand_History!C1085</f>
        <v>BTH-001</v>
      </c>
      <c r="B1085" s="31" t="n">
        <f aca="false">Demand_History!A1085</f>
        <v>44</v>
      </c>
      <c r="C1085" s="32" t="n">
        <f aca="false">Demand_History!D1085</f>
        <v>138</v>
      </c>
      <c r="D1085" s="33" t="n">
        <f aca="false">IF(B1085&gt;=2,C1084,"")</f>
        <v>128</v>
      </c>
      <c r="E1085" s="33" t="n">
        <f aca="false">IF(B1085&gt;=5,AVERAGE(C1081:C1084),"")</f>
        <v>121</v>
      </c>
      <c r="F1085" s="33" t="n">
        <f aca="false">IF(B1085&gt;=9,AVERAGE(C1077:C1084),"")</f>
        <v>125.375</v>
      </c>
      <c r="G1085" s="33" t="n">
        <f aca="false">IF(B1085=1,"",IF(B1085=2,C1084,SES_Alpha*C1084+(1-SES_Alpha)*G1084))</f>
        <v>125.680293191398</v>
      </c>
      <c r="H1085" s="33" t="n">
        <f aca="false">IF(D1085="","",D1085-C1085)</f>
        <v>-10</v>
      </c>
      <c r="I1085" s="33" t="n">
        <f aca="false">IF(E1085="","",E1085-C1085)</f>
        <v>-17</v>
      </c>
      <c r="J1085" s="33" t="n">
        <f aca="false">IF(F1085="","",F1085-C1085)</f>
        <v>-12.625</v>
      </c>
      <c r="K1085" s="33" t="n">
        <f aca="false">IF(G1085="","",G1085-C1085)</f>
        <v>-12.3197068086015</v>
      </c>
      <c r="L1085" s="33" t="n">
        <f aca="false">IF(H1085="","",ABS(H1085))</f>
        <v>10</v>
      </c>
      <c r="M1085" s="33" t="n">
        <f aca="false">IF(I1085="","",ABS(I1085))</f>
        <v>17</v>
      </c>
      <c r="N1085" s="33" t="n">
        <f aca="false">IF(J1085="","",ABS(J1085))</f>
        <v>12.625</v>
      </c>
      <c r="O1085" s="33" t="n">
        <f aca="false">IF(K1085="","",ABS(K1085))</f>
        <v>12.3197068086015</v>
      </c>
      <c r="P1085" s="34" t="str">
        <f aca="false">IF(B1085&gt;=Eval_Start_Week,"YES","")</f>
        <v/>
      </c>
      <c r="Q1085" s="34" t="str">
        <f aca="false">IF(AND(B1085&gt;=Cal_Start_Week,B1085&lt;=Cal_End_Week),"YES","")</f>
        <v>YES</v>
      </c>
    </row>
    <row r="1086" customFormat="false" ht="15" hidden="false" customHeight="false" outlineLevel="0" collapsed="false">
      <c r="A1086" s="31" t="str">
        <f aca="false">Demand_History!C1086</f>
        <v>BTH-001</v>
      </c>
      <c r="B1086" s="31" t="n">
        <f aca="false">Demand_History!A1086</f>
        <v>45</v>
      </c>
      <c r="C1086" s="32" t="n">
        <f aca="false">Demand_History!D1086</f>
        <v>110</v>
      </c>
      <c r="D1086" s="33" t="n">
        <f aca="false">IF(B1086&gt;=2,C1085,"")</f>
        <v>138</v>
      </c>
      <c r="E1086" s="33" t="n">
        <f aca="false">IF(B1086&gt;=5,AVERAGE(C1082:C1085),"")</f>
        <v>132.25</v>
      </c>
      <c r="F1086" s="33" t="n">
        <f aca="false">IF(B1086&gt;=9,AVERAGE(C1078:C1085),"")</f>
        <v>127</v>
      </c>
      <c r="G1086" s="33" t="n">
        <f aca="false">IF(B1086=1,"",IF(B1086=2,C1085,SES_Alpha*C1085+(1-SES_Alpha)*G1085))</f>
        <v>129.376205233979</v>
      </c>
      <c r="H1086" s="33" t="n">
        <f aca="false">IF(D1086="","",D1086-C1086)</f>
        <v>28</v>
      </c>
      <c r="I1086" s="33" t="n">
        <f aca="false">IF(E1086="","",E1086-C1086)</f>
        <v>22.25</v>
      </c>
      <c r="J1086" s="33" t="n">
        <f aca="false">IF(F1086="","",F1086-C1086)</f>
        <v>17</v>
      </c>
      <c r="K1086" s="33" t="n">
        <f aca="false">IF(G1086="","",G1086-C1086)</f>
        <v>19.3762052339789</v>
      </c>
      <c r="L1086" s="33" t="n">
        <f aca="false">IF(H1086="","",ABS(H1086))</f>
        <v>28</v>
      </c>
      <c r="M1086" s="33" t="n">
        <f aca="false">IF(I1086="","",ABS(I1086))</f>
        <v>22.25</v>
      </c>
      <c r="N1086" s="33" t="n">
        <f aca="false">IF(J1086="","",ABS(J1086))</f>
        <v>17</v>
      </c>
      <c r="O1086" s="33" t="n">
        <f aca="false">IF(K1086="","",ABS(K1086))</f>
        <v>19.3762052339789</v>
      </c>
      <c r="P1086" s="34" t="str">
        <f aca="false">IF(B1086&gt;=Eval_Start_Week,"YES","")</f>
        <v/>
      </c>
      <c r="Q1086" s="34" t="str">
        <f aca="false">IF(AND(B1086&gt;=Cal_Start_Week,B1086&lt;=Cal_End_Week),"YES","")</f>
        <v>YES</v>
      </c>
    </row>
    <row r="1087" customFormat="false" ht="15" hidden="false" customHeight="false" outlineLevel="0" collapsed="false">
      <c r="A1087" s="31" t="str">
        <f aca="false">Demand_History!C1087</f>
        <v>BTH-001</v>
      </c>
      <c r="B1087" s="31" t="n">
        <f aca="false">Demand_History!A1087</f>
        <v>46</v>
      </c>
      <c r="C1087" s="32" t="n">
        <f aca="false">Demand_History!D1087</f>
        <v>103</v>
      </c>
      <c r="D1087" s="33" t="n">
        <f aca="false">IF(B1087&gt;=2,C1086,"")</f>
        <v>110</v>
      </c>
      <c r="E1087" s="33" t="n">
        <f aca="false">IF(B1087&gt;=5,AVERAGE(C1083:C1086),"")</f>
        <v>128</v>
      </c>
      <c r="F1087" s="33" t="n">
        <f aca="false">IF(B1087&gt;=9,AVERAGE(C1079:C1086),"")</f>
        <v>125.5</v>
      </c>
      <c r="G1087" s="33" t="n">
        <f aca="false">IF(B1087=1,"",IF(B1087=2,C1086,SES_Alpha*C1086+(1-SES_Alpha)*G1086))</f>
        <v>123.563343663785</v>
      </c>
      <c r="H1087" s="33" t="n">
        <f aca="false">IF(D1087="","",D1087-C1087)</f>
        <v>7</v>
      </c>
      <c r="I1087" s="33" t="n">
        <f aca="false">IF(E1087="","",E1087-C1087)</f>
        <v>25</v>
      </c>
      <c r="J1087" s="33" t="n">
        <f aca="false">IF(F1087="","",F1087-C1087)</f>
        <v>22.5</v>
      </c>
      <c r="K1087" s="33" t="n">
        <f aca="false">IF(G1087="","",G1087-C1087)</f>
        <v>20.5633436637852</v>
      </c>
      <c r="L1087" s="33" t="n">
        <f aca="false">IF(H1087="","",ABS(H1087))</f>
        <v>7</v>
      </c>
      <c r="M1087" s="33" t="n">
        <f aca="false">IF(I1087="","",ABS(I1087))</f>
        <v>25</v>
      </c>
      <c r="N1087" s="33" t="n">
        <f aca="false">IF(J1087="","",ABS(J1087))</f>
        <v>22.5</v>
      </c>
      <c r="O1087" s="33" t="n">
        <f aca="false">IF(K1087="","",ABS(K1087))</f>
        <v>20.5633436637852</v>
      </c>
      <c r="P1087" s="34" t="str">
        <f aca="false">IF(B1087&gt;=Eval_Start_Week,"YES","")</f>
        <v/>
      </c>
      <c r="Q1087" s="34" t="str">
        <f aca="false">IF(AND(B1087&gt;=Cal_Start_Week,B1087&lt;=Cal_End_Week),"YES","")</f>
        <v>YES</v>
      </c>
    </row>
    <row r="1088" customFormat="false" ht="15" hidden="false" customHeight="false" outlineLevel="0" collapsed="false">
      <c r="A1088" s="31" t="str">
        <f aca="false">Demand_History!C1088</f>
        <v>BTH-001</v>
      </c>
      <c r="B1088" s="31" t="n">
        <f aca="false">Demand_History!A1088</f>
        <v>47</v>
      </c>
      <c r="C1088" s="32" t="n">
        <f aca="false">Demand_History!D1088</f>
        <v>136</v>
      </c>
      <c r="D1088" s="33" t="n">
        <f aca="false">IF(B1088&gt;=2,C1087,"")</f>
        <v>103</v>
      </c>
      <c r="E1088" s="33" t="n">
        <f aca="false">IF(B1088&gt;=5,AVERAGE(C1084:C1087),"")</f>
        <v>119.75</v>
      </c>
      <c r="F1088" s="33" t="n">
        <f aca="false">IF(B1088&gt;=9,AVERAGE(C1080:C1087),"")</f>
        <v>120.875</v>
      </c>
      <c r="G1088" s="33" t="n">
        <f aca="false">IF(B1088=1,"",IF(B1088=2,C1087,SES_Alpha*C1087+(1-SES_Alpha)*G1087))</f>
        <v>117.39434056465</v>
      </c>
      <c r="H1088" s="33" t="n">
        <f aca="false">IF(D1088="","",D1088-C1088)</f>
        <v>-33</v>
      </c>
      <c r="I1088" s="33" t="n">
        <f aca="false">IF(E1088="","",E1088-C1088)</f>
        <v>-16.25</v>
      </c>
      <c r="J1088" s="33" t="n">
        <f aca="false">IF(F1088="","",F1088-C1088)</f>
        <v>-15.125</v>
      </c>
      <c r="K1088" s="33" t="n">
        <f aca="false">IF(G1088="","",G1088-C1088)</f>
        <v>-18.6056594353503</v>
      </c>
      <c r="L1088" s="33" t="n">
        <f aca="false">IF(H1088="","",ABS(H1088))</f>
        <v>33</v>
      </c>
      <c r="M1088" s="33" t="n">
        <f aca="false">IF(I1088="","",ABS(I1088))</f>
        <v>16.25</v>
      </c>
      <c r="N1088" s="33" t="n">
        <f aca="false">IF(J1088="","",ABS(J1088))</f>
        <v>15.125</v>
      </c>
      <c r="O1088" s="33" t="n">
        <f aca="false">IF(K1088="","",ABS(K1088))</f>
        <v>18.6056594353503</v>
      </c>
      <c r="P1088" s="34" t="str">
        <f aca="false">IF(B1088&gt;=Eval_Start_Week,"YES","")</f>
        <v/>
      </c>
      <c r="Q1088" s="34" t="str">
        <f aca="false">IF(AND(B1088&gt;=Cal_Start_Week,B1088&lt;=Cal_End_Week),"YES","")</f>
        <v>YES</v>
      </c>
    </row>
    <row r="1089" customFormat="false" ht="15" hidden="false" customHeight="false" outlineLevel="0" collapsed="false">
      <c r="A1089" s="31" t="str">
        <f aca="false">Demand_History!C1089</f>
        <v>BTH-001</v>
      </c>
      <c r="B1089" s="31" t="n">
        <f aca="false">Demand_History!A1089</f>
        <v>48</v>
      </c>
      <c r="C1089" s="32" t="n">
        <f aca="false">Demand_History!D1089</f>
        <v>101</v>
      </c>
      <c r="D1089" s="33" t="n">
        <f aca="false">IF(B1089&gt;=2,C1088,"")</f>
        <v>136</v>
      </c>
      <c r="E1089" s="33" t="n">
        <f aca="false">IF(B1089&gt;=5,AVERAGE(C1085:C1088),"")</f>
        <v>121.75</v>
      </c>
      <c r="F1089" s="33" t="n">
        <f aca="false">IF(B1089&gt;=9,AVERAGE(C1081:C1088),"")</f>
        <v>121.375</v>
      </c>
      <c r="G1089" s="33" t="n">
        <f aca="false">IF(B1089=1,"",IF(B1089=2,C1088,SES_Alpha*C1088+(1-SES_Alpha)*G1088))</f>
        <v>122.976038395255</v>
      </c>
      <c r="H1089" s="33" t="n">
        <f aca="false">IF(D1089="","",D1089-C1089)</f>
        <v>35</v>
      </c>
      <c r="I1089" s="33" t="n">
        <f aca="false">IF(E1089="","",E1089-C1089)</f>
        <v>20.75</v>
      </c>
      <c r="J1089" s="33" t="n">
        <f aca="false">IF(F1089="","",F1089-C1089)</f>
        <v>20.375</v>
      </c>
      <c r="K1089" s="33" t="n">
        <f aca="false">IF(G1089="","",G1089-C1089)</f>
        <v>21.9760383952548</v>
      </c>
      <c r="L1089" s="33" t="n">
        <f aca="false">IF(H1089="","",ABS(H1089))</f>
        <v>35</v>
      </c>
      <c r="M1089" s="33" t="n">
        <f aca="false">IF(I1089="","",ABS(I1089))</f>
        <v>20.75</v>
      </c>
      <c r="N1089" s="33" t="n">
        <f aca="false">IF(J1089="","",ABS(J1089))</f>
        <v>20.375</v>
      </c>
      <c r="O1089" s="33" t="n">
        <f aca="false">IF(K1089="","",ABS(K1089))</f>
        <v>21.9760383952548</v>
      </c>
      <c r="P1089" s="34" t="str">
        <f aca="false">IF(B1089&gt;=Eval_Start_Week,"YES","")</f>
        <v/>
      </c>
      <c r="Q1089" s="34" t="str">
        <f aca="false">IF(AND(B1089&gt;=Cal_Start_Week,B1089&lt;=Cal_End_Week),"YES","")</f>
        <v>YES</v>
      </c>
    </row>
    <row r="1090" customFormat="false" ht="15" hidden="false" customHeight="false" outlineLevel="0" collapsed="false">
      <c r="A1090" s="31" t="str">
        <f aca="false">Demand_History!C1090</f>
        <v>BTH-001</v>
      </c>
      <c r="B1090" s="31" t="n">
        <f aca="false">Demand_History!A1090</f>
        <v>49</v>
      </c>
      <c r="C1090" s="32" t="n">
        <f aca="false">Demand_History!D1090</f>
        <v>82</v>
      </c>
      <c r="D1090" s="33" t="n">
        <f aca="false">IF(B1090&gt;=2,C1089,"")</f>
        <v>101</v>
      </c>
      <c r="E1090" s="33" t="n">
        <f aca="false">IF(B1090&gt;=5,AVERAGE(C1086:C1089),"")</f>
        <v>112.5</v>
      </c>
      <c r="F1090" s="33" t="n">
        <f aca="false">IF(B1090&gt;=9,AVERAGE(C1082:C1089),"")</f>
        <v>122.375</v>
      </c>
      <c r="G1090" s="33" t="n">
        <f aca="false">IF(B1090=1,"",IF(B1090=2,C1089,SES_Alpha*C1089+(1-SES_Alpha)*G1089))</f>
        <v>116.383226876678</v>
      </c>
      <c r="H1090" s="33" t="n">
        <f aca="false">IF(D1090="","",D1090-C1090)</f>
        <v>19</v>
      </c>
      <c r="I1090" s="33" t="n">
        <f aca="false">IF(E1090="","",E1090-C1090)</f>
        <v>30.5</v>
      </c>
      <c r="J1090" s="33" t="n">
        <f aca="false">IF(F1090="","",F1090-C1090)</f>
        <v>40.375</v>
      </c>
      <c r="K1090" s="33" t="n">
        <f aca="false">IF(G1090="","",G1090-C1090)</f>
        <v>34.3832268766783</v>
      </c>
      <c r="L1090" s="33" t="n">
        <f aca="false">IF(H1090="","",ABS(H1090))</f>
        <v>19</v>
      </c>
      <c r="M1090" s="33" t="n">
        <f aca="false">IF(I1090="","",ABS(I1090))</f>
        <v>30.5</v>
      </c>
      <c r="N1090" s="33" t="n">
        <f aca="false">IF(J1090="","",ABS(J1090))</f>
        <v>40.375</v>
      </c>
      <c r="O1090" s="33" t="n">
        <f aca="false">IF(K1090="","",ABS(K1090))</f>
        <v>34.3832268766783</v>
      </c>
      <c r="P1090" s="34" t="str">
        <f aca="false">IF(B1090&gt;=Eval_Start_Week,"YES","")</f>
        <v/>
      </c>
      <c r="Q1090" s="34" t="str">
        <f aca="false">IF(AND(B1090&gt;=Cal_Start_Week,B1090&lt;=Cal_End_Week),"YES","")</f>
        <v>YES</v>
      </c>
    </row>
    <row r="1091" customFormat="false" ht="15" hidden="false" customHeight="false" outlineLevel="0" collapsed="false">
      <c r="A1091" s="31" t="str">
        <f aca="false">Demand_History!C1091</f>
        <v>BTH-001</v>
      </c>
      <c r="B1091" s="31" t="n">
        <f aca="false">Demand_History!A1091</f>
        <v>50</v>
      </c>
      <c r="C1091" s="32" t="n">
        <f aca="false">Demand_History!D1091</f>
        <v>138</v>
      </c>
      <c r="D1091" s="33" t="n">
        <f aca="false">IF(B1091&gt;=2,C1090,"")</f>
        <v>82</v>
      </c>
      <c r="E1091" s="33" t="n">
        <f aca="false">IF(B1091&gt;=5,AVERAGE(C1087:C1090),"")</f>
        <v>105.5</v>
      </c>
      <c r="F1091" s="33" t="n">
        <f aca="false">IF(B1091&gt;=9,AVERAGE(C1083:C1090),"")</f>
        <v>116.75</v>
      </c>
      <c r="G1091" s="33" t="n">
        <f aca="false">IF(B1091=1,"",IF(B1091=2,C1090,SES_Alpha*C1090+(1-SES_Alpha)*G1090))</f>
        <v>106.068258813675</v>
      </c>
      <c r="H1091" s="33" t="n">
        <f aca="false">IF(D1091="","",D1091-C1091)</f>
        <v>-56</v>
      </c>
      <c r="I1091" s="33" t="n">
        <f aca="false">IF(E1091="","",E1091-C1091)</f>
        <v>-32.5</v>
      </c>
      <c r="J1091" s="33" t="n">
        <f aca="false">IF(F1091="","",F1091-C1091)</f>
        <v>-21.25</v>
      </c>
      <c r="K1091" s="33" t="n">
        <f aca="false">IF(G1091="","",G1091-C1091)</f>
        <v>-31.9317411863252</v>
      </c>
      <c r="L1091" s="33" t="n">
        <f aca="false">IF(H1091="","",ABS(H1091))</f>
        <v>56</v>
      </c>
      <c r="M1091" s="33" t="n">
        <f aca="false">IF(I1091="","",ABS(I1091))</f>
        <v>32.5</v>
      </c>
      <c r="N1091" s="33" t="n">
        <f aca="false">IF(J1091="","",ABS(J1091))</f>
        <v>21.25</v>
      </c>
      <c r="O1091" s="33" t="n">
        <f aca="false">IF(K1091="","",ABS(K1091))</f>
        <v>31.9317411863252</v>
      </c>
      <c r="P1091" s="34" t="str">
        <f aca="false">IF(B1091&gt;=Eval_Start_Week,"YES","")</f>
        <v/>
      </c>
      <c r="Q1091" s="34" t="str">
        <f aca="false">IF(AND(B1091&gt;=Cal_Start_Week,B1091&lt;=Cal_End_Week),"YES","")</f>
        <v>YES</v>
      </c>
    </row>
    <row r="1092" customFormat="false" ht="15" hidden="false" customHeight="false" outlineLevel="0" collapsed="false">
      <c r="A1092" s="31" t="str">
        <f aca="false">Demand_History!C1092</f>
        <v>BTH-001</v>
      </c>
      <c r="B1092" s="31" t="n">
        <f aca="false">Demand_History!A1092</f>
        <v>51</v>
      </c>
      <c r="C1092" s="32" t="n">
        <f aca="false">Demand_History!D1092</f>
        <v>107</v>
      </c>
      <c r="D1092" s="33" t="n">
        <f aca="false">IF(B1092&gt;=2,C1091,"")</f>
        <v>138</v>
      </c>
      <c r="E1092" s="33" t="n">
        <f aca="false">IF(B1092&gt;=5,AVERAGE(C1088:C1091),"")</f>
        <v>114.25</v>
      </c>
      <c r="F1092" s="33" t="n">
        <f aca="false">IF(B1092&gt;=9,AVERAGE(C1084:C1091),"")</f>
        <v>117</v>
      </c>
      <c r="G1092" s="33" t="n">
        <f aca="false">IF(B1092=1,"",IF(B1092=2,C1091,SES_Alpha*C1091+(1-SES_Alpha)*G1091))</f>
        <v>115.647781169572</v>
      </c>
      <c r="H1092" s="33" t="n">
        <f aca="false">IF(D1092="","",D1092-C1092)</f>
        <v>31</v>
      </c>
      <c r="I1092" s="33" t="n">
        <f aca="false">IF(E1092="","",E1092-C1092)</f>
        <v>7.25</v>
      </c>
      <c r="J1092" s="33" t="n">
        <f aca="false">IF(F1092="","",F1092-C1092)</f>
        <v>10</v>
      </c>
      <c r="K1092" s="33" t="n">
        <f aca="false">IF(G1092="","",G1092-C1092)</f>
        <v>8.64778116957237</v>
      </c>
      <c r="L1092" s="33" t="n">
        <f aca="false">IF(H1092="","",ABS(H1092))</f>
        <v>31</v>
      </c>
      <c r="M1092" s="33" t="n">
        <f aca="false">IF(I1092="","",ABS(I1092))</f>
        <v>7.25</v>
      </c>
      <c r="N1092" s="33" t="n">
        <f aca="false">IF(J1092="","",ABS(J1092))</f>
        <v>10</v>
      </c>
      <c r="O1092" s="33" t="n">
        <f aca="false">IF(K1092="","",ABS(K1092))</f>
        <v>8.64778116957237</v>
      </c>
      <c r="P1092" s="34" t="str">
        <f aca="false">IF(B1092&gt;=Eval_Start_Week,"YES","")</f>
        <v/>
      </c>
      <c r="Q1092" s="34" t="str">
        <f aca="false">IF(AND(B1092&gt;=Cal_Start_Week,B1092&lt;=Cal_End_Week),"YES","")</f>
        <v>YES</v>
      </c>
    </row>
    <row r="1093" customFormat="false" ht="15" hidden="false" customHeight="false" outlineLevel="0" collapsed="false">
      <c r="A1093" s="31" t="str">
        <f aca="false">Demand_History!C1093</f>
        <v>BTH-001</v>
      </c>
      <c r="B1093" s="31" t="n">
        <f aca="false">Demand_History!A1093</f>
        <v>52</v>
      </c>
      <c r="C1093" s="32" t="n">
        <f aca="false">Demand_History!D1093</f>
        <v>115</v>
      </c>
      <c r="D1093" s="33" t="n">
        <f aca="false">IF(B1093&gt;=2,C1092,"")</f>
        <v>107</v>
      </c>
      <c r="E1093" s="33" t="n">
        <f aca="false">IF(B1093&gt;=5,AVERAGE(C1089:C1092),"")</f>
        <v>107</v>
      </c>
      <c r="F1093" s="33" t="n">
        <f aca="false">IF(B1093&gt;=9,AVERAGE(C1085:C1092),"")</f>
        <v>114.375</v>
      </c>
      <c r="G1093" s="33" t="n">
        <f aca="false">IF(B1093=1,"",IF(B1093=2,C1092,SES_Alpha*C1092+(1-SES_Alpha)*G1092))</f>
        <v>113.053446818701</v>
      </c>
      <c r="H1093" s="33" t="n">
        <f aca="false">IF(D1093="","",D1093-C1093)</f>
        <v>-8</v>
      </c>
      <c r="I1093" s="33" t="n">
        <f aca="false">IF(E1093="","",E1093-C1093)</f>
        <v>-8</v>
      </c>
      <c r="J1093" s="33" t="n">
        <f aca="false">IF(F1093="","",F1093-C1093)</f>
        <v>-0.625</v>
      </c>
      <c r="K1093" s="33" t="n">
        <f aca="false">IF(G1093="","",G1093-C1093)</f>
        <v>-1.94655318129935</v>
      </c>
      <c r="L1093" s="33" t="n">
        <f aca="false">IF(H1093="","",ABS(H1093))</f>
        <v>8</v>
      </c>
      <c r="M1093" s="33" t="n">
        <f aca="false">IF(I1093="","",ABS(I1093))</f>
        <v>8</v>
      </c>
      <c r="N1093" s="33" t="n">
        <f aca="false">IF(J1093="","",ABS(J1093))</f>
        <v>0.625</v>
      </c>
      <c r="O1093" s="33" t="n">
        <f aca="false">IF(K1093="","",ABS(K1093))</f>
        <v>1.94655318129935</v>
      </c>
      <c r="P1093" s="34" t="str">
        <f aca="false">IF(B1093&gt;=Eval_Start_Week,"YES","")</f>
        <v/>
      </c>
      <c r="Q1093" s="34" t="str">
        <f aca="false">IF(AND(B1093&gt;=Cal_Start_Week,B1093&lt;=Cal_End_Week),"YES","")</f>
        <v>YES</v>
      </c>
    </row>
    <row r="1094" customFormat="false" ht="15" hidden="false" customHeight="false" outlineLevel="0" collapsed="false">
      <c r="A1094" s="31" t="str">
        <f aca="false">Demand_History!C1094</f>
        <v>BTH-001</v>
      </c>
      <c r="B1094" s="31" t="n">
        <f aca="false">Demand_History!A1094</f>
        <v>53</v>
      </c>
      <c r="C1094" s="32" t="n">
        <f aca="false">Demand_History!D1094</f>
        <v>95</v>
      </c>
      <c r="D1094" s="33" t="n">
        <f aca="false">IF(B1094&gt;=2,C1093,"")</f>
        <v>115</v>
      </c>
      <c r="E1094" s="33" t="n">
        <f aca="false">IF(B1094&gt;=5,AVERAGE(C1090:C1093),"")</f>
        <v>110.5</v>
      </c>
      <c r="F1094" s="33" t="n">
        <f aca="false">IF(B1094&gt;=9,AVERAGE(C1086:C1093),"")</f>
        <v>111.5</v>
      </c>
      <c r="G1094" s="33" t="n">
        <f aca="false">IF(B1094=1,"",IF(B1094=2,C1093,SES_Alpha*C1093+(1-SES_Alpha)*G1093))</f>
        <v>113.63741277309</v>
      </c>
      <c r="H1094" s="33" t="n">
        <f aca="false">IF(D1094="","",D1094-C1094)</f>
        <v>20</v>
      </c>
      <c r="I1094" s="33" t="n">
        <f aca="false">IF(E1094="","",E1094-C1094)</f>
        <v>15.5</v>
      </c>
      <c r="J1094" s="33" t="n">
        <f aca="false">IF(F1094="","",F1094-C1094)</f>
        <v>16.5</v>
      </c>
      <c r="K1094" s="33" t="n">
        <f aca="false">IF(G1094="","",G1094-C1094)</f>
        <v>18.6374127730904</v>
      </c>
      <c r="L1094" s="33" t="n">
        <f aca="false">IF(H1094="","",ABS(H1094))</f>
        <v>20</v>
      </c>
      <c r="M1094" s="33" t="n">
        <f aca="false">IF(I1094="","",ABS(I1094))</f>
        <v>15.5</v>
      </c>
      <c r="N1094" s="33" t="n">
        <f aca="false">IF(J1094="","",ABS(J1094))</f>
        <v>16.5</v>
      </c>
      <c r="O1094" s="33" t="n">
        <f aca="false">IF(K1094="","",ABS(K1094))</f>
        <v>18.6374127730904</v>
      </c>
      <c r="P1094" s="34" t="str">
        <f aca="false">IF(B1094&gt;=Eval_Start_Week,"YES","")</f>
        <v>YES</v>
      </c>
      <c r="Q1094" s="34" t="str">
        <f aca="false">IF(AND(B1094&gt;=Cal_Start_Week,B1094&lt;=Cal_End_Week),"YES","")</f>
        <v>YES</v>
      </c>
    </row>
    <row r="1095" customFormat="false" ht="15" hidden="false" customHeight="false" outlineLevel="0" collapsed="false">
      <c r="A1095" s="31" t="str">
        <f aca="false">Demand_History!C1095</f>
        <v>BTH-001</v>
      </c>
      <c r="B1095" s="31" t="n">
        <f aca="false">Demand_History!A1095</f>
        <v>54</v>
      </c>
      <c r="C1095" s="32" t="n">
        <f aca="false">Demand_History!D1095</f>
        <v>97</v>
      </c>
      <c r="D1095" s="33" t="n">
        <f aca="false">IF(B1095&gt;=2,C1094,"")</f>
        <v>95</v>
      </c>
      <c r="E1095" s="33" t="n">
        <f aca="false">IF(B1095&gt;=5,AVERAGE(C1091:C1094),"")</f>
        <v>113.75</v>
      </c>
      <c r="F1095" s="33" t="n">
        <f aca="false">IF(B1095&gt;=9,AVERAGE(C1087:C1094),"")</f>
        <v>109.625</v>
      </c>
      <c r="G1095" s="33" t="n">
        <f aca="false">IF(B1095=1,"",IF(B1095=2,C1094,SES_Alpha*C1094+(1-SES_Alpha)*G1094))</f>
        <v>108.046188941163</v>
      </c>
      <c r="H1095" s="33" t="n">
        <f aca="false">IF(D1095="","",D1095-C1095)</f>
        <v>-2</v>
      </c>
      <c r="I1095" s="33" t="n">
        <f aca="false">IF(E1095="","",E1095-C1095)</f>
        <v>16.75</v>
      </c>
      <c r="J1095" s="33" t="n">
        <f aca="false">IF(F1095="","",F1095-C1095)</f>
        <v>12.625</v>
      </c>
      <c r="K1095" s="33" t="n">
        <f aca="false">IF(G1095="","",G1095-C1095)</f>
        <v>11.0461889411633</v>
      </c>
      <c r="L1095" s="33" t="n">
        <f aca="false">IF(H1095="","",ABS(H1095))</f>
        <v>2</v>
      </c>
      <c r="M1095" s="33" t="n">
        <f aca="false">IF(I1095="","",ABS(I1095))</f>
        <v>16.75</v>
      </c>
      <c r="N1095" s="33" t="n">
        <f aca="false">IF(J1095="","",ABS(J1095))</f>
        <v>12.625</v>
      </c>
      <c r="O1095" s="33" t="n">
        <f aca="false">IF(K1095="","",ABS(K1095))</f>
        <v>11.0461889411633</v>
      </c>
      <c r="P1095" s="34" t="str">
        <f aca="false">IF(B1095&gt;=Eval_Start_Week,"YES","")</f>
        <v>YES</v>
      </c>
      <c r="Q1095" s="34" t="str">
        <f aca="false">IF(AND(B1095&gt;=Cal_Start_Week,B1095&lt;=Cal_End_Week),"YES","")</f>
        <v>YES</v>
      </c>
    </row>
    <row r="1096" customFormat="false" ht="15" hidden="false" customHeight="false" outlineLevel="0" collapsed="false">
      <c r="A1096" s="31" t="str">
        <f aca="false">Demand_History!C1096</f>
        <v>BTH-001</v>
      </c>
      <c r="B1096" s="31" t="n">
        <f aca="false">Demand_History!A1096</f>
        <v>55</v>
      </c>
      <c r="C1096" s="32" t="n">
        <f aca="false">Demand_History!D1096</f>
        <v>100</v>
      </c>
      <c r="D1096" s="33" t="n">
        <f aca="false">IF(B1096&gt;=2,C1095,"")</f>
        <v>97</v>
      </c>
      <c r="E1096" s="33" t="n">
        <f aca="false">IF(B1096&gt;=5,AVERAGE(C1092:C1095),"")</f>
        <v>103.5</v>
      </c>
      <c r="F1096" s="33" t="n">
        <f aca="false">IF(B1096&gt;=9,AVERAGE(C1088:C1095),"")</f>
        <v>108.875</v>
      </c>
      <c r="G1096" s="33" t="n">
        <f aca="false">IF(B1096=1,"",IF(B1096=2,C1095,SES_Alpha*C1095+(1-SES_Alpha)*G1095))</f>
        <v>104.732332258814</v>
      </c>
      <c r="H1096" s="33" t="n">
        <f aca="false">IF(D1096="","",D1096-C1096)</f>
        <v>-3</v>
      </c>
      <c r="I1096" s="33" t="n">
        <f aca="false">IF(E1096="","",E1096-C1096)</f>
        <v>3.5</v>
      </c>
      <c r="J1096" s="33" t="n">
        <f aca="false">IF(F1096="","",F1096-C1096)</f>
        <v>8.875</v>
      </c>
      <c r="K1096" s="33" t="n">
        <f aca="false">IF(G1096="","",G1096-C1096)</f>
        <v>4.73233225881431</v>
      </c>
      <c r="L1096" s="33" t="n">
        <f aca="false">IF(H1096="","",ABS(H1096))</f>
        <v>3</v>
      </c>
      <c r="M1096" s="33" t="n">
        <f aca="false">IF(I1096="","",ABS(I1096))</f>
        <v>3.5</v>
      </c>
      <c r="N1096" s="33" t="n">
        <f aca="false">IF(J1096="","",ABS(J1096))</f>
        <v>8.875</v>
      </c>
      <c r="O1096" s="33" t="n">
        <f aca="false">IF(K1096="","",ABS(K1096))</f>
        <v>4.73233225881431</v>
      </c>
      <c r="P1096" s="34" t="str">
        <f aca="false">IF(B1096&gt;=Eval_Start_Week,"YES","")</f>
        <v>YES</v>
      </c>
      <c r="Q1096" s="34" t="str">
        <f aca="false">IF(AND(B1096&gt;=Cal_Start_Week,B1096&lt;=Cal_End_Week),"YES","")</f>
        <v>YES</v>
      </c>
    </row>
    <row r="1097" customFormat="false" ht="15" hidden="false" customHeight="false" outlineLevel="0" collapsed="false">
      <c r="A1097" s="31" t="str">
        <f aca="false">Demand_History!C1097</f>
        <v>BTH-001</v>
      </c>
      <c r="B1097" s="31" t="n">
        <f aca="false">Demand_History!A1097</f>
        <v>56</v>
      </c>
      <c r="C1097" s="32" t="n">
        <f aca="false">Demand_History!D1097</f>
        <v>114</v>
      </c>
      <c r="D1097" s="33" t="n">
        <f aca="false">IF(B1097&gt;=2,C1096,"")</f>
        <v>100</v>
      </c>
      <c r="E1097" s="33" t="n">
        <f aca="false">IF(B1097&gt;=5,AVERAGE(C1093:C1096),"")</f>
        <v>101.75</v>
      </c>
      <c r="F1097" s="33" t="n">
        <f aca="false">IF(B1097&gt;=9,AVERAGE(C1089:C1096),"")</f>
        <v>104.375</v>
      </c>
      <c r="G1097" s="33" t="n">
        <f aca="false">IF(B1097=1,"",IF(B1097=2,C1096,SES_Alpha*C1096+(1-SES_Alpha)*G1096))</f>
        <v>103.31263258117</v>
      </c>
      <c r="H1097" s="33" t="n">
        <f aca="false">IF(D1097="","",D1097-C1097)</f>
        <v>-14</v>
      </c>
      <c r="I1097" s="33" t="n">
        <f aca="false">IF(E1097="","",E1097-C1097)</f>
        <v>-12.25</v>
      </c>
      <c r="J1097" s="33" t="n">
        <f aca="false">IF(F1097="","",F1097-C1097)</f>
        <v>-9.625</v>
      </c>
      <c r="K1097" s="33" t="n">
        <f aca="false">IF(G1097="","",G1097-C1097)</f>
        <v>-10.68736741883</v>
      </c>
      <c r="L1097" s="33" t="n">
        <f aca="false">IF(H1097="","",ABS(H1097))</f>
        <v>14</v>
      </c>
      <c r="M1097" s="33" t="n">
        <f aca="false">IF(I1097="","",ABS(I1097))</f>
        <v>12.25</v>
      </c>
      <c r="N1097" s="33" t="n">
        <f aca="false">IF(J1097="","",ABS(J1097))</f>
        <v>9.625</v>
      </c>
      <c r="O1097" s="33" t="n">
        <f aca="false">IF(K1097="","",ABS(K1097))</f>
        <v>10.68736741883</v>
      </c>
      <c r="P1097" s="34" t="str">
        <f aca="false">IF(B1097&gt;=Eval_Start_Week,"YES","")</f>
        <v>YES</v>
      </c>
      <c r="Q1097" s="34" t="str">
        <f aca="false">IF(AND(B1097&gt;=Cal_Start_Week,B1097&lt;=Cal_End_Week),"YES","")</f>
        <v>YES</v>
      </c>
    </row>
    <row r="1098" customFormat="false" ht="15" hidden="false" customHeight="false" outlineLevel="0" collapsed="false">
      <c r="A1098" s="31" t="str">
        <f aca="false">Demand_History!C1098</f>
        <v>BTH-001</v>
      </c>
      <c r="B1098" s="31" t="n">
        <f aca="false">Demand_History!A1098</f>
        <v>57</v>
      </c>
      <c r="C1098" s="32" t="n">
        <f aca="false">Demand_History!D1098</f>
        <v>127</v>
      </c>
      <c r="D1098" s="33" t="n">
        <f aca="false">IF(B1098&gt;=2,C1097,"")</f>
        <v>114</v>
      </c>
      <c r="E1098" s="33" t="n">
        <f aca="false">IF(B1098&gt;=5,AVERAGE(C1094:C1097),"")</f>
        <v>101.5</v>
      </c>
      <c r="F1098" s="33" t="n">
        <f aca="false">IF(B1098&gt;=9,AVERAGE(C1090:C1097),"")</f>
        <v>106</v>
      </c>
      <c r="G1098" s="33" t="n">
        <f aca="false">IF(B1098=1,"",IF(B1098=2,C1097,SES_Alpha*C1097+(1-SES_Alpha)*G1097))</f>
        <v>106.518842806819</v>
      </c>
      <c r="H1098" s="33" t="n">
        <f aca="false">IF(D1098="","",D1098-C1098)</f>
        <v>-13</v>
      </c>
      <c r="I1098" s="33" t="n">
        <f aca="false">IF(E1098="","",E1098-C1098)</f>
        <v>-25.5</v>
      </c>
      <c r="J1098" s="33" t="n">
        <f aca="false">IF(F1098="","",F1098-C1098)</f>
        <v>-21</v>
      </c>
      <c r="K1098" s="33" t="n">
        <f aca="false">IF(G1098="","",G1098-C1098)</f>
        <v>-20.481157193181</v>
      </c>
      <c r="L1098" s="33" t="n">
        <f aca="false">IF(H1098="","",ABS(H1098))</f>
        <v>13</v>
      </c>
      <c r="M1098" s="33" t="n">
        <f aca="false">IF(I1098="","",ABS(I1098))</f>
        <v>25.5</v>
      </c>
      <c r="N1098" s="33" t="n">
        <f aca="false">IF(J1098="","",ABS(J1098))</f>
        <v>21</v>
      </c>
      <c r="O1098" s="33" t="n">
        <f aca="false">IF(K1098="","",ABS(K1098))</f>
        <v>20.481157193181</v>
      </c>
      <c r="P1098" s="34" t="str">
        <f aca="false">IF(B1098&gt;=Eval_Start_Week,"YES","")</f>
        <v>YES</v>
      </c>
      <c r="Q1098" s="34" t="str">
        <f aca="false">IF(AND(B1098&gt;=Cal_Start_Week,B1098&lt;=Cal_End_Week),"YES","")</f>
        <v>YES</v>
      </c>
    </row>
    <row r="1099" customFormat="false" ht="15" hidden="false" customHeight="false" outlineLevel="0" collapsed="false">
      <c r="A1099" s="31" t="str">
        <f aca="false">Demand_History!C1099</f>
        <v>BTH-001</v>
      </c>
      <c r="B1099" s="31" t="n">
        <f aca="false">Demand_History!A1099</f>
        <v>58</v>
      </c>
      <c r="C1099" s="32" t="n">
        <f aca="false">Demand_History!D1099</f>
        <v>80</v>
      </c>
      <c r="D1099" s="33" t="n">
        <f aca="false">IF(B1099&gt;=2,C1098,"")</f>
        <v>127</v>
      </c>
      <c r="E1099" s="33" t="n">
        <f aca="false">IF(B1099&gt;=5,AVERAGE(C1095:C1098),"")</f>
        <v>109.5</v>
      </c>
      <c r="F1099" s="33" t="n">
        <f aca="false">IF(B1099&gt;=9,AVERAGE(C1091:C1098),"")</f>
        <v>111.625</v>
      </c>
      <c r="G1099" s="33" t="n">
        <f aca="false">IF(B1099=1,"",IF(B1099=2,C1098,SES_Alpha*C1098+(1-SES_Alpha)*G1098))</f>
        <v>112.663189964773</v>
      </c>
      <c r="H1099" s="33" t="n">
        <f aca="false">IF(D1099="","",D1099-C1099)</f>
        <v>47</v>
      </c>
      <c r="I1099" s="33" t="n">
        <f aca="false">IF(E1099="","",E1099-C1099)</f>
        <v>29.5</v>
      </c>
      <c r="J1099" s="33" t="n">
        <f aca="false">IF(F1099="","",F1099-C1099)</f>
        <v>31.625</v>
      </c>
      <c r="K1099" s="33" t="n">
        <f aca="false">IF(G1099="","",G1099-C1099)</f>
        <v>32.6631899647733</v>
      </c>
      <c r="L1099" s="33" t="n">
        <f aca="false">IF(H1099="","",ABS(H1099))</f>
        <v>47</v>
      </c>
      <c r="M1099" s="33" t="n">
        <f aca="false">IF(I1099="","",ABS(I1099))</f>
        <v>29.5</v>
      </c>
      <c r="N1099" s="33" t="n">
        <f aca="false">IF(J1099="","",ABS(J1099))</f>
        <v>31.625</v>
      </c>
      <c r="O1099" s="33" t="n">
        <f aca="false">IF(K1099="","",ABS(K1099))</f>
        <v>32.6631899647733</v>
      </c>
      <c r="P1099" s="34" t="str">
        <f aca="false">IF(B1099&gt;=Eval_Start_Week,"YES","")</f>
        <v>YES</v>
      </c>
      <c r="Q1099" s="34" t="str">
        <f aca="false">IF(AND(B1099&gt;=Cal_Start_Week,B1099&lt;=Cal_End_Week),"YES","")</f>
        <v>YES</v>
      </c>
    </row>
    <row r="1100" customFormat="false" ht="15" hidden="false" customHeight="false" outlineLevel="0" collapsed="false">
      <c r="A1100" s="31" t="str">
        <f aca="false">Demand_History!C1100</f>
        <v>BTH-001</v>
      </c>
      <c r="B1100" s="31" t="n">
        <f aca="false">Demand_History!A1100</f>
        <v>59</v>
      </c>
      <c r="C1100" s="32" t="n">
        <f aca="false">Demand_History!D1100</f>
        <v>133</v>
      </c>
      <c r="D1100" s="33" t="n">
        <f aca="false">IF(B1100&gt;=2,C1099,"")</f>
        <v>80</v>
      </c>
      <c r="E1100" s="33" t="n">
        <f aca="false">IF(B1100&gt;=5,AVERAGE(C1096:C1099),"")</f>
        <v>105.25</v>
      </c>
      <c r="F1100" s="33" t="n">
        <f aca="false">IF(B1100&gt;=9,AVERAGE(C1092:C1099),"")</f>
        <v>104.375</v>
      </c>
      <c r="G1100" s="33" t="n">
        <f aca="false">IF(B1100=1,"",IF(B1100=2,C1099,SES_Alpha*C1099+(1-SES_Alpha)*G1099))</f>
        <v>102.864232975341</v>
      </c>
      <c r="H1100" s="33" t="n">
        <f aca="false">IF(D1100="","",D1100-C1100)</f>
        <v>-53</v>
      </c>
      <c r="I1100" s="33" t="n">
        <f aca="false">IF(E1100="","",E1100-C1100)</f>
        <v>-27.75</v>
      </c>
      <c r="J1100" s="33" t="n">
        <f aca="false">IF(F1100="","",F1100-C1100)</f>
        <v>-28.625</v>
      </c>
      <c r="K1100" s="33" t="n">
        <f aca="false">IF(G1100="","",G1100-C1100)</f>
        <v>-30.1357670246587</v>
      </c>
      <c r="L1100" s="33" t="n">
        <f aca="false">IF(H1100="","",ABS(H1100))</f>
        <v>53</v>
      </c>
      <c r="M1100" s="33" t="n">
        <f aca="false">IF(I1100="","",ABS(I1100))</f>
        <v>27.75</v>
      </c>
      <c r="N1100" s="33" t="n">
        <f aca="false">IF(J1100="","",ABS(J1100))</f>
        <v>28.625</v>
      </c>
      <c r="O1100" s="33" t="n">
        <f aca="false">IF(K1100="","",ABS(K1100))</f>
        <v>30.1357670246587</v>
      </c>
      <c r="P1100" s="34" t="str">
        <f aca="false">IF(B1100&gt;=Eval_Start_Week,"YES","")</f>
        <v>YES</v>
      </c>
      <c r="Q1100" s="34" t="str">
        <f aca="false">IF(AND(B1100&gt;=Cal_Start_Week,B1100&lt;=Cal_End_Week),"YES","")</f>
        <v>YES</v>
      </c>
    </row>
    <row r="1101" customFormat="false" ht="15" hidden="false" customHeight="false" outlineLevel="0" collapsed="false">
      <c r="A1101" s="31" t="str">
        <f aca="false">Demand_History!C1101</f>
        <v>BTH-001</v>
      </c>
      <c r="B1101" s="31" t="n">
        <f aca="false">Demand_History!A1101</f>
        <v>60</v>
      </c>
      <c r="C1101" s="32" t="n">
        <f aca="false">Demand_History!D1101</f>
        <v>99</v>
      </c>
      <c r="D1101" s="33" t="n">
        <f aca="false">IF(B1101&gt;=2,C1100,"")</f>
        <v>133</v>
      </c>
      <c r="E1101" s="33" t="n">
        <f aca="false">IF(B1101&gt;=5,AVERAGE(C1097:C1100),"")</f>
        <v>113.5</v>
      </c>
      <c r="F1101" s="33" t="n">
        <f aca="false">IF(B1101&gt;=9,AVERAGE(C1093:C1100),"")</f>
        <v>107.625</v>
      </c>
      <c r="G1101" s="33" t="n">
        <f aca="false">IF(B1101=1,"",IF(B1101=2,C1100,SES_Alpha*C1100+(1-SES_Alpha)*G1100))</f>
        <v>111.904963082739</v>
      </c>
      <c r="H1101" s="33" t="n">
        <f aca="false">IF(D1101="","",D1101-C1101)</f>
        <v>34</v>
      </c>
      <c r="I1101" s="33" t="n">
        <f aca="false">IF(E1101="","",E1101-C1101)</f>
        <v>14.5</v>
      </c>
      <c r="J1101" s="33" t="n">
        <f aca="false">IF(F1101="","",F1101-C1101)</f>
        <v>8.625</v>
      </c>
      <c r="K1101" s="33" t="n">
        <f aca="false">IF(G1101="","",G1101-C1101)</f>
        <v>12.9049630827389</v>
      </c>
      <c r="L1101" s="33" t="n">
        <f aca="false">IF(H1101="","",ABS(H1101))</f>
        <v>34</v>
      </c>
      <c r="M1101" s="33" t="n">
        <f aca="false">IF(I1101="","",ABS(I1101))</f>
        <v>14.5</v>
      </c>
      <c r="N1101" s="33" t="n">
        <f aca="false">IF(J1101="","",ABS(J1101))</f>
        <v>8.625</v>
      </c>
      <c r="O1101" s="33" t="n">
        <f aca="false">IF(K1101="","",ABS(K1101))</f>
        <v>12.9049630827389</v>
      </c>
      <c r="P1101" s="34" t="str">
        <f aca="false">IF(B1101&gt;=Eval_Start_Week,"YES","")</f>
        <v>YES</v>
      </c>
      <c r="Q1101" s="34" t="str">
        <f aca="false">IF(AND(B1101&gt;=Cal_Start_Week,B1101&lt;=Cal_End_Week),"YES","")</f>
        <v>YES</v>
      </c>
    </row>
    <row r="1102" customFormat="false" ht="15" hidden="false" customHeight="false" outlineLevel="0" collapsed="false">
      <c r="A1102" s="31" t="str">
        <f aca="false">Demand_History!C1102</f>
        <v>BTH-001</v>
      </c>
      <c r="B1102" s="31" t="n">
        <f aca="false">Demand_History!A1102</f>
        <v>61</v>
      </c>
      <c r="C1102" s="32" t="n">
        <f aca="false">Demand_History!D1102</f>
        <v>101</v>
      </c>
      <c r="D1102" s="33" t="n">
        <f aca="false">IF(B1102&gt;=2,C1101,"")</f>
        <v>99</v>
      </c>
      <c r="E1102" s="33" t="n">
        <f aca="false">IF(B1102&gt;=5,AVERAGE(C1098:C1101),"")</f>
        <v>109.75</v>
      </c>
      <c r="F1102" s="33" t="n">
        <f aca="false">IF(B1102&gt;=9,AVERAGE(C1094:C1101),"")</f>
        <v>105.625</v>
      </c>
      <c r="G1102" s="33" t="n">
        <f aca="false">IF(B1102=1,"",IF(B1102=2,C1101,SES_Alpha*C1101+(1-SES_Alpha)*G1101))</f>
        <v>108.033474157917</v>
      </c>
      <c r="H1102" s="33" t="n">
        <f aca="false">IF(D1102="","",D1102-C1102)</f>
        <v>-2</v>
      </c>
      <c r="I1102" s="33" t="n">
        <f aca="false">IF(E1102="","",E1102-C1102)</f>
        <v>8.75</v>
      </c>
      <c r="J1102" s="33" t="n">
        <f aca="false">IF(F1102="","",F1102-C1102)</f>
        <v>4.625</v>
      </c>
      <c r="K1102" s="33" t="n">
        <f aca="false">IF(G1102="","",G1102-C1102)</f>
        <v>7.03347415791723</v>
      </c>
      <c r="L1102" s="33" t="n">
        <f aca="false">IF(H1102="","",ABS(H1102))</f>
        <v>2</v>
      </c>
      <c r="M1102" s="33" t="n">
        <f aca="false">IF(I1102="","",ABS(I1102))</f>
        <v>8.75</v>
      </c>
      <c r="N1102" s="33" t="n">
        <f aca="false">IF(J1102="","",ABS(J1102))</f>
        <v>4.625</v>
      </c>
      <c r="O1102" s="33" t="n">
        <f aca="false">IF(K1102="","",ABS(K1102))</f>
        <v>7.03347415791723</v>
      </c>
      <c r="P1102" s="34" t="str">
        <f aca="false">IF(B1102&gt;=Eval_Start_Week,"YES","")</f>
        <v>YES</v>
      </c>
      <c r="Q1102" s="34" t="str">
        <f aca="false">IF(AND(B1102&gt;=Cal_Start_Week,B1102&lt;=Cal_End_Week),"YES","")</f>
        <v>YES</v>
      </c>
    </row>
    <row r="1103" customFormat="false" ht="15" hidden="false" customHeight="false" outlineLevel="0" collapsed="false">
      <c r="A1103" s="31" t="str">
        <f aca="false">Demand_History!C1103</f>
        <v>BTH-001</v>
      </c>
      <c r="B1103" s="31" t="n">
        <f aca="false">Demand_History!A1103</f>
        <v>62</v>
      </c>
      <c r="C1103" s="32" t="n">
        <f aca="false">Demand_History!D1103</f>
        <v>132</v>
      </c>
      <c r="D1103" s="33" t="n">
        <f aca="false">IF(B1103&gt;=2,C1102,"")</f>
        <v>101</v>
      </c>
      <c r="E1103" s="33" t="n">
        <f aca="false">IF(B1103&gt;=5,AVERAGE(C1099:C1102),"")</f>
        <v>103.25</v>
      </c>
      <c r="F1103" s="33" t="n">
        <f aca="false">IF(B1103&gt;=9,AVERAGE(C1095:C1102),"")</f>
        <v>106.375</v>
      </c>
      <c r="G1103" s="33" t="n">
        <f aca="false">IF(B1103=1,"",IF(B1103=2,C1102,SES_Alpha*C1102+(1-SES_Alpha)*G1102))</f>
        <v>105.923431910542</v>
      </c>
      <c r="H1103" s="33" t="n">
        <f aca="false">IF(D1103="","",D1103-C1103)</f>
        <v>-31</v>
      </c>
      <c r="I1103" s="33" t="n">
        <f aca="false">IF(E1103="","",E1103-C1103)</f>
        <v>-28.75</v>
      </c>
      <c r="J1103" s="33" t="n">
        <f aca="false">IF(F1103="","",F1103-C1103)</f>
        <v>-25.625</v>
      </c>
      <c r="K1103" s="33" t="n">
        <f aca="false">IF(G1103="","",G1103-C1103)</f>
        <v>-26.076568089458</v>
      </c>
      <c r="L1103" s="33" t="n">
        <f aca="false">IF(H1103="","",ABS(H1103))</f>
        <v>31</v>
      </c>
      <c r="M1103" s="33" t="n">
        <f aca="false">IF(I1103="","",ABS(I1103))</f>
        <v>28.75</v>
      </c>
      <c r="N1103" s="33" t="n">
        <f aca="false">IF(J1103="","",ABS(J1103))</f>
        <v>25.625</v>
      </c>
      <c r="O1103" s="33" t="n">
        <f aca="false">IF(K1103="","",ABS(K1103))</f>
        <v>26.076568089458</v>
      </c>
      <c r="P1103" s="34" t="str">
        <f aca="false">IF(B1103&gt;=Eval_Start_Week,"YES","")</f>
        <v>YES</v>
      </c>
      <c r="Q1103" s="34" t="str">
        <f aca="false">IF(AND(B1103&gt;=Cal_Start_Week,B1103&lt;=Cal_End_Week),"YES","")</f>
        <v>YES</v>
      </c>
    </row>
    <row r="1104" customFormat="false" ht="15" hidden="false" customHeight="false" outlineLevel="0" collapsed="false">
      <c r="A1104" s="31" t="str">
        <f aca="false">Demand_History!C1104</f>
        <v>BTH-001</v>
      </c>
      <c r="B1104" s="31" t="n">
        <f aca="false">Demand_History!A1104</f>
        <v>63</v>
      </c>
      <c r="C1104" s="32" t="n">
        <f aca="false">Demand_History!D1104</f>
        <v>119</v>
      </c>
      <c r="D1104" s="33" t="n">
        <f aca="false">IF(B1104&gt;=2,C1103,"")</f>
        <v>132</v>
      </c>
      <c r="E1104" s="33" t="n">
        <f aca="false">IF(B1104&gt;=5,AVERAGE(C1100:C1103),"")</f>
        <v>116.25</v>
      </c>
      <c r="F1104" s="33" t="n">
        <f aca="false">IF(B1104&gt;=9,AVERAGE(C1096:C1103),"")</f>
        <v>110.75</v>
      </c>
      <c r="G1104" s="33" t="n">
        <f aca="false">IF(B1104=1,"",IF(B1104=2,C1103,SES_Alpha*C1103+(1-SES_Alpha)*G1103))</f>
        <v>113.746402337379</v>
      </c>
      <c r="H1104" s="33" t="n">
        <f aca="false">IF(D1104="","",D1104-C1104)</f>
        <v>13</v>
      </c>
      <c r="I1104" s="33" t="n">
        <f aca="false">IF(E1104="","",E1104-C1104)</f>
        <v>-2.75</v>
      </c>
      <c r="J1104" s="33" t="n">
        <f aca="false">IF(F1104="","",F1104-C1104)</f>
        <v>-8.25</v>
      </c>
      <c r="K1104" s="33" t="n">
        <f aca="false">IF(G1104="","",G1104-C1104)</f>
        <v>-5.25359766262056</v>
      </c>
      <c r="L1104" s="33" t="n">
        <f aca="false">IF(H1104="","",ABS(H1104))</f>
        <v>13</v>
      </c>
      <c r="M1104" s="33" t="n">
        <f aca="false">IF(I1104="","",ABS(I1104))</f>
        <v>2.75</v>
      </c>
      <c r="N1104" s="33" t="n">
        <f aca="false">IF(J1104="","",ABS(J1104))</f>
        <v>8.25</v>
      </c>
      <c r="O1104" s="33" t="n">
        <f aca="false">IF(K1104="","",ABS(K1104))</f>
        <v>5.25359766262056</v>
      </c>
      <c r="P1104" s="34" t="str">
        <f aca="false">IF(B1104&gt;=Eval_Start_Week,"YES","")</f>
        <v>YES</v>
      </c>
      <c r="Q1104" s="34" t="str">
        <f aca="false">IF(AND(B1104&gt;=Cal_Start_Week,B1104&lt;=Cal_End_Week),"YES","")</f>
        <v>YES</v>
      </c>
    </row>
    <row r="1105" customFormat="false" ht="15" hidden="false" customHeight="false" outlineLevel="0" collapsed="false">
      <c r="A1105" s="31" t="str">
        <f aca="false">Demand_History!C1105</f>
        <v>BTH-001</v>
      </c>
      <c r="B1105" s="31" t="n">
        <f aca="false">Demand_History!A1105</f>
        <v>64</v>
      </c>
      <c r="C1105" s="32" t="n">
        <f aca="false">Demand_History!D1105</f>
        <v>93</v>
      </c>
      <c r="D1105" s="33" t="n">
        <f aca="false">IF(B1105&gt;=2,C1104,"")</f>
        <v>119</v>
      </c>
      <c r="E1105" s="33" t="n">
        <f aca="false">IF(B1105&gt;=5,AVERAGE(C1101:C1104),"")</f>
        <v>112.75</v>
      </c>
      <c r="F1105" s="33" t="n">
        <f aca="false">IF(B1105&gt;=9,AVERAGE(C1097:C1104),"")</f>
        <v>113.125</v>
      </c>
      <c r="G1105" s="33" t="n">
        <f aca="false">IF(B1105=1,"",IF(B1105=2,C1104,SES_Alpha*C1104+(1-SES_Alpha)*G1104))</f>
        <v>115.322481636166</v>
      </c>
      <c r="H1105" s="33" t="n">
        <f aca="false">IF(D1105="","",D1105-C1105)</f>
        <v>26</v>
      </c>
      <c r="I1105" s="33" t="n">
        <f aca="false">IF(E1105="","",E1105-C1105)</f>
        <v>19.75</v>
      </c>
      <c r="J1105" s="33" t="n">
        <f aca="false">IF(F1105="","",F1105-C1105)</f>
        <v>20.125</v>
      </c>
      <c r="K1105" s="33" t="n">
        <f aca="false">IF(G1105="","",G1105-C1105)</f>
        <v>22.3224816361656</v>
      </c>
      <c r="L1105" s="33" t="n">
        <f aca="false">IF(H1105="","",ABS(H1105))</f>
        <v>26</v>
      </c>
      <c r="M1105" s="33" t="n">
        <f aca="false">IF(I1105="","",ABS(I1105))</f>
        <v>19.75</v>
      </c>
      <c r="N1105" s="33" t="n">
        <f aca="false">IF(J1105="","",ABS(J1105))</f>
        <v>20.125</v>
      </c>
      <c r="O1105" s="33" t="n">
        <f aca="false">IF(K1105="","",ABS(K1105))</f>
        <v>22.3224816361656</v>
      </c>
      <c r="P1105" s="34" t="str">
        <f aca="false">IF(B1105&gt;=Eval_Start_Week,"YES","")</f>
        <v>YES</v>
      </c>
      <c r="Q1105" s="34" t="str">
        <f aca="false">IF(AND(B1105&gt;=Cal_Start_Week,B1105&lt;=Cal_End_Week),"YES","")</f>
        <v>YES</v>
      </c>
    </row>
    <row r="1106" customFormat="false" ht="15" hidden="false" customHeight="false" outlineLevel="0" collapsed="false">
      <c r="A1106" s="31" t="str">
        <f aca="false">Demand_History!C1106</f>
        <v>BTH-001</v>
      </c>
      <c r="B1106" s="31" t="n">
        <f aca="false">Demand_History!A1106</f>
        <v>65</v>
      </c>
      <c r="C1106" s="32" t="n">
        <f aca="false">Demand_History!D1106</f>
        <v>152</v>
      </c>
      <c r="D1106" s="33" t="n">
        <f aca="false">IF(B1106&gt;=2,C1105,"")</f>
        <v>93</v>
      </c>
      <c r="E1106" s="33" t="n">
        <f aca="false">IF(B1106&gt;=5,AVERAGE(C1102:C1105),"")</f>
        <v>111.25</v>
      </c>
      <c r="F1106" s="33" t="n">
        <f aca="false">IF(B1106&gt;=9,AVERAGE(C1098:C1105),"")</f>
        <v>110.5</v>
      </c>
      <c r="G1106" s="33" t="n">
        <f aca="false">IF(B1106=1,"",IF(B1106=2,C1105,SES_Alpha*C1105+(1-SES_Alpha)*G1105))</f>
        <v>108.625737145316</v>
      </c>
      <c r="H1106" s="33" t="n">
        <f aca="false">IF(D1106="","",D1106-C1106)</f>
        <v>-59</v>
      </c>
      <c r="I1106" s="33" t="n">
        <f aca="false">IF(E1106="","",E1106-C1106)</f>
        <v>-40.75</v>
      </c>
      <c r="J1106" s="33" t="n">
        <f aca="false">IF(F1106="","",F1106-C1106)</f>
        <v>-41.5</v>
      </c>
      <c r="K1106" s="33" t="n">
        <f aca="false">IF(G1106="","",G1106-C1106)</f>
        <v>-43.3742628546841</v>
      </c>
      <c r="L1106" s="33" t="n">
        <f aca="false">IF(H1106="","",ABS(H1106))</f>
        <v>59</v>
      </c>
      <c r="M1106" s="33" t="n">
        <f aca="false">IF(I1106="","",ABS(I1106))</f>
        <v>40.75</v>
      </c>
      <c r="N1106" s="33" t="n">
        <f aca="false">IF(J1106="","",ABS(J1106))</f>
        <v>41.5</v>
      </c>
      <c r="O1106" s="33" t="n">
        <f aca="false">IF(K1106="","",ABS(K1106))</f>
        <v>43.3742628546841</v>
      </c>
      <c r="P1106" s="34" t="str">
        <f aca="false">IF(B1106&gt;=Eval_Start_Week,"YES","")</f>
        <v>YES</v>
      </c>
      <c r="Q1106" s="34" t="str">
        <f aca="false">IF(AND(B1106&gt;=Cal_Start_Week,B1106&lt;=Cal_End_Week),"YES","")</f>
        <v>YES</v>
      </c>
    </row>
    <row r="1107" customFormat="false" ht="15" hidden="false" customHeight="false" outlineLevel="0" collapsed="false">
      <c r="A1107" s="31" t="str">
        <f aca="false">Demand_History!C1107</f>
        <v>BTH-001</v>
      </c>
      <c r="B1107" s="31" t="n">
        <f aca="false">Demand_History!A1107</f>
        <v>66</v>
      </c>
      <c r="C1107" s="32" t="n">
        <f aca="false">Demand_History!D1107</f>
        <v>105</v>
      </c>
      <c r="D1107" s="33" t="n">
        <f aca="false">IF(B1107&gt;=2,C1106,"")</f>
        <v>152</v>
      </c>
      <c r="E1107" s="33" t="n">
        <f aca="false">IF(B1107&gt;=5,AVERAGE(C1103:C1106),"")</f>
        <v>124</v>
      </c>
      <c r="F1107" s="33" t="n">
        <f aca="false">IF(B1107&gt;=9,AVERAGE(C1099:C1106),"")</f>
        <v>113.625</v>
      </c>
      <c r="G1107" s="33" t="n">
        <f aca="false">IF(B1107=1,"",IF(B1107=2,C1106,SES_Alpha*C1106+(1-SES_Alpha)*G1106))</f>
        <v>121.638016001721</v>
      </c>
      <c r="H1107" s="33" t="n">
        <f aca="false">IF(D1107="","",D1107-C1107)</f>
        <v>47</v>
      </c>
      <c r="I1107" s="33" t="n">
        <f aca="false">IF(E1107="","",E1107-C1107)</f>
        <v>19</v>
      </c>
      <c r="J1107" s="33" t="n">
        <f aca="false">IF(F1107="","",F1107-C1107)</f>
        <v>8.625</v>
      </c>
      <c r="K1107" s="33" t="n">
        <f aca="false">IF(G1107="","",G1107-C1107)</f>
        <v>16.6380160017212</v>
      </c>
      <c r="L1107" s="33" t="n">
        <f aca="false">IF(H1107="","",ABS(H1107))</f>
        <v>47</v>
      </c>
      <c r="M1107" s="33" t="n">
        <f aca="false">IF(I1107="","",ABS(I1107))</f>
        <v>19</v>
      </c>
      <c r="N1107" s="33" t="n">
        <f aca="false">IF(J1107="","",ABS(J1107))</f>
        <v>8.625</v>
      </c>
      <c r="O1107" s="33" t="n">
        <f aca="false">IF(K1107="","",ABS(K1107))</f>
        <v>16.6380160017212</v>
      </c>
      <c r="P1107" s="34" t="str">
        <f aca="false">IF(B1107&gt;=Eval_Start_Week,"YES","")</f>
        <v>YES</v>
      </c>
      <c r="Q1107" s="34" t="str">
        <f aca="false">IF(AND(B1107&gt;=Cal_Start_Week,B1107&lt;=Cal_End_Week),"YES","")</f>
        <v>YES</v>
      </c>
    </row>
    <row r="1108" customFormat="false" ht="15" hidden="false" customHeight="false" outlineLevel="0" collapsed="false">
      <c r="A1108" s="31" t="str">
        <f aca="false">Demand_History!C1108</f>
        <v>BTH-001</v>
      </c>
      <c r="B1108" s="31" t="n">
        <f aca="false">Demand_History!A1108</f>
        <v>67</v>
      </c>
      <c r="C1108" s="32" t="n">
        <f aca="false">Demand_History!D1108</f>
        <v>124</v>
      </c>
      <c r="D1108" s="33" t="n">
        <f aca="false">IF(B1108&gt;=2,C1107,"")</f>
        <v>105</v>
      </c>
      <c r="E1108" s="33" t="n">
        <f aca="false">IF(B1108&gt;=5,AVERAGE(C1104:C1107),"")</f>
        <v>117.25</v>
      </c>
      <c r="F1108" s="33" t="n">
        <f aca="false">IF(B1108&gt;=9,AVERAGE(C1100:C1107),"")</f>
        <v>116.75</v>
      </c>
      <c r="G1108" s="33" t="n">
        <f aca="false">IF(B1108=1,"",IF(B1108=2,C1107,SES_Alpha*C1107+(1-SES_Alpha)*G1107))</f>
        <v>116.646611201205</v>
      </c>
      <c r="H1108" s="33" t="n">
        <f aca="false">IF(D1108="","",D1108-C1108)</f>
        <v>-19</v>
      </c>
      <c r="I1108" s="33" t="n">
        <f aca="false">IF(E1108="","",E1108-C1108)</f>
        <v>-6.75</v>
      </c>
      <c r="J1108" s="33" t="n">
        <f aca="false">IF(F1108="","",F1108-C1108)</f>
        <v>-7.25</v>
      </c>
      <c r="K1108" s="33" t="n">
        <f aca="false">IF(G1108="","",G1108-C1108)</f>
        <v>-7.35338879879519</v>
      </c>
      <c r="L1108" s="33" t="n">
        <f aca="false">IF(H1108="","",ABS(H1108))</f>
        <v>19</v>
      </c>
      <c r="M1108" s="33" t="n">
        <f aca="false">IF(I1108="","",ABS(I1108))</f>
        <v>6.75</v>
      </c>
      <c r="N1108" s="33" t="n">
        <f aca="false">IF(J1108="","",ABS(J1108))</f>
        <v>7.25</v>
      </c>
      <c r="O1108" s="33" t="n">
        <f aca="false">IF(K1108="","",ABS(K1108))</f>
        <v>7.35338879879519</v>
      </c>
      <c r="P1108" s="34" t="str">
        <f aca="false">IF(B1108&gt;=Eval_Start_Week,"YES","")</f>
        <v>YES</v>
      </c>
      <c r="Q1108" s="34" t="str">
        <f aca="false">IF(AND(B1108&gt;=Cal_Start_Week,B1108&lt;=Cal_End_Week),"YES","")</f>
        <v>YES</v>
      </c>
    </row>
    <row r="1109" customFormat="false" ht="15" hidden="false" customHeight="false" outlineLevel="0" collapsed="false">
      <c r="A1109" s="31" t="str">
        <f aca="false">Demand_History!C1109</f>
        <v>BTH-001</v>
      </c>
      <c r="B1109" s="31" t="n">
        <f aca="false">Demand_History!A1109</f>
        <v>68</v>
      </c>
      <c r="C1109" s="32" t="n">
        <f aca="false">Demand_History!D1109</f>
        <v>124</v>
      </c>
      <c r="D1109" s="33" t="n">
        <f aca="false">IF(B1109&gt;=2,C1108,"")</f>
        <v>124</v>
      </c>
      <c r="E1109" s="33" t="n">
        <f aca="false">IF(B1109&gt;=5,AVERAGE(C1105:C1108),"")</f>
        <v>118.5</v>
      </c>
      <c r="F1109" s="33" t="n">
        <f aca="false">IF(B1109&gt;=9,AVERAGE(C1101:C1108),"")</f>
        <v>115.625</v>
      </c>
      <c r="G1109" s="33" t="n">
        <f aca="false">IF(B1109=1,"",IF(B1109=2,C1108,SES_Alpha*C1108+(1-SES_Alpha)*G1108))</f>
        <v>118.852627840843</v>
      </c>
      <c r="H1109" s="33" t="n">
        <f aca="false">IF(D1109="","",D1109-C1109)</f>
        <v>0</v>
      </c>
      <c r="I1109" s="33" t="n">
        <f aca="false">IF(E1109="","",E1109-C1109)</f>
        <v>-5.5</v>
      </c>
      <c r="J1109" s="33" t="n">
        <f aca="false">IF(F1109="","",F1109-C1109)</f>
        <v>-8.375</v>
      </c>
      <c r="K1109" s="33" t="n">
        <f aca="false">IF(G1109="","",G1109-C1109)</f>
        <v>-5.14737215915665</v>
      </c>
      <c r="L1109" s="33" t="n">
        <f aca="false">IF(H1109="","",ABS(H1109))</f>
        <v>0</v>
      </c>
      <c r="M1109" s="33" t="n">
        <f aca="false">IF(I1109="","",ABS(I1109))</f>
        <v>5.5</v>
      </c>
      <c r="N1109" s="33" t="n">
        <f aca="false">IF(J1109="","",ABS(J1109))</f>
        <v>8.375</v>
      </c>
      <c r="O1109" s="33" t="n">
        <f aca="false">IF(K1109="","",ABS(K1109))</f>
        <v>5.14737215915665</v>
      </c>
      <c r="P1109" s="34" t="str">
        <f aca="false">IF(B1109&gt;=Eval_Start_Week,"YES","")</f>
        <v>YES</v>
      </c>
      <c r="Q1109" s="34" t="str">
        <f aca="false">IF(AND(B1109&gt;=Cal_Start_Week,B1109&lt;=Cal_End_Week),"YES","")</f>
        <v>YES</v>
      </c>
    </row>
    <row r="1110" customFormat="false" ht="15" hidden="false" customHeight="false" outlineLevel="0" collapsed="false">
      <c r="A1110" s="31" t="str">
        <f aca="false">Demand_History!C1110</f>
        <v>BTH-001</v>
      </c>
      <c r="B1110" s="31" t="n">
        <f aca="false">Demand_History!A1110</f>
        <v>69</v>
      </c>
      <c r="C1110" s="32" t="n">
        <f aca="false">Demand_History!D1110</f>
        <v>145</v>
      </c>
      <c r="D1110" s="33" t="n">
        <f aca="false">IF(B1110&gt;=2,C1109,"")</f>
        <v>124</v>
      </c>
      <c r="E1110" s="33" t="n">
        <f aca="false">IF(B1110&gt;=5,AVERAGE(C1106:C1109),"")</f>
        <v>126.25</v>
      </c>
      <c r="F1110" s="33" t="n">
        <f aca="false">IF(B1110&gt;=9,AVERAGE(C1102:C1109),"")</f>
        <v>118.75</v>
      </c>
      <c r="G1110" s="33" t="n">
        <f aca="false">IF(B1110=1,"",IF(B1110=2,C1109,SES_Alpha*C1109+(1-SES_Alpha)*G1109))</f>
        <v>120.39683948859</v>
      </c>
      <c r="H1110" s="33" t="n">
        <f aca="false">IF(D1110="","",D1110-C1110)</f>
        <v>-21</v>
      </c>
      <c r="I1110" s="33" t="n">
        <f aca="false">IF(E1110="","",E1110-C1110)</f>
        <v>-18.75</v>
      </c>
      <c r="J1110" s="33" t="n">
        <f aca="false">IF(F1110="","",F1110-C1110)</f>
        <v>-26.25</v>
      </c>
      <c r="K1110" s="33" t="n">
        <f aca="false">IF(G1110="","",G1110-C1110)</f>
        <v>-24.6031605114097</v>
      </c>
      <c r="L1110" s="33" t="n">
        <f aca="false">IF(H1110="","",ABS(H1110))</f>
        <v>21</v>
      </c>
      <c r="M1110" s="33" t="n">
        <f aca="false">IF(I1110="","",ABS(I1110))</f>
        <v>18.75</v>
      </c>
      <c r="N1110" s="33" t="n">
        <f aca="false">IF(J1110="","",ABS(J1110))</f>
        <v>26.25</v>
      </c>
      <c r="O1110" s="33" t="n">
        <f aca="false">IF(K1110="","",ABS(K1110))</f>
        <v>24.6031605114097</v>
      </c>
      <c r="P1110" s="34" t="str">
        <f aca="false">IF(B1110&gt;=Eval_Start_Week,"YES","")</f>
        <v>YES</v>
      </c>
      <c r="Q1110" s="34" t="str">
        <f aca="false">IF(AND(B1110&gt;=Cal_Start_Week,B1110&lt;=Cal_End_Week),"YES","")</f>
        <v>YES</v>
      </c>
    </row>
    <row r="1111" customFormat="false" ht="15" hidden="false" customHeight="false" outlineLevel="0" collapsed="false">
      <c r="A1111" s="31" t="str">
        <f aca="false">Demand_History!C1111</f>
        <v>BTH-001</v>
      </c>
      <c r="B1111" s="31" t="n">
        <f aca="false">Demand_History!A1111</f>
        <v>70</v>
      </c>
      <c r="C1111" s="32" t="n">
        <f aca="false">Demand_History!D1111</f>
        <v>112</v>
      </c>
      <c r="D1111" s="33" t="n">
        <f aca="false">IF(B1111&gt;=2,C1110,"")</f>
        <v>145</v>
      </c>
      <c r="E1111" s="33" t="n">
        <f aca="false">IF(B1111&gt;=5,AVERAGE(C1107:C1110),"")</f>
        <v>124.5</v>
      </c>
      <c r="F1111" s="33" t="n">
        <f aca="false">IF(B1111&gt;=9,AVERAGE(C1103:C1110),"")</f>
        <v>124.25</v>
      </c>
      <c r="G1111" s="33" t="n">
        <f aca="false">IF(B1111=1,"",IF(B1111=2,C1110,SES_Alpha*C1110+(1-SES_Alpha)*G1110))</f>
        <v>127.777787642013</v>
      </c>
      <c r="H1111" s="33" t="n">
        <f aca="false">IF(D1111="","",D1111-C1111)</f>
        <v>33</v>
      </c>
      <c r="I1111" s="33" t="n">
        <f aca="false">IF(E1111="","",E1111-C1111)</f>
        <v>12.5</v>
      </c>
      <c r="J1111" s="33" t="n">
        <f aca="false">IF(F1111="","",F1111-C1111)</f>
        <v>12.25</v>
      </c>
      <c r="K1111" s="33" t="n">
        <f aca="false">IF(G1111="","",G1111-C1111)</f>
        <v>15.7777876420132</v>
      </c>
      <c r="L1111" s="33" t="n">
        <f aca="false">IF(H1111="","",ABS(H1111))</f>
        <v>33</v>
      </c>
      <c r="M1111" s="33" t="n">
        <f aca="false">IF(I1111="","",ABS(I1111))</f>
        <v>12.5</v>
      </c>
      <c r="N1111" s="33" t="n">
        <f aca="false">IF(J1111="","",ABS(J1111))</f>
        <v>12.25</v>
      </c>
      <c r="O1111" s="33" t="n">
        <f aca="false">IF(K1111="","",ABS(K1111))</f>
        <v>15.7777876420132</v>
      </c>
      <c r="P1111" s="34" t="str">
        <f aca="false">IF(B1111&gt;=Eval_Start_Week,"YES","")</f>
        <v>YES</v>
      </c>
      <c r="Q1111" s="34" t="str">
        <f aca="false">IF(AND(B1111&gt;=Cal_Start_Week,B1111&lt;=Cal_End_Week),"YES","")</f>
        <v>YES</v>
      </c>
    </row>
    <row r="1112" customFormat="false" ht="15" hidden="false" customHeight="false" outlineLevel="0" collapsed="false">
      <c r="A1112" s="31" t="str">
        <f aca="false">Demand_History!C1112</f>
        <v>BTH-001</v>
      </c>
      <c r="B1112" s="31" t="n">
        <f aca="false">Demand_History!A1112</f>
        <v>71</v>
      </c>
      <c r="C1112" s="32" t="n">
        <f aca="false">Demand_History!D1112</f>
        <v>138</v>
      </c>
      <c r="D1112" s="33" t="n">
        <f aca="false">IF(B1112&gt;=2,C1111,"")</f>
        <v>112</v>
      </c>
      <c r="E1112" s="33" t="n">
        <f aca="false">IF(B1112&gt;=5,AVERAGE(C1108:C1111),"")</f>
        <v>126.25</v>
      </c>
      <c r="F1112" s="33" t="n">
        <f aca="false">IF(B1112&gt;=9,AVERAGE(C1104:C1111),"")</f>
        <v>121.75</v>
      </c>
      <c r="G1112" s="33" t="n">
        <f aca="false">IF(B1112=1,"",IF(B1112=2,C1111,SES_Alpha*C1111+(1-SES_Alpha)*G1111))</f>
        <v>123.044451349409</v>
      </c>
      <c r="H1112" s="33" t="n">
        <f aca="false">IF(D1112="","",D1112-C1112)</f>
        <v>-26</v>
      </c>
      <c r="I1112" s="33" t="n">
        <f aca="false">IF(E1112="","",E1112-C1112)</f>
        <v>-11.75</v>
      </c>
      <c r="J1112" s="33" t="n">
        <f aca="false">IF(F1112="","",F1112-C1112)</f>
        <v>-16.25</v>
      </c>
      <c r="K1112" s="33" t="n">
        <f aca="false">IF(G1112="","",G1112-C1112)</f>
        <v>-14.9555486505907</v>
      </c>
      <c r="L1112" s="33" t="n">
        <f aca="false">IF(H1112="","",ABS(H1112))</f>
        <v>26</v>
      </c>
      <c r="M1112" s="33" t="n">
        <f aca="false">IF(I1112="","",ABS(I1112))</f>
        <v>11.75</v>
      </c>
      <c r="N1112" s="33" t="n">
        <f aca="false">IF(J1112="","",ABS(J1112))</f>
        <v>16.25</v>
      </c>
      <c r="O1112" s="33" t="n">
        <f aca="false">IF(K1112="","",ABS(K1112))</f>
        <v>14.9555486505907</v>
      </c>
      <c r="P1112" s="34" t="str">
        <f aca="false">IF(B1112&gt;=Eval_Start_Week,"YES","")</f>
        <v>YES</v>
      </c>
      <c r="Q1112" s="34" t="str">
        <f aca="false">IF(AND(B1112&gt;=Cal_Start_Week,B1112&lt;=Cal_End_Week),"YES","")</f>
        <v>YES</v>
      </c>
    </row>
    <row r="1113" customFormat="false" ht="15" hidden="false" customHeight="false" outlineLevel="0" collapsed="false">
      <c r="A1113" s="31" t="str">
        <f aca="false">Demand_History!C1113</f>
        <v>BTH-001</v>
      </c>
      <c r="B1113" s="31" t="n">
        <f aca="false">Demand_History!A1113</f>
        <v>72</v>
      </c>
      <c r="C1113" s="32" t="n">
        <f aca="false">Demand_History!D1113</f>
        <v>107</v>
      </c>
      <c r="D1113" s="33" t="n">
        <f aca="false">IF(B1113&gt;=2,C1112,"")</f>
        <v>138</v>
      </c>
      <c r="E1113" s="33" t="n">
        <f aca="false">IF(B1113&gt;=5,AVERAGE(C1109:C1112),"")</f>
        <v>129.75</v>
      </c>
      <c r="F1113" s="33" t="n">
        <f aca="false">IF(B1113&gt;=9,AVERAGE(C1105:C1112),"")</f>
        <v>124.125</v>
      </c>
      <c r="G1113" s="33" t="n">
        <f aca="false">IF(B1113=1,"",IF(B1113=2,C1112,SES_Alpha*C1112+(1-SES_Alpha)*G1112))</f>
        <v>127.531115944586</v>
      </c>
      <c r="H1113" s="33" t="n">
        <f aca="false">IF(D1113="","",D1113-C1113)</f>
        <v>31</v>
      </c>
      <c r="I1113" s="33" t="n">
        <f aca="false">IF(E1113="","",E1113-C1113)</f>
        <v>22.75</v>
      </c>
      <c r="J1113" s="33" t="n">
        <f aca="false">IF(F1113="","",F1113-C1113)</f>
        <v>17.125</v>
      </c>
      <c r="K1113" s="33" t="n">
        <f aca="false">IF(G1113="","",G1113-C1113)</f>
        <v>20.5311159445865</v>
      </c>
      <c r="L1113" s="33" t="n">
        <f aca="false">IF(H1113="","",ABS(H1113))</f>
        <v>31</v>
      </c>
      <c r="M1113" s="33" t="n">
        <f aca="false">IF(I1113="","",ABS(I1113))</f>
        <v>22.75</v>
      </c>
      <c r="N1113" s="33" t="n">
        <f aca="false">IF(J1113="","",ABS(J1113))</f>
        <v>17.125</v>
      </c>
      <c r="O1113" s="33" t="n">
        <f aca="false">IF(K1113="","",ABS(K1113))</f>
        <v>20.5311159445865</v>
      </c>
      <c r="P1113" s="34" t="str">
        <f aca="false">IF(B1113&gt;=Eval_Start_Week,"YES","")</f>
        <v>YES</v>
      </c>
      <c r="Q1113" s="34" t="str">
        <f aca="false">IF(AND(B1113&gt;=Cal_Start_Week,B1113&lt;=Cal_End_Week),"YES","")</f>
        <v>YES</v>
      </c>
    </row>
    <row r="1114" customFormat="false" ht="15" hidden="false" customHeight="false" outlineLevel="0" collapsed="false">
      <c r="A1114" s="31" t="str">
        <f aca="false">Demand_History!C1114</f>
        <v>BTH-001</v>
      </c>
      <c r="B1114" s="31" t="n">
        <f aca="false">Demand_History!A1114</f>
        <v>73</v>
      </c>
      <c r="C1114" s="32" t="n">
        <f aca="false">Demand_History!D1114</f>
        <v>140</v>
      </c>
      <c r="D1114" s="33" t="n">
        <f aca="false">IF(B1114&gt;=2,C1113,"")</f>
        <v>107</v>
      </c>
      <c r="E1114" s="33" t="n">
        <f aca="false">IF(B1114&gt;=5,AVERAGE(C1110:C1113),"")</f>
        <v>125.5</v>
      </c>
      <c r="F1114" s="33" t="n">
        <f aca="false">IF(B1114&gt;=9,AVERAGE(C1106:C1113),"")</f>
        <v>125.875</v>
      </c>
      <c r="G1114" s="33" t="n">
        <f aca="false">IF(B1114=1,"",IF(B1114=2,C1113,SES_Alpha*C1113+(1-SES_Alpha)*G1113))</f>
        <v>121.371781161211</v>
      </c>
      <c r="H1114" s="33" t="n">
        <f aca="false">IF(D1114="","",D1114-C1114)</f>
        <v>-33</v>
      </c>
      <c r="I1114" s="33" t="n">
        <f aca="false">IF(E1114="","",E1114-C1114)</f>
        <v>-14.5</v>
      </c>
      <c r="J1114" s="33" t="n">
        <f aca="false">IF(F1114="","",F1114-C1114)</f>
        <v>-14.125</v>
      </c>
      <c r="K1114" s="33" t="n">
        <f aca="false">IF(G1114="","",G1114-C1114)</f>
        <v>-18.6282188387895</v>
      </c>
      <c r="L1114" s="33" t="n">
        <f aca="false">IF(H1114="","",ABS(H1114))</f>
        <v>33</v>
      </c>
      <c r="M1114" s="33" t="n">
        <f aca="false">IF(I1114="","",ABS(I1114))</f>
        <v>14.5</v>
      </c>
      <c r="N1114" s="33" t="n">
        <f aca="false">IF(J1114="","",ABS(J1114))</f>
        <v>14.125</v>
      </c>
      <c r="O1114" s="33" t="n">
        <f aca="false">IF(K1114="","",ABS(K1114))</f>
        <v>18.6282188387895</v>
      </c>
      <c r="P1114" s="34" t="str">
        <f aca="false">IF(B1114&gt;=Eval_Start_Week,"YES","")</f>
        <v>YES</v>
      </c>
      <c r="Q1114" s="34" t="str">
        <f aca="false">IF(AND(B1114&gt;=Cal_Start_Week,B1114&lt;=Cal_End_Week),"YES","")</f>
        <v>YES</v>
      </c>
    </row>
    <row r="1115" customFormat="false" ht="15" hidden="false" customHeight="false" outlineLevel="0" collapsed="false">
      <c r="A1115" s="31" t="str">
        <f aca="false">Demand_History!C1115</f>
        <v>BTH-001</v>
      </c>
      <c r="B1115" s="31" t="n">
        <f aca="false">Demand_History!A1115</f>
        <v>74</v>
      </c>
      <c r="C1115" s="32" t="n">
        <f aca="false">Demand_History!D1115</f>
        <v>107</v>
      </c>
      <c r="D1115" s="33" t="n">
        <f aca="false">IF(B1115&gt;=2,C1114,"")</f>
        <v>140</v>
      </c>
      <c r="E1115" s="33" t="n">
        <f aca="false">IF(B1115&gt;=5,AVERAGE(C1111:C1114),"")</f>
        <v>124.25</v>
      </c>
      <c r="F1115" s="33" t="n">
        <f aca="false">IF(B1115&gt;=9,AVERAGE(C1107:C1114),"")</f>
        <v>124.375</v>
      </c>
      <c r="G1115" s="33" t="n">
        <f aca="false">IF(B1115=1,"",IF(B1115=2,C1114,SES_Alpha*C1114+(1-SES_Alpha)*G1114))</f>
        <v>126.960246812847</v>
      </c>
      <c r="H1115" s="33" t="n">
        <f aca="false">IF(D1115="","",D1115-C1115)</f>
        <v>33</v>
      </c>
      <c r="I1115" s="33" t="n">
        <f aca="false">IF(E1115="","",E1115-C1115)</f>
        <v>17.25</v>
      </c>
      <c r="J1115" s="33" t="n">
        <f aca="false">IF(F1115="","",F1115-C1115)</f>
        <v>17.375</v>
      </c>
      <c r="K1115" s="33" t="n">
        <f aca="false">IF(G1115="","",G1115-C1115)</f>
        <v>19.9602468128474</v>
      </c>
      <c r="L1115" s="33" t="n">
        <f aca="false">IF(H1115="","",ABS(H1115))</f>
        <v>33</v>
      </c>
      <c r="M1115" s="33" t="n">
        <f aca="false">IF(I1115="","",ABS(I1115))</f>
        <v>17.25</v>
      </c>
      <c r="N1115" s="33" t="n">
        <f aca="false">IF(J1115="","",ABS(J1115))</f>
        <v>17.375</v>
      </c>
      <c r="O1115" s="33" t="n">
        <f aca="false">IF(K1115="","",ABS(K1115))</f>
        <v>19.9602468128474</v>
      </c>
      <c r="P1115" s="34" t="str">
        <f aca="false">IF(B1115&gt;=Eval_Start_Week,"YES","")</f>
        <v>YES</v>
      </c>
      <c r="Q1115" s="34" t="str">
        <f aca="false">IF(AND(B1115&gt;=Cal_Start_Week,B1115&lt;=Cal_End_Week),"YES","")</f>
        <v>YES</v>
      </c>
    </row>
    <row r="1116" customFormat="false" ht="15" hidden="false" customHeight="false" outlineLevel="0" collapsed="false">
      <c r="A1116" s="31" t="str">
        <f aca="false">Demand_History!C1116</f>
        <v>BTH-001</v>
      </c>
      <c r="B1116" s="31" t="n">
        <f aca="false">Demand_History!A1116</f>
        <v>75</v>
      </c>
      <c r="C1116" s="32" t="n">
        <f aca="false">Demand_History!D1116</f>
        <v>114</v>
      </c>
      <c r="D1116" s="33" t="n">
        <f aca="false">IF(B1116&gt;=2,C1115,"")</f>
        <v>107</v>
      </c>
      <c r="E1116" s="33" t="n">
        <f aca="false">IF(B1116&gt;=5,AVERAGE(C1112:C1115),"")</f>
        <v>123</v>
      </c>
      <c r="F1116" s="33" t="n">
        <f aca="false">IF(B1116&gt;=9,AVERAGE(C1108:C1115),"")</f>
        <v>124.625</v>
      </c>
      <c r="G1116" s="33" t="n">
        <f aca="false">IF(B1116=1,"",IF(B1116=2,C1115,SES_Alpha*C1115+(1-SES_Alpha)*G1115))</f>
        <v>120.972172768993</v>
      </c>
      <c r="H1116" s="33" t="n">
        <f aca="false">IF(D1116="","",D1116-C1116)</f>
        <v>-7</v>
      </c>
      <c r="I1116" s="33" t="n">
        <f aca="false">IF(E1116="","",E1116-C1116)</f>
        <v>9</v>
      </c>
      <c r="J1116" s="33" t="n">
        <f aca="false">IF(F1116="","",F1116-C1116)</f>
        <v>10.625</v>
      </c>
      <c r="K1116" s="33" t="n">
        <f aca="false">IF(G1116="","",G1116-C1116)</f>
        <v>6.97217276899315</v>
      </c>
      <c r="L1116" s="33" t="n">
        <f aca="false">IF(H1116="","",ABS(H1116))</f>
        <v>7</v>
      </c>
      <c r="M1116" s="33" t="n">
        <f aca="false">IF(I1116="","",ABS(I1116))</f>
        <v>9</v>
      </c>
      <c r="N1116" s="33" t="n">
        <f aca="false">IF(J1116="","",ABS(J1116))</f>
        <v>10.625</v>
      </c>
      <c r="O1116" s="33" t="n">
        <f aca="false">IF(K1116="","",ABS(K1116))</f>
        <v>6.97217276899315</v>
      </c>
      <c r="P1116" s="34" t="str">
        <f aca="false">IF(B1116&gt;=Eval_Start_Week,"YES","")</f>
        <v>YES</v>
      </c>
      <c r="Q1116" s="34" t="str">
        <f aca="false">IF(AND(B1116&gt;=Cal_Start_Week,B1116&lt;=Cal_End_Week),"YES","")</f>
        <v>YES</v>
      </c>
    </row>
    <row r="1117" customFormat="false" ht="15" hidden="false" customHeight="false" outlineLevel="0" collapsed="false">
      <c r="A1117" s="31" t="str">
        <f aca="false">Demand_History!C1117</f>
        <v>BTH-001</v>
      </c>
      <c r="B1117" s="31" t="n">
        <f aca="false">Demand_History!A1117</f>
        <v>76</v>
      </c>
      <c r="C1117" s="32" t="n">
        <f aca="false">Demand_History!D1117</f>
        <v>153</v>
      </c>
      <c r="D1117" s="33" t="n">
        <f aca="false">IF(B1117&gt;=2,C1116,"")</f>
        <v>114</v>
      </c>
      <c r="E1117" s="33" t="n">
        <f aca="false">IF(B1117&gt;=5,AVERAGE(C1113:C1116),"")</f>
        <v>117</v>
      </c>
      <c r="F1117" s="33" t="n">
        <f aca="false">IF(B1117&gt;=9,AVERAGE(C1109:C1116),"")</f>
        <v>123.375</v>
      </c>
      <c r="G1117" s="33" t="n">
        <f aca="false">IF(B1117=1,"",IF(B1117=2,C1116,SES_Alpha*C1116+(1-SES_Alpha)*G1116))</f>
        <v>118.880520938295</v>
      </c>
      <c r="H1117" s="33" t="n">
        <f aca="false">IF(D1117="","",D1117-C1117)</f>
        <v>-39</v>
      </c>
      <c r="I1117" s="33" t="n">
        <f aca="false">IF(E1117="","",E1117-C1117)</f>
        <v>-36</v>
      </c>
      <c r="J1117" s="33" t="n">
        <f aca="false">IF(F1117="","",F1117-C1117)</f>
        <v>-29.625</v>
      </c>
      <c r="K1117" s="33" t="n">
        <f aca="false">IF(G1117="","",G1117-C1117)</f>
        <v>-34.1194790617048</v>
      </c>
      <c r="L1117" s="33" t="n">
        <f aca="false">IF(H1117="","",ABS(H1117))</f>
        <v>39</v>
      </c>
      <c r="M1117" s="33" t="n">
        <f aca="false">IF(I1117="","",ABS(I1117))</f>
        <v>36</v>
      </c>
      <c r="N1117" s="33" t="n">
        <f aca="false">IF(J1117="","",ABS(J1117))</f>
        <v>29.625</v>
      </c>
      <c r="O1117" s="33" t="n">
        <f aca="false">IF(K1117="","",ABS(K1117))</f>
        <v>34.1194790617048</v>
      </c>
      <c r="P1117" s="34" t="str">
        <f aca="false">IF(B1117&gt;=Eval_Start_Week,"YES","")</f>
        <v>YES</v>
      </c>
      <c r="Q1117" s="34" t="str">
        <f aca="false">IF(AND(B1117&gt;=Cal_Start_Week,B1117&lt;=Cal_End_Week),"YES","")</f>
        <v>YES</v>
      </c>
    </row>
    <row r="1118" customFormat="false" ht="15" hidden="false" customHeight="false" outlineLevel="0" collapsed="false">
      <c r="A1118" s="31" t="str">
        <f aca="false">Demand_History!C1118</f>
        <v>BTH-001</v>
      </c>
      <c r="B1118" s="31" t="n">
        <f aca="false">Demand_History!A1118</f>
        <v>77</v>
      </c>
      <c r="C1118" s="32" t="n">
        <f aca="false">Demand_History!D1118</f>
        <v>126</v>
      </c>
      <c r="D1118" s="33" t="n">
        <f aca="false">IF(B1118&gt;=2,C1117,"")</f>
        <v>153</v>
      </c>
      <c r="E1118" s="33" t="n">
        <f aca="false">IF(B1118&gt;=5,AVERAGE(C1114:C1117),"")</f>
        <v>128.5</v>
      </c>
      <c r="F1118" s="33" t="n">
        <f aca="false">IF(B1118&gt;=9,AVERAGE(C1110:C1117),"")</f>
        <v>127</v>
      </c>
      <c r="G1118" s="33" t="n">
        <f aca="false">IF(B1118=1,"",IF(B1118=2,C1117,SES_Alpha*C1117+(1-SES_Alpha)*G1117))</f>
        <v>129.116364656807</v>
      </c>
      <c r="H1118" s="33" t="n">
        <f aca="false">IF(D1118="","",D1118-C1118)</f>
        <v>27</v>
      </c>
      <c r="I1118" s="33" t="n">
        <f aca="false">IF(E1118="","",E1118-C1118)</f>
        <v>2.5</v>
      </c>
      <c r="J1118" s="33" t="n">
        <f aca="false">IF(F1118="","",F1118-C1118)</f>
        <v>1</v>
      </c>
      <c r="K1118" s="33" t="n">
        <f aca="false">IF(G1118="","",G1118-C1118)</f>
        <v>3.11636465680664</v>
      </c>
      <c r="L1118" s="33" t="n">
        <f aca="false">IF(H1118="","",ABS(H1118))</f>
        <v>27</v>
      </c>
      <c r="M1118" s="33" t="n">
        <f aca="false">IF(I1118="","",ABS(I1118))</f>
        <v>2.5</v>
      </c>
      <c r="N1118" s="33" t="n">
        <f aca="false">IF(J1118="","",ABS(J1118))</f>
        <v>1</v>
      </c>
      <c r="O1118" s="33" t="n">
        <f aca="false">IF(K1118="","",ABS(K1118))</f>
        <v>3.11636465680664</v>
      </c>
      <c r="P1118" s="34" t="str">
        <f aca="false">IF(B1118&gt;=Eval_Start_Week,"YES","")</f>
        <v>YES</v>
      </c>
      <c r="Q1118" s="34" t="str">
        <f aca="false">IF(AND(B1118&gt;=Cal_Start_Week,B1118&lt;=Cal_End_Week),"YES","")</f>
        <v>YES</v>
      </c>
    </row>
    <row r="1119" customFormat="false" ht="15" hidden="false" customHeight="false" outlineLevel="0" collapsed="false">
      <c r="A1119" s="31" t="str">
        <f aca="false">Demand_History!C1119</f>
        <v>BTH-001</v>
      </c>
      <c r="B1119" s="31" t="n">
        <f aca="false">Demand_History!A1119</f>
        <v>78</v>
      </c>
      <c r="C1119" s="32" t="n">
        <f aca="false">Demand_History!D1119</f>
        <v>122</v>
      </c>
      <c r="D1119" s="33" t="n">
        <f aca="false">IF(B1119&gt;=2,C1118,"")</f>
        <v>126</v>
      </c>
      <c r="E1119" s="33" t="n">
        <f aca="false">IF(B1119&gt;=5,AVERAGE(C1115:C1118),"")</f>
        <v>125</v>
      </c>
      <c r="F1119" s="33" t="n">
        <f aca="false">IF(B1119&gt;=9,AVERAGE(C1111:C1118),"")</f>
        <v>124.625</v>
      </c>
      <c r="G1119" s="33" t="n">
        <f aca="false">IF(B1119=1,"",IF(B1119=2,C1118,SES_Alpha*C1118+(1-SES_Alpha)*G1118))</f>
        <v>128.181455259765</v>
      </c>
      <c r="H1119" s="33" t="n">
        <f aca="false">IF(D1119="","",D1119-C1119)</f>
        <v>4</v>
      </c>
      <c r="I1119" s="33" t="n">
        <f aca="false">IF(E1119="","",E1119-C1119)</f>
        <v>3</v>
      </c>
      <c r="J1119" s="33" t="n">
        <f aca="false">IF(F1119="","",F1119-C1119)</f>
        <v>2.625</v>
      </c>
      <c r="K1119" s="33" t="n">
        <f aca="false">IF(G1119="","",G1119-C1119)</f>
        <v>6.18145525976462</v>
      </c>
      <c r="L1119" s="33" t="n">
        <f aca="false">IF(H1119="","",ABS(H1119))</f>
        <v>4</v>
      </c>
      <c r="M1119" s="33" t="n">
        <f aca="false">IF(I1119="","",ABS(I1119))</f>
        <v>3</v>
      </c>
      <c r="N1119" s="33" t="n">
        <f aca="false">IF(J1119="","",ABS(J1119))</f>
        <v>2.625</v>
      </c>
      <c r="O1119" s="33" t="n">
        <f aca="false">IF(K1119="","",ABS(K1119))</f>
        <v>6.18145525976462</v>
      </c>
      <c r="P1119" s="34" t="str">
        <f aca="false">IF(B1119&gt;=Eval_Start_Week,"YES","")</f>
        <v>YES</v>
      </c>
      <c r="Q1119" s="34" t="str">
        <f aca="false">IF(AND(B1119&gt;=Cal_Start_Week,B1119&lt;=Cal_End_Week),"YES","")</f>
        <v>YES</v>
      </c>
    </row>
    <row r="1120" customFormat="false" ht="15" hidden="false" customHeight="false" outlineLevel="0" collapsed="false">
      <c r="A1120" s="31" t="str">
        <f aca="false">Demand_History!C1120</f>
        <v>BTH-001</v>
      </c>
      <c r="B1120" s="31" t="n">
        <f aca="false">Demand_History!A1120</f>
        <v>79</v>
      </c>
      <c r="C1120" s="32" t="n">
        <f aca="false">Demand_History!D1120</f>
        <v>159</v>
      </c>
      <c r="D1120" s="33" t="n">
        <f aca="false">IF(B1120&gt;=2,C1119,"")</f>
        <v>122</v>
      </c>
      <c r="E1120" s="33" t="n">
        <f aca="false">IF(B1120&gt;=5,AVERAGE(C1116:C1119),"")</f>
        <v>128.75</v>
      </c>
      <c r="F1120" s="33" t="n">
        <f aca="false">IF(B1120&gt;=9,AVERAGE(C1112:C1119),"")</f>
        <v>125.875</v>
      </c>
      <c r="G1120" s="33" t="n">
        <f aca="false">IF(B1120=1,"",IF(B1120=2,C1119,SES_Alpha*C1119+(1-SES_Alpha)*G1119))</f>
        <v>126.327018681835</v>
      </c>
      <c r="H1120" s="33" t="n">
        <f aca="false">IF(D1120="","",D1120-C1120)</f>
        <v>-37</v>
      </c>
      <c r="I1120" s="33" t="n">
        <f aca="false">IF(E1120="","",E1120-C1120)</f>
        <v>-30.25</v>
      </c>
      <c r="J1120" s="33" t="n">
        <f aca="false">IF(F1120="","",F1120-C1120)</f>
        <v>-33.125</v>
      </c>
      <c r="K1120" s="33" t="n">
        <f aca="false">IF(G1120="","",G1120-C1120)</f>
        <v>-32.6729813181648</v>
      </c>
      <c r="L1120" s="33" t="n">
        <f aca="false">IF(H1120="","",ABS(H1120))</f>
        <v>37</v>
      </c>
      <c r="M1120" s="33" t="n">
        <f aca="false">IF(I1120="","",ABS(I1120))</f>
        <v>30.25</v>
      </c>
      <c r="N1120" s="33" t="n">
        <f aca="false">IF(J1120="","",ABS(J1120))</f>
        <v>33.125</v>
      </c>
      <c r="O1120" s="33" t="n">
        <f aca="false">IF(K1120="","",ABS(K1120))</f>
        <v>32.6729813181648</v>
      </c>
      <c r="P1120" s="34" t="str">
        <f aca="false">IF(B1120&gt;=Eval_Start_Week,"YES","")</f>
        <v>YES</v>
      </c>
      <c r="Q1120" s="34" t="str">
        <f aca="false">IF(AND(B1120&gt;=Cal_Start_Week,B1120&lt;=Cal_End_Week),"YES","")</f>
        <v>YES</v>
      </c>
    </row>
    <row r="1121" customFormat="false" ht="15" hidden="false" customHeight="false" outlineLevel="0" collapsed="false">
      <c r="A1121" s="31" t="str">
        <f aca="false">Demand_History!C1121</f>
        <v>BTH-001</v>
      </c>
      <c r="B1121" s="31" t="n">
        <f aca="false">Demand_History!A1121</f>
        <v>80</v>
      </c>
      <c r="C1121" s="32" t="n">
        <f aca="false">Demand_History!D1121</f>
        <v>126</v>
      </c>
      <c r="D1121" s="33" t="n">
        <f aca="false">IF(B1121&gt;=2,C1120,"")</f>
        <v>159</v>
      </c>
      <c r="E1121" s="33" t="n">
        <f aca="false">IF(B1121&gt;=5,AVERAGE(C1117:C1120),"")</f>
        <v>140</v>
      </c>
      <c r="F1121" s="33" t="n">
        <f aca="false">IF(B1121&gt;=9,AVERAGE(C1113:C1120),"")</f>
        <v>128.5</v>
      </c>
      <c r="G1121" s="33" t="n">
        <f aca="false">IF(B1121=1,"",IF(B1121=2,C1120,SES_Alpha*C1120+(1-SES_Alpha)*G1120))</f>
        <v>136.128913077285</v>
      </c>
      <c r="H1121" s="33" t="n">
        <f aca="false">IF(D1121="","",D1121-C1121)</f>
        <v>33</v>
      </c>
      <c r="I1121" s="33" t="n">
        <f aca="false">IF(E1121="","",E1121-C1121)</f>
        <v>14</v>
      </c>
      <c r="J1121" s="33" t="n">
        <f aca="false">IF(F1121="","",F1121-C1121)</f>
        <v>2.5</v>
      </c>
      <c r="K1121" s="33" t="n">
        <f aca="false">IF(G1121="","",G1121-C1121)</f>
        <v>10.1289130772846</v>
      </c>
      <c r="L1121" s="33" t="n">
        <f aca="false">IF(H1121="","",ABS(H1121))</f>
        <v>33</v>
      </c>
      <c r="M1121" s="33" t="n">
        <f aca="false">IF(I1121="","",ABS(I1121))</f>
        <v>14</v>
      </c>
      <c r="N1121" s="33" t="n">
        <f aca="false">IF(J1121="","",ABS(J1121))</f>
        <v>2.5</v>
      </c>
      <c r="O1121" s="33" t="n">
        <f aca="false">IF(K1121="","",ABS(K1121))</f>
        <v>10.1289130772846</v>
      </c>
      <c r="P1121" s="34" t="str">
        <f aca="false">IF(B1121&gt;=Eval_Start_Week,"YES","")</f>
        <v>YES</v>
      </c>
      <c r="Q1121" s="34" t="str">
        <f aca="false">IF(AND(B1121&gt;=Cal_Start_Week,B1121&lt;=Cal_End_Week),"YES","")</f>
        <v>YES</v>
      </c>
    </row>
    <row r="1122" customFormat="false" ht="15" hidden="false" customHeight="false" outlineLevel="0" collapsed="false">
      <c r="A1122" s="31" t="str">
        <f aca="false">Demand_History!C1122</f>
        <v>BTH-001</v>
      </c>
      <c r="B1122" s="31" t="n">
        <f aca="false">Demand_History!A1122</f>
        <v>81</v>
      </c>
      <c r="C1122" s="32" t="n">
        <f aca="false">Demand_History!D1122</f>
        <v>106</v>
      </c>
      <c r="D1122" s="33" t="n">
        <f aca="false">IF(B1122&gt;=2,C1121,"")</f>
        <v>126</v>
      </c>
      <c r="E1122" s="33" t="n">
        <f aca="false">IF(B1122&gt;=5,AVERAGE(C1118:C1121),"")</f>
        <v>133.25</v>
      </c>
      <c r="F1122" s="33" t="n">
        <f aca="false">IF(B1122&gt;=9,AVERAGE(C1114:C1121),"")</f>
        <v>130.875</v>
      </c>
      <c r="G1122" s="33" t="n">
        <f aca="false">IF(B1122=1,"",IF(B1122=2,C1121,SES_Alpha*C1121+(1-SES_Alpha)*G1121))</f>
        <v>133.090239154099</v>
      </c>
      <c r="H1122" s="33" t="n">
        <f aca="false">IF(D1122="","",D1122-C1122)</f>
        <v>20</v>
      </c>
      <c r="I1122" s="33" t="n">
        <f aca="false">IF(E1122="","",E1122-C1122)</f>
        <v>27.25</v>
      </c>
      <c r="J1122" s="33" t="n">
        <f aca="false">IF(F1122="","",F1122-C1122)</f>
        <v>24.875</v>
      </c>
      <c r="K1122" s="33" t="n">
        <f aca="false">IF(G1122="","",G1122-C1122)</f>
        <v>27.0902391540992</v>
      </c>
      <c r="L1122" s="33" t="n">
        <f aca="false">IF(H1122="","",ABS(H1122))</f>
        <v>20</v>
      </c>
      <c r="M1122" s="33" t="n">
        <f aca="false">IF(I1122="","",ABS(I1122))</f>
        <v>27.25</v>
      </c>
      <c r="N1122" s="33" t="n">
        <f aca="false">IF(J1122="","",ABS(J1122))</f>
        <v>24.875</v>
      </c>
      <c r="O1122" s="33" t="n">
        <f aca="false">IF(K1122="","",ABS(K1122))</f>
        <v>27.0902391540992</v>
      </c>
      <c r="P1122" s="34" t="str">
        <f aca="false">IF(B1122&gt;=Eval_Start_Week,"YES","")</f>
        <v>YES</v>
      </c>
      <c r="Q1122" s="34" t="str">
        <f aca="false">IF(AND(B1122&gt;=Cal_Start_Week,B1122&lt;=Cal_End_Week),"YES","")</f>
        <v>YES</v>
      </c>
    </row>
    <row r="1123" customFormat="false" ht="15" hidden="false" customHeight="false" outlineLevel="0" collapsed="false">
      <c r="A1123" s="31" t="str">
        <f aca="false">Demand_History!C1123</f>
        <v>BTH-001</v>
      </c>
      <c r="B1123" s="31" t="n">
        <f aca="false">Demand_History!A1123</f>
        <v>82</v>
      </c>
      <c r="C1123" s="32" t="n">
        <f aca="false">Demand_History!D1123</f>
        <v>133</v>
      </c>
      <c r="D1123" s="33" t="n">
        <f aca="false">IF(B1123&gt;=2,C1122,"")</f>
        <v>106</v>
      </c>
      <c r="E1123" s="33" t="n">
        <f aca="false">IF(B1123&gt;=5,AVERAGE(C1119:C1122),"")</f>
        <v>128.25</v>
      </c>
      <c r="F1123" s="33" t="n">
        <f aca="false">IF(B1123&gt;=9,AVERAGE(C1115:C1122),"")</f>
        <v>126.625</v>
      </c>
      <c r="G1123" s="33" t="n">
        <f aca="false">IF(B1123=1,"",IF(B1123=2,C1122,SES_Alpha*C1122+(1-SES_Alpha)*G1122))</f>
        <v>124.963167407869</v>
      </c>
      <c r="H1123" s="33" t="n">
        <f aca="false">IF(D1123="","",D1123-C1123)</f>
        <v>-27</v>
      </c>
      <c r="I1123" s="33" t="n">
        <f aca="false">IF(E1123="","",E1123-C1123)</f>
        <v>-4.75</v>
      </c>
      <c r="J1123" s="33" t="n">
        <f aca="false">IF(F1123="","",F1123-C1123)</f>
        <v>-6.375</v>
      </c>
      <c r="K1123" s="33" t="n">
        <f aca="false">IF(G1123="","",G1123-C1123)</f>
        <v>-8.03683259213054</v>
      </c>
      <c r="L1123" s="33" t="n">
        <f aca="false">IF(H1123="","",ABS(H1123))</f>
        <v>27</v>
      </c>
      <c r="M1123" s="33" t="n">
        <f aca="false">IF(I1123="","",ABS(I1123))</f>
        <v>4.75</v>
      </c>
      <c r="N1123" s="33" t="n">
        <f aca="false">IF(J1123="","",ABS(J1123))</f>
        <v>6.375</v>
      </c>
      <c r="O1123" s="33" t="n">
        <f aca="false">IF(K1123="","",ABS(K1123))</f>
        <v>8.03683259213054</v>
      </c>
      <c r="P1123" s="34" t="str">
        <f aca="false">IF(B1123&gt;=Eval_Start_Week,"YES","")</f>
        <v>YES</v>
      </c>
      <c r="Q1123" s="34" t="str">
        <f aca="false">IF(AND(B1123&gt;=Cal_Start_Week,B1123&lt;=Cal_End_Week),"YES","")</f>
        <v>YES</v>
      </c>
    </row>
    <row r="1124" customFormat="false" ht="15" hidden="false" customHeight="false" outlineLevel="0" collapsed="false">
      <c r="A1124" s="31" t="str">
        <f aca="false">Demand_History!C1124</f>
        <v>BTH-001</v>
      </c>
      <c r="B1124" s="31" t="n">
        <f aca="false">Demand_History!A1124</f>
        <v>83</v>
      </c>
      <c r="C1124" s="32" t="n">
        <f aca="false">Demand_History!D1124</f>
        <v>99</v>
      </c>
      <c r="D1124" s="33" t="n">
        <f aca="false">IF(B1124&gt;=2,C1123,"")</f>
        <v>133</v>
      </c>
      <c r="E1124" s="33" t="n">
        <f aca="false">IF(B1124&gt;=5,AVERAGE(C1120:C1123),"")</f>
        <v>131</v>
      </c>
      <c r="F1124" s="33" t="n">
        <f aca="false">IF(B1124&gt;=9,AVERAGE(C1116:C1123),"")</f>
        <v>129.875</v>
      </c>
      <c r="G1124" s="33" t="n">
        <f aca="false">IF(B1124=1,"",IF(B1124=2,C1123,SES_Alpha*C1123+(1-SES_Alpha)*G1123))</f>
        <v>127.374217185509</v>
      </c>
      <c r="H1124" s="33" t="n">
        <f aca="false">IF(D1124="","",D1124-C1124)</f>
        <v>34</v>
      </c>
      <c r="I1124" s="33" t="n">
        <f aca="false">IF(E1124="","",E1124-C1124)</f>
        <v>32</v>
      </c>
      <c r="J1124" s="33" t="n">
        <f aca="false">IF(F1124="","",F1124-C1124)</f>
        <v>30.875</v>
      </c>
      <c r="K1124" s="33" t="n">
        <f aca="false">IF(G1124="","",G1124-C1124)</f>
        <v>28.3742171855086</v>
      </c>
      <c r="L1124" s="33" t="n">
        <f aca="false">IF(H1124="","",ABS(H1124))</f>
        <v>34</v>
      </c>
      <c r="M1124" s="33" t="n">
        <f aca="false">IF(I1124="","",ABS(I1124))</f>
        <v>32</v>
      </c>
      <c r="N1124" s="33" t="n">
        <f aca="false">IF(J1124="","",ABS(J1124))</f>
        <v>30.875</v>
      </c>
      <c r="O1124" s="33" t="n">
        <f aca="false">IF(K1124="","",ABS(K1124))</f>
        <v>28.3742171855086</v>
      </c>
      <c r="P1124" s="34" t="str">
        <f aca="false">IF(B1124&gt;=Eval_Start_Week,"YES","")</f>
        <v>YES</v>
      </c>
      <c r="Q1124" s="34" t="str">
        <f aca="false">IF(AND(B1124&gt;=Cal_Start_Week,B1124&lt;=Cal_End_Week),"YES","")</f>
        <v>YES</v>
      </c>
    </row>
    <row r="1125" customFormat="false" ht="15" hidden="false" customHeight="false" outlineLevel="0" collapsed="false">
      <c r="A1125" s="31" t="str">
        <f aca="false">Demand_History!C1125</f>
        <v>BTH-001</v>
      </c>
      <c r="B1125" s="31" t="n">
        <f aca="false">Demand_History!A1125</f>
        <v>84</v>
      </c>
      <c r="C1125" s="32" t="n">
        <f aca="false">Demand_History!D1125</f>
        <v>140</v>
      </c>
      <c r="D1125" s="33" t="n">
        <f aca="false">IF(B1125&gt;=2,C1124,"")</f>
        <v>99</v>
      </c>
      <c r="E1125" s="33" t="n">
        <f aca="false">IF(B1125&gt;=5,AVERAGE(C1121:C1124),"")</f>
        <v>116</v>
      </c>
      <c r="F1125" s="33" t="n">
        <f aca="false">IF(B1125&gt;=9,AVERAGE(C1117:C1124),"")</f>
        <v>128</v>
      </c>
      <c r="G1125" s="33" t="n">
        <f aca="false">IF(B1125=1,"",IF(B1125=2,C1124,SES_Alpha*C1124+(1-SES_Alpha)*G1124))</f>
        <v>118.861952029856</v>
      </c>
      <c r="H1125" s="33" t="n">
        <f aca="false">IF(D1125="","",D1125-C1125)</f>
        <v>-41</v>
      </c>
      <c r="I1125" s="33" t="n">
        <f aca="false">IF(E1125="","",E1125-C1125)</f>
        <v>-24</v>
      </c>
      <c r="J1125" s="33" t="n">
        <f aca="false">IF(F1125="","",F1125-C1125)</f>
        <v>-12</v>
      </c>
      <c r="K1125" s="33" t="n">
        <f aca="false">IF(G1125="","",G1125-C1125)</f>
        <v>-21.138047970144</v>
      </c>
      <c r="L1125" s="33" t="n">
        <f aca="false">IF(H1125="","",ABS(H1125))</f>
        <v>41</v>
      </c>
      <c r="M1125" s="33" t="n">
        <f aca="false">IF(I1125="","",ABS(I1125))</f>
        <v>24</v>
      </c>
      <c r="N1125" s="33" t="n">
        <f aca="false">IF(J1125="","",ABS(J1125))</f>
        <v>12</v>
      </c>
      <c r="O1125" s="33" t="n">
        <f aca="false">IF(K1125="","",ABS(K1125))</f>
        <v>21.138047970144</v>
      </c>
      <c r="P1125" s="34" t="str">
        <f aca="false">IF(B1125&gt;=Eval_Start_Week,"YES","")</f>
        <v>YES</v>
      </c>
      <c r="Q1125" s="34" t="str">
        <f aca="false">IF(AND(B1125&gt;=Cal_Start_Week,B1125&lt;=Cal_End_Week),"YES","")</f>
        <v>YES</v>
      </c>
    </row>
    <row r="1126" customFormat="false" ht="15" hidden="false" customHeight="false" outlineLevel="0" collapsed="false">
      <c r="A1126" s="31" t="str">
        <f aca="false">Demand_History!C1126</f>
        <v>BTH-001</v>
      </c>
      <c r="B1126" s="31" t="n">
        <f aca="false">Demand_History!A1126</f>
        <v>85</v>
      </c>
      <c r="C1126" s="32" t="n">
        <f aca="false">Demand_History!D1126</f>
        <v>141</v>
      </c>
      <c r="D1126" s="33" t="n">
        <f aca="false">IF(B1126&gt;=2,C1125,"")</f>
        <v>140</v>
      </c>
      <c r="E1126" s="33" t="n">
        <f aca="false">IF(B1126&gt;=5,AVERAGE(C1122:C1125),"")</f>
        <v>119.5</v>
      </c>
      <c r="F1126" s="33" t="n">
        <f aca="false">IF(B1126&gt;=9,AVERAGE(C1118:C1125),"")</f>
        <v>126.375</v>
      </c>
      <c r="G1126" s="33" t="n">
        <f aca="false">IF(B1126=1,"",IF(B1126=2,C1125,SES_Alpha*C1125+(1-SES_Alpha)*G1125))</f>
        <v>125.203366420899</v>
      </c>
      <c r="H1126" s="33" t="n">
        <f aca="false">IF(D1126="","",D1126-C1126)</f>
        <v>-1</v>
      </c>
      <c r="I1126" s="33" t="n">
        <f aca="false">IF(E1126="","",E1126-C1126)</f>
        <v>-21.5</v>
      </c>
      <c r="J1126" s="33" t="n">
        <f aca="false">IF(F1126="","",F1126-C1126)</f>
        <v>-14.625</v>
      </c>
      <c r="K1126" s="33" t="n">
        <f aca="false">IF(G1126="","",G1126-C1126)</f>
        <v>-15.7966335791008</v>
      </c>
      <c r="L1126" s="33" t="n">
        <f aca="false">IF(H1126="","",ABS(H1126))</f>
        <v>1</v>
      </c>
      <c r="M1126" s="33" t="n">
        <f aca="false">IF(I1126="","",ABS(I1126))</f>
        <v>21.5</v>
      </c>
      <c r="N1126" s="33" t="n">
        <f aca="false">IF(J1126="","",ABS(J1126))</f>
        <v>14.625</v>
      </c>
      <c r="O1126" s="33" t="n">
        <f aca="false">IF(K1126="","",ABS(K1126))</f>
        <v>15.7966335791008</v>
      </c>
      <c r="P1126" s="34" t="str">
        <f aca="false">IF(B1126&gt;=Eval_Start_Week,"YES","")</f>
        <v>YES</v>
      </c>
      <c r="Q1126" s="34" t="str">
        <f aca="false">IF(AND(B1126&gt;=Cal_Start_Week,B1126&lt;=Cal_End_Week),"YES","")</f>
        <v>YES</v>
      </c>
    </row>
    <row r="1127" customFormat="false" ht="15" hidden="false" customHeight="false" outlineLevel="0" collapsed="false">
      <c r="A1127" s="31" t="str">
        <f aca="false">Demand_History!C1127</f>
        <v>BTH-001</v>
      </c>
      <c r="B1127" s="31" t="n">
        <f aca="false">Demand_History!A1127</f>
        <v>86</v>
      </c>
      <c r="C1127" s="32" t="n">
        <f aca="false">Demand_History!D1127</f>
        <v>110</v>
      </c>
      <c r="D1127" s="33" t="n">
        <f aca="false">IF(B1127&gt;=2,C1126,"")</f>
        <v>141</v>
      </c>
      <c r="E1127" s="33" t="n">
        <f aca="false">IF(B1127&gt;=5,AVERAGE(C1123:C1126),"")</f>
        <v>128.25</v>
      </c>
      <c r="F1127" s="33" t="n">
        <f aca="false">IF(B1127&gt;=9,AVERAGE(C1119:C1126),"")</f>
        <v>128.25</v>
      </c>
      <c r="G1127" s="33" t="n">
        <f aca="false">IF(B1127=1,"",IF(B1127=2,C1126,SES_Alpha*C1126+(1-SES_Alpha)*G1126))</f>
        <v>129.942356494629</v>
      </c>
      <c r="H1127" s="33" t="n">
        <f aca="false">IF(D1127="","",D1127-C1127)</f>
        <v>31</v>
      </c>
      <c r="I1127" s="33" t="n">
        <f aca="false">IF(E1127="","",E1127-C1127)</f>
        <v>18.25</v>
      </c>
      <c r="J1127" s="33" t="n">
        <f aca="false">IF(F1127="","",F1127-C1127)</f>
        <v>18.25</v>
      </c>
      <c r="K1127" s="33" t="n">
        <f aca="false">IF(G1127="","",G1127-C1127)</f>
        <v>19.9423564946295</v>
      </c>
      <c r="L1127" s="33" t="n">
        <f aca="false">IF(H1127="","",ABS(H1127))</f>
        <v>31</v>
      </c>
      <c r="M1127" s="33" t="n">
        <f aca="false">IF(I1127="","",ABS(I1127))</f>
        <v>18.25</v>
      </c>
      <c r="N1127" s="33" t="n">
        <f aca="false">IF(J1127="","",ABS(J1127))</f>
        <v>18.25</v>
      </c>
      <c r="O1127" s="33" t="n">
        <f aca="false">IF(K1127="","",ABS(K1127))</f>
        <v>19.9423564946295</v>
      </c>
      <c r="P1127" s="34" t="str">
        <f aca="false">IF(B1127&gt;=Eval_Start_Week,"YES","")</f>
        <v>YES</v>
      </c>
      <c r="Q1127" s="34" t="str">
        <f aca="false">IF(AND(B1127&gt;=Cal_Start_Week,B1127&lt;=Cal_End_Week),"YES","")</f>
        <v>YES</v>
      </c>
    </row>
    <row r="1128" customFormat="false" ht="15" hidden="false" customHeight="false" outlineLevel="0" collapsed="false">
      <c r="A1128" s="31" t="str">
        <f aca="false">Demand_History!C1128</f>
        <v>BTH-001</v>
      </c>
      <c r="B1128" s="31" t="n">
        <f aca="false">Demand_History!A1128</f>
        <v>87</v>
      </c>
      <c r="C1128" s="32" t="n">
        <f aca="false">Demand_History!D1128</f>
        <v>109</v>
      </c>
      <c r="D1128" s="33" t="n">
        <f aca="false">IF(B1128&gt;=2,C1127,"")</f>
        <v>110</v>
      </c>
      <c r="E1128" s="33" t="n">
        <f aca="false">IF(B1128&gt;=5,AVERAGE(C1124:C1127),"")</f>
        <v>122.5</v>
      </c>
      <c r="F1128" s="33" t="n">
        <f aca="false">IF(B1128&gt;=9,AVERAGE(C1120:C1127),"")</f>
        <v>126.75</v>
      </c>
      <c r="G1128" s="33" t="n">
        <f aca="false">IF(B1128=1,"",IF(B1128=2,C1127,SES_Alpha*C1127+(1-SES_Alpha)*G1127))</f>
        <v>123.959649546241</v>
      </c>
      <c r="H1128" s="33" t="n">
        <f aca="false">IF(D1128="","",D1128-C1128)</f>
        <v>1</v>
      </c>
      <c r="I1128" s="33" t="n">
        <f aca="false">IF(E1128="","",E1128-C1128)</f>
        <v>13.5</v>
      </c>
      <c r="J1128" s="33" t="n">
        <f aca="false">IF(F1128="","",F1128-C1128)</f>
        <v>17.75</v>
      </c>
      <c r="K1128" s="33" t="n">
        <f aca="false">IF(G1128="","",G1128-C1128)</f>
        <v>14.9596495462406</v>
      </c>
      <c r="L1128" s="33" t="n">
        <f aca="false">IF(H1128="","",ABS(H1128))</f>
        <v>1</v>
      </c>
      <c r="M1128" s="33" t="n">
        <f aca="false">IF(I1128="","",ABS(I1128))</f>
        <v>13.5</v>
      </c>
      <c r="N1128" s="33" t="n">
        <f aca="false">IF(J1128="","",ABS(J1128))</f>
        <v>17.75</v>
      </c>
      <c r="O1128" s="33" t="n">
        <f aca="false">IF(K1128="","",ABS(K1128))</f>
        <v>14.9596495462406</v>
      </c>
      <c r="P1128" s="34" t="str">
        <f aca="false">IF(B1128&gt;=Eval_Start_Week,"YES","")</f>
        <v>YES</v>
      </c>
      <c r="Q1128" s="34" t="str">
        <f aca="false">IF(AND(B1128&gt;=Cal_Start_Week,B1128&lt;=Cal_End_Week),"YES","")</f>
        <v>YES</v>
      </c>
    </row>
    <row r="1129" customFormat="false" ht="15" hidden="false" customHeight="false" outlineLevel="0" collapsed="false">
      <c r="A1129" s="31" t="str">
        <f aca="false">Demand_History!C1129</f>
        <v>BTH-001</v>
      </c>
      <c r="B1129" s="31" t="n">
        <f aca="false">Demand_History!A1129</f>
        <v>88</v>
      </c>
      <c r="C1129" s="32" t="n">
        <f aca="false">Demand_History!D1129</f>
        <v>123</v>
      </c>
      <c r="D1129" s="33" t="n">
        <f aca="false">IF(B1129&gt;=2,C1128,"")</f>
        <v>109</v>
      </c>
      <c r="E1129" s="33" t="n">
        <f aca="false">IF(B1129&gt;=5,AVERAGE(C1125:C1128),"")</f>
        <v>125</v>
      </c>
      <c r="F1129" s="33" t="n">
        <f aca="false">IF(B1129&gt;=9,AVERAGE(C1121:C1128),"")</f>
        <v>120.5</v>
      </c>
      <c r="G1129" s="33" t="n">
        <f aca="false">IF(B1129=1,"",IF(B1129=2,C1128,SES_Alpha*C1128+(1-SES_Alpha)*G1128))</f>
        <v>119.471754682368</v>
      </c>
      <c r="H1129" s="33" t="n">
        <f aca="false">IF(D1129="","",D1129-C1129)</f>
        <v>-14</v>
      </c>
      <c r="I1129" s="33" t="n">
        <f aca="false">IF(E1129="","",E1129-C1129)</f>
        <v>2</v>
      </c>
      <c r="J1129" s="33" t="n">
        <f aca="false">IF(F1129="","",F1129-C1129)</f>
        <v>-2.5</v>
      </c>
      <c r="K1129" s="33" t="n">
        <f aca="false">IF(G1129="","",G1129-C1129)</f>
        <v>-3.52824531763159</v>
      </c>
      <c r="L1129" s="33" t="n">
        <f aca="false">IF(H1129="","",ABS(H1129))</f>
        <v>14</v>
      </c>
      <c r="M1129" s="33" t="n">
        <f aca="false">IF(I1129="","",ABS(I1129))</f>
        <v>2</v>
      </c>
      <c r="N1129" s="33" t="n">
        <f aca="false">IF(J1129="","",ABS(J1129))</f>
        <v>2.5</v>
      </c>
      <c r="O1129" s="33" t="n">
        <f aca="false">IF(K1129="","",ABS(K1129))</f>
        <v>3.52824531763159</v>
      </c>
      <c r="P1129" s="34" t="str">
        <f aca="false">IF(B1129&gt;=Eval_Start_Week,"YES","")</f>
        <v>YES</v>
      </c>
      <c r="Q1129" s="34" t="str">
        <f aca="false">IF(AND(B1129&gt;=Cal_Start_Week,B1129&lt;=Cal_End_Week),"YES","")</f>
        <v>YES</v>
      </c>
    </row>
    <row r="1130" customFormat="false" ht="15" hidden="false" customHeight="false" outlineLevel="0" collapsed="false">
      <c r="A1130" s="31" t="str">
        <f aca="false">Demand_History!C1130</f>
        <v>BTH-001</v>
      </c>
      <c r="B1130" s="31" t="n">
        <f aca="false">Demand_History!A1130</f>
        <v>89</v>
      </c>
      <c r="C1130" s="32" t="n">
        <f aca="false">Demand_History!D1130</f>
        <v>120</v>
      </c>
      <c r="D1130" s="33" t="n">
        <f aca="false">IF(B1130&gt;=2,C1129,"")</f>
        <v>123</v>
      </c>
      <c r="E1130" s="33" t="n">
        <f aca="false">IF(B1130&gt;=5,AVERAGE(C1126:C1129),"")</f>
        <v>120.75</v>
      </c>
      <c r="F1130" s="33" t="n">
        <f aca="false">IF(B1130&gt;=9,AVERAGE(C1122:C1129),"")</f>
        <v>120.125</v>
      </c>
      <c r="G1130" s="33" t="n">
        <f aca="false">IF(B1130=1,"",IF(B1130=2,C1129,SES_Alpha*C1129+(1-SES_Alpha)*G1129))</f>
        <v>120.530228277658</v>
      </c>
      <c r="H1130" s="33" t="n">
        <f aca="false">IF(D1130="","",D1130-C1130)</f>
        <v>3</v>
      </c>
      <c r="I1130" s="33" t="n">
        <f aca="false">IF(E1130="","",E1130-C1130)</f>
        <v>0.75</v>
      </c>
      <c r="J1130" s="33" t="n">
        <f aca="false">IF(F1130="","",F1130-C1130)</f>
        <v>0.125</v>
      </c>
      <c r="K1130" s="33" t="n">
        <f aca="false">IF(G1130="","",G1130-C1130)</f>
        <v>0.530228277657869</v>
      </c>
      <c r="L1130" s="33" t="n">
        <f aca="false">IF(H1130="","",ABS(H1130))</f>
        <v>3</v>
      </c>
      <c r="M1130" s="33" t="n">
        <f aca="false">IF(I1130="","",ABS(I1130))</f>
        <v>0.75</v>
      </c>
      <c r="N1130" s="33" t="n">
        <f aca="false">IF(J1130="","",ABS(J1130))</f>
        <v>0.125</v>
      </c>
      <c r="O1130" s="33" t="n">
        <f aca="false">IF(K1130="","",ABS(K1130))</f>
        <v>0.530228277657869</v>
      </c>
      <c r="P1130" s="34" t="str">
        <f aca="false">IF(B1130&gt;=Eval_Start_Week,"YES","")</f>
        <v>YES</v>
      </c>
      <c r="Q1130" s="34" t="str">
        <f aca="false">IF(AND(B1130&gt;=Cal_Start_Week,B1130&lt;=Cal_End_Week),"YES","")</f>
        <v/>
      </c>
    </row>
    <row r="1131" customFormat="false" ht="15" hidden="false" customHeight="false" outlineLevel="0" collapsed="false">
      <c r="A1131" s="31" t="str">
        <f aca="false">Demand_History!C1131</f>
        <v>BTH-001</v>
      </c>
      <c r="B1131" s="31" t="n">
        <f aca="false">Demand_History!A1131</f>
        <v>90</v>
      </c>
      <c r="C1131" s="32" t="n">
        <f aca="false">Demand_History!D1131</f>
        <v>103</v>
      </c>
      <c r="D1131" s="33" t="n">
        <f aca="false">IF(B1131&gt;=2,C1130,"")</f>
        <v>120</v>
      </c>
      <c r="E1131" s="33" t="n">
        <f aca="false">IF(B1131&gt;=5,AVERAGE(C1127:C1130),"")</f>
        <v>115.5</v>
      </c>
      <c r="F1131" s="33" t="n">
        <f aca="false">IF(B1131&gt;=9,AVERAGE(C1123:C1130),"")</f>
        <v>121.875</v>
      </c>
      <c r="G1131" s="33" t="n">
        <f aca="false">IF(B1131=1,"",IF(B1131=2,C1130,SES_Alpha*C1130+(1-SES_Alpha)*G1130))</f>
        <v>120.371159794361</v>
      </c>
      <c r="H1131" s="33" t="n">
        <f aca="false">IF(D1131="","",D1131-C1131)</f>
        <v>17</v>
      </c>
      <c r="I1131" s="33" t="n">
        <f aca="false">IF(E1131="","",E1131-C1131)</f>
        <v>12.5</v>
      </c>
      <c r="J1131" s="33" t="n">
        <f aca="false">IF(F1131="","",F1131-C1131)</f>
        <v>18.875</v>
      </c>
      <c r="K1131" s="33" t="n">
        <f aca="false">IF(G1131="","",G1131-C1131)</f>
        <v>17.3711597943605</v>
      </c>
      <c r="L1131" s="33" t="n">
        <f aca="false">IF(H1131="","",ABS(H1131))</f>
        <v>17</v>
      </c>
      <c r="M1131" s="33" t="n">
        <f aca="false">IF(I1131="","",ABS(I1131))</f>
        <v>12.5</v>
      </c>
      <c r="N1131" s="33" t="n">
        <f aca="false">IF(J1131="","",ABS(J1131))</f>
        <v>18.875</v>
      </c>
      <c r="O1131" s="33" t="n">
        <f aca="false">IF(K1131="","",ABS(K1131))</f>
        <v>17.3711597943605</v>
      </c>
      <c r="P1131" s="34" t="str">
        <f aca="false">IF(B1131&gt;=Eval_Start_Week,"YES","")</f>
        <v>YES</v>
      </c>
      <c r="Q1131" s="34" t="str">
        <f aca="false">IF(AND(B1131&gt;=Cal_Start_Week,B1131&lt;=Cal_End_Week),"YES","")</f>
        <v/>
      </c>
    </row>
    <row r="1132" customFormat="false" ht="15" hidden="false" customHeight="false" outlineLevel="0" collapsed="false">
      <c r="A1132" s="31" t="str">
        <f aca="false">Demand_History!C1132</f>
        <v>BTH-001</v>
      </c>
      <c r="B1132" s="31" t="n">
        <f aca="false">Demand_History!A1132</f>
        <v>91</v>
      </c>
      <c r="C1132" s="32" t="n">
        <f aca="false">Demand_History!D1132</f>
        <v>130</v>
      </c>
      <c r="D1132" s="33" t="n">
        <f aca="false">IF(B1132&gt;=2,C1131,"")</f>
        <v>103</v>
      </c>
      <c r="E1132" s="33" t="n">
        <f aca="false">IF(B1132&gt;=5,AVERAGE(C1128:C1131),"")</f>
        <v>113.75</v>
      </c>
      <c r="F1132" s="33" t="n">
        <f aca="false">IF(B1132&gt;=9,AVERAGE(C1124:C1131),"")</f>
        <v>118.125</v>
      </c>
      <c r="G1132" s="33" t="n">
        <f aca="false">IF(B1132=1,"",IF(B1132=2,C1131,SES_Alpha*C1131+(1-SES_Alpha)*G1131))</f>
        <v>115.159811856052</v>
      </c>
      <c r="H1132" s="33" t="n">
        <f aca="false">IF(D1132="","",D1132-C1132)</f>
        <v>-27</v>
      </c>
      <c r="I1132" s="33" t="n">
        <f aca="false">IF(E1132="","",E1132-C1132)</f>
        <v>-16.25</v>
      </c>
      <c r="J1132" s="33" t="n">
        <f aca="false">IF(F1132="","",F1132-C1132)</f>
        <v>-11.875</v>
      </c>
      <c r="K1132" s="33" t="n">
        <f aca="false">IF(G1132="","",G1132-C1132)</f>
        <v>-14.8401881439476</v>
      </c>
      <c r="L1132" s="33" t="n">
        <f aca="false">IF(H1132="","",ABS(H1132))</f>
        <v>27</v>
      </c>
      <c r="M1132" s="33" t="n">
        <f aca="false">IF(I1132="","",ABS(I1132))</f>
        <v>16.25</v>
      </c>
      <c r="N1132" s="33" t="n">
        <f aca="false">IF(J1132="","",ABS(J1132))</f>
        <v>11.875</v>
      </c>
      <c r="O1132" s="33" t="n">
        <f aca="false">IF(K1132="","",ABS(K1132))</f>
        <v>14.8401881439476</v>
      </c>
      <c r="P1132" s="34" t="str">
        <f aca="false">IF(B1132&gt;=Eval_Start_Week,"YES","")</f>
        <v>YES</v>
      </c>
      <c r="Q1132" s="34" t="str">
        <f aca="false">IF(AND(B1132&gt;=Cal_Start_Week,B1132&lt;=Cal_End_Week),"YES","")</f>
        <v/>
      </c>
    </row>
    <row r="1133" customFormat="false" ht="15" hidden="false" customHeight="false" outlineLevel="0" collapsed="false">
      <c r="A1133" s="31" t="str">
        <f aca="false">Demand_History!C1133</f>
        <v>BTH-001</v>
      </c>
      <c r="B1133" s="31" t="n">
        <f aca="false">Demand_History!A1133</f>
        <v>92</v>
      </c>
      <c r="C1133" s="32" t="n">
        <f aca="false">Demand_History!D1133</f>
        <v>84</v>
      </c>
      <c r="D1133" s="33" t="n">
        <f aca="false">IF(B1133&gt;=2,C1132,"")</f>
        <v>130</v>
      </c>
      <c r="E1133" s="33" t="n">
        <f aca="false">IF(B1133&gt;=5,AVERAGE(C1129:C1132),"")</f>
        <v>119</v>
      </c>
      <c r="F1133" s="33" t="n">
        <f aca="false">IF(B1133&gt;=9,AVERAGE(C1125:C1132),"")</f>
        <v>122</v>
      </c>
      <c r="G1133" s="33" t="n">
        <f aca="false">IF(B1133=1,"",IF(B1133=2,C1132,SES_Alpha*C1132+(1-SES_Alpha)*G1132))</f>
        <v>119.611868299237</v>
      </c>
      <c r="H1133" s="33" t="n">
        <f aca="false">IF(D1133="","",D1133-C1133)</f>
        <v>46</v>
      </c>
      <c r="I1133" s="33" t="n">
        <f aca="false">IF(E1133="","",E1133-C1133)</f>
        <v>35</v>
      </c>
      <c r="J1133" s="33" t="n">
        <f aca="false">IF(F1133="","",F1133-C1133)</f>
        <v>38</v>
      </c>
      <c r="K1133" s="33" t="n">
        <f aca="false">IF(G1133="","",G1133-C1133)</f>
        <v>35.6118682992367</v>
      </c>
      <c r="L1133" s="33" t="n">
        <f aca="false">IF(H1133="","",ABS(H1133))</f>
        <v>46</v>
      </c>
      <c r="M1133" s="33" t="n">
        <f aca="false">IF(I1133="","",ABS(I1133))</f>
        <v>35</v>
      </c>
      <c r="N1133" s="33" t="n">
        <f aca="false">IF(J1133="","",ABS(J1133))</f>
        <v>38</v>
      </c>
      <c r="O1133" s="33" t="n">
        <f aca="false">IF(K1133="","",ABS(K1133))</f>
        <v>35.6118682992367</v>
      </c>
      <c r="P1133" s="34" t="str">
        <f aca="false">IF(B1133&gt;=Eval_Start_Week,"YES","")</f>
        <v>YES</v>
      </c>
      <c r="Q1133" s="34" t="str">
        <f aca="false">IF(AND(B1133&gt;=Cal_Start_Week,B1133&lt;=Cal_End_Week),"YES","")</f>
        <v/>
      </c>
    </row>
    <row r="1134" customFormat="false" ht="15" hidden="false" customHeight="false" outlineLevel="0" collapsed="false">
      <c r="A1134" s="31" t="str">
        <f aca="false">Demand_History!C1134</f>
        <v>BTH-001</v>
      </c>
      <c r="B1134" s="31" t="n">
        <f aca="false">Demand_History!A1134</f>
        <v>93</v>
      </c>
      <c r="C1134" s="32" t="n">
        <f aca="false">Demand_History!D1134</f>
        <v>112</v>
      </c>
      <c r="D1134" s="33" t="n">
        <f aca="false">IF(B1134&gt;=2,C1133,"")</f>
        <v>84</v>
      </c>
      <c r="E1134" s="33" t="n">
        <f aca="false">IF(B1134&gt;=5,AVERAGE(C1130:C1133),"")</f>
        <v>109.25</v>
      </c>
      <c r="F1134" s="33" t="n">
        <f aca="false">IF(B1134&gt;=9,AVERAGE(C1126:C1133),"")</f>
        <v>115</v>
      </c>
      <c r="G1134" s="33" t="n">
        <f aca="false">IF(B1134=1,"",IF(B1134=2,C1133,SES_Alpha*C1133+(1-SES_Alpha)*G1133))</f>
        <v>108.928307809466</v>
      </c>
      <c r="H1134" s="33" t="n">
        <f aca="false">IF(D1134="","",D1134-C1134)</f>
        <v>-28</v>
      </c>
      <c r="I1134" s="33" t="n">
        <f aca="false">IF(E1134="","",E1134-C1134)</f>
        <v>-2.75</v>
      </c>
      <c r="J1134" s="33" t="n">
        <f aca="false">IF(F1134="","",F1134-C1134)</f>
        <v>3</v>
      </c>
      <c r="K1134" s="33" t="n">
        <f aca="false">IF(G1134="","",G1134-C1134)</f>
        <v>-3.07169219053435</v>
      </c>
      <c r="L1134" s="33" t="n">
        <f aca="false">IF(H1134="","",ABS(H1134))</f>
        <v>28</v>
      </c>
      <c r="M1134" s="33" t="n">
        <f aca="false">IF(I1134="","",ABS(I1134))</f>
        <v>2.75</v>
      </c>
      <c r="N1134" s="33" t="n">
        <f aca="false">IF(J1134="","",ABS(J1134))</f>
        <v>3</v>
      </c>
      <c r="O1134" s="33" t="n">
        <f aca="false">IF(K1134="","",ABS(K1134))</f>
        <v>3.07169219053435</v>
      </c>
      <c r="P1134" s="34" t="str">
        <f aca="false">IF(B1134&gt;=Eval_Start_Week,"YES","")</f>
        <v>YES</v>
      </c>
      <c r="Q1134" s="34" t="str">
        <f aca="false">IF(AND(B1134&gt;=Cal_Start_Week,B1134&lt;=Cal_End_Week),"YES","")</f>
        <v/>
      </c>
    </row>
    <row r="1135" customFormat="false" ht="15" hidden="false" customHeight="false" outlineLevel="0" collapsed="false">
      <c r="A1135" s="31" t="str">
        <f aca="false">Demand_History!C1135</f>
        <v>BTH-001</v>
      </c>
      <c r="B1135" s="31" t="n">
        <f aca="false">Demand_History!A1135</f>
        <v>94</v>
      </c>
      <c r="C1135" s="32" t="n">
        <f aca="false">Demand_History!D1135</f>
        <v>113</v>
      </c>
      <c r="D1135" s="33" t="n">
        <f aca="false">IF(B1135&gt;=2,C1134,"")</f>
        <v>112</v>
      </c>
      <c r="E1135" s="33" t="n">
        <f aca="false">IF(B1135&gt;=5,AVERAGE(C1131:C1134),"")</f>
        <v>107.25</v>
      </c>
      <c r="F1135" s="33" t="n">
        <f aca="false">IF(B1135&gt;=9,AVERAGE(C1127:C1134),"")</f>
        <v>111.375</v>
      </c>
      <c r="G1135" s="33" t="n">
        <f aca="false">IF(B1135=1,"",IF(B1135=2,C1134,SES_Alpha*C1134+(1-SES_Alpha)*G1134))</f>
        <v>109.849815466626</v>
      </c>
      <c r="H1135" s="33" t="n">
        <f aca="false">IF(D1135="","",D1135-C1135)</f>
        <v>-1</v>
      </c>
      <c r="I1135" s="33" t="n">
        <f aca="false">IF(E1135="","",E1135-C1135)</f>
        <v>-5.75</v>
      </c>
      <c r="J1135" s="33" t="n">
        <f aca="false">IF(F1135="","",F1135-C1135)</f>
        <v>-1.625</v>
      </c>
      <c r="K1135" s="33" t="n">
        <f aca="false">IF(G1135="","",G1135-C1135)</f>
        <v>-3.15018453337405</v>
      </c>
      <c r="L1135" s="33" t="n">
        <f aca="false">IF(H1135="","",ABS(H1135))</f>
        <v>1</v>
      </c>
      <c r="M1135" s="33" t="n">
        <f aca="false">IF(I1135="","",ABS(I1135))</f>
        <v>5.75</v>
      </c>
      <c r="N1135" s="33" t="n">
        <f aca="false">IF(J1135="","",ABS(J1135))</f>
        <v>1.625</v>
      </c>
      <c r="O1135" s="33" t="n">
        <f aca="false">IF(K1135="","",ABS(K1135))</f>
        <v>3.15018453337405</v>
      </c>
      <c r="P1135" s="34" t="str">
        <f aca="false">IF(B1135&gt;=Eval_Start_Week,"YES","")</f>
        <v>YES</v>
      </c>
      <c r="Q1135" s="34" t="str">
        <f aca="false">IF(AND(B1135&gt;=Cal_Start_Week,B1135&lt;=Cal_End_Week),"YES","")</f>
        <v/>
      </c>
    </row>
    <row r="1136" customFormat="false" ht="15" hidden="false" customHeight="false" outlineLevel="0" collapsed="false">
      <c r="A1136" s="31" t="str">
        <f aca="false">Demand_History!C1136</f>
        <v>BTH-001</v>
      </c>
      <c r="B1136" s="31" t="n">
        <f aca="false">Demand_History!A1136</f>
        <v>95</v>
      </c>
      <c r="C1136" s="32" t="n">
        <f aca="false">Demand_History!D1136</f>
        <v>115</v>
      </c>
      <c r="D1136" s="33" t="n">
        <f aca="false">IF(B1136&gt;=2,C1135,"")</f>
        <v>113</v>
      </c>
      <c r="E1136" s="33" t="n">
        <f aca="false">IF(B1136&gt;=5,AVERAGE(C1132:C1135),"")</f>
        <v>109.75</v>
      </c>
      <c r="F1136" s="33" t="n">
        <f aca="false">IF(B1136&gt;=9,AVERAGE(C1128:C1135),"")</f>
        <v>111.75</v>
      </c>
      <c r="G1136" s="33" t="n">
        <f aca="false">IF(B1136=1,"",IF(B1136=2,C1135,SES_Alpha*C1135+(1-SES_Alpha)*G1135))</f>
        <v>110.794870826638</v>
      </c>
      <c r="H1136" s="33" t="n">
        <f aca="false">IF(D1136="","",D1136-C1136)</f>
        <v>-2</v>
      </c>
      <c r="I1136" s="33" t="n">
        <f aca="false">IF(E1136="","",E1136-C1136)</f>
        <v>-5.25</v>
      </c>
      <c r="J1136" s="33" t="n">
        <f aca="false">IF(F1136="","",F1136-C1136)</f>
        <v>-3.25</v>
      </c>
      <c r="K1136" s="33" t="n">
        <f aca="false">IF(G1136="","",G1136-C1136)</f>
        <v>-4.20512917336183</v>
      </c>
      <c r="L1136" s="33" t="n">
        <f aca="false">IF(H1136="","",ABS(H1136))</f>
        <v>2</v>
      </c>
      <c r="M1136" s="33" t="n">
        <f aca="false">IF(I1136="","",ABS(I1136))</f>
        <v>5.25</v>
      </c>
      <c r="N1136" s="33" t="n">
        <f aca="false">IF(J1136="","",ABS(J1136))</f>
        <v>3.25</v>
      </c>
      <c r="O1136" s="33" t="n">
        <f aca="false">IF(K1136="","",ABS(K1136))</f>
        <v>4.20512917336183</v>
      </c>
      <c r="P1136" s="34" t="str">
        <f aca="false">IF(B1136&gt;=Eval_Start_Week,"YES","")</f>
        <v>YES</v>
      </c>
      <c r="Q1136" s="34" t="str">
        <f aca="false">IF(AND(B1136&gt;=Cal_Start_Week,B1136&lt;=Cal_End_Week),"YES","")</f>
        <v/>
      </c>
    </row>
    <row r="1137" customFormat="false" ht="15" hidden="false" customHeight="false" outlineLevel="0" collapsed="false">
      <c r="A1137" s="31" t="str">
        <f aca="false">Demand_History!C1137</f>
        <v>BTH-001</v>
      </c>
      <c r="B1137" s="31" t="n">
        <f aca="false">Demand_History!A1137</f>
        <v>96</v>
      </c>
      <c r="C1137" s="32" t="n">
        <f aca="false">Demand_History!D1137</f>
        <v>125</v>
      </c>
      <c r="D1137" s="33" t="n">
        <f aca="false">IF(B1137&gt;=2,C1136,"")</f>
        <v>115</v>
      </c>
      <c r="E1137" s="33" t="n">
        <f aca="false">IF(B1137&gt;=5,AVERAGE(C1133:C1136),"")</f>
        <v>106</v>
      </c>
      <c r="F1137" s="33" t="n">
        <f aca="false">IF(B1137&gt;=9,AVERAGE(C1129:C1136),"")</f>
        <v>112.5</v>
      </c>
      <c r="G1137" s="33" t="n">
        <f aca="false">IF(B1137=1,"",IF(B1137=2,C1136,SES_Alpha*C1136+(1-SES_Alpha)*G1136))</f>
        <v>112.056409578647</v>
      </c>
      <c r="H1137" s="33" t="n">
        <f aca="false">IF(D1137="","",D1137-C1137)</f>
        <v>-10</v>
      </c>
      <c r="I1137" s="33" t="n">
        <f aca="false">IF(E1137="","",E1137-C1137)</f>
        <v>-19</v>
      </c>
      <c r="J1137" s="33" t="n">
        <f aca="false">IF(F1137="","",F1137-C1137)</f>
        <v>-12.5</v>
      </c>
      <c r="K1137" s="33" t="n">
        <f aca="false">IF(G1137="","",G1137-C1137)</f>
        <v>-12.9435904213533</v>
      </c>
      <c r="L1137" s="33" t="n">
        <f aca="false">IF(H1137="","",ABS(H1137))</f>
        <v>10</v>
      </c>
      <c r="M1137" s="33" t="n">
        <f aca="false">IF(I1137="","",ABS(I1137))</f>
        <v>19</v>
      </c>
      <c r="N1137" s="33" t="n">
        <f aca="false">IF(J1137="","",ABS(J1137))</f>
        <v>12.5</v>
      </c>
      <c r="O1137" s="33" t="n">
        <f aca="false">IF(K1137="","",ABS(K1137))</f>
        <v>12.9435904213533</v>
      </c>
      <c r="P1137" s="34" t="str">
        <f aca="false">IF(B1137&gt;=Eval_Start_Week,"YES","")</f>
        <v>YES</v>
      </c>
      <c r="Q1137" s="34" t="str">
        <f aca="false">IF(AND(B1137&gt;=Cal_Start_Week,B1137&lt;=Cal_End_Week),"YES","")</f>
        <v/>
      </c>
    </row>
    <row r="1138" customFormat="false" ht="15" hidden="false" customHeight="false" outlineLevel="0" collapsed="false">
      <c r="A1138" s="31" t="str">
        <f aca="false">Demand_History!C1138</f>
        <v>BTH-001</v>
      </c>
      <c r="B1138" s="31" t="n">
        <f aca="false">Demand_History!A1138</f>
        <v>97</v>
      </c>
      <c r="C1138" s="32" t="n">
        <f aca="false">Demand_History!D1138</f>
        <v>98</v>
      </c>
      <c r="D1138" s="33" t="n">
        <f aca="false">IF(B1138&gt;=2,C1137,"")</f>
        <v>125</v>
      </c>
      <c r="E1138" s="33" t="n">
        <f aca="false">IF(B1138&gt;=5,AVERAGE(C1134:C1137),"")</f>
        <v>116.25</v>
      </c>
      <c r="F1138" s="33" t="n">
        <f aca="false">IF(B1138&gt;=9,AVERAGE(C1130:C1137),"")</f>
        <v>112.75</v>
      </c>
      <c r="G1138" s="33" t="n">
        <f aca="false">IF(B1138=1,"",IF(B1138=2,C1137,SES_Alpha*C1137+(1-SES_Alpha)*G1137))</f>
        <v>115.939486705053</v>
      </c>
      <c r="H1138" s="33" t="n">
        <f aca="false">IF(D1138="","",D1138-C1138)</f>
        <v>27</v>
      </c>
      <c r="I1138" s="33" t="n">
        <f aca="false">IF(E1138="","",E1138-C1138)</f>
        <v>18.25</v>
      </c>
      <c r="J1138" s="33" t="n">
        <f aca="false">IF(F1138="","",F1138-C1138)</f>
        <v>14.75</v>
      </c>
      <c r="K1138" s="33" t="n">
        <f aca="false">IF(G1138="","",G1138-C1138)</f>
        <v>17.9394867050527</v>
      </c>
      <c r="L1138" s="33" t="n">
        <f aca="false">IF(H1138="","",ABS(H1138))</f>
        <v>27</v>
      </c>
      <c r="M1138" s="33" t="n">
        <f aca="false">IF(I1138="","",ABS(I1138))</f>
        <v>18.25</v>
      </c>
      <c r="N1138" s="33" t="n">
        <f aca="false">IF(J1138="","",ABS(J1138))</f>
        <v>14.75</v>
      </c>
      <c r="O1138" s="33" t="n">
        <f aca="false">IF(K1138="","",ABS(K1138))</f>
        <v>17.9394867050527</v>
      </c>
      <c r="P1138" s="34" t="str">
        <f aca="false">IF(B1138&gt;=Eval_Start_Week,"YES","")</f>
        <v>YES</v>
      </c>
      <c r="Q1138" s="34" t="str">
        <f aca="false">IF(AND(B1138&gt;=Cal_Start_Week,B1138&lt;=Cal_End_Week),"YES","")</f>
        <v/>
      </c>
    </row>
    <row r="1139" customFormat="false" ht="15" hidden="false" customHeight="false" outlineLevel="0" collapsed="false">
      <c r="A1139" s="31" t="str">
        <f aca="false">Demand_History!C1139</f>
        <v>BTH-001</v>
      </c>
      <c r="B1139" s="31" t="n">
        <f aca="false">Demand_History!A1139</f>
        <v>98</v>
      </c>
      <c r="C1139" s="32" t="n">
        <f aca="false">Demand_History!D1139</f>
        <v>130</v>
      </c>
      <c r="D1139" s="33" t="n">
        <f aca="false">IF(B1139&gt;=2,C1138,"")</f>
        <v>98</v>
      </c>
      <c r="E1139" s="33" t="n">
        <f aca="false">IF(B1139&gt;=5,AVERAGE(C1135:C1138),"")</f>
        <v>112.75</v>
      </c>
      <c r="F1139" s="33" t="n">
        <f aca="false">IF(B1139&gt;=9,AVERAGE(C1131:C1138),"")</f>
        <v>110</v>
      </c>
      <c r="G1139" s="33" t="n">
        <f aca="false">IF(B1139=1,"",IF(B1139=2,C1138,SES_Alpha*C1138+(1-SES_Alpha)*G1138))</f>
        <v>110.557640693537</v>
      </c>
      <c r="H1139" s="33" t="n">
        <f aca="false">IF(D1139="","",D1139-C1139)</f>
        <v>-32</v>
      </c>
      <c r="I1139" s="33" t="n">
        <f aca="false">IF(E1139="","",E1139-C1139)</f>
        <v>-17.25</v>
      </c>
      <c r="J1139" s="33" t="n">
        <f aca="false">IF(F1139="","",F1139-C1139)</f>
        <v>-20</v>
      </c>
      <c r="K1139" s="33" t="n">
        <f aca="false">IF(G1139="","",G1139-C1139)</f>
        <v>-19.4423593064631</v>
      </c>
      <c r="L1139" s="33" t="n">
        <f aca="false">IF(H1139="","",ABS(H1139))</f>
        <v>32</v>
      </c>
      <c r="M1139" s="33" t="n">
        <f aca="false">IF(I1139="","",ABS(I1139))</f>
        <v>17.25</v>
      </c>
      <c r="N1139" s="33" t="n">
        <f aca="false">IF(J1139="","",ABS(J1139))</f>
        <v>20</v>
      </c>
      <c r="O1139" s="33" t="n">
        <f aca="false">IF(K1139="","",ABS(K1139))</f>
        <v>19.4423593064631</v>
      </c>
      <c r="P1139" s="34" t="str">
        <f aca="false">IF(B1139&gt;=Eval_Start_Week,"YES","")</f>
        <v>YES</v>
      </c>
      <c r="Q1139" s="34" t="str">
        <f aca="false">IF(AND(B1139&gt;=Cal_Start_Week,B1139&lt;=Cal_End_Week),"YES","")</f>
        <v/>
      </c>
    </row>
    <row r="1140" customFormat="false" ht="15" hidden="false" customHeight="false" outlineLevel="0" collapsed="false">
      <c r="A1140" s="31" t="str">
        <f aca="false">Demand_History!C1140</f>
        <v>BTH-001</v>
      </c>
      <c r="B1140" s="31" t="n">
        <f aca="false">Demand_History!A1140</f>
        <v>99</v>
      </c>
      <c r="C1140" s="32" t="n">
        <f aca="false">Demand_History!D1140</f>
        <v>117</v>
      </c>
      <c r="D1140" s="33" t="n">
        <f aca="false">IF(B1140&gt;=2,C1139,"")</f>
        <v>130</v>
      </c>
      <c r="E1140" s="33" t="n">
        <f aca="false">IF(B1140&gt;=5,AVERAGE(C1136:C1139),"")</f>
        <v>117</v>
      </c>
      <c r="F1140" s="33" t="n">
        <f aca="false">IF(B1140&gt;=9,AVERAGE(C1132:C1139),"")</f>
        <v>113.375</v>
      </c>
      <c r="G1140" s="33" t="n">
        <f aca="false">IF(B1140=1,"",IF(B1140=2,C1139,SES_Alpha*C1139+(1-SES_Alpha)*G1139))</f>
        <v>116.390348485476</v>
      </c>
      <c r="H1140" s="33" t="n">
        <f aca="false">IF(D1140="","",D1140-C1140)</f>
        <v>13</v>
      </c>
      <c r="I1140" s="33" t="n">
        <f aca="false">IF(E1140="","",E1140-C1140)</f>
        <v>0</v>
      </c>
      <c r="J1140" s="33" t="n">
        <f aca="false">IF(F1140="","",F1140-C1140)</f>
        <v>-3.625</v>
      </c>
      <c r="K1140" s="33" t="n">
        <f aca="false">IF(G1140="","",G1140-C1140)</f>
        <v>-0.609651514524188</v>
      </c>
      <c r="L1140" s="33" t="n">
        <f aca="false">IF(H1140="","",ABS(H1140))</f>
        <v>13</v>
      </c>
      <c r="M1140" s="33" t="n">
        <f aca="false">IF(I1140="","",ABS(I1140))</f>
        <v>0</v>
      </c>
      <c r="N1140" s="33" t="n">
        <f aca="false">IF(J1140="","",ABS(J1140))</f>
        <v>3.625</v>
      </c>
      <c r="O1140" s="33" t="n">
        <f aca="false">IF(K1140="","",ABS(K1140))</f>
        <v>0.609651514524188</v>
      </c>
      <c r="P1140" s="34" t="str">
        <f aca="false">IF(B1140&gt;=Eval_Start_Week,"YES","")</f>
        <v>YES</v>
      </c>
      <c r="Q1140" s="34" t="str">
        <f aca="false">IF(AND(B1140&gt;=Cal_Start_Week,B1140&lt;=Cal_End_Week),"YES","")</f>
        <v/>
      </c>
    </row>
    <row r="1141" customFormat="false" ht="15" hidden="false" customHeight="false" outlineLevel="0" collapsed="false">
      <c r="A1141" s="31" t="str">
        <f aca="false">Demand_History!C1141</f>
        <v>BTH-001</v>
      </c>
      <c r="B1141" s="31" t="n">
        <f aca="false">Demand_History!A1141</f>
        <v>100</v>
      </c>
      <c r="C1141" s="32" t="n">
        <f aca="false">Demand_History!D1141</f>
        <v>109</v>
      </c>
      <c r="D1141" s="33" t="n">
        <f aca="false">IF(B1141&gt;=2,C1140,"")</f>
        <v>117</v>
      </c>
      <c r="E1141" s="33" t="n">
        <f aca="false">IF(B1141&gt;=5,AVERAGE(C1137:C1140),"")</f>
        <v>117.5</v>
      </c>
      <c r="F1141" s="33" t="n">
        <f aca="false">IF(B1141&gt;=9,AVERAGE(C1133:C1140),"")</f>
        <v>111.75</v>
      </c>
      <c r="G1141" s="33" t="n">
        <f aca="false">IF(B1141=1,"",IF(B1141=2,C1140,SES_Alpha*C1140+(1-SES_Alpha)*G1140))</f>
        <v>116.573243939833</v>
      </c>
      <c r="H1141" s="33" t="n">
        <f aca="false">IF(D1141="","",D1141-C1141)</f>
        <v>8</v>
      </c>
      <c r="I1141" s="33" t="n">
        <f aca="false">IF(E1141="","",E1141-C1141)</f>
        <v>8.5</v>
      </c>
      <c r="J1141" s="33" t="n">
        <f aca="false">IF(F1141="","",F1141-C1141)</f>
        <v>2.75</v>
      </c>
      <c r="K1141" s="33" t="n">
        <f aca="false">IF(G1141="","",G1141-C1141)</f>
        <v>7.57324393983308</v>
      </c>
      <c r="L1141" s="33" t="n">
        <f aca="false">IF(H1141="","",ABS(H1141))</f>
        <v>8</v>
      </c>
      <c r="M1141" s="33" t="n">
        <f aca="false">IF(I1141="","",ABS(I1141))</f>
        <v>8.5</v>
      </c>
      <c r="N1141" s="33" t="n">
        <f aca="false">IF(J1141="","",ABS(J1141))</f>
        <v>2.75</v>
      </c>
      <c r="O1141" s="33" t="n">
        <f aca="false">IF(K1141="","",ABS(K1141))</f>
        <v>7.57324393983308</v>
      </c>
      <c r="P1141" s="34" t="str">
        <f aca="false">IF(B1141&gt;=Eval_Start_Week,"YES","")</f>
        <v>YES</v>
      </c>
      <c r="Q1141" s="34" t="str">
        <f aca="false">IF(AND(B1141&gt;=Cal_Start_Week,B1141&lt;=Cal_End_Week),"YES","")</f>
        <v/>
      </c>
    </row>
    <row r="1142" customFormat="false" ht="15" hidden="false" customHeight="false" outlineLevel="0" collapsed="false">
      <c r="A1142" s="31" t="str">
        <f aca="false">Demand_History!C1142</f>
        <v>BTH-001</v>
      </c>
      <c r="B1142" s="31" t="n">
        <f aca="false">Demand_History!A1142</f>
        <v>101</v>
      </c>
      <c r="C1142" s="32" t="n">
        <f aca="false">Demand_History!D1142</f>
        <v>96</v>
      </c>
      <c r="D1142" s="33" t="n">
        <f aca="false">IF(B1142&gt;=2,C1141,"")</f>
        <v>109</v>
      </c>
      <c r="E1142" s="33" t="n">
        <f aca="false">IF(B1142&gt;=5,AVERAGE(C1138:C1141),"")</f>
        <v>113.5</v>
      </c>
      <c r="F1142" s="33" t="n">
        <f aca="false">IF(B1142&gt;=9,AVERAGE(C1134:C1141),"")</f>
        <v>114.875</v>
      </c>
      <c r="G1142" s="33" t="n">
        <f aca="false">IF(B1142=1,"",IF(B1142=2,C1141,SES_Alpha*C1141+(1-SES_Alpha)*G1141))</f>
        <v>114.301270757883</v>
      </c>
      <c r="H1142" s="33" t="n">
        <f aca="false">IF(D1142="","",D1142-C1142)</f>
        <v>13</v>
      </c>
      <c r="I1142" s="33" t="n">
        <f aca="false">IF(E1142="","",E1142-C1142)</f>
        <v>17.5</v>
      </c>
      <c r="J1142" s="33" t="n">
        <f aca="false">IF(F1142="","",F1142-C1142)</f>
        <v>18.875</v>
      </c>
      <c r="K1142" s="33" t="n">
        <f aca="false">IF(G1142="","",G1142-C1142)</f>
        <v>18.3012707578831</v>
      </c>
      <c r="L1142" s="33" t="n">
        <f aca="false">IF(H1142="","",ABS(H1142))</f>
        <v>13</v>
      </c>
      <c r="M1142" s="33" t="n">
        <f aca="false">IF(I1142="","",ABS(I1142))</f>
        <v>17.5</v>
      </c>
      <c r="N1142" s="33" t="n">
        <f aca="false">IF(J1142="","",ABS(J1142))</f>
        <v>18.875</v>
      </c>
      <c r="O1142" s="33" t="n">
        <f aca="false">IF(K1142="","",ABS(K1142))</f>
        <v>18.3012707578831</v>
      </c>
      <c r="P1142" s="34" t="str">
        <f aca="false">IF(B1142&gt;=Eval_Start_Week,"YES","")</f>
        <v>YES</v>
      </c>
      <c r="Q1142" s="34" t="str">
        <f aca="false">IF(AND(B1142&gt;=Cal_Start_Week,B1142&lt;=Cal_End_Week),"YES","")</f>
        <v/>
      </c>
    </row>
    <row r="1143" customFormat="false" ht="15" hidden="false" customHeight="false" outlineLevel="0" collapsed="false">
      <c r="A1143" s="31" t="str">
        <f aca="false">Demand_History!C1143</f>
        <v>BTH-001</v>
      </c>
      <c r="B1143" s="31" t="n">
        <f aca="false">Demand_History!A1143</f>
        <v>102</v>
      </c>
      <c r="C1143" s="32" t="n">
        <f aca="false">Demand_History!D1143</f>
        <v>99</v>
      </c>
      <c r="D1143" s="33" t="n">
        <f aca="false">IF(B1143&gt;=2,C1142,"")</f>
        <v>96</v>
      </c>
      <c r="E1143" s="33" t="n">
        <f aca="false">IF(B1143&gt;=5,AVERAGE(C1139:C1142),"")</f>
        <v>113</v>
      </c>
      <c r="F1143" s="33" t="n">
        <f aca="false">IF(B1143&gt;=9,AVERAGE(C1135:C1142),"")</f>
        <v>112.875</v>
      </c>
      <c r="G1143" s="33" t="n">
        <f aca="false">IF(B1143=1,"",IF(B1143=2,C1142,SES_Alpha*C1142+(1-SES_Alpha)*G1142))</f>
        <v>108.810889530518</v>
      </c>
      <c r="H1143" s="33" t="n">
        <f aca="false">IF(D1143="","",D1143-C1143)</f>
        <v>-3</v>
      </c>
      <c r="I1143" s="33" t="n">
        <f aca="false">IF(E1143="","",E1143-C1143)</f>
        <v>14</v>
      </c>
      <c r="J1143" s="33" t="n">
        <f aca="false">IF(F1143="","",F1143-C1143)</f>
        <v>13.875</v>
      </c>
      <c r="K1143" s="33" t="n">
        <f aca="false">IF(G1143="","",G1143-C1143)</f>
        <v>9.8108895305182</v>
      </c>
      <c r="L1143" s="33" t="n">
        <f aca="false">IF(H1143="","",ABS(H1143))</f>
        <v>3</v>
      </c>
      <c r="M1143" s="33" t="n">
        <f aca="false">IF(I1143="","",ABS(I1143))</f>
        <v>14</v>
      </c>
      <c r="N1143" s="33" t="n">
        <f aca="false">IF(J1143="","",ABS(J1143))</f>
        <v>13.875</v>
      </c>
      <c r="O1143" s="33" t="n">
        <f aca="false">IF(K1143="","",ABS(K1143))</f>
        <v>9.8108895305182</v>
      </c>
      <c r="P1143" s="34" t="str">
        <f aca="false">IF(B1143&gt;=Eval_Start_Week,"YES","")</f>
        <v>YES</v>
      </c>
      <c r="Q1143" s="34" t="str">
        <f aca="false">IF(AND(B1143&gt;=Cal_Start_Week,B1143&lt;=Cal_End_Week),"YES","")</f>
        <v/>
      </c>
    </row>
    <row r="1144" customFormat="false" ht="15" hidden="false" customHeight="false" outlineLevel="0" collapsed="false">
      <c r="A1144" s="31" t="str">
        <f aca="false">Demand_History!C1144</f>
        <v>BTH-001</v>
      </c>
      <c r="B1144" s="31" t="n">
        <f aca="false">Demand_History!A1144</f>
        <v>103</v>
      </c>
      <c r="C1144" s="32" t="n">
        <f aca="false">Demand_History!D1144</f>
        <v>126</v>
      </c>
      <c r="D1144" s="33" t="n">
        <f aca="false">IF(B1144&gt;=2,C1143,"")</f>
        <v>99</v>
      </c>
      <c r="E1144" s="33" t="n">
        <f aca="false">IF(B1144&gt;=5,AVERAGE(C1140:C1143),"")</f>
        <v>105.25</v>
      </c>
      <c r="F1144" s="33" t="n">
        <f aca="false">IF(B1144&gt;=9,AVERAGE(C1136:C1143),"")</f>
        <v>111.125</v>
      </c>
      <c r="G1144" s="33" t="n">
        <f aca="false">IF(B1144=1,"",IF(B1144=2,C1143,SES_Alpha*C1143+(1-SES_Alpha)*G1143))</f>
        <v>105.867622671363</v>
      </c>
      <c r="H1144" s="33" t="n">
        <f aca="false">IF(D1144="","",D1144-C1144)</f>
        <v>-27</v>
      </c>
      <c r="I1144" s="33" t="n">
        <f aca="false">IF(E1144="","",E1144-C1144)</f>
        <v>-20.75</v>
      </c>
      <c r="J1144" s="33" t="n">
        <f aca="false">IF(F1144="","",F1144-C1144)</f>
        <v>-14.875</v>
      </c>
      <c r="K1144" s="33" t="n">
        <f aca="false">IF(G1144="","",G1144-C1144)</f>
        <v>-20.1323773286373</v>
      </c>
      <c r="L1144" s="33" t="n">
        <f aca="false">IF(H1144="","",ABS(H1144))</f>
        <v>27</v>
      </c>
      <c r="M1144" s="33" t="n">
        <f aca="false">IF(I1144="","",ABS(I1144))</f>
        <v>20.75</v>
      </c>
      <c r="N1144" s="33" t="n">
        <f aca="false">IF(J1144="","",ABS(J1144))</f>
        <v>14.875</v>
      </c>
      <c r="O1144" s="33" t="n">
        <f aca="false">IF(K1144="","",ABS(K1144))</f>
        <v>20.1323773286373</v>
      </c>
      <c r="P1144" s="34" t="str">
        <f aca="false">IF(B1144&gt;=Eval_Start_Week,"YES","")</f>
        <v>YES</v>
      </c>
      <c r="Q1144" s="34" t="str">
        <f aca="false">IF(AND(B1144&gt;=Cal_Start_Week,B1144&lt;=Cal_End_Week),"YES","")</f>
        <v/>
      </c>
    </row>
    <row r="1145" customFormat="false" ht="15" hidden="false" customHeight="false" outlineLevel="0" collapsed="false">
      <c r="A1145" s="31" t="str">
        <f aca="false">Demand_History!C1145</f>
        <v>BTH-001</v>
      </c>
      <c r="B1145" s="31" t="n">
        <f aca="false">Demand_History!A1145</f>
        <v>104</v>
      </c>
      <c r="C1145" s="32" t="n">
        <f aca="false">Demand_History!D1145</f>
        <v>103</v>
      </c>
      <c r="D1145" s="33" t="n">
        <f aca="false">IF(B1145&gt;=2,C1144,"")</f>
        <v>126</v>
      </c>
      <c r="E1145" s="33" t="n">
        <f aca="false">IF(B1145&gt;=5,AVERAGE(C1141:C1144),"")</f>
        <v>107.5</v>
      </c>
      <c r="F1145" s="33" t="n">
        <f aca="false">IF(B1145&gt;=9,AVERAGE(C1137:C1144),"")</f>
        <v>112.5</v>
      </c>
      <c r="G1145" s="33" t="n">
        <f aca="false">IF(B1145=1,"",IF(B1145=2,C1144,SES_Alpha*C1144+(1-SES_Alpha)*G1144))</f>
        <v>111.907335869954</v>
      </c>
      <c r="H1145" s="33" t="n">
        <f aca="false">IF(D1145="","",D1145-C1145)</f>
        <v>23</v>
      </c>
      <c r="I1145" s="33" t="n">
        <f aca="false">IF(E1145="","",E1145-C1145)</f>
        <v>4.5</v>
      </c>
      <c r="J1145" s="33" t="n">
        <f aca="false">IF(F1145="","",F1145-C1145)</f>
        <v>9.5</v>
      </c>
      <c r="K1145" s="33" t="n">
        <f aca="false">IF(G1145="","",G1145-C1145)</f>
        <v>8.90733586995391</v>
      </c>
      <c r="L1145" s="33" t="n">
        <f aca="false">IF(H1145="","",ABS(H1145))</f>
        <v>23</v>
      </c>
      <c r="M1145" s="33" t="n">
        <f aca="false">IF(I1145="","",ABS(I1145))</f>
        <v>4.5</v>
      </c>
      <c r="N1145" s="33" t="n">
        <f aca="false">IF(J1145="","",ABS(J1145))</f>
        <v>9.5</v>
      </c>
      <c r="O1145" s="33" t="n">
        <f aca="false">IF(K1145="","",ABS(K1145))</f>
        <v>8.90733586995391</v>
      </c>
      <c r="P1145" s="34" t="str">
        <f aca="false">IF(B1145&gt;=Eval_Start_Week,"YES","")</f>
        <v>YES</v>
      </c>
      <c r="Q1145" s="34" t="str">
        <f aca="false">IF(AND(B1145&gt;=Cal_Start_Week,B1145&lt;=Cal_End_Week),"YES","")</f>
        <v/>
      </c>
    </row>
    <row r="1146" customFormat="false" ht="15" hidden="false" customHeight="false" outlineLevel="0" collapsed="false">
      <c r="A1146" s="31" t="str">
        <f aca="false">Demand_History!C1146</f>
        <v>BTH-002</v>
      </c>
      <c r="B1146" s="31" t="n">
        <f aca="false">Demand_History!A1146</f>
        <v>1</v>
      </c>
      <c r="C1146" s="32" t="n">
        <f aca="false">Demand_History!D1146</f>
        <v>166</v>
      </c>
      <c r="D1146" s="33" t="str">
        <f aca="false">IF(B1146&gt;=2,C1145,"")</f>
        <v/>
      </c>
      <c r="E1146" s="33" t="str">
        <f aca="false">IF(B1146&gt;=5,AVERAGE(C1142:C1145),"")</f>
        <v/>
      </c>
      <c r="F1146" s="33" t="str">
        <f aca="false">IF(B1146&gt;=9,AVERAGE(C1138:C1145),"")</f>
        <v/>
      </c>
      <c r="G1146" s="33" t="str">
        <f aca="false">IF(B1146=1,"",IF(B1146=2,C1145,SES_Alpha*C1145+(1-SES_Alpha)*G1145))</f>
        <v/>
      </c>
      <c r="H1146" s="33" t="str">
        <f aca="false">IF(D1146="","",D1146-C1146)</f>
        <v/>
      </c>
      <c r="I1146" s="33" t="str">
        <f aca="false">IF(E1146="","",E1146-C1146)</f>
        <v/>
      </c>
      <c r="J1146" s="33" t="str">
        <f aca="false">IF(F1146="","",F1146-C1146)</f>
        <v/>
      </c>
      <c r="K1146" s="33" t="str">
        <f aca="false">IF(G1146="","",G1146-C1146)</f>
        <v/>
      </c>
      <c r="L1146" s="33" t="str">
        <f aca="false">IF(H1146="","",ABS(H1146))</f>
        <v/>
      </c>
      <c r="M1146" s="33" t="str">
        <f aca="false">IF(I1146="","",ABS(I1146))</f>
        <v/>
      </c>
      <c r="N1146" s="33" t="str">
        <f aca="false">IF(J1146="","",ABS(J1146))</f>
        <v/>
      </c>
      <c r="O1146" s="33" t="str">
        <f aca="false">IF(K1146="","",ABS(K1146))</f>
        <v/>
      </c>
      <c r="P1146" s="34" t="str">
        <f aca="false">IF(B1146&gt;=Eval_Start_Week,"YES","")</f>
        <v/>
      </c>
      <c r="Q1146" s="34" t="str">
        <f aca="false">IF(AND(B1146&gt;=Cal_Start_Week,B1146&lt;=Cal_End_Week),"YES","")</f>
        <v/>
      </c>
    </row>
    <row r="1147" customFormat="false" ht="15" hidden="false" customHeight="false" outlineLevel="0" collapsed="false">
      <c r="A1147" s="31" t="str">
        <f aca="false">Demand_History!C1147</f>
        <v>BTH-002</v>
      </c>
      <c r="B1147" s="31" t="n">
        <f aca="false">Demand_History!A1147</f>
        <v>2</v>
      </c>
      <c r="C1147" s="32" t="n">
        <f aca="false">Demand_History!D1147</f>
        <v>166</v>
      </c>
      <c r="D1147" s="33" t="n">
        <f aca="false">IF(B1147&gt;=2,C1146,"")</f>
        <v>166</v>
      </c>
      <c r="E1147" s="33" t="str">
        <f aca="false">IF(B1147&gt;=5,AVERAGE(C1143:C1146),"")</f>
        <v/>
      </c>
      <c r="F1147" s="33" t="str">
        <f aca="false">IF(B1147&gt;=9,AVERAGE(C1139:C1146),"")</f>
        <v/>
      </c>
      <c r="G1147" s="33" t="n">
        <f aca="false">IF(B1147=1,"",IF(B1147=2,C1146,SES_Alpha*C1146+(1-SES_Alpha)*G1146))</f>
        <v>166</v>
      </c>
      <c r="H1147" s="33" t="n">
        <f aca="false">IF(D1147="","",D1147-C1147)</f>
        <v>0</v>
      </c>
      <c r="I1147" s="33" t="str">
        <f aca="false">IF(E1147="","",E1147-C1147)</f>
        <v/>
      </c>
      <c r="J1147" s="33" t="str">
        <f aca="false">IF(F1147="","",F1147-C1147)</f>
        <v/>
      </c>
      <c r="K1147" s="33" t="n">
        <f aca="false">IF(G1147="","",G1147-C1147)</f>
        <v>0</v>
      </c>
      <c r="L1147" s="33" t="n">
        <f aca="false">IF(H1147="","",ABS(H1147))</f>
        <v>0</v>
      </c>
      <c r="M1147" s="33" t="str">
        <f aca="false">IF(I1147="","",ABS(I1147))</f>
        <v/>
      </c>
      <c r="N1147" s="33" t="str">
        <f aca="false">IF(J1147="","",ABS(J1147))</f>
        <v/>
      </c>
      <c r="O1147" s="33" t="n">
        <f aca="false">IF(K1147="","",ABS(K1147))</f>
        <v>0</v>
      </c>
      <c r="P1147" s="34" t="str">
        <f aca="false">IF(B1147&gt;=Eval_Start_Week,"YES","")</f>
        <v/>
      </c>
      <c r="Q1147" s="34" t="str">
        <f aca="false">IF(AND(B1147&gt;=Cal_Start_Week,B1147&lt;=Cal_End_Week),"YES","")</f>
        <v/>
      </c>
    </row>
    <row r="1148" customFormat="false" ht="15" hidden="false" customHeight="false" outlineLevel="0" collapsed="false">
      <c r="A1148" s="31" t="str">
        <f aca="false">Demand_History!C1148</f>
        <v>BTH-002</v>
      </c>
      <c r="B1148" s="31" t="n">
        <f aca="false">Demand_History!A1148</f>
        <v>3</v>
      </c>
      <c r="C1148" s="32" t="n">
        <f aca="false">Demand_History!D1148</f>
        <v>173</v>
      </c>
      <c r="D1148" s="33" t="n">
        <f aca="false">IF(B1148&gt;=2,C1147,"")</f>
        <v>166</v>
      </c>
      <c r="E1148" s="33" t="str">
        <f aca="false">IF(B1148&gt;=5,AVERAGE(C1144:C1147),"")</f>
        <v/>
      </c>
      <c r="F1148" s="33" t="str">
        <f aca="false">IF(B1148&gt;=9,AVERAGE(C1140:C1147),"")</f>
        <v/>
      </c>
      <c r="G1148" s="33" t="n">
        <f aca="false">IF(B1148=1,"",IF(B1148=2,C1147,SES_Alpha*C1147+(1-SES_Alpha)*G1147))</f>
        <v>166</v>
      </c>
      <c r="H1148" s="33" t="n">
        <f aca="false">IF(D1148="","",D1148-C1148)</f>
        <v>-7</v>
      </c>
      <c r="I1148" s="33" t="str">
        <f aca="false">IF(E1148="","",E1148-C1148)</f>
        <v/>
      </c>
      <c r="J1148" s="33" t="str">
        <f aca="false">IF(F1148="","",F1148-C1148)</f>
        <v/>
      </c>
      <c r="K1148" s="33" t="n">
        <f aca="false">IF(G1148="","",G1148-C1148)</f>
        <v>-7</v>
      </c>
      <c r="L1148" s="33" t="n">
        <f aca="false">IF(H1148="","",ABS(H1148))</f>
        <v>7</v>
      </c>
      <c r="M1148" s="33" t="str">
        <f aca="false">IF(I1148="","",ABS(I1148))</f>
        <v/>
      </c>
      <c r="N1148" s="33" t="str">
        <f aca="false">IF(J1148="","",ABS(J1148))</f>
        <v/>
      </c>
      <c r="O1148" s="33" t="n">
        <f aca="false">IF(K1148="","",ABS(K1148))</f>
        <v>7</v>
      </c>
      <c r="P1148" s="34" t="str">
        <f aca="false">IF(B1148&gt;=Eval_Start_Week,"YES","")</f>
        <v/>
      </c>
      <c r="Q1148" s="34" t="str">
        <f aca="false">IF(AND(B1148&gt;=Cal_Start_Week,B1148&lt;=Cal_End_Week),"YES","")</f>
        <v/>
      </c>
    </row>
    <row r="1149" customFormat="false" ht="15" hidden="false" customHeight="false" outlineLevel="0" collapsed="false">
      <c r="A1149" s="31" t="str">
        <f aca="false">Demand_History!C1149</f>
        <v>BTH-002</v>
      </c>
      <c r="B1149" s="31" t="n">
        <f aca="false">Demand_History!A1149</f>
        <v>4</v>
      </c>
      <c r="C1149" s="32" t="n">
        <f aca="false">Demand_History!D1149</f>
        <v>146</v>
      </c>
      <c r="D1149" s="33" t="n">
        <f aca="false">IF(B1149&gt;=2,C1148,"")</f>
        <v>173</v>
      </c>
      <c r="E1149" s="33" t="str">
        <f aca="false">IF(B1149&gt;=5,AVERAGE(C1145:C1148),"")</f>
        <v/>
      </c>
      <c r="F1149" s="33" t="str">
        <f aca="false">IF(B1149&gt;=9,AVERAGE(C1141:C1148),"")</f>
        <v/>
      </c>
      <c r="G1149" s="33" t="n">
        <f aca="false">IF(B1149=1,"",IF(B1149=2,C1148,SES_Alpha*C1148+(1-SES_Alpha)*G1148))</f>
        <v>168.1</v>
      </c>
      <c r="H1149" s="33" t="n">
        <f aca="false">IF(D1149="","",D1149-C1149)</f>
        <v>27</v>
      </c>
      <c r="I1149" s="33" t="str">
        <f aca="false">IF(E1149="","",E1149-C1149)</f>
        <v/>
      </c>
      <c r="J1149" s="33" t="str">
        <f aca="false">IF(F1149="","",F1149-C1149)</f>
        <v/>
      </c>
      <c r="K1149" s="33" t="n">
        <f aca="false">IF(G1149="","",G1149-C1149)</f>
        <v>22.1</v>
      </c>
      <c r="L1149" s="33" t="n">
        <f aca="false">IF(H1149="","",ABS(H1149))</f>
        <v>27</v>
      </c>
      <c r="M1149" s="33" t="str">
        <f aca="false">IF(I1149="","",ABS(I1149))</f>
        <v/>
      </c>
      <c r="N1149" s="33" t="str">
        <f aca="false">IF(J1149="","",ABS(J1149))</f>
        <v/>
      </c>
      <c r="O1149" s="33" t="n">
        <f aca="false">IF(K1149="","",ABS(K1149))</f>
        <v>22.1</v>
      </c>
      <c r="P1149" s="34" t="str">
        <f aca="false">IF(B1149&gt;=Eval_Start_Week,"YES","")</f>
        <v/>
      </c>
      <c r="Q1149" s="34" t="str">
        <f aca="false">IF(AND(B1149&gt;=Cal_Start_Week,B1149&lt;=Cal_End_Week),"YES","")</f>
        <v/>
      </c>
    </row>
    <row r="1150" customFormat="false" ht="15" hidden="false" customHeight="false" outlineLevel="0" collapsed="false">
      <c r="A1150" s="31" t="str">
        <f aca="false">Demand_History!C1150</f>
        <v>BTH-002</v>
      </c>
      <c r="B1150" s="31" t="n">
        <f aca="false">Demand_History!A1150</f>
        <v>5</v>
      </c>
      <c r="C1150" s="32" t="n">
        <f aca="false">Demand_History!D1150</f>
        <v>134</v>
      </c>
      <c r="D1150" s="33" t="n">
        <f aca="false">IF(B1150&gt;=2,C1149,"")</f>
        <v>146</v>
      </c>
      <c r="E1150" s="33" t="n">
        <f aca="false">IF(B1150&gt;=5,AVERAGE(C1146:C1149),"")</f>
        <v>162.75</v>
      </c>
      <c r="F1150" s="33" t="str">
        <f aca="false">IF(B1150&gt;=9,AVERAGE(C1142:C1149),"")</f>
        <v/>
      </c>
      <c r="G1150" s="33" t="n">
        <f aca="false">IF(B1150=1,"",IF(B1150=2,C1149,SES_Alpha*C1149+(1-SES_Alpha)*G1149))</f>
        <v>161.47</v>
      </c>
      <c r="H1150" s="33" t="n">
        <f aca="false">IF(D1150="","",D1150-C1150)</f>
        <v>12</v>
      </c>
      <c r="I1150" s="33" t="n">
        <f aca="false">IF(E1150="","",E1150-C1150)</f>
        <v>28.75</v>
      </c>
      <c r="J1150" s="33" t="str">
        <f aca="false">IF(F1150="","",F1150-C1150)</f>
        <v/>
      </c>
      <c r="K1150" s="33" t="n">
        <f aca="false">IF(G1150="","",G1150-C1150)</f>
        <v>27.47</v>
      </c>
      <c r="L1150" s="33" t="n">
        <f aca="false">IF(H1150="","",ABS(H1150))</f>
        <v>12</v>
      </c>
      <c r="M1150" s="33" t="n">
        <f aca="false">IF(I1150="","",ABS(I1150))</f>
        <v>28.75</v>
      </c>
      <c r="N1150" s="33" t="str">
        <f aca="false">IF(J1150="","",ABS(J1150))</f>
        <v/>
      </c>
      <c r="O1150" s="33" t="n">
        <f aca="false">IF(K1150="","",ABS(K1150))</f>
        <v>27.47</v>
      </c>
      <c r="P1150" s="34" t="str">
        <f aca="false">IF(B1150&gt;=Eval_Start_Week,"YES","")</f>
        <v/>
      </c>
      <c r="Q1150" s="34" t="str">
        <f aca="false">IF(AND(B1150&gt;=Cal_Start_Week,B1150&lt;=Cal_End_Week),"YES","")</f>
        <v/>
      </c>
    </row>
    <row r="1151" customFormat="false" ht="15" hidden="false" customHeight="false" outlineLevel="0" collapsed="false">
      <c r="A1151" s="31" t="str">
        <f aca="false">Demand_History!C1151</f>
        <v>BTH-002</v>
      </c>
      <c r="B1151" s="31" t="n">
        <f aca="false">Demand_History!A1151</f>
        <v>6</v>
      </c>
      <c r="C1151" s="32" t="n">
        <f aca="false">Demand_History!D1151</f>
        <v>165</v>
      </c>
      <c r="D1151" s="33" t="n">
        <f aca="false">IF(B1151&gt;=2,C1150,"")</f>
        <v>134</v>
      </c>
      <c r="E1151" s="33" t="n">
        <f aca="false">IF(B1151&gt;=5,AVERAGE(C1147:C1150),"")</f>
        <v>154.75</v>
      </c>
      <c r="F1151" s="33" t="str">
        <f aca="false">IF(B1151&gt;=9,AVERAGE(C1143:C1150),"")</f>
        <v/>
      </c>
      <c r="G1151" s="33" t="n">
        <f aca="false">IF(B1151=1,"",IF(B1151=2,C1150,SES_Alpha*C1150+(1-SES_Alpha)*G1150))</f>
        <v>153.229</v>
      </c>
      <c r="H1151" s="33" t="n">
        <f aca="false">IF(D1151="","",D1151-C1151)</f>
        <v>-31</v>
      </c>
      <c r="I1151" s="33" t="n">
        <f aca="false">IF(E1151="","",E1151-C1151)</f>
        <v>-10.25</v>
      </c>
      <c r="J1151" s="33" t="str">
        <f aca="false">IF(F1151="","",F1151-C1151)</f>
        <v/>
      </c>
      <c r="K1151" s="33" t="n">
        <f aca="false">IF(G1151="","",G1151-C1151)</f>
        <v>-11.771</v>
      </c>
      <c r="L1151" s="33" t="n">
        <f aca="false">IF(H1151="","",ABS(H1151))</f>
        <v>31</v>
      </c>
      <c r="M1151" s="33" t="n">
        <f aca="false">IF(I1151="","",ABS(I1151))</f>
        <v>10.25</v>
      </c>
      <c r="N1151" s="33" t="str">
        <f aca="false">IF(J1151="","",ABS(J1151))</f>
        <v/>
      </c>
      <c r="O1151" s="33" t="n">
        <f aca="false">IF(K1151="","",ABS(K1151))</f>
        <v>11.771</v>
      </c>
      <c r="P1151" s="34" t="str">
        <f aca="false">IF(B1151&gt;=Eval_Start_Week,"YES","")</f>
        <v/>
      </c>
      <c r="Q1151" s="34" t="str">
        <f aca="false">IF(AND(B1151&gt;=Cal_Start_Week,B1151&lt;=Cal_End_Week),"YES","")</f>
        <v/>
      </c>
    </row>
    <row r="1152" customFormat="false" ht="15" hidden="false" customHeight="false" outlineLevel="0" collapsed="false">
      <c r="A1152" s="31" t="str">
        <f aca="false">Demand_History!C1152</f>
        <v>BTH-002</v>
      </c>
      <c r="B1152" s="31" t="n">
        <f aca="false">Demand_History!A1152</f>
        <v>7</v>
      </c>
      <c r="C1152" s="32" t="n">
        <f aca="false">Demand_History!D1152</f>
        <v>155</v>
      </c>
      <c r="D1152" s="33" t="n">
        <f aca="false">IF(B1152&gt;=2,C1151,"")</f>
        <v>165</v>
      </c>
      <c r="E1152" s="33" t="n">
        <f aca="false">IF(B1152&gt;=5,AVERAGE(C1148:C1151),"")</f>
        <v>154.5</v>
      </c>
      <c r="F1152" s="33" t="str">
        <f aca="false">IF(B1152&gt;=9,AVERAGE(C1144:C1151),"")</f>
        <v/>
      </c>
      <c r="G1152" s="33" t="n">
        <f aca="false">IF(B1152=1,"",IF(B1152=2,C1151,SES_Alpha*C1151+(1-SES_Alpha)*G1151))</f>
        <v>156.7603</v>
      </c>
      <c r="H1152" s="33" t="n">
        <f aca="false">IF(D1152="","",D1152-C1152)</f>
        <v>10</v>
      </c>
      <c r="I1152" s="33" t="n">
        <f aca="false">IF(E1152="","",E1152-C1152)</f>
        <v>-0.5</v>
      </c>
      <c r="J1152" s="33" t="str">
        <f aca="false">IF(F1152="","",F1152-C1152)</f>
        <v/>
      </c>
      <c r="K1152" s="33" t="n">
        <f aca="false">IF(G1152="","",G1152-C1152)</f>
        <v>1.76029999999997</v>
      </c>
      <c r="L1152" s="33" t="n">
        <f aca="false">IF(H1152="","",ABS(H1152))</f>
        <v>10</v>
      </c>
      <c r="M1152" s="33" t="n">
        <f aca="false">IF(I1152="","",ABS(I1152))</f>
        <v>0.5</v>
      </c>
      <c r="N1152" s="33" t="str">
        <f aca="false">IF(J1152="","",ABS(J1152))</f>
        <v/>
      </c>
      <c r="O1152" s="33" t="n">
        <f aca="false">IF(K1152="","",ABS(K1152))</f>
        <v>1.76029999999997</v>
      </c>
      <c r="P1152" s="34" t="str">
        <f aca="false">IF(B1152&gt;=Eval_Start_Week,"YES","")</f>
        <v/>
      </c>
      <c r="Q1152" s="34" t="str">
        <f aca="false">IF(AND(B1152&gt;=Cal_Start_Week,B1152&lt;=Cal_End_Week),"YES","")</f>
        <v/>
      </c>
    </row>
    <row r="1153" customFormat="false" ht="15" hidden="false" customHeight="false" outlineLevel="0" collapsed="false">
      <c r="A1153" s="31" t="str">
        <f aca="false">Demand_History!C1153</f>
        <v>BTH-002</v>
      </c>
      <c r="B1153" s="31" t="n">
        <f aca="false">Demand_History!A1153</f>
        <v>8</v>
      </c>
      <c r="C1153" s="32" t="n">
        <f aca="false">Demand_History!D1153</f>
        <v>167</v>
      </c>
      <c r="D1153" s="33" t="n">
        <f aca="false">IF(B1153&gt;=2,C1152,"")</f>
        <v>155</v>
      </c>
      <c r="E1153" s="33" t="n">
        <f aca="false">IF(B1153&gt;=5,AVERAGE(C1149:C1152),"")</f>
        <v>150</v>
      </c>
      <c r="F1153" s="33" t="str">
        <f aca="false">IF(B1153&gt;=9,AVERAGE(C1145:C1152),"")</f>
        <v/>
      </c>
      <c r="G1153" s="33" t="n">
        <f aca="false">IF(B1153=1,"",IF(B1153=2,C1152,SES_Alpha*C1152+(1-SES_Alpha)*G1152))</f>
        <v>156.23221</v>
      </c>
      <c r="H1153" s="33" t="n">
        <f aca="false">IF(D1153="","",D1153-C1153)</f>
        <v>-12</v>
      </c>
      <c r="I1153" s="33" t="n">
        <f aca="false">IF(E1153="","",E1153-C1153)</f>
        <v>-17</v>
      </c>
      <c r="J1153" s="33" t="str">
        <f aca="false">IF(F1153="","",F1153-C1153)</f>
        <v/>
      </c>
      <c r="K1153" s="33" t="n">
        <f aca="false">IF(G1153="","",G1153-C1153)</f>
        <v>-10.76779</v>
      </c>
      <c r="L1153" s="33" t="n">
        <f aca="false">IF(H1153="","",ABS(H1153))</f>
        <v>12</v>
      </c>
      <c r="M1153" s="33" t="n">
        <f aca="false">IF(I1153="","",ABS(I1153))</f>
        <v>17</v>
      </c>
      <c r="N1153" s="33" t="str">
        <f aca="false">IF(J1153="","",ABS(J1153))</f>
        <v/>
      </c>
      <c r="O1153" s="33" t="n">
        <f aca="false">IF(K1153="","",ABS(K1153))</f>
        <v>10.76779</v>
      </c>
      <c r="P1153" s="34" t="str">
        <f aca="false">IF(B1153&gt;=Eval_Start_Week,"YES","")</f>
        <v/>
      </c>
      <c r="Q1153" s="34" t="str">
        <f aca="false">IF(AND(B1153&gt;=Cal_Start_Week,B1153&lt;=Cal_End_Week),"YES","")</f>
        <v/>
      </c>
    </row>
    <row r="1154" customFormat="false" ht="15" hidden="false" customHeight="false" outlineLevel="0" collapsed="false">
      <c r="A1154" s="31" t="str">
        <f aca="false">Demand_History!C1154</f>
        <v>BTH-002</v>
      </c>
      <c r="B1154" s="31" t="n">
        <f aca="false">Demand_History!A1154</f>
        <v>9</v>
      </c>
      <c r="C1154" s="32" t="n">
        <f aca="false">Demand_History!D1154</f>
        <v>150</v>
      </c>
      <c r="D1154" s="33" t="n">
        <f aca="false">IF(B1154&gt;=2,C1153,"")</f>
        <v>167</v>
      </c>
      <c r="E1154" s="33" t="n">
        <f aca="false">IF(B1154&gt;=5,AVERAGE(C1150:C1153),"")</f>
        <v>155.25</v>
      </c>
      <c r="F1154" s="33" t="n">
        <f aca="false">IF(B1154&gt;=9,AVERAGE(C1146:C1153),"")</f>
        <v>159</v>
      </c>
      <c r="G1154" s="33" t="n">
        <f aca="false">IF(B1154=1,"",IF(B1154=2,C1153,SES_Alpha*C1153+(1-SES_Alpha)*G1153))</f>
        <v>159.462547</v>
      </c>
      <c r="H1154" s="33" t="n">
        <f aca="false">IF(D1154="","",D1154-C1154)</f>
        <v>17</v>
      </c>
      <c r="I1154" s="33" t="n">
        <f aca="false">IF(E1154="","",E1154-C1154)</f>
        <v>5.25</v>
      </c>
      <c r="J1154" s="33" t="n">
        <f aca="false">IF(F1154="","",F1154-C1154)</f>
        <v>9</v>
      </c>
      <c r="K1154" s="33" t="n">
        <f aca="false">IF(G1154="","",G1154-C1154)</f>
        <v>9.46254699999997</v>
      </c>
      <c r="L1154" s="33" t="n">
        <f aca="false">IF(H1154="","",ABS(H1154))</f>
        <v>17</v>
      </c>
      <c r="M1154" s="33" t="n">
        <f aca="false">IF(I1154="","",ABS(I1154))</f>
        <v>5.25</v>
      </c>
      <c r="N1154" s="33" t="n">
        <f aca="false">IF(J1154="","",ABS(J1154))</f>
        <v>9</v>
      </c>
      <c r="O1154" s="33" t="n">
        <f aca="false">IF(K1154="","",ABS(K1154))</f>
        <v>9.46254699999997</v>
      </c>
      <c r="P1154" s="34" t="str">
        <f aca="false">IF(B1154&gt;=Eval_Start_Week,"YES","")</f>
        <v/>
      </c>
      <c r="Q1154" s="34" t="str">
        <f aca="false">IF(AND(B1154&gt;=Cal_Start_Week,B1154&lt;=Cal_End_Week),"YES","")</f>
        <v/>
      </c>
    </row>
    <row r="1155" customFormat="false" ht="15" hidden="false" customHeight="false" outlineLevel="0" collapsed="false">
      <c r="A1155" s="31" t="str">
        <f aca="false">Demand_History!C1155</f>
        <v>BTH-002</v>
      </c>
      <c r="B1155" s="31" t="n">
        <f aca="false">Demand_History!A1155</f>
        <v>10</v>
      </c>
      <c r="C1155" s="32" t="n">
        <f aca="false">Demand_History!D1155</f>
        <v>168</v>
      </c>
      <c r="D1155" s="33" t="n">
        <f aca="false">IF(B1155&gt;=2,C1154,"")</f>
        <v>150</v>
      </c>
      <c r="E1155" s="33" t="n">
        <f aca="false">IF(B1155&gt;=5,AVERAGE(C1151:C1154),"")</f>
        <v>159.25</v>
      </c>
      <c r="F1155" s="33" t="n">
        <f aca="false">IF(B1155&gt;=9,AVERAGE(C1147:C1154),"")</f>
        <v>157</v>
      </c>
      <c r="G1155" s="33" t="n">
        <f aca="false">IF(B1155=1,"",IF(B1155=2,C1154,SES_Alpha*C1154+(1-SES_Alpha)*G1154))</f>
        <v>156.6237829</v>
      </c>
      <c r="H1155" s="33" t="n">
        <f aca="false">IF(D1155="","",D1155-C1155)</f>
        <v>-18</v>
      </c>
      <c r="I1155" s="33" t="n">
        <f aca="false">IF(E1155="","",E1155-C1155)</f>
        <v>-8.75</v>
      </c>
      <c r="J1155" s="33" t="n">
        <f aca="false">IF(F1155="","",F1155-C1155)</f>
        <v>-11</v>
      </c>
      <c r="K1155" s="33" t="n">
        <f aca="false">IF(G1155="","",G1155-C1155)</f>
        <v>-11.3762171</v>
      </c>
      <c r="L1155" s="33" t="n">
        <f aca="false">IF(H1155="","",ABS(H1155))</f>
        <v>18</v>
      </c>
      <c r="M1155" s="33" t="n">
        <f aca="false">IF(I1155="","",ABS(I1155))</f>
        <v>8.75</v>
      </c>
      <c r="N1155" s="33" t="n">
        <f aca="false">IF(J1155="","",ABS(J1155))</f>
        <v>11</v>
      </c>
      <c r="O1155" s="33" t="n">
        <f aca="false">IF(K1155="","",ABS(K1155))</f>
        <v>11.3762171</v>
      </c>
      <c r="P1155" s="34" t="str">
        <f aca="false">IF(B1155&gt;=Eval_Start_Week,"YES","")</f>
        <v/>
      </c>
      <c r="Q1155" s="34" t="str">
        <f aca="false">IF(AND(B1155&gt;=Cal_Start_Week,B1155&lt;=Cal_End_Week),"YES","")</f>
        <v/>
      </c>
    </row>
    <row r="1156" customFormat="false" ht="15" hidden="false" customHeight="false" outlineLevel="0" collapsed="false">
      <c r="A1156" s="31" t="str">
        <f aca="false">Demand_History!C1156</f>
        <v>BTH-002</v>
      </c>
      <c r="B1156" s="31" t="n">
        <f aca="false">Demand_History!A1156</f>
        <v>11</v>
      </c>
      <c r="C1156" s="32" t="n">
        <f aca="false">Demand_History!D1156</f>
        <v>163</v>
      </c>
      <c r="D1156" s="33" t="n">
        <f aca="false">IF(B1156&gt;=2,C1155,"")</f>
        <v>168</v>
      </c>
      <c r="E1156" s="33" t="n">
        <f aca="false">IF(B1156&gt;=5,AVERAGE(C1152:C1155),"")</f>
        <v>160</v>
      </c>
      <c r="F1156" s="33" t="n">
        <f aca="false">IF(B1156&gt;=9,AVERAGE(C1148:C1155),"")</f>
        <v>157.25</v>
      </c>
      <c r="G1156" s="33" t="n">
        <f aca="false">IF(B1156=1,"",IF(B1156=2,C1155,SES_Alpha*C1155+(1-SES_Alpha)*G1155))</f>
        <v>160.03664803</v>
      </c>
      <c r="H1156" s="33" t="n">
        <f aca="false">IF(D1156="","",D1156-C1156)</f>
        <v>5</v>
      </c>
      <c r="I1156" s="33" t="n">
        <f aca="false">IF(E1156="","",E1156-C1156)</f>
        <v>-3</v>
      </c>
      <c r="J1156" s="33" t="n">
        <f aca="false">IF(F1156="","",F1156-C1156)</f>
        <v>-5.75</v>
      </c>
      <c r="K1156" s="33" t="n">
        <f aca="false">IF(G1156="","",G1156-C1156)</f>
        <v>-2.96335197000002</v>
      </c>
      <c r="L1156" s="33" t="n">
        <f aca="false">IF(H1156="","",ABS(H1156))</f>
        <v>5</v>
      </c>
      <c r="M1156" s="33" t="n">
        <f aca="false">IF(I1156="","",ABS(I1156))</f>
        <v>3</v>
      </c>
      <c r="N1156" s="33" t="n">
        <f aca="false">IF(J1156="","",ABS(J1156))</f>
        <v>5.75</v>
      </c>
      <c r="O1156" s="33" t="n">
        <f aca="false">IF(K1156="","",ABS(K1156))</f>
        <v>2.96335197000002</v>
      </c>
      <c r="P1156" s="34" t="str">
        <f aca="false">IF(B1156&gt;=Eval_Start_Week,"YES","")</f>
        <v/>
      </c>
      <c r="Q1156" s="34" t="str">
        <f aca="false">IF(AND(B1156&gt;=Cal_Start_Week,B1156&lt;=Cal_End_Week),"YES","")</f>
        <v/>
      </c>
    </row>
    <row r="1157" customFormat="false" ht="15" hidden="false" customHeight="false" outlineLevel="0" collapsed="false">
      <c r="A1157" s="31" t="str">
        <f aca="false">Demand_History!C1157</f>
        <v>BTH-002</v>
      </c>
      <c r="B1157" s="31" t="n">
        <f aca="false">Demand_History!A1157</f>
        <v>12</v>
      </c>
      <c r="C1157" s="32" t="n">
        <f aca="false">Demand_History!D1157</f>
        <v>161</v>
      </c>
      <c r="D1157" s="33" t="n">
        <f aca="false">IF(B1157&gt;=2,C1156,"")</f>
        <v>163</v>
      </c>
      <c r="E1157" s="33" t="n">
        <f aca="false">IF(B1157&gt;=5,AVERAGE(C1153:C1156),"")</f>
        <v>162</v>
      </c>
      <c r="F1157" s="33" t="n">
        <f aca="false">IF(B1157&gt;=9,AVERAGE(C1149:C1156),"")</f>
        <v>156</v>
      </c>
      <c r="G1157" s="33" t="n">
        <f aca="false">IF(B1157=1,"",IF(B1157=2,C1156,SES_Alpha*C1156+(1-SES_Alpha)*G1156))</f>
        <v>160.925653621</v>
      </c>
      <c r="H1157" s="33" t="n">
        <f aca="false">IF(D1157="","",D1157-C1157)</f>
        <v>2</v>
      </c>
      <c r="I1157" s="33" t="n">
        <f aca="false">IF(E1157="","",E1157-C1157)</f>
        <v>1</v>
      </c>
      <c r="J1157" s="33" t="n">
        <f aca="false">IF(F1157="","",F1157-C1157)</f>
        <v>-5</v>
      </c>
      <c r="K1157" s="33" t="n">
        <f aca="false">IF(G1157="","",G1157-C1157)</f>
        <v>-0.0743463790000192</v>
      </c>
      <c r="L1157" s="33" t="n">
        <f aca="false">IF(H1157="","",ABS(H1157))</f>
        <v>2</v>
      </c>
      <c r="M1157" s="33" t="n">
        <f aca="false">IF(I1157="","",ABS(I1157))</f>
        <v>1</v>
      </c>
      <c r="N1157" s="33" t="n">
        <f aca="false">IF(J1157="","",ABS(J1157))</f>
        <v>5</v>
      </c>
      <c r="O1157" s="33" t="n">
        <f aca="false">IF(K1157="","",ABS(K1157))</f>
        <v>0.0743463790000192</v>
      </c>
      <c r="P1157" s="34" t="str">
        <f aca="false">IF(B1157&gt;=Eval_Start_Week,"YES","")</f>
        <v/>
      </c>
      <c r="Q1157" s="34" t="str">
        <f aca="false">IF(AND(B1157&gt;=Cal_Start_Week,B1157&lt;=Cal_End_Week),"YES","")</f>
        <v/>
      </c>
    </row>
    <row r="1158" customFormat="false" ht="15" hidden="false" customHeight="false" outlineLevel="0" collapsed="false">
      <c r="A1158" s="31" t="str">
        <f aca="false">Demand_History!C1158</f>
        <v>BTH-002</v>
      </c>
      <c r="B1158" s="31" t="n">
        <f aca="false">Demand_History!A1158</f>
        <v>13</v>
      </c>
      <c r="C1158" s="32" t="n">
        <f aca="false">Demand_History!D1158</f>
        <v>158</v>
      </c>
      <c r="D1158" s="33" t="n">
        <f aca="false">IF(B1158&gt;=2,C1157,"")</f>
        <v>161</v>
      </c>
      <c r="E1158" s="33" t="n">
        <f aca="false">IF(B1158&gt;=5,AVERAGE(C1154:C1157),"")</f>
        <v>160.5</v>
      </c>
      <c r="F1158" s="33" t="n">
        <f aca="false">IF(B1158&gt;=9,AVERAGE(C1150:C1157),"")</f>
        <v>157.875</v>
      </c>
      <c r="G1158" s="33" t="n">
        <f aca="false">IF(B1158=1,"",IF(B1158=2,C1157,SES_Alpha*C1157+(1-SES_Alpha)*G1157))</f>
        <v>160.9479575347</v>
      </c>
      <c r="H1158" s="33" t="n">
        <f aca="false">IF(D1158="","",D1158-C1158)</f>
        <v>3</v>
      </c>
      <c r="I1158" s="33" t="n">
        <f aca="false">IF(E1158="","",E1158-C1158)</f>
        <v>2.5</v>
      </c>
      <c r="J1158" s="33" t="n">
        <f aca="false">IF(F1158="","",F1158-C1158)</f>
        <v>-0.125</v>
      </c>
      <c r="K1158" s="33" t="n">
        <f aca="false">IF(G1158="","",G1158-C1158)</f>
        <v>2.94795753469998</v>
      </c>
      <c r="L1158" s="33" t="n">
        <f aca="false">IF(H1158="","",ABS(H1158))</f>
        <v>3</v>
      </c>
      <c r="M1158" s="33" t="n">
        <f aca="false">IF(I1158="","",ABS(I1158))</f>
        <v>2.5</v>
      </c>
      <c r="N1158" s="33" t="n">
        <f aca="false">IF(J1158="","",ABS(J1158))</f>
        <v>0.125</v>
      </c>
      <c r="O1158" s="33" t="n">
        <f aca="false">IF(K1158="","",ABS(K1158))</f>
        <v>2.94795753469998</v>
      </c>
      <c r="P1158" s="34" t="str">
        <f aca="false">IF(B1158&gt;=Eval_Start_Week,"YES","")</f>
        <v/>
      </c>
      <c r="Q1158" s="34" t="str">
        <f aca="false">IF(AND(B1158&gt;=Cal_Start_Week,B1158&lt;=Cal_End_Week),"YES","")</f>
        <v/>
      </c>
    </row>
    <row r="1159" customFormat="false" ht="15" hidden="false" customHeight="false" outlineLevel="0" collapsed="false">
      <c r="A1159" s="31" t="str">
        <f aca="false">Demand_History!C1159</f>
        <v>BTH-002</v>
      </c>
      <c r="B1159" s="31" t="n">
        <f aca="false">Demand_History!A1159</f>
        <v>14</v>
      </c>
      <c r="C1159" s="32" t="n">
        <f aca="false">Demand_History!D1159</f>
        <v>156</v>
      </c>
      <c r="D1159" s="33" t="n">
        <f aca="false">IF(B1159&gt;=2,C1158,"")</f>
        <v>158</v>
      </c>
      <c r="E1159" s="33" t="n">
        <f aca="false">IF(B1159&gt;=5,AVERAGE(C1155:C1158),"")</f>
        <v>162.5</v>
      </c>
      <c r="F1159" s="33" t="n">
        <f aca="false">IF(B1159&gt;=9,AVERAGE(C1151:C1158),"")</f>
        <v>160.875</v>
      </c>
      <c r="G1159" s="33" t="n">
        <f aca="false">IF(B1159=1,"",IF(B1159=2,C1158,SES_Alpha*C1158+(1-SES_Alpha)*G1158))</f>
        <v>160.06357027429</v>
      </c>
      <c r="H1159" s="33" t="n">
        <f aca="false">IF(D1159="","",D1159-C1159)</f>
        <v>2</v>
      </c>
      <c r="I1159" s="33" t="n">
        <f aca="false">IF(E1159="","",E1159-C1159)</f>
        <v>6.5</v>
      </c>
      <c r="J1159" s="33" t="n">
        <f aca="false">IF(F1159="","",F1159-C1159)</f>
        <v>4.875</v>
      </c>
      <c r="K1159" s="33" t="n">
        <f aca="false">IF(G1159="","",G1159-C1159)</f>
        <v>4.06357027428999</v>
      </c>
      <c r="L1159" s="33" t="n">
        <f aca="false">IF(H1159="","",ABS(H1159))</f>
        <v>2</v>
      </c>
      <c r="M1159" s="33" t="n">
        <f aca="false">IF(I1159="","",ABS(I1159))</f>
        <v>6.5</v>
      </c>
      <c r="N1159" s="33" t="n">
        <f aca="false">IF(J1159="","",ABS(J1159))</f>
        <v>4.875</v>
      </c>
      <c r="O1159" s="33" t="n">
        <f aca="false">IF(K1159="","",ABS(K1159))</f>
        <v>4.06357027428999</v>
      </c>
      <c r="P1159" s="34" t="str">
        <f aca="false">IF(B1159&gt;=Eval_Start_Week,"YES","")</f>
        <v/>
      </c>
      <c r="Q1159" s="34" t="str">
        <f aca="false">IF(AND(B1159&gt;=Cal_Start_Week,B1159&lt;=Cal_End_Week),"YES","")</f>
        <v/>
      </c>
    </row>
    <row r="1160" customFormat="false" ht="15" hidden="false" customHeight="false" outlineLevel="0" collapsed="false">
      <c r="A1160" s="31" t="str">
        <f aca="false">Demand_History!C1160</f>
        <v>BTH-002</v>
      </c>
      <c r="B1160" s="31" t="n">
        <f aca="false">Demand_History!A1160</f>
        <v>15</v>
      </c>
      <c r="C1160" s="32" t="n">
        <f aca="false">Demand_History!D1160</f>
        <v>154</v>
      </c>
      <c r="D1160" s="33" t="n">
        <f aca="false">IF(B1160&gt;=2,C1159,"")</f>
        <v>156</v>
      </c>
      <c r="E1160" s="33" t="n">
        <f aca="false">IF(B1160&gt;=5,AVERAGE(C1156:C1159),"")</f>
        <v>159.5</v>
      </c>
      <c r="F1160" s="33" t="n">
        <f aca="false">IF(B1160&gt;=9,AVERAGE(C1152:C1159),"")</f>
        <v>159.75</v>
      </c>
      <c r="G1160" s="33" t="n">
        <f aca="false">IF(B1160=1,"",IF(B1160=2,C1159,SES_Alpha*C1159+(1-SES_Alpha)*G1159))</f>
        <v>158.844499192003</v>
      </c>
      <c r="H1160" s="33" t="n">
        <f aca="false">IF(D1160="","",D1160-C1160)</f>
        <v>2</v>
      </c>
      <c r="I1160" s="33" t="n">
        <f aca="false">IF(E1160="","",E1160-C1160)</f>
        <v>5.5</v>
      </c>
      <c r="J1160" s="33" t="n">
        <f aca="false">IF(F1160="","",F1160-C1160)</f>
        <v>5.75</v>
      </c>
      <c r="K1160" s="33" t="n">
        <f aca="false">IF(G1160="","",G1160-C1160)</f>
        <v>4.84449919200299</v>
      </c>
      <c r="L1160" s="33" t="n">
        <f aca="false">IF(H1160="","",ABS(H1160))</f>
        <v>2</v>
      </c>
      <c r="M1160" s="33" t="n">
        <f aca="false">IF(I1160="","",ABS(I1160))</f>
        <v>5.5</v>
      </c>
      <c r="N1160" s="33" t="n">
        <f aca="false">IF(J1160="","",ABS(J1160))</f>
        <v>5.75</v>
      </c>
      <c r="O1160" s="33" t="n">
        <f aca="false">IF(K1160="","",ABS(K1160))</f>
        <v>4.84449919200299</v>
      </c>
      <c r="P1160" s="34" t="str">
        <f aca="false">IF(B1160&gt;=Eval_Start_Week,"YES","")</f>
        <v/>
      </c>
      <c r="Q1160" s="34" t="str">
        <f aca="false">IF(AND(B1160&gt;=Cal_Start_Week,B1160&lt;=Cal_End_Week),"YES","")</f>
        <v/>
      </c>
    </row>
    <row r="1161" customFormat="false" ht="15" hidden="false" customHeight="false" outlineLevel="0" collapsed="false">
      <c r="A1161" s="31" t="str">
        <f aca="false">Demand_History!C1161</f>
        <v>BTH-002</v>
      </c>
      <c r="B1161" s="31" t="n">
        <f aca="false">Demand_History!A1161</f>
        <v>16</v>
      </c>
      <c r="C1161" s="32" t="n">
        <f aca="false">Demand_History!D1161</f>
        <v>153</v>
      </c>
      <c r="D1161" s="33" t="n">
        <f aca="false">IF(B1161&gt;=2,C1160,"")</f>
        <v>154</v>
      </c>
      <c r="E1161" s="33" t="n">
        <f aca="false">IF(B1161&gt;=5,AVERAGE(C1157:C1160),"")</f>
        <v>157.25</v>
      </c>
      <c r="F1161" s="33" t="n">
        <f aca="false">IF(B1161&gt;=9,AVERAGE(C1153:C1160),"")</f>
        <v>159.625</v>
      </c>
      <c r="G1161" s="33" t="n">
        <f aca="false">IF(B1161=1,"",IF(B1161=2,C1160,SES_Alpha*C1160+(1-SES_Alpha)*G1160))</f>
        <v>157.391149434402</v>
      </c>
      <c r="H1161" s="33" t="n">
        <f aca="false">IF(D1161="","",D1161-C1161)</f>
        <v>1</v>
      </c>
      <c r="I1161" s="33" t="n">
        <f aca="false">IF(E1161="","",E1161-C1161)</f>
        <v>4.25</v>
      </c>
      <c r="J1161" s="33" t="n">
        <f aca="false">IF(F1161="","",F1161-C1161)</f>
        <v>6.625</v>
      </c>
      <c r="K1161" s="33" t="n">
        <f aca="false">IF(G1161="","",G1161-C1161)</f>
        <v>4.39114943440208</v>
      </c>
      <c r="L1161" s="33" t="n">
        <f aca="false">IF(H1161="","",ABS(H1161))</f>
        <v>1</v>
      </c>
      <c r="M1161" s="33" t="n">
        <f aca="false">IF(I1161="","",ABS(I1161))</f>
        <v>4.25</v>
      </c>
      <c r="N1161" s="33" t="n">
        <f aca="false">IF(J1161="","",ABS(J1161))</f>
        <v>6.625</v>
      </c>
      <c r="O1161" s="33" t="n">
        <f aca="false">IF(K1161="","",ABS(K1161))</f>
        <v>4.39114943440208</v>
      </c>
      <c r="P1161" s="34" t="str">
        <f aca="false">IF(B1161&gt;=Eval_Start_Week,"YES","")</f>
        <v/>
      </c>
      <c r="Q1161" s="34" t="str">
        <f aca="false">IF(AND(B1161&gt;=Cal_Start_Week,B1161&lt;=Cal_End_Week),"YES","")</f>
        <v/>
      </c>
    </row>
    <row r="1162" customFormat="false" ht="15" hidden="false" customHeight="false" outlineLevel="0" collapsed="false">
      <c r="A1162" s="31" t="str">
        <f aca="false">Demand_History!C1162</f>
        <v>BTH-002</v>
      </c>
      <c r="B1162" s="31" t="n">
        <f aca="false">Demand_History!A1162</f>
        <v>17</v>
      </c>
      <c r="C1162" s="32" t="n">
        <f aca="false">Demand_History!D1162</f>
        <v>165</v>
      </c>
      <c r="D1162" s="33" t="n">
        <f aca="false">IF(B1162&gt;=2,C1161,"")</f>
        <v>153</v>
      </c>
      <c r="E1162" s="33" t="n">
        <f aca="false">IF(B1162&gt;=5,AVERAGE(C1158:C1161),"")</f>
        <v>155.25</v>
      </c>
      <c r="F1162" s="33" t="n">
        <f aca="false">IF(B1162&gt;=9,AVERAGE(C1154:C1161),"")</f>
        <v>157.875</v>
      </c>
      <c r="G1162" s="33" t="n">
        <f aca="false">IF(B1162=1,"",IF(B1162=2,C1161,SES_Alpha*C1161+(1-SES_Alpha)*G1161))</f>
        <v>156.073804604081</v>
      </c>
      <c r="H1162" s="33" t="n">
        <f aca="false">IF(D1162="","",D1162-C1162)</f>
        <v>-12</v>
      </c>
      <c r="I1162" s="33" t="n">
        <f aca="false">IF(E1162="","",E1162-C1162)</f>
        <v>-9.75</v>
      </c>
      <c r="J1162" s="33" t="n">
        <f aca="false">IF(F1162="","",F1162-C1162)</f>
        <v>-7.125</v>
      </c>
      <c r="K1162" s="33" t="n">
        <f aca="false">IF(G1162="","",G1162-C1162)</f>
        <v>-8.92619539591854</v>
      </c>
      <c r="L1162" s="33" t="n">
        <f aca="false">IF(H1162="","",ABS(H1162))</f>
        <v>12</v>
      </c>
      <c r="M1162" s="33" t="n">
        <f aca="false">IF(I1162="","",ABS(I1162))</f>
        <v>9.75</v>
      </c>
      <c r="N1162" s="33" t="n">
        <f aca="false">IF(J1162="","",ABS(J1162))</f>
        <v>7.125</v>
      </c>
      <c r="O1162" s="33" t="n">
        <f aca="false">IF(K1162="","",ABS(K1162))</f>
        <v>8.92619539591854</v>
      </c>
      <c r="P1162" s="34" t="str">
        <f aca="false">IF(B1162&gt;=Eval_Start_Week,"YES","")</f>
        <v/>
      </c>
      <c r="Q1162" s="34" t="str">
        <f aca="false">IF(AND(B1162&gt;=Cal_Start_Week,B1162&lt;=Cal_End_Week),"YES","")</f>
        <v/>
      </c>
    </row>
    <row r="1163" customFormat="false" ht="15" hidden="false" customHeight="false" outlineLevel="0" collapsed="false">
      <c r="A1163" s="31" t="str">
        <f aca="false">Demand_History!C1163</f>
        <v>BTH-002</v>
      </c>
      <c r="B1163" s="31" t="n">
        <f aca="false">Demand_History!A1163</f>
        <v>18</v>
      </c>
      <c r="C1163" s="32" t="n">
        <f aca="false">Demand_History!D1163</f>
        <v>142</v>
      </c>
      <c r="D1163" s="33" t="n">
        <f aca="false">IF(B1163&gt;=2,C1162,"")</f>
        <v>165</v>
      </c>
      <c r="E1163" s="33" t="n">
        <f aca="false">IF(B1163&gt;=5,AVERAGE(C1159:C1162),"")</f>
        <v>157</v>
      </c>
      <c r="F1163" s="33" t="n">
        <f aca="false">IF(B1163&gt;=9,AVERAGE(C1155:C1162),"")</f>
        <v>159.75</v>
      </c>
      <c r="G1163" s="33" t="n">
        <f aca="false">IF(B1163=1,"",IF(B1163=2,C1162,SES_Alpha*C1162+(1-SES_Alpha)*G1162))</f>
        <v>158.751663222857</v>
      </c>
      <c r="H1163" s="33" t="n">
        <f aca="false">IF(D1163="","",D1163-C1163)</f>
        <v>23</v>
      </c>
      <c r="I1163" s="33" t="n">
        <f aca="false">IF(E1163="","",E1163-C1163)</f>
        <v>15</v>
      </c>
      <c r="J1163" s="33" t="n">
        <f aca="false">IF(F1163="","",F1163-C1163)</f>
        <v>17.75</v>
      </c>
      <c r="K1163" s="33" t="n">
        <f aca="false">IF(G1163="","",G1163-C1163)</f>
        <v>16.751663222857</v>
      </c>
      <c r="L1163" s="33" t="n">
        <f aca="false">IF(H1163="","",ABS(H1163))</f>
        <v>23</v>
      </c>
      <c r="M1163" s="33" t="n">
        <f aca="false">IF(I1163="","",ABS(I1163))</f>
        <v>15</v>
      </c>
      <c r="N1163" s="33" t="n">
        <f aca="false">IF(J1163="","",ABS(J1163))</f>
        <v>17.75</v>
      </c>
      <c r="O1163" s="33" t="n">
        <f aca="false">IF(K1163="","",ABS(K1163))</f>
        <v>16.751663222857</v>
      </c>
      <c r="P1163" s="34" t="str">
        <f aca="false">IF(B1163&gt;=Eval_Start_Week,"YES","")</f>
        <v/>
      </c>
      <c r="Q1163" s="34" t="str">
        <f aca="false">IF(AND(B1163&gt;=Cal_Start_Week,B1163&lt;=Cal_End_Week),"YES","")</f>
        <v/>
      </c>
    </row>
    <row r="1164" customFormat="false" ht="15" hidden="false" customHeight="false" outlineLevel="0" collapsed="false">
      <c r="A1164" s="31" t="str">
        <f aca="false">Demand_History!C1164</f>
        <v>BTH-002</v>
      </c>
      <c r="B1164" s="31" t="n">
        <f aca="false">Demand_History!A1164</f>
        <v>19</v>
      </c>
      <c r="C1164" s="32" t="n">
        <f aca="false">Demand_History!D1164</f>
        <v>176</v>
      </c>
      <c r="D1164" s="33" t="n">
        <f aca="false">IF(B1164&gt;=2,C1163,"")</f>
        <v>142</v>
      </c>
      <c r="E1164" s="33" t="n">
        <f aca="false">IF(B1164&gt;=5,AVERAGE(C1160:C1163),"")</f>
        <v>153.5</v>
      </c>
      <c r="F1164" s="33" t="n">
        <f aca="false">IF(B1164&gt;=9,AVERAGE(C1156:C1163),"")</f>
        <v>156.5</v>
      </c>
      <c r="G1164" s="33" t="n">
        <f aca="false">IF(B1164=1,"",IF(B1164=2,C1163,SES_Alpha*C1163+(1-SES_Alpha)*G1163))</f>
        <v>153.726164256</v>
      </c>
      <c r="H1164" s="33" t="n">
        <f aca="false">IF(D1164="","",D1164-C1164)</f>
        <v>-34</v>
      </c>
      <c r="I1164" s="33" t="n">
        <f aca="false">IF(E1164="","",E1164-C1164)</f>
        <v>-22.5</v>
      </c>
      <c r="J1164" s="33" t="n">
        <f aca="false">IF(F1164="","",F1164-C1164)</f>
        <v>-19.5</v>
      </c>
      <c r="K1164" s="33" t="n">
        <f aca="false">IF(G1164="","",G1164-C1164)</f>
        <v>-22.2738357440001</v>
      </c>
      <c r="L1164" s="33" t="n">
        <f aca="false">IF(H1164="","",ABS(H1164))</f>
        <v>34</v>
      </c>
      <c r="M1164" s="33" t="n">
        <f aca="false">IF(I1164="","",ABS(I1164))</f>
        <v>22.5</v>
      </c>
      <c r="N1164" s="33" t="n">
        <f aca="false">IF(J1164="","",ABS(J1164))</f>
        <v>19.5</v>
      </c>
      <c r="O1164" s="33" t="n">
        <f aca="false">IF(K1164="","",ABS(K1164))</f>
        <v>22.2738357440001</v>
      </c>
      <c r="P1164" s="34" t="str">
        <f aca="false">IF(B1164&gt;=Eval_Start_Week,"YES","")</f>
        <v/>
      </c>
      <c r="Q1164" s="34" t="str">
        <f aca="false">IF(AND(B1164&gt;=Cal_Start_Week,B1164&lt;=Cal_End_Week),"YES","")</f>
        <v/>
      </c>
    </row>
    <row r="1165" customFormat="false" ht="15" hidden="false" customHeight="false" outlineLevel="0" collapsed="false">
      <c r="A1165" s="31" t="str">
        <f aca="false">Demand_History!C1165</f>
        <v>BTH-002</v>
      </c>
      <c r="B1165" s="31" t="n">
        <f aca="false">Demand_History!A1165</f>
        <v>20</v>
      </c>
      <c r="C1165" s="32" t="n">
        <f aca="false">Demand_History!D1165</f>
        <v>148</v>
      </c>
      <c r="D1165" s="33" t="n">
        <f aca="false">IF(B1165&gt;=2,C1164,"")</f>
        <v>176</v>
      </c>
      <c r="E1165" s="33" t="n">
        <f aca="false">IF(B1165&gt;=5,AVERAGE(C1161:C1164),"")</f>
        <v>159</v>
      </c>
      <c r="F1165" s="33" t="n">
        <f aca="false">IF(B1165&gt;=9,AVERAGE(C1157:C1164),"")</f>
        <v>158.125</v>
      </c>
      <c r="G1165" s="33" t="n">
        <f aca="false">IF(B1165=1,"",IF(B1165=2,C1164,SES_Alpha*C1164+(1-SES_Alpha)*G1164))</f>
        <v>160.4083149792</v>
      </c>
      <c r="H1165" s="33" t="n">
        <f aca="false">IF(D1165="","",D1165-C1165)</f>
        <v>28</v>
      </c>
      <c r="I1165" s="33" t="n">
        <f aca="false">IF(E1165="","",E1165-C1165)</f>
        <v>11</v>
      </c>
      <c r="J1165" s="33" t="n">
        <f aca="false">IF(F1165="","",F1165-C1165)</f>
        <v>10.125</v>
      </c>
      <c r="K1165" s="33" t="n">
        <f aca="false">IF(G1165="","",G1165-C1165)</f>
        <v>12.4083149791999</v>
      </c>
      <c r="L1165" s="33" t="n">
        <f aca="false">IF(H1165="","",ABS(H1165))</f>
        <v>28</v>
      </c>
      <c r="M1165" s="33" t="n">
        <f aca="false">IF(I1165="","",ABS(I1165))</f>
        <v>11</v>
      </c>
      <c r="N1165" s="33" t="n">
        <f aca="false">IF(J1165="","",ABS(J1165))</f>
        <v>10.125</v>
      </c>
      <c r="O1165" s="33" t="n">
        <f aca="false">IF(K1165="","",ABS(K1165))</f>
        <v>12.4083149791999</v>
      </c>
      <c r="P1165" s="34" t="str">
        <f aca="false">IF(B1165&gt;=Eval_Start_Week,"YES","")</f>
        <v/>
      </c>
      <c r="Q1165" s="34" t="str">
        <f aca="false">IF(AND(B1165&gt;=Cal_Start_Week,B1165&lt;=Cal_End_Week),"YES","")</f>
        <v/>
      </c>
    </row>
    <row r="1166" customFormat="false" ht="15" hidden="false" customHeight="false" outlineLevel="0" collapsed="false">
      <c r="A1166" s="31" t="str">
        <f aca="false">Demand_History!C1166</f>
        <v>BTH-002</v>
      </c>
      <c r="B1166" s="31" t="n">
        <f aca="false">Demand_History!A1166</f>
        <v>21</v>
      </c>
      <c r="C1166" s="32" t="n">
        <f aca="false">Demand_History!D1166</f>
        <v>165</v>
      </c>
      <c r="D1166" s="33" t="n">
        <f aca="false">IF(B1166&gt;=2,C1165,"")</f>
        <v>148</v>
      </c>
      <c r="E1166" s="33" t="n">
        <f aca="false">IF(B1166&gt;=5,AVERAGE(C1162:C1165),"")</f>
        <v>157.75</v>
      </c>
      <c r="F1166" s="33" t="n">
        <f aca="false">IF(B1166&gt;=9,AVERAGE(C1158:C1165),"")</f>
        <v>156.5</v>
      </c>
      <c r="G1166" s="33" t="n">
        <f aca="false">IF(B1166=1,"",IF(B1166=2,C1165,SES_Alpha*C1165+(1-SES_Alpha)*G1165))</f>
        <v>156.68582048544</v>
      </c>
      <c r="H1166" s="33" t="n">
        <f aca="false">IF(D1166="","",D1166-C1166)</f>
        <v>-17</v>
      </c>
      <c r="I1166" s="33" t="n">
        <f aca="false">IF(E1166="","",E1166-C1166)</f>
        <v>-7.25</v>
      </c>
      <c r="J1166" s="33" t="n">
        <f aca="false">IF(F1166="","",F1166-C1166)</f>
        <v>-8.5</v>
      </c>
      <c r="K1166" s="33" t="n">
        <f aca="false">IF(G1166="","",G1166-C1166)</f>
        <v>-8.31417951456007</v>
      </c>
      <c r="L1166" s="33" t="n">
        <f aca="false">IF(H1166="","",ABS(H1166))</f>
        <v>17</v>
      </c>
      <c r="M1166" s="33" t="n">
        <f aca="false">IF(I1166="","",ABS(I1166))</f>
        <v>7.25</v>
      </c>
      <c r="N1166" s="33" t="n">
        <f aca="false">IF(J1166="","",ABS(J1166))</f>
        <v>8.5</v>
      </c>
      <c r="O1166" s="33" t="n">
        <f aca="false">IF(K1166="","",ABS(K1166))</f>
        <v>8.31417951456007</v>
      </c>
      <c r="P1166" s="34" t="str">
        <f aca="false">IF(B1166&gt;=Eval_Start_Week,"YES","")</f>
        <v/>
      </c>
      <c r="Q1166" s="34" t="str">
        <f aca="false">IF(AND(B1166&gt;=Cal_Start_Week,B1166&lt;=Cal_End_Week),"YES","")</f>
        <v/>
      </c>
    </row>
    <row r="1167" customFormat="false" ht="15" hidden="false" customHeight="false" outlineLevel="0" collapsed="false">
      <c r="A1167" s="31" t="str">
        <f aca="false">Demand_History!C1167</f>
        <v>BTH-002</v>
      </c>
      <c r="B1167" s="31" t="n">
        <f aca="false">Demand_History!A1167</f>
        <v>22</v>
      </c>
      <c r="C1167" s="32" t="n">
        <f aca="false">Demand_History!D1167</f>
        <v>149</v>
      </c>
      <c r="D1167" s="33" t="n">
        <f aca="false">IF(B1167&gt;=2,C1166,"")</f>
        <v>165</v>
      </c>
      <c r="E1167" s="33" t="n">
        <f aca="false">IF(B1167&gt;=5,AVERAGE(C1163:C1166),"")</f>
        <v>157.75</v>
      </c>
      <c r="F1167" s="33" t="n">
        <f aca="false">IF(B1167&gt;=9,AVERAGE(C1159:C1166),"")</f>
        <v>157.375</v>
      </c>
      <c r="G1167" s="33" t="n">
        <f aca="false">IF(B1167=1,"",IF(B1167=2,C1166,SES_Alpha*C1166+(1-SES_Alpha)*G1166))</f>
        <v>159.180074339808</v>
      </c>
      <c r="H1167" s="33" t="n">
        <f aca="false">IF(D1167="","",D1167-C1167)</f>
        <v>16</v>
      </c>
      <c r="I1167" s="33" t="n">
        <f aca="false">IF(E1167="","",E1167-C1167)</f>
        <v>8.75</v>
      </c>
      <c r="J1167" s="33" t="n">
        <f aca="false">IF(F1167="","",F1167-C1167)</f>
        <v>8.375</v>
      </c>
      <c r="K1167" s="33" t="n">
        <f aca="false">IF(G1167="","",G1167-C1167)</f>
        <v>10.180074339808</v>
      </c>
      <c r="L1167" s="33" t="n">
        <f aca="false">IF(H1167="","",ABS(H1167))</f>
        <v>16</v>
      </c>
      <c r="M1167" s="33" t="n">
        <f aca="false">IF(I1167="","",ABS(I1167))</f>
        <v>8.75</v>
      </c>
      <c r="N1167" s="33" t="n">
        <f aca="false">IF(J1167="","",ABS(J1167))</f>
        <v>8.375</v>
      </c>
      <c r="O1167" s="33" t="n">
        <f aca="false">IF(K1167="","",ABS(K1167))</f>
        <v>10.180074339808</v>
      </c>
      <c r="P1167" s="34" t="str">
        <f aca="false">IF(B1167&gt;=Eval_Start_Week,"YES","")</f>
        <v/>
      </c>
      <c r="Q1167" s="34" t="str">
        <f aca="false">IF(AND(B1167&gt;=Cal_Start_Week,B1167&lt;=Cal_End_Week),"YES","")</f>
        <v/>
      </c>
    </row>
    <row r="1168" customFormat="false" ht="15" hidden="false" customHeight="false" outlineLevel="0" collapsed="false">
      <c r="A1168" s="31" t="str">
        <f aca="false">Demand_History!C1168</f>
        <v>BTH-002</v>
      </c>
      <c r="B1168" s="31" t="n">
        <f aca="false">Demand_History!A1168</f>
        <v>23</v>
      </c>
      <c r="C1168" s="32" t="n">
        <f aca="false">Demand_History!D1168</f>
        <v>146</v>
      </c>
      <c r="D1168" s="33" t="n">
        <f aca="false">IF(B1168&gt;=2,C1167,"")</f>
        <v>149</v>
      </c>
      <c r="E1168" s="33" t="n">
        <f aca="false">IF(B1168&gt;=5,AVERAGE(C1164:C1167),"")</f>
        <v>159.5</v>
      </c>
      <c r="F1168" s="33" t="n">
        <f aca="false">IF(B1168&gt;=9,AVERAGE(C1160:C1167),"")</f>
        <v>156.5</v>
      </c>
      <c r="G1168" s="33" t="n">
        <f aca="false">IF(B1168=1,"",IF(B1168=2,C1167,SES_Alpha*C1167+(1-SES_Alpha)*G1167))</f>
        <v>156.126052037866</v>
      </c>
      <c r="H1168" s="33" t="n">
        <f aca="false">IF(D1168="","",D1168-C1168)</f>
        <v>3</v>
      </c>
      <c r="I1168" s="33" t="n">
        <f aca="false">IF(E1168="","",E1168-C1168)</f>
        <v>13.5</v>
      </c>
      <c r="J1168" s="33" t="n">
        <f aca="false">IF(F1168="","",F1168-C1168)</f>
        <v>10.5</v>
      </c>
      <c r="K1168" s="33" t="n">
        <f aca="false">IF(G1168="","",G1168-C1168)</f>
        <v>10.1260520378655</v>
      </c>
      <c r="L1168" s="33" t="n">
        <f aca="false">IF(H1168="","",ABS(H1168))</f>
        <v>3</v>
      </c>
      <c r="M1168" s="33" t="n">
        <f aca="false">IF(I1168="","",ABS(I1168))</f>
        <v>13.5</v>
      </c>
      <c r="N1168" s="33" t="n">
        <f aca="false">IF(J1168="","",ABS(J1168))</f>
        <v>10.5</v>
      </c>
      <c r="O1168" s="33" t="n">
        <f aca="false">IF(K1168="","",ABS(K1168))</f>
        <v>10.1260520378655</v>
      </c>
      <c r="P1168" s="34" t="str">
        <f aca="false">IF(B1168&gt;=Eval_Start_Week,"YES","")</f>
        <v/>
      </c>
      <c r="Q1168" s="34" t="str">
        <f aca="false">IF(AND(B1168&gt;=Cal_Start_Week,B1168&lt;=Cal_End_Week),"YES","")</f>
        <v/>
      </c>
    </row>
    <row r="1169" customFormat="false" ht="15" hidden="false" customHeight="false" outlineLevel="0" collapsed="false">
      <c r="A1169" s="31" t="str">
        <f aca="false">Demand_History!C1169</f>
        <v>BTH-002</v>
      </c>
      <c r="B1169" s="31" t="n">
        <f aca="false">Demand_History!A1169</f>
        <v>24</v>
      </c>
      <c r="C1169" s="32" t="n">
        <f aca="false">Demand_History!D1169</f>
        <v>181</v>
      </c>
      <c r="D1169" s="33" t="n">
        <f aca="false">IF(B1169&gt;=2,C1168,"")</f>
        <v>146</v>
      </c>
      <c r="E1169" s="33" t="n">
        <f aca="false">IF(B1169&gt;=5,AVERAGE(C1165:C1168),"")</f>
        <v>152</v>
      </c>
      <c r="F1169" s="33" t="n">
        <f aca="false">IF(B1169&gt;=9,AVERAGE(C1161:C1168),"")</f>
        <v>155.5</v>
      </c>
      <c r="G1169" s="33" t="n">
        <f aca="false">IF(B1169=1,"",IF(B1169=2,C1168,SES_Alpha*C1168+(1-SES_Alpha)*G1168))</f>
        <v>153.088236426506</v>
      </c>
      <c r="H1169" s="33" t="n">
        <f aca="false">IF(D1169="","",D1169-C1169)</f>
        <v>-35</v>
      </c>
      <c r="I1169" s="33" t="n">
        <f aca="false">IF(E1169="","",E1169-C1169)</f>
        <v>-29</v>
      </c>
      <c r="J1169" s="33" t="n">
        <f aca="false">IF(F1169="","",F1169-C1169)</f>
        <v>-25.5</v>
      </c>
      <c r="K1169" s="33" t="n">
        <f aca="false">IF(G1169="","",G1169-C1169)</f>
        <v>-27.9117635734941</v>
      </c>
      <c r="L1169" s="33" t="n">
        <f aca="false">IF(H1169="","",ABS(H1169))</f>
        <v>35</v>
      </c>
      <c r="M1169" s="33" t="n">
        <f aca="false">IF(I1169="","",ABS(I1169))</f>
        <v>29</v>
      </c>
      <c r="N1169" s="33" t="n">
        <f aca="false">IF(J1169="","",ABS(J1169))</f>
        <v>25.5</v>
      </c>
      <c r="O1169" s="33" t="n">
        <f aca="false">IF(K1169="","",ABS(K1169))</f>
        <v>27.9117635734941</v>
      </c>
      <c r="P1169" s="34" t="str">
        <f aca="false">IF(B1169&gt;=Eval_Start_Week,"YES","")</f>
        <v/>
      </c>
      <c r="Q1169" s="34" t="str">
        <f aca="false">IF(AND(B1169&gt;=Cal_Start_Week,B1169&lt;=Cal_End_Week),"YES","")</f>
        <v/>
      </c>
    </row>
    <row r="1170" customFormat="false" ht="15" hidden="false" customHeight="false" outlineLevel="0" collapsed="false">
      <c r="A1170" s="31" t="str">
        <f aca="false">Demand_History!C1170</f>
        <v>BTH-002</v>
      </c>
      <c r="B1170" s="31" t="n">
        <f aca="false">Demand_History!A1170</f>
        <v>25</v>
      </c>
      <c r="C1170" s="32" t="n">
        <f aca="false">Demand_History!D1170</f>
        <v>145</v>
      </c>
      <c r="D1170" s="33" t="n">
        <f aca="false">IF(B1170&gt;=2,C1169,"")</f>
        <v>181</v>
      </c>
      <c r="E1170" s="33" t="n">
        <f aca="false">IF(B1170&gt;=5,AVERAGE(C1166:C1169),"")</f>
        <v>160.25</v>
      </c>
      <c r="F1170" s="33" t="n">
        <f aca="false">IF(B1170&gt;=9,AVERAGE(C1162:C1169),"")</f>
        <v>159</v>
      </c>
      <c r="G1170" s="33" t="n">
        <f aca="false">IF(B1170=1,"",IF(B1170=2,C1169,SES_Alpha*C1169+(1-SES_Alpha)*G1169))</f>
        <v>161.461765498554</v>
      </c>
      <c r="H1170" s="33" t="n">
        <f aca="false">IF(D1170="","",D1170-C1170)</f>
        <v>36</v>
      </c>
      <c r="I1170" s="33" t="n">
        <f aca="false">IF(E1170="","",E1170-C1170)</f>
        <v>15.25</v>
      </c>
      <c r="J1170" s="33" t="n">
        <f aca="false">IF(F1170="","",F1170-C1170)</f>
        <v>14</v>
      </c>
      <c r="K1170" s="33" t="n">
        <f aca="false">IF(G1170="","",G1170-C1170)</f>
        <v>16.4617654985541</v>
      </c>
      <c r="L1170" s="33" t="n">
        <f aca="false">IF(H1170="","",ABS(H1170))</f>
        <v>36</v>
      </c>
      <c r="M1170" s="33" t="n">
        <f aca="false">IF(I1170="","",ABS(I1170))</f>
        <v>15.25</v>
      </c>
      <c r="N1170" s="33" t="n">
        <f aca="false">IF(J1170="","",ABS(J1170))</f>
        <v>14</v>
      </c>
      <c r="O1170" s="33" t="n">
        <f aca="false">IF(K1170="","",ABS(K1170))</f>
        <v>16.4617654985541</v>
      </c>
      <c r="P1170" s="34" t="str">
        <f aca="false">IF(B1170&gt;=Eval_Start_Week,"YES","")</f>
        <v/>
      </c>
      <c r="Q1170" s="34" t="str">
        <f aca="false">IF(AND(B1170&gt;=Cal_Start_Week,B1170&lt;=Cal_End_Week),"YES","")</f>
        <v/>
      </c>
    </row>
    <row r="1171" customFormat="false" ht="15" hidden="false" customHeight="false" outlineLevel="0" collapsed="false">
      <c r="A1171" s="31" t="str">
        <f aca="false">Demand_History!C1171</f>
        <v>BTH-002</v>
      </c>
      <c r="B1171" s="31" t="n">
        <f aca="false">Demand_History!A1171</f>
        <v>26</v>
      </c>
      <c r="C1171" s="32" t="n">
        <f aca="false">Demand_History!D1171</f>
        <v>131</v>
      </c>
      <c r="D1171" s="33" t="n">
        <f aca="false">IF(B1171&gt;=2,C1170,"")</f>
        <v>145</v>
      </c>
      <c r="E1171" s="33" t="n">
        <f aca="false">IF(B1171&gt;=5,AVERAGE(C1167:C1170),"")</f>
        <v>155.25</v>
      </c>
      <c r="F1171" s="33" t="n">
        <f aca="false">IF(B1171&gt;=9,AVERAGE(C1163:C1170),"")</f>
        <v>156.5</v>
      </c>
      <c r="G1171" s="33" t="n">
        <f aca="false">IF(B1171=1,"",IF(B1171=2,C1170,SES_Alpha*C1170+(1-SES_Alpha)*G1170))</f>
        <v>156.523235848988</v>
      </c>
      <c r="H1171" s="33" t="n">
        <f aca="false">IF(D1171="","",D1171-C1171)</f>
        <v>14</v>
      </c>
      <c r="I1171" s="33" t="n">
        <f aca="false">IF(E1171="","",E1171-C1171)</f>
        <v>24.25</v>
      </c>
      <c r="J1171" s="33" t="n">
        <f aca="false">IF(F1171="","",F1171-C1171)</f>
        <v>25.5</v>
      </c>
      <c r="K1171" s="33" t="n">
        <f aca="false">IF(G1171="","",G1171-C1171)</f>
        <v>25.5232358489879</v>
      </c>
      <c r="L1171" s="33" t="n">
        <f aca="false">IF(H1171="","",ABS(H1171))</f>
        <v>14</v>
      </c>
      <c r="M1171" s="33" t="n">
        <f aca="false">IF(I1171="","",ABS(I1171))</f>
        <v>24.25</v>
      </c>
      <c r="N1171" s="33" t="n">
        <f aca="false">IF(J1171="","",ABS(J1171))</f>
        <v>25.5</v>
      </c>
      <c r="O1171" s="33" t="n">
        <f aca="false">IF(K1171="","",ABS(K1171))</f>
        <v>25.5232358489879</v>
      </c>
      <c r="P1171" s="34" t="str">
        <f aca="false">IF(B1171&gt;=Eval_Start_Week,"YES","")</f>
        <v/>
      </c>
      <c r="Q1171" s="34" t="str">
        <f aca="false">IF(AND(B1171&gt;=Cal_Start_Week,B1171&lt;=Cal_End_Week),"YES","")</f>
        <v/>
      </c>
    </row>
    <row r="1172" customFormat="false" ht="15" hidden="false" customHeight="false" outlineLevel="0" collapsed="false">
      <c r="A1172" s="31" t="str">
        <f aca="false">Demand_History!C1172</f>
        <v>BTH-002</v>
      </c>
      <c r="B1172" s="31" t="n">
        <f aca="false">Demand_History!A1172</f>
        <v>27</v>
      </c>
      <c r="C1172" s="32" t="n">
        <f aca="false">Demand_History!D1172</f>
        <v>139</v>
      </c>
      <c r="D1172" s="33" t="n">
        <f aca="false">IF(B1172&gt;=2,C1171,"")</f>
        <v>131</v>
      </c>
      <c r="E1172" s="33" t="n">
        <f aca="false">IF(B1172&gt;=5,AVERAGE(C1168:C1171),"")</f>
        <v>150.75</v>
      </c>
      <c r="F1172" s="33" t="n">
        <f aca="false">IF(B1172&gt;=9,AVERAGE(C1164:C1171),"")</f>
        <v>155.125</v>
      </c>
      <c r="G1172" s="33" t="n">
        <f aca="false">IF(B1172=1,"",IF(B1172=2,C1171,SES_Alpha*C1171+(1-SES_Alpha)*G1171))</f>
        <v>148.866265094292</v>
      </c>
      <c r="H1172" s="33" t="n">
        <f aca="false">IF(D1172="","",D1172-C1172)</f>
        <v>-8</v>
      </c>
      <c r="I1172" s="33" t="n">
        <f aca="false">IF(E1172="","",E1172-C1172)</f>
        <v>11.75</v>
      </c>
      <c r="J1172" s="33" t="n">
        <f aca="false">IF(F1172="","",F1172-C1172)</f>
        <v>16.125</v>
      </c>
      <c r="K1172" s="33" t="n">
        <f aca="false">IF(G1172="","",G1172-C1172)</f>
        <v>9.86626509429149</v>
      </c>
      <c r="L1172" s="33" t="n">
        <f aca="false">IF(H1172="","",ABS(H1172))</f>
        <v>8</v>
      </c>
      <c r="M1172" s="33" t="n">
        <f aca="false">IF(I1172="","",ABS(I1172))</f>
        <v>11.75</v>
      </c>
      <c r="N1172" s="33" t="n">
        <f aca="false">IF(J1172="","",ABS(J1172))</f>
        <v>16.125</v>
      </c>
      <c r="O1172" s="33" t="n">
        <f aca="false">IF(K1172="","",ABS(K1172))</f>
        <v>9.86626509429149</v>
      </c>
      <c r="P1172" s="34" t="str">
        <f aca="false">IF(B1172&gt;=Eval_Start_Week,"YES","")</f>
        <v/>
      </c>
      <c r="Q1172" s="34" t="str">
        <f aca="false">IF(AND(B1172&gt;=Cal_Start_Week,B1172&lt;=Cal_End_Week),"YES","")</f>
        <v/>
      </c>
    </row>
    <row r="1173" customFormat="false" ht="15" hidden="false" customHeight="false" outlineLevel="0" collapsed="false">
      <c r="A1173" s="31" t="str">
        <f aca="false">Demand_History!C1173</f>
        <v>BTH-002</v>
      </c>
      <c r="B1173" s="31" t="n">
        <f aca="false">Demand_History!A1173</f>
        <v>28</v>
      </c>
      <c r="C1173" s="32" t="n">
        <f aca="false">Demand_History!D1173</f>
        <v>145</v>
      </c>
      <c r="D1173" s="33" t="n">
        <f aca="false">IF(B1173&gt;=2,C1172,"")</f>
        <v>139</v>
      </c>
      <c r="E1173" s="33" t="n">
        <f aca="false">IF(B1173&gt;=5,AVERAGE(C1169:C1172),"")</f>
        <v>149</v>
      </c>
      <c r="F1173" s="33" t="n">
        <f aca="false">IF(B1173&gt;=9,AVERAGE(C1165:C1172),"")</f>
        <v>150.5</v>
      </c>
      <c r="G1173" s="33" t="n">
        <f aca="false">IF(B1173=1,"",IF(B1173=2,C1172,SES_Alpha*C1172+(1-SES_Alpha)*G1172))</f>
        <v>145.906385566004</v>
      </c>
      <c r="H1173" s="33" t="n">
        <f aca="false">IF(D1173="","",D1173-C1173)</f>
        <v>-6</v>
      </c>
      <c r="I1173" s="33" t="n">
        <f aca="false">IF(E1173="","",E1173-C1173)</f>
        <v>4</v>
      </c>
      <c r="J1173" s="33" t="n">
        <f aca="false">IF(F1173="","",F1173-C1173)</f>
        <v>5.5</v>
      </c>
      <c r="K1173" s="33" t="n">
        <f aca="false">IF(G1173="","",G1173-C1173)</f>
        <v>0.906385566004047</v>
      </c>
      <c r="L1173" s="33" t="n">
        <f aca="false">IF(H1173="","",ABS(H1173))</f>
        <v>6</v>
      </c>
      <c r="M1173" s="33" t="n">
        <f aca="false">IF(I1173="","",ABS(I1173))</f>
        <v>4</v>
      </c>
      <c r="N1173" s="33" t="n">
        <f aca="false">IF(J1173="","",ABS(J1173))</f>
        <v>5.5</v>
      </c>
      <c r="O1173" s="33" t="n">
        <f aca="false">IF(K1173="","",ABS(K1173))</f>
        <v>0.906385566004047</v>
      </c>
      <c r="P1173" s="34" t="str">
        <f aca="false">IF(B1173&gt;=Eval_Start_Week,"YES","")</f>
        <v/>
      </c>
      <c r="Q1173" s="34" t="str">
        <f aca="false">IF(AND(B1173&gt;=Cal_Start_Week,B1173&lt;=Cal_End_Week),"YES","")</f>
        <v/>
      </c>
    </row>
    <row r="1174" customFormat="false" ht="15" hidden="false" customHeight="false" outlineLevel="0" collapsed="false">
      <c r="A1174" s="31" t="str">
        <f aca="false">Demand_History!C1174</f>
        <v>BTH-002</v>
      </c>
      <c r="B1174" s="31" t="n">
        <f aca="false">Demand_History!A1174</f>
        <v>29</v>
      </c>
      <c r="C1174" s="32" t="n">
        <f aca="false">Demand_History!D1174</f>
        <v>182</v>
      </c>
      <c r="D1174" s="33" t="n">
        <f aca="false">IF(B1174&gt;=2,C1173,"")</f>
        <v>145</v>
      </c>
      <c r="E1174" s="33" t="n">
        <f aca="false">IF(B1174&gt;=5,AVERAGE(C1170:C1173),"")</f>
        <v>140</v>
      </c>
      <c r="F1174" s="33" t="n">
        <f aca="false">IF(B1174&gt;=9,AVERAGE(C1166:C1173),"")</f>
        <v>150.125</v>
      </c>
      <c r="G1174" s="33" t="n">
        <f aca="false">IF(B1174=1,"",IF(B1174=2,C1173,SES_Alpha*C1173+(1-SES_Alpha)*G1173))</f>
        <v>145.634469896203</v>
      </c>
      <c r="H1174" s="33" t="n">
        <f aca="false">IF(D1174="","",D1174-C1174)</f>
        <v>-37</v>
      </c>
      <c r="I1174" s="33" t="n">
        <f aca="false">IF(E1174="","",E1174-C1174)</f>
        <v>-42</v>
      </c>
      <c r="J1174" s="33" t="n">
        <f aca="false">IF(F1174="","",F1174-C1174)</f>
        <v>-31.875</v>
      </c>
      <c r="K1174" s="33" t="n">
        <f aca="false">IF(G1174="","",G1174-C1174)</f>
        <v>-36.3655301037972</v>
      </c>
      <c r="L1174" s="33" t="n">
        <f aca="false">IF(H1174="","",ABS(H1174))</f>
        <v>37</v>
      </c>
      <c r="M1174" s="33" t="n">
        <f aca="false">IF(I1174="","",ABS(I1174))</f>
        <v>42</v>
      </c>
      <c r="N1174" s="33" t="n">
        <f aca="false">IF(J1174="","",ABS(J1174))</f>
        <v>31.875</v>
      </c>
      <c r="O1174" s="33" t="n">
        <f aca="false">IF(K1174="","",ABS(K1174))</f>
        <v>36.3655301037972</v>
      </c>
      <c r="P1174" s="34" t="str">
        <f aca="false">IF(B1174&gt;=Eval_Start_Week,"YES","")</f>
        <v/>
      </c>
      <c r="Q1174" s="34" t="str">
        <f aca="false">IF(AND(B1174&gt;=Cal_Start_Week,B1174&lt;=Cal_End_Week),"YES","")</f>
        <v/>
      </c>
    </row>
    <row r="1175" customFormat="false" ht="15" hidden="false" customHeight="false" outlineLevel="0" collapsed="false">
      <c r="A1175" s="31" t="str">
        <f aca="false">Demand_History!C1175</f>
        <v>BTH-002</v>
      </c>
      <c r="B1175" s="31" t="n">
        <f aca="false">Demand_History!A1175</f>
        <v>30</v>
      </c>
      <c r="C1175" s="32" t="n">
        <f aca="false">Demand_History!D1175</f>
        <v>153</v>
      </c>
      <c r="D1175" s="33" t="n">
        <f aca="false">IF(B1175&gt;=2,C1174,"")</f>
        <v>182</v>
      </c>
      <c r="E1175" s="33" t="n">
        <f aca="false">IF(B1175&gt;=5,AVERAGE(C1171:C1174),"")</f>
        <v>149.25</v>
      </c>
      <c r="F1175" s="33" t="n">
        <f aca="false">IF(B1175&gt;=9,AVERAGE(C1167:C1174),"")</f>
        <v>152.25</v>
      </c>
      <c r="G1175" s="33" t="n">
        <f aca="false">IF(B1175=1,"",IF(B1175=2,C1174,SES_Alpha*C1174+(1-SES_Alpha)*G1174))</f>
        <v>156.544128927342</v>
      </c>
      <c r="H1175" s="33" t="n">
        <f aca="false">IF(D1175="","",D1175-C1175)</f>
        <v>29</v>
      </c>
      <c r="I1175" s="33" t="n">
        <f aca="false">IF(E1175="","",E1175-C1175)</f>
        <v>-3.75</v>
      </c>
      <c r="J1175" s="33" t="n">
        <f aca="false">IF(F1175="","",F1175-C1175)</f>
        <v>-0.75</v>
      </c>
      <c r="K1175" s="33" t="n">
        <f aca="false">IF(G1175="","",G1175-C1175)</f>
        <v>3.54412892734197</v>
      </c>
      <c r="L1175" s="33" t="n">
        <f aca="false">IF(H1175="","",ABS(H1175))</f>
        <v>29</v>
      </c>
      <c r="M1175" s="33" t="n">
        <f aca="false">IF(I1175="","",ABS(I1175))</f>
        <v>3.75</v>
      </c>
      <c r="N1175" s="33" t="n">
        <f aca="false">IF(J1175="","",ABS(J1175))</f>
        <v>0.75</v>
      </c>
      <c r="O1175" s="33" t="n">
        <f aca="false">IF(K1175="","",ABS(K1175))</f>
        <v>3.54412892734197</v>
      </c>
      <c r="P1175" s="34" t="str">
        <f aca="false">IF(B1175&gt;=Eval_Start_Week,"YES","")</f>
        <v/>
      </c>
      <c r="Q1175" s="34" t="str">
        <f aca="false">IF(AND(B1175&gt;=Cal_Start_Week,B1175&lt;=Cal_End_Week),"YES","")</f>
        <v/>
      </c>
    </row>
    <row r="1176" customFormat="false" ht="15" hidden="false" customHeight="false" outlineLevel="0" collapsed="false">
      <c r="A1176" s="31" t="str">
        <f aca="false">Demand_History!C1176</f>
        <v>BTH-002</v>
      </c>
      <c r="B1176" s="31" t="n">
        <f aca="false">Demand_History!A1176</f>
        <v>31</v>
      </c>
      <c r="C1176" s="32" t="n">
        <f aca="false">Demand_History!D1176</f>
        <v>164</v>
      </c>
      <c r="D1176" s="33" t="n">
        <f aca="false">IF(B1176&gt;=2,C1175,"")</f>
        <v>153</v>
      </c>
      <c r="E1176" s="33" t="n">
        <f aca="false">IF(B1176&gt;=5,AVERAGE(C1172:C1175),"")</f>
        <v>154.75</v>
      </c>
      <c r="F1176" s="33" t="n">
        <f aca="false">IF(B1176&gt;=9,AVERAGE(C1168:C1175),"")</f>
        <v>152.75</v>
      </c>
      <c r="G1176" s="33" t="n">
        <f aca="false">IF(B1176=1,"",IF(B1176=2,C1175,SES_Alpha*C1175+(1-SES_Alpha)*G1175))</f>
        <v>155.480890249139</v>
      </c>
      <c r="H1176" s="33" t="n">
        <f aca="false">IF(D1176="","",D1176-C1176)</f>
        <v>-11</v>
      </c>
      <c r="I1176" s="33" t="n">
        <f aca="false">IF(E1176="","",E1176-C1176)</f>
        <v>-9.25</v>
      </c>
      <c r="J1176" s="33" t="n">
        <f aca="false">IF(F1176="","",F1176-C1176)</f>
        <v>-11.25</v>
      </c>
      <c r="K1176" s="33" t="n">
        <f aca="false">IF(G1176="","",G1176-C1176)</f>
        <v>-8.51910975086062</v>
      </c>
      <c r="L1176" s="33" t="n">
        <f aca="false">IF(H1176="","",ABS(H1176))</f>
        <v>11</v>
      </c>
      <c r="M1176" s="33" t="n">
        <f aca="false">IF(I1176="","",ABS(I1176))</f>
        <v>9.25</v>
      </c>
      <c r="N1176" s="33" t="n">
        <f aca="false">IF(J1176="","",ABS(J1176))</f>
        <v>11.25</v>
      </c>
      <c r="O1176" s="33" t="n">
        <f aca="false">IF(K1176="","",ABS(K1176))</f>
        <v>8.51910975086062</v>
      </c>
      <c r="P1176" s="34" t="str">
        <f aca="false">IF(B1176&gt;=Eval_Start_Week,"YES","")</f>
        <v/>
      </c>
      <c r="Q1176" s="34" t="str">
        <f aca="false">IF(AND(B1176&gt;=Cal_Start_Week,B1176&lt;=Cal_End_Week),"YES","")</f>
        <v/>
      </c>
    </row>
    <row r="1177" customFormat="false" ht="15" hidden="false" customHeight="false" outlineLevel="0" collapsed="false">
      <c r="A1177" s="31" t="str">
        <f aca="false">Demand_History!C1177</f>
        <v>BTH-002</v>
      </c>
      <c r="B1177" s="31" t="n">
        <f aca="false">Demand_History!A1177</f>
        <v>32</v>
      </c>
      <c r="C1177" s="32" t="n">
        <f aca="false">Demand_History!D1177</f>
        <v>135</v>
      </c>
      <c r="D1177" s="33" t="n">
        <f aca="false">IF(B1177&gt;=2,C1176,"")</f>
        <v>164</v>
      </c>
      <c r="E1177" s="33" t="n">
        <f aca="false">IF(B1177&gt;=5,AVERAGE(C1173:C1176),"")</f>
        <v>161</v>
      </c>
      <c r="F1177" s="33" t="n">
        <f aca="false">IF(B1177&gt;=9,AVERAGE(C1169:C1176),"")</f>
        <v>155</v>
      </c>
      <c r="G1177" s="33" t="n">
        <f aca="false">IF(B1177=1,"",IF(B1177=2,C1176,SES_Alpha*C1176+(1-SES_Alpha)*G1176))</f>
        <v>158.036623174398</v>
      </c>
      <c r="H1177" s="33" t="n">
        <f aca="false">IF(D1177="","",D1177-C1177)</f>
        <v>29</v>
      </c>
      <c r="I1177" s="33" t="n">
        <f aca="false">IF(E1177="","",E1177-C1177)</f>
        <v>26</v>
      </c>
      <c r="J1177" s="33" t="n">
        <f aca="false">IF(F1177="","",F1177-C1177)</f>
        <v>20</v>
      </c>
      <c r="K1177" s="33" t="n">
        <f aca="false">IF(G1177="","",G1177-C1177)</f>
        <v>23.0366231743976</v>
      </c>
      <c r="L1177" s="33" t="n">
        <f aca="false">IF(H1177="","",ABS(H1177))</f>
        <v>29</v>
      </c>
      <c r="M1177" s="33" t="n">
        <f aca="false">IF(I1177="","",ABS(I1177))</f>
        <v>26</v>
      </c>
      <c r="N1177" s="33" t="n">
        <f aca="false">IF(J1177="","",ABS(J1177))</f>
        <v>20</v>
      </c>
      <c r="O1177" s="33" t="n">
        <f aca="false">IF(K1177="","",ABS(K1177))</f>
        <v>23.0366231743976</v>
      </c>
      <c r="P1177" s="34" t="str">
        <f aca="false">IF(B1177&gt;=Eval_Start_Week,"YES","")</f>
        <v/>
      </c>
      <c r="Q1177" s="34" t="str">
        <f aca="false">IF(AND(B1177&gt;=Cal_Start_Week,B1177&lt;=Cal_End_Week),"YES","")</f>
        <v/>
      </c>
    </row>
    <row r="1178" customFormat="false" ht="15" hidden="false" customHeight="false" outlineLevel="0" collapsed="false">
      <c r="A1178" s="31" t="str">
        <f aca="false">Demand_History!C1178</f>
        <v>BTH-002</v>
      </c>
      <c r="B1178" s="31" t="n">
        <f aca="false">Demand_History!A1178</f>
        <v>33</v>
      </c>
      <c r="C1178" s="32" t="n">
        <f aca="false">Demand_History!D1178</f>
        <v>155</v>
      </c>
      <c r="D1178" s="33" t="n">
        <f aca="false">IF(B1178&gt;=2,C1177,"")</f>
        <v>135</v>
      </c>
      <c r="E1178" s="33" t="n">
        <f aca="false">IF(B1178&gt;=5,AVERAGE(C1174:C1177),"")</f>
        <v>158.5</v>
      </c>
      <c r="F1178" s="33" t="n">
        <f aca="false">IF(B1178&gt;=9,AVERAGE(C1170:C1177),"")</f>
        <v>149.25</v>
      </c>
      <c r="G1178" s="33" t="n">
        <f aca="false">IF(B1178=1,"",IF(B1178=2,C1177,SES_Alpha*C1177+(1-SES_Alpha)*G1177))</f>
        <v>151.125636222078</v>
      </c>
      <c r="H1178" s="33" t="n">
        <f aca="false">IF(D1178="","",D1178-C1178)</f>
        <v>-20</v>
      </c>
      <c r="I1178" s="33" t="n">
        <f aca="false">IF(E1178="","",E1178-C1178)</f>
        <v>3.5</v>
      </c>
      <c r="J1178" s="33" t="n">
        <f aca="false">IF(F1178="","",F1178-C1178)</f>
        <v>-5.75</v>
      </c>
      <c r="K1178" s="33" t="n">
        <f aca="false">IF(G1178="","",G1178-C1178)</f>
        <v>-3.8743637779217</v>
      </c>
      <c r="L1178" s="33" t="n">
        <f aca="false">IF(H1178="","",ABS(H1178))</f>
        <v>20</v>
      </c>
      <c r="M1178" s="33" t="n">
        <f aca="false">IF(I1178="","",ABS(I1178))</f>
        <v>3.5</v>
      </c>
      <c r="N1178" s="33" t="n">
        <f aca="false">IF(J1178="","",ABS(J1178))</f>
        <v>5.75</v>
      </c>
      <c r="O1178" s="33" t="n">
        <f aca="false">IF(K1178="","",ABS(K1178))</f>
        <v>3.8743637779217</v>
      </c>
      <c r="P1178" s="34" t="str">
        <f aca="false">IF(B1178&gt;=Eval_Start_Week,"YES","")</f>
        <v/>
      </c>
      <c r="Q1178" s="34" t="str">
        <f aca="false">IF(AND(B1178&gt;=Cal_Start_Week,B1178&lt;=Cal_End_Week),"YES","")</f>
        <v/>
      </c>
    </row>
    <row r="1179" customFormat="false" ht="15" hidden="false" customHeight="false" outlineLevel="0" collapsed="false">
      <c r="A1179" s="31" t="str">
        <f aca="false">Demand_History!C1179</f>
        <v>BTH-002</v>
      </c>
      <c r="B1179" s="31" t="n">
        <f aca="false">Demand_History!A1179</f>
        <v>34</v>
      </c>
      <c r="C1179" s="32" t="n">
        <f aca="false">Demand_History!D1179</f>
        <v>160</v>
      </c>
      <c r="D1179" s="33" t="n">
        <f aca="false">IF(B1179&gt;=2,C1178,"")</f>
        <v>155</v>
      </c>
      <c r="E1179" s="33" t="n">
        <f aca="false">IF(B1179&gt;=5,AVERAGE(C1175:C1178),"")</f>
        <v>151.75</v>
      </c>
      <c r="F1179" s="33" t="n">
        <f aca="false">IF(B1179&gt;=9,AVERAGE(C1171:C1178),"")</f>
        <v>150.5</v>
      </c>
      <c r="G1179" s="33" t="n">
        <f aca="false">IF(B1179=1,"",IF(B1179=2,C1178,SES_Alpha*C1178+(1-SES_Alpha)*G1178))</f>
        <v>152.287945355455</v>
      </c>
      <c r="H1179" s="33" t="n">
        <f aca="false">IF(D1179="","",D1179-C1179)</f>
        <v>-5</v>
      </c>
      <c r="I1179" s="33" t="n">
        <f aca="false">IF(E1179="","",E1179-C1179)</f>
        <v>-8.25</v>
      </c>
      <c r="J1179" s="33" t="n">
        <f aca="false">IF(F1179="","",F1179-C1179)</f>
        <v>-9.5</v>
      </c>
      <c r="K1179" s="33" t="n">
        <f aca="false">IF(G1179="","",G1179-C1179)</f>
        <v>-7.71205464454519</v>
      </c>
      <c r="L1179" s="33" t="n">
        <f aca="false">IF(H1179="","",ABS(H1179))</f>
        <v>5</v>
      </c>
      <c r="M1179" s="33" t="n">
        <f aca="false">IF(I1179="","",ABS(I1179))</f>
        <v>8.25</v>
      </c>
      <c r="N1179" s="33" t="n">
        <f aca="false">IF(J1179="","",ABS(J1179))</f>
        <v>9.5</v>
      </c>
      <c r="O1179" s="33" t="n">
        <f aca="false">IF(K1179="","",ABS(K1179))</f>
        <v>7.71205464454519</v>
      </c>
      <c r="P1179" s="34" t="str">
        <f aca="false">IF(B1179&gt;=Eval_Start_Week,"YES","")</f>
        <v/>
      </c>
      <c r="Q1179" s="34" t="str">
        <f aca="false">IF(AND(B1179&gt;=Cal_Start_Week,B1179&lt;=Cal_End_Week),"YES","")</f>
        <v/>
      </c>
    </row>
    <row r="1180" customFormat="false" ht="15" hidden="false" customHeight="false" outlineLevel="0" collapsed="false">
      <c r="A1180" s="31" t="str">
        <f aca="false">Demand_History!C1180</f>
        <v>BTH-002</v>
      </c>
      <c r="B1180" s="31" t="n">
        <f aca="false">Demand_History!A1180</f>
        <v>35</v>
      </c>
      <c r="C1180" s="32" t="n">
        <f aca="false">Demand_History!D1180</f>
        <v>177</v>
      </c>
      <c r="D1180" s="33" t="n">
        <f aca="false">IF(B1180&gt;=2,C1179,"")</f>
        <v>160</v>
      </c>
      <c r="E1180" s="33" t="n">
        <f aca="false">IF(B1180&gt;=5,AVERAGE(C1176:C1179),"")</f>
        <v>153.5</v>
      </c>
      <c r="F1180" s="33" t="n">
        <f aca="false">IF(B1180&gt;=9,AVERAGE(C1172:C1179),"")</f>
        <v>154.125</v>
      </c>
      <c r="G1180" s="33" t="n">
        <f aca="false">IF(B1180=1,"",IF(B1180=2,C1179,SES_Alpha*C1179+(1-SES_Alpha)*G1179))</f>
        <v>154.601561748818</v>
      </c>
      <c r="H1180" s="33" t="n">
        <f aca="false">IF(D1180="","",D1180-C1180)</f>
        <v>-17</v>
      </c>
      <c r="I1180" s="33" t="n">
        <f aca="false">IF(E1180="","",E1180-C1180)</f>
        <v>-23.5</v>
      </c>
      <c r="J1180" s="33" t="n">
        <f aca="false">IF(F1180="","",F1180-C1180)</f>
        <v>-22.875</v>
      </c>
      <c r="K1180" s="33" t="n">
        <f aca="false">IF(G1180="","",G1180-C1180)</f>
        <v>-22.3984382511816</v>
      </c>
      <c r="L1180" s="33" t="n">
        <f aca="false">IF(H1180="","",ABS(H1180))</f>
        <v>17</v>
      </c>
      <c r="M1180" s="33" t="n">
        <f aca="false">IF(I1180="","",ABS(I1180))</f>
        <v>23.5</v>
      </c>
      <c r="N1180" s="33" t="n">
        <f aca="false">IF(J1180="","",ABS(J1180))</f>
        <v>22.875</v>
      </c>
      <c r="O1180" s="33" t="n">
        <f aca="false">IF(K1180="","",ABS(K1180))</f>
        <v>22.3984382511816</v>
      </c>
      <c r="P1180" s="34" t="str">
        <f aca="false">IF(B1180&gt;=Eval_Start_Week,"YES","")</f>
        <v/>
      </c>
      <c r="Q1180" s="34" t="str">
        <f aca="false">IF(AND(B1180&gt;=Cal_Start_Week,B1180&lt;=Cal_End_Week),"YES","")</f>
        <v/>
      </c>
    </row>
    <row r="1181" customFormat="false" ht="15" hidden="false" customHeight="false" outlineLevel="0" collapsed="false">
      <c r="A1181" s="31" t="str">
        <f aca="false">Demand_History!C1181</f>
        <v>BTH-002</v>
      </c>
      <c r="B1181" s="31" t="n">
        <f aca="false">Demand_History!A1181</f>
        <v>36</v>
      </c>
      <c r="C1181" s="32" t="n">
        <f aca="false">Demand_History!D1181</f>
        <v>140</v>
      </c>
      <c r="D1181" s="33" t="n">
        <f aca="false">IF(B1181&gt;=2,C1180,"")</f>
        <v>177</v>
      </c>
      <c r="E1181" s="33" t="n">
        <f aca="false">IF(B1181&gt;=5,AVERAGE(C1177:C1180),"")</f>
        <v>156.75</v>
      </c>
      <c r="F1181" s="33" t="n">
        <f aca="false">IF(B1181&gt;=9,AVERAGE(C1173:C1180),"")</f>
        <v>158.875</v>
      </c>
      <c r="G1181" s="33" t="n">
        <f aca="false">IF(B1181=1,"",IF(B1181=2,C1180,SES_Alpha*C1180+(1-SES_Alpha)*G1180))</f>
        <v>161.321093224173</v>
      </c>
      <c r="H1181" s="33" t="n">
        <f aca="false">IF(D1181="","",D1181-C1181)</f>
        <v>37</v>
      </c>
      <c r="I1181" s="33" t="n">
        <f aca="false">IF(E1181="","",E1181-C1181)</f>
        <v>16.75</v>
      </c>
      <c r="J1181" s="33" t="n">
        <f aca="false">IF(F1181="","",F1181-C1181)</f>
        <v>18.875</v>
      </c>
      <c r="K1181" s="33" t="n">
        <f aca="false">IF(G1181="","",G1181-C1181)</f>
        <v>21.3210932241728</v>
      </c>
      <c r="L1181" s="33" t="n">
        <f aca="false">IF(H1181="","",ABS(H1181))</f>
        <v>37</v>
      </c>
      <c r="M1181" s="33" t="n">
        <f aca="false">IF(I1181="","",ABS(I1181))</f>
        <v>16.75</v>
      </c>
      <c r="N1181" s="33" t="n">
        <f aca="false">IF(J1181="","",ABS(J1181))</f>
        <v>18.875</v>
      </c>
      <c r="O1181" s="33" t="n">
        <f aca="false">IF(K1181="","",ABS(K1181))</f>
        <v>21.3210932241728</v>
      </c>
      <c r="P1181" s="34" t="str">
        <f aca="false">IF(B1181&gt;=Eval_Start_Week,"YES","")</f>
        <v/>
      </c>
      <c r="Q1181" s="34" t="str">
        <f aca="false">IF(AND(B1181&gt;=Cal_Start_Week,B1181&lt;=Cal_End_Week),"YES","")</f>
        <v/>
      </c>
    </row>
    <row r="1182" customFormat="false" ht="15" hidden="false" customHeight="false" outlineLevel="0" collapsed="false">
      <c r="A1182" s="31" t="str">
        <f aca="false">Demand_History!C1182</f>
        <v>BTH-002</v>
      </c>
      <c r="B1182" s="31" t="n">
        <f aca="false">Demand_History!A1182</f>
        <v>37</v>
      </c>
      <c r="C1182" s="32" t="n">
        <f aca="false">Demand_History!D1182</f>
        <v>159</v>
      </c>
      <c r="D1182" s="33" t="n">
        <f aca="false">IF(B1182&gt;=2,C1181,"")</f>
        <v>140</v>
      </c>
      <c r="E1182" s="33" t="n">
        <f aca="false">IF(B1182&gt;=5,AVERAGE(C1178:C1181),"")</f>
        <v>158</v>
      </c>
      <c r="F1182" s="33" t="n">
        <f aca="false">IF(B1182&gt;=9,AVERAGE(C1174:C1181),"")</f>
        <v>158.25</v>
      </c>
      <c r="G1182" s="33" t="n">
        <f aca="false">IF(B1182=1,"",IF(B1182=2,C1181,SES_Alpha*C1181+(1-SES_Alpha)*G1181))</f>
        <v>154.924765256921</v>
      </c>
      <c r="H1182" s="33" t="n">
        <f aca="false">IF(D1182="","",D1182-C1182)</f>
        <v>-19</v>
      </c>
      <c r="I1182" s="33" t="n">
        <f aca="false">IF(E1182="","",E1182-C1182)</f>
        <v>-1</v>
      </c>
      <c r="J1182" s="33" t="n">
        <f aca="false">IF(F1182="","",F1182-C1182)</f>
        <v>-0.75</v>
      </c>
      <c r="K1182" s="33" t="n">
        <f aca="false">IF(G1182="","",G1182-C1182)</f>
        <v>-4.07523474307902</v>
      </c>
      <c r="L1182" s="33" t="n">
        <f aca="false">IF(H1182="","",ABS(H1182))</f>
        <v>19</v>
      </c>
      <c r="M1182" s="33" t="n">
        <f aca="false">IF(I1182="","",ABS(I1182))</f>
        <v>1</v>
      </c>
      <c r="N1182" s="33" t="n">
        <f aca="false">IF(J1182="","",ABS(J1182))</f>
        <v>0.75</v>
      </c>
      <c r="O1182" s="33" t="n">
        <f aca="false">IF(K1182="","",ABS(K1182))</f>
        <v>4.07523474307902</v>
      </c>
      <c r="P1182" s="34" t="str">
        <f aca="false">IF(B1182&gt;=Eval_Start_Week,"YES","")</f>
        <v/>
      </c>
      <c r="Q1182" s="34" t="str">
        <f aca="false">IF(AND(B1182&gt;=Cal_Start_Week,B1182&lt;=Cal_End_Week),"YES","")</f>
        <v>YES</v>
      </c>
    </row>
    <row r="1183" customFormat="false" ht="15" hidden="false" customHeight="false" outlineLevel="0" collapsed="false">
      <c r="A1183" s="31" t="str">
        <f aca="false">Demand_History!C1183</f>
        <v>BTH-002</v>
      </c>
      <c r="B1183" s="31" t="n">
        <f aca="false">Demand_History!A1183</f>
        <v>38</v>
      </c>
      <c r="C1183" s="32" t="n">
        <f aca="false">Demand_History!D1183</f>
        <v>155</v>
      </c>
      <c r="D1183" s="33" t="n">
        <f aca="false">IF(B1183&gt;=2,C1182,"")</f>
        <v>159</v>
      </c>
      <c r="E1183" s="33" t="n">
        <f aca="false">IF(B1183&gt;=5,AVERAGE(C1179:C1182),"")</f>
        <v>159</v>
      </c>
      <c r="F1183" s="33" t="n">
        <f aca="false">IF(B1183&gt;=9,AVERAGE(C1175:C1182),"")</f>
        <v>155.375</v>
      </c>
      <c r="G1183" s="33" t="n">
        <f aca="false">IF(B1183=1,"",IF(B1183=2,C1182,SES_Alpha*C1182+(1-SES_Alpha)*G1182))</f>
        <v>156.147335679845</v>
      </c>
      <c r="H1183" s="33" t="n">
        <f aca="false">IF(D1183="","",D1183-C1183)</f>
        <v>4</v>
      </c>
      <c r="I1183" s="33" t="n">
        <f aca="false">IF(E1183="","",E1183-C1183)</f>
        <v>4</v>
      </c>
      <c r="J1183" s="33" t="n">
        <f aca="false">IF(F1183="","",F1183-C1183)</f>
        <v>0.375</v>
      </c>
      <c r="K1183" s="33" t="n">
        <f aca="false">IF(G1183="","",G1183-C1183)</f>
        <v>1.14733567984467</v>
      </c>
      <c r="L1183" s="33" t="n">
        <f aca="false">IF(H1183="","",ABS(H1183))</f>
        <v>4</v>
      </c>
      <c r="M1183" s="33" t="n">
        <f aca="false">IF(I1183="","",ABS(I1183))</f>
        <v>4</v>
      </c>
      <c r="N1183" s="33" t="n">
        <f aca="false">IF(J1183="","",ABS(J1183))</f>
        <v>0.375</v>
      </c>
      <c r="O1183" s="33" t="n">
        <f aca="false">IF(K1183="","",ABS(K1183))</f>
        <v>1.14733567984467</v>
      </c>
      <c r="P1183" s="34" t="str">
        <f aca="false">IF(B1183&gt;=Eval_Start_Week,"YES","")</f>
        <v/>
      </c>
      <c r="Q1183" s="34" t="str">
        <f aca="false">IF(AND(B1183&gt;=Cal_Start_Week,B1183&lt;=Cal_End_Week),"YES","")</f>
        <v>YES</v>
      </c>
    </row>
    <row r="1184" customFormat="false" ht="15" hidden="false" customHeight="false" outlineLevel="0" collapsed="false">
      <c r="A1184" s="31" t="str">
        <f aca="false">Demand_History!C1184</f>
        <v>BTH-002</v>
      </c>
      <c r="B1184" s="31" t="n">
        <f aca="false">Demand_History!A1184</f>
        <v>39</v>
      </c>
      <c r="C1184" s="32" t="n">
        <f aca="false">Demand_History!D1184</f>
        <v>135</v>
      </c>
      <c r="D1184" s="33" t="n">
        <f aca="false">IF(B1184&gt;=2,C1183,"")</f>
        <v>155</v>
      </c>
      <c r="E1184" s="33" t="n">
        <f aca="false">IF(B1184&gt;=5,AVERAGE(C1180:C1183),"")</f>
        <v>157.75</v>
      </c>
      <c r="F1184" s="33" t="n">
        <f aca="false">IF(B1184&gt;=9,AVERAGE(C1176:C1183),"")</f>
        <v>155.625</v>
      </c>
      <c r="G1184" s="33" t="n">
        <f aca="false">IF(B1184=1,"",IF(B1184=2,C1183,SES_Alpha*C1183+(1-SES_Alpha)*G1183))</f>
        <v>155.803134975891</v>
      </c>
      <c r="H1184" s="33" t="n">
        <f aca="false">IF(D1184="","",D1184-C1184)</f>
        <v>20</v>
      </c>
      <c r="I1184" s="33" t="n">
        <f aca="false">IF(E1184="","",E1184-C1184)</f>
        <v>22.75</v>
      </c>
      <c r="J1184" s="33" t="n">
        <f aca="false">IF(F1184="","",F1184-C1184)</f>
        <v>20.625</v>
      </c>
      <c r="K1184" s="33" t="n">
        <f aca="false">IF(G1184="","",G1184-C1184)</f>
        <v>20.8031349758913</v>
      </c>
      <c r="L1184" s="33" t="n">
        <f aca="false">IF(H1184="","",ABS(H1184))</f>
        <v>20</v>
      </c>
      <c r="M1184" s="33" t="n">
        <f aca="false">IF(I1184="","",ABS(I1184))</f>
        <v>22.75</v>
      </c>
      <c r="N1184" s="33" t="n">
        <f aca="false">IF(J1184="","",ABS(J1184))</f>
        <v>20.625</v>
      </c>
      <c r="O1184" s="33" t="n">
        <f aca="false">IF(K1184="","",ABS(K1184))</f>
        <v>20.8031349758913</v>
      </c>
      <c r="P1184" s="34" t="str">
        <f aca="false">IF(B1184&gt;=Eval_Start_Week,"YES","")</f>
        <v/>
      </c>
      <c r="Q1184" s="34" t="str">
        <f aca="false">IF(AND(B1184&gt;=Cal_Start_Week,B1184&lt;=Cal_End_Week),"YES","")</f>
        <v>YES</v>
      </c>
    </row>
    <row r="1185" customFormat="false" ht="15" hidden="false" customHeight="false" outlineLevel="0" collapsed="false">
      <c r="A1185" s="31" t="str">
        <f aca="false">Demand_History!C1185</f>
        <v>BTH-002</v>
      </c>
      <c r="B1185" s="31" t="n">
        <f aca="false">Demand_History!A1185</f>
        <v>40</v>
      </c>
      <c r="C1185" s="32" t="n">
        <f aca="false">Demand_History!D1185</f>
        <v>150</v>
      </c>
      <c r="D1185" s="33" t="n">
        <f aca="false">IF(B1185&gt;=2,C1184,"")</f>
        <v>135</v>
      </c>
      <c r="E1185" s="33" t="n">
        <f aca="false">IF(B1185&gt;=5,AVERAGE(C1181:C1184),"")</f>
        <v>147.25</v>
      </c>
      <c r="F1185" s="33" t="n">
        <f aca="false">IF(B1185&gt;=9,AVERAGE(C1177:C1184),"")</f>
        <v>152</v>
      </c>
      <c r="G1185" s="33" t="n">
        <f aca="false">IF(B1185=1,"",IF(B1185=2,C1184,SES_Alpha*C1184+(1-SES_Alpha)*G1184))</f>
        <v>149.562194483124</v>
      </c>
      <c r="H1185" s="33" t="n">
        <f aca="false">IF(D1185="","",D1185-C1185)</f>
        <v>-15</v>
      </c>
      <c r="I1185" s="33" t="n">
        <f aca="false">IF(E1185="","",E1185-C1185)</f>
        <v>-2.75</v>
      </c>
      <c r="J1185" s="33" t="n">
        <f aca="false">IF(F1185="","",F1185-C1185)</f>
        <v>2</v>
      </c>
      <c r="K1185" s="33" t="n">
        <f aca="false">IF(G1185="","",G1185-C1185)</f>
        <v>-0.437805516876097</v>
      </c>
      <c r="L1185" s="33" t="n">
        <f aca="false">IF(H1185="","",ABS(H1185))</f>
        <v>15</v>
      </c>
      <c r="M1185" s="33" t="n">
        <f aca="false">IF(I1185="","",ABS(I1185))</f>
        <v>2.75</v>
      </c>
      <c r="N1185" s="33" t="n">
        <f aca="false">IF(J1185="","",ABS(J1185))</f>
        <v>2</v>
      </c>
      <c r="O1185" s="33" t="n">
        <f aca="false">IF(K1185="","",ABS(K1185))</f>
        <v>0.437805516876097</v>
      </c>
      <c r="P1185" s="34" t="str">
        <f aca="false">IF(B1185&gt;=Eval_Start_Week,"YES","")</f>
        <v/>
      </c>
      <c r="Q1185" s="34" t="str">
        <f aca="false">IF(AND(B1185&gt;=Cal_Start_Week,B1185&lt;=Cal_End_Week),"YES","")</f>
        <v>YES</v>
      </c>
    </row>
    <row r="1186" customFormat="false" ht="15" hidden="false" customHeight="false" outlineLevel="0" collapsed="false">
      <c r="A1186" s="31" t="str">
        <f aca="false">Demand_History!C1186</f>
        <v>BTH-002</v>
      </c>
      <c r="B1186" s="31" t="n">
        <f aca="false">Demand_History!A1186</f>
        <v>41</v>
      </c>
      <c r="C1186" s="32" t="n">
        <f aca="false">Demand_History!D1186</f>
        <v>146</v>
      </c>
      <c r="D1186" s="33" t="n">
        <f aca="false">IF(B1186&gt;=2,C1185,"")</f>
        <v>150</v>
      </c>
      <c r="E1186" s="33" t="n">
        <f aca="false">IF(B1186&gt;=5,AVERAGE(C1182:C1185),"")</f>
        <v>149.75</v>
      </c>
      <c r="F1186" s="33" t="n">
        <f aca="false">IF(B1186&gt;=9,AVERAGE(C1178:C1185),"")</f>
        <v>153.875</v>
      </c>
      <c r="G1186" s="33" t="n">
        <f aca="false">IF(B1186=1,"",IF(B1186=2,C1185,SES_Alpha*C1185+(1-SES_Alpha)*G1185))</f>
        <v>149.693536138187</v>
      </c>
      <c r="H1186" s="33" t="n">
        <f aca="false">IF(D1186="","",D1186-C1186)</f>
        <v>4</v>
      </c>
      <c r="I1186" s="33" t="n">
        <f aca="false">IF(E1186="","",E1186-C1186)</f>
        <v>3.75</v>
      </c>
      <c r="J1186" s="33" t="n">
        <f aca="false">IF(F1186="","",F1186-C1186)</f>
        <v>7.875</v>
      </c>
      <c r="K1186" s="33" t="n">
        <f aca="false">IF(G1186="","",G1186-C1186)</f>
        <v>3.69353613818674</v>
      </c>
      <c r="L1186" s="33" t="n">
        <f aca="false">IF(H1186="","",ABS(H1186))</f>
        <v>4</v>
      </c>
      <c r="M1186" s="33" t="n">
        <f aca="false">IF(I1186="","",ABS(I1186))</f>
        <v>3.75</v>
      </c>
      <c r="N1186" s="33" t="n">
        <f aca="false">IF(J1186="","",ABS(J1186))</f>
        <v>7.875</v>
      </c>
      <c r="O1186" s="33" t="n">
        <f aca="false">IF(K1186="","",ABS(K1186))</f>
        <v>3.69353613818674</v>
      </c>
      <c r="P1186" s="34" t="str">
        <f aca="false">IF(B1186&gt;=Eval_Start_Week,"YES","")</f>
        <v/>
      </c>
      <c r="Q1186" s="34" t="str">
        <f aca="false">IF(AND(B1186&gt;=Cal_Start_Week,B1186&lt;=Cal_End_Week),"YES","")</f>
        <v>YES</v>
      </c>
    </row>
    <row r="1187" customFormat="false" ht="15" hidden="false" customHeight="false" outlineLevel="0" collapsed="false">
      <c r="A1187" s="31" t="str">
        <f aca="false">Demand_History!C1187</f>
        <v>BTH-002</v>
      </c>
      <c r="B1187" s="31" t="n">
        <f aca="false">Demand_History!A1187</f>
        <v>42</v>
      </c>
      <c r="C1187" s="32" t="n">
        <f aca="false">Demand_History!D1187</f>
        <v>115</v>
      </c>
      <c r="D1187" s="33" t="n">
        <f aca="false">IF(B1187&gt;=2,C1186,"")</f>
        <v>146</v>
      </c>
      <c r="E1187" s="33" t="n">
        <f aca="false">IF(B1187&gt;=5,AVERAGE(C1183:C1186),"")</f>
        <v>146.5</v>
      </c>
      <c r="F1187" s="33" t="n">
        <f aca="false">IF(B1187&gt;=9,AVERAGE(C1179:C1186),"")</f>
        <v>152.75</v>
      </c>
      <c r="G1187" s="33" t="n">
        <f aca="false">IF(B1187=1,"",IF(B1187=2,C1186,SES_Alpha*C1186+(1-SES_Alpha)*G1186))</f>
        <v>148.585475296731</v>
      </c>
      <c r="H1187" s="33" t="n">
        <f aca="false">IF(D1187="","",D1187-C1187)</f>
        <v>31</v>
      </c>
      <c r="I1187" s="33" t="n">
        <f aca="false">IF(E1187="","",E1187-C1187)</f>
        <v>31.5</v>
      </c>
      <c r="J1187" s="33" t="n">
        <f aca="false">IF(F1187="","",F1187-C1187)</f>
        <v>37.75</v>
      </c>
      <c r="K1187" s="33" t="n">
        <f aca="false">IF(G1187="","",G1187-C1187)</f>
        <v>33.5854752967307</v>
      </c>
      <c r="L1187" s="33" t="n">
        <f aca="false">IF(H1187="","",ABS(H1187))</f>
        <v>31</v>
      </c>
      <c r="M1187" s="33" t="n">
        <f aca="false">IF(I1187="","",ABS(I1187))</f>
        <v>31.5</v>
      </c>
      <c r="N1187" s="33" t="n">
        <f aca="false">IF(J1187="","",ABS(J1187))</f>
        <v>37.75</v>
      </c>
      <c r="O1187" s="33" t="n">
        <f aca="false">IF(K1187="","",ABS(K1187))</f>
        <v>33.5854752967307</v>
      </c>
      <c r="P1187" s="34" t="str">
        <f aca="false">IF(B1187&gt;=Eval_Start_Week,"YES","")</f>
        <v/>
      </c>
      <c r="Q1187" s="34" t="str">
        <f aca="false">IF(AND(B1187&gt;=Cal_Start_Week,B1187&lt;=Cal_End_Week),"YES","")</f>
        <v>YES</v>
      </c>
    </row>
    <row r="1188" customFormat="false" ht="15" hidden="false" customHeight="false" outlineLevel="0" collapsed="false">
      <c r="A1188" s="31" t="str">
        <f aca="false">Demand_History!C1188</f>
        <v>BTH-002</v>
      </c>
      <c r="B1188" s="31" t="n">
        <f aca="false">Demand_History!A1188</f>
        <v>43</v>
      </c>
      <c r="C1188" s="32" t="n">
        <f aca="false">Demand_History!D1188</f>
        <v>159</v>
      </c>
      <c r="D1188" s="33" t="n">
        <f aca="false">IF(B1188&gt;=2,C1187,"")</f>
        <v>115</v>
      </c>
      <c r="E1188" s="33" t="n">
        <f aca="false">IF(B1188&gt;=5,AVERAGE(C1184:C1187),"")</f>
        <v>136.5</v>
      </c>
      <c r="F1188" s="33" t="n">
        <f aca="false">IF(B1188&gt;=9,AVERAGE(C1180:C1187),"")</f>
        <v>147.125</v>
      </c>
      <c r="G1188" s="33" t="n">
        <f aca="false">IF(B1188=1,"",IF(B1188=2,C1187,SES_Alpha*C1187+(1-SES_Alpha)*G1187))</f>
        <v>138.509832707712</v>
      </c>
      <c r="H1188" s="33" t="n">
        <f aca="false">IF(D1188="","",D1188-C1188)</f>
        <v>-44</v>
      </c>
      <c r="I1188" s="33" t="n">
        <f aca="false">IF(E1188="","",E1188-C1188)</f>
        <v>-22.5</v>
      </c>
      <c r="J1188" s="33" t="n">
        <f aca="false">IF(F1188="","",F1188-C1188)</f>
        <v>-11.875</v>
      </c>
      <c r="K1188" s="33" t="n">
        <f aca="false">IF(G1188="","",G1188-C1188)</f>
        <v>-20.4901672922885</v>
      </c>
      <c r="L1188" s="33" t="n">
        <f aca="false">IF(H1188="","",ABS(H1188))</f>
        <v>44</v>
      </c>
      <c r="M1188" s="33" t="n">
        <f aca="false">IF(I1188="","",ABS(I1188))</f>
        <v>22.5</v>
      </c>
      <c r="N1188" s="33" t="n">
        <f aca="false">IF(J1188="","",ABS(J1188))</f>
        <v>11.875</v>
      </c>
      <c r="O1188" s="33" t="n">
        <f aca="false">IF(K1188="","",ABS(K1188))</f>
        <v>20.4901672922885</v>
      </c>
      <c r="P1188" s="34" t="str">
        <f aca="false">IF(B1188&gt;=Eval_Start_Week,"YES","")</f>
        <v/>
      </c>
      <c r="Q1188" s="34" t="str">
        <f aca="false">IF(AND(B1188&gt;=Cal_Start_Week,B1188&lt;=Cal_End_Week),"YES","")</f>
        <v>YES</v>
      </c>
    </row>
    <row r="1189" customFormat="false" ht="15" hidden="false" customHeight="false" outlineLevel="0" collapsed="false">
      <c r="A1189" s="31" t="str">
        <f aca="false">Demand_History!C1189</f>
        <v>BTH-002</v>
      </c>
      <c r="B1189" s="31" t="n">
        <f aca="false">Demand_History!A1189</f>
        <v>44</v>
      </c>
      <c r="C1189" s="32" t="n">
        <f aca="false">Demand_History!D1189</f>
        <v>158</v>
      </c>
      <c r="D1189" s="33" t="n">
        <f aca="false">IF(B1189&gt;=2,C1188,"")</f>
        <v>159</v>
      </c>
      <c r="E1189" s="33" t="n">
        <f aca="false">IF(B1189&gt;=5,AVERAGE(C1185:C1188),"")</f>
        <v>142.5</v>
      </c>
      <c r="F1189" s="33" t="n">
        <f aca="false">IF(B1189&gt;=9,AVERAGE(C1181:C1188),"")</f>
        <v>144.875</v>
      </c>
      <c r="G1189" s="33" t="n">
        <f aca="false">IF(B1189=1,"",IF(B1189=2,C1188,SES_Alpha*C1188+(1-SES_Alpha)*G1188))</f>
        <v>144.656882895398</v>
      </c>
      <c r="H1189" s="33" t="n">
        <f aca="false">IF(D1189="","",D1189-C1189)</f>
        <v>1</v>
      </c>
      <c r="I1189" s="33" t="n">
        <f aca="false">IF(E1189="","",E1189-C1189)</f>
        <v>-15.5</v>
      </c>
      <c r="J1189" s="33" t="n">
        <f aca="false">IF(F1189="","",F1189-C1189)</f>
        <v>-13.125</v>
      </c>
      <c r="K1189" s="33" t="n">
        <f aca="false">IF(G1189="","",G1189-C1189)</f>
        <v>-13.343117104602</v>
      </c>
      <c r="L1189" s="33" t="n">
        <f aca="false">IF(H1189="","",ABS(H1189))</f>
        <v>1</v>
      </c>
      <c r="M1189" s="33" t="n">
        <f aca="false">IF(I1189="","",ABS(I1189))</f>
        <v>15.5</v>
      </c>
      <c r="N1189" s="33" t="n">
        <f aca="false">IF(J1189="","",ABS(J1189))</f>
        <v>13.125</v>
      </c>
      <c r="O1189" s="33" t="n">
        <f aca="false">IF(K1189="","",ABS(K1189))</f>
        <v>13.343117104602</v>
      </c>
      <c r="P1189" s="34" t="str">
        <f aca="false">IF(B1189&gt;=Eval_Start_Week,"YES","")</f>
        <v/>
      </c>
      <c r="Q1189" s="34" t="str">
        <f aca="false">IF(AND(B1189&gt;=Cal_Start_Week,B1189&lt;=Cal_End_Week),"YES","")</f>
        <v>YES</v>
      </c>
    </row>
    <row r="1190" customFormat="false" ht="15" hidden="false" customHeight="false" outlineLevel="0" collapsed="false">
      <c r="A1190" s="31" t="str">
        <f aca="false">Demand_History!C1190</f>
        <v>BTH-002</v>
      </c>
      <c r="B1190" s="31" t="n">
        <f aca="false">Demand_History!A1190</f>
        <v>45</v>
      </c>
      <c r="C1190" s="32" t="n">
        <f aca="false">Demand_History!D1190</f>
        <v>143</v>
      </c>
      <c r="D1190" s="33" t="n">
        <f aca="false">IF(B1190&gt;=2,C1189,"")</f>
        <v>158</v>
      </c>
      <c r="E1190" s="33" t="n">
        <f aca="false">IF(B1190&gt;=5,AVERAGE(C1186:C1189),"")</f>
        <v>144.5</v>
      </c>
      <c r="F1190" s="33" t="n">
        <f aca="false">IF(B1190&gt;=9,AVERAGE(C1182:C1189),"")</f>
        <v>147.125</v>
      </c>
      <c r="G1190" s="33" t="n">
        <f aca="false">IF(B1190=1,"",IF(B1190=2,C1189,SES_Alpha*C1189+(1-SES_Alpha)*G1189))</f>
        <v>148.659818026779</v>
      </c>
      <c r="H1190" s="33" t="n">
        <f aca="false">IF(D1190="","",D1190-C1190)</f>
        <v>15</v>
      </c>
      <c r="I1190" s="33" t="n">
        <f aca="false">IF(E1190="","",E1190-C1190)</f>
        <v>1.5</v>
      </c>
      <c r="J1190" s="33" t="n">
        <f aca="false">IF(F1190="","",F1190-C1190)</f>
        <v>4.125</v>
      </c>
      <c r="K1190" s="33" t="n">
        <f aca="false">IF(G1190="","",G1190-C1190)</f>
        <v>5.65981802677862</v>
      </c>
      <c r="L1190" s="33" t="n">
        <f aca="false">IF(H1190="","",ABS(H1190))</f>
        <v>15</v>
      </c>
      <c r="M1190" s="33" t="n">
        <f aca="false">IF(I1190="","",ABS(I1190))</f>
        <v>1.5</v>
      </c>
      <c r="N1190" s="33" t="n">
        <f aca="false">IF(J1190="","",ABS(J1190))</f>
        <v>4.125</v>
      </c>
      <c r="O1190" s="33" t="n">
        <f aca="false">IF(K1190="","",ABS(K1190))</f>
        <v>5.65981802677862</v>
      </c>
      <c r="P1190" s="34" t="str">
        <f aca="false">IF(B1190&gt;=Eval_Start_Week,"YES","")</f>
        <v/>
      </c>
      <c r="Q1190" s="34" t="str">
        <f aca="false">IF(AND(B1190&gt;=Cal_Start_Week,B1190&lt;=Cal_End_Week),"YES","")</f>
        <v>YES</v>
      </c>
    </row>
    <row r="1191" customFormat="false" ht="15" hidden="false" customHeight="false" outlineLevel="0" collapsed="false">
      <c r="A1191" s="31" t="str">
        <f aca="false">Demand_History!C1191</f>
        <v>BTH-002</v>
      </c>
      <c r="B1191" s="31" t="n">
        <f aca="false">Demand_History!A1191</f>
        <v>46</v>
      </c>
      <c r="C1191" s="32" t="n">
        <f aca="false">Demand_History!D1191</f>
        <v>130</v>
      </c>
      <c r="D1191" s="33" t="n">
        <f aca="false">IF(B1191&gt;=2,C1190,"")</f>
        <v>143</v>
      </c>
      <c r="E1191" s="33" t="n">
        <f aca="false">IF(B1191&gt;=5,AVERAGE(C1187:C1190),"")</f>
        <v>143.75</v>
      </c>
      <c r="F1191" s="33" t="n">
        <f aca="false">IF(B1191&gt;=9,AVERAGE(C1183:C1190),"")</f>
        <v>145.125</v>
      </c>
      <c r="G1191" s="33" t="n">
        <f aca="false">IF(B1191=1,"",IF(B1191=2,C1190,SES_Alpha*C1190+(1-SES_Alpha)*G1190))</f>
        <v>146.961872618745</v>
      </c>
      <c r="H1191" s="33" t="n">
        <f aca="false">IF(D1191="","",D1191-C1191)</f>
        <v>13</v>
      </c>
      <c r="I1191" s="33" t="n">
        <f aca="false">IF(E1191="","",E1191-C1191)</f>
        <v>13.75</v>
      </c>
      <c r="J1191" s="33" t="n">
        <f aca="false">IF(F1191="","",F1191-C1191)</f>
        <v>15.125</v>
      </c>
      <c r="K1191" s="33" t="n">
        <f aca="false">IF(G1191="","",G1191-C1191)</f>
        <v>16.961872618745</v>
      </c>
      <c r="L1191" s="33" t="n">
        <f aca="false">IF(H1191="","",ABS(H1191))</f>
        <v>13</v>
      </c>
      <c r="M1191" s="33" t="n">
        <f aca="false">IF(I1191="","",ABS(I1191))</f>
        <v>13.75</v>
      </c>
      <c r="N1191" s="33" t="n">
        <f aca="false">IF(J1191="","",ABS(J1191))</f>
        <v>15.125</v>
      </c>
      <c r="O1191" s="33" t="n">
        <f aca="false">IF(K1191="","",ABS(K1191))</f>
        <v>16.961872618745</v>
      </c>
      <c r="P1191" s="34" t="str">
        <f aca="false">IF(B1191&gt;=Eval_Start_Week,"YES","")</f>
        <v/>
      </c>
      <c r="Q1191" s="34" t="str">
        <f aca="false">IF(AND(B1191&gt;=Cal_Start_Week,B1191&lt;=Cal_End_Week),"YES","")</f>
        <v>YES</v>
      </c>
    </row>
    <row r="1192" customFormat="false" ht="15" hidden="false" customHeight="false" outlineLevel="0" collapsed="false">
      <c r="A1192" s="31" t="str">
        <f aca="false">Demand_History!C1192</f>
        <v>BTH-002</v>
      </c>
      <c r="B1192" s="31" t="n">
        <f aca="false">Demand_History!A1192</f>
        <v>47</v>
      </c>
      <c r="C1192" s="32" t="n">
        <f aca="false">Demand_History!D1192</f>
        <v>172</v>
      </c>
      <c r="D1192" s="33" t="n">
        <f aca="false">IF(B1192&gt;=2,C1191,"")</f>
        <v>130</v>
      </c>
      <c r="E1192" s="33" t="n">
        <f aca="false">IF(B1192&gt;=5,AVERAGE(C1188:C1191),"")</f>
        <v>147.5</v>
      </c>
      <c r="F1192" s="33" t="n">
        <f aca="false">IF(B1192&gt;=9,AVERAGE(C1184:C1191),"")</f>
        <v>142</v>
      </c>
      <c r="G1192" s="33" t="n">
        <f aca="false">IF(B1192=1,"",IF(B1192=2,C1191,SES_Alpha*C1191+(1-SES_Alpha)*G1191))</f>
        <v>141.873310833122</v>
      </c>
      <c r="H1192" s="33" t="n">
        <f aca="false">IF(D1192="","",D1192-C1192)</f>
        <v>-42</v>
      </c>
      <c r="I1192" s="33" t="n">
        <f aca="false">IF(E1192="","",E1192-C1192)</f>
        <v>-24.5</v>
      </c>
      <c r="J1192" s="33" t="n">
        <f aca="false">IF(F1192="","",F1192-C1192)</f>
        <v>-30</v>
      </c>
      <c r="K1192" s="33" t="n">
        <f aca="false">IF(G1192="","",G1192-C1192)</f>
        <v>-30.1266891668785</v>
      </c>
      <c r="L1192" s="33" t="n">
        <f aca="false">IF(H1192="","",ABS(H1192))</f>
        <v>42</v>
      </c>
      <c r="M1192" s="33" t="n">
        <f aca="false">IF(I1192="","",ABS(I1192))</f>
        <v>24.5</v>
      </c>
      <c r="N1192" s="33" t="n">
        <f aca="false">IF(J1192="","",ABS(J1192))</f>
        <v>30</v>
      </c>
      <c r="O1192" s="33" t="n">
        <f aca="false">IF(K1192="","",ABS(K1192))</f>
        <v>30.1266891668785</v>
      </c>
      <c r="P1192" s="34" t="str">
        <f aca="false">IF(B1192&gt;=Eval_Start_Week,"YES","")</f>
        <v/>
      </c>
      <c r="Q1192" s="34" t="str">
        <f aca="false">IF(AND(B1192&gt;=Cal_Start_Week,B1192&lt;=Cal_End_Week),"YES","")</f>
        <v>YES</v>
      </c>
    </row>
    <row r="1193" customFormat="false" ht="15" hidden="false" customHeight="false" outlineLevel="0" collapsed="false">
      <c r="A1193" s="31" t="str">
        <f aca="false">Demand_History!C1193</f>
        <v>BTH-002</v>
      </c>
      <c r="B1193" s="31" t="n">
        <f aca="false">Demand_History!A1193</f>
        <v>48</v>
      </c>
      <c r="C1193" s="32" t="n">
        <f aca="false">Demand_History!D1193</f>
        <v>154</v>
      </c>
      <c r="D1193" s="33" t="n">
        <f aca="false">IF(B1193&gt;=2,C1192,"")</f>
        <v>172</v>
      </c>
      <c r="E1193" s="33" t="n">
        <f aca="false">IF(B1193&gt;=5,AVERAGE(C1189:C1192),"")</f>
        <v>150.75</v>
      </c>
      <c r="F1193" s="33" t="n">
        <f aca="false">IF(B1193&gt;=9,AVERAGE(C1185:C1192),"")</f>
        <v>146.625</v>
      </c>
      <c r="G1193" s="33" t="n">
        <f aca="false">IF(B1193=1,"",IF(B1193=2,C1192,SES_Alpha*C1192+(1-SES_Alpha)*G1192))</f>
        <v>150.911317583185</v>
      </c>
      <c r="H1193" s="33" t="n">
        <f aca="false">IF(D1193="","",D1193-C1193)</f>
        <v>18</v>
      </c>
      <c r="I1193" s="33" t="n">
        <f aca="false">IF(E1193="","",E1193-C1193)</f>
        <v>-3.25</v>
      </c>
      <c r="J1193" s="33" t="n">
        <f aca="false">IF(F1193="","",F1193-C1193)</f>
        <v>-7.375</v>
      </c>
      <c r="K1193" s="33" t="n">
        <f aca="false">IF(G1193="","",G1193-C1193)</f>
        <v>-3.08868241681495</v>
      </c>
      <c r="L1193" s="33" t="n">
        <f aca="false">IF(H1193="","",ABS(H1193))</f>
        <v>18</v>
      </c>
      <c r="M1193" s="33" t="n">
        <f aca="false">IF(I1193="","",ABS(I1193))</f>
        <v>3.25</v>
      </c>
      <c r="N1193" s="33" t="n">
        <f aca="false">IF(J1193="","",ABS(J1193))</f>
        <v>7.375</v>
      </c>
      <c r="O1193" s="33" t="n">
        <f aca="false">IF(K1193="","",ABS(K1193))</f>
        <v>3.08868241681495</v>
      </c>
      <c r="P1193" s="34" t="str">
        <f aca="false">IF(B1193&gt;=Eval_Start_Week,"YES","")</f>
        <v/>
      </c>
      <c r="Q1193" s="34" t="str">
        <f aca="false">IF(AND(B1193&gt;=Cal_Start_Week,B1193&lt;=Cal_End_Week),"YES","")</f>
        <v>YES</v>
      </c>
    </row>
    <row r="1194" customFormat="false" ht="15" hidden="false" customHeight="false" outlineLevel="0" collapsed="false">
      <c r="A1194" s="31" t="str">
        <f aca="false">Demand_History!C1194</f>
        <v>BTH-002</v>
      </c>
      <c r="B1194" s="31" t="n">
        <f aca="false">Demand_History!A1194</f>
        <v>49</v>
      </c>
      <c r="C1194" s="32" t="n">
        <f aca="false">Demand_History!D1194</f>
        <v>165</v>
      </c>
      <c r="D1194" s="33" t="n">
        <f aca="false">IF(B1194&gt;=2,C1193,"")</f>
        <v>154</v>
      </c>
      <c r="E1194" s="33" t="n">
        <f aca="false">IF(B1194&gt;=5,AVERAGE(C1190:C1193),"")</f>
        <v>149.75</v>
      </c>
      <c r="F1194" s="33" t="n">
        <f aca="false">IF(B1194&gt;=9,AVERAGE(C1186:C1193),"")</f>
        <v>147.125</v>
      </c>
      <c r="G1194" s="33" t="n">
        <f aca="false">IF(B1194=1,"",IF(B1194=2,C1193,SES_Alpha*C1193+(1-SES_Alpha)*G1193))</f>
        <v>151.83792230823</v>
      </c>
      <c r="H1194" s="33" t="n">
        <f aca="false">IF(D1194="","",D1194-C1194)</f>
        <v>-11</v>
      </c>
      <c r="I1194" s="33" t="n">
        <f aca="false">IF(E1194="","",E1194-C1194)</f>
        <v>-15.25</v>
      </c>
      <c r="J1194" s="33" t="n">
        <f aca="false">IF(F1194="","",F1194-C1194)</f>
        <v>-17.875</v>
      </c>
      <c r="K1194" s="33" t="n">
        <f aca="false">IF(G1194="","",G1194-C1194)</f>
        <v>-13.1620776917705</v>
      </c>
      <c r="L1194" s="33" t="n">
        <f aca="false">IF(H1194="","",ABS(H1194))</f>
        <v>11</v>
      </c>
      <c r="M1194" s="33" t="n">
        <f aca="false">IF(I1194="","",ABS(I1194))</f>
        <v>15.25</v>
      </c>
      <c r="N1194" s="33" t="n">
        <f aca="false">IF(J1194="","",ABS(J1194))</f>
        <v>17.875</v>
      </c>
      <c r="O1194" s="33" t="n">
        <f aca="false">IF(K1194="","",ABS(K1194))</f>
        <v>13.1620776917705</v>
      </c>
      <c r="P1194" s="34" t="str">
        <f aca="false">IF(B1194&gt;=Eval_Start_Week,"YES","")</f>
        <v/>
      </c>
      <c r="Q1194" s="34" t="str">
        <f aca="false">IF(AND(B1194&gt;=Cal_Start_Week,B1194&lt;=Cal_End_Week),"YES","")</f>
        <v>YES</v>
      </c>
    </row>
    <row r="1195" customFormat="false" ht="15" hidden="false" customHeight="false" outlineLevel="0" collapsed="false">
      <c r="A1195" s="31" t="str">
        <f aca="false">Demand_History!C1195</f>
        <v>BTH-002</v>
      </c>
      <c r="B1195" s="31" t="n">
        <f aca="false">Demand_History!A1195</f>
        <v>50</v>
      </c>
      <c r="C1195" s="32" t="n">
        <f aca="false">Demand_History!D1195</f>
        <v>171</v>
      </c>
      <c r="D1195" s="33" t="n">
        <f aca="false">IF(B1195&gt;=2,C1194,"")</f>
        <v>165</v>
      </c>
      <c r="E1195" s="33" t="n">
        <f aca="false">IF(B1195&gt;=5,AVERAGE(C1191:C1194),"")</f>
        <v>155.25</v>
      </c>
      <c r="F1195" s="33" t="n">
        <f aca="false">IF(B1195&gt;=9,AVERAGE(C1187:C1194),"")</f>
        <v>149.5</v>
      </c>
      <c r="G1195" s="33" t="n">
        <f aca="false">IF(B1195=1,"",IF(B1195=2,C1194,SES_Alpha*C1194+(1-SES_Alpha)*G1194))</f>
        <v>155.786545615761</v>
      </c>
      <c r="H1195" s="33" t="n">
        <f aca="false">IF(D1195="","",D1195-C1195)</f>
        <v>-6</v>
      </c>
      <c r="I1195" s="33" t="n">
        <f aca="false">IF(E1195="","",E1195-C1195)</f>
        <v>-15.75</v>
      </c>
      <c r="J1195" s="33" t="n">
        <f aca="false">IF(F1195="","",F1195-C1195)</f>
        <v>-21.5</v>
      </c>
      <c r="K1195" s="33" t="n">
        <f aca="false">IF(G1195="","",G1195-C1195)</f>
        <v>-15.2134543842393</v>
      </c>
      <c r="L1195" s="33" t="n">
        <f aca="false">IF(H1195="","",ABS(H1195))</f>
        <v>6</v>
      </c>
      <c r="M1195" s="33" t="n">
        <f aca="false">IF(I1195="","",ABS(I1195))</f>
        <v>15.75</v>
      </c>
      <c r="N1195" s="33" t="n">
        <f aca="false">IF(J1195="","",ABS(J1195))</f>
        <v>21.5</v>
      </c>
      <c r="O1195" s="33" t="n">
        <f aca="false">IF(K1195="","",ABS(K1195))</f>
        <v>15.2134543842393</v>
      </c>
      <c r="P1195" s="34" t="str">
        <f aca="false">IF(B1195&gt;=Eval_Start_Week,"YES","")</f>
        <v/>
      </c>
      <c r="Q1195" s="34" t="str">
        <f aca="false">IF(AND(B1195&gt;=Cal_Start_Week,B1195&lt;=Cal_End_Week),"YES","")</f>
        <v>YES</v>
      </c>
    </row>
    <row r="1196" customFormat="false" ht="15" hidden="false" customHeight="false" outlineLevel="0" collapsed="false">
      <c r="A1196" s="31" t="str">
        <f aca="false">Demand_History!C1196</f>
        <v>BTH-002</v>
      </c>
      <c r="B1196" s="31" t="n">
        <f aca="false">Demand_History!A1196</f>
        <v>51</v>
      </c>
      <c r="C1196" s="32" t="n">
        <f aca="false">Demand_History!D1196</f>
        <v>142</v>
      </c>
      <c r="D1196" s="33" t="n">
        <f aca="false">IF(B1196&gt;=2,C1195,"")</f>
        <v>171</v>
      </c>
      <c r="E1196" s="33" t="n">
        <f aca="false">IF(B1196&gt;=5,AVERAGE(C1192:C1195),"")</f>
        <v>165.5</v>
      </c>
      <c r="F1196" s="33" t="n">
        <f aca="false">IF(B1196&gt;=9,AVERAGE(C1188:C1195),"")</f>
        <v>156.5</v>
      </c>
      <c r="G1196" s="33" t="n">
        <f aca="false">IF(B1196=1,"",IF(B1196=2,C1195,SES_Alpha*C1195+(1-SES_Alpha)*G1195))</f>
        <v>160.350581931032</v>
      </c>
      <c r="H1196" s="33" t="n">
        <f aca="false">IF(D1196="","",D1196-C1196)</f>
        <v>29</v>
      </c>
      <c r="I1196" s="33" t="n">
        <f aca="false">IF(E1196="","",E1196-C1196)</f>
        <v>23.5</v>
      </c>
      <c r="J1196" s="33" t="n">
        <f aca="false">IF(F1196="","",F1196-C1196)</f>
        <v>14.5</v>
      </c>
      <c r="K1196" s="33" t="n">
        <f aca="false">IF(G1196="","",G1196-C1196)</f>
        <v>18.3505819310325</v>
      </c>
      <c r="L1196" s="33" t="n">
        <f aca="false">IF(H1196="","",ABS(H1196))</f>
        <v>29</v>
      </c>
      <c r="M1196" s="33" t="n">
        <f aca="false">IF(I1196="","",ABS(I1196))</f>
        <v>23.5</v>
      </c>
      <c r="N1196" s="33" t="n">
        <f aca="false">IF(J1196="","",ABS(J1196))</f>
        <v>14.5</v>
      </c>
      <c r="O1196" s="33" t="n">
        <f aca="false">IF(K1196="","",ABS(K1196))</f>
        <v>18.3505819310325</v>
      </c>
      <c r="P1196" s="34" t="str">
        <f aca="false">IF(B1196&gt;=Eval_Start_Week,"YES","")</f>
        <v/>
      </c>
      <c r="Q1196" s="34" t="str">
        <f aca="false">IF(AND(B1196&gt;=Cal_Start_Week,B1196&lt;=Cal_End_Week),"YES","")</f>
        <v>YES</v>
      </c>
    </row>
    <row r="1197" customFormat="false" ht="15" hidden="false" customHeight="false" outlineLevel="0" collapsed="false">
      <c r="A1197" s="31" t="str">
        <f aca="false">Demand_History!C1197</f>
        <v>BTH-002</v>
      </c>
      <c r="B1197" s="31" t="n">
        <f aca="false">Demand_History!A1197</f>
        <v>52</v>
      </c>
      <c r="C1197" s="32" t="n">
        <f aca="false">Demand_History!D1197</f>
        <v>162</v>
      </c>
      <c r="D1197" s="33" t="n">
        <f aca="false">IF(B1197&gt;=2,C1196,"")</f>
        <v>142</v>
      </c>
      <c r="E1197" s="33" t="n">
        <f aca="false">IF(B1197&gt;=5,AVERAGE(C1193:C1196),"")</f>
        <v>158</v>
      </c>
      <c r="F1197" s="33" t="n">
        <f aca="false">IF(B1197&gt;=9,AVERAGE(C1189:C1196),"")</f>
        <v>154.375</v>
      </c>
      <c r="G1197" s="33" t="n">
        <f aca="false">IF(B1197=1,"",IF(B1197=2,C1196,SES_Alpha*C1196+(1-SES_Alpha)*G1196))</f>
        <v>154.845407351723</v>
      </c>
      <c r="H1197" s="33" t="n">
        <f aca="false">IF(D1197="","",D1197-C1197)</f>
        <v>-20</v>
      </c>
      <c r="I1197" s="33" t="n">
        <f aca="false">IF(E1197="","",E1197-C1197)</f>
        <v>-4</v>
      </c>
      <c r="J1197" s="33" t="n">
        <f aca="false">IF(F1197="","",F1197-C1197)</f>
        <v>-7.625</v>
      </c>
      <c r="K1197" s="33" t="n">
        <f aca="false">IF(G1197="","",G1197-C1197)</f>
        <v>-7.15459264827726</v>
      </c>
      <c r="L1197" s="33" t="n">
        <f aca="false">IF(H1197="","",ABS(H1197))</f>
        <v>20</v>
      </c>
      <c r="M1197" s="33" t="n">
        <f aca="false">IF(I1197="","",ABS(I1197))</f>
        <v>4</v>
      </c>
      <c r="N1197" s="33" t="n">
        <f aca="false">IF(J1197="","",ABS(J1197))</f>
        <v>7.625</v>
      </c>
      <c r="O1197" s="33" t="n">
        <f aca="false">IF(K1197="","",ABS(K1197))</f>
        <v>7.15459264827726</v>
      </c>
      <c r="P1197" s="34" t="str">
        <f aca="false">IF(B1197&gt;=Eval_Start_Week,"YES","")</f>
        <v/>
      </c>
      <c r="Q1197" s="34" t="str">
        <f aca="false">IF(AND(B1197&gt;=Cal_Start_Week,B1197&lt;=Cal_End_Week),"YES","")</f>
        <v>YES</v>
      </c>
    </row>
    <row r="1198" customFormat="false" ht="15" hidden="false" customHeight="false" outlineLevel="0" collapsed="false">
      <c r="A1198" s="31" t="str">
        <f aca="false">Demand_History!C1198</f>
        <v>BTH-002</v>
      </c>
      <c r="B1198" s="31" t="n">
        <f aca="false">Demand_History!A1198</f>
        <v>53</v>
      </c>
      <c r="C1198" s="32" t="n">
        <f aca="false">Demand_History!D1198</f>
        <v>146</v>
      </c>
      <c r="D1198" s="33" t="n">
        <f aca="false">IF(B1198&gt;=2,C1197,"")</f>
        <v>162</v>
      </c>
      <c r="E1198" s="33" t="n">
        <f aca="false">IF(B1198&gt;=5,AVERAGE(C1194:C1197),"")</f>
        <v>160</v>
      </c>
      <c r="F1198" s="33" t="n">
        <f aca="false">IF(B1198&gt;=9,AVERAGE(C1190:C1197),"")</f>
        <v>154.875</v>
      </c>
      <c r="G1198" s="33" t="n">
        <f aca="false">IF(B1198=1,"",IF(B1198=2,C1197,SES_Alpha*C1197+(1-SES_Alpha)*G1197))</f>
        <v>156.991785146206</v>
      </c>
      <c r="H1198" s="33" t="n">
        <f aca="false">IF(D1198="","",D1198-C1198)</f>
        <v>16</v>
      </c>
      <c r="I1198" s="33" t="n">
        <f aca="false">IF(E1198="","",E1198-C1198)</f>
        <v>14</v>
      </c>
      <c r="J1198" s="33" t="n">
        <f aca="false">IF(F1198="","",F1198-C1198)</f>
        <v>8.875</v>
      </c>
      <c r="K1198" s="33" t="n">
        <f aca="false">IF(G1198="","",G1198-C1198)</f>
        <v>10.9917851462059</v>
      </c>
      <c r="L1198" s="33" t="n">
        <f aca="false">IF(H1198="","",ABS(H1198))</f>
        <v>16</v>
      </c>
      <c r="M1198" s="33" t="n">
        <f aca="false">IF(I1198="","",ABS(I1198))</f>
        <v>14</v>
      </c>
      <c r="N1198" s="33" t="n">
        <f aca="false">IF(J1198="","",ABS(J1198))</f>
        <v>8.875</v>
      </c>
      <c r="O1198" s="33" t="n">
        <f aca="false">IF(K1198="","",ABS(K1198))</f>
        <v>10.9917851462059</v>
      </c>
      <c r="P1198" s="34" t="str">
        <f aca="false">IF(B1198&gt;=Eval_Start_Week,"YES","")</f>
        <v>YES</v>
      </c>
      <c r="Q1198" s="34" t="str">
        <f aca="false">IF(AND(B1198&gt;=Cal_Start_Week,B1198&lt;=Cal_End_Week),"YES","")</f>
        <v>YES</v>
      </c>
    </row>
    <row r="1199" customFormat="false" ht="15" hidden="false" customHeight="false" outlineLevel="0" collapsed="false">
      <c r="A1199" s="31" t="str">
        <f aca="false">Demand_History!C1199</f>
        <v>BTH-002</v>
      </c>
      <c r="B1199" s="31" t="n">
        <f aca="false">Demand_History!A1199</f>
        <v>54</v>
      </c>
      <c r="C1199" s="32" t="n">
        <f aca="false">Demand_History!D1199</f>
        <v>149</v>
      </c>
      <c r="D1199" s="33" t="n">
        <f aca="false">IF(B1199&gt;=2,C1198,"")</f>
        <v>146</v>
      </c>
      <c r="E1199" s="33" t="n">
        <f aca="false">IF(B1199&gt;=5,AVERAGE(C1195:C1198),"")</f>
        <v>155.25</v>
      </c>
      <c r="F1199" s="33" t="n">
        <f aca="false">IF(B1199&gt;=9,AVERAGE(C1191:C1198),"")</f>
        <v>155.25</v>
      </c>
      <c r="G1199" s="33" t="n">
        <f aca="false">IF(B1199=1,"",IF(B1199=2,C1198,SES_Alpha*C1198+(1-SES_Alpha)*G1198))</f>
        <v>153.694249602344</v>
      </c>
      <c r="H1199" s="33" t="n">
        <f aca="false">IF(D1199="","",D1199-C1199)</f>
        <v>-3</v>
      </c>
      <c r="I1199" s="33" t="n">
        <f aca="false">IF(E1199="","",E1199-C1199)</f>
        <v>6.25</v>
      </c>
      <c r="J1199" s="33" t="n">
        <f aca="false">IF(F1199="","",F1199-C1199)</f>
        <v>6.25</v>
      </c>
      <c r="K1199" s="33" t="n">
        <f aca="false">IF(G1199="","",G1199-C1199)</f>
        <v>4.69424960234414</v>
      </c>
      <c r="L1199" s="33" t="n">
        <f aca="false">IF(H1199="","",ABS(H1199))</f>
        <v>3</v>
      </c>
      <c r="M1199" s="33" t="n">
        <f aca="false">IF(I1199="","",ABS(I1199))</f>
        <v>6.25</v>
      </c>
      <c r="N1199" s="33" t="n">
        <f aca="false">IF(J1199="","",ABS(J1199))</f>
        <v>6.25</v>
      </c>
      <c r="O1199" s="33" t="n">
        <f aca="false">IF(K1199="","",ABS(K1199))</f>
        <v>4.69424960234414</v>
      </c>
      <c r="P1199" s="34" t="str">
        <f aca="false">IF(B1199&gt;=Eval_Start_Week,"YES","")</f>
        <v>YES</v>
      </c>
      <c r="Q1199" s="34" t="str">
        <f aca="false">IF(AND(B1199&gt;=Cal_Start_Week,B1199&lt;=Cal_End_Week),"YES","")</f>
        <v>YES</v>
      </c>
    </row>
    <row r="1200" customFormat="false" ht="15" hidden="false" customHeight="false" outlineLevel="0" collapsed="false">
      <c r="A1200" s="31" t="str">
        <f aca="false">Demand_History!C1200</f>
        <v>BTH-002</v>
      </c>
      <c r="B1200" s="31" t="n">
        <f aca="false">Demand_History!A1200</f>
        <v>55</v>
      </c>
      <c r="C1200" s="32" t="n">
        <f aca="false">Demand_History!D1200</f>
        <v>149</v>
      </c>
      <c r="D1200" s="33" t="n">
        <f aca="false">IF(B1200&gt;=2,C1199,"")</f>
        <v>149</v>
      </c>
      <c r="E1200" s="33" t="n">
        <f aca="false">IF(B1200&gt;=5,AVERAGE(C1196:C1199),"")</f>
        <v>149.75</v>
      </c>
      <c r="F1200" s="33" t="n">
        <f aca="false">IF(B1200&gt;=9,AVERAGE(C1192:C1199),"")</f>
        <v>157.625</v>
      </c>
      <c r="G1200" s="33" t="n">
        <f aca="false">IF(B1200=1,"",IF(B1200=2,C1199,SES_Alpha*C1199+(1-SES_Alpha)*G1199))</f>
        <v>152.285974721641</v>
      </c>
      <c r="H1200" s="33" t="n">
        <f aca="false">IF(D1200="","",D1200-C1200)</f>
        <v>0</v>
      </c>
      <c r="I1200" s="33" t="n">
        <f aca="false">IF(E1200="","",E1200-C1200)</f>
        <v>0.75</v>
      </c>
      <c r="J1200" s="33" t="n">
        <f aca="false">IF(F1200="","",F1200-C1200)</f>
        <v>8.625</v>
      </c>
      <c r="K1200" s="33" t="n">
        <f aca="false">IF(G1200="","",G1200-C1200)</f>
        <v>3.28597472164088</v>
      </c>
      <c r="L1200" s="33" t="n">
        <f aca="false">IF(H1200="","",ABS(H1200))</f>
        <v>0</v>
      </c>
      <c r="M1200" s="33" t="n">
        <f aca="false">IF(I1200="","",ABS(I1200))</f>
        <v>0.75</v>
      </c>
      <c r="N1200" s="33" t="n">
        <f aca="false">IF(J1200="","",ABS(J1200))</f>
        <v>8.625</v>
      </c>
      <c r="O1200" s="33" t="n">
        <f aca="false">IF(K1200="","",ABS(K1200))</f>
        <v>3.28597472164088</v>
      </c>
      <c r="P1200" s="34" t="str">
        <f aca="false">IF(B1200&gt;=Eval_Start_Week,"YES","")</f>
        <v>YES</v>
      </c>
      <c r="Q1200" s="34" t="str">
        <f aca="false">IF(AND(B1200&gt;=Cal_Start_Week,B1200&lt;=Cal_End_Week),"YES","")</f>
        <v>YES</v>
      </c>
    </row>
    <row r="1201" customFormat="false" ht="15" hidden="false" customHeight="false" outlineLevel="0" collapsed="false">
      <c r="A1201" s="31" t="str">
        <f aca="false">Demand_History!C1201</f>
        <v>BTH-002</v>
      </c>
      <c r="B1201" s="31" t="n">
        <f aca="false">Demand_History!A1201</f>
        <v>56</v>
      </c>
      <c r="C1201" s="32" t="n">
        <f aca="false">Demand_History!D1201</f>
        <v>150</v>
      </c>
      <c r="D1201" s="33" t="n">
        <f aca="false">IF(B1201&gt;=2,C1200,"")</f>
        <v>149</v>
      </c>
      <c r="E1201" s="33" t="n">
        <f aca="false">IF(B1201&gt;=5,AVERAGE(C1197:C1200),"")</f>
        <v>151.5</v>
      </c>
      <c r="F1201" s="33" t="n">
        <f aca="false">IF(B1201&gt;=9,AVERAGE(C1193:C1200),"")</f>
        <v>154.75</v>
      </c>
      <c r="G1201" s="33" t="n">
        <f aca="false">IF(B1201=1,"",IF(B1201=2,C1200,SES_Alpha*C1200+(1-SES_Alpha)*G1200))</f>
        <v>151.300182305149</v>
      </c>
      <c r="H1201" s="33" t="n">
        <f aca="false">IF(D1201="","",D1201-C1201)</f>
        <v>-1</v>
      </c>
      <c r="I1201" s="33" t="n">
        <f aca="false">IF(E1201="","",E1201-C1201)</f>
        <v>1.5</v>
      </c>
      <c r="J1201" s="33" t="n">
        <f aca="false">IF(F1201="","",F1201-C1201)</f>
        <v>4.75</v>
      </c>
      <c r="K1201" s="33" t="n">
        <f aca="false">IF(G1201="","",G1201-C1201)</f>
        <v>1.30018230514861</v>
      </c>
      <c r="L1201" s="33" t="n">
        <f aca="false">IF(H1201="","",ABS(H1201))</f>
        <v>1</v>
      </c>
      <c r="M1201" s="33" t="n">
        <f aca="false">IF(I1201="","",ABS(I1201))</f>
        <v>1.5</v>
      </c>
      <c r="N1201" s="33" t="n">
        <f aca="false">IF(J1201="","",ABS(J1201))</f>
        <v>4.75</v>
      </c>
      <c r="O1201" s="33" t="n">
        <f aca="false">IF(K1201="","",ABS(K1201))</f>
        <v>1.30018230514861</v>
      </c>
      <c r="P1201" s="34" t="str">
        <f aca="false">IF(B1201&gt;=Eval_Start_Week,"YES","")</f>
        <v>YES</v>
      </c>
      <c r="Q1201" s="34" t="str">
        <f aca="false">IF(AND(B1201&gt;=Cal_Start_Week,B1201&lt;=Cal_End_Week),"YES","")</f>
        <v>YES</v>
      </c>
    </row>
    <row r="1202" customFormat="false" ht="15" hidden="false" customHeight="false" outlineLevel="0" collapsed="false">
      <c r="A1202" s="31" t="str">
        <f aca="false">Demand_History!C1202</f>
        <v>BTH-002</v>
      </c>
      <c r="B1202" s="31" t="n">
        <f aca="false">Demand_History!A1202</f>
        <v>57</v>
      </c>
      <c r="C1202" s="32" t="n">
        <f aca="false">Demand_History!D1202</f>
        <v>167</v>
      </c>
      <c r="D1202" s="33" t="n">
        <f aca="false">IF(B1202&gt;=2,C1201,"")</f>
        <v>150</v>
      </c>
      <c r="E1202" s="33" t="n">
        <f aca="false">IF(B1202&gt;=5,AVERAGE(C1198:C1201),"")</f>
        <v>148.5</v>
      </c>
      <c r="F1202" s="33" t="n">
        <f aca="false">IF(B1202&gt;=9,AVERAGE(C1194:C1201),"")</f>
        <v>154.25</v>
      </c>
      <c r="G1202" s="33" t="n">
        <f aca="false">IF(B1202=1,"",IF(B1202=2,C1201,SES_Alpha*C1201+(1-SES_Alpha)*G1201))</f>
        <v>150.910127613604</v>
      </c>
      <c r="H1202" s="33" t="n">
        <f aca="false">IF(D1202="","",D1202-C1202)</f>
        <v>-17</v>
      </c>
      <c r="I1202" s="33" t="n">
        <f aca="false">IF(E1202="","",E1202-C1202)</f>
        <v>-18.5</v>
      </c>
      <c r="J1202" s="33" t="n">
        <f aca="false">IF(F1202="","",F1202-C1202)</f>
        <v>-12.75</v>
      </c>
      <c r="K1202" s="33" t="n">
        <f aca="false">IF(G1202="","",G1202-C1202)</f>
        <v>-16.089872386396</v>
      </c>
      <c r="L1202" s="33" t="n">
        <f aca="false">IF(H1202="","",ABS(H1202))</f>
        <v>17</v>
      </c>
      <c r="M1202" s="33" t="n">
        <f aca="false">IF(I1202="","",ABS(I1202))</f>
        <v>18.5</v>
      </c>
      <c r="N1202" s="33" t="n">
        <f aca="false">IF(J1202="","",ABS(J1202))</f>
        <v>12.75</v>
      </c>
      <c r="O1202" s="33" t="n">
        <f aca="false">IF(K1202="","",ABS(K1202))</f>
        <v>16.089872386396</v>
      </c>
      <c r="P1202" s="34" t="str">
        <f aca="false">IF(B1202&gt;=Eval_Start_Week,"YES","")</f>
        <v>YES</v>
      </c>
      <c r="Q1202" s="34" t="str">
        <f aca="false">IF(AND(B1202&gt;=Cal_Start_Week,B1202&lt;=Cal_End_Week),"YES","")</f>
        <v>YES</v>
      </c>
    </row>
    <row r="1203" customFormat="false" ht="15" hidden="false" customHeight="false" outlineLevel="0" collapsed="false">
      <c r="A1203" s="31" t="str">
        <f aca="false">Demand_History!C1203</f>
        <v>BTH-002</v>
      </c>
      <c r="B1203" s="31" t="n">
        <f aca="false">Demand_History!A1203</f>
        <v>58</v>
      </c>
      <c r="C1203" s="32" t="n">
        <f aca="false">Demand_History!D1203</f>
        <v>152</v>
      </c>
      <c r="D1203" s="33" t="n">
        <f aca="false">IF(B1203&gt;=2,C1202,"")</f>
        <v>167</v>
      </c>
      <c r="E1203" s="33" t="n">
        <f aca="false">IF(B1203&gt;=5,AVERAGE(C1199:C1202),"")</f>
        <v>153.75</v>
      </c>
      <c r="F1203" s="33" t="n">
        <f aca="false">IF(B1203&gt;=9,AVERAGE(C1195:C1202),"")</f>
        <v>154.5</v>
      </c>
      <c r="G1203" s="33" t="n">
        <f aca="false">IF(B1203=1,"",IF(B1203=2,C1202,SES_Alpha*C1202+(1-SES_Alpha)*G1202))</f>
        <v>155.737089329523</v>
      </c>
      <c r="H1203" s="33" t="n">
        <f aca="false">IF(D1203="","",D1203-C1203)</f>
        <v>15</v>
      </c>
      <c r="I1203" s="33" t="n">
        <f aca="false">IF(E1203="","",E1203-C1203)</f>
        <v>1.75</v>
      </c>
      <c r="J1203" s="33" t="n">
        <f aca="false">IF(F1203="","",F1203-C1203)</f>
        <v>2.5</v>
      </c>
      <c r="K1203" s="33" t="n">
        <f aca="false">IF(G1203="","",G1203-C1203)</f>
        <v>3.7370893295228</v>
      </c>
      <c r="L1203" s="33" t="n">
        <f aca="false">IF(H1203="","",ABS(H1203))</f>
        <v>15</v>
      </c>
      <c r="M1203" s="33" t="n">
        <f aca="false">IF(I1203="","",ABS(I1203))</f>
        <v>1.75</v>
      </c>
      <c r="N1203" s="33" t="n">
        <f aca="false">IF(J1203="","",ABS(J1203))</f>
        <v>2.5</v>
      </c>
      <c r="O1203" s="33" t="n">
        <f aca="false">IF(K1203="","",ABS(K1203))</f>
        <v>3.7370893295228</v>
      </c>
      <c r="P1203" s="34" t="str">
        <f aca="false">IF(B1203&gt;=Eval_Start_Week,"YES","")</f>
        <v>YES</v>
      </c>
      <c r="Q1203" s="34" t="str">
        <f aca="false">IF(AND(B1203&gt;=Cal_Start_Week,B1203&lt;=Cal_End_Week),"YES","")</f>
        <v>YES</v>
      </c>
    </row>
    <row r="1204" customFormat="false" ht="15" hidden="false" customHeight="false" outlineLevel="0" collapsed="false">
      <c r="A1204" s="31" t="str">
        <f aca="false">Demand_History!C1204</f>
        <v>BTH-002</v>
      </c>
      <c r="B1204" s="31" t="n">
        <f aca="false">Demand_History!A1204</f>
        <v>59</v>
      </c>
      <c r="C1204" s="32" t="n">
        <f aca="false">Demand_History!D1204</f>
        <v>148</v>
      </c>
      <c r="D1204" s="33" t="n">
        <f aca="false">IF(B1204&gt;=2,C1203,"")</f>
        <v>152</v>
      </c>
      <c r="E1204" s="33" t="n">
        <f aca="false">IF(B1204&gt;=5,AVERAGE(C1200:C1203),"")</f>
        <v>154.5</v>
      </c>
      <c r="F1204" s="33" t="n">
        <f aca="false">IF(B1204&gt;=9,AVERAGE(C1196:C1203),"")</f>
        <v>152.125</v>
      </c>
      <c r="G1204" s="33" t="n">
        <f aca="false">IF(B1204=1,"",IF(B1204=2,C1203,SES_Alpha*C1203+(1-SES_Alpha)*G1203))</f>
        <v>154.615962530666</v>
      </c>
      <c r="H1204" s="33" t="n">
        <f aca="false">IF(D1204="","",D1204-C1204)</f>
        <v>4</v>
      </c>
      <c r="I1204" s="33" t="n">
        <f aca="false">IF(E1204="","",E1204-C1204)</f>
        <v>6.5</v>
      </c>
      <c r="J1204" s="33" t="n">
        <f aca="false">IF(F1204="","",F1204-C1204)</f>
        <v>4.125</v>
      </c>
      <c r="K1204" s="33" t="n">
        <f aca="false">IF(G1204="","",G1204-C1204)</f>
        <v>6.61596253066597</v>
      </c>
      <c r="L1204" s="33" t="n">
        <f aca="false">IF(H1204="","",ABS(H1204))</f>
        <v>4</v>
      </c>
      <c r="M1204" s="33" t="n">
        <f aca="false">IF(I1204="","",ABS(I1204))</f>
        <v>6.5</v>
      </c>
      <c r="N1204" s="33" t="n">
        <f aca="false">IF(J1204="","",ABS(J1204))</f>
        <v>4.125</v>
      </c>
      <c r="O1204" s="33" t="n">
        <f aca="false">IF(K1204="","",ABS(K1204))</f>
        <v>6.61596253066597</v>
      </c>
      <c r="P1204" s="34" t="str">
        <f aca="false">IF(B1204&gt;=Eval_Start_Week,"YES","")</f>
        <v>YES</v>
      </c>
      <c r="Q1204" s="34" t="str">
        <f aca="false">IF(AND(B1204&gt;=Cal_Start_Week,B1204&lt;=Cal_End_Week),"YES","")</f>
        <v>YES</v>
      </c>
    </row>
    <row r="1205" customFormat="false" ht="15" hidden="false" customHeight="false" outlineLevel="0" collapsed="false">
      <c r="A1205" s="31" t="str">
        <f aca="false">Demand_History!C1205</f>
        <v>BTH-002</v>
      </c>
      <c r="B1205" s="31" t="n">
        <f aca="false">Demand_History!A1205</f>
        <v>60</v>
      </c>
      <c r="C1205" s="32" t="n">
        <f aca="false">Demand_History!D1205</f>
        <v>146</v>
      </c>
      <c r="D1205" s="33" t="n">
        <f aca="false">IF(B1205&gt;=2,C1204,"")</f>
        <v>148</v>
      </c>
      <c r="E1205" s="33" t="n">
        <f aca="false">IF(B1205&gt;=5,AVERAGE(C1201:C1204),"")</f>
        <v>154.25</v>
      </c>
      <c r="F1205" s="33" t="n">
        <f aca="false">IF(B1205&gt;=9,AVERAGE(C1197:C1204),"")</f>
        <v>152.875</v>
      </c>
      <c r="G1205" s="33" t="n">
        <f aca="false">IF(B1205=1,"",IF(B1205=2,C1204,SES_Alpha*C1204+(1-SES_Alpha)*G1204))</f>
        <v>152.631173771466</v>
      </c>
      <c r="H1205" s="33" t="n">
        <f aca="false">IF(D1205="","",D1205-C1205)</f>
        <v>2</v>
      </c>
      <c r="I1205" s="33" t="n">
        <f aca="false">IF(E1205="","",E1205-C1205)</f>
        <v>8.25</v>
      </c>
      <c r="J1205" s="33" t="n">
        <f aca="false">IF(F1205="","",F1205-C1205)</f>
        <v>6.875</v>
      </c>
      <c r="K1205" s="33" t="n">
        <f aca="false">IF(G1205="","",G1205-C1205)</f>
        <v>6.63117377146617</v>
      </c>
      <c r="L1205" s="33" t="n">
        <f aca="false">IF(H1205="","",ABS(H1205))</f>
        <v>2</v>
      </c>
      <c r="M1205" s="33" t="n">
        <f aca="false">IF(I1205="","",ABS(I1205))</f>
        <v>8.25</v>
      </c>
      <c r="N1205" s="33" t="n">
        <f aca="false">IF(J1205="","",ABS(J1205))</f>
        <v>6.875</v>
      </c>
      <c r="O1205" s="33" t="n">
        <f aca="false">IF(K1205="","",ABS(K1205))</f>
        <v>6.63117377146617</v>
      </c>
      <c r="P1205" s="34" t="str">
        <f aca="false">IF(B1205&gt;=Eval_Start_Week,"YES","")</f>
        <v>YES</v>
      </c>
      <c r="Q1205" s="34" t="str">
        <f aca="false">IF(AND(B1205&gt;=Cal_Start_Week,B1205&lt;=Cal_End_Week),"YES","")</f>
        <v>YES</v>
      </c>
    </row>
    <row r="1206" customFormat="false" ht="15" hidden="false" customHeight="false" outlineLevel="0" collapsed="false">
      <c r="A1206" s="31" t="str">
        <f aca="false">Demand_History!C1206</f>
        <v>BTH-002</v>
      </c>
      <c r="B1206" s="31" t="n">
        <f aca="false">Demand_History!A1206</f>
        <v>61</v>
      </c>
      <c r="C1206" s="32" t="n">
        <f aca="false">Demand_History!D1206</f>
        <v>155</v>
      </c>
      <c r="D1206" s="33" t="n">
        <f aca="false">IF(B1206&gt;=2,C1205,"")</f>
        <v>146</v>
      </c>
      <c r="E1206" s="33" t="n">
        <f aca="false">IF(B1206&gt;=5,AVERAGE(C1202:C1205),"")</f>
        <v>153.25</v>
      </c>
      <c r="F1206" s="33" t="n">
        <f aca="false">IF(B1206&gt;=9,AVERAGE(C1198:C1205),"")</f>
        <v>150.875</v>
      </c>
      <c r="G1206" s="33" t="n">
        <f aca="false">IF(B1206=1,"",IF(B1206=2,C1205,SES_Alpha*C1205+(1-SES_Alpha)*G1205))</f>
        <v>150.641821640026</v>
      </c>
      <c r="H1206" s="33" t="n">
        <f aca="false">IF(D1206="","",D1206-C1206)</f>
        <v>-9</v>
      </c>
      <c r="I1206" s="33" t="n">
        <f aca="false">IF(E1206="","",E1206-C1206)</f>
        <v>-1.75</v>
      </c>
      <c r="J1206" s="33" t="n">
        <f aca="false">IF(F1206="","",F1206-C1206)</f>
        <v>-4.125</v>
      </c>
      <c r="K1206" s="33" t="n">
        <f aca="false">IF(G1206="","",G1206-C1206)</f>
        <v>-4.35817835997369</v>
      </c>
      <c r="L1206" s="33" t="n">
        <f aca="false">IF(H1206="","",ABS(H1206))</f>
        <v>9</v>
      </c>
      <c r="M1206" s="33" t="n">
        <f aca="false">IF(I1206="","",ABS(I1206))</f>
        <v>1.75</v>
      </c>
      <c r="N1206" s="33" t="n">
        <f aca="false">IF(J1206="","",ABS(J1206))</f>
        <v>4.125</v>
      </c>
      <c r="O1206" s="33" t="n">
        <f aca="false">IF(K1206="","",ABS(K1206))</f>
        <v>4.35817835997369</v>
      </c>
      <c r="P1206" s="34" t="str">
        <f aca="false">IF(B1206&gt;=Eval_Start_Week,"YES","")</f>
        <v>YES</v>
      </c>
      <c r="Q1206" s="34" t="str">
        <f aca="false">IF(AND(B1206&gt;=Cal_Start_Week,B1206&lt;=Cal_End_Week),"YES","")</f>
        <v>YES</v>
      </c>
    </row>
    <row r="1207" customFormat="false" ht="15" hidden="false" customHeight="false" outlineLevel="0" collapsed="false">
      <c r="A1207" s="31" t="str">
        <f aca="false">Demand_History!C1207</f>
        <v>BTH-002</v>
      </c>
      <c r="B1207" s="31" t="n">
        <f aca="false">Demand_History!A1207</f>
        <v>62</v>
      </c>
      <c r="C1207" s="32" t="n">
        <f aca="false">Demand_History!D1207</f>
        <v>137</v>
      </c>
      <c r="D1207" s="33" t="n">
        <f aca="false">IF(B1207&gt;=2,C1206,"")</f>
        <v>155</v>
      </c>
      <c r="E1207" s="33" t="n">
        <f aca="false">IF(B1207&gt;=5,AVERAGE(C1203:C1206),"")</f>
        <v>150.25</v>
      </c>
      <c r="F1207" s="33" t="n">
        <f aca="false">IF(B1207&gt;=9,AVERAGE(C1199:C1206),"")</f>
        <v>152</v>
      </c>
      <c r="G1207" s="33" t="n">
        <f aca="false">IF(B1207=1,"",IF(B1207=2,C1206,SES_Alpha*C1206+(1-SES_Alpha)*G1206))</f>
        <v>151.949275148018</v>
      </c>
      <c r="H1207" s="33" t="n">
        <f aca="false">IF(D1207="","",D1207-C1207)</f>
        <v>18</v>
      </c>
      <c r="I1207" s="33" t="n">
        <f aca="false">IF(E1207="","",E1207-C1207)</f>
        <v>13.25</v>
      </c>
      <c r="J1207" s="33" t="n">
        <f aca="false">IF(F1207="","",F1207-C1207)</f>
        <v>15</v>
      </c>
      <c r="K1207" s="33" t="n">
        <f aca="false">IF(G1207="","",G1207-C1207)</f>
        <v>14.9492751480184</v>
      </c>
      <c r="L1207" s="33" t="n">
        <f aca="false">IF(H1207="","",ABS(H1207))</f>
        <v>18</v>
      </c>
      <c r="M1207" s="33" t="n">
        <f aca="false">IF(I1207="","",ABS(I1207))</f>
        <v>13.25</v>
      </c>
      <c r="N1207" s="33" t="n">
        <f aca="false">IF(J1207="","",ABS(J1207))</f>
        <v>15</v>
      </c>
      <c r="O1207" s="33" t="n">
        <f aca="false">IF(K1207="","",ABS(K1207))</f>
        <v>14.9492751480184</v>
      </c>
      <c r="P1207" s="34" t="str">
        <f aca="false">IF(B1207&gt;=Eval_Start_Week,"YES","")</f>
        <v>YES</v>
      </c>
      <c r="Q1207" s="34" t="str">
        <f aca="false">IF(AND(B1207&gt;=Cal_Start_Week,B1207&lt;=Cal_End_Week),"YES","")</f>
        <v>YES</v>
      </c>
    </row>
    <row r="1208" customFormat="false" ht="15" hidden="false" customHeight="false" outlineLevel="0" collapsed="false">
      <c r="A1208" s="31" t="str">
        <f aca="false">Demand_History!C1208</f>
        <v>BTH-002</v>
      </c>
      <c r="B1208" s="31" t="n">
        <f aca="false">Demand_History!A1208</f>
        <v>63</v>
      </c>
      <c r="C1208" s="32" t="n">
        <f aca="false">Demand_History!D1208</f>
        <v>142</v>
      </c>
      <c r="D1208" s="33" t="n">
        <f aca="false">IF(B1208&gt;=2,C1207,"")</f>
        <v>137</v>
      </c>
      <c r="E1208" s="33" t="n">
        <f aca="false">IF(B1208&gt;=5,AVERAGE(C1204:C1207),"")</f>
        <v>146.5</v>
      </c>
      <c r="F1208" s="33" t="n">
        <f aca="false">IF(B1208&gt;=9,AVERAGE(C1200:C1207),"")</f>
        <v>150.5</v>
      </c>
      <c r="G1208" s="33" t="n">
        <f aca="false">IF(B1208=1,"",IF(B1208=2,C1207,SES_Alpha*C1207+(1-SES_Alpha)*G1207))</f>
        <v>147.464492603613</v>
      </c>
      <c r="H1208" s="33" t="n">
        <f aca="false">IF(D1208="","",D1208-C1208)</f>
        <v>-5</v>
      </c>
      <c r="I1208" s="33" t="n">
        <f aca="false">IF(E1208="","",E1208-C1208)</f>
        <v>4.5</v>
      </c>
      <c r="J1208" s="33" t="n">
        <f aca="false">IF(F1208="","",F1208-C1208)</f>
        <v>8.5</v>
      </c>
      <c r="K1208" s="33" t="n">
        <f aca="false">IF(G1208="","",G1208-C1208)</f>
        <v>5.46449260361288</v>
      </c>
      <c r="L1208" s="33" t="n">
        <f aca="false">IF(H1208="","",ABS(H1208))</f>
        <v>5</v>
      </c>
      <c r="M1208" s="33" t="n">
        <f aca="false">IF(I1208="","",ABS(I1208))</f>
        <v>4.5</v>
      </c>
      <c r="N1208" s="33" t="n">
        <f aca="false">IF(J1208="","",ABS(J1208))</f>
        <v>8.5</v>
      </c>
      <c r="O1208" s="33" t="n">
        <f aca="false">IF(K1208="","",ABS(K1208))</f>
        <v>5.46449260361288</v>
      </c>
      <c r="P1208" s="34" t="str">
        <f aca="false">IF(B1208&gt;=Eval_Start_Week,"YES","")</f>
        <v>YES</v>
      </c>
      <c r="Q1208" s="34" t="str">
        <f aca="false">IF(AND(B1208&gt;=Cal_Start_Week,B1208&lt;=Cal_End_Week),"YES","")</f>
        <v>YES</v>
      </c>
    </row>
    <row r="1209" customFormat="false" ht="15" hidden="false" customHeight="false" outlineLevel="0" collapsed="false">
      <c r="A1209" s="31" t="str">
        <f aca="false">Demand_History!C1209</f>
        <v>BTH-002</v>
      </c>
      <c r="B1209" s="31" t="n">
        <f aca="false">Demand_History!A1209</f>
        <v>64</v>
      </c>
      <c r="C1209" s="32" t="n">
        <f aca="false">Demand_History!D1209</f>
        <v>149</v>
      </c>
      <c r="D1209" s="33" t="n">
        <f aca="false">IF(B1209&gt;=2,C1208,"")</f>
        <v>142</v>
      </c>
      <c r="E1209" s="33" t="n">
        <f aca="false">IF(B1209&gt;=5,AVERAGE(C1205:C1208),"")</f>
        <v>145</v>
      </c>
      <c r="F1209" s="33" t="n">
        <f aca="false">IF(B1209&gt;=9,AVERAGE(C1201:C1208),"")</f>
        <v>149.625</v>
      </c>
      <c r="G1209" s="33" t="n">
        <f aca="false">IF(B1209=1,"",IF(B1209=2,C1208,SES_Alpha*C1208+(1-SES_Alpha)*G1208))</f>
        <v>145.825144822529</v>
      </c>
      <c r="H1209" s="33" t="n">
        <f aca="false">IF(D1209="","",D1209-C1209)</f>
        <v>-7</v>
      </c>
      <c r="I1209" s="33" t="n">
        <f aca="false">IF(E1209="","",E1209-C1209)</f>
        <v>-4</v>
      </c>
      <c r="J1209" s="33" t="n">
        <f aca="false">IF(F1209="","",F1209-C1209)</f>
        <v>0.625</v>
      </c>
      <c r="K1209" s="33" t="n">
        <f aca="false">IF(G1209="","",G1209-C1209)</f>
        <v>-3.17485517747099</v>
      </c>
      <c r="L1209" s="33" t="n">
        <f aca="false">IF(H1209="","",ABS(H1209))</f>
        <v>7</v>
      </c>
      <c r="M1209" s="33" t="n">
        <f aca="false">IF(I1209="","",ABS(I1209))</f>
        <v>4</v>
      </c>
      <c r="N1209" s="33" t="n">
        <f aca="false">IF(J1209="","",ABS(J1209))</f>
        <v>0.625</v>
      </c>
      <c r="O1209" s="33" t="n">
        <f aca="false">IF(K1209="","",ABS(K1209))</f>
        <v>3.17485517747099</v>
      </c>
      <c r="P1209" s="34" t="str">
        <f aca="false">IF(B1209&gt;=Eval_Start_Week,"YES","")</f>
        <v>YES</v>
      </c>
      <c r="Q1209" s="34" t="str">
        <f aca="false">IF(AND(B1209&gt;=Cal_Start_Week,B1209&lt;=Cal_End_Week),"YES","")</f>
        <v>YES</v>
      </c>
    </row>
    <row r="1210" customFormat="false" ht="15" hidden="false" customHeight="false" outlineLevel="0" collapsed="false">
      <c r="A1210" s="31" t="str">
        <f aca="false">Demand_History!C1210</f>
        <v>BTH-002</v>
      </c>
      <c r="B1210" s="31" t="n">
        <f aca="false">Demand_History!A1210</f>
        <v>65</v>
      </c>
      <c r="C1210" s="32" t="n">
        <f aca="false">Demand_History!D1210</f>
        <v>141</v>
      </c>
      <c r="D1210" s="33" t="n">
        <f aca="false">IF(B1210&gt;=2,C1209,"")</f>
        <v>149</v>
      </c>
      <c r="E1210" s="33" t="n">
        <f aca="false">IF(B1210&gt;=5,AVERAGE(C1206:C1209),"")</f>
        <v>145.75</v>
      </c>
      <c r="F1210" s="33" t="n">
        <f aca="false">IF(B1210&gt;=9,AVERAGE(C1202:C1209),"")</f>
        <v>149.5</v>
      </c>
      <c r="G1210" s="33" t="n">
        <f aca="false">IF(B1210=1,"",IF(B1210=2,C1209,SES_Alpha*C1209+(1-SES_Alpha)*G1209))</f>
        <v>146.77760137577</v>
      </c>
      <c r="H1210" s="33" t="n">
        <f aca="false">IF(D1210="","",D1210-C1210)</f>
        <v>8</v>
      </c>
      <c r="I1210" s="33" t="n">
        <f aca="false">IF(E1210="","",E1210-C1210)</f>
        <v>4.75</v>
      </c>
      <c r="J1210" s="33" t="n">
        <f aca="false">IF(F1210="","",F1210-C1210)</f>
        <v>8.5</v>
      </c>
      <c r="K1210" s="33" t="n">
        <f aca="false">IF(G1210="","",G1210-C1210)</f>
        <v>5.7776013757703</v>
      </c>
      <c r="L1210" s="33" t="n">
        <f aca="false">IF(H1210="","",ABS(H1210))</f>
        <v>8</v>
      </c>
      <c r="M1210" s="33" t="n">
        <f aca="false">IF(I1210="","",ABS(I1210))</f>
        <v>4.75</v>
      </c>
      <c r="N1210" s="33" t="n">
        <f aca="false">IF(J1210="","",ABS(J1210))</f>
        <v>8.5</v>
      </c>
      <c r="O1210" s="33" t="n">
        <f aca="false">IF(K1210="","",ABS(K1210))</f>
        <v>5.7776013757703</v>
      </c>
      <c r="P1210" s="34" t="str">
        <f aca="false">IF(B1210&gt;=Eval_Start_Week,"YES","")</f>
        <v>YES</v>
      </c>
      <c r="Q1210" s="34" t="str">
        <f aca="false">IF(AND(B1210&gt;=Cal_Start_Week,B1210&lt;=Cal_End_Week),"YES","")</f>
        <v>YES</v>
      </c>
    </row>
    <row r="1211" customFormat="false" ht="15" hidden="false" customHeight="false" outlineLevel="0" collapsed="false">
      <c r="A1211" s="31" t="str">
        <f aca="false">Demand_History!C1211</f>
        <v>BTH-002</v>
      </c>
      <c r="B1211" s="31" t="n">
        <f aca="false">Demand_History!A1211</f>
        <v>66</v>
      </c>
      <c r="C1211" s="32" t="n">
        <f aca="false">Demand_History!D1211</f>
        <v>148</v>
      </c>
      <c r="D1211" s="33" t="n">
        <f aca="false">IF(B1211&gt;=2,C1210,"")</f>
        <v>141</v>
      </c>
      <c r="E1211" s="33" t="n">
        <f aca="false">IF(B1211&gt;=5,AVERAGE(C1207:C1210),"")</f>
        <v>142.25</v>
      </c>
      <c r="F1211" s="33" t="n">
        <f aca="false">IF(B1211&gt;=9,AVERAGE(C1203:C1210),"")</f>
        <v>146.25</v>
      </c>
      <c r="G1211" s="33" t="n">
        <f aca="false">IF(B1211=1,"",IF(B1211=2,C1210,SES_Alpha*C1210+(1-SES_Alpha)*G1210))</f>
        <v>145.044320963039</v>
      </c>
      <c r="H1211" s="33" t="n">
        <f aca="false">IF(D1211="","",D1211-C1211)</f>
        <v>-7</v>
      </c>
      <c r="I1211" s="33" t="n">
        <f aca="false">IF(E1211="","",E1211-C1211)</f>
        <v>-5.75</v>
      </c>
      <c r="J1211" s="33" t="n">
        <f aca="false">IF(F1211="","",F1211-C1211)</f>
        <v>-1.75</v>
      </c>
      <c r="K1211" s="33" t="n">
        <f aca="false">IF(G1211="","",G1211-C1211)</f>
        <v>-2.95567903696082</v>
      </c>
      <c r="L1211" s="33" t="n">
        <f aca="false">IF(H1211="","",ABS(H1211))</f>
        <v>7</v>
      </c>
      <c r="M1211" s="33" t="n">
        <f aca="false">IF(I1211="","",ABS(I1211))</f>
        <v>5.75</v>
      </c>
      <c r="N1211" s="33" t="n">
        <f aca="false">IF(J1211="","",ABS(J1211))</f>
        <v>1.75</v>
      </c>
      <c r="O1211" s="33" t="n">
        <f aca="false">IF(K1211="","",ABS(K1211))</f>
        <v>2.95567903696082</v>
      </c>
      <c r="P1211" s="34" t="str">
        <f aca="false">IF(B1211&gt;=Eval_Start_Week,"YES","")</f>
        <v>YES</v>
      </c>
      <c r="Q1211" s="34" t="str">
        <f aca="false">IF(AND(B1211&gt;=Cal_Start_Week,B1211&lt;=Cal_End_Week),"YES","")</f>
        <v>YES</v>
      </c>
    </row>
    <row r="1212" customFormat="false" ht="15" hidden="false" customHeight="false" outlineLevel="0" collapsed="false">
      <c r="A1212" s="31" t="str">
        <f aca="false">Demand_History!C1212</f>
        <v>BTH-002</v>
      </c>
      <c r="B1212" s="31" t="n">
        <f aca="false">Demand_History!A1212</f>
        <v>67</v>
      </c>
      <c r="C1212" s="32" t="n">
        <f aca="false">Demand_History!D1212</f>
        <v>141</v>
      </c>
      <c r="D1212" s="33" t="n">
        <f aca="false">IF(B1212&gt;=2,C1211,"")</f>
        <v>148</v>
      </c>
      <c r="E1212" s="33" t="n">
        <f aca="false">IF(B1212&gt;=5,AVERAGE(C1208:C1211),"")</f>
        <v>145</v>
      </c>
      <c r="F1212" s="33" t="n">
        <f aca="false">IF(B1212&gt;=9,AVERAGE(C1204:C1211),"")</f>
        <v>145.75</v>
      </c>
      <c r="G1212" s="33" t="n">
        <f aca="false">IF(B1212=1,"",IF(B1212=2,C1211,SES_Alpha*C1211+(1-SES_Alpha)*G1211))</f>
        <v>145.931024674127</v>
      </c>
      <c r="H1212" s="33" t="n">
        <f aca="false">IF(D1212="","",D1212-C1212)</f>
        <v>7</v>
      </c>
      <c r="I1212" s="33" t="n">
        <f aca="false">IF(E1212="","",E1212-C1212)</f>
        <v>4</v>
      </c>
      <c r="J1212" s="33" t="n">
        <f aca="false">IF(F1212="","",F1212-C1212)</f>
        <v>4.75</v>
      </c>
      <c r="K1212" s="33" t="n">
        <f aca="false">IF(G1212="","",G1212-C1212)</f>
        <v>4.93102467412743</v>
      </c>
      <c r="L1212" s="33" t="n">
        <f aca="false">IF(H1212="","",ABS(H1212))</f>
        <v>7</v>
      </c>
      <c r="M1212" s="33" t="n">
        <f aca="false">IF(I1212="","",ABS(I1212))</f>
        <v>4</v>
      </c>
      <c r="N1212" s="33" t="n">
        <f aca="false">IF(J1212="","",ABS(J1212))</f>
        <v>4.75</v>
      </c>
      <c r="O1212" s="33" t="n">
        <f aca="false">IF(K1212="","",ABS(K1212))</f>
        <v>4.93102467412743</v>
      </c>
      <c r="P1212" s="34" t="str">
        <f aca="false">IF(B1212&gt;=Eval_Start_Week,"YES","")</f>
        <v>YES</v>
      </c>
      <c r="Q1212" s="34" t="str">
        <f aca="false">IF(AND(B1212&gt;=Cal_Start_Week,B1212&lt;=Cal_End_Week),"YES","")</f>
        <v>YES</v>
      </c>
    </row>
    <row r="1213" customFormat="false" ht="15" hidden="false" customHeight="false" outlineLevel="0" collapsed="false">
      <c r="A1213" s="31" t="str">
        <f aca="false">Demand_History!C1213</f>
        <v>BTH-002</v>
      </c>
      <c r="B1213" s="31" t="n">
        <f aca="false">Demand_History!A1213</f>
        <v>68</v>
      </c>
      <c r="C1213" s="32" t="n">
        <f aca="false">Demand_History!D1213</f>
        <v>180</v>
      </c>
      <c r="D1213" s="33" t="n">
        <f aca="false">IF(B1213&gt;=2,C1212,"")</f>
        <v>141</v>
      </c>
      <c r="E1213" s="33" t="n">
        <f aca="false">IF(B1213&gt;=5,AVERAGE(C1209:C1212),"")</f>
        <v>144.75</v>
      </c>
      <c r="F1213" s="33" t="n">
        <f aca="false">IF(B1213&gt;=9,AVERAGE(C1205:C1212),"")</f>
        <v>144.875</v>
      </c>
      <c r="G1213" s="33" t="n">
        <f aca="false">IF(B1213=1,"",IF(B1213=2,C1212,SES_Alpha*C1212+(1-SES_Alpha)*G1212))</f>
        <v>144.451717271889</v>
      </c>
      <c r="H1213" s="33" t="n">
        <f aca="false">IF(D1213="","",D1213-C1213)</f>
        <v>-39</v>
      </c>
      <c r="I1213" s="33" t="n">
        <f aca="false">IF(E1213="","",E1213-C1213)</f>
        <v>-35.25</v>
      </c>
      <c r="J1213" s="33" t="n">
        <f aca="false">IF(F1213="","",F1213-C1213)</f>
        <v>-35.125</v>
      </c>
      <c r="K1213" s="33" t="n">
        <f aca="false">IF(G1213="","",G1213-C1213)</f>
        <v>-35.5482827281108</v>
      </c>
      <c r="L1213" s="33" t="n">
        <f aca="false">IF(H1213="","",ABS(H1213))</f>
        <v>39</v>
      </c>
      <c r="M1213" s="33" t="n">
        <f aca="false">IF(I1213="","",ABS(I1213))</f>
        <v>35.25</v>
      </c>
      <c r="N1213" s="33" t="n">
        <f aca="false">IF(J1213="","",ABS(J1213))</f>
        <v>35.125</v>
      </c>
      <c r="O1213" s="33" t="n">
        <f aca="false">IF(K1213="","",ABS(K1213))</f>
        <v>35.5482827281108</v>
      </c>
      <c r="P1213" s="34" t="str">
        <f aca="false">IF(B1213&gt;=Eval_Start_Week,"YES","")</f>
        <v>YES</v>
      </c>
      <c r="Q1213" s="34" t="str">
        <f aca="false">IF(AND(B1213&gt;=Cal_Start_Week,B1213&lt;=Cal_End_Week),"YES","")</f>
        <v>YES</v>
      </c>
    </row>
    <row r="1214" customFormat="false" ht="15" hidden="false" customHeight="false" outlineLevel="0" collapsed="false">
      <c r="A1214" s="31" t="str">
        <f aca="false">Demand_History!C1214</f>
        <v>BTH-002</v>
      </c>
      <c r="B1214" s="31" t="n">
        <f aca="false">Demand_History!A1214</f>
        <v>69</v>
      </c>
      <c r="C1214" s="32" t="n">
        <f aca="false">Demand_History!D1214</f>
        <v>170</v>
      </c>
      <c r="D1214" s="33" t="n">
        <f aca="false">IF(B1214&gt;=2,C1213,"")</f>
        <v>180</v>
      </c>
      <c r="E1214" s="33" t="n">
        <f aca="false">IF(B1214&gt;=5,AVERAGE(C1210:C1213),"")</f>
        <v>152.5</v>
      </c>
      <c r="F1214" s="33" t="n">
        <f aca="false">IF(B1214&gt;=9,AVERAGE(C1206:C1213),"")</f>
        <v>149.125</v>
      </c>
      <c r="G1214" s="33" t="n">
        <f aca="false">IF(B1214=1,"",IF(B1214=2,C1213,SES_Alpha*C1213+(1-SES_Alpha)*G1213))</f>
        <v>155.116202090322</v>
      </c>
      <c r="H1214" s="33" t="n">
        <f aca="false">IF(D1214="","",D1214-C1214)</f>
        <v>10</v>
      </c>
      <c r="I1214" s="33" t="n">
        <f aca="false">IF(E1214="","",E1214-C1214)</f>
        <v>-17.5</v>
      </c>
      <c r="J1214" s="33" t="n">
        <f aca="false">IF(F1214="","",F1214-C1214)</f>
        <v>-20.875</v>
      </c>
      <c r="K1214" s="33" t="n">
        <f aca="false">IF(G1214="","",G1214-C1214)</f>
        <v>-14.8837979096776</v>
      </c>
      <c r="L1214" s="33" t="n">
        <f aca="false">IF(H1214="","",ABS(H1214))</f>
        <v>10</v>
      </c>
      <c r="M1214" s="33" t="n">
        <f aca="false">IF(I1214="","",ABS(I1214))</f>
        <v>17.5</v>
      </c>
      <c r="N1214" s="33" t="n">
        <f aca="false">IF(J1214="","",ABS(J1214))</f>
        <v>20.875</v>
      </c>
      <c r="O1214" s="33" t="n">
        <f aca="false">IF(K1214="","",ABS(K1214))</f>
        <v>14.8837979096776</v>
      </c>
      <c r="P1214" s="34" t="str">
        <f aca="false">IF(B1214&gt;=Eval_Start_Week,"YES","")</f>
        <v>YES</v>
      </c>
      <c r="Q1214" s="34" t="str">
        <f aca="false">IF(AND(B1214&gt;=Cal_Start_Week,B1214&lt;=Cal_End_Week),"YES","")</f>
        <v>YES</v>
      </c>
    </row>
    <row r="1215" customFormat="false" ht="15" hidden="false" customHeight="false" outlineLevel="0" collapsed="false">
      <c r="A1215" s="31" t="str">
        <f aca="false">Demand_History!C1215</f>
        <v>BTH-002</v>
      </c>
      <c r="B1215" s="31" t="n">
        <f aca="false">Demand_History!A1215</f>
        <v>70</v>
      </c>
      <c r="C1215" s="32" t="n">
        <f aca="false">Demand_History!D1215</f>
        <v>157</v>
      </c>
      <c r="D1215" s="33" t="n">
        <f aca="false">IF(B1215&gt;=2,C1214,"")</f>
        <v>170</v>
      </c>
      <c r="E1215" s="33" t="n">
        <f aca="false">IF(B1215&gt;=5,AVERAGE(C1211:C1214),"")</f>
        <v>159.75</v>
      </c>
      <c r="F1215" s="33" t="n">
        <f aca="false">IF(B1215&gt;=9,AVERAGE(C1207:C1214),"")</f>
        <v>151</v>
      </c>
      <c r="G1215" s="33" t="n">
        <f aca="false">IF(B1215=1,"",IF(B1215=2,C1214,SES_Alpha*C1214+(1-SES_Alpha)*G1214))</f>
        <v>159.581341463226</v>
      </c>
      <c r="H1215" s="33" t="n">
        <f aca="false">IF(D1215="","",D1215-C1215)</f>
        <v>13</v>
      </c>
      <c r="I1215" s="33" t="n">
        <f aca="false">IF(E1215="","",E1215-C1215)</f>
        <v>2.75</v>
      </c>
      <c r="J1215" s="33" t="n">
        <f aca="false">IF(F1215="","",F1215-C1215)</f>
        <v>-6</v>
      </c>
      <c r="K1215" s="33" t="n">
        <f aca="false">IF(G1215="","",G1215-C1215)</f>
        <v>2.58134146322573</v>
      </c>
      <c r="L1215" s="33" t="n">
        <f aca="false">IF(H1215="","",ABS(H1215))</f>
        <v>13</v>
      </c>
      <c r="M1215" s="33" t="n">
        <f aca="false">IF(I1215="","",ABS(I1215))</f>
        <v>2.75</v>
      </c>
      <c r="N1215" s="33" t="n">
        <f aca="false">IF(J1215="","",ABS(J1215))</f>
        <v>6</v>
      </c>
      <c r="O1215" s="33" t="n">
        <f aca="false">IF(K1215="","",ABS(K1215))</f>
        <v>2.58134146322573</v>
      </c>
      <c r="P1215" s="34" t="str">
        <f aca="false">IF(B1215&gt;=Eval_Start_Week,"YES","")</f>
        <v>YES</v>
      </c>
      <c r="Q1215" s="34" t="str">
        <f aca="false">IF(AND(B1215&gt;=Cal_Start_Week,B1215&lt;=Cal_End_Week),"YES","")</f>
        <v>YES</v>
      </c>
    </row>
    <row r="1216" customFormat="false" ht="15" hidden="false" customHeight="false" outlineLevel="0" collapsed="false">
      <c r="A1216" s="31" t="str">
        <f aca="false">Demand_History!C1216</f>
        <v>BTH-002</v>
      </c>
      <c r="B1216" s="31" t="n">
        <f aca="false">Demand_History!A1216</f>
        <v>71</v>
      </c>
      <c r="C1216" s="32" t="n">
        <f aca="false">Demand_History!D1216</f>
        <v>149</v>
      </c>
      <c r="D1216" s="33" t="n">
        <f aca="false">IF(B1216&gt;=2,C1215,"")</f>
        <v>157</v>
      </c>
      <c r="E1216" s="33" t="n">
        <f aca="false">IF(B1216&gt;=5,AVERAGE(C1212:C1215),"")</f>
        <v>162</v>
      </c>
      <c r="F1216" s="33" t="n">
        <f aca="false">IF(B1216&gt;=9,AVERAGE(C1208:C1215),"")</f>
        <v>153.5</v>
      </c>
      <c r="G1216" s="33" t="n">
        <f aca="false">IF(B1216=1,"",IF(B1216=2,C1215,SES_Alpha*C1215+(1-SES_Alpha)*G1215))</f>
        <v>158.806939024258</v>
      </c>
      <c r="H1216" s="33" t="n">
        <f aca="false">IF(D1216="","",D1216-C1216)</f>
        <v>8</v>
      </c>
      <c r="I1216" s="33" t="n">
        <f aca="false">IF(E1216="","",E1216-C1216)</f>
        <v>13</v>
      </c>
      <c r="J1216" s="33" t="n">
        <f aca="false">IF(F1216="","",F1216-C1216)</f>
        <v>4.5</v>
      </c>
      <c r="K1216" s="33" t="n">
        <f aca="false">IF(G1216="","",G1216-C1216)</f>
        <v>9.80693902425801</v>
      </c>
      <c r="L1216" s="33" t="n">
        <f aca="false">IF(H1216="","",ABS(H1216))</f>
        <v>8</v>
      </c>
      <c r="M1216" s="33" t="n">
        <f aca="false">IF(I1216="","",ABS(I1216))</f>
        <v>13</v>
      </c>
      <c r="N1216" s="33" t="n">
        <f aca="false">IF(J1216="","",ABS(J1216))</f>
        <v>4.5</v>
      </c>
      <c r="O1216" s="33" t="n">
        <f aca="false">IF(K1216="","",ABS(K1216))</f>
        <v>9.80693902425801</v>
      </c>
      <c r="P1216" s="34" t="str">
        <f aca="false">IF(B1216&gt;=Eval_Start_Week,"YES","")</f>
        <v>YES</v>
      </c>
      <c r="Q1216" s="34" t="str">
        <f aca="false">IF(AND(B1216&gt;=Cal_Start_Week,B1216&lt;=Cal_End_Week),"YES","")</f>
        <v>YES</v>
      </c>
    </row>
    <row r="1217" customFormat="false" ht="15" hidden="false" customHeight="false" outlineLevel="0" collapsed="false">
      <c r="A1217" s="31" t="str">
        <f aca="false">Demand_History!C1217</f>
        <v>BTH-002</v>
      </c>
      <c r="B1217" s="31" t="n">
        <f aca="false">Demand_History!A1217</f>
        <v>72</v>
      </c>
      <c r="C1217" s="32" t="n">
        <f aca="false">Demand_History!D1217</f>
        <v>183</v>
      </c>
      <c r="D1217" s="33" t="n">
        <f aca="false">IF(B1217&gt;=2,C1216,"")</f>
        <v>149</v>
      </c>
      <c r="E1217" s="33" t="n">
        <f aca="false">IF(B1217&gt;=5,AVERAGE(C1213:C1216),"")</f>
        <v>164</v>
      </c>
      <c r="F1217" s="33" t="n">
        <f aca="false">IF(B1217&gt;=9,AVERAGE(C1209:C1216),"")</f>
        <v>154.375</v>
      </c>
      <c r="G1217" s="33" t="n">
        <f aca="false">IF(B1217=1,"",IF(B1217=2,C1216,SES_Alpha*C1216+(1-SES_Alpha)*G1216))</f>
        <v>155.864857316981</v>
      </c>
      <c r="H1217" s="33" t="n">
        <f aca="false">IF(D1217="","",D1217-C1217)</f>
        <v>-34</v>
      </c>
      <c r="I1217" s="33" t="n">
        <f aca="false">IF(E1217="","",E1217-C1217)</f>
        <v>-19</v>
      </c>
      <c r="J1217" s="33" t="n">
        <f aca="false">IF(F1217="","",F1217-C1217)</f>
        <v>-28.625</v>
      </c>
      <c r="K1217" s="33" t="n">
        <f aca="false">IF(G1217="","",G1217-C1217)</f>
        <v>-27.1351426830194</v>
      </c>
      <c r="L1217" s="33" t="n">
        <f aca="false">IF(H1217="","",ABS(H1217))</f>
        <v>34</v>
      </c>
      <c r="M1217" s="33" t="n">
        <f aca="false">IF(I1217="","",ABS(I1217))</f>
        <v>19</v>
      </c>
      <c r="N1217" s="33" t="n">
        <f aca="false">IF(J1217="","",ABS(J1217))</f>
        <v>28.625</v>
      </c>
      <c r="O1217" s="33" t="n">
        <f aca="false">IF(K1217="","",ABS(K1217))</f>
        <v>27.1351426830194</v>
      </c>
      <c r="P1217" s="34" t="str">
        <f aca="false">IF(B1217&gt;=Eval_Start_Week,"YES","")</f>
        <v>YES</v>
      </c>
      <c r="Q1217" s="34" t="str">
        <f aca="false">IF(AND(B1217&gt;=Cal_Start_Week,B1217&lt;=Cal_End_Week),"YES","")</f>
        <v>YES</v>
      </c>
    </row>
    <row r="1218" customFormat="false" ht="15" hidden="false" customHeight="false" outlineLevel="0" collapsed="false">
      <c r="A1218" s="31" t="str">
        <f aca="false">Demand_History!C1218</f>
        <v>BTH-002</v>
      </c>
      <c r="B1218" s="31" t="n">
        <f aca="false">Demand_History!A1218</f>
        <v>73</v>
      </c>
      <c r="C1218" s="32" t="n">
        <f aca="false">Demand_History!D1218</f>
        <v>155</v>
      </c>
      <c r="D1218" s="33" t="n">
        <f aca="false">IF(B1218&gt;=2,C1217,"")</f>
        <v>183</v>
      </c>
      <c r="E1218" s="33" t="n">
        <f aca="false">IF(B1218&gt;=5,AVERAGE(C1214:C1217),"")</f>
        <v>164.75</v>
      </c>
      <c r="F1218" s="33" t="n">
        <f aca="false">IF(B1218&gt;=9,AVERAGE(C1210:C1217),"")</f>
        <v>158.625</v>
      </c>
      <c r="G1218" s="33" t="n">
        <f aca="false">IF(B1218=1,"",IF(B1218=2,C1217,SES_Alpha*C1217+(1-SES_Alpha)*G1217))</f>
        <v>164.005400121886</v>
      </c>
      <c r="H1218" s="33" t="n">
        <f aca="false">IF(D1218="","",D1218-C1218)</f>
        <v>28</v>
      </c>
      <c r="I1218" s="33" t="n">
        <f aca="false">IF(E1218="","",E1218-C1218)</f>
        <v>9.75</v>
      </c>
      <c r="J1218" s="33" t="n">
        <f aca="false">IF(F1218="","",F1218-C1218)</f>
        <v>3.625</v>
      </c>
      <c r="K1218" s="33" t="n">
        <f aca="false">IF(G1218="","",G1218-C1218)</f>
        <v>9.0054001218864</v>
      </c>
      <c r="L1218" s="33" t="n">
        <f aca="false">IF(H1218="","",ABS(H1218))</f>
        <v>28</v>
      </c>
      <c r="M1218" s="33" t="n">
        <f aca="false">IF(I1218="","",ABS(I1218))</f>
        <v>9.75</v>
      </c>
      <c r="N1218" s="33" t="n">
        <f aca="false">IF(J1218="","",ABS(J1218))</f>
        <v>3.625</v>
      </c>
      <c r="O1218" s="33" t="n">
        <f aca="false">IF(K1218="","",ABS(K1218))</f>
        <v>9.0054001218864</v>
      </c>
      <c r="P1218" s="34" t="str">
        <f aca="false">IF(B1218&gt;=Eval_Start_Week,"YES","")</f>
        <v>YES</v>
      </c>
      <c r="Q1218" s="34" t="str">
        <f aca="false">IF(AND(B1218&gt;=Cal_Start_Week,B1218&lt;=Cal_End_Week),"YES","")</f>
        <v>YES</v>
      </c>
    </row>
    <row r="1219" customFormat="false" ht="15" hidden="false" customHeight="false" outlineLevel="0" collapsed="false">
      <c r="A1219" s="31" t="str">
        <f aca="false">Demand_History!C1219</f>
        <v>BTH-002</v>
      </c>
      <c r="B1219" s="31" t="n">
        <f aca="false">Demand_History!A1219</f>
        <v>74</v>
      </c>
      <c r="C1219" s="32" t="n">
        <f aca="false">Demand_History!D1219</f>
        <v>149</v>
      </c>
      <c r="D1219" s="33" t="n">
        <f aca="false">IF(B1219&gt;=2,C1218,"")</f>
        <v>155</v>
      </c>
      <c r="E1219" s="33" t="n">
        <f aca="false">IF(B1219&gt;=5,AVERAGE(C1215:C1218),"")</f>
        <v>161</v>
      </c>
      <c r="F1219" s="33" t="n">
        <f aca="false">IF(B1219&gt;=9,AVERAGE(C1211:C1218),"")</f>
        <v>160.375</v>
      </c>
      <c r="G1219" s="33" t="n">
        <f aca="false">IF(B1219=1,"",IF(B1219=2,C1218,SES_Alpha*C1218+(1-SES_Alpha)*G1218))</f>
        <v>161.30378008532</v>
      </c>
      <c r="H1219" s="33" t="n">
        <f aca="false">IF(D1219="","",D1219-C1219)</f>
        <v>6</v>
      </c>
      <c r="I1219" s="33" t="n">
        <f aca="false">IF(E1219="","",E1219-C1219)</f>
        <v>12</v>
      </c>
      <c r="J1219" s="33" t="n">
        <f aca="false">IF(F1219="","",F1219-C1219)</f>
        <v>11.375</v>
      </c>
      <c r="K1219" s="33" t="n">
        <f aca="false">IF(G1219="","",G1219-C1219)</f>
        <v>12.3037800853205</v>
      </c>
      <c r="L1219" s="33" t="n">
        <f aca="false">IF(H1219="","",ABS(H1219))</f>
        <v>6</v>
      </c>
      <c r="M1219" s="33" t="n">
        <f aca="false">IF(I1219="","",ABS(I1219))</f>
        <v>12</v>
      </c>
      <c r="N1219" s="33" t="n">
        <f aca="false">IF(J1219="","",ABS(J1219))</f>
        <v>11.375</v>
      </c>
      <c r="O1219" s="33" t="n">
        <f aca="false">IF(K1219="","",ABS(K1219))</f>
        <v>12.3037800853205</v>
      </c>
      <c r="P1219" s="34" t="str">
        <f aca="false">IF(B1219&gt;=Eval_Start_Week,"YES","")</f>
        <v>YES</v>
      </c>
      <c r="Q1219" s="34" t="str">
        <f aca="false">IF(AND(B1219&gt;=Cal_Start_Week,B1219&lt;=Cal_End_Week),"YES","")</f>
        <v>YES</v>
      </c>
    </row>
    <row r="1220" customFormat="false" ht="15" hidden="false" customHeight="false" outlineLevel="0" collapsed="false">
      <c r="A1220" s="31" t="str">
        <f aca="false">Demand_History!C1220</f>
        <v>BTH-002</v>
      </c>
      <c r="B1220" s="31" t="n">
        <f aca="false">Demand_History!A1220</f>
        <v>75</v>
      </c>
      <c r="C1220" s="32" t="n">
        <f aca="false">Demand_History!D1220</f>
        <v>155</v>
      </c>
      <c r="D1220" s="33" t="n">
        <f aca="false">IF(B1220&gt;=2,C1219,"")</f>
        <v>149</v>
      </c>
      <c r="E1220" s="33" t="n">
        <f aca="false">IF(B1220&gt;=5,AVERAGE(C1216:C1219),"")</f>
        <v>159</v>
      </c>
      <c r="F1220" s="33" t="n">
        <f aca="false">IF(B1220&gt;=9,AVERAGE(C1212:C1219),"")</f>
        <v>160.5</v>
      </c>
      <c r="G1220" s="33" t="n">
        <f aca="false">IF(B1220=1,"",IF(B1220=2,C1219,SES_Alpha*C1219+(1-SES_Alpha)*G1219))</f>
        <v>157.612646059724</v>
      </c>
      <c r="H1220" s="33" t="n">
        <f aca="false">IF(D1220="","",D1220-C1220)</f>
        <v>-6</v>
      </c>
      <c r="I1220" s="33" t="n">
        <f aca="false">IF(E1220="","",E1220-C1220)</f>
        <v>4</v>
      </c>
      <c r="J1220" s="33" t="n">
        <f aca="false">IF(F1220="","",F1220-C1220)</f>
        <v>5.5</v>
      </c>
      <c r="K1220" s="33" t="n">
        <f aca="false">IF(G1220="","",G1220-C1220)</f>
        <v>2.61264605972431</v>
      </c>
      <c r="L1220" s="33" t="n">
        <f aca="false">IF(H1220="","",ABS(H1220))</f>
        <v>6</v>
      </c>
      <c r="M1220" s="33" t="n">
        <f aca="false">IF(I1220="","",ABS(I1220))</f>
        <v>4</v>
      </c>
      <c r="N1220" s="33" t="n">
        <f aca="false">IF(J1220="","",ABS(J1220))</f>
        <v>5.5</v>
      </c>
      <c r="O1220" s="33" t="n">
        <f aca="false">IF(K1220="","",ABS(K1220))</f>
        <v>2.61264605972431</v>
      </c>
      <c r="P1220" s="34" t="str">
        <f aca="false">IF(B1220&gt;=Eval_Start_Week,"YES","")</f>
        <v>YES</v>
      </c>
      <c r="Q1220" s="34" t="str">
        <f aca="false">IF(AND(B1220&gt;=Cal_Start_Week,B1220&lt;=Cal_End_Week),"YES","")</f>
        <v>YES</v>
      </c>
    </row>
    <row r="1221" customFormat="false" ht="15" hidden="false" customHeight="false" outlineLevel="0" collapsed="false">
      <c r="A1221" s="31" t="str">
        <f aca="false">Demand_History!C1221</f>
        <v>BTH-002</v>
      </c>
      <c r="B1221" s="31" t="n">
        <f aca="false">Demand_History!A1221</f>
        <v>76</v>
      </c>
      <c r="C1221" s="32" t="n">
        <f aca="false">Demand_History!D1221</f>
        <v>155</v>
      </c>
      <c r="D1221" s="33" t="n">
        <f aca="false">IF(B1221&gt;=2,C1220,"")</f>
        <v>155</v>
      </c>
      <c r="E1221" s="33" t="n">
        <f aca="false">IF(B1221&gt;=5,AVERAGE(C1217:C1220),"")</f>
        <v>160.5</v>
      </c>
      <c r="F1221" s="33" t="n">
        <f aca="false">IF(B1221&gt;=9,AVERAGE(C1213:C1220),"")</f>
        <v>162.25</v>
      </c>
      <c r="G1221" s="33" t="n">
        <f aca="false">IF(B1221=1,"",IF(B1221=2,C1220,SES_Alpha*C1220+(1-SES_Alpha)*G1220))</f>
        <v>156.828852241807</v>
      </c>
      <c r="H1221" s="33" t="n">
        <f aca="false">IF(D1221="","",D1221-C1221)</f>
        <v>0</v>
      </c>
      <c r="I1221" s="33" t="n">
        <f aca="false">IF(E1221="","",E1221-C1221)</f>
        <v>5.5</v>
      </c>
      <c r="J1221" s="33" t="n">
        <f aca="false">IF(F1221="","",F1221-C1221)</f>
        <v>7.25</v>
      </c>
      <c r="K1221" s="33" t="n">
        <f aca="false">IF(G1221="","",G1221-C1221)</f>
        <v>1.828852241807</v>
      </c>
      <c r="L1221" s="33" t="n">
        <f aca="false">IF(H1221="","",ABS(H1221))</f>
        <v>0</v>
      </c>
      <c r="M1221" s="33" t="n">
        <f aca="false">IF(I1221="","",ABS(I1221))</f>
        <v>5.5</v>
      </c>
      <c r="N1221" s="33" t="n">
        <f aca="false">IF(J1221="","",ABS(J1221))</f>
        <v>7.25</v>
      </c>
      <c r="O1221" s="33" t="n">
        <f aca="false">IF(K1221="","",ABS(K1221))</f>
        <v>1.828852241807</v>
      </c>
      <c r="P1221" s="34" t="str">
        <f aca="false">IF(B1221&gt;=Eval_Start_Week,"YES","")</f>
        <v>YES</v>
      </c>
      <c r="Q1221" s="34" t="str">
        <f aca="false">IF(AND(B1221&gt;=Cal_Start_Week,B1221&lt;=Cal_End_Week),"YES","")</f>
        <v>YES</v>
      </c>
    </row>
    <row r="1222" customFormat="false" ht="15" hidden="false" customHeight="false" outlineLevel="0" collapsed="false">
      <c r="A1222" s="31" t="str">
        <f aca="false">Demand_History!C1222</f>
        <v>BTH-002</v>
      </c>
      <c r="B1222" s="31" t="n">
        <f aca="false">Demand_History!A1222</f>
        <v>77</v>
      </c>
      <c r="C1222" s="32" t="n">
        <f aca="false">Demand_History!D1222</f>
        <v>171</v>
      </c>
      <c r="D1222" s="33" t="n">
        <f aca="false">IF(B1222&gt;=2,C1221,"")</f>
        <v>155</v>
      </c>
      <c r="E1222" s="33" t="n">
        <f aca="false">IF(B1222&gt;=5,AVERAGE(C1218:C1221),"")</f>
        <v>153.5</v>
      </c>
      <c r="F1222" s="33" t="n">
        <f aca="false">IF(B1222&gt;=9,AVERAGE(C1214:C1221),"")</f>
        <v>159.125</v>
      </c>
      <c r="G1222" s="33" t="n">
        <f aca="false">IF(B1222=1,"",IF(B1222=2,C1221,SES_Alpha*C1221+(1-SES_Alpha)*G1221))</f>
        <v>156.280196569265</v>
      </c>
      <c r="H1222" s="33" t="n">
        <f aca="false">IF(D1222="","",D1222-C1222)</f>
        <v>-16</v>
      </c>
      <c r="I1222" s="33" t="n">
        <f aca="false">IF(E1222="","",E1222-C1222)</f>
        <v>-17.5</v>
      </c>
      <c r="J1222" s="33" t="n">
        <f aca="false">IF(F1222="","",F1222-C1222)</f>
        <v>-11.875</v>
      </c>
      <c r="K1222" s="33" t="n">
        <f aca="false">IF(G1222="","",G1222-C1222)</f>
        <v>-14.7198034307351</v>
      </c>
      <c r="L1222" s="33" t="n">
        <f aca="false">IF(H1222="","",ABS(H1222))</f>
        <v>16</v>
      </c>
      <c r="M1222" s="33" t="n">
        <f aca="false">IF(I1222="","",ABS(I1222))</f>
        <v>17.5</v>
      </c>
      <c r="N1222" s="33" t="n">
        <f aca="false">IF(J1222="","",ABS(J1222))</f>
        <v>11.875</v>
      </c>
      <c r="O1222" s="33" t="n">
        <f aca="false">IF(K1222="","",ABS(K1222))</f>
        <v>14.7198034307351</v>
      </c>
      <c r="P1222" s="34" t="str">
        <f aca="false">IF(B1222&gt;=Eval_Start_Week,"YES","")</f>
        <v>YES</v>
      </c>
      <c r="Q1222" s="34" t="str">
        <f aca="false">IF(AND(B1222&gt;=Cal_Start_Week,B1222&lt;=Cal_End_Week),"YES","")</f>
        <v>YES</v>
      </c>
    </row>
    <row r="1223" customFormat="false" ht="15" hidden="false" customHeight="false" outlineLevel="0" collapsed="false">
      <c r="A1223" s="31" t="str">
        <f aca="false">Demand_History!C1223</f>
        <v>BTH-002</v>
      </c>
      <c r="B1223" s="31" t="n">
        <f aca="false">Demand_History!A1223</f>
        <v>78</v>
      </c>
      <c r="C1223" s="32" t="n">
        <f aca="false">Demand_History!D1223</f>
        <v>150</v>
      </c>
      <c r="D1223" s="33" t="n">
        <f aca="false">IF(B1223&gt;=2,C1222,"")</f>
        <v>171</v>
      </c>
      <c r="E1223" s="33" t="n">
        <f aca="false">IF(B1223&gt;=5,AVERAGE(C1219:C1222),"")</f>
        <v>157.5</v>
      </c>
      <c r="F1223" s="33" t="n">
        <f aca="false">IF(B1223&gt;=9,AVERAGE(C1215:C1222),"")</f>
        <v>159.25</v>
      </c>
      <c r="G1223" s="33" t="n">
        <f aca="false">IF(B1223=1,"",IF(B1223=2,C1222,SES_Alpha*C1222+(1-SES_Alpha)*G1222))</f>
        <v>160.696137598485</v>
      </c>
      <c r="H1223" s="33" t="n">
        <f aca="false">IF(D1223="","",D1223-C1223)</f>
        <v>21</v>
      </c>
      <c r="I1223" s="33" t="n">
        <f aca="false">IF(E1223="","",E1223-C1223)</f>
        <v>7.5</v>
      </c>
      <c r="J1223" s="33" t="n">
        <f aca="false">IF(F1223="","",F1223-C1223)</f>
        <v>9.25</v>
      </c>
      <c r="K1223" s="33" t="n">
        <f aca="false">IF(G1223="","",G1223-C1223)</f>
        <v>10.6961375984854</v>
      </c>
      <c r="L1223" s="33" t="n">
        <f aca="false">IF(H1223="","",ABS(H1223))</f>
        <v>21</v>
      </c>
      <c r="M1223" s="33" t="n">
        <f aca="false">IF(I1223="","",ABS(I1223))</f>
        <v>7.5</v>
      </c>
      <c r="N1223" s="33" t="n">
        <f aca="false">IF(J1223="","",ABS(J1223))</f>
        <v>9.25</v>
      </c>
      <c r="O1223" s="33" t="n">
        <f aca="false">IF(K1223="","",ABS(K1223))</f>
        <v>10.6961375984854</v>
      </c>
      <c r="P1223" s="34" t="str">
        <f aca="false">IF(B1223&gt;=Eval_Start_Week,"YES","")</f>
        <v>YES</v>
      </c>
      <c r="Q1223" s="34" t="str">
        <f aca="false">IF(AND(B1223&gt;=Cal_Start_Week,B1223&lt;=Cal_End_Week),"YES","")</f>
        <v>YES</v>
      </c>
    </row>
    <row r="1224" customFormat="false" ht="15" hidden="false" customHeight="false" outlineLevel="0" collapsed="false">
      <c r="A1224" s="31" t="str">
        <f aca="false">Demand_History!C1224</f>
        <v>BTH-002</v>
      </c>
      <c r="B1224" s="31" t="n">
        <f aca="false">Demand_History!A1224</f>
        <v>79</v>
      </c>
      <c r="C1224" s="32" t="n">
        <f aca="false">Demand_History!D1224</f>
        <v>182</v>
      </c>
      <c r="D1224" s="33" t="n">
        <f aca="false">IF(B1224&gt;=2,C1223,"")</f>
        <v>150</v>
      </c>
      <c r="E1224" s="33" t="n">
        <f aca="false">IF(B1224&gt;=5,AVERAGE(C1220:C1223),"")</f>
        <v>157.75</v>
      </c>
      <c r="F1224" s="33" t="n">
        <f aca="false">IF(B1224&gt;=9,AVERAGE(C1216:C1223),"")</f>
        <v>158.375</v>
      </c>
      <c r="G1224" s="33" t="n">
        <f aca="false">IF(B1224=1,"",IF(B1224=2,C1223,SES_Alpha*C1223+(1-SES_Alpha)*G1223))</f>
        <v>157.48729631894</v>
      </c>
      <c r="H1224" s="33" t="n">
        <f aca="false">IF(D1224="","",D1224-C1224)</f>
        <v>-32</v>
      </c>
      <c r="I1224" s="33" t="n">
        <f aca="false">IF(E1224="","",E1224-C1224)</f>
        <v>-24.25</v>
      </c>
      <c r="J1224" s="33" t="n">
        <f aca="false">IF(F1224="","",F1224-C1224)</f>
        <v>-23.625</v>
      </c>
      <c r="K1224" s="33" t="n">
        <f aca="false">IF(G1224="","",G1224-C1224)</f>
        <v>-24.5127036810602</v>
      </c>
      <c r="L1224" s="33" t="n">
        <f aca="false">IF(H1224="","",ABS(H1224))</f>
        <v>32</v>
      </c>
      <c r="M1224" s="33" t="n">
        <f aca="false">IF(I1224="","",ABS(I1224))</f>
        <v>24.25</v>
      </c>
      <c r="N1224" s="33" t="n">
        <f aca="false">IF(J1224="","",ABS(J1224))</f>
        <v>23.625</v>
      </c>
      <c r="O1224" s="33" t="n">
        <f aca="false">IF(K1224="","",ABS(K1224))</f>
        <v>24.5127036810602</v>
      </c>
      <c r="P1224" s="34" t="str">
        <f aca="false">IF(B1224&gt;=Eval_Start_Week,"YES","")</f>
        <v>YES</v>
      </c>
      <c r="Q1224" s="34" t="str">
        <f aca="false">IF(AND(B1224&gt;=Cal_Start_Week,B1224&lt;=Cal_End_Week),"YES","")</f>
        <v>YES</v>
      </c>
    </row>
    <row r="1225" customFormat="false" ht="15" hidden="false" customHeight="false" outlineLevel="0" collapsed="false">
      <c r="A1225" s="31" t="str">
        <f aca="false">Demand_History!C1225</f>
        <v>BTH-002</v>
      </c>
      <c r="B1225" s="31" t="n">
        <f aca="false">Demand_History!A1225</f>
        <v>80</v>
      </c>
      <c r="C1225" s="32" t="n">
        <f aca="false">Demand_History!D1225</f>
        <v>137</v>
      </c>
      <c r="D1225" s="33" t="n">
        <f aca="false">IF(B1225&gt;=2,C1224,"")</f>
        <v>182</v>
      </c>
      <c r="E1225" s="33" t="n">
        <f aca="false">IF(B1225&gt;=5,AVERAGE(C1221:C1224),"")</f>
        <v>164.5</v>
      </c>
      <c r="F1225" s="33" t="n">
        <f aca="false">IF(B1225&gt;=9,AVERAGE(C1217:C1224),"")</f>
        <v>162.5</v>
      </c>
      <c r="G1225" s="33" t="n">
        <f aca="false">IF(B1225=1,"",IF(B1225=2,C1224,SES_Alpha*C1224+(1-SES_Alpha)*G1224))</f>
        <v>164.841107423258</v>
      </c>
      <c r="H1225" s="33" t="n">
        <f aca="false">IF(D1225="","",D1225-C1225)</f>
        <v>45</v>
      </c>
      <c r="I1225" s="33" t="n">
        <f aca="false">IF(E1225="","",E1225-C1225)</f>
        <v>27.5</v>
      </c>
      <c r="J1225" s="33" t="n">
        <f aca="false">IF(F1225="","",F1225-C1225)</f>
        <v>25.5</v>
      </c>
      <c r="K1225" s="33" t="n">
        <f aca="false">IF(G1225="","",G1225-C1225)</f>
        <v>27.8411074232578</v>
      </c>
      <c r="L1225" s="33" t="n">
        <f aca="false">IF(H1225="","",ABS(H1225))</f>
        <v>45</v>
      </c>
      <c r="M1225" s="33" t="n">
        <f aca="false">IF(I1225="","",ABS(I1225))</f>
        <v>27.5</v>
      </c>
      <c r="N1225" s="33" t="n">
        <f aca="false">IF(J1225="","",ABS(J1225))</f>
        <v>25.5</v>
      </c>
      <c r="O1225" s="33" t="n">
        <f aca="false">IF(K1225="","",ABS(K1225))</f>
        <v>27.8411074232578</v>
      </c>
      <c r="P1225" s="34" t="str">
        <f aca="false">IF(B1225&gt;=Eval_Start_Week,"YES","")</f>
        <v>YES</v>
      </c>
      <c r="Q1225" s="34" t="str">
        <f aca="false">IF(AND(B1225&gt;=Cal_Start_Week,B1225&lt;=Cal_End_Week),"YES","")</f>
        <v>YES</v>
      </c>
    </row>
    <row r="1226" customFormat="false" ht="15" hidden="false" customHeight="false" outlineLevel="0" collapsed="false">
      <c r="A1226" s="31" t="str">
        <f aca="false">Demand_History!C1226</f>
        <v>BTH-002</v>
      </c>
      <c r="B1226" s="31" t="n">
        <f aca="false">Demand_History!A1226</f>
        <v>81</v>
      </c>
      <c r="C1226" s="32" t="n">
        <f aca="false">Demand_History!D1226</f>
        <v>160</v>
      </c>
      <c r="D1226" s="33" t="n">
        <f aca="false">IF(B1226&gt;=2,C1225,"")</f>
        <v>137</v>
      </c>
      <c r="E1226" s="33" t="n">
        <f aca="false">IF(B1226&gt;=5,AVERAGE(C1222:C1225),"")</f>
        <v>160</v>
      </c>
      <c r="F1226" s="33" t="n">
        <f aca="false">IF(B1226&gt;=9,AVERAGE(C1218:C1225),"")</f>
        <v>156.75</v>
      </c>
      <c r="G1226" s="33" t="n">
        <f aca="false">IF(B1226=1,"",IF(B1226=2,C1225,SES_Alpha*C1225+(1-SES_Alpha)*G1225))</f>
        <v>156.48877519628</v>
      </c>
      <c r="H1226" s="33" t="n">
        <f aca="false">IF(D1226="","",D1226-C1226)</f>
        <v>-23</v>
      </c>
      <c r="I1226" s="33" t="n">
        <f aca="false">IF(E1226="","",E1226-C1226)</f>
        <v>0</v>
      </c>
      <c r="J1226" s="33" t="n">
        <f aca="false">IF(F1226="","",F1226-C1226)</f>
        <v>-3.25</v>
      </c>
      <c r="K1226" s="33" t="n">
        <f aca="false">IF(G1226="","",G1226-C1226)</f>
        <v>-3.51122480371953</v>
      </c>
      <c r="L1226" s="33" t="n">
        <f aca="false">IF(H1226="","",ABS(H1226))</f>
        <v>23</v>
      </c>
      <c r="M1226" s="33" t="n">
        <f aca="false">IF(I1226="","",ABS(I1226))</f>
        <v>0</v>
      </c>
      <c r="N1226" s="33" t="n">
        <f aca="false">IF(J1226="","",ABS(J1226))</f>
        <v>3.25</v>
      </c>
      <c r="O1226" s="33" t="n">
        <f aca="false">IF(K1226="","",ABS(K1226))</f>
        <v>3.51122480371953</v>
      </c>
      <c r="P1226" s="34" t="str">
        <f aca="false">IF(B1226&gt;=Eval_Start_Week,"YES","")</f>
        <v>YES</v>
      </c>
      <c r="Q1226" s="34" t="str">
        <f aca="false">IF(AND(B1226&gt;=Cal_Start_Week,B1226&lt;=Cal_End_Week),"YES","")</f>
        <v>YES</v>
      </c>
    </row>
    <row r="1227" customFormat="false" ht="15" hidden="false" customHeight="false" outlineLevel="0" collapsed="false">
      <c r="A1227" s="31" t="str">
        <f aca="false">Demand_History!C1227</f>
        <v>BTH-002</v>
      </c>
      <c r="B1227" s="31" t="n">
        <f aca="false">Demand_History!A1227</f>
        <v>82</v>
      </c>
      <c r="C1227" s="32" t="n">
        <f aca="false">Demand_History!D1227</f>
        <v>135</v>
      </c>
      <c r="D1227" s="33" t="n">
        <f aca="false">IF(B1227&gt;=2,C1226,"")</f>
        <v>160</v>
      </c>
      <c r="E1227" s="33" t="n">
        <f aca="false">IF(B1227&gt;=5,AVERAGE(C1223:C1226),"")</f>
        <v>157.25</v>
      </c>
      <c r="F1227" s="33" t="n">
        <f aca="false">IF(B1227&gt;=9,AVERAGE(C1219:C1226),"")</f>
        <v>157.375</v>
      </c>
      <c r="G1227" s="33" t="n">
        <f aca="false">IF(B1227=1,"",IF(B1227=2,C1226,SES_Alpha*C1226+(1-SES_Alpha)*G1226))</f>
        <v>157.542142637396</v>
      </c>
      <c r="H1227" s="33" t="n">
        <f aca="false">IF(D1227="","",D1227-C1227)</f>
        <v>25</v>
      </c>
      <c r="I1227" s="33" t="n">
        <f aca="false">IF(E1227="","",E1227-C1227)</f>
        <v>22.25</v>
      </c>
      <c r="J1227" s="33" t="n">
        <f aca="false">IF(F1227="","",F1227-C1227)</f>
        <v>22.375</v>
      </c>
      <c r="K1227" s="33" t="n">
        <f aca="false">IF(G1227="","",G1227-C1227)</f>
        <v>22.5421426373963</v>
      </c>
      <c r="L1227" s="33" t="n">
        <f aca="false">IF(H1227="","",ABS(H1227))</f>
        <v>25</v>
      </c>
      <c r="M1227" s="33" t="n">
        <f aca="false">IF(I1227="","",ABS(I1227))</f>
        <v>22.25</v>
      </c>
      <c r="N1227" s="33" t="n">
        <f aca="false">IF(J1227="","",ABS(J1227))</f>
        <v>22.375</v>
      </c>
      <c r="O1227" s="33" t="n">
        <f aca="false">IF(K1227="","",ABS(K1227))</f>
        <v>22.5421426373963</v>
      </c>
      <c r="P1227" s="34" t="str">
        <f aca="false">IF(B1227&gt;=Eval_Start_Week,"YES","")</f>
        <v>YES</v>
      </c>
      <c r="Q1227" s="34" t="str">
        <f aca="false">IF(AND(B1227&gt;=Cal_Start_Week,B1227&lt;=Cal_End_Week),"YES","")</f>
        <v>YES</v>
      </c>
    </row>
    <row r="1228" customFormat="false" ht="15" hidden="false" customHeight="false" outlineLevel="0" collapsed="false">
      <c r="A1228" s="31" t="str">
        <f aca="false">Demand_History!C1228</f>
        <v>BTH-002</v>
      </c>
      <c r="B1228" s="31" t="n">
        <f aca="false">Demand_History!A1228</f>
        <v>83</v>
      </c>
      <c r="C1228" s="32" t="n">
        <f aca="false">Demand_History!D1228</f>
        <v>177</v>
      </c>
      <c r="D1228" s="33" t="n">
        <f aca="false">IF(B1228&gt;=2,C1227,"")</f>
        <v>135</v>
      </c>
      <c r="E1228" s="33" t="n">
        <f aca="false">IF(B1228&gt;=5,AVERAGE(C1224:C1227),"")</f>
        <v>153.5</v>
      </c>
      <c r="F1228" s="33" t="n">
        <f aca="false">IF(B1228&gt;=9,AVERAGE(C1220:C1227),"")</f>
        <v>155.625</v>
      </c>
      <c r="G1228" s="33" t="n">
        <f aca="false">IF(B1228=1,"",IF(B1228=2,C1227,SES_Alpha*C1227+(1-SES_Alpha)*G1227))</f>
        <v>150.779499846177</v>
      </c>
      <c r="H1228" s="33" t="n">
        <f aca="false">IF(D1228="","",D1228-C1228)</f>
        <v>-42</v>
      </c>
      <c r="I1228" s="33" t="n">
        <f aca="false">IF(E1228="","",E1228-C1228)</f>
        <v>-23.5</v>
      </c>
      <c r="J1228" s="33" t="n">
        <f aca="false">IF(F1228="","",F1228-C1228)</f>
        <v>-21.375</v>
      </c>
      <c r="K1228" s="33" t="n">
        <f aca="false">IF(G1228="","",G1228-C1228)</f>
        <v>-26.2205001538226</v>
      </c>
      <c r="L1228" s="33" t="n">
        <f aca="false">IF(H1228="","",ABS(H1228))</f>
        <v>42</v>
      </c>
      <c r="M1228" s="33" t="n">
        <f aca="false">IF(I1228="","",ABS(I1228))</f>
        <v>23.5</v>
      </c>
      <c r="N1228" s="33" t="n">
        <f aca="false">IF(J1228="","",ABS(J1228))</f>
        <v>21.375</v>
      </c>
      <c r="O1228" s="33" t="n">
        <f aca="false">IF(K1228="","",ABS(K1228))</f>
        <v>26.2205001538226</v>
      </c>
      <c r="P1228" s="34" t="str">
        <f aca="false">IF(B1228&gt;=Eval_Start_Week,"YES","")</f>
        <v>YES</v>
      </c>
      <c r="Q1228" s="34" t="str">
        <f aca="false">IF(AND(B1228&gt;=Cal_Start_Week,B1228&lt;=Cal_End_Week),"YES","")</f>
        <v>YES</v>
      </c>
    </row>
    <row r="1229" customFormat="false" ht="15" hidden="false" customHeight="false" outlineLevel="0" collapsed="false">
      <c r="A1229" s="31" t="str">
        <f aca="false">Demand_History!C1229</f>
        <v>BTH-002</v>
      </c>
      <c r="B1229" s="31" t="n">
        <f aca="false">Demand_History!A1229</f>
        <v>84</v>
      </c>
      <c r="C1229" s="32" t="n">
        <f aca="false">Demand_History!D1229</f>
        <v>145</v>
      </c>
      <c r="D1229" s="33" t="n">
        <f aca="false">IF(B1229&gt;=2,C1228,"")</f>
        <v>177</v>
      </c>
      <c r="E1229" s="33" t="n">
        <f aca="false">IF(B1229&gt;=5,AVERAGE(C1225:C1228),"")</f>
        <v>152.25</v>
      </c>
      <c r="F1229" s="33" t="n">
        <f aca="false">IF(B1229&gt;=9,AVERAGE(C1221:C1228),"")</f>
        <v>158.375</v>
      </c>
      <c r="G1229" s="33" t="n">
        <f aca="false">IF(B1229=1,"",IF(B1229=2,C1228,SES_Alpha*C1228+(1-SES_Alpha)*G1228))</f>
        <v>158.645649892324</v>
      </c>
      <c r="H1229" s="33" t="n">
        <f aca="false">IF(D1229="","",D1229-C1229)</f>
        <v>32</v>
      </c>
      <c r="I1229" s="33" t="n">
        <f aca="false">IF(E1229="","",E1229-C1229)</f>
        <v>7.25</v>
      </c>
      <c r="J1229" s="33" t="n">
        <f aca="false">IF(F1229="","",F1229-C1229)</f>
        <v>13.375</v>
      </c>
      <c r="K1229" s="33" t="n">
        <f aca="false">IF(G1229="","",G1229-C1229)</f>
        <v>13.6456498923242</v>
      </c>
      <c r="L1229" s="33" t="n">
        <f aca="false">IF(H1229="","",ABS(H1229))</f>
        <v>32</v>
      </c>
      <c r="M1229" s="33" t="n">
        <f aca="false">IF(I1229="","",ABS(I1229))</f>
        <v>7.25</v>
      </c>
      <c r="N1229" s="33" t="n">
        <f aca="false">IF(J1229="","",ABS(J1229))</f>
        <v>13.375</v>
      </c>
      <c r="O1229" s="33" t="n">
        <f aca="false">IF(K1229="","",ABS(K1229))</f>
        <v>13.6456498923242</v>
      </c>
      <c r="P1229" s="34" t="str">
        <f aca="false">IF(B1229&gt;=Eval_Start_Week,"YES","")</f>
        <v>YES</v>
      </c>
      <c r="Q1229" s="34" t="str">
        <f aca="false">IF(AND(B1229&gt;=Cal_Start_Week,B1229&lt;=Cal_End_Week),"YES","")</f>
        <v>YES</v>
      </c>
    </row>
    <row r="1230" customFormat="false" ht="15" hidden="false" customHeight="false" outlineLevel="0" collapsed="false">
      <c r="A1230" s="31" t="str">
        <f aca="false">Demand_History!C1230</f>
        <v>BTH-002</v>
      </c>
      <c r="B1230" s="31" t="n">
        <f aca="false">Demand_History!A1230</f>
        <v>85</v>
      </c>
      <c r="C1230" s="32" t="n">
        <f aca="false">Demand_History!D1230</f>
        <v>149</v>
      </c>
      <c r="D1230" s="33" t="n">
        <f aca="false">IF(B1230&gt;=2,C1229,"")</f>
        <v>145</v>
      </c>
      <c r="E1230" s="33" t="n">
        <f aca="false">IF(B1230&gt;=5,AVERAGE(C1226:C1229),"")</f>
        <v>154.25</v>
      </c>
      <c r="F1230" s="33" t="n">
        <f aca="false">IF(B1230&gt;=9,AVERAGE(C1222:C1229),"")</f>
        <v>157.125</v>
      </c>
      <c r="G1230" s="33" t="n">
        <f aca="false">IF(B1230=1,"",IF(B1230=2,C1229,SES_Alpha*C1229+(1-SES_Alpha)*G1229))</f>
        <v>154.551954924627</v>
      </c>
      <c r="H1230" s="33" t="n">
        <f aca="false">IF(D1230="","",D1230-C1230)</f>
        <v>-4</v>
      </c>
      <c r="I1230" s="33" t="n">
        <f aca="false">IF(E1230="","",E1230-C1230)</f>
        <v>5.25</v>
      </c>
      <c r="J1230" s="33" t="n">
        <f aca="false">IF(F1230="","",F1230-C1230)</f>
        <v>8.125</v>
      </c>
      <c r="K1230" s="33" t="n">
        <f aca="false">IF(G1230="","",G1230-C1230)</f>
        <v>5.55195492462696</v>
      </c>
      <c r="L1230" s="33" t="n">
        <f aca="false">IF(H1230="","",ABS(H1230))</f>
        <v>4</v>
      </c>
      <c r="M1230" s="33" t="n">
        <f aca="false">IF(I1230="","",ABS(I1230))</f>
        <v>5.25</v>
      </c>
      <c r="N1230" s="33" t="n">
        <f aca="false">IF(J1230="","",ABS(J1230))</f>
        <v>8.125</v>
      </c>
      <c r="O1230" s="33" t="n">
        <f aca="false">IF(K1230="","",ABS(K1230))</f>
        <v>5.55195492462696</v>
      </c>
      <c r="P1230" s="34" t="str">
        <f aca="false">IF(B1230&gt;=Eval_Start_Week,"YES","")</f>
        <v>YES</v>
      </c>
      <c r="Q1230" s="34" t="str">
        <f aca="false">IF(AND(B1230&gt;=Cal_Start_Week,B1230&lt;=Cal_End_Week),"YES","")</f>
        <v>YES</v>
      </c>
    </row>
    <row r="1231" customFormat="false" ht="15" hidden="false" customHeight="false" outlineLevel="0" collapsed="false">
      <c r="A1231" s="31" t="str">
        <f aca="false">Demand_History!C1231</f>
        <v>BTH-002</v>
      </c>
      <c r="B1231" s="31" t="n">
        <f aca="false">Demand_History!A1231</f>
        <v>86</v>
      </c>
      <c r="C1231" s="32" t="n">
        <f aca="false">Demand_History!D1231</f>
        <v>164</v>
      </c>
      <c r="D1231" s="33" t="n">
        <f aca="false">IF(B1231&gt;=2,C1230,"")</f>
        <v>149</v>
      </c>
      <c r="E1231" s="33" t="n">
        <f aca="false">IF(B1231&gt;=5,AVERAGE(C1227:C1230),"")</f>
        <v>151.5</v>
      </c>
      <c r="F1231" s="33" t="n">
        <f aca="false">IF(B1231&gt;=9,AVERAGE(C1223:C1230),"")</f>
        <v>154.375</v>
      </c>
      <c r="G1231" s="33" t="n">
        <f aca="false">IF(B1231=1,"",IF(B1231=2,C1230,SES_Alpha*C1230+(1-SES_Alpha)*G1230))</f>
        <v>152.886368447239</v>
      </c>
      <c r="H1231" s="33" t="n">
        <f aca="false">IF(D1231="","",D1231-C1231)</f>
        <v>-15</v>
      </c>
      <c r="I1231" s="33" t="n">
        <f aca="false">IF(E1231="","",E1231-C1231)</f>
        <v>-12.5</v>
      </c>
      <c r="J1231" s="33" t="n">
        <f aca="false">IF(F1231="","",F1231-C1231)</f>
        <v>-9.625</v>
      </c>
      <c r="K1231" s="33" t="n">
        <f aca="false">IF(G1231="","",G1231-C1231)</f>
        <v>-11.1136315527611</v>
      </c>
      <c r="L1231" s="33" t="n">
        <f aca="false">IF(H1231="","",ABS(H1231))</f>
        <v>15</v>
      </c>
      <c r="M1231" s="33" t="n">
        <f aca="false">IF(I1231="","",ABS(I1231))</f>
        <v>12.5</v>
      </c>
      <c r="N1231" s="33" t="n">
        <f aca="false">IF(J1231="","",ABS(J1231))</f>
        <v>9.625</v>
      </c>
      <c r="O1231" s="33" t="n">
        <f aca="false">IF(K1231="","",ABS(K1231))</f>
        <v>11.1136315527611</v>
      </c>
      <c r="P1231" s="34" t="str">
        <f aca="false">IF(B1231&gt;=Eval_Start_Week,"YES","")</f>
        <v>YES</v>
      </c>
      <c r="Q1231" s="34" t="str">
        <f aca="false">IF(AND(B1231&gt;=Cal_Start_Week,B1231&lt;=Cal_End_Week),"YES","")</f>
        <v>YES</v>
      </c>
    </row>
    <row r="1232" customFormat="false" ht="15" hidden="false" customHeight="false" outlineLevel="0" collapsed="false">
      <c r="A1232" s="31" t="str">
        <f aca="false">Demand_History!C1232</f>
        <v>BTH-002</v>
      </c>
      <c r="B1232" s="31" t="n">
        <f aca="false">Demand_History!A1232</f>
        <v>87</v>
      </c>
      <c r="C1232" s="32" t="n">
        <f aca="false">Demand_History!D1232</f>
        <v>169</v>
      </c>
      <c r="D1232" s="33" t="n">
        <f aca="false">IF(B1232&gt;=2,C1231,"")</f>
        <v>164</v>
      </c>
      <c r="E1232" s="33" t="n">
        <f aca="false">IF(B1232&gt;=5,AVERAGE(C1228:C1231),"")</f>
        <v>158.75</v>
      </c>
      <c r="F1232" s="33" t="n">
        <f aca="false">IF(B1232&gt;=9,AVERAGE(C1224:C1231),"")</f>
        <v>156.125</v>
      </c>
      <c r="G1232" s="33" t="n">
        <f aca="false">IF(B1232=1,"",IF(B1232=2,C1231,SES_Alpha*C1231+(1-SES_Alpha)*G1231))</f>
        <v>156.220457913067</v>
      </c>
      <c r="H1232" s="33" t="n">
        <f aca="false">IF(D1232="","",D1232-C1232)</f>
        <v>-5</v>
      </c>
      <c r="I1232" s="33" t="n">
        <f aca="false">IF(E1232="","",E1232-C1232)</f>
        <v>-10.25</v>
      </c>
      <c r="J1232" s="33" t="n">
        <f aca="false">IF(F1232="","",F1232-C1232)</f>
        <v>-12.875</v>
      </c>
      <c r="K1232" s="33" t="n">
        <f aca="false">IF(G1232="","",G1232-C1232)</f>
        <v>-12.7795420869328</v>
      </c>
      <c r="L1232" s="33" t="n">
        <f aca="false">IF(H1232="","",ABS(H1232))</f>
        <v>5</v>
      </c>
      <c r="M1232" s="33" t="n">
        <f aca="false">IF(I1232="","",ABS(I1232))</f>
        <v>10.25</v>
      </c>
      <c r="N1232" s="33" t="n">
        <f aca="false">IF(J1232="","",ABS(J1232))</f>
        <v>12.875</v>
      </c>
      <c r="O1232" s="33" t="n">
        <f aca="false">IF(K1232="","",ABS(K1232))</f>
        <v>12.7795420869328</v>
      </c>
      <c r="P1232" s="34" t="str">
        <f aca="false">IF(B1232&gt;=Eval_Start_Week,"YES","")</f>
        <v>YES</v>
      </c>
      <c r="Q1232" s="34" t="str">
        <f aca="false">IF(AND(B1232&gt;=Cal_Start_Week,B1232&lt;=Cal_End_Week),"YES","")</f>
        <v>YES</v>
      </c>
    </row>
    <row r="1233" customFormat="false" ht="15" hidden="false" customHeight="false" outlineLevel="0" collapsed="false">
      <c r="A1233" s="31" t="str">
        <f aca="false">Demand_History!C1233</f>
        <v>BTH-002</v>
      </c>
      <c r="B1233" s="31" t="n">
        <f aca="false">Demand_History!A1233</f>
        <v>88</v>
      </c>
      <c r="C1233" s="32" t="n">
        <f aca="false">Demand_History!D1233</f>
        <v>133</v>
      </c>
      <c r="D1233" s="33" t="n">
        <f aca="false">IF(B1233&gt;=2,C1232,"")</f>
        <v>169</v>
      </c>
      <c r="E1233" s="33" t="n">
        <f aca="false">IF(B1233&gt;=5,AVERAGE(C1229:C1232),"")</f>
        <v>156.75</v>
      </c>
      <c r="F1233" s="33" t="n">
        <f aca="false">IF(B1233&gt;=9,AVERAGE(C1225:C1232),"")</f>
        <v>154.5</v>
      </c>
      <c r="G1233" s="33" t="n">
        <f aca="false">IF(B1233=1,"",IF(B1233=2,C1232,SES_Alpha*C1232+(1-SES_Alpha)*G1232))</f>
        <v>160.054320539147</v>
      </c>
      <c r="H1233" s="33" t="n">
        <f aca="false">IF(D1233="","",D1233-C1233)</f>
        <v>36</v>
      </c>
      <c r="I1233" s="33" t="n">
        <f aca="false">IF(E1233="","",E1233-C1233)</f>
        <v>23.75</v>
      </c>
      <c r="J1233" s="33" t="n">
        <f aca="false">IF(F1233="","",F1233-C1233)</f>
        <v>21.5</v>
      </c>
      <c r="K1233" s="33" t="n">
        <f aca="false">IF(G1233="","",G1233-C1233)</f>
        <v>27.054320539147</v>
      </c>
      <c r="L1233" s="33" t="n">
        <f aca="false">IF(H1233="","",ABS(H1233))</f>
        <v>36</v>
      </c>
      <c r="M1233" s="33" t="n">
        <f aca="false">IF(I1233="","",ABS(I1233))</f>
        <v>23.75</v>
      </c>
      <c r="N1233" s="33" t="n">
        <f aca="false">IF(J1233="","",ABS(J1233))</f>
        <v>21.5</v>
      </c>
      <c r="O1233" s="33" t="n">
        <f aca="false">IF(K1233="","",ABS(K1233))</f>
        <v>27.054320539147</v>
      </c>
      <c r="P1233" s="34" t="str">
        <f aca="false">IF(B1233&gt;=Eval_Start_Week,"YES","")</f>
        <v>YES</v>
      </c>
      <c r="Q1233" s="34" t="str">
        <f aca="false">IF(AND(B1233&gt;=Cal_Start_Week,B1233&lt;=Cal_End_Week),"YES","")</f>
        <v>YES</v>
      </c>
    </row>
    <row r="1234" customFormat="false" ht="15" hidden="false" customHeight="false" outlineLevel="0" collapsed="false">
      <c r="A1234" s="31" t="str">
        <f aca="false">Demand_History!C1234</f>
        <v>BTH-002</v>
      </c>
      <c r="B1234" s="31" t="n">
        <f aca="false">Demand_History!A1234</f>
        <v>89</v>
      </c>
      <c r="C1234" s="32" t="n">
        <f aca="false">Demand_History!D1234</f>
        <v>145</v>
      </c>
      <c r="D1234" s="33" t="n">
        <f aca="false">IF(B1234&gt;=2,C1233,"")</f>
        <v>133</v>
      </c>
      <c r="E1234" s="33" t="n">
        <f aca="false">IF(B1234&gt;=5,AVERAGE(C1230:C1233),"")</f>
        <v>153.75</v>
      </c>
      <c r="F1234" s="33" t="n">
        <f aca="false">IF(B1234&gt;=9,AVERAGE(C1226:C1233),"")</f>
        <v>154</v>
      </c>
      <c r="G1234" s="33" t="n">
        <f aca="false">IF(B1234=1,"",IF(B1234=2,C1233,SES_Alpha*C1233+(1-SES_Alpha)*G1233))</f>
        <v>151.938024377403</v>
      </c>
      <c r="H1234" s="33" t="n">
        <f aca="false">IF(D1234="","",D1234-C1234)</f>
        <v>-12</v>
      </c>
      <c r="I1234" s="33" t="n">
        <f aca="false">IF(E1234="","",E1234-C1234)</f>
        <v>8.75</v>
      </c>
      <c r="J1234" s="33" t="n">
        <f aca="false">IF(F1234="","",F1234-C1234)</f>
        <v>9</v>
      </c>
      <c r="K1234" s="33" t="n">
        <f aca="false">IF(G1234="","",G1234-C1234)</f>
        <v>6.93802437740291</v>
      </c>
      <c r="L1234" s="33" t="n">
        <f aca="false">IF(H1234="","",ABS(H1234))</f>
        <v>12</v>
      </c>
      <c r="M1234" s="33" t="n">
        <f aca="false">IF(I1234="","",ABS(I1234))</f>
        <v>8.75</v>
      </c>
      <c r="N1234" s="33" t="n">
        <f aca="false">IF(J1234="","",ABS(J1234))</f>
        <v>9</v>
      </c>
      <c r="O1234" s="33" t="n">
        <f aca="false">IF(K1234="","",ABS(K1234))</f>
        <v>6.93802437740291</v>
      </c>
      <c r="P1234" s="34" t="str">
        <f aca="false">IF(B1234&gt;=Eval_Start_Week,"YES","")</f>
        <v>YES</v>
      </c>
      <c r="Q1234" s="34" t="str">
        <f aca="false">IF(AND(B1234&gt;=Cal_Start_Week,B1234&lt;=Cal_End_Week),"YES","")</f>
        <v/>
      </c>
    </row>
    <row r="1235" customFormat="false" ht="15" hidden="false" customHeight="false" outlineLevel="0" collapsed="false">
      <c r="A1235" s="31" t="str">
        <f aca="false">Demand_History!C1235</f>
        <v>BTH-002</v>
      </c>
      <c r="B1235" s="31" t="n">
        <f aca="false">Demand_History!A1235</f>
        <v>90</v>
      </c>
      <c r="C1235" s="32" t="n">
        <f aca="false">Demand_History!D1235</f>
        <v>129</v>
      </c>
      <c r="D1235" s="33" t="n">
        <f aca="false">IF(B1235&gt;=2,C1234,"")</f>
        <v>145</v>
      </c>
      <c r="E1235" s="33" t="n">
        <f aca="false">IF(B1235&gt;=5,AVERAGE(C1231:C1234),"")</f>
        <v>152.75</v>
      </c>
      <c r="F1235" s="33" t="n">
        <f aca="false">IF(B1235&gt;=9,AVERAGE(C1227:C1234),"")</f>
        <v>152.125</v>
      </c>
      <c r="G1235" s="33" t="n">
        <f aca="false">IF(B1235=1,"",IF(B1235=2,C1234,SES_Alpha*C1234+(1-SES_Alpha)*G1234))</f>
        <v>149.856617064182</v>
      </c>
      <c r="H1235" s="33" t="n">
        <f aca="false">IF(D1235="","",D1235-C1235)</f>
        <v>16</v>
      </c>
      <c r="I1235" s="33" t="n">
        <f aca="false">IF(E1235="","",E1235-C1235)</f>
        <v>23.75</v>
      </c>
      <c r="J1235" s="33" t="n">
        <f aca="false">IF(F1235="","",F1235-C1235)</f>
        <v>23.125</v>
      </c>
      <c r="K1235" s="33" t="n">
        <f aca="false">IF(G1235="","",G1235-C1235)</f>
        <v>20.856617064182</v>
      </c>
      <c r="L1235" s="33" t="n">
        <f aca="false">IF(H1235="","",ABS(H1235))</f>
        <v>16</v>
      </c>
      <c r="M1235" s="33" t="n">
        <f aca="false">IF(I1235="","",ABS(I1235))</f>
        <v>23.75</v>
      </c>
      <c r="N1235" s="33" t="n">
        <f aca="false">IF(J1235="","",ABS(J1235))</f>
        <v>23.125</v>
      </c>
      <c r="O1235" s="33" t="n">
        <f aca="false">IF(K1235="","",ABS(K1235))</f>
        <v>20.856617064182</v>
      </c>
      <c r="P1235" s="34" t="str">
        <f aca="false">IF(B1235&gt;=Eval_Start_Week,"YES","")</f>
        <v>YES</v>
      </c>
      <c r="Q1235" s="34" t="str">
        <f aca="false">IF(AND(B1235&gt;=Cal_Start_Week,B1235&lt;=Cal_End_Week),"YES","")</f>
        <v/>
      </c>
    </row>
    <row r="1236" customFormat="false" ht="15" hidden="false" customHeight="false" outlineLevel="0" collapsed="false">
      <c r="A1236" s="31" t="str">
        <f aca="false">Demand_History!C1236</f>
        <v>BTH-002</v>
      </c>
      <c r="B1236" s="31" t="n">
        <f aca="false">Demand_History!A1236</f>
        <v>91</v>
      </c>
      <c r="C1236" s="32" t="n">
        <f aca="false">Demand_History!D1236</f>
        <v>152</v>
      </c>
      <c r="D1236" s="33" t="n">
        <f aca="false">IF(B1236&gt;=2,C1235,"")</f>
        <v>129</v>
      </c>
      <c r="E1236" s="33" t="n">
        <f aca="false">IF(B1236&gt;=5,AVERAGE(C1232:C1235),"")</f>
        <v>144</v>
      </c>
      <c r="F1236" s="33" t="n">
        <f aca="false">IF(B1236&gt;=9,AVERAGE(C1228:C1235),"")</f>
        <v>151.375</v>
      </c>
      <c r="G1236" s="33" t="n">
        <f aca="false">IF(B1236=1,"",IF(B1236=2,C1235,SES_Alpha*C1235+(1-SES_Alpha)*G1235))</f>
        <v>143.599631944927</v>
      </c>
      <c r="H1236" s="33" t="n">
        <f aca="false">IF(D1236="","",D1236-C1236)</f>
        <v>-23</v>
      </c>
      <c r="I1236" s="33" t="n">
        <f aca="false">IF(E1236="","",E1236-C1236)</f>
        <v>-8</v>
      </c>
      <c r="J1236" s="33" t="n">
        <f aca="false">IF(F1236="","",F1236-C1236)</f>
        <v>-0.625</v>
      </c>
      <c r="K1236" s="33" t="n">
        <f aca="false">IF(G1236="","",G1236-C1236)</f>
        <v>-8.40036805507259</v>
      </c>
      <c r="L1236" s="33" t="n">
        <f aca="false">IF(H1236="","",ABS(H1236))</f>
        <v>23</v>
      </c>
      <c r="M1236" s="33" t="n">
        <f aca="false">IF(I1236="","",ABS(I1236))</f>
        <v>8</v>
      </c>
      <c r="N1236" s="33" t="n">
        <f aca="false">IF(J1236="","",ABS(J1236))</f>
        <v>0.625</v>
      </c>
      <c r="O1236" s="33" t="n">
        <f aca="false">IF(K1236="","",ABS(K1236))</f>
        <v>8.40036805507259</v>
      </c>
      <c r="P1236" s="34" t="str">
        <f aca="false">IF(B1236&gt;=Eval_Start_Week,"YES","")</f>
        <v>YES</v>
      </c>
      <c r="Q1236" s="34" t="str">
        <f aca="false">IF(AND(B1236&gt;=Cal_Start_Week,B1236&lt;=Cal_End_Week),"YES","")</f>
        <v/>
      </c>
    </row>
    <row r="1237" customFormat="false" ht="15" hidden="false" customHeight="false" outlineLevel="0" collapsed="false">
      <c r="A1237" s="31" t="str">
        <f aca="false">Demand_History!C1237</f>
        <v>BTH-002</v>
      </c>
      <c r="B1237" s="31" t="n">
        <f aca="false">Demand_History!A1237</f>
        <v>92</v>
      </c>
      <c r="C1237" s="32" t="n">
        <f aca="false">Demand_History!D1237</f>
        <v>148</v>
      </c>
      <c r="D1237" s="33" t="n">
        <f aca="false">IF(B1237&gt;=2,C1236,"")</f>
        <v>152</v>
      </c>
      <c r="E1237" s="33" t="n">
        <f aca="false">IF(B1237&gt;=5,AVERAGE(C1233:C1236),"")</f>
        <v>139.75</v>
      </c>
      <c r="F1237" s="33" t="n">
        <f aca="false">IF(B1237&gt;=9,AVERAGE(C1229:C1236),"")</f>
        <v>148.25</v>
      </c>
      <c r="G1237" s="33" t="n">
        <f aca="false">IF(B1237=1,"",IF(B1237=2,C1236,SES_Alpha*C1236+(1-SES_Alpha)*G1236))</f>
        <v>146.119742361449</v>
      </c>
      <c r="H1237" s="33" t="n">
        <f aca="false">IF(D1237="","",D1237-C1237)</f>
        <v>4</v>
      </c>
      <c r="I1237" s="33" t="n">
        <f aca="false">IF(E1237="","",E1237-C1237)</f>
        <v>-8.25</v>
      </c>
      <c r="J1237" s="33" t="n">
        <f aca="false">IF(F1237="","",F1237-C1237)</f>
        <v>0.25</v>
      </c>
      <c r="K1237" s="33" t="n">
        <f aca="false">IF(G1237="","",G1237-C1237)</f>
        <v>-1.88025763855083</v>
      </c>
      <c r="L1237" s="33" t="n">
        <f aca="false">IF(H1237="","",ABS(H1237))</f>
        <v>4</v>
      </c>
      <c r="M1237" s="33" t="n">
        <f aca="false">IF(I1237="","",ABS(I1237))</f>
        <v>8.25</v>
      </c>
      <c r="N1237" s="33" t="n">
        <f aca="false">IF(J1237="","",ABS(J1237))</f>
        <v>0.25</v>
      </c>
      <c r="O1237" s="33" t="n">
        <f aca="false">IF(K1237="","",ABS(K1237))</f>
        <v>1.88025763855083</v>
      </c>
      <c r="P1237" s="34" t="str">
        <f aca="false">IF(B1237&gt;=Eval_Start_Week,"YES","")</f>
        <v>YES</v>
      </c>
      <c r="Q1237" s="34" t="str">
        <f aca="false">IF(AND(B1237&gt;=Cal_Start_Week,B1237&lt;=Cal_End_Week),"YES","")</f>
        <v/>
      </c>
    </row>
    <row r="1238" customFormat="false" ht="15" hidden="false" customHeight="false" outlineLevel="0" collapsed="false">
      <c r="A1238" s="31" t="str">
        <f aca="false">Demand_History!C1238</f>
        <v>BTH-002</v>
      </c>
      <c r="B1238" s="31" t="n">
        <f aca="false">Demand_History!A1238</f>
        <v>93</v>
      </c>
      <c r="C1238" s="32" t="n">
        <f aca="false">Demand_History!D1238</f>
        <v>145</v>
      </c>
      <c r="D1238" s="33" t="n">
        <f aca="false">IF(B1238&gt;=2,C1237,"")</f>
        <v>148</v>
      </c>
      <c r="E1238" s="33" t="n">
        <f aca="false">IF(B1238&gt;=5,AVERAGE(C1234:C1237),"")</f>
        <v>143.5</v>
      </c>
      <c r="F1238" s="33" t="n">
        <f aca="false">IF(B1238&gt;=9,AVERAGE(C1230:C1237),"")</f>
        <v>148.625</v>
      </c>
      <c r="G1238" s="33" t="n">
        <f aca="false">IF(B1238=1,"",IF(B1238=2,C1237,SES_Alpha*C1237+(1-SES_Alpha)*G1237))</f>
        <v>146.683819653014</v>
      </c>
      <c r="H1238" s="33" t="n">
        <f aca="false">IF(D1238="","",D1238-C1238)</f>
        <v>3</v>
      </c>
      <c r="I1238" s="33" t="n">
        <f aca="false">IF(E1238="","",E1238-C1238)</f>
        <v>-1.5</v>
      </c>
      <c r="J1238" s="33" t="n">
        <f aca="false">IF(F1238="","",F1238-C1238)</f>
        <v>3.625</v>
      </c>
      <c r="K1238" s="33" t="n">
        <f aca="false">IF(G1238="","",G1238-C1238)</f>
        <v>1.68381965301441</v>
      </c>
      <c r="L1238" s="33" t="n">
        <f aca="false">IF(H1238="","",ABS(H1238))</f>
        <v>3</v>
      </c>
      <c r="M1238" s="33" t="n">
        <f aca="false">IF(I1238="","",ABS(I1238))</f>
        <v>1.5</v>
      </c>
      <c r="N1238" s="33" t="n">
        <f aca="false">IF(J1238="","",ABS(J1238))</f>
        <v>3.625</v>
      </c>
      <c r="O1238" s="33" t="n">
        <f aca="false">IF(K1238="","",ABS(K1238))</f>
        <v>1.68381965301441</v>
      </c>
      <c r="P1238" s="34" t="str">
        <f aca="false">IF(B1238&gt;=Eval_Start_Week,"YES","")</f>
        <v>YES</v>
      </c>
      <c r="Q1238" s="34" t="str">
        <f aca="false">IF(AND(B1238&gt;=Cal_Start_Week,B1238&lt;=Cal_End_Week),"YES","")</f>
        <v/>
      </c>
    </row>
    <row r="1239" customFormat="false" ht="15" hidden="false" customHeight="false" outlineLevel="0" collapsed="false">
      <c r="A1239" s="31" t="str">
        <f aca="false">Demand_History!C1239</f>
        <v>BTH-002</v>
      </c>
      <c r="B1239" s="31" t="n">
        <f aca="false">Demand_History!A1239</f>
        <v>94</v>
      </c>
      <c r="C1239" s="32" t="n">
        <f aca="false">Demand_History!D1239</f>
        <v>140</v>
      </c>
      <c r="D1239" s="33" t="n">
        <f aca="false">IF(B1239&gt;=2,C1238,"")</f>
        <v>145</v>
      </c>
      <c r="E1239" s="33" t="n">
        <f aca="false">IF(B1239&gt;=5,AVERAGE(C1235:C1238),"")</f>
        <v>143.5</v>
      </c>
      <c r="F1239" s="33" t="n">
        <f aca="false">IF(B1239&gt;=9,AVERAGE(C1231:C1238),"")</f>
        <v>148.125</v>
      </c>
      <c r="G1239" s="33" t="n">
        <f aca="false">IF(B1239=1,"",IF(B1239=2,C1238,SES_Alpha*C1238+(1-SES_Alpha)*G1238))</f>
        <v>146.17867375711</v>
      </c>
      <c r="H1239" s="33" t="n">
        <f aca="false">IF(D1239="","",D1239-C1239)</f>
        <v>5</v>
      </c>
      <c r="I1239" s="33" t="n">
        <f aca="false">IF(E1239="","",E1239-C1239)</f>
        <v>3.5</v>
      </c>
      <c r="J1239" s="33" t="n">
        <f aca="false">IF(F1239="","",F1239-C1239)</f>
        <v>8.125</v>
      </c>
      <c r="K1239" s="33" t="n">
        <f aca="false">IF(G1239="","",G1239-C1239)</f>
        <v>6.17867375711006</v>
      </c>
      <c r="L1239" s="33" t="n">
        <f aca="false">IF(H1239="","",ABS(H1239))</f>
        <v>5</v>
      </c>
      <c r="M1239" s="33" t="n">
        <f aca="false">IF(I1239="","",ABS(I1239))</f>
        <v>3.5</v>
      </c>
      <c r="N1239" s="33" t="n">
        <f aca="false">IF(J1239="","",ABS(J1239))</f>
        <v>8.125</v>
      </c>
      <c r="O1239" s="33" t="n">
        <f aca="false">IF(K1239="","",ABS(K1239))</f>
        <v>6.17867375711006</v>
      </c>
      <c r="P1239" s="34" t="str">
        <f aca="false">IF(B1239&gt;=Eval_Start_Week,"YES","")</f>
        <v>YES</v>
      </c>
      <c r="Q1239" s="34" t="str">
        <f aca="false">IF(AND(B1239&gt;=Cal_Start_Week,B1239&lt;=Cal_End_Week),"YES","")</f>
        <v/>
      </c>
    </row>
    <row r="1240" customFormat="false" ht="15" hidden="false" customHeight="false" outlineLevel="0" collapsed="false">
      <c r="A1240" s="31" t="str">
        <f aca="false">Demand_History!C1240</f>
        <v>BTH-002</v>
      </c>
      <c r="B1240" s="31" t="n">
        <f aca="false">Demand_History!A1240</f>
        <v>95</v>
      </c>
      <c r="C1240" s="32" t="n">
        <f aca="false">Demand_History!D1240</f>
        <v>144</v>
      </c>
      <c r="D1240" s="33" t="n">
        <f aca="false">IF(B1240&gt;=2,C1239,"")</f>
        <v>140</v>
      </c>
      <c r="E1240" s="33" t="n">
        <f aca="false">IF(B1240&gt;=5,AVERAGE(C1236:C1239),"")</f>
        <v>146.25</v>
      </c>
      <c r="F1240" s="33" t="n">
        <f aca="false">IF(B1240&gt;=9,AVERAGE(C1232:C1239),"")</f>
        <v>145.125</v>
      </c>
      <c r="G1240" s="33" t="n">
        <f aca="false">IF(B1240=1,"",IF(B1240=2,C1239,SES_Alpha*C1239+(1-SES_Alpha)*G1239))</f>
        <v>144.325071629977</v>
      </c>
      <c r="H1240" s="33" t="n">
        <f aca="false">IF(D1240="","",D1240-C1240)</f>
        <v>-4</v>
      </c>
      <c r="I1240" s="33" t="n">
        <f aca="false">IF(E1240="","",E1240-C1240)</f>
        <v>2.25</v>
      </c>
      <c r="J1240" s="33" t="n">
        <f aca="false">IF(F1240="","",F1240-C1240)</f>
        <v>1.125</v>
      </c>
      <c r="K1240" s="33" t="n">
        <f aca="false">IF(G1240="","",G1240-C1240)</f>
        <v>0.325071629977032</v>
      </c>
      <c r="L1240" s="33" t="n">
        <f aca="false">IF(H1240="","",ABS(H1240))</f>
        <v>4</v>
      </c>
      <c r="M1240" s="33" t="n">
        <f aca="false">IF(I1240="","",ABS(I1240))</f>
        <v>2.25</v>
      </c>
      <c r="N1240" s="33" t="n">
        <f aca="false">IF(J1240="","",ABS(J1240))</f>
        <v>1.125</v>
      </c>
      <c r="O1240" s="33" t="n">
        <f aca="false">IF(K1240="","",ABS(K1240))</f>
        <v>0.325071629977032</v>
      </c>
      <c r="P1240" s="34" t="str">
        <f aca="false">IF(B1240&gt;=Eval_Start_Week,"YES","")</f>
        <v>YES</v>
      </c>
      <c r="Q1240" s="34" t="str">
        <f aca="false">IF(AND(B1240&gt;=Cal_Start_Week,B1240&lt;=Cal_End_Week),"YES","")</f>
        <v/>
      </c>
    </row>
    <row r="1241" customFormat="false" ht="15" hidden="false" customHeight="false" outlineLevel="0" collapsed="false">
      <c r="A1241" s="31" t="str">
        <f aca="false">Demand_History!C1241</f>
        <v>BTH-002</v>
      </c>
      <c r="B1241" s="31" t="n">
        <f aca="false">Demand_History!A1241</f>
        <v>96</v>
      </c>
      <c r="C1241" s="32" t="n">
        <f aca="false">Demand_History!D1241</f>
        <v>139</v>
      </c>
      <c r="D1241" s="33" t="n">
        <f aca="false">IF(B1241&gt;=2,C1240,"")</f>
        <v>144</v>
      </c>
      <c r="E1241" s="33" t="n">
        <f aca="false">IF(B1241&gt;=5,AVERAGE(C1237:C1240),"")</f>
        <v>144.25</v>
      </c>
      <c r="F1241" s="33" t="n">
        <f aca="false">IF(B1241&gt;=9,AVERAGE(C1233:C1240),"")</f>
        <v>142</v>
      </c>
      <c r="G1241" s="33" t="n">
        <f aca="false">IF(B1241=1,"",IF(B1241=2,C1240,SES_Alpha*C1240+(1-SES_Alpha)*G1240))</f>
        <v>144.227550140984</v>
      </c>
      <c r="H1241" s="33" t="n">
        <f aca="false">IF(D1241="","",D1241-C1241)</f>
        <v>5</v>
      </c>
      <c r="I1241" s="33" t="n">
        <f aca="false">IF(E1241="","",E1241-C1241)</f>
        <v>5.25</v>
      </c>
      <c r="J1241" s="33" t="n">
        <f aca="false">IF(F1241="","",F1241-C1241)</f>
        <v>3</v>
      </c>
      <c r="K1241" s="33" t="n">
        <f aca="false">IF(G1241="","",G1241-C1241)</f>
        <v>5.22755014098391</v>
      </c>
      <c r="L1241" s="33" t="n">
        <f aca="false">IF(H1241="","",ABS(H1241))</f>
        <v>5</v>
      </c>
      <c r="M1241" s="33" t="n">
        <f aca="false">IF(I1241="","",ABS(I1241))</f>
        <v>5.25</v>
      </c>
      <c r="N1241" s="33" t="n">
        <f aca="false">IF(J1241="","",ABS(J1241))</f>
        <v>3</v>
      </c>
      <c r="O1241" s="33" t="n">
        <f aca="false">IF(K1241="","",ABS(K1241))</f>
        <v>5.22755014098391</v>
      </c>
      <c r="P1241" s="34" t="str">
        <f aca="false">IF(B1241&gt;=Eval_Start_Week,"YES","")</f>
        <v>YES</v>
      </c>
      <c r="Q1241" s="34" t="str">
        <f aca="false">IF(AND(B1241&gt;=Cal_Start_Week,B1241&lt;=Cal_End_Week),"YES","")</f>
        <v/>
      </c>
    </row>
    <row r="1242" customFormat="false" ht="15" hidden="false" customHeight="false" outlineLevel="0" collapsed="false">
      <c r="A1242" s="31" t="str">
        <f aca="false">Demand_History!C1242</f>
        <v>BTH-002</v>
      </c>
      <c r="B1242" s="31" t="n">
        <f aca="false">Demand_History!A1242</f>
        <v>97</v>
      </c>
      <c r="C1242" s="32" t="n">
        <f aca="false">Demand_History!D1242</f>
        <v>158</v>
      </c>
      <c r="D1242" s="33" t="n">
        <f aca="false">IF(B1242&gt;=2,C1241,"")</f>
        <v>139</v>
      </c>
      <c r="E1242" s="33" t="n">
        <f aca="false">IF(B1242&gt;=5,AVERAGE(C1238:C1241),"")</f>
        <v>142</v>
      </c>
      <c r="F1242" s="33" t="n">
        <f aca="false">IF(B1242&gt;=9,AVERAGE(C1234:C1241),"")</f>
        <v>142.75</v>
      </c>
      <c r="G1242" s="33" t="n">
        <f aca="false">IF(B1242=1,"",IF(B1242=2,C1241,SES_Alpha*C1241+(1-SES_Alpha)*G1241))</f>
        <v>142.659285098689</v>
      </c>
      <c r="H1242" s="33" t="n">
        <f aca="false">IF(D1242="","",D1242-C1242)</f>
        <v>-19</v>
      </c>
      <c r="I1242" s="33" t="n">
        <f aca="false">IF(E1242="","",E1242-C1242)</f>
        <v>-16</v>
      </c>
      <c r="J1242" s="33" t="n">
        <f aca="false">IF(F1242="","",F1242-C1242)</f>
        <v>-15.25</v>
      </c>
      <c r="K1242" s="33" t="n">
        <f aca="false">IF(G1242="","",G1242-C1242)</f>
        <v>-15.3407149013113</v>
      </c>
      <c r="L1242" s="33" t="n">
        <f aca="false">IF(H1242="","",ABS(H1242))</f>
        <v>19</v>
      </c>
      <c r="M1242" s="33" t="n">
        <f aca="false">IF(I1242="","",ABS(I1242))</f>
        <v>16</v>
      </c>
      <c r="N1242" s="33" t="n">
        <f aca="false">IF(J1242="","",ABS(J1242))</f>
        <v>15.25</v>
      </c>
      <c r="O1242" s="33" t="n">
        <f aca="false">IF(K1242="","",ABS(K1242))</f>
        <v>15.3407149013113</v>
      </c>
      <c r="P1242" s="34" t="str">
        <f aca="false">IF(B1242&gt;=Eval_Start_Week,"YES","")</f>
        <v>YES</v>
      </c>
      <c r="Q1242" s="34" t="str">
        <f aca="false">IF(AND(B1242&gt;=Cal_Start_Week,B1242&lt;=Cal_End_Week),"YES","")</f>
        <v/>
      </c>
    </row>
    <row r="1243" customFormat="false" ht="15" hidden="false" customHeight="false" outlineLevel="0" collapsed="false">
      <c r="A1243" s="31" t="str">
        <f aca="false">Demand_History!C1243</f>
        <v>BTH-002</v>
      </c>
      <c r="B1243" s="31" t="n">
        <f aca="false">Demand_History!A1243</f>
        <v>98</v>
      </c>
      <c r="C1243" s="32" t="n">
        <f aca="false">Demand_History!D1243</f>
        <v>173</v>
      </c>
      <c r="D1243" s="33" t="n">
        <f aca="false">IF(B1243&gt;=2,C1242,"")</f>
        <v>158</v>
      </c>
      <c r="E1243" s="33" t="n">
        <f aca="false">IF(B1243&gt;=5,AVERAGE(C1239:C1242),"")</f>
        <v>145.25</v>
      </c>
      <c r="F1243" s="33" t="n">
        <f aca="false">IF(B1243&gt;=9,AVERAGE(C1235:C1242),"")</f>
        <v>144.375</v>
      </c>
      <c r="G1243" s="33" t="n">
        <f aca="false">IF(B1243=1,"",IF(B1243=2,C1242,SES_Alpha*C1242+(1-SES_Alpha)*G1242))</f>
        <v>147.261499569082</v>
      </c>
      <c r="H1243" s="33" t="n">
        <f aca="false">IF(D1243="","",D1243-C1243)</f>
        <v>-15</v>
      </c>
      <c r="I1243" s="33" t="n">
        <f aca="false">IF(E1243="","",E1243-C1243)</f>
        <v>-27.75</v>
      </c>
      <c r="J1243" s="33" t="n">
        <f aca="false">IF(F1243="","",F1243-C1243)</f>
        <v>-28.625</v>
      </c>
      <c r="K1243" s="33" t="n">
        <f aca="false">IF(G1243="","",G1243-C1243)</f>
        <v>-25.7385004309179</v>
      </c>
      <c r="L1243" s="33" t="n">
        <f aca="false">IF(H1243="","",ABS(H1243))</f>
        <v>15</v>
      </c>
      <c r="M1243" s="33" t="n">
        <f aca="false">IF(I1243="","",ABS(I1243))</f>
        <v>27.75</v>
      </c>
      <c r="N1243" s="33" t="n">
        <f aca="false">IF(J1243="","",ABS(J1243))</f>
        <v>28.625</v>
      </c>
      <c r="O1243" s="33" t="n">
        <f aca="false">IF(K1243="","",ABS(K1243))</f>
        <v>25.7385004309179</v>
      </c>
      <c r="P1243" s="34" t="str">
        <f aca="false">IF(B1243&gt;=Eval_Start_Week,"YES","")</f>
        <v>YES</v>
      </c>
      <c r="Q1243" s="34" t="str">
        <f aca="false">IF(AND(B1243&gt;=Cal_Start_Week,B1243&lt;=Cal_End_Week),"YES","")</f>
        <v/>
      </c>
    </row>
    <row r="1244" customFormat="false" ht="15" hidden="false" customHeight="false" outlineLevel="0" collapsed="false">
      <c r="A1244" s="31" t="str">
        <f aca="false">Demand_History!C1244</f>
        <v>BTH-002</v>
      </c>
      <c r="B1244" s="31" t="n">
        <f aca="false">Demand_History!A1244</f>
        <v>99</v>
      </c>
      <c r="C1244" s="32" t="n">
        <f aca="false">Demand_History!D1244</f>
        <v>121</v>
      </c>
      <c r="D1244" s="33" t="n">
        <f aca="false">IF(B1244&gt;=2,C1243,"")</f>
        <v>173</v>
      </c>
      <c r="E1244" s="33" t="n">
        <f aca="false">IF(B1244&gt;=5,AVERAGE(C1240:C1243),"")</f>
        <v>153.5</v>
      </c>
      <c r="F1244" s="33" t="n">
        <f aca="false">IF(B1244&gt;=9,AVERAGE(C1236:C1243),"")</f>
        <v>149.875</v>
      </c>
      <c r="G1244" s="33" t="n">
        <f aca="false">IF(B1244=1,"",IF(B1244=2,C1243,SES_Alpha*C1243+(1-SES_Alpha)*G1243))</f>
        <v>154.983049698357</v>
      </c>
      <c r="H1244" s="33" t="n">
        <f aca="false">IF(D1244="","",D1244-C1244)</f>
        <v>52</v>
      </c>
      <c r="I1244" s="33" t="n">
        <f aca="false">IF(E1244="","",E1244-C1244)</f>
        <v>32.5</v>
      </c>
      <c r="J1244" s="33" t="n">
        <f aca="false">IF(F1244="","",F1244-C1244)</f>
        <v>28.875</v>
      </c>
      <c r="K1244" s="33" t="n">
        <f aca="false">IF(G1244="","",G1244-C1244)</f>
        <v>33.9830496983575</v>
      </c>
      <c r="L1244" s="33" t="n">
        <f aca="false">IF(H1244="","",ABS(H1244))</f>
        <v>52</v>
      </c>
      <c r="M1244" s="33" t="n">
        <f aca="false">IF(I1244="","",ABS(I1244))</f>
        <v>32.5</v>
      </c>
      <c r="N1244" s="33" t="n">
        <f aca="false">IF(J1244="","",ABS(J1244))</f>
        <v>28.875</v>
      </c>
      <c r="O1244" s="33" t="n">
        <f aca="false">IF(K1244="","",ABS(K1244))</f>
        <v>33.9830496983575</v>
      </c>
      <c r="P1244" s="34" t="str">
        <f aca="false">IF(B1244&gt;=Eval_Start_Week,"YES","")</f>
        <v>YES</v>
      </c>
      <c r="Q1244" s="34" t="str">
        <f aca="false">IF(AND(B1244&gt;=Cal_Start_Week,B1244&lt;=Cal_End_Week),"YES","")</f>
        <v/>
      </c>
    </row>
    <row r="1245" customFormat="false" ht="15" hidden="false" customHeight="false" outlineLevel="0" collapsed="false">
      <c r="A1245" s="31" t="str">
        <f aca="false">Demand_History!C1245</f>
        <v>BTH-002</v>
      </c>
      <c r="B1245" s="31" t="n">
        <f aca="false">Demand_History!A1245</f>
        <v>100</v>
      </c>
      <c r="C1245" s="32" t="n">
        <f aca="false">Demand_History!D1245</f>
        <v>148</v>
      </c>
      <c r="D1245" s="33" t="n">
        <f aca="false">IF(B1245&gt;=2,C1244,"")</f>
        <v>121</v>
      </c>
      <c r="E1245" s="33" t="n">
        <f aca="false">IF(B1245&gt;=5,AVERAGE(C1241:C1244),"")</f>
        <v>147.75</v>
      </c>
      <c r="F1245" s="33" t="n">
        <f aca="false">IF(B1245&gt;=9,AVERAGE(C1237:C1244),"")</f>
        <v>146</v>
      </c>
      <c r="G1245" s="33" t="n">
        <f aca="false">IF(B1245=1,"",IF(B1245=2,C1244,SES_Alpha*C1244+(1-SES_Alpha)*G1244))</f>
        <v>144.78813478885</v>
      </c>
      <c r="H1245" s="33" t="n">
        <f aca="false">IF(D1245="","",D1245-C1245)</f>
        <v>-27</v>
      </c>
      <c r="I1245" s="33" t="n">
        <f aca="false">IF(E1245="","",E1245-C1245)</f>
        <v>-0.25</v>
      </c>
      <c r="J1245" s="33" t="n">
        <f aca="false">IF(F1245="","",F1245-C1245)</f>
        <v>-2</v>
      </c>
      <c r="K1245" s="33" t="n">
        <f aca="false">IF(G1245="","",G1245-C1245)</f>
        <v>-3.21186521114979</v>
      </c>
      <c r="L1245" s="33" t="n">
        <f aca="false">IF(H1245="","",ABS(H1245))</f>
        <v>27</v>
      </c>
      <c r="M1245" s="33" t="n">
        <f aca="false">IF(I1245="","",ABS(I1245))</f>
        <v>0.25</v>
      </c>
      <c r="N1245" s="33" t="n">
        <f aca="false">IF(J1245="","",ABS(J1245))</f>
        <v>2</v>
      </c>
      <c r="O1245" s="33" t="n">
        <f aca="false">IF(K1245="","",ABS(K1245))</f>
        <v>3.21186521114979</v>
      </c>
      <c r="P1245" s="34" t="str">
        <f aca="false">IF(B1245&gt;=Eval_Start_Week,"YES","")</f>
        <v>YES</v>
      </c>
      <c r="Q1245" s="34" t="str">
        <f aca="false">IF(AND(B1245&gt;=Cal_Start_Week,B1245&lt;=Cal_End_Week),"YES","")</f>
        <v/>
      </c>
    </row>
    <row r="1246" customFormat="false" ht="15" hidden="false" customHeight="false" outlineLevel="0" collapsed="false">
      <c r="A1246" s="31" t="str">
        <f aca="false">Demand_History!C1246</f>
        <v>BTH-002</v>
      </c>
      <c r="B1246" s="31" t="n">
        <f aca="false">Demand_History!A1246</f>
        <v>101</v>
      </c>
      <c r="C1246" s="32" t="n">
        <f aca="false">Demand_History!D1246</f>
        <v>144</v>
      </c>
      <c r="D1246" s="33" t="n">
        <f aca="false">IF(B1246&gt;=2,C1245,"")</f>
        <v>148</v>
      </c>
      <c r="E1246" s="33" t="n">
        <f aca="false">IF(B1246&gt;=5,AVERAGE(C1242:C1245),"")</f>
        <v>150</v>
      </c>
      <c r="F1246" s="33" t="n">
        <f aca="false">IF(B1246&gt;=9,AVERAGE(C1238:C1245),"")</f>
        <v>146</v>
      </c>
      <c r="G1246" s="33" t="n">
        <f aca="false">IF(B1246=1,"",IF(B1246=2,C1245,SES_Alpha*C1245+(1-SES_Alpha)*G1245))</f>
        <v>145.751694352195</v>
      </c>
      <c r="H1246" s="33" t="n">
        <f aca="false">IF(D1246="","",D1246-C1246)</f>
        <v>4</v>
      </c>
      <c r="I1246" s="33" t="n">
        <f aca="false">IF(E1246="","",E1246-C1246)</f>
        <v>6</v>
      </c>
      <c r="J1246" s="33" t="n">
        <f aca="false">IF(F1246="","",F1246-C1246)</f>
        <v>2</v>
      </c>
      <c r="K1246" s="33" t="n">
        <f aca="false">IF(G1246="","",G1246-C1246)</f>
        <v>1.75169435219513</v>
      </c>
      <c r="L1246" s="33" t="n">
        <f aca="false">IF(H1246="","",ABS(H1246))</f>
        <v>4</v>
      </c>
      <c r="M1246" s="33" t="n">
        <f aca="false">IF(I1246="","",ABS(I1246))</f>
        <v>6</v>
      </c>
      <c r="N1246" s="33" t="n">
        <f aca="false">IF(J1246="","",ABS(J1246))</f>
        <v>2</v>
      </c>
      <c r="O1246" s="33" t="n">
        <f aca="false">IF(K1246="","",ABS(K1246))</f>
        <v>1.75169435219513</v>
      </c>
      <c r="P1246" s="34" t="str">
        <f aca="false">IF(B1246&gt;=Eval_Start_Week,"YES","")</f>
        <v>YES</v>
      </c>
      <c r="Q1246" s="34" t="str">
        <f aca="false">IF(AND(B1246&gt;=Cal_Start_Week,B1246&lt;=Cal_End_Week),"YES","")</f>
        <v/>
      </c>
    </row>
    <row r="1247" customFormat="false" ht="15" hidden="false" customHeight="false" outlineLevel="0" collapsed="false">
      <c r="A1247" s="31" t="str">
        <f aca="false">Demand_History!C1247</f>
        <v>BTH-002</v>
      </c>
      <c r="B1247" s="31" t="n">
        <f aca="false">Demand_History!A1247</f>
        <v>102</v>
      </c>
      <c r="C1247" s="32" t="n">
        <f aca="false">Demand_History!D1247</f>
        <v>157</v>
      </c>
      <c r="D1247" s="33" t="n">
        <f aca="false">IF(B1247&gt;=2,C1246,"")</f>
        <v>144</v>
      </c>
      <c r="E1247" s="33" t="n">
        <f aca="false">IF(B1247&gt;=5,AVERAGE(C1243:C1246),"")</f>
        <v>146.5</v>
      </c>
      <c r="F1247" s="33" t="n">
        <f aca="false">IF(B1247&gt;=9,AVERAGE(C1239:C1246),"")</f>
        <v>145.875</v>
      </c>
      <c r="G1247" s="33" t="n">
        <f aca="false">IF(B1247=1,"",IF(B1247=2,C1246,SES_Alpha*C1246+(1-SES_Alpha)*G1246))</f>
        <v>145.226186046537</v>
      </c>
      <c r="H1247" s="33" t="n">
        <f aca="false">IF(D1247="","",D1247-C1247)</f>
        <v>-13</v>
      </c>
      <c r="I1247" s="33" t="n">
        <f aca="false">IF(E1247="","",E1247-C1247)</f>
        <v>-10.5</v>
      </c>
      <c r="J1247" s="33" t="n">
        <f aca="false">IF(F1247="","",F1247-C1247)</f>
        <v>-11.125</v>
      </c>
      <c r="K1247" s="33" t="n">
        <f aca="false">IF(G1247="","",G1247-C1247)</f>
        <v>-11.7738139534634</v>
      </c>
      <c r="L1247" s="33" t="n">
        <f aca="false">IF(H1247="","",ABS(H1247))</f>
        <v>13</v>
      </c>
      <c r="M1247" s="33" t="n">
        <f aca="false">IF(I1247="","",ABS(I1247))</f>
        <v>10.5</v>
      </c>
      <c r="N1247" s="33" t="n">
        <f aca="false">IF(J1247="","",ABS(J1247))</f>
        <v>11.125</v>
      </c>
      <c r="O1247" s="33" t="n">
        <f aca="false">IF(K1247="","",ABS(K1247))</f>
        <v>11.7738139534634</v>
      </c>
      <c r="P1247" s="34" t="str">
        <f aca="false">IF(B1247&gt;=Eval_Start_Week,"YES","")</f>
        <v>YES</v>
      </c>
      <c r="Q1247" s="34" t="str">
        <f aca="false">IF(AND(B1247&gt;=Cal_Start_Week,B1247&lt;=Cal_End_Week),"YES","")</f>
        <v/>
      </c>
    </row>
    <row r="1248" customFormat="false" ht="15" hidden="false" customHeight="false" outlineLevel="0" collapsed="false">
      <c r="A1248" s="31" t="str">
        <f aca="false">Demand_History!C1248</f>
        <v>BTH-002</v>
      </c>
      <c r="B1248" s="31" t="n">
        <f aca="false">Demand_History!A1248</f>
        <v>103</v>
      </c>
      <c r="C1248" s="32" t="n">
        <f aca="false">Demand_History!D1248</f>
        <v>136</v>
      </c>
      <c r="D1248" s="33" t="n">
        <f aca="false">IF(B1248&gt;=2,C1247,"")</f>
        <v>157</v>
      </c>
      <c r="E1248" s="33" t="n">
        <f aca="false">IF(B1248&gt;=5,AVERAGE(C1244:C1247),"")</f>
        <v>142.5</v>
      </c>
      <c r="F1248" s="33" t="n">
        <f aca="false">IF(B1248&gt;=9,AVERAGE(C1240:C1247),"")</f>
        <v>148</v>
      </c>
      <c r="G1248" s="33" t="n">
        <f aca="false">IF(B1248=1,"",IF(B1248=2,C1247,SES_Alpha*C1247+(1-SES_Alpha)*G1247))</f>
        <v>148.758330232576</v>
      </c>
      <c r="H1248" s="33" t="n">
        <f aca="false">IF(D1248="","",D1248-C1248)</f>
        <v>21</v>
      </c>
      <c r="I1248" s="33" t="n">
        <f aca="false">IF(E1248="","",E1248-C1248)</f>
        <v>6.5</v>
      </c>
      <c r="J1248" s="33" t="n">
        <f aca="false">IF(F1248="","",F1248-C1248)</f>
        <v>12</v>
      </c>
      <c r="K1248" s="33" t="n">
        <f aca="false">IF(G1248="","",G1248-C1248)</f>
        <v>12.7583302325756</v>
      </c>
      <c r="L1248" s="33" t="n">
        <f aca="false">IF(H1248="","",ABS(H1248))</f>
        <v>21</v>
      </c>
      <c r="M1248" s="33" t="n">
        <f aca="false">IF(I1248="","",ABS(I1248))</f>
        <v>6.5</v>
      </c>
      <c r="N1248" s="33" t="n">
        <f aca="false">IF(J1248="","",ABS(J1248))</f>
        <v>12</v>
      </c>
      <c r="O1248" s="33" t="n">
        <f aca="false">IF(K1248="","",ABS(K1248))</f>
        <v>12.7583302325756</v>
      </c>
      <c r="P1248" s="34" t="str">
        <f aca="false">IF(B1248&gt;=Eval_Start_Week,"YES","")</f>
        <v>YES</v>
      </c>
      <c r="Q1248" s="34" t="str">
        <f aca="false">IF(AND(B1248&gt;=Cal_Start_Week,B1248&lt;=Cal_End_Week),"YES","")</f>
        <v/>
      </c>
    </row>
    <row r="1249" customFormat="false" ht="15" hidden="false" customHeight="false" outlineLevel="0" collapsed="false">
      <c r="A1249" s="31" t="str">
        <f aca="false">Demand_History!C1249</f>
        <v>BTH-002</v>
      </c>
      <c r="B1249" s="31" t="n">
        <f aca="false">Demand_History!A1249</f>
        <v>104</v>
      </c>
      <c r="C1249" s="32" t="n">
        <f aca="false">Demand_History!D1249</f>
        <v>148</v>
      </c>
      <c r="D1249" s="33" t="n">
        <f aca="false">IF(B1249&gt;=2,C1248,"")</f>
        <v>136</v>
      </c>
      <c r="E1249" s="33" t="n">
        <f aca="false">IF(B1249&gt;=5,AVERAGE(C1245:C1248),"")</f>
        <v>146.25</v>
      </c>
      <c r="F1249" s="33" t="n">
        <f aca="false">IF(B1249&gt;=9,AVERAGE(C1241:C1248),"")</f>
        <v>147</v>
      </c>
      <c r="G1249" s="33" t="n">
        <f aca="false">IF(B1249=1,"",IF(B1249=2,C1248,SES_Alpha*C1248+(1-SES_Alpha)*G1248))</f>
        <v>144.930831162803</v>
      </c>
      <c r="H1249" s="33" t="n">
        <f aca="false">IF(D1249="","",D1249-C1249)</f>
        <v>-12</v>
      </c>
      <c r="I1249" s="33" t="n">
        <f aca="false">IF(E1249="","",E1249-C1249)</f>
        <v>-1.75</v>
      </c>
      <c r="J1249" s="33" t="n">
        <f aca="false">IF(F1249="","",F1249-C1249)</f>
        <v>-1</v>
      </c>
      <c r="K1249" s="33" t="n">
        <f aca="false">IF(G1249="","",G1249-C1249)</f>
        <v>-3.06916883719708</v>
      </c>
      <c r="L1249" s="33" t="n">
        <f aca="false">IF(H1249="","",ABS(H1249))</f>
        <v>12</v>
      </c>
      <c r="M1249" s="33" t="n">
        <f aca="false">IF(I1249="","",ABS(I1249))</f>
        <v>1.75</v>
      </c>
      <c r="N1249" s="33" t="n">
        <f aca="false">IF(J1249="","",ABS(J1249))</f>
        <v>1</v>
      </c>
      <c r="O1249" s="33" t="n">
        <f aca="false">IF(K1249="","",ABS(K1249))</f>
        <v>3.06916883719708</v>
      </c>
      <c r="P1249" s="34" t="str">
        <f aca="false">IF(B1249&gt;=Eval_Start_Week,"YES","")</f>
        <v>YES</v>
      </c>
      <c r="Q1249" s="34" t="str">
        <f aca="false">IF(AND(B1249&gt;=Cal_Start_Week,B1249&lt;=Cal_End_Week),"YES","")</f>
        <v/>
      </c>
    </row>
    <row r="1250" customFormat="false" ht="15" hidden="false" customHeight="false" outlineLevel="0" collapsed="false">
      <c r="A1250" s="31" t="str">
        <f aca="false">Demand_History!C1250</f>
        <v>BTH-003</v>
      </c>
      <c r="B1250" s="31" t="n">
        <f aca="false">Demand_History!A1250</f>
        <v>1</v>
      </c>
      <c r="C1250" s="32" t="n">
        <f aca="false">Demand_History!D1250</f>
        <v>61</v>
      </c>
      <c r="D1250" s="33" t="str">
        <f aca="false">IF(B1250&gt;=2,C1249,"")</f>
        <v/>
      </c>
      <c r="E1250" s="33" t="str">
        <f aca="false">IF(B1250&gt;=5,AVERAGE(C1246:C1249),"")</f>
        <v/>
      </c>
      <c r="F1250" s="33" t="str">
        <f aca="false">IF(B1250&gt;=9,AVERAGE(C1242:C1249),"")</f>
        <v/>
      </c>
      <c r="G1250" s="33" t="str">
        <f aca="false">IF(B1250=1,"",IF(B1250=2,C1249,SES_Alpha*C1249+(1-SES_Alpha)*G1249))</f>
        <v/>
      </c>
      <c r="H1250" s="33" t="str">
        <f aca="false">IF(D1250="","",D1250-C1250)</f>
        <v/>
      </c>
      <c r="I1250" s="33" t="str">
        <f aca="false">IF(E1250="","",E1250-C1250)</f>
        <v/>
      </c>
      <c r="J1250" s="33" t="str">
        <f aca="false">IF(F1250="","",F1250-C1250)</f>
        <v/>
      </c>
      <c r="K1250" s="33" t="str">
        <f aca="false">IF(G1250="","",G1250-C1250)</f>
        <v/>
      </c>
      <c r="L1250" s="33" t="str">
        <f aca="false">IF(H1250="","",ABS(H1250))</f>
        <v/>
      </c>
      <c r="M1250" s="33" t="str">
        <f aca="false">IF(I1250="","",ABS(I1250))</f>
        <v/>
      </c>
      <c r="N1250" s="33" t="str">
        <f aca="false">IF(J1250="","",ABS(J1250))</f>
        <v/>
      </c>
      <c r="O1250" s="33" t="str">
        <f aca="false">IF(K1250="","",ABS(K1250))</f>
        <v/>
      </c>
      <c r="P1250" s="34" t="str">
        <f aca="false">IF(B1250&gt;=Eval_Start_Week,"YES","")</f>
        <v/>
      </c>
      <c r="Q1250" s="34" t="str">
        <f aca="false">IF(AND(B1250&gt;=Cal_Start_Week,B1250&lt;=Cal_End_Week),"YES","")</f>
        <v/>
      </c>
    </row>
    <row r="1251" customFormat="false" ht="15" hidden="false" customHeight="false" outlineLevel="0" collapsed="false">
      <c r="A1251" s="31" t="str">
        <f aca="false">Demand_History!C1251</f>
        <v>BTH-003</v>
      </c>
      <c r="B1251" s="31" t="n">
        <f aca="false">Demand_History!A1251</f>
        <v>2</v>
      </c>
      <c r="C1251" s="32" t="n">
        <f aca="false">Demand_History!D1251</f>
        <v>52</v>
      </c>
      <c r="D1251" s="33" t="n">
        <f aca="false">IF(B1251&gt;=2,C1250,"")</f>
        <v>61</v>
      </c>
      <c r="E1251" s="33" t="str">
        <f aca="false">IF(B1251&gt;=5,AVERAGE(C1247:C1250),"")</f>
        <v/>
      </c>
      <c r="F1251" s="33" t="str">
        <f aca="false">IF(B1251&gt;=9,AVERAGE(C1243:C1250),"")</f>
        <v/>
      </c>
      <c r="G1251" s="33" t="n">
        <f aca="false">IF(B1251=1,"",IF(B1251=2,C1250,SES_Alpha*C1250+(1-SES_Alpha)*G1250))</f>
        <v>61</v>
      </c>
      <c r="H1251" s="33" t="n">
        <f aca="false">IF(D1251="","",D1251-C1251)</f>
        <v>9</v>
      </c>
      <c r="I1251" s="33" t="str">
        <f aca="false">IF(E1251="","",E1251-C1251)</f>
        <v/>
      </c>
      <c r="J1251" s="33" t="str">
        <f aca="false">IF(F1251="","",F1251-C1251)</f>
        <v/>
      </c>
      <c r="K1251" s="33" t="n">
        <f aca="false">IF(G1251="","",G1251-C1251)</f>
        <v>9</v>
      </c>
      <c r="L1251" s="33" t="n">
        <f aca="false">IF(H1251="","",ABS(H1251))</f>
        <v>9</v>
      </c>
      <c r="M1251" s="33" t="str">
        <f aca="false">IF(I1251="","",ABS(I1251))</f>
        <v/>
      </c>
      <c r="N1251" s="33" t="str">
        <f aca="false">IF(J1251="","",ABS(J1251))</f>
        <v/>
      </c>
      <c r="O1251" s="33" t="n">
        <f aca="false">IF(K1251="","",ABS(K1251))</f>
        <v>9</v>
      </c>
      <c r="P1251" s="34" t="str">
        <f aca="false">IF(B1251&gt;=Eval_Start_Week,"YES","")</f>
        <v/>
      </c>
      <c r="Q1251" s="34" t="str">
        <f aca="false">IF(AND(B1251&gt;=Cal_Start_Week,B1251&lt;=Cal_End_Week),"YES","")</f>
        <v/>
      </c>
    </row>
    <row r="1252" customFormat="false" ht="15" hidden="false" customHeight="false" outlineLevel="0" collapsed="false">
      <c r="A1252" s="31" t="str">
        <f aca="false">Demand_History!C1252</f>
        <v>BTH-003</v>
      </c>
      <c r="B1252" s="31" t="n">
        <f aca="false">Demand_History!A1252</f>
        <v>3</v>
      </c>
      <c r="C1252" s="32" t="n">
        <f aca="false">Demand_History!D1252</f>
        <v>48</v>
      </c>
      <c r="D1252" s="33" t="n">
        <f aca="false">IF(B1252&gt;=2,C1251,"")</f>
        <v>52</v>
      </c>
      <c r="E1252" s="33" t="str">
        <f aca="false">IF(B1252&gt;=5,AVERAGE(C1248:C1251),"")</f>
        <v/>
      </c>
      <c r="F1252" s="33" t="str">
        <f aca="false">IF(B1252&gt;=9,AVERAGE(C1244:C1251),"")</f>
        <v/>
      </c>
      <c r="G1252" s="33" t="n">
        <f aca="false">IF(B1252=1,"",IF(B1252=2,C1251,SES_Alpha*C1251+(1-SES_Alpha)*G1251))</f>
        <v>58.3</v>
      </c>
      <c r="H1252" s="33" t="n">
        <f aca="false">IF(D1252="","",D1252-C1252)</f>
        <v>4</v>
      </c>
      <c r="I1252" s="33" t="str">
        <f aca="false">IF(E1252="","",E1252-C1252)</f>
        <v/>
      </c>
      <c r="J1252" s="33" t="str">
        <f aca="false">IF(F1252="","",F1252-C1252)</f>
        <v/>
      </c>
      <c r="K1252" s="33" t="n">
        <f aca="false">IF(G1252="","",G1252-C1252)</f>
        <v>10.3</v>
      </c>
      <c r="L1252" s="33" t="n">
        <f aca="false">IF(H1252="","",ABS(H1252))</f>
        <v>4</v>
      </c>
      <c r="M1252" s="33" t="str">
        <f aca="false">IF(I1252="","",ABS(I1252))</f>
        <v/>
      </c>
      <c r="N1252" s="33" t="str">
        <f aca="false">IF(J1252="","",ABS(J1252))</f>
        <v/>
      </c>
      <c r="O1252" s="33" t="n">
        <f aca="false">IF(K1252="","",ABS(K1252))</f>
        <v>10.3</v>
      </c>
      <c r="P1252" s="34" t="str">
        <f aca="false">IF(B1252&gt;=Eval_Start_Week,"YES","")</f>
        <v/>
      </c>
      <c r="Q1252" s="34" t="str">
        <f aca="false">IF(AND(B1252&gt;=Cal_Start_Week,B1252&lt;=Cal_End_Week),"YES","")</f>
        <v/>
      </c>
    </row>
    <row r="1253" customFormat="false" ht="15" hidden="false" customHeight="false" outlineLevel="0" collapsed="false">
      <c r="A1253" s="31" t="str">
        <f aca="false">Demand_History!C1253</f>
        <v>BTH-003</v>
      </c>
      <c r="B1253" s="31" t="n">
        <f aca="false">Demand_History!A1253</f>
        <v>4</v>
      </c>
      <c r="C1253" s="32" t="n">
        <f aca="false">Demand_History!D1253</f>
        <v>56</v>
      </c>
      <c r="D1253" s="33" t="n">
        <f aca="false">IF(B1253&gt;=2,C1252,"")</f>
        <v>48</v>
      </c>
      <c r="E1253" s="33" t="str">
        <f aca="false">IF(B1253&gt;=5,AVERAGE(C1249:C1252),"")</f>
        <v/>
      </c>
      <c r="F1253" s="33" t="str">
        <f aca="false">IF(B1253&gt;=9,AVERAGE(C1245:C1252),"")</f>
        <v/>
      </c>
      <c r="G1253" s="33" t="n">
        <f aca="false">IF(B1253=1,"",IF(B1253=2,C1252,SES_Alpha*C1252+(1-SES_Alpha)*G1252))</f>
        <v>55.21</v>
      </c>
      <c r="H1253" s="33" t="n">
        <f aca="false">IF(D1253="","",D1253-C1253)</f>
        <v>-8</v>
      </c>
      <c r="I1253" s="33" t="str">
        <f aca="false">IF(E1253="","",E1253-C1253)</f>
        <v/>
      </c>
      <c r="J1253" s="33" t="str">
        <f aca="false">IF(F1253="","",F1253-C1253)</f>
        <v/>
      </c>
      <c r="K1253" s="33" t="n">
        <f aca="false">IF(G1253="","",G1253-C1253)</f>
        <v>-0.790000000000006</v>
      </c>
      <c r="L1253" s="33" t="n">
        <f aca="false">IF(H1253="","",ABS(H1253))</f>
        <v>8</v>
      </c>
      <c r="M1253" s="33" t="str">
        <f aca="false">IF(I1253="","",ABS(I1253))</f>
        <v/>
      </c>
      <c r="N1253" s="33" t="str">
        <f aca="false">IF(J1253="","",ABS(J1253))</f>
        <v/>
      </c>
      <c r="O1253" s="33" t="n">
        <f aca="false">IF(K1253="","",ABS(K1253))</f>
        <v>0.790000000000006</v>
      </c>
      <c r="P1253" s="34" t="str">
        <f aca="false">IF(B1253&gt;=Eval_Start_Week,"YES","")</f>
        <v/>
      </c>
      <c r="Q1253" s="34" t="str">
        <f aca="false">IF(AND(B1253&gt;=Cal_Start_Week,B1253&lt;=Cal_End_Week),"YES","")</f>
        <v/>
      </c>
    </row>
    <row r="1254" customFormat="false" ht="15" hidden="false" customHeight="false" outlineLevel="0" collapsed="false">
      <c r="A1254" s="31" t="str">
        <f aca="false">Demand_History!C1254</f>
        <v>BTH-003</v>
      </c>
      <c r="B1254" s="31" t="n">
        <f aca="false">Demand_History!A1254</f>
        <v>5</v>
      </c>
      <c r="C1254" s="32" t="n">
        <f aca="false">Demand_History!D1254</f>
        <v>46</v>
      </c>
      <c r="D1254" s="33" t="n">
        <f aca="false">IF(B1254&gt;=2,C1253,"")</f>
        <v>56</v>
      </c>
      <c r="E1254" s="33" t="n">
        <f aca="false">IF(B1254&gt;=5,AVERAGE(C1250:C1253),"")</f>
        <v>54.25</v>
      </c>
      <c r="F1254" s="33" t="str">
        <f aca="false">IF(B1254&gt;=9,AVERAGE(C1246:C1253),"")</f>
        <v/>
      </c>
      <c r="G1254" s="33" t="n">
        <f aca="false">IF(B1254=1,"",IF(B1254=2,C1253,SES_Alpha*C1253+(1-SES_Alpha)*G1253))</f>
        <v>55.447</v>
      </c>
      <c r="H1254" s="33" t="n">
        <f aca="false">IF(D1254="","",D1254-C1254)</f>
        <v>10</v>
      </c>
      <c r="I1254" s="33" t="n">
        <f aca="false">IF(E1254="","",E1254-C1254)</f>
        <v>8.25</v>
      </c>
      <c r="J1254" s="33" t="str">
        <f aca="false">IF(F1254="","",F1254-C1254)</f>
        <v/>
      </c>
      <c r="K1254" s="33" t="n">
        <f aca="false">IF(G1254="","",G1254-C1254)</f>
        <v>9.44699999999999</v>
      </c>
      <c r="L1254" s="33" t="n">
        <f aca="false">IF(H1254="","",ABS(H1254))</f>
        <v>10</v>
      </c>
      <c r="M1254" s="33" t="n">
        <f aca="false">IF(I1254="","",ABS(I1254))</f>
        <v>8.25</v>
      </c>
      <c r="N1254" s="33" t="str">
        <f aca="false">IF(J1254="","",ABS(J1254))</f>
        <v/>
      </c>
      <c r="O1254" s="33" t="n">
        <f aca="false">IF(K1254="","",ABS(K1254))</f>
        <v>9.44699999999999</v>
      </c>
      <c r="P1254" s="34" t="str">
        <f aca="false">IF(B1254&gt;=Eval_Start_Week,"YES","")</f>
        <v/>
      </c>
      <c r="Q1254" s="34" t="str">
        <f aca="false">IF(AND(B1254&gt;=Cal_Start_Week,B1254&lt;=Cal_End_Week),"YES","")</f>
        <v/>
      </c>
    </row>
    <row r="1255" customFormat="false" ht="15" hidden="false" customHeight="false" outlineLevel="0" collapsed="false">
      <c r="A1255" s="31" t="str">
        <f aca="false">Demand_History!C1255</f>
        <v>BTH-003</v>
      </c>
      <c r="B1255" s="31" t="n">
        <f aca="false">Demand_History!A1255</f>
        <v>6</v>
      </c>
      <c r="C1255" s="32" t="n">
        <f aca="false">Demand_History!D1255</f>
        <v>26</v>
      </c>
      <c r="D1255" s="33" t="n">
        <f aca="false">IF(B1255&gt;=2,C1254,"")</f>
        <v>46</v>
      </c>
      <c r="E1255" s="33" t="n">
        <f aca="false">IF(B1255&gt;=5,AVERAGE(C1251:C1254),"")</f>
        <v>50.5</v>
      </c>
      <c r="F1255" s="33" t="str">
        <f aca="false">IF(B1255&gt;=9,AVERAGE(C1247:C1254),"")</f>
        <v/>
      </c>
      <c r="G1255" s="33" t="n">
        <f aca="false">IF(B1255=1,"",IF(B1255=2,C1254,SES_Alpha*C1254+(1-SES_Alpha)*G1254))</f>
        <v>52.6129</v>
      </c>
      <c r="H1255" s="33" t="n">
        <f aca="false">IF(D1255="","",D1255-C1255)</f>
        <v>20</v>
      </c>
      <c r="I1255" s="33" t="n">
        <f aca="false">IF(E1255="","",E1255-C1255)</f>
        <v>24.5</v>
      </c>
      <c r="J1255" s="33" t="str">
        <f aca="false">IF(F1255="","",F1255-C1255)</f>
        <v/>
      </c>
      <c r="K1255" s="33" t="n">
        <f aca="false">IF(G1255="","",G1255-C1255)</f>
        <v>26.6129</v>
      </c>
      <c r="L1255" s="33" t="n">
        <f aca="false">IF(H1255="","",ABS(H1255))</f>
        <v>20</v>
      </c>
      <c r="M1255" s="33" t="n">
        <f aca="false">IF(I1255="","",ABS(I1255))</f>
        <v>24.5</v>
      </c>
      <c r="N1255" s="33" t="str">
        <f aca="false">IF(J1255="","",ABS(J1255))</f>
        <v/>
      </c>
      <c r="O1255" s="33" t="n">
        <f aca="false">IF(K1255="","",ABS(K1255))</f>
        <v>26.6129</v>
      </c>
      <c r="P1255" s="34" t="str">
        <f aca="false">IF(B1255&gt;=Eval_Start_Week,"YES","")</f>
        <v/>
      </c>
      <c r="Q1255" s="34" t="str">
        <f aca="false">IF(AND(B1255&gt;=Cal_Start_Week,B1255&lt;=Cal_End_Week),"YES","")</f>
        <v/>
      </c>
    </row>
    <row r="1256" customFormat="false" ht="15" hidden="false" customHeight="false" outlineLevel="0" collapsed="false">
      <c r="A1256" s="31" t="str">
        <f aca="false">Demand_History!C1256</f>
        <v>BTH-003</v>
      </c>
      <c r="B1256" s="31" t="n">
        <f aca="false">Demand_History!A1256</f>
        <v>7</v>
      </c>
      <c r="C1256" s="32" t="n">
        <f aca="false">Demand_History!D1256</f>
        <v>59</v>
      </c>
      <c r="D1256" s="33" t="n">
        <f aca="false">IF(B1256&gt;=2,C1255,"")</f>
        <v>26</v>
      </c>
      <c r="E1256" s="33" t="n">
        <f aca="false">IF(B1256&gt;=5,AVERAGE(C1252:C1255),"")</f>
        <v>44</v>
      </c>
      <c r="F1256" s="33" t="str">
        <f aca="false">IF(B1256&gt;=9,AVERAGE(C1248:C1255),"")</f>
        <v/>
      </c>
      <c r="G1256" s="33" t="n">
        <f aca="false">IF(B1256=1,"",IF(B1256=2,C1255,SES_Alpha*C1255+(1-SES_Alpha)*G1255))</f>
        <v>44.62903</v>
      </c>
      <c r="H1256" s="33" t="n">
        <f aca="false">IF(D1256="","",D1256-C1256)</f>
        <v>-33</v>
      </c>
      <c r="I1256" s="33" t="n">
        <f aca="false">IF(E1256="","",E1256-C1256)</f>
        <v>-15</v>
      </c>
      <c r="J1256" s="33" t="str">
        <f aca="false">IF(F1256="","",F1256-C1256)</f>
        <v/>
      </c>
      <c r="K1256" s="33" t="n">
        <f aca="false">IF(G1256="","",G1256-C1256)</f>
        <v>-14.37097</v>
      </c>
      <c r="L1256" s="33" t="n">
        <f aca="false">IF(H1256="","",ABS(H1256))</f>
        <v>33</v>
      </c>
      <c r="M1256" s="33" t="n">
        <f aca="false">IF(I1256="","",ABS(I1256))</f>
        <v>15</v>
      </c>
      <c r="N1256" s="33" t="str">
        <f aca="false">IF(J1256="","",ABS(J1256))</f>
        <v/>
      </c>
      <c r="O1256" s="33" t="n">
        <f aca="false">IF(K1256="","",ABS(K1256))</f>
        <v>14.37097</v>
      </c>
      <c r="P1256" s="34" t="str">
        <f aca="false">IF(B1256&gt;=Eval_Start_Week,"YES","")</f>
        <v/>
      </c>
      <c r="Q1256" s="34" t="str">
        <f aca="false">IF(AND(B1256&gt;=Cal_Start_Week,B1256&lt;=Cal_End_Week),"YES","")</f>
        <v/>
      </c>
    </row>
    <row r="1257" customFormat="false" ht="15" hidden="false" customHeight="false" outlineLevel="0" collapsed="false">
      <c r="A1257" s="31" t="str">
        <f aca="false">Demand_History!C1257</f>
        <v>BTH-003</v>
      </c>
      <c r="B1257" s="31" t="n">
        <f aca="false">Demand_History!A1257</f>
        <v>8</v>
      </c>
      <c r="C1257" s="32" t="n">
        <f aca="false">Demand_History!D1257</f>
        <v>54</v>
      </c>
      <c r="D1257" s="33" t="n">
        <f aca="false">IF(B1257&gt;=2,C1256,"")</f>
        <v>59</v>
      </c>
      <c r="E1257" s="33" t="n">
        <f aca="false">IF(B1257&gt;=5,AVERAGE(C1253:C1256),"")</f>
        <v>46.75</v>
      </c>
      <c r="F1257" s="33" t="str">
        <f aca="false">IF(B1257&gt;=9,AVERAGE(C1249:C1256),"")</f>
        <v/>
      </c>
      <c r="G1257" s="33" t="n">
        <f aca="false">IF(B1257=1,"",IF(B1257=2,C1256,SES_Alpha*C1256+(1-SES_Alpha)*G1256))</f>
        <v>48.940321</v>
      </c>
      <c r="H1257" s="33" t="n">
        <f aca="false">IF(D1257="","",D1257-C1257)</f>
        <v>5</v>
      </c>
      <c r="I1257" s="33" t="n">
        <f aca="false">IF(E1257="","",E1257-C1257)</f>
        <v>-7.25</v>
      </c>
      <c r="J1257" s="33" t="str">
        <f aca="false">IF(F1257="","",F1257-C1257)</f>
        <v/>
      </c>
      <c r="K1257" s="33" t="n">
        <f aca="false">IF(G1257="","",G1257-C1257)</f>
        <v>-5.05967900000002</v>
      </c>
      <c r="L1257" s="33" t="n">
        <f aca="false">IF(H1257="","",ABS(H1257))</f>
        <v>5</v>
      </c>
      <c r="M1257" s="33" t="n">
        <f aca="false">IF(I1257="","",ABS(I1257))</f>
        <v>7.25</v>
      </c>
      <c r="N1257" s="33" t="str">
        <f aca="false">IF(J1257="","",ABS(J1257))</f>
        <v/>
      </c>
      <c r="O1257" s="33" t="n">
        <f aca="false">IF(K1257="","",ABS(K1257))</f>
        <v>5.05967900000002</v>
      </c>
      <c r="P1257" s="34" t="str">
        <f aca="false">IF(B1257&gt;=Eval_Start_Week,"YES","")</f>
        <v/>
      </c>
      <c r="Q1257" s="34" t="str">
        <f aca="false">IF(AND(B1257&gt;=Cal_Start_Week,B1257&lt;=Cal_End_Week),"YES","")</f>
        <v/>
      </c>
    </row>
    <row r="1258" customFormat="false" ht="15" hidden="false" customHeight="false" outlineLevel="0" collapsed="false">
      <c r="A1258" s="31" t="str">
        <f aca="false">Demand_History!C1258</f>
        <v>BTH-003</v>
      </c>
      <c r="B1258" s="31" t="n">
        <f aca="false">Demand_History!A1258</f>
        <v>9</v>
      </c>
      <c r="C1258" s="32" t="n">
        <f aca="false">Demand_History!D1258</f>
        <v>48</v>
      </c>
      <c r="D1258" s="33" t="n">
        <f aca="false">IF(B1258&gt;=2,C1257,"")</f>
        <v>54</v>
      </c>
      <c r="E1258" s="33" t="n">
        <f aca="false">IF(B1258&gt;=5,AVERAGE(C1254:C1257),"")</f>
        <v>46.25</v>
      </c>
      <c r="F1258" s="33" t="n">
        <f aca="false">IF(B1258&gt;=9,AVERAGE(C1250:C1257),"")</f>
        <v>50.25</v>
      </c>
      <c r="G1258" s="33" t="n">
        <f aca="false">IF(B1258=1,"",IF(B1258=2,C1257,SES_Alpha*C1257+(1-SES_Alpha)*G1257))</f>
        <v>50.4582247</v>
      </c>
      <c r="H1258" s="33" t="n">
        <f aca="false">IF(D1258="","",D1258-C1258)</f>
        <v>6</v>
      </c>
      <c r="I1258" s="33" t="n">
        <f aca="false">IF(E1258="","",E1258-C1258)</f>
        <v>-1.75</v>
      </c>
      <c r="J1258" s="33" t="n">
        <f aca="false">IF(F1258="","",F1258-C1258)</f>
        <v>2.25</v>
      </c>
      <c r="K1258" s="33" t="n">
        <f aca="false">IF(G1258="","",G1258-C1258)</f>
        <v>2.45822469999999</v>
      </c>
      <c r="L1258" s="33" t="n">
        <f aca="false">IF(H1258="","",ABS(H1258))</f>
        <v>6</v>
      </c>
      <c r="M1258" s="33" t="n">
        <f aca="false">IF(I1258="","",ABS(I1258))</f>
        <v>1.75</v>
      </c>
      <c r="N1258" s="33" t="n">
        <f aca="false">IF(J1258="","",ABS(J1258))</f>
        <v>2.25</v>
      </c>
      <c r="O1258" s="33" t="n">
        <f aca="false">IF(K1258="","",ABS(K1258))</f>
        <v>2.45822469999999</v>
      </c>
      <c r="P1258" s="34" t="str">
        <f aca="false">IF(B1258&gt;=Eval_Start_Week,"YES","")</f>
        <v/>
      </c>
      <c r="Q1258" s="34" t="str">
        <f aca="false">IF(AND(B1258&gt;=Cal_Start_Week,B1258&lt;=Cal_End_Week),"YES","")</f>
        <v/>
      </c>
    </row>
    <row r="1259" customFormat="false" ht="15" hidden="false" customHeight="false" outlineLevel="0" collapsed="false">
      <c r="A1259" s="31" t="str">
        <f aca="false">Demand_History!C1259</f>
        <v>BTH-003</v>
      </c>
      <c r="B1259" s="31" t="n">
        <f aca="false">Demand_History!A1259</f>
        <v>10</v>
      </c>
      <c r="C1259" s="32" t="n">
        <f aca="false">Demand_History!D1259</f>
        <v>65</v>
      </c>
      <c r="D1259" s="33" t="n">
        <f aca="false">IF(B1259&gt;=2,C1258,"")</f>
        <v>48</v>
      </c>
      <c r="E1259" s="33" t="n">
        <f aca="false">IF(B1259&gt;=5,AVERAGE(C1255:C1258),"")</f>
        <v>46.75</v>
      </c>
      <c r="F1259" s="33" t="n">
        <f aca="false">IF(B1259&gt;=9,AVERAGE(C1251:C1258),"")</f>
        <v>48.625</v>
      </c>
      <c r="G1259" s="33" t="n">
        <f aca="false">IF(B1259=1,"",IF(B1259=2,C1258,SES_Alpha*C1258+(1-SES_Alpha)*G1258))</f>
        <v>49.72075729</v>
      </c>
      <c r="H1259" s="33" t="n">
        <f aca="false">IF(D1259="","",D1259-C1259)</f>
        <v>-17</v>
      </c>
      <c r="I1259" s="33" t="n">
        <f aca="false">IF(E1259="","",E1259-C1259)</f>
        <v>-18.25</v>
      </c>
      <c r="J1259" s="33" t="n">
        <f aca="false">IF(F1259="","",F1259-C1259)</f>
        <v>-16.375</v>
      </c>
      <c r="K1259" s="33" t="n">
        <f aca="false">IF(G1259="","",G1259-C1259)</f>
        <v>-15.27924271</v>
      </c>
      <c r="L1259" s="33" t="n">
        <f aca="false">IF(H1259="","",ABS(H1259))</f>
        <v>17</v>
      </c>
      <c r="M1259" s="33" t="n">
        <f aca="false">IF(I1259="","",ABS(I1259))</f>
        <v>18.25</v>
      </c>
      <c r="N1259" s="33" t="n">
        <f aca="false">IF(J1259="","",ABS(J1259))</f>
        <v>16.375</v>
      </c>
      <c r="O1259" s="33" t="n">
        <f aca="false">IF(K1259="","",ABS(K1259))</f>
        <v>15.27924271</v>
      </c>
      <c r="P1259" s="34" t="str">
        <f aca="false">IF(B1259&gt;=Eval_Start_Week,"YES","")</f>
        <v/>
      </c>
      <c r="Q1259" s="34" t="str">
        <f aca="false">IF(AND(B1259&gt;=Cal_Start_Week,B1259&lt;=Cal_End_Week),"YES","")</f>
        <v/>
      </c>
    </row>
    <row r="1260" customFormat="false" ht="15" hidden="false" customHeight="false" outlineLevel="0" collapsed="false">
      <c r="A1260" s="31" t="str">
        <f aca="false">Demand_History!C1260</f>
        <v>BTH-003</v>
      </c>
      <c r="B1260" s="31" t="n">
        <f aca="false">Demand_History!A1260</f>
        <v>11</v>
      </c>
      <c r="C1260" s="32" t="n">
        <f aca="false">Demand_History!D1260</f>
        <v>69</v>
      </c>
      <c r="D1260" s="33" t="n">
        <f aca="false">IF(B1260&gt;=2,C1259,"")</f>
        <v>65</v>
      </c>
      <c r="E1260" s="33" t="n">
        <f aca="false">IF(B1260&gt;=5,AVERAGE(C1256:C1259),"")</f>
        <v>56.5</v>
      </c>
      <c r="F1260" s="33" t="n">
        <f aca="false">IF(B1260&gt;=9,AVERAGE(C1252:C1259),"")</f>
        <v>50.25</v>
      </c>
      <c r="G1260" s="33" t="n">
        <f aca="false">IF(B1260=1,"",IF(B1260=2,C1259,SES_Alpha*C1259+(1-SES_Alpha)*G1259))</f>
        <v>54.304530103</v>
      </c>
      <c r="H1260" s="33" t="n">
        <f aca="false">IF(D1260="","",D1260-C1260)</f>
        <v>-4</v>
      </c>
      <c r="I1260" s="33" t="n">
        <f aca="false">IF(E1260="","",E1260-C1260)</f>
        <v>-12.5</v>
      </c>
      <c r="J1260" s="33" t="n">
        <f aca="false">IF(F1260="","",F1260-C1260)</f>
        <v>-18.75</v>
      </c>
      <c r="K1260" s="33" t="n">
        <f aca="false">IF(G1260="","",G1260-C1260)</f>
        <v>-14.695469897</v>
      </c>
      <c r="L1260" s="33" t="n">
        <f aca="false">IF(H1260="","",ABS(H1260))</f>
        <v>4</v>
      </c>
      <c r="M1260" s="33" t="n">
        <f aca="false">IF(I1260="","",ABS(I1260))</f>
        <v>12.5</v>
      </c>
      <c r="N1260" s="33" t="n">
        <f aca="false">IF(J1260="","",ABS(J1260))</f>
        <v>18.75</v>
      </c>
      <c r="O1260" s="33" t="n">
        <f aca="false">IF(K1260="","",ABS(K1260))</f>
        <v>14.695469897</v>
      </c>
      <c r="P1260" s="34" t="str">
        <f aca="false">IF(B1260&gt;=Eval_Start_Week,"YES","")</f>
        <v/>
      </c>
      <c r="Q1260" s="34" t="str">
        <f aca="false">IF(AND(B1260&gt;=Cal_Start_Week,B1260&lt;=Cal_End_Week),"YES","")</f>
        <v/>
      </c>
    </row>
    <row r="1261" customFormat="false" ht="15" hidden="false" customHeight="false" outlineLevel="0" collapsed="false">
      <c r="A1261" s="31" t="str">
        <f aca="false">Demand_History!C1261</f>
        <v>BTH-003</v>
      </c>
      <c r="B1261" s="31" t="n">
        <f aca="false">Demand_History!A1261</f>
        <v>12</v>
      </c>
      <c r="C1261" s="32" t="n">
        <f aca="false">Demand_History!D1261</f>
        <v>33</v>
      </c>
      <c r="D1261" s="33" t="n">
        <f aca="false">IF(B1261&gt;=2,C1260,"")</f>
        <v>69</v>
      </c>
      <c r="E1261" s="33" t="n">
        <f aca="false">IF(B1261&gt;=5,AVERAGE(C1257:C1260),"")</f>
        <v>59</v>
      </c>
      <c r="F1261" s="33" t="n">
        <f aca="false">IF(B1261&gt;=9,AVERAGE(C1253:C1260),"")</f>
        <v>52.875</v>
      </c>
      <c r="G1261" s="33" t="n">
        <f aca="false">IF(B1261=1,"",IF(B1261=2,C1260,SES_Alpha*C1260+(1-SES_Alpha)*G1260))</f>
        <v>58.7131710721</v>
      </c>
      <c r="H1261" s="33" t="n">
        <f aca="false">IF(D1261="","",D1261-C1261)</f>
        <v>36</v>
      </c>
      <c r="I1261" s="33" t="n">
        <f aca="false">IF(E1261="","",E1261-C1261)</f>
        <v>26</v>
      </c>
      <c r="J1261" s="33" t="n">
        <f aca="false">IF(F1261="","",F1261-C1261)</f>
        <v>19.875</v>
      </c>
      <c r="K1261" s="33" t="n">
        <f aca="false">IF(G1261="","",G1261-C1261)</f>
        <v>25.7131710721</v>
      </c>
      <c r="L1261" s="33" t="n">
        <f aca="false">IF(H1261="","",ABS(H1261))</f>
        <v>36</v>
      </c>
      <c r="M1261" s="33" t="n">
        <f aca="false">IF(I1261="","",ABS(I1261))</f>
        <v>26</v>
      </c>
      <c r="N1261" s="33" t="n">
        <f aca="false">IF(J1261="","",ABS(J1261))</f>
        <v>19.875</v>
      </c>
      <c r="O1261" s="33" t="n">
        <f aca="false">IF(K1261="","",ABS(K1261))</f>
        <v>25.7131710721</v>
      </c>
      <c r="P1261" s="34" t="str">
        <f aca="false">IF(B1261&gt;=Eval_Start_Week,"YES","")</f>
        <v/>
      </c>
      <c r="Q1261" s="34" t="str">
        <f aca="false">IF(AND(B1261&gt;=Cal_Start_Week,B1261&lt;=Cal_End_Week),"YES","")</f>
        <v/>
      </c>
    </row>
    <row r="1262" customFormat="false" ht="15" hidden="false" customHeight="false" outlineLevel="0" collapsed="false">
      <c r="A1262" s="31" t="str">
        <f aca="false">Demand_History!C1262</f>
        <v>BTH-003</v>
      </c>
      <c r="B1262" s="31" t="n">
        <f aca="false">Demand_History!A1262</f>
        <v>13</v>
      </c>
      <c r="C1262" s="32" t="n">
        <f aca="false">Demand_History!D1262</f>
        <v>38</v>
      </c>
      <c r="D1262" s="33" t="n">
        <f aca="false">IF(B1262&gt;=2,C1261,"")</f>
        <v>33</v>
      </c>
      <c r="E1262" s="33" t="n">
        <f aca="false">IF(B1262&gt;=5,AVERAGE(C1258:C1261),"")</f>
        <v>53.75</v>
      </c>
      <c r="F1262" s="33" t="n">
        <f aca="false">IF(B1262&gt;=9,AVERAGE(C1254:C1261),"")</f>
        <v>50</v>
      </c>
      <c r="G1262" s="33" t="n">
        <f aca="false">IF(B1262=1,"",IF(B1262=2,C1261,SES_Alpha*C1261+(1-SES_Alpha)*G1261))</f>
        <v>50.99921975047</v>
      </c>
      <c r="H1262" s="33" t="n">
        <f aca="false">IF(D1262="","",D1262-C1262)</f>
        <v>-5</v>
      </c>
      <c r="I1262" s="33" t="n">
        <f aca="false">IF(E1262="","",E1262-C1262)</f>
        <v>15.75</v>
      </c>
      <c r="J1262" s="33" t="n">
        <f aca="false">IF(F1262="","",F1262-C1262)</f>
        <v>12</v>
      </c>
      <c r="K1262" s="33" t="n">
        <f aca="false">IF(G1262="","",G1262-C1262)</f>
        <v>12.99921975047</v>
      </c>
      <c r="L1262" s="33" t="n">
        <f aca="false">IF(H1262="","",ABS(H1262))</f>
        <v>5</v>
      </c>
      <c r="M1262" s="33" t="n">
        <f aca="false">IF(I1262="","",ABS(I1262))</f>
        <v>15.75</v>
      </c>
      <c r="N1262" s="33" t="n">
        <f aca="false">IF(J1262="","",ABS(J1262))</f>
        <v>12</v>
      </c>
      <c r="O1262" s="33" t="n">
        <f aca="false">IF(K1262="","",ABS(K1262))</f>
        <v>12.99921975047</v>
      </c>
      <c r="P1262" s="34" t="str">
        <f aca="false">IF(B1262&gt;=Eval_Start_Week,"YES","")</f>
        <v/>
      </c>
      <c r="Q1262" s="34" t="str">
        <f aca="false">IF(AND(B1262&gt;=Cal_Start_Week,B1262&lt;=Cal_End_Week),"YES","")</f>
        <v/>
      </c>
    </row>
    <row r="1263" customFormat="false" ht="15" hidden="false" customHeight="false" outlineLevel="0" collapsed="false">
      <c r="A1263" s="31" t="str">
        <f aca="false">Demand_History!C1263</f>
        <v>BTH-003</v>
      </c>
      <c r="B1263" s="31" t="n">
        <f aca="false">Demand_History!A1263</f>
        <v>14</v>
      </c>
      <c r="C1263" s="32" t="n">
        <f aca="false">Demand_History!D1263</f>
        <v>74</v>
      </c>
      <c r="D1263" s="33" t="n">
        <f aca="false">IF(B1263&gt;=2,C1262,"")</f>
        <v>38</v>
      </c>
      <c r="E1263" s="33" t="n">
        <f aca="false">IF(B1263&gt;=5,AVERAGE(C1259:C1262),"")</f>
        <v>51.25</v>
      </c>
      <c r="F1263" s="33" t="n">
        <f aca="false">IF(B1263&gt;=9,AVERAGE(C1255:C1262),"")</f>
        <v>49</v>
      </c>
      <c r="G1263" s="33" t="n">
        <f aca="false">IF(B1263=1,"",IF(B1263=2,C1262,SES_Alpha*C1262+(1-SES_Alpha)*G1262))</f>
        <v>47.099453825329</v>
      </c>
      <c r="H1263" s="33" t="n">
        <f aca="false">IF(D1263="","",D1263-C1263)</f>
        <v>-36</v>
      </c>
      <c r="I1263" s="33" t="n">
        <f aca="false">IF(E1263="","",E1263-C1263)</f>
        <v>-22.75</v>
      </c>
      <c r="J1263" s="33" t="n">
        <f aca="false">IF(F1263="","",F1263-C1263)</f>
        <v>-25</v>
      </c>
      <c r="K1263" s="33" t="n">
        <f aca="false">IF(G1263="","",G1263-C1263)</f>
        <v>-26.900546174671</v>
      </c>
      <c r="L1263" s="33" t="n">
        <f aca="false">IF(H1263="","",ABS(H1263))</f>
        <v>36</v>
      </c>
      <c r="M1263" s="33" t="n">
        <f aca="false">IF(I1263="","",ABS(I1263))</f>
        <v>22.75</v>
      </c>
      <c r="N1263" s="33" t="n">
        <f aca="false">IF(J1263="","",ABS(J1263))</f>
        <v>25</v>
      </c>
      <c r="O1263" s="33" t="n">
        <f aca="false">IF(K1263="","",ABS(K1263))</f>
        <v>26.900546174671</v>
      </c>
      <c r="P1263" s="34" t="str">
        <f aca="false">IF(B1263&gt;=Eval_Start_Week,"YES","")</f>
        <v/>
      </c>
      <c r="Q1263" s="34" t="str">
        <f aca="false">IF(AND(B1263&gt;=Cal_Start_Week,B1263&lt;=Cal_End_Week),"YES","")</f>
        <v/>
      </c>
    </row>
    <row r="1264" customFormat="false" ht="15" hidden="false" customHeight="false" outlineLevel="0" collapsed="false">
      <c r="A1264" s="31" t="str">
        <f aca="false">Demand_History!C1264</f>
        <v>BTH-003</v>
      </c>
      <c r="B1264" s="31" t="n">
        <f aca="false">Demand_History!A1264</f>
        <v>15</v>
      </c>
      <c r="C1264" s="32" t="n">
        <f aca="false">Demand_History!D1264</f>
        <v>72</v>
      </c>
      <c r="D1264" s="33" t="n">
        <f aca="false">IF(B1264&gt;=2,C1263,"")</f>
        <v>74</v>
      </c>
      <c r="E1264" s="33" t="n">
        <f aca="false">IF(B1264&gt;=5,AVERAGE(C1260:C1263),"")</f>
        <v>53.5</v>
      </c>
      <c r="F1264" s="33" t="n">
        <f aca="false">IF(B1264&gt;=9,AVERAGE(C1256:C1263),"")</f>
        <v>55</v>
      </c>
      <c r="G1264" s="33" t="n">
        <f aca="false">IF(B1264=1,"",IF(B1264=2,C1263,SES_Alpha*C1263+(1-SES_Alpha)*G1263))</f>
        <v>55.1696176777303</v>
      </c>
      <c r="H1264" s="33" t="n">
        <f aca="false">IF(D1264="","",D1264-C1264)</f>
        <v>2</v>
      </c>
      <c r="I1264" s="33" t="n">
        <f aca="false">IF(E1264="","",E1264-C1264)</f>
        <v>-18.5</v>
      </c>
      <c r="J1264" s="33" t="n">
        <f aca="false">IF(F1264="","",F1264-C1264)</f>
        <v>-17</v>
      </c>
      <c r="K1264" s="33" t="n">
        <f aca="false">IF(G1264="","",G1264-C1264)</f>
        <v>-16.8303823222697</v>
      </c>
      <c r="L1264" s="33" t="n">
        <f aca="false">IF(H1264="","",ABS(H1264))</f>
        <v>2</v>
      </c>
      <c r="M1264" s="33" t="n">
        <f aca="false">IF(I1264="","",ABS(I1264))</f>
        <v>18.5</v>
      </c>
      <c r="N1264" s="33" t="n">
        <f aca="false">IF(J1264="","",ABS(J1264))</f>
        <v>17</v>
      </c>
      <c r="O1264" s="33" t="n">
        <f aca="false">IF(K1264="","",ABS(K1264))</f>
        <v>16.8303823222697</v>
      </c>
      <c r="P1264" s="34" t="str">
        <f aca="false">IF(B1264&gt;=Eval_Start_Week,"YES","")</f>
        <v/>
      </c>
      <c r="Q1264" s="34" t="str">
        <f aca="false">IF(AND(B1264&gt;=Cal_Start_Week,B1264&lt;=Cal_End_Week),"YES","")</f>
        <v/>
      </c>
    </row>
    <row r="1265" customFormat="false" ht="15" hidden="false" customHeight="false" outlineLevel="0" collapsed="false">
      <c r="A1265" s="31" t="str">
        <f aca="false">Demand_History!C1265</f>
        <v>BTH-003</v>
      </c>
      <c r="B1265" s="31" t="n">
        <f aca="false">Demand_History!A1265</f>
        <v>16</v>
      </c>
      <c r="C1265" s="32" t="n">
        <f aca="false">Demand_History!D1265</f>
        <v>39</v>
      </c>
      <c r="D1265" s="33" t="n">
        <f aca="false">IF(B1265&gt;=2,C1264,"")</f>
        <v>72</v>
      </c>
      <c r="E1265" s="33" t="n">
        <f aca="false">IF(B1265&gt;=5,AVERAGE(C1261:C1264),"")</f>
        <v>54.25</v>
      </c>
      <c r="F1265" s="33" t="n">
        <f aca="false">IF(B1265&gt;=9,AVERAGE(C1257:C1264),"")</f>
        <v>56.625</v>
      </c>
      <c r="G1265" s="33" t="n">
        <f aca="false">IF(B1265=1,"",IF(B1265=2,C1264,SES_Alpha*C1264+(1-SES_Alpha)*G1264))</f>
        <v>60.2187323744112</v>
      </c>
      <c r="H1265" s="33" t="n">
        <f aca="false">IF(D1265="","",D1265-C1265)</f>
        <v>33</v>
      </c>
      <c r="I1265" s="33" t="n">
        <f aca="false">IF(E1265="","",E1265-C1265)</f>
        <v>15.25</v>
      </c>
      <c r="J1265" s="33" t="n">
        <f aca="false">IF(F1265="","",F1265-C1265)</f>
        <v>17.625</v>
      </c>
      <c r="K1265" s="33" t="n">
        <f aca="false">IF(G1265="","",G1265-C1265)</f>
        <v>21.2187323744112</v>
      </c>
      <c r="L1265" s="33" t="n">
        <f aca="false">IF(H1265="","",ABS(H1265))</f>
        <v>33</v>
      </c>
      <c r="M1265" s="33" t="n">
        <f aca="false">IF(I1265="","",ABS(I1265))</f>
        <v>15.25</v>
      </c>
      <c r="N1265" s="33" t="n">
        <f aca="false">IF(J1265="","",ABS(J1265))</f>
        <v>17.625</v>
      </c>
      <c r="O1265" s="33" t="n">
        <f aca="false">IF(K1265="","",ABS(K1265))</f>
        <v>21.2187323744112</v>
      </c>
      <c r="P1265" s="34" t="str">
        <f aca="false">IF(B1265&gt;=Eval_Start_Week,"YES","")</f>
        <v/>
      </c>
      <c r="Q1265" s="34" t="str">
        <f aca="false">IF(AND(B1265&gt;=Cal_Start_Week,B1265&lt;=Cal_End_Week),"YES","")</f>
        <v/>
      </c>
    </row>
    <row r="1266" customFormat="false" ht="15" hidden="false" customHeight="false" outlineLevel="0" collapsed="false">
      <c r="A1266" s="31" t="str">
        <f aca="false">Demand_History!C1266</f>
        <v>BTH-003</v>
      </c>
      <c r="B1266" s="31" t="n">
        <f aca="false">Demand_History!A1266</f>
        <v>17</v>
      </c>
      <c r="C1266" s="32" t="n">
        <f aca="false">Demand_History!D1266</f>
        <v>32</v>
      </c>
      <c r="D1266" s="33" t="n">
        <f aca="false">IF(B1266&gt;=2,C1265,"")</f>
        <v>39</v>
      </c>
      <c r="E1266" s="33" t="n">
        <f aca="false">IF(B1266&gt;=5,AVERAGE(C1262:C1265),"")</f>
        <v>55.75</v>
      </c>
      <c r="F1266" s="33" t="n">
        <f aca="false">IF(B1266&gt;=9,AVERAGE(C1258:C1265),"")</f>
        <v>54.75</v>
      </c>
      <c r="G1266" s="33" t="n">
        <f aca="false">IF(B1266=1,"",IF(B1266=2,C1265,SES_Alpha*C1265+(1-SES_Alpha)*G1265))</f>
        <v>53.8531126620878</v>
      </c>
      <c r="H1266" s="33" t="n">
        <f aca="false">IF(D1266="","",D1266-C1266)</f>
        <v>7</v>
      </c>
      <c r="I1266" s="33" t="n">
        <f aca="false">IF(E1266="","",E1266-C1266)</f>
        <v>23.75</v>
      </c>
      <c r="J1266" s="33" t="n">
        <f aca="false">IF(F1266="","",F1266-C1266)</f>
        <v>22.75</v>
      </c>
      <c r="K1266" s="33" t="n">
        <f aca="false">IF(G1266="","",G1266-C1266)</f>
        <v>21.8531126620878</v>
      </c>
      <c r="L1266" s="33" t="n">
        <f aca="false">IF(H1266="","",ABS(H1266))</f>
        <v>7</v>
      </c>
      <c r="M1266" s="33" t="n">
        <f aca="false">IF(I1266="","",ABS(I1266))</f>
        <v>23.75</v>
      </c>
      <c r="N1266" s="33" t="n">
        <f aca="false">IF(J1266="","",ABS(J1266))</f>
        <v>22.75</v>
      </c>
      <c r="O1266" s="33" t="n">
        <f aca="false">IF(K1266="","",ABS(K1266))</f>
        <v>21.8531126620878</v>
      </c>
      <c r="P1266" s="34" t="str">
        <f aca="false">IF(B1266&gt;=Eval_Start_Week,"YES","")</f>
        <v/>
      </c>
      <c r="Q1266" s="34" t="str">
        <f aca="false">IF(AND(B1266&gt;=Cal_Start_Week,B1266&lt;=Cal_End_Week),"YES","")</f>
        <v/>
      </c>
    </row>
    <row r="1267" customFormat="false" ht="15" hidden="false" customHeight="false" outlineLevel="0" collapsed="false">
      <c r="A1267" s="31" t="str">
        <f aca="false">Demand_History!C1267</f>
        <v>BTH-003</v>
      </c>
      <c r="B1267" s="31" t="n">
        <f aca="false">Demand_History!A1267</f>
        <v>18</v>
      </c>
      <c r="C1267" s="32" t="n">
        <f aca="false">Demand_History!D1267</f>
        <v>40</v>
      </c>
      <c r="D1267" s="33" t="n">
        <f aca="false">IF(B1267&gt;=2,C1266,"")</f>
        <v>32</v>
      </c>
      <c r="E1267" s="33" t="n">
        <f aca="false">IF(B1267&gt;=5,AVERAGE(C1263:C1266),"")</f>
        <v>54.25</v>
      </c>
      <c r="F1267" s="33" t="n">
        <f aca="false">IF(B1267&gt;=9,AVERAGE(C1259:C1266),"")</f>
        <v>52.75</v>
      </c>
      <c r="G1267" s="33" t="n">
        <f aca="false">IF(B1267=1,"",IF(B1267=2,C1266,SES_Alpha*C1266+(1-SES_Alpha)*G1266))</f>
        <v>47.2971788634615</v>
      </c>
      <c r="H1267" s="33" t="n">
        <f aca="false">IF(D1267="","",D1267-C1267)</f>
        <v>-8</v>
      </c>
      <c r="I1267" s="33" t="n">
        <f aca="false">IF(E1267="","",E1267-C1267)</f>
        <v>14.25</v>
      </c>
      <c r="J1267" s="33" t="n">
        <f aca="false">IF(F1267="","",F1267-C1267)</f>
        <v>12.75</v>
      </c>
      <c r="K1267" s="33" t="n">
        <f aca="false">IF(G1267="","",G1267-C1267)</f>
        <v>7.29717886346148</v>
      </c>
      <c r="L1267" s="33" t="n">
        <f aca="false">IF(H1267="","",ABS(H1267))</f>
        <v>8</v>
      </c>
      <c r="M1267" s="33" t="n">
        <f aca="false">IF(I1267="","",ABS(I1267))</f>
        <v>14.25</v>
      </c>
      <c r="N1267" s="33" t="n">
        <f aca="false">IF(J1267="","",ABS(J1267))</f>
        <v>12.75</v>
      </c>
      <c r="O1267" s="33" t="n">
        <f aca="false">IF(K1267="","",ABS(K1267))</f>
        <v>7.29717886346148</v>
      </c>
      <c r="P1267" s="34" t="str">
        <f aca="false">IF(B1267&gt;=Eval_Start_Week,"YES","")</f>
        <v/>
      </c>
      <c r="Q1267" s="34" t="str">
        <f aca="false">IF(AND(B1267&gt;=Cal_Start_Week,B1267&lt;=Cal_End_Week),"YES","")</f>
        <v/>
      </c>
    </row>
    <row r="1268" customFormat="false" ht="15" hidden="false" customHeight="false" outlineLevel="0" collapsed="false">
      <c r="A1268" s="31" t="str">
        <f aca="false">Demand_History!C1268</f>
        <v>BTH-003</v>
      </c>
      <c r="B1268" s="31" t="n">
        <f aca="false">Demand_History!A1268</f>
        <v>19</v>
      </c>
      <c r="C1268" s="32" t="n">
        <f aca="false">Demand_History!D1268</f>
        <v>42</v>
      </c>
      <c r="D1268" s="33" t="n">
        <f aca="false">IF(B1268&gt;=2,C1267,"")</f>
        <v>40</v>
      </c>
      <c r="E1268" s="33" t="n">
        <f aca="false">IF(B1268&gt;=5,AVERAGE(C1264:C1267),"")</f>
        <v>45.75</v>
      </c>
      <c r="F1268" s="33" t="n">
        <f aca="false">IF(B1268&gt;=9,AVERAGE(C1260:C1267),"")</f>
        <v>49.625</v>
      </c>
      <c r="G1268" s="33" t="n">
        <f aca="false">IF(B1268=1,"",IF(B1268=2,C1267,SES_Alpha*C1267+(1-SES_Alpha)*G1267))</f>
        <v>45.108025204423</v>
      </c>
      <c r="H1268" s="33" t="n">
        <f aca="false">IF(D1268="","",D1268-C1268)</f>
        <v>-2</v>
      </c>
      <c r="I1268" s="33" t="n">
        <f aca="false">IF(E1268="","",E1268-C1268)</f>
        <v>3.75</v>
      </c>
      <c r="J1268" s="33" t="n">
        <f aca="false">IF(F1268="","",F1268-C1268)</f>
        <v>7.625</v>
      </c>
      <c r="K1268" s="33" t="n">
        <f aca="false">IF(G1268="","",G1268-C1268)</f>
        <v>3.10802520442303</v>
      </c>
      <c r="L1268" s="33" t="n">
        <f aca="false">IF(H1268="","",ABS(H1268))</f>
        <v>2</v>
      </c>
      <c r="M1268" s="33" t="n">
        <f aca="false">IF(I1268="","",ABS(I1268))</f>
        <v>3.75</v>
      </c>
      <c r="N1268" s="33" t="n">
        <f aca="false">IF(J1268="","",ABS(J1268))</f>
        <v>7.625</v>
      </c>
      <c r="O1268" s="33" t="n">
        <f aca="false">IF(K1268="","",ABS(K1268))</f>
        <v>3.10802520442303</v>
      </c>
      <c r="P1268" s="34" t="str">
        <f aca="false">IF(B1268&gt;=Eval_Start_Week,"YES","")</f>
        <v/>
      </c>
      <c r="Q1268" s="34" t="str">
        <f aca="false">IF(AND(B1268&gt;=Cal_Start_Week,B1268&lt;=Cal_End_Week),"YES","")</f>
        <v/>
      </c>
    </row>
    <row r="1269" customFormat="false" ht="15" hidden="false" customHeight="false" outlineLevel="0" collapsed="false">
      <c r="A1269" s="31" t="str">
        <f aca="false">Demand_History!C1269</f>
        <v>BTH-003</v>
      </c>
      <c r="B1269" s="31" t="n">
        <f aca="false">Demand_History!A1269</f>
        <v>20</v>
      </c>
      <c r="C1269" s="32" t="n">
        <f aca="false">Demand_History!D1269</f>
        <v>26</v>
      </c>
      <c r="D1269" s="33" t="n">
        <f aca="false">IF(B1269&gt;=2,C1268,"")</f>
        <v>42</v>
      </c>
      <c r="E1269" s="33" t="n">
        <f aca="false">IF(B1269&gt;=5,AVERAGE(C1265:C1268),"")</f>
        <v>38.25</v>
      </c>
      <c r="F1269" s="33" t="n">
        <f aca="false">IF(B1269&gt;=9,AVERAGE(C1261:C1268),"")</f>
        <v>46.25</v>
      </c>
      <c r="G1269" s="33" t="n">
        <f aca="false">IF(B1269=1,"",IF(B1269=2,C1268,SES_Alpha*C1268+(1-SES_Alpha)*G1268))</f>
        <v>44.1756176430961</v>
      </c>
      <c r="H1269" s="33" t="n">
        <f aca="false">IF(D1269="","",D1269-C1269)</f>
        <v>16</v>
      </c>
      <c r="I1269" s="33" t="n">
        <f aca="false">IF(E1269="","",E1269-C1269)</f>
        <v>12.25</v>
      </c>
      <c r="J1269" s="33" t="n">
        <f aca="false">IF(F1269="","",F1269-C1269)</f>
        <v>20.25</v>
      </c>
      <c r="K1269" s="33" t="n">
        <f aca="false">IF(G1269="","",G1269-C1269)</f>
        <v>18.1756176430961</v>
      </c>
      <c r="L1269" s="33" t="n">
        <f aca="false">IF(H1269="","",ABS(H1269))</f>
        <v>16</v>
      </c>
      <c r="M1269" s="33" t="n">
        <f aca="false">IF(I1269="","",ABS(I1269))</f>
        <v>12.25</v>
      </c>
      <c r="N1269" s="33" t="n">
        <f aca="false">IF(J1269="","",ABS(J1269))</f>
        <v>20.25</v>
      </c>
      <c r="O1269" s="33" t="n">
        <f aca="false">IF(K1269="","",ABS(K1269))</f>
        <v>18.1756176430961</v>
      </c>
      <c r="P1269" s="34" t="str">
        <f aca="false">IF(B1269&gt;=Eval_Start_Week,"YES","")</f>
        <v/>
      </c>
      <c r="Q1269" s="34" t="str">
        <f aca="false">IF(AND(B1269&gt;=Cal_Start_Week,B1269&lt;=Cal_End_Week),"YES","")</f>
        <v/>
      </c>
    </row>
    <row r="1270" customFormat="false" ht="15" hidden="false" customHeight="false" outlineLevel="0" collapsed="false">
      <c r="A1270" s="31" t="str">
        <f aca="false">Demand_History!C1270</f>
        <v>BTH-003</v>
      </c>
      <c r="B1270" s="31" t="n">
        <f aca="false">Demand_History!A1270</f>
        <v>21</v>
      </c>
      <c r="C1270" s="32" t="n">
        <f aca="false">Demand_History!D1270</f>
        <v>50</v>
      </c>
      <c r="D1270" s="33" t="n">
        <f aca="false">IF(B1270&gt;=2,C1269,"")</f>
        <v>26</v>
      </c>
      <c r="E1270" s="33" t="n">
        <f aca="false">IF(B1270&gt;=5,AVERAGE(C1266:C1269),"")</f>
        <v>35</v>
      </c>
      <c r="F1270" s="33" t="n">
        <f aca="false">IF(B1270&gt;=9,AVERAGE(C1262:C1269),"")</f>
        <v>45.375</v>
      </c>
      <c r="G1270" s="33" t="n">
        <f aca="false">IF(B1270=1,"",IF(B1270=2,C1269,SES_Alpha*C1269+(1-SES_Alpha)*G1269))</f>
        <v>38.7229323501673</v>
      </c>
      <c r="H1270" s="33" t="n">
        <f aca="false">IF(D1270="","",D1270-C1270)</f>
        <v>-24</v>
      </c>
      <c r="I1270" s="33" t="n">
        <f aca="false">IF(E1270="","",E1270-C1270)</f>
        <v>-15</v>
      </c>
      <c r="J1270" s="33" t="n">
        <f aca="false">IF(F1270="","",F1270-C1270)</f>
        <v>-4.625</v>
      </c>
      <c r="K1270" s="33" t="n">
        <f aca="false">IF(G1270="","",G1270-C1270)</f>
        <v>-11.2770676498327</v>
      </c>
      <c r="L1270" s="33" t="n">
        <f aca="false">IF(H1270="","",ABS(H1270))</f>
        <v>24</v>
      </c>
      <c r="M1270" s="33" t="n">
        <f aca="false">IF(I1270="","",ABS(I1270))</f>
        <v>15</v>
      </c>
      <c r="N1270" s="33" t="n">
        <f aca="false">IF(J1270="","",ABS(J1270))</f>
        <v>4.625</v>
      </c>
      <c r="O1270" s="33" t="n">
        <f aca="false">IF(K1270="","",ABS(K1270))</f>
        <v>11.2770676498327</v>
      </c>
      <c r="P1270" s="34" t="str">
        <f aca="false">IF(B1270&gt;=Eval_Start_Week,"YES","")</f>
        <v/>
      </c>
      <c r="Q1270" s="34" t="str">
        <f aca="false">IF(AND(B1270&gt;=Cal_Start_Week,B1270&lt;=Cal_End_Week),"YES","")</f>
        <v/>
      </c>
    </row>
    <row r="1271" customFormat="false" ht="15" hidden="false" customHeight="false" outlineLevel="0" collapsed="false">
      <c r="A1271" s="31" t="str">
        <f aca="false">Demand_History!C1271</f>
        <v>BTH-003</v>
      </c>
      <c r="B1271" s="31" t="n">
        <f aca="false">Demand_History!A1271</f>
        <v>22</v>
      </c>
      <c r="C1271" s="32" t="n">
        <f aca="false">Demand_History!D1271</f>
        <v>31</v>
      </c>
      <c r="D1271" s="33" t="n">
        <f aca="false">IF(B1271&gt;=2,C1270,"")</f>
        <v>50</v>
      </c>
      <c r="E1271" s="33" t="n">
        <f aca="false">IF(B1271&gt;=5,AVERAGE(C1267:C1270),"")</f>
        <v>39.5</v>
      </c>
      <c r="F1271" s="33" t="n">
        <f aca="false">IF(B1271&gt;=9,AVERAGE(C1263:C1270),"")</f>
        <v>46.875</v>
      </c>
      <c r="G1271" s="33" t="n">
        <f aca="false">IF(B1271=1,"",IF(B1271=2,C1270,SES_Alpha*C1270+(1-SES_Alpha)*G1270))</f>
        <v>42.1060526451171</v>
      </c>
      <c r="H1271" s="33" t="n">
        <f aca="false">IF(D1271="","",D1271-C1271)</f>
        <v>19</v>
      </c>
      <c r="I1271" s="33" t="n">
        <f aca="false">IF(E1271="","",E1271-C1271)</f>
        <v>8.5</v>
      </c>
      <c r="J1271" s="33" t="n">
        <f aca="false">IF(F1271="","",F1271-C1271)</f>
        <v>15.875</v>
      </c>
      <c r="K1271" s="33" t="n">
        <f aca="false">IF(G1271="","",G1271-C1271)</f>
        <v>11.1060526451171</v>
      </c>
      <c r="L1271" s="33" t="n">
        <f aca="false">IF(H1271="","",ABS(H1271))</f>
        <v>19</v>
      </c>
      <c r="M1271" s="33" t="n">
        <f aca="false">IF(I1271="","",ABS(I1271))</f>
        <v>8.5</v>
      </c>
      <c r="N1271" s="33" t="n">
        <f aca="false">IF(J1271="","",ABS(J1271))</f>
        <v>15.875</v>
      </c>
      <c r="O1271" s="33" t="n">
        <f aca="false">IF(K1271="","",ABS(K1271))</f>
        <v>11.1060526451171</v>
      </c>
      <c r="P1271" s="34" t="str">
        <f aca="false">IF(B1271&gt;=Eval_Start_Week,"YES","")</f>
        <v/>
      </c>
      <c r="Q1271" s="34" t="str">
        <f aca="false">IF(AND(B1271&gt;=Cal_Start_Week,B1271&lt;=Cal_End_Week),"YES","")</f>
        <v/>
      </c>
    </row>
    <row r="1272" customFormat="false" ht="15" hidden="false" customHeight="false" outlineLevel="0" collapsed="false">
      <c r="A1272" s="31" t="str">
        <f aca="false">Demand_History!C1272</f>
        <v>BTH-003</v>
      </c>
      <c r="B1272" s="31" t="n">
        <f aca="false">Demand_History!A1272</f>
        <v>23</v>
      </c>
      <c r="C1272" s="32" t="n">
        <f aca="false">Demand_History!D1272</f>
        <v>32</v>
      </c>
      <c r="D1272" s="33" t="n">
        <f aca="false">IF(B1272&gt;=2,C1271,"")</f>
        <v>31</v>
      </c>
      <c r="E1272" s="33" t="n">
        <f aca="false">IF(B1272&gt;=5,AVERAGE(C1268:C1271),"")</f>
        <v>37.25</v>
      </c>
      <c r="F1272" s="33" t="n">
        <f aca="false">IF(B1272&gt;=9,AVERAGE(C1264:C1271),"")</f>
        <v>41.5</v>
      </c>
      <c r="G1272" s="33" t="n">
        <f aca="false">IF(B1272=1,"",IF(B1272=2,C1271,SES_Alpha*C1271+(1-SES_Alpha)*G1271))</f>
        <v>38.774236851582</v>
      </c>
      <c r="H1272" s="33" t="n">
        <f aca="false">IF(D1272="","",D1272-C1272)</f>
        <v>-1</v>
      </c>
      <c r="I1272" s="33" t="n">
        <f aca="false">IF(E1272="","",E1272-C1272)</f>
        <v>5.25</v>
      </c>
      <c r="J1272" s="33" t="n">
        <f aca="false">IF(F1272="","",F1272-C1272)</f>
        <v>9.5</v>
      </c>
      <c r="K1272" s="33" t="n">
        <f aca="false">IF(G1272="","",G1272-C1272)</f>
        <v>6.77423685158196</v>
      </c>
      <c r="L1272" s="33" t="n">
        <f aca="false">IF(H1272="","",ABS(H1272))</f>
        <v>1</v>
      </c>
      <c r="M1272" s="33" t="n">
        <f aca="false">IF(I1272="","",ABS(I1272))</f>
        <v>5.25</v>
      </c>
      <c r="N1272" s="33" t="n">
        <f aca="false">IF(J1272="","",ABS(J1272))</f>
        <v>9.5</v>
      </c>
      <c r="O1272" s="33" t="n">
        <f aca="false">IF(K1272="","",ABS(K1272))</f>
        <v>6.77423685158196</v>
      </c>
      <c r="P1272" s="34" t="str">
        <f aca="false">IF(B1272&gt;=Eval_Start_Week,"YES","")</f>
        <v/>
      </c>
      <c r="Q1272" s="34" t="str">
        <f aca="false">IF(AND(B1272&gt;=Cal_Start_Week,B1272&lt;=Cal_End_Week),"YES","")</f>
        <v/>
      </c>
    </row>
    <row r="1273" customFormat="false" ht="15" hidden="false" customHeight="false" outlineLevel="0" collapsed="false">
      <c r="A1273" s="31" t="str">
        <f aca="false">Demand_History!C1273</f>
        <v>BTH-003</v>
      </c>
      <c r="B1273" s="31" t="n">
        <f aca="false">Demand_History!A1273</f>
        <v>24</v>
      </c>
      <c r="C1273" s="32" t="n">
        <f aca="false">Demand_History!D1273</f>
        <v>64</v>
      </c>
      <c r="D1273" s="33" t="n">
        <f aca="false">IF(B1273&gt;=2,C1272,"")</f>
        <v>32</v>
      </c>
      <c r="E1273" s="33" t="n">
        <f aca="false">IF(B1273&gt;=5,AVERAGE(C1269:C1272),"")</f>
        <v>34.75</v>
      </c>
      <c r="F1273" s="33" t="n">
        <f aca="false">IF(B1273&gt;=9,AVERAGE(C1265:C1272),"")</f>
        <v>36.5</v>
      </c>
      <c r="G1273" s="33" t="n">
        <f aca="false">IF(B1273=1,"",IF(B1273=2,C1272,SES_Alpha*C1272+(1-SES_Alpha)*G1272))</f>
        <v>36.7419657961074</v>
      </c>
      <c r="H1273" s="33" t="n">
        <f aca="false">IF(D1273="","",D1273-C1273)</f>
        <v>-32</v>
      </c>
      <c r="I1273" s="33" t="n">
        <f aca="false">IF(E1273="","",E1273-C1273)</f>
        <v>-29.25</v>
      </c>
      <c r="J1273" s="33" t="n">
        <f aca="false">IF(F1273="","",F1273-C1273)</f>
        <v>-27.5</v>
      </c>
      <c r="K1273" s="33" t="n">
        <f aca="false">IF(G1273="","",G1273-C1273)</f>
        <v>-27.2580342038926</v>
      </c>
      <c r="L1273" s="33" t="n">
        <f aca="false">IF(H1273="","",ABS(H1273))</f>
        <v>32</v>
      </c>
      <c r="M1273" s="33" t="n">
        <f aca="false">IF(I1273="","",ABS(I1273))</f>
        <v>29.25</v>
      </c>
      <c r="N1273" s="33" t="n">
        <f aca="false">IF(J1273="","",ABS(J1273))</f>
        <v>27.5</v>
      </c>
      <c r="O1273" s="33" t="n">
        <f aca="false">IF(K1273="","",ABS(K1273))</f>
        <v>27.2580342038926</v>
      </c>
      <c r="P1273" s="34" t="str">
        <f aca="false">IF(B1273&gt;=Eval_Start_Week,"YES","")</f>
        <v/>
      </c>
      <c r="Q1273" s="34" t="str">
        <f aca="false">IF(AND(B1273&gt;=Cal_Start_Week,B1273&lt;=Cal_End_Week),"YES","")</f>
        <v/>
      </c>
    </row>
    <row r="1274" customFormat="false" ht="15" hidden="false" customHeight="false" outlineLevel="0" collapsed="false">
      <c r="A1274" s="31" t="str">
        <f aca="false">Demand_History!C1274</f>
        <v>BTH-003</v>
      </c>
      <c r="B1274" s="31" t="n">
        <f aca="false">Demand_History!A1274</f>
        <v>25</v>
      </c>
      <c r="C1274" s="32" t="n">
        <f aca="false">Demand_History!D1274</f>
        <v>40</v>
      </c>
      <c r="D1274" s="33" t="n">
        <f aca="false">IF(B1274&gt;=2,C1273,"")</f>
        <v>64</v>
      </c>
      <c r="E1274" s="33" t="n">
        <f aca="false">IF(B1274&gt;=5,AVERAGE(C1270:C1273),"")</f>
        <v>44.25</v>
      </c>
      <c r="F1274" s="33" t="n">
        <f aca="false">IF(B1274&gt;=9,AVERAGE(C1266:C1273),"")</f>
        <v>39.625</v>
      </c>
      <c r="G1274" s="33" t="n">
        <f aca="false">IF(B1274=1,"",IF(B1274=2,C1273,SES_Alpha*C1273+(1-SES_Alpha)*G1273))</f>
        <v>44.9193760572752</v>
      </c>
      <c r="H1274" s="33" t="n">
        <f aca="false">IF(D1274="","",D1274-C1274)</f>
        <v>24</v>
      </c>
      <c r="I1274" s="33" t="n">
        <f aca="false">IF(E1274="","",E1274-C1274)</f>
        <v>4.25</v>
      </c>
      <c r="J1274" s="33" t="n">
        <f aca="false">IF(F1274="","",F1274-C1274)</f>
        <v>-0.375</v>
      </c>
      <c r="K1274" s="33" t="n">
        <f aca="false">IF(G1274="","",G1274-C1274)</f>
        <v>4.91937605727516</v>
      </c>
      <c r="L1274" s="33" t="n">
        <f aca="false">IF(H1274="","",ABS(H1274))</f>
        <v>24</v>
      </c>
      <c r="M1274" s="33" t="n">
        <f aca="false">IF(I1274="","",ABS(I1274))</f>
        <v>4.25</v>
      </c>
      <c r="N1274" s="33" t="n">
        <f aca="false">IF(J1274="","",ABS(J1274))</f>
        <v>0.375</v>
      </c>
      <c r="O1274" s="33" t="n">
        <f aca="false">IF(K1274="","",ABS(K1274))</f>
        <v>4.91937605727516</v>
      </c>
      <c r="P1274" s="34" t="str">
        <f aca="false">IF(B1274&gt;=Eval_Start_Week,"YES","")</f>
        <v/>
      </c>
      <c r="Q1274" s="34" t="str">
        <f aca="false">IF(AND(B1274&gt;=Cal_Start_Week,B1274&lt;=Cal_End_Week),"YES","")</f>
        <v/>
      </c>
    </row>
    <row r="1275" customFormat="false" ht="15" hidden="false" customHeight="false" outlineLevel="0" collapsed="false">
      <c r="A1275" s="31" t="str">
        <f aca="false">Demand_History!C1275</f>
        <v>BTH-003</v>
      </c>
      <c r="B1275" s="31" t="n">
        <f aca="false">Demand_History!A1275</f>
        <v>26</v>
      </c>
      <c r="C1275" s="32" t="n">
        <f aca="false">Demand_History!D1275</f>
        <v>49</v>
      </c>
      <c r="D1275" s="33" t="n">
        <f aca="false">IF(B1275&gt;=2,C1274,"")</f>
        <v>40</v>
      </c>
      <c r="E1275" s="33" t="n">
        <f aca="false">IF(B1275&gt;=5,AVERAGE(C1271:C1274),"")</f>
        <v>41.75</v>
      </c>
      <c r="F1275" s="33" t="n">
        <f aca="false">IF(B1275&gt;=9,AVERAGE(C1267:C1274),"")</f>
        <v>40.625</v>
      </c>
      <c r="G1275" s="33" t="n">
        <f aca="false">IF(B1275=1,"",IF(B1275=2,C1274,SES_Alpha*C1274+(1-SES_Alpha)*G1274))</f>
        <v>43.4435632400926</v>
      </c>
      <c r="H1275" s="33" t="n">
        <f aca="false">IF(D1275="","",D1275-C1275)</f>
        <v>-9</v>
      </c>
      <c r="I1275" s="33" t="n">
        <f aca="false">IF(E1275="","",E1275-C1275)</f>
        <v>-7.25</v>
      </c>
      <c r="J1275" s="33" t="n">
        <f aca="false">IF(F1275="","",F1275-C1275)</f>
        <v>-8.375</v>
      </c>
      <c r="K1275" s="33" t="n">
        <f aca="false">IF(G1275="","",G1275-C1275)</f>
        <v>-5.55643675990739</v>
      </c>
      <c r="L1275" s="33" t="n">
        <f aca="false">IF(H1275="","",ABS(H1275))</f>
        <v>9</v>
      </c>
      <c r="M1275" s="33" t="n">
        <f aca="false">IF(I1275="","",ABS(I1275))</f>
        <v>7.25</v>
      </c>
      <c r="N1275" s="33" t="n">
        <f aca="false">IF(J1275="","",ABS(J1275))</f>
        <v>8.375</v>
      </c>
      <c r="O1275" s="33" t="n">
        <f aca="false">IF(K1275="","",ABS(K1275))</f>
        <v>5.55643675990739</v>
      </c>
      <c r="P1275" s="34" t="str">
        <f aca="false">IF(B1275&gt;=Eval_Start_Week,"YES","")</f>
        <v/>
      </c>
      <c r="Q1275" s="34" t="str">
        <f aca="false">IF(AND(B1275&gt;=Cal_Start_Week,B1275&lt;=Cal_End_Week),"YES","")</f>
        <v/>
      </c>
    </row>
    <row r="1276" customFormat="false" ht="15" hidden="false" customHeight="false" outlineLevel="0" collapsed="false">
      <c r="A1276" s="31" t="str">
        <f aca="false">Demand_History!C1276</f>
        <v>BTH-003</v>
      </c>
      <c r="B1276" s="31" t="n">
        <f aca="false">Demand_History!A1276</f>
        <v>27</v>
      </c>
      <c r="C1276" s="32" t="n">
        <f aca="false">Demand_History!D1276</f>
        <v>60</v>
      </c>
      <c r="D1276" s="33" t="n">
        <f aca="false">IF(B1276&gt;=2,C1275,"")</f>
        <v>49</v>
      </c>
      <c r="E1276" s="33" t="n">
        <f aca="false">IF(B1276&gt;=5,AVERAGE(C1272:C1275),"")</f>
        <v>46.25</v>
      </c>
      <c r="F1276" s="33" t="n">
        <f aca="false">IF(B1276&gt;=9,AVERAGE(C1268:C1275),"")</f>
        <v>41.75</v>
      </c>
      <c r="G1276" s="33" t="n">
        <f aca="false">IF(B1276=1,"",IF(B1276=2,C1275,SES_Alpha*C1275+(1-SES_Alpha)*G1275))</f>
        <v>45.1104942680648</v>
      </c>
      <c r="H1276" s="33" t="n">
        <f aca="false">IF(D1276="","",D1276-C1276)</f>
        <v>-11</v>
      </c>
      <c r="I1276" s="33" t="n">
        <f aca="false">IF(E1276="","",E1276-C1276)</f>
        <v>-13.75</v>
      </c>
      <c r="J1276" s="33" t="n">
        <f aca="false">IF(F1276="","",F1276-C1276)</f>
        <v>-18.25</v>
      </c>
      <c r="K1276" s="33" t="n">
        <f aca="false">IF(G1276="","",G1276-C1276)</f>
        <v>-14.8895057319352</v>
      </c>
      <c r="L1276" s="33" t="n">
        <f aca="false">IF(H1276="","",ABS(H1276))</f>
        <v>11</v>
      </c>
      <c r="M1276" s="33" t="n">
        <f aca="false">IF(I1276="","",ABS(I1276))</f>
        <v>13.75</v>
      </c>
      <c r="N1276" s="33" t="n">
        <f aca="false">IF(J1276="","",ABS(J1276))</f>
        <v>18.25</v>
      </c>
      <c r="O1276" s="33" t="n">
        <f aca="false">IF(K1276="","",ABS(K1276))</f>
        <v>14.8895057319352</v>
      </c>
      <c r="P1276" s="34" t="str">
        <f aca="false">IF(B1276&gt;=Eval_Start_Week,"YES","")</f>
        <v/>
      </c>
      <c r="Q1276" s="34" t="str">
        <f aca="false">IF(AND(B1276&gt;=Cal_Start_Week,B1276&lt;=Cal_End_Week),"YES","")</f>
        <v/>
      </c>
    </row>
    <row r="1277" customFormat="false" ht="15" hidden="false" customHeight="false" outlineLevel="0" collapsed="false">
      <c r="A1277" s="31" t="str">
        <f aca="false">Demand_History!C1277</f>
        <v>BTH-003</v>
      </c>
      <c r="B1277" s="31" t="n">
        <f aca="false">Demand_History!A1277</f>
        <v>28</v>
      </c>
      <c r="C1277" s="32" t="n">
        <f aca="false">Demand_History!D1277</f>
        <v>62</v>
      </c>
      <c r="D1277" s="33" t="n">
        <f aca="false">IF(B1277&gt;=2,C1276,"")</f>
        <v>60</v>
      </c>
      <c r="E1277" s="33" t="n">
        <f aca="false">IF(B1277&gt;=5,AVERAGE(C1273:C1276),"")</f>
        <v>53.25</v>
      </c>
      <c r="F1277" s="33" t="n">
        <f aca="false">IF(B1277&gt;=9,AVERAGE(C1269:C1276),"")</f>
        <v>44</v>
      </c>
      <c r="G1277" s="33" t="n">
        <f aca="false">IF(B1277=1,"",IF(B1277=2,C1276,SES_Alpha*C1276+(1-SES_Alpha)*G1276))</f>
        <v>49.5773459876454</v>
      </c>
      <c r="H1277" s="33" t="n">
        <f aca="false">IF(D1277="","",D1277-C1277)</f>
        <v>-2</v>
      </c>
      <c r="I1277" s="33" t="n">
        <f aca="false">IF(E1277="","",E1277-C1277)</f>
        <v>-8.75</v>
      </c>
      <c r="J1277" s="33" t="n">
        <f aca="false">IF(F1277="","",F1277-C1277)</f>
        <v>-18</v>
      </c>
      <c r="K1277" s="33" t="n">
        <f aca="false">IF(G1277="","",G1277-C1277)</f>
        <v>-12.4226540123546</v>
      </c>
      <c r="L1277" s="33" t="n">
        <f aca="false">IF(H1277="","",ABS(H1277))</f>
        <v>2</v>
      </c>
      <c r="M1277" s="33" t="n">
        <f aca="false">IF(I1277="","",ABS(I1277))</f>
        <v>8.75</v>
      </c>
      <c r="N1277" s="33" t="n">
        <f aca="false">IF(J1277="","",ABS(J1277))</f>
        <v>18</v>
      </c>
      <c r="O1277" s="33" t="n">
        <f aca="false">IF(K1277="","",ABS(K1277))</f>
        <v>12.4226540123546</v>
      </c>
      <c r="P1277" s="34" t="str">
        <f aca="false">IF(B1277&gt;=Eval_Start_Week,"YES","")</f>
        <v/>
      </c>
      <c r="Q1277" s="34" t="str">
        <f aca="false">IF(AND(B1277&gt;=Cal_Start_Week,B1277&lt;=Cal_End_Week),"YES","")</f>
        <v/>
      </c>
    </row>
    <row r="1278" customFormat="false" ht="15" hidden="false" customHeight="false" outlineLevel="0" collapsed="false">
      <c r="A1278" s="31" t="str">
        <f aca="false">Demand_History!C1278</f>
        <v>BTH-003</v>
      </c>
      <c r="B1278" s="31" t="n">
        <f aca="false">Demand_History!A1278</f>
        <v>29</v>
      </c>
      <c r="C1278" s="32" t="n">
        <f aca="false">Demand_History!D1278</f>
        <v>45</v>
      </c>
      <c r="D1278" s="33" t="n">
        <f aca="false">IF(B1278&gt;=2,C1277,"")</f>
        <v>62</v>
      </c>
      <c r="E1278" s="33" t="n">
        <f aca="false">IF(B1278&gt;=5,AVERAGE(C1274:C1277),"")</f>
        <v>52.75</v>
      </c>
      <c r="F1278" s="33" t="n">
        <f aca="false">IF(B1278&gt;=9,AVERAGE(C1270:C1277),"")</f>
        <v>48.5</v>
      </c>
      <c r="G1278" s="33" t="n">
        <f aca="false">IF(B1278=1,"",IF(B1278=2,C1277,SES_Alpha*C1277+(1-SES_Alpha)*G1277))</f>
        <v>53.3041421913518</v>
      </c>
      <c r="H1278" s="33" t="n">
        <f aca="false">IF(D1278="","",D1278-C1278)</f>
        <v>17</v>
      </c>
      <c r="I1278" s="33" t="n">
        <f aca="false">IF(E1278="","",E1278-C1278)</f>
        <v>7.75</v>
      </c>
      <c r="J1278" s="33" t="n">
        <f aca="false">IF(F1278="","",F1278-C1278)</f>
        <v>3.5</v>
      </c>
      <c r="K1278" s="33" t="n">
        <f aca="false">IF(G1278="","",G1278-C1278)</f>
        <v>8.30414219135176</v>
      </c>
      <c r="L1278" s="33" t="n">
        <f aca="false">IF(H1278="","",ABS(H1278))</f>
        <v>17</v>
      </c>
      <c r="M1278" s="33" t="n">
        <f aca="false">IF(I1278="","",ABS(I1278))</f>
        <v>7.75</v>
      </c>
      <c r="N1278" s="33" t="n">
        <f aca="false">IF(J1278="","",ABS(J1278))</f>
        <v>3.5</v>
      </c>
      <c r="O1278" s="33" t="n">
        <f aca="false">IF(K1278="","",ABS(K1278))</f>
        <v>8.30414219135176</v>
      </c>
      <c r="P1278" s="34" t="str">
        <f aca="false">IF(B1278&gt;=Eval_Start_Week,"YES","")</f>
        <v/>
      </c>
      <c r="Q1278" s="34" t="str">
        <f aca="false">IF(AND(B1278&gt;=Cal_Start_Week,B1278&lt;=Cal_End_Week),"YES","")</f>
        <v/>
      </c>
    </row>
    <row r="1279" customFormat="false" ht="15" hidden="false" customHeight="false" outlineLevel="0" collapsed="false">
      <c r="A1279" s="31" t="str">
        <f aca="false">Demand_History!C1279</f>
        <v>BTH-003</v>
      </c>
      <c r="B1279" s="31" t="n">
        <f aca="false">Demand_History!A1279</f>
        <v>30</v>
      </c>
      <c r="C1279" s="32" t="n">
        <f aca="false">Demand_History!D1279</f>
        <v>51</v>
      </c>
      <c r="D1279" s="33" t="n">
        <f aca="false">IF(B1279&gt;=2,C1278,"")</f>
        <v>45</v>
      </c>
      <c r="E1279" s="33" t="n">
        <f aca="false">IF(B1279&gt;=5,AVERAGE(C1275:C1278),"")</f>
        <v>54</v>
      </c>
      <c r="F1279" s="33" t="n">
        <f aca="false">IF(B1279&gt;=9,AVERAGE(C1271:C1278),"")</f>
        <v>47.875</v>
      </c>
      <c r="G1279" s="33" t="n">
        <f aca="false">IF(B1279=1,"",IF(B1279=2,C1278,SES_Alpha*C1278+(1-SES_Alpha)*G1278))</f>
        <v>50.8128995339462</v>
      </c>
      <c r="H1279" s="33" t="n">
        <f aca="false">IF(D1279="","",D1279-C1279)</f>
        <v>-6</v>
      </c>
      <c r="I1279" s="33" t="n">
        <f aca="false">IF(E1279="","",E1279-C1279)</f>
        <v>3</v>
      </c>
      <c r="J1279" s="33" t="n">
        <f aca="false">IF(F1279="","",F1279-C1279)</f>
        <v>-3.125</v>
      </c>
      <c r="K1279" s="33" t="n">
        <f aca="false">IF(G1279="","",G1279-C1279)</f>
        <v>-0.187100466053771</v>
      </c>
      <c r="L1279" s="33" t="n">
        <f aca="false">IF(H1279="","",ABS(H1279))</f>
        <v>6</v>
      </c>
      <c r="M1279" s="33" t="n">
        <f aca="false">IF(I1279="","",ABS(I1279))</f>
        <v>3</v>
      </c>
      <c r="N1279" s="33" t="n">
        <f aca="false">IF(J1279="","",ABS(J1279))</f>
        <v>3.125</v>
      </c>
      <c r="O1279" s="33" t="n">
        <f aca="false">IF(K1279="","",ABS(K1279))</f>
        <v>0.187100466053771</v>
      </c>
      <c r="P1279" s="34" t="str">
        <f aca="false">IF(B1279&gt;=Eval_Start_Week,"YES","")</f>
        <v/>
      </c>
      <c r="Q1279" s="34" t="str">
        <f aca="false">IF(AND(B1279&gt;=Cal_Start_Week,B1279&lt;=Cal_End_Week),"YES","")</f>
        <v/>
      </c>
    </row>
    <row r="1280" customFormat="false" ht="15" hidden="false" customHeight="false" outlineLevel="0" collapsed="false">
      <c r="A1280" s="31" t="str">
        <f aca="false">Demand_History!C1280</f>
        <v>BTH-003</v>
      </c>
      <c r="B1280" s="31" t="n">
        <f aca="false">Demand_History!A1280</f>
        <v>31</v>
      </c>
      <c r="C1280" s="32" t="n">
        <f aca="false">Demand_History!D1280</f>
        <v>37</v>
      </c>
      <c r="D1280" s="33" t="n">
        <f aca="false">IF(B1280&gt;=2,C1279,"")</f>
        <v>51</v>
      </c>
      <c r="E1280" s="33" t="n">
        <f aca="false">IF(B1280&gt;=5,AVERAGE(C1276:C1279),"")</f>
        <v>54.5</v>
      </c>
      <c r="F1280" s="33" t="n">
        <f aca="false">IF(B1280&gt;=9,AVERAGE(C1272:C1279),"")</f>
        <v>50.375</v>
      </c>
      <c r="G1280" s="33" t="n">
        <f aca="false">IF(B1280=1,"",IF(B1280=2,C1279,SES_Alpha*C1279+(1-SES_Alpha)*G1279))</f>
        <v>50.8690296737624</v>
      </c>
      <c r="H1280" s="33" t="n">
        <f aca="false">IF(D1280="","",D1280-C1280)</f>
        <v>14</v>
      </c>
      <c r="I1280" s="33" t="n">
        <f aca="false">IF(E1280="","",E1280-C1280)</f>
        <v>17.5</v>
      </c>
      <c r="J1280" s="33" t="n">
        <f aca="false">IF(F1280="","",F1280-C1280)</f>
        <v>13.375</v>
      </c>
      <c r="K1280" s="33" t="n">
        <f aca="false">IF(G1280="","",G1280-C1280)</f>
        <v>13.8690296737624</v>
      </c>
      <c r="L1280" s="33" t="n">
        <f aca="false">IF(H1280="","",ABS(H1280))</f>
        <v>14</v>
      </c>
      <c r="M1280" s="33" t="n">
        <f aca="false">IF(I1280="","",ABS(I1280))</f>
        <v>17.5</v>
      </c>
      <c r="N1280" s="33" t="n">
        <f aca="false">IF(J1280="","",ABS(J1280))</f>
        <v>13.375</v>
      </c>
      <c r="O1280" s="33" t="n">
        <f aca="false">IF(K1280="","",ABS(K1280))</f>
        <v>13.8690296737624</v>
      </c>
      <c r="P1280" s="34" t="str">
        <f aca="false">IF(B1280&gt;=Eval_Start_Week,"YES","")</f>
        <v/>
      </c>
      <c r="Q1280" s="34" t="str">
        <f aca="false">IF(AND(B1280&gt;=Cal_Start_Week,B1280&lt;=Cal_End_Week),"YES","")</f>
        <v/>
      </c>
    </row>
    <row r="1281" customFormat="false" ht="15" hidden="false" customHeight="false" outlineLevel="0" collapsed="false">
      <c r="A1281" s="31" t="str">
        <f aca="false">Demand_History!C1281</f>
        <v>BTH-003</v>
      </c>
      <c r="B1281" s="31" t="n">
        <f aca="false">Demand_History!A1281</f>
        <v>32</v>
      </c>
      <c r="C1281" s="32" t="n">
        <f aca="false">Demand_History!D1281</f>
        <v>77</v>
      </c>
      <c r="D1281" s="33" t="n">
        <f aca="false">IF(B1281&gt;=2,C1280,"")</f>
        <v>37</v>
      </c>
      <c r="E1281" s="33" t="n">
        <f aca="false">IF(B1281&gt;=5,AVERAGE(C1277:C1280),"")</f>
        <v>48.75</v>
      </c>
      <c r="F1281" s="33" t="n">
        <f aca="false">IF(B1281&gt;=9,AVERAGE(C1273:C1280),"")</f>
        <v>51</v>
      </c>
      <c r="G1281" s="33" t="n">
        <f aca="false">IF(B1281=1,"",IF(B1281=2,C1280,SES_Alpha*C1280+(1-SES_Alpha)*G1280))</f>
        <v>46.7083207716336</v>
      </c>
      <c r="H1281" s="33" t="n">
        <f aca="false">IF(D1281="","",D1281-C1281)</f>
        <v>-40</v>
      </c>
      <c r="I1281" s="33" t="n">
        <f aca="false">IF(E1281="","",E1281-C1281)</f>
        <v>-28.25</v>
      </c>
      <c r="J1281" s="33" t="n">
        <f aca="false">IF(F1281="","",F1281-C1281)</f>
        <v>-26</v>
      </c>
      <c r="K1281" s="33" t="n">
        <f aca="false">IF(G1281="","",G1281-C1281)</f>
        <v>-30.2916792283664</v>
      </c>
      <c r="L1281" s="33" t="n">
        <f aca="false">IF(H1281="","",ABS(H1281))</f>
        <v>40</v>
      </c>
      <c r="M1281" s="33" t="n">
        <f aca="false">IF(I1281="","",ABS(I1281))</f>
        <v>28.25</v>
      </c>
      <c r="N1281" s="33" t="n">
        <f aca="false">IF(J1281="","",ABS(J1281))</f>
        <v>26</v>
      </c>
      <c r="O1281" s="33" t="n">
        <f aca="false">IF(K1281="","",ABS(K1281))</f>
        <v>30.2916792283664</v>
      </c>
      <c r="P1281" s="34" t="str">
        <f aca="false">IF(B1281&gt;=Eval_Start_Week,"YES","")</f>
        <v/>
      </c>
      <c r="Q1281" s="34" t="str">
        <f aca="false">IF(AND(B1281&gt;=Cal_Start_Week,B1281&lt;=Cal_End_Week),"YES","")</f>
        <v/>
      </c>
    </row>
    <row r="1282" customFormat="false" ht="15" hidden="false" customHeight="false" outlineLevel="0" collapsed="false">
      <c r="A1282" s="31" t="str">
        <f aca="false">Demand_History!C1282</f>
        <v>BTH-003</v>
      </c>
      <c r="B1282" s="31" t="n">
        <f aca="false">Demand_History!A1282</f>
        <v>33</v>
      </c>
      <c r="C1282" s="32" t="n">
        <f aca="false">Demand_History!D1282</f>
        <v>60</v>
      </c>
      <c r="D1282" s="33" t="n">
        <f aca="false">IF(B1282&gt;=2,C1281,"")</f>
        <v>77</v>
      </c>
      <c r="E1282" s="33" t="n">
        <f aca="false">IF(B1282&gt;=5,AVERAGE(C1278:C1281),"")</f>
        <v>52.5</v>
      </c>
      <c r="F1282" s="33" t="n">
        <f aca="false">IF(B1282&gt;=9,AVERAGE(C1274:C1281),"")</f>
        <v>52.625</v>
      </c>
      <c r="G1282" s="33" t="n">
        <f aca="false">IF(B1282=1,"",IF(B1282=2,C1281,SES_Alpha*C1281+(1-SES_Alpha)*G1281))</f>
        <v>55.7958245401435</v>
      </c>
      <c r="H1282" s="33" t="n">
        <f aca="false">IF(D1282="","",D1282-C1282)</f>
        <v>17</v>
      </c>
      <c r="I1282" s="33" t="n">
        <f aca="false">IF(E1282="","",E1282-C1282)</f>
        <v>-7.5</v>
      </c>
      <c r="J1282" s="33" t="n">
        <f aca="false">IF(F1282="","",F1282-C1282)</f>
        <v>-7.375</v>
      </c>
      <c r="K1282" s="33" t="n">
        <f aca="false">IF(G1282="","",G1282-C1282)</f>
        <v>-4.20417545985646</v>
      </c>
      <c r="L1282" s="33" t="n">
        <f aca="false">IF(H1282="","",ABS(H1282))</f>
        <v>17</v>
      </c>
      <c r="M1282" s="33" t="n">
        <f aca="false">IF(I1282="","",ABS(I1282))</f>
        <v>7.5</v>
      </c>
      <c r="N1282" s="33" t="n">
        <f aca="false">IF(J1282="","",ABS(J1282))</f>
        <v>7.375</v>
      </c>
      <c r="O1282" s="33" t="n">
        <f aca="false">IF(K1282="","",ABS(K1282))</f>
        <v>4.20417545985646</v>
      </c>
      <c r="P1282" s="34" t="str">
        <f aca="false">IF(B1282&gt;=Eval_Start_Week,"YES","")</f>
        <v/>
      </c>
      <c r="Q1282" s="34" t="str">
        <f aca="false">IF(AND(B1282&gt;=Cal_Start_Week,B1282&lt;=Cal_End_Week),"YES","")</f>
        <v/>
      </c>
    </row>
    <row r="1283" customFormat="false" ht="15" hidden="false" customHeight="false" outlineLevel="0" collapsed="false">
      <c r="A1283" s="31" t="str">
        <f aca="false">Demand_History!C1283</f>
        <v>BTH-003</v>
      </c>
      <c r="B1283" s="31" t="n">
        <f aca="false">Demand_History!A1283</f>
        <v>34</v>
      </c>
      <c r="C1283" s="32" t="n">
        <f aca="false">Demand_History!D1283</f>
        <v>33</v>
      </c>
      <c r="D1283" s="33" t="n">
        <f aca="false">IF(B1283&gt;=2,C1282,"")</f>
        <v>60</v>
      </c>
      <c r="E1283" s="33" t="n">
        <f aca="false">IF(B1283&gt;=5,AVERAGE(C1279:C1282),"")</f>
        <v>56.25</v>
      </c>
      <c r="F1283" s="33" t="n">
        <f aca="false">IF(B1283&gt;=9,AVERAGE(C1275:C1282),"")</f>
        <v>55.125</v>
      </c>
      <c r="G1283" s="33" t="n">
        <f aca="false">IF(B1283=1,"",IF(B1283=2,C1282,SES_Alpha*C1282+(1-SES_Alpha)*G1282))</f>
        <v>57.0570771781005</v>
      </c>
      <c r="H1283" s="33" t="n">
        <f aca="false">IF(D1283="","",D1283-C1283)</f>
        <v>27</v>
      </c>
      <c r="I1283" s="33" t="n">
        <f aca="false">IF(E1283="","",E1283-C1283)</f>
        <v>23.25</v>
      </c>
      <c r="J1283" s="33" t="n">
        <f aca="false">IF(F1283="","",F1283-C1283)</f>
        <v>22.125</v>
      </c>
      <c r="K1283" s="33" t="n">
        <f aca="false">IF(G1283="","",G1283-C1283)</f>
        <v>24.0570771781005</v>
      </c>
      <c r="L1283" s="33" t="n">
        <f aca="false">IF(H1283="","",ABS(H1283))</f>
        <v>27</v>
      </c>
      <c r="M1283" s="33" t="n">
        <f aca="false">IF(I1283="","",ABS(I1283))</f>
        <v>23.25</v>
      </c>
      <c r="N1283" s="33" t="n">
        <f aca="false">IF(J1283="","",ABS(J1283))</f>
        <v>22.125</v>
      </c>
      <c r="O1283" s="33" t="n">
        <f aca="false">IF(K1283="","",ABS(K1283))</f>
        <v>24.0570771781005</v>
      </c>
      <c r="P1283" s="34" t="str">
        <f aca="false">IF(B1283&gt;=Eval_Start_Week,"YES","")</f>
        <v/>
      </c>
      <c r="Q1283" s="34" t="str">
        <f aca="false">IF(AND(B1283&gt;=Cal_Start_Week,B1283&lt;=Cal_End_Week),"YES","")</f>
        <v/>
      </c>
    </row>
    <row r="1284" customFormat="false" ht="15" hidden="false" customHeight="false" outlineLevel="0" collapsed="false">
      <c r="A1284" s="31" t="str">
        <f aca="false">Demand_History!C1284</f>
        <v>BTH-003</v>
      </c>
      <c r="B1284" s="31" t="n">
        <f aca="false">Demand_History!A1284</f>
        <v>35</v>
      </c>
      <c r="C1284" s="32" t="n">
        <f aca="false">Demand_History!D1284</f>
        <v>50</v>
      </c>
      <c r="D1284" s="33" t="n">
        <f aca="false">IF(B1284&gt;=2,C1283,"")</f>
        <v>33</v>
      </c>
      <c r="E1284" s="33" t="n">
        <f aca="false">IF(B1284&gt;=5,AVERAGE(C1280:C1283),"")</f>
        <v>51.75</v>
      </c>
      <c r="F1284" s="33" t="n">
        <f aca="false">IF(B1284&gt;=9,AVERAGE(C1276:C1283),"")</f>
        <v>53.125</v>
      </c>
      <c r="G1284" s="33" t="n">
        <f aca="false">IF(B1284=1,"",IF(B1284=2,C1283,SES_Alpha*C1283+(1-SES_Alpha)*G1283))</f>
        <v>49.8399540246703</v>
      </c>
      <c r="H1284" s="33" t="n">
        <f aca="false">IF(D1284="","",D1284-C1284)</f>
        <v>-17</v>
      </c>
      <c r="I1284" s="33" t="n">
        <f aca="false">IF(E1284="","",E1284-C1284)</f>
        <v>1.75</v>
      </c>
      <c r="J1284" s="33" t="n">
        <f aca="false">IF(F1284="","",F1284-C1284)</f>
        <v>3.125</v>
      </c>
      <c r="K1284" s="33" t="n">
        <f aca="false">IF(G1284="","",G1284-C1284)</f>
        <v>-0.160045975329666</v>
      </c>
      <c r="L1284" s="33" t="n">
        <f aca="false">IF(H1284="","",ABS(H1284))</f>
        <v>17</v>
      </c>
      <c r="M1284" s="33" t="n">
        <f aca="false">IF(I1284="","",ABS(I1284))</f>
        <v>1.75</v>
      </c>
      <c r="N1284" s="33" t="n">
        <f aca="false">IF(J1284="","",ABS(J1284))</f>
        <v>3.125</v>
      </c>
      <c r="O1284" s="33" t="n">
        <f aca="false">IF(K1284="","",ABS(K1284))</f>
        <v>0.160045975329666</v>
      </c>
      <c r="P1284" s="34" t="str">
        <f aca="false">IF(B1284&gt;=Eval_Start_Week,"YES","")</f>
        <v/>
      </c>
      <c r="Q1284" s="34" t="str">
        <f aca="false">IF(AND(B1284&gt;=Cal_Start_Week,B1284&lt;=Cal_End_Week),"YES","")</f>
        <v/>
      </c>
    </row>
    <row r="1285" customFormat="false" ht="15" hidden="false" customHeight="false" outlineLevel="0" collapsed="false">
      <c r="A1285" s="31" t="str">
        <f aca="false">Demand_History!C1285</f>
        <v>BTH-003</v>
      </c>
      <c r="B1285" s="31" t="n">
        <f aca="false">Demand_History!A1285</f>
        <v>36</v>
      </c>
      <c r="C1285" s="32" t="n">
        <f aca="false">Demand_History!D1285</f>
        <v>61</v>
      </c>
      <c r="D1285" s="33" t="n">
        <f aca="false">IF(B1285&gt;=2,C1284,"")</f>
        <v>50</v>
      </c>
      <c r="E1285" s="33" t="n">
        <f aca="false">IF(B1285&gt;=5,AVERAGE(C1281:C1284),"")</f>
        <v>55</v>
      </c>
      <c r="F1285" s="33" t="n">
        <f aca="false">IF(B1285&gt;=9,AVERAGE(C1277:C1284),"")</f>
        <v>51.875</v>
      </c>
      <c r="G1285" s="33" t="n">
        <f aca="false">IF(B1285=1,"",IF(B1285=2,C1284,SES_Alpha*C1284+(1-SES_Alpha)*G1284))</f>
        <v>49.8879678172692</v>
      </c>
      <c r="H1285" s="33" t="n">
        <f aca="false">IF(D1285="","",D1285-C1285)</f>
        <v>-11</v>
      </c>
      <c r="I1285" s="33" t="n">
        <f aca="false">IF(E1285="","",E1285-C1285)</f>
        <v>-6</v>
      </c>
      <c r="J1285" s="33" t="n">
        <f aca="false">IF(F1285="","",F1285-C1285)</f>
        <v>-9.125</v>
      </c>
      <c r="K1285" s="33" t="n">
        <f aca="false">IF(G1285="","",G1285-C1285)</f>
        <v>-11.1120321827308</v>
      </c>
      <c r="L1285" s="33" t="n">
        <f aca="false">IF(H1285="","",ABS(H1285))</f>
        <v>11</v>
      </c>
      <c r="M1285" s="33" t="n">
        <f aca="false">IF(I1285="","",ABS(I1285))</f>
        <v>6</v>
      </c>
      <c r="N1285" s="33" t="n">
        <f aca="false">IF(J1285="","",ABS(J1285))</f>
        <v>9.125</v>
      </c>
      <c r="O1285" s="33" t="n">
        <f aca="false">IF(K1285="","",ABS(K1285))</f>
        <v>11.1120321827308</v>
      </c>
      <c r="P1285" s="34" t="str">
        <f aca="false">IF(B1285&gt;=Eval_Start_Week,"YES","")</f>
        <v/>
      </c>
      <c r="Q1285" s="34" t="str">
        <f aca="false">IF(AND(B1285&gt;=Cal_Start_Week,B1285&lt;=Cal_End_Week),"YES","")</f>
        <v/>
      </c>
    </row>
    <row r="1286" customFormat="false" ht="15" hidden="false" customHeight="false" outlineLevel="0" collapsed="false">
      <c r="A1286" s="31" t="str">
        <f aca="false">Demand_History!C1286</f>
        <v>BTH-003</v>
      </c>
      <c r="B1286" s="31" t="n">
        <f aca="false">Demand_History!A1286</f>
        <v>37</v>
      </c>
      <c r="C1286" s="32" t="n">
        <f aca="false">Demand_History!D1286</f>
        <v>57</v>
      </c>
      <c r="D1286" s="33" t="n">
        <f aca="false">IF(B1286&gt;=2,C1285,"")</f>
        <v>61</v>
      </c>
      <c r="E1286" s="33" t="n">
        <f aca="false">IF(B1286&gt;=5,AVERAGE(C1282:C1285),"")</f>
        <v>51</v>
      </c>
      <c r="F1286" s="33" t="n">
        <f aca="false">IF(B1286&gt;=9,AVERAGE(C1278:C1285),"")</f>
        <v>51.75</v>
      </c>
      <c r="G1286" s="33" t="n">
        <f aca="false">IF(B1286=1,"",IF(B1286=2,C1285,SES_Alpha*C1285+(1-SES_Alpha)*G1285))</f>
        <v>53.2215774720885</v>
      </c>
      <c r="H1286" s="33" t="n">
        <f aca="false">IF(D1286="","",D1286-C1286)</f>
        <v>4</v>
      </c>
      <c r="I1286" s="33" t="n">
        <f aca="false">IF(E1286="","",E1286-C1286)</f>
        <v>-6</v>
      </c>
      <c r="J1286" s="33" t="n">
        <f aca="false">IF(F1286="","",F1286-C1286)</f>
        <v>-5.25</v>
      </c>
      <c r="K1286" s="33" t="n">
        <f aca="false">IF(G1286="","",G1286-C1286)</f>
        <v>-3.77842252791154</v>
      </c>
      <c r="L1286" s="33" t="n">
        <f aca="false">IF(H1286="","",ABS(H1286))</f>
        <v>4</v>
      </c>
      <c r="M1286" s="33" t="n">
        <f aca="false">IF(I1286="","",ABS(I1286))</f>
        <v>6</v>
      </c>
      <c r="N1286" s="33" t="n">
        <f aca="false">IF(J1286="","",ABS(J1286))</f>
        <v>5.25</v>
      </c>
      <c r="O1286" s="33" t="n">
        <f aca="false">IF(K1286="","",ABS(K1286))</f>
        <v>3.77842252791154</v>
      </c>
      <c r="P1286" s="34" t="str">
        <f aca="false">IF(B1286&gt;=Eval_Start_Week,"YES","")</f>
        <v/>
      </c>
      <c r="Q1286" s="34" t="str">
        <f aca="false">IF(AND(B1286&gt;=Cal_Start_Week,B1286&lt;=Cal_End_Week),"YES","")</f>
        <v>YES</v>
      </c>
    </row>
    <row r="1287" customFormat="false" ht="15" hidden="false" customHeight="false" outlineLevel="0" collapsed="false">
      <c r="A1287" s="31" t="str">
        <f aca="false">Demand_History!C1287</f>
        <v>BTH-003</v>
      </c>
      <c r="B1287" s="31" t="n">
        <f aca="false">Demand_History!A1287</f>
        <v>38</v>
      </c>
      <c r="C1287" s="32" t="n">
        <f aca="false">Demand_History!D1287</f>
        <v>78</v>
      </c>
      <c r="D1287" s="33" t="n">
        <f aca="false">IF(B1287&gt;=2,C1286,"")</f>
        <v>57</v>
      </c>
      <c r="E1287" s="33" t="n">
        <f aca="false">IF(B1287&gt;=5,AVERAGE(C1283:C1286),"")</f>
        <v>50.25</v>
      </c>
      <c r="F1287" s="33" t="n">
        <f aca="false">IF(B1287&gt;=9,AVERAGE(C1279:C1286),"")</f>
        <v>53.25</v>
      </c>
      <c r="G1287" s="33" t="n">
        <f aca="false">IF(B1287=1,"",IF(B1287=2,C1286,SES_Alpha*C1286+(1-SES_Alpha)*G1286))</f>
        <v>54.3551042304619</v>
      </c>
      <c r="H1287" s="33" t="n">
        <f aca="false">IF(D1287="","",D1287-C1287)</f>
        <v>-21</v>
      </c>
      <c r="I1287" s="33" t="n">
        <f aca="false">IF(E1287="","",E1287-C1287)</f>
        <v>-27.75</v>
      </c>
      <c r="J1287" s="33" t="n">
        <f aca="false">IF(F1287="","",F1287-C1287)</f>
        <v>-24.75</v>
      </c>
      <c r="K1287" s="33" t="n">
        <f aca="false">IF(G1287="","",G1287-C1287)</f>
        <v>-23.6448957695381</v>
      </c>
      <c r="L1287" s="33" t="n">
        <f aca="false">IF(H1287="","",ABS(H1287))</f>
        <v>21</v>
      </c>
      <c r="M1287" s="33" t="n">
        <f aca="false">IF(I1287="","",ABS(I1287))</f>
        <v>27.75</v>
      </c>
      <c r="N1287" s="33" t="n">
        <f aca="false">IF(J1287="","",ABS(J1287))</f>
        <v>24.75</v>
      </c>
      <c r="O1287" s="33" t="n">
        <f aca="false">IF(K1287="","",ABS(K1287))</f>
        <v>23.6448957695381</v>
      </c>
      <c r="P1287" s="34" t="str">
        <f aca="false">IF(B1287&gt;=Eval_Start_Week,"YES","")</f>
        <v/>
      </c>
      <c r="Q1287" s="34" t="str">
        <f aca="false">IF(AND(B1287&gt;=Cal_Start_Week,B1287&lt;=Cal_End_Week),"YES","")</f>
        <v>YES</v>
      </c>
    </row>
    <row r="1288" customFormat="false" ht="15" hidden="false" customHeight="false" outlineLevel="0" collapsed="false">
      <c r="A1288" s="31" t="str">
        <f aca="false">Demand_History!C1288</f>
        <v>BTH-003</v>
      </c>
      <c r="B1288" s="31" t="n">
        <f aca="false">Demand_History!A1288</f>
        <v>39</v>
      </c>
      <c r="C1288" s="32" t="n">
        <f aca="false">Demand_History!D1288</f>
        <v>71</v>
      </c>
      <c r="D1288" s="33" t="n">
        <f aca="false">IF(B1288&gt;=2,C1287,"")</f>
        <v>78</v>
      </c>
      <c r="E1288" s="33" t="n">
        <f aca="false">IF(B1288&gt;=5,AVERAGE(C1284:C1287),"")</f>
        <v>61.5</v>
      </c>
      <c r="F1288" s="33" t="n">
        <f aca="false">IF(B1288&gt;=9,AVERAGE(C1280:C1287),"")</f>
        <v>56.625</v>
      </c>
      <c r="G1288" s="33" t="n">
        <f aca="false">IF(B1288=1,"",IF(B1288=2,C1287,SES_Alpha*C1287+(1-SES_Alpha)*G1287))</f>
        <v>61.4485729613233</v>
      </c>
      <c r="H1288" s="33" t="n">
        <f aca="false">IF(D1288="","",D1288-C1288)</f>
        <v>7</v>
      </c>
      <c r="I1288" s="33" t="n">
        <f aca="false">IF(E1288="","",E1288-C1288)</f>
        <v>-9.5</v>
      </c>
      <c r="J1288" s="33" t="n">
        <f aca="false">IF(F1288="","",F1288-C1288)</f>
        <v>-14.375</v>
      </c>
      <c r="K1288" s="33" t="n">
        <f aca="false">IF(G1288="","",G1288-C1288)</f>
        <v>-9.55142703867666</v>
      </c>
      <c r="L1288" s="33" t="n">
        <f aca="false">IF(H1288="","",ABS(H1288))</f>
        <v>7</v>
      </c>
      <c r="M1288" s="33" t="n">
        <f aca="false">IF(I1288="","",ABS(I1288))</f>
        <v>9.5</v>
      </c>
      <c r="N1288" s="33" t="n">
        <f aca="false">IF(J1288="","",ABS(J1288))</f>
        <v>14.375</v>
      </c>
      <c r="O1288" s="33" t="n">
        <f aca="false">IF(K1288="","",ABS(K1288))</f>
        <v>9.55142703867666</v>
      </c>
      <c r="P1288" s="34" t="str">
        <f aca="false">IF(B1288&gt;=Eval_Start_Week,"YES","")</f>
        <v/>
      </c>
      <c r="Q1288" s="34" t="str">
        <f aca="false">IF(AND(B1288&gt;=Cal_Start_Week,B1288&lt;=Cal_End_Week),"YES","")</f>
        <v>YES</v>
      </c>
    </row>
    <row r="1289" customFormat="false" ht="15" hidden="false" customHeight="false" outlineLevel="0" collapsed="false">
      <c r="A1289" s="31" t="str">
        <f aca="false">Demand_History!C1289</f>
        <v>BTH-003</v>
      </c>
      <c r="B1289" s="31" t="n">
        <f aca="false">Demand_History!A1289</f>
        <v>40</v>
      </c>
      <c r="C1289" s="32" t="n">
        <f aca="false">Demand_History!D1289</f>
        <v>42</v>
      </c>
      <c r="D1289" s="33" t="n">
        <f aca="false">IF(B1289&gt;=2,C1288,"")</f>
        <v>71</v>
      </c>
      <c r="E1289" s="33" t="n">
        <f aca="false">IF(B1289&gt;=5,AVERAGE(C1285:C1288),"")</f>
        <v>66.75</v>
      </c>
      <c r="F1289" s="33" t="n">
        <f aca="false">IF(B1289&gt;=9,AVERAGE(C1281:C1288),"")</f>
        <v>60.875</v>
      </c>
      <c r="G1289" s="33" t="n">
        <f aca="false">IF(B1289=1,"",IF(B1289=2,C1288,SES_Alpha*C1288+(1-SES_Alpha)*G1288))</f>
        <v>64.3140010729263</v>
      </c>
      <c r="H1289" s="33" t="n">
        <f aca="false">IF(D1289="","",D1289-C1289)</f>
        <v>29</v>
      </c>
      <c r="I1289" s="33" t="n">
        <f aca="false">IF(E1289="","",E1289-C1289)</f>
        <v>24.75</v>
      </c>
      <c r="J1289" s="33" t="n">
        <f aca="false">IF(F1289="","",F1289-C1289)</f>
        <v>18.875</v>
      </c>
      <c r="K1289" s="33" t="n">
        <f aca="false">IF(G1289="","",G1289-C1289)</f>
        <v>22.3140010729263</v>
      </c>
      <c r="L1289" s="33" t="n">
        <f aca="false">IF(H1289="","",ABS(H1289))</f>
        <v>29</v>
      </c>
      <c r="M1289" s="33" t="n">
        <f aca="false">IF(I1289="","",ABS(I1289))</f>
        <v>24.75</v>
      </c>
      <c r="N1289" s="33" t="n">
        <f aca="false">IF(J1289="","",ABS(J1289))</f>
        <v>18.875</v>
      </c>
      <c r="O1289" s="33" t="n">
        <f aca="false">IF(K1289="","",ABS(K1289))</f>
        <v>22.3140010729263</v>
      </c>
      <c r="P1289" s="34" t="str">
        <f aca="false">IF(B1289&gt;=Eval_Start_Week,"YES","")</f>
        <v/>
      </c>
      <c r="Q1289" s="34" t="str">
        <f aca="false">IF(AND(B1289&gt;=Cal_Start_Week,B1289&lt;=Cal_End_Week),"YES","")</f>
        <v>YES</v>
      </c>
    </row>
    <row r="1290" customFormat="false" ht="15" hidden="false" customHeight="false" outlineLevel="0" collapsed="false">
      <c r="A1290" s="31" t="str">
        <f aca="false">Demand_History!C1290</f>
        <v>BTH-003</v>
      </c>
      <c r="B1290" s="31" t="n">
        <f aca="false">Demand_History!A1290</f>
        <v>41</v>
      </c>
      <c r="C1290" s="32" t="n">
        <f aca="false">Demand_History!D1290</f>
        <v>49</v>
      </c>
      <c r="D1290" s="33" t="n">
        <f aca="false">IF(B1290&gt;=2,C1289,"")</f>
        <v>42</v>
      </c>
      <c r="E1290" s="33" t="n">
        <f aca="false">IF(B1290&gt;=5,AVERAGE(C1286:C1289),"")</f>
        <v>62</v>
      </c>
      <c r="F1290" s="33" t="n">
        <f aca="false">IF(B1290&gt;=9,AVERAGE(C1282:C1289),"")</f>
        <v>56.5</v>
      </c>
      <c r="G1290" s="33" t="n">
        <f aca="false">IF(B1290=1,"",IF(B1290=2,C1289,SES_Alpha*C1289+(1-SES_Alpha)*G1289))</f>
        <v>57.6198007510484</v>
      </c>
      <c r="H1290" s="33" t="n">
        <f aca="false">IF(D1290="","",D1290-C1290)</f>
        <v>-7</v>
      </c>
      <c r="I1290" s="33" t="n">
        <f aca="false">IF(E1290="","",E1290-C1290)</f>
        <v>13</v>
      </c>
      <c r="J1290" s="33" t="n">
        <f aca="false">IF(F1290="","",F1290-C1290)</f>
        <v>7.5</v>
      </c>
      <c r="K1290" s="33" t="n">
        <f aca="false">IF(G1290="","",G1290-C1290)</f>
        <v>8.61980075104843</v>
      </c>
      <c r="L1290" s="33" t="n">
        <f aca="false">IF(H1290="","",ABS(H1290))</f>
        <v>7</v>
      </c>
      <c r="M1290" s="33" t="n">
        <f aca="false">IF(I1290="","",ABS(I1290))</f>
        <v>13</v>
      </c>
      <c r="N1290" s="33" t="n">
        <f aca="false">IF(J1290="","",ABS(J1290))</f>
        <v>7.5</v>
      </c>
      <c r="O1290" s="33" t="n">
        <f aca="false">IF(K1290="","",ABS(K1290))</f>
        <v>8.61980075104843</v>
      </c>
      <c r="P1290" s="34" t="str">
        <f aca="false">IF(B1290&gt;=Eval_Start_Week,"YES","")</f>
        <v/>
      </c>
      <c r="Q1290" s="34" t="str">
        <f aca="false">IF(AND(B1290&gt;=Cal_Start_Week,B1290&lt;=Cal_End_Week),"YES","")</f>
        <v>YES</v>
      </c>
    </row>
    <row r="1291" customFormat="false" ht="15" hidden="false" customHeight="false" outlineLevel="0" collapsed="false">
      <c r="A1291" s="31" t="str">
        <f aca="false">Demand_History!C1291</f>
        <v>BTH-003</v>
      </c>
      <c r="B1291" s="31" t="n">
        <f aca="false">Demand_History!A1291</f>
        <v>42</v>
      </c>
      <c r="C1291" s="32" t="n">
        <f aca="false">Demand_History!D1291</f>
        <v>31</v>
      </c>
      <c r="D1291" s="33" t="n">
        <f aca="false">IF(B1291&gt;=2,C1290,"")</f>
        <v>49</v>
      </c>
      <c r="E1291" s="33" t="n">
        <f aca="false">IF(B1291&gt;=5,AVERAGE(C1287:C1290),"")</f>
        <v>60</v>
      </c>
      <c r="F1291" s="33" t="n">
        <f aca="false">IF(B1291&gt;=9,AVERAGE(C1283:C1290),"")</f>
        <v>55.125</v>
      </c>
      <c r="G1291" s="33" t="n">
        <f aca="false">IF(B1291=1,"",IF(B1291=2,C1290,SES_Alpha*C1290+(1-SES_Alpha)*G1290))</f>
        <v>55.0338605257339</v>
      </c>
      <c r="H1291" s="33" t="n">
        <f aca="false">IF(D1291="","",D1291-C1291)</f>
        <v>18</v>
      </c>
      <c r="I1291" s="33" t="n">
        <f aca="false">IF(E1291="","",E1291-C1291)</f>
        <v>29</v>
      </c>
      <c r="J1291" s="33" t="n">
        <f aca="false">IF(F1291="","",F1291-C1291)</f>
        <v>24.125</v>
      </c>
      <c r="K1291" s="33" t="n">
        <f aca="false">IF(G1291="","",G1291-C1291)</f>
        <v>24.0338605257339</v>
      </c>
      <c r="L1291" s="33" t="n">
        <f aca="false">IF(H1291="","",ABS(H1291))</f>
        <v>18</v>
      </c>
      <c r="M1291" s="33" t="n">
        <f aca="false">IF(I1291="","",ABS(I1291))</f>
        <v>29</v>
      </c>
      <c r="N1291" s="33" t="n">
        <f aca="false">IF(J1291="","",ABS(J1291))</f>
        <v>24.125</v>
      </c>
      <c r="O1291" s="33" t="n">
        <f aca="false">IF(K1291="","",ABS(K1291))</f>
        <v>24.0338605257339</v>
      </c>
      <c r="P1291" s="34" t="str">
        <f aca="false">IF(B1291&gt;=Eval_Start_Week,"YES","")</f>
        <v/>
      </c>
      <c r="Q1291" s="34" t="str">
        <f aca="false">IF(AND(B1291&gt;=Cal_Start_Week,B1291&lt;=Cal_End_Week),"YES","")</f>
        <v>YES</v>
      </c>
    </row>
    <row r="1292" customFormat="false" ht="15" hidden="false" customHeight="false" outlineLevel="0" collapsed="false">
      <c r="A1292" s="31" t="str">
        <f aca="false">Demand_History!C1292</f>
        <v>BTH-003</v>
      </c>
      <c r="B1292" s="31" t="n">
        <f aca="false">Demand_History!A1292</f>
        <v>43</v>
      </c>
      <c r="C1292" s="32" t="n">
        <f aca="false">Demand_History!D1292</f>
        <v>54</v>
      </c>
      <c r="D1292" s="33" t="n">
        <f aca="false">IF(B1292&gt;=2,C1291,"")</f>
        <v>31</v>
      </c>
      <c r="E1292" s="33" t="n">
        <f aca="false">IF(B1292&gt;=5,AVERAGE(C1288:C1291),"")</f>
        <v>48.25</v>
      </c>
      <c r="F1292" s="33" t="n">
        <f aca="false">IF(B1292&gt;=9,AVERAGE(C1284:C1291),"")</f>
        <v>54.875</v>
      </c>
      <c r="G1292" s="33" t="n">
        <f aca="false">IF(B1292=1,"",IF(B1292=2,C1291,SES_Alpha*C1291+(1-SES_Alpha)*G1291))</f>
        <v>47.8237023680137</v>
      </c>
      <c r="H1292" s="33" t="n">
        <f aca="false">IF(D1292="","",D1292-C1292)</f>
        <v>-23</v>
      </c>
      <c r="I1292" s="33" t="n">
        <f aca="false">IF(E1292="","",E1292-C1292)</f>
        <v>-5.75</v>
      </c>
      <c r="J1292" s="33" t="n">
        <f aca="false">IF(F1292="","",F1292-C1292)</f>
        <v>0.875</v>
      </c>
      <c r="K1292" s="33" t="n">
        <f aca="false">IF(G1292="","",G1292-C1292)</f>
        <v>-6.17629763198627</v>
      </c>
      <c r="L1292" s="33" t="n">
        <f aca="false">IF(H1292="","",ABS(H1292))</f>
        <v>23</v>
      </c>
      <c r="M1292" s="33" t="n">
        <f aca="false">IF(I1292="","",ABS(I1292))</f>
        <v>5.75</v>
      </c>
      <c r="N1292" s="33" t="n">
        <f aca="false">IF(J1292="","",ABS(J1292))</f>
        <v>0.875</v>
      </c>
      <c r="O1292" s="33" t="n">
        <f aca="false">IF(K1292="","",ABS(K1292))</f>
        <v>6.17629763198627</v>
      </c>
      <c r="P1292" s="34" t="str">
        <f aca="false">IF(B1292&gt;=Eval_Start_Week,"YES","")</f>
        <v/>
      </c>
      <c r="Q1292" s="34" t="str">
        <f aca="false">IF(AND(B1292&gt;=Cal_Start_Week,B1292&lt;=Cal_End_Week),"YES","")</f>
        <v>YES</v>
      </c>
    </row>
    <row r="1293" customFormat="false" ht="15" hidden="false" customHeight="false" outlineLevel="0" collapsed="false">
      <c r="A1293" s="31" t="str">
        <f aca="false">Demand_History!C1293</f>
        <v>BTH-003</v>
      </c>
      <c r="B1293" s="31" t="n">
        <f aca="false">Demand_History!A1293</f>
        <v>44</v>
      </c>
      <c r="C1293" s="32" t="n">
        <f aca="false">Demand_History!D1293</f>
        <v>52</v>
      </c>
      <c r="D1293" s="33" t="n">
        <f aca="false">IF(B1293&gt;=2,C1292,"")</f>
        <v>54</v>
      </c>
      <c r="E1293" s="33" t="n">
        <f aca="false">IF(B1293&gt;=5,AVERAGE(C1289:C1292),"")</f>
        <v>44</v>
      </c>
      <c r="F1293" s="33" t="n">
        <f aca="false">IF(B1293&gt;=9,AVERAGE(C1285:C1292),"")</f>
        <v>55.375</v>
      </c>
      <c r="G1293" s="33" t="n">
        <f aca="false">IF(B1293=1,"",IF(B1293=2,C1292,SES_Alpha*C1292+(1-SES_Alpha)*G1292))</f>
        <v>49.6765916576096</v>
      </c>
      <c r="H1293" s="33" t="n">
        <f aca="false">IF(D1293="","",D1293-C1293)</f>
        <v>2</v>
      </c>
      <c r="I1293" s="33" t="n">
        <f aca="false">IF(E1293="","",E1293-C1293)</f>
        <v>-8</v>
      </c>
      <c r="J1293" s="33" t="n">
        <f aca="false">IF(F1293="","",F1293-C1293)</f>
        <v>3.375</v>
      </c>
      <c r="K1293" s="33" t="n">
        <f aca="false">IF(G1293="","",G1293-C1293)</f>
        <v>-2.32340834239039</v>
      </c>
      <c r="L1293" s="33" t="n">
        <f aca="false">IF(H1293="","",ABS(H1293))</f>
        <v>2</v>
      </c>
      <c r="M1293" s="33" t="n">
        <f aca="false">IF(I1293="","",ABS(I1293))</f>
        <v>8</v>
      </c>
      <c r="N1293" s="33" t="n">
        <f aca="false">IF(J1293="","",ABS(J1293))</f>
        <v>3.375</v>
      </c>
      <c r="O1293" s="33" t="n">
        <f aca="false">IF(K1293="","",ABS(K1293))</f>
        <v>2.32340834239039</v>
      </c>
      <c r="P1293" s="34" t="str">
        <f aca="false">IF(B1293&gt;=Eval_Start_Week,"YES","")</f>
        <v/>
      </c>
      <c r="Q1293" s="34" t="str">
        <f aca="false">IF(AND(B1293&gt;=Cal_Start_Week,B1293&lt;=Cal_End_Week),"YES","")</f>
        <v>YES</v>
      </c>
    </row>
    <row r="1294" customFormat="false" ht="15" hidden="false" customHeight="false" outlineLevel="0" collapsed="false">
      <c r="A1294" s="31" t="str">
        <f aca="false">Demand_History!C1294</f>
        <v>BTH-003</v>
      </c>
      <c r="B1294" s="31" t="n">
        <f aca="false">Demand_History!A1294</f>
        <v>45</v>
      </c>
      <c r="C1294" s="32" t="n">
        <f aca="false">Demand_History!D1294</f>
        <v>91</v>
      </c>
      <c r="D1294" s="33" t="n">
        <f aca="false">IF(B1294&gt;=2,C1293,"")</f>
        <v>52</v>
      </c>
      <c r="E1294" s="33" t="n">
        <f aca="false">IF(B1294&gt;=5,AVERAGE(C1290:C1293),"")</f>
        <v>46.5</v>
      </c>
      <c r="F1294" s="33" t="n">
        <f aca="false">IF(B1294&gt;=9,AVERAGE(C1286:C1293),"")</f>
        <v>54.25</v>
      </c>
      <c r="G1294" s="33" t="n">
        <f aca="false">IF(B1294=1,"",IF(B1294=2,C1293,SES_Alpha*C1293+(1-SES_Alpha)*G1293))</f>
        <v>50.3736141603267</v>
      </c>
      <c r="H1294" s="33" t="n">
        <f aca="false">IF(D1294="","",D1294-C1294)</f>
        <v>-39</v>
      </c>
      <c r="I1294" s="33" t="n">
        <f aca="false">IF(E1294="","",E1294-C1294)</f>
        <v>-44.5</v>
      </c>
      <c r="J1294" s="33" t="n">
        <f aca="false">IF(F1294="","",F1294-C1294)</f>
        <v>-36.75</v>
      </c>
      <c r="K1294" s="33" t="n">
        <f aca="false">IF(G1294="","",G1294-C1294)</f>
        <v>-40.6263858396733</v>
      </c>
      <c r="L1294" s="33" t="n">
        <f aca="false">IF(H1294="","",ABS(H1294))</f>
        <v>39</v>
      </c>
      <c r="M1294" s="33" t="n">
        <f aca="false">IF(I1294="","",ABS(I1294))</f>
        <v>44.5</v>
      </c>
      <c r="N1294" s="33" t="n">
        <f aca="false">IF(J1294="","",ABS(J1294))</f>
        <v>36.75</v>
      </c>
      <c r="O1294" s="33" t="n">
        <f aca="false">IF(K1294="","",ABS(K1294))</f>
        <v>40.6263858396733</v>
      </c>
      <c r="P1294" s="34" t="str">
        <f aca="false">IF(B1294&gt;=Eval_Start_Week,"YES","")</f>
        <v/>
      </c>
      <c r="Q1294" s="34" t="str">
        <f aca="false">IF(AND(B1294&gt;=Cal_Start_Week,B1294&lt;=Cal_End_Week),"YES","")</f>
        <v>YES</v>
      </c>
    </row>
    <row r="1295" customFormat="false" ht="15" hidden="false" customHeight="false" outlineLevel="0" collapsed="false">
      <c r="A1295" s="31" t="str">
        <f aca="false">Demand_History!C1295</f>
        <v>BTH-003</v>
      </c>
      <c r="B1295" s="31" t="n">
        <f aca="false">Demand_History!A1295</f>
        <v>46</v>
      </c>
      <c r="C1295" s="32" t="n">
        <f aca="false">Demand_History!D1295</f>
        <v>51</v>
      </c>
      <c r="D1295" s="33" t="n">
        <f aca="false">IF(B1295&gt;=2,C1294,"")</f>
        <v>91</v>
      </c>
      <c r="E1295" s="33" t="n">
        <f aca="false">IF(B1295&gt;=5,AVERAGE(C1291:C1294),"")</f>
        <v>57</v>
      </c>
      <c r="F1295" s="33" t="n">
        <f aca="false">IF(B1295&gt;=9,AVERAGE(C1287:C1294),"")</f>
        <v>58.5</v>
      </c>
      <c r="G1295" s="33" t="n">
        <f aca="false">IF(B1295=1,"",IF(B1295=2,C1294,SES_Alpha*C1294+(1-SES_Alpha)*G1294))</f>
        <v>62.5615299122287</v>
      </c>
      <c r="H1295" s="33" t="n">
        <f aca="false">IF(D1295="","",D1295-C1295)</f>
        <v>40</v>
      </c>
      <c r="I1295" s="33" t="n">
        <f aca="false">IF(E1295="","",E1295-C1295)</f>
        <v>6</v>
      </c>
      <c r="J1295" s="33" t="n">
        <f aca="false">IF(F1295="","",F1295-C1295)</f>
        <v>7.5</v>
      </c>
      <c r="K1295" s="33" t="n">
        <f aca="false">IF(G1295="","",G1295-C1295)</f>
        <v>11.5615299122287</v>
      </c>
      <c r="L1295" s="33" t="n">
        <f aca="false">IF(H1295="","",ABS(H1295))</f>
        <v>40</v>
      </c>
      <c r="M1295" s="33" t="n">
        <f aca="false">IF(I1295="","",ABS(I1295))</f>
        <v>6</v>
      </c>
      <c r="N1295" s="33" t="n">
        <f aca="false">IF(J1295="","",ABS(J1295))</f>
        <v>7.5</v>
      </c>
      <c r="O1295" s="33" t="n">
        <f aca="false">IF(K1295="","",ABS(K1295))</f>
        <v>11.5615299122287</v>
      </c>
      <c r="P1295" s="34" t="str">
        <f aca="false">IF(B1295&gt;=Eval_Start_Week,"YES","")</f>
        <v/>
      </c>
      <c r="Q1295" s="34" t="str">
        <f aca="false">IF(AND(B1295&gt;=Cal_Start_Week,B1295&lt;=Cal_End_Week),"YES","")</f>
        <v>YES</v>
      </c>
    </row>
    <row r="1296" customFormat="false" ht="15" hidden="false" customHeight="false" outlineLevel="0" collapsed="false">
      <c r="A1296" s="31" t="str">
        <f aca="false">Demand_History!C1296</f>
        <v>BTH-003</v>
      </c>
      <c r="B1296" s="31" t="n">
        <f aca="false">Demand_History!A1296</f>
        <v>47</v>
      </c>
      <c r="C1296" s="32" t="n">
        <f aca="false">Demand_History!D1296</f>
        <v>18</v>
      </c>
      <c r="D1296" s="33" t="n">
        <f aca="false">IF(B1296&gt;=2,C1295,"")</f>
        <v>51</v>
      </c>
      <c r="E1296" s="33" t="n">
        <f aca="false">IF(B1296&gt;=5,AVERAGE(C1292:C1295),"")</f>
        <v>62</v>
      </c>
      <c r="F1296" s="33" t="n">
        <f aca="false">IF(B1296&gt;=9,AVERAGE(C1288:C1295),"")</f>
        <v>55.125</v>
      </c>
      <c r="G1296" s="33" t="n">
        <f aca="false">IF(B1296=1,"",IF(B1296=2,C1295,SES_Alpha*C1295+(1-SES_Alpha)*G1295))</f>
        <v>59.0930709385601</v>
      </c>
      <c r="H1296" s="33" t="n">
        <f aca="false">IF(D1296="","",D1296-C1296)</f>
        <v>33</v>
      </c>
      <c r="I1296" s="33" t="n">
        <f aca="false">IF(E1296="","",E1296-C1296)</f>
        <v>44</v>
      </c>
      <c r="J1296" s="33" t="n">
        <f aca="false">IF(F1296="","",F1296-C1296)</f>
        <v>37.125</v>
      </c>
      <c r="K1296" s="33" t="n">
        <f aca="false">IF(G1296="","",G1296-C1296)</f>
        <v>41.0930709385601</v>
      </c>
      <c r="L1296" s="33" t="n">
        <f aca="false">IF(H1296="","",ABS(H1296))</f>
        <v>33</v>
      </c>
      <c r="M1296" s="33" t="n">
        <f aca="false">IF(I1296="","",ABS(I1296))</f>
        <v>44</v>
      </c>
      <c r="N1296" s="33" t="n">
        <f aca="false">IF(J1296="","",ABS(J1296))</f>
        <v>37.125</v>
      </c>
      <c r="O1296" s="33" t="n">
        <f aca="false">IF(K1296="","",ABS(K1296))</f>
        <v>41.0930709385601</v>
      </c>
      <c r="P1296" s="34" t="str">
        <f aca="false">IF(B1296&gt;=Eval_Start_Week,"YES","")</f>
        <v/>
      </c>
      <c r="Q1296" s="34" t="str">
        <f aca="false">IF(AND(B1296&gt;=Cal_Start_Week,B1296&lt;=Cal_End_Week),"YES","")</f>
        <v>YES</v>
      </c>
    </row>
    <row r="1297" customFormat="false" ht="15" hidden="false" customHeight="false" outlineLevel="0" collapsed="false">
      <c r="A1297" s="31" t="str">
        <f aca="false">Demand_History!C1297</f>
        <v>BTH-003</v>
      </c>
      <c r="B1297" s="31" t="n">
        <f aca="false">Demand_History!A1297</f>
        <v>48</v>
      </c>
      <c r="C1297" s="32" t="n">
        <f aca="false">Demand_History!D1297</f>
        <v>40</v>
      </c>
      <c r="D1297" s="33" t="n">
        <f aca="false">IF(B1297&gt;=2,C1296,"")</f>
        <v>18</v>
      </c>
      <c r="E1297" s="33" t="n">
        <f aca="false">IF(B1297&gt;=5,AVERAGE(C1293:C1296),"")</f>
        <v>53</v>
      </c>
      <c r="F1297" s="33" t="n">
        <f aca="false">IF(B1297&gt;=9,AVERAGE(C1289:C1296),"")</f>
        <v>48.5</v>
      </c>
      <c r="G1297" s="33" t="n">
        <f aca="false">IF(B1297=1,"",IF(B1297=2,C1296,SES_Alpha*C1296+(1-SES_Alpha)*G1296))</f>
        <v>46.7651496569921</v>
      </c>
      <c r="H1297" s="33" t="n">
        <f aca="false">IF(D1297="","",D1297-C1297)</f>
        <v>-22</v>
      </c>
      <c r="I1297" s="33" t="n">
        <f aca="false">IF(E1297="","",E1297-C1297)</f>
        <v>13</v>
      </c>
      <c r="J1297" s="33" t="n">
        <f aca="false">IF(F1297="","",F1297-C1297)</f>
        <v>8.5</v>
      </c>
      <c r="K1297" s="33" t="n">
        <f aca="false">IF(G1297="","",G1297-C1297)</f>
        <v>6.76514965699206</v>
      </c>
      <c r="L1297" s="33" t="n">
        <f aca="false">IF(H1297="","",ABS(H1297))</f>
        <v>22</v>
      </c>
      <c r="M1297" s="33" t="n">
        <f aca="false">IF(I1297="","",ABS(I1297))</f>
        <v>13</v>
      </c>
      <c r="N1297" s="33" t="n">
        <f aca="false">IF(J1297="","",ABS(J1297))</f>
        <v>8.5</v>
      </c>
      <c r="O1297" s="33" t="n">
        <f aca="false">IF(K1297="","",ABS(K1297))</f>
        <v>6.76514965699206</v>
      </c>
      <c r="P1297" s="34" t="str">
        <f aca="false">IF(B1297&gt;=Eval_Start_Week,"YES","")</f>
        <v/>
      </c>
      <c r="Q1297" s="34" t="str">
        <f aca="false">IF(AND(B1297&gt;=Cal_Start_Week,B1297&lt;=Cal_End_Week),"YES","")</f>
        <v>YES</v>
      </c>
    </row>
    <row r="1298" customFormat="false" ht="15" hidden="false" customHeight="false" outlineLevel="0" collapsed="false">
      <c r="A1298" s="31" t="str">
        <f aca="false">Demand_History!C1298</f>
        <v>BTH-003</v>
      </c>
      <c r="B1298" s="31" t="n">
        <f aca="false">Demand_History!A1298</f>
        <v>49</v>
      </c>
      <c r="C1298" s="32" t="n">
        <f aca="false">Demand_History!D1298</f>
        <v>52</v>
      </c>
      <c r="D1298" s="33" t="n">
        <f aca="false">IF(B1298&gt;=2,C1297,"")</f>
        <v>40</v>
      </c>
      <c r="E1298" s="33" t="n">
        <f aca="false">IF(B1298&gt;=5,AVERAGE(C1294:C1297),"")</f>
        <v>50</v>
      </c>
      <c r="F1298" s="33" t="n">
        <f aca="false">IF(B1298&gt;=9,AVERAGE(C1290:C1297),"")</f>
        <v>48.25</v>
      </c>
      <c r="G1298" s="33" t="n">
        <f aca="false">IF(B1298=1,"",IF(B1298=2,C1297,SES_Alpha*C1297+(1-SES_Alpha)*G1297))</f>
        <v>44.7356047598944</v>
      </c>
      <c r="H1298" s="33" t="n">
        <f aca="false">IF(D1298="","",D1298-C1298)</f>
        <v>-12</v>
      </c>
      <c r="I1298" s="33" t="n">
        <f aca="false">IF(E1298="","",E1298-C1298)</f>
        <v>-2</v>
      </c>
      <c r="J1298" s="33" t="n">
        <f aca="false">IF(F1298="","",F1298-C1298)</f>
        <v>-3.75</v>
      </c>
      <c r="K1298" s="33" t="n">
        <f aca="false">IF(G1298="","",G1298-C1298)</f>
        <v>-7.26439524010556</v>
      </c>
      <c r="L1298" s="33" t="n">
        <f aca="false">IF(H1298="","",ABS(H1298))</f>
        <v>12</v>
      </c>
      <c r="M1298" s="33" t="n">
        <f aca="false">IF(I1298="","",ABS(I1298))</f>
        <v>2</v>
      </c>
      <c r="N1298" s="33" t="n">
        <f aca="false">IF(J1298="","",ABS(J1298))</f>
        <v>3.75</v>
      </c>
      <c r="O1298" s="33" t="n">
        <f aca="false">IF(K1298="","",ABS(K1298))</f>
        <v>7.26439524010556</v>
      </c>
      <c r="P1298" s="34" t="str">
        <f aca="false">IF(B1298&gt;=Eval_Start_Week,"YES","")</f>
        <v/>
      </c>
      <c r="Q1298" s="34" t="str">
        <f aca="false">IF(AND(B1298&gt;=Cal_Start_Week,B1298&lt;=Cal_End_Week),"YES","")</f>
        <v>YES</v>
      </c>
    </row>
    <row r="1299" customFormat="false" ht="15" hidden="false" customHeight="false" outlineLevel="0" collapsed="false">
      <c r="A1299" s="31" t="str">
        <f aca="false">Demand_History!C1299</f>
        <v>BTH-003</v>
      </c>
      <c r="B1299" s="31" t="n">
        <f aca="false">Demand_History!A1299</f>
        <v>50</v>
      </c>
      <c r="C1299" s="32" t="n">
        <f aca="false">Demand_History!D1299</f>
        <v>31</v>
      </c>
      <c r="D1299" s="33" t="n">
        <f aca="false">IF(B1299&gt;=2,C1298,"")</f>
        <v>52</v>
      </c>
      <c r="E1299" s="33" t="n">
        <f aca="false">IF(B1299&gt;=5,AVERAGE(C1295:C1298),"")</f>
        <v>40.25</v>
      </c>
      <c r="F1299" s="33" t="n">
        <f aca="false">IF(B1299&gt;=9,AVERAGE(C1291:C1298),"")</f>
        <v>48.625</v>
      </c>
      <c r="G1299" s="33" t="n">
        <f aca="false">IF(B1299=1,"",IF(B1299=2,C1298,SES_Alpha*C1298+(1-SES_Alpha)*G1298))</f>
        <v>46.9149233319261</v>
      </c>
      <c r="H1299" s="33" t="n">
        <f aca="false">IF(D1299="","",D1299-C1299)</f>
        <v>21</v>
      </c>
      <c r="I1299" s="33" t="n">
        <f aca="false">IF(E1299="","",E1299-C1299)</f>
        <v>9.25</v>
      </c>
      <c r="J1299" s="33" t="n">
        <f aca="false">IF(F1299="","",F1299-C1299)</f>
        <v>17.625</v>
      </c>
      <c r="K1299" s="33" t="n">
        <f aca="false">IF(G1299="","",G1299-C1299)</f>
        <v>15.9149233319261</v>
      </c>
      <c r="L1299" s="33" t="n">
        <f aca="false">IF(H1299="","",ABS(H1299))</f>
        <v>21</v>
      </c>
      <c r="M1299" s="33" t="n">
        <f aca="false">IF(I1299="","",ABS(I1299))</f>
        <v>9.25</v>
      </c>
      <c r="N1299" s="33" t="n">
        <f aca="false">IF(J1299="","",ABS(J1299))</f>
        <v>17.625</v>
      </c>
      <c r="O1299" s="33" t="n">
        <f aca="false">IF(K1299="","",ABS(K1299))</f>
        <v>15.9149233319261</v>
      </c>
      <c r="P1299" s="34" t="str">
        <f aca="false">IF(B1299&gt;=Eval_Start_Week,"YES","")</f>
        <v/>
      </c>
      <c r="Q1299" s="34" t="str">
        <f aca="false">IF(AND(B1299&gt;=Cal_Start_Week,B1299&lt;=Cal_End_Week),"YES","")</f>
        <v>YES</v>
      </c>
    </row>
    <row r="1300" customFormat="false" ht="15" hidden="false" customHeight="false" outlineLevel="0" collapsed="false">
      <c r="A1300" s="31" t="str">
        <f aca="false">Demand_History!C1300</f>
        <v>BTH-003</v>
      </c>
      <c r="B1300" s="31" t="n">
        <f aca="false">Demand_History!A1300</f>
        <v>51</v>
      </c>
      <c r="C1300" s="32" t="n">
        <f aca="false">Demand_History!D1300</f>
        <v>37</v>
      </c>
      <c r="D1300" s="33" t="n">
        <f aca="false">IF(B1300&gt;=2,C1299,"")</f>
        <v>31</v>
      </c>
      <c r="E1300" s="33" t="n">
        <f aca="false">IF(B1300&gt;=5,AVERAGE(C1296:C1299),"")</f>
        <v>35.25</v>
      </c>
      <c r="F1300" s="33" t="n">
        <f aca="false">IF(B1300&gt;=9,AVERAGE(C1292:C1299),"")</f>
        <v>48.625</v>
      </c>
      <c r="G1300" s="33" t="n">
        <f aca="false">IF(B1300=1,"",IF(B1300=2,C1299,SES_Alpha*C1299+(1-SES_Alpha)*G1299))</f>
        <v>42.1404463323483</v>
      </c>
      <c r="H1300" s="33" t="n">
        <f aca="false">IF(D1300="","",D1300-C1300)</f>
        <v>-6</v>
      </c>
      <c r="I1300" s="33" t="n">
        <f aca="false">IF(E1300="","",E1300-C1300)</f>
        <v>-1.75</v>
      </c>
      <c r="J1300" s="33" t="n">
        <f aca="false">IF(F1300="","",F1300-C1300)</f>
        <v>11.625</v>
      </c>
      <c r="K1300" s="33" t="n">
        <f aca="false">IF(G1300="","",G1300-C1300)</f>
        <v>5.14044633234827</v>
      </c>
      <c r="L1300" s="33" t="n">
        <f aca="false">IF(H1300="","",ABS(H1300))</f>
        <v>6</v>
      </c>
      <c r="M1300" s="33" t="n">
        <f aca="false">IF(I1300="","",ABS(I1300))</f>
        <v>1.75</v>
      </c>
      <c r="N1300" s="33" t="n">
        <f aca="false">IF(J1300="","",ABS(J1300))</f>
        <v>11.625</v>
      </c>
      <c r="O1300" s="33" t="n">
        <f aca="false">IF(K1300="","",ABS(K1300))</f>
        <v>5.14044633234827</v>
      </c>
      <c r="P1300" s="34" t="str">
        <f aca="false">IF(B1300&gt;=Eval_Start_Week,"YES","")</f>
        <v/>
      </c>
      <c r="Q1300" s="34" t="str">
        <f aca="false">IF(AND(B1300&gt;=Cal_Start_Week,B1300&lt;=Cal_End_Week),"YES","")</f>
        <v>YES</v>
      </c>
    </row>
    <row r="1301" customFormat="false" ht="15" hidden="false" customHeight="false" outlineLevel="0" collapsed="false">
      <c r="A1301" s="31" t="str">
        <f aca="false">Demand_History!C1301</f>
        <v>BTH-003</v>
      </c>
      <c r="B1301" s="31" t="n">
        <f aca="false">Demand_History!A1301</f>
        <v>52</v>
      </c>
      <c r="C1301" s="32" t="n">
        <f aca="false">Demand_History!D1301</f>
        <v>44</v>
      </c>
      <c r="D1301" s="33" t="n">
        <f aca="false">IF(B1301&gt;=2,C1300,"")</f>
        <v>37</v>
      </c>
      <c r="E1301" s="33" t="n">
        <f aca="false">IF(B1301&gt;=5,AVERAGE(C1297:C1300),"")</f>
        <v>40</v>
      </c>
      <c r="F1301" s="33" t="n">
        <f aca="false">IF(B1301&gt;=9,AVERAGE(C1293:C1300),"")</f>
        <v>46.5</v>
      </c>
      <c r="G1301" s="33" t="n">
        <f aca="false">IF(B1301=1,"",IF(B1301=2,C1300,SES_Alpha*C1300+(1-SES_Alpha)*G1300))</f>
        <v>40.5983124326438</v>
      </c>
      <c r="H1301" s="33" t="n">
        <f aca="false">IF(D1301="","",D1301-C1301)</f>
        <v>-7</v>
      </c>
      <c r="I1301" s="33" t="n">
        <f aca="false">IF(E1301="","",E1301-C1301)</f>
        <v>-4</v>
      </c>
      <c r="J1301" s="33" t="n">
        <f aca="false">IF(F1301="","",F1301-C1301)</f>
        <v>2.5</v>
      </c>
      <c r="K1301" s="33" t="n">
        <f aca="false">IF(G1301="","",G1301-C1301)</f>
        <v>-3.40168756735621</v>
      </c>
      <c r="L1301" s="33" t="n">
        <f aca="false">IF(H1301="","",ABS(H1301))</f>
        <v>7</v>
      </c>
      <c r="M1301" s="33" t="n">
        <f aca="false">IF(I1301="","",ABS(I1301))</f>
        <v>4</v>
      </c>
      <c r="N1301" s="33" t="n">
        <f aca="false">IF(J1301="","",ABS(J1301))</f>
        <v>2.5</v>
      </c>
      <c r="O1301" s="33" t="n">
        <f aca="false">IF(K1301="","",ABS(K1301))</f>
        <v>3.40168756735621</v>
      </c>
      <c r="P1301" s="34" t="str">
        <f aca="false">IF(B1301&gt;=Eval_Start_Week,"YES","")</f>
        <v/>
      </c>
      <c r="Q1301" s="34" t="str">
        <f aca="false">IF(AND(B1301&gt;=Cal_Start_Week,B1301&lt;=Cal_End_Week),"YES","")</f>
        <v>YES</v>
      </c>
    </row>
    <row r="1302" customFormat="false" ht="15" hidden="false" customHeight="false" outlineLevel="0" collapsed="false">
      <c r="A1302" s="31" t="str">
        <f aca="false">Demand_History!C1302</f>
        <v>BTH-003</v>
      </c>
      <c r="B1302" s="31" t="n">
        <f aca="false">Demand_History!A1302</f>
        <v>53</v>
      </c>
      <c r="C1302" s="32" t="n">
        <f aca="false">Demand_History!D1302</f>
        <v>55</v>
      </c>
      <c r="D1302" s="33" t="n">
        <f aca="false">IF(B1302&gt;=2,C1301,"")</f>
        <v>44</v>
      </c>
      <c r="E1302" s="33" t="n">
        <f aca="false">IF(B1302&gt;=5,AVERAGE(C1298:C1301),"")</f>
        <v>41</v>
      </c>
      <c r="F1302" s="33" t="n">
        <f aca="false">IF(B1302&gt;=9,AVERAGE(C1294:C1301),"")</f>
        <v>45.5</v>
      </c>
      <c r="G1302" s="33" t="n">
        <f aca="false">IF(B1302=1,"",IF(B1302=2,C1301,SES_Alpha*C1301+(1-SES_Alpha)*G1301))</f>
        <v>41.6188187028506</v>
      </c>
      <c r="H1302" s="33" t="n">
        <f aca="false">IF(D1302="","",D1302-C1302)</f>
        <v>-11</v>
      </c>
      <c r="I1302" s="33" t="n">
        <f aca="false">IF(E1302="","",E1302-C1302)</f>
        <v>-14</v>
      </c>
      <c r="J1302" s="33" t="n">
        <f aca="false">IF(F1302="","",F1302-C1302)</f>
        <v>-9.5</v>
      </c>
      <c r="K1302" s="33" t="n">
        <f aca="false">IF(G1302="","",G1302-C1302)</f>
        <v>-13.3811812971494</v>
      </c>
      <c r="L1302" s="33" t="n">
        <f aca="false">IF(H1302="","",ABS(H1302))</f>
        <v>11</v>
      </c>
      <c r="M1302" s="33" t="n">
        <f aca="false">IF(I1302="","",ABS(I1302))</f>
        <v>14</v>
      </c>
      <c r="N1302" s="33" t="n">
        <f aca="false">IF(J1302="","",ABS(J1302))</f>
        <v>9.5</v>
      </c>
      <c r="O1302" s="33" t="n">
        <f aca="false">IF(K1302="","",ABS(K1302))</f>
        <v>13.3811812971494</v>
      </c>
      <c r="P1302" s="34" t="str">
        <f aca="false">IF(B1302&gt;=Eval_Start_Week,"YES","")</f>
        <v>YES</v>
      </c>
      <c r="Q1302" s="34" t="str">
        <f aca="false">IF(AND(B1302&gt;=Cal_Start_Week,B1302&lt;=Cal_End_Week),"YES","")</f>
        <v>YES</v>
      </c>
    </row>
    <row r="1303" customFormat="false" ht="15" hidden="false" customHeight="false" outlineLevel="0" collapsed="false">
      <c r="A1303" s="31" t="str">
        <f aca="false">Demand_History!C1303</f>
        <v>BTH-003</v>
      </c>
      <c r="B1303" s="31" t="n">
        <f aca="false">Demand_History!A1303</f>
        <v>54</v>
      </c>
      <c r="C1303" s="32" t="n">
        <f aca="false">Demand_History!D1303</f>
        <v>47</v>
      </c>
      <c r="D1303" s="33" t="n">
        <f aca="false">IF(B1303&gt;=2,C1302,"")</f>
        <v>55</v>
      </c>
      <c r="E1303" s="33" t="n">
        <f aca="false">IF(B1303&gt;=5,AVERAGE(C1299:C1302),"")</f>
        <v>41.75</v>
      </c>
      <c r="F1303" s="33" t="n">
        <f aca="false">IF(B1303&gt;=9,AVERAGE(C1295:C1302),"")</f>
        <v>41</v>
      </c>
      <c r="G1303" s="33" t="n">
        <f aca="false">IF(B1303=1,"",IF(B1303=2,C1302,SES_Alpha*C1302+(1-SES_Alpha)*G1302))</f>
        <v>45.6331730919954</v>
      </c>
      <c r="H1303" s="33" t="n">
        <f aca="false">IF(D1303="","",D1303-C1303)</f>
        <v>8</v>
      </c>
      <c r="I1303" s="33" t="n">
        <f aca="false">IF(E1303="","",E1303-C1303)</f>
        <v>-5.25</v>
      </c>
      <c r="J1303" s="33" t="n">
        <f aca="false">IF(F1303="","",F1303-C1303)</f>
        <v>-6</v>
      </c>
      <c r="K1303" s="33" t="n">
        <f aca="false">IF(G1303="","",G1303-C1303)</f>
        <v>-1.36682690800455</v>
      </c>
      <c r="L1303" s="33" t="n">
        <f aca="false">IF(H1303="","",ABS(H1303))</f>
        <v>8</v>
      </c>
      <c r="M1303" s="33" t="n">
        <f aca="false">IF(I1303="","",ABS(I1303))</f>
        <v>5.25</v>
      </c>
      <c r="N1303" s="33" t="n">
        <f aca="false">IF(J1303="","",ABS(J1303))</f>
        <v>6</v>
      </c>
      <c r="O1303" s="33" t="n">
        <f aca="false">IF(K1303="","",ABS(K1303))</f>
        <v>1.36682690800455</v>
      </c>
      <c r="P1303" s="34" t="str">
        <f aca="false">IF(B1303&gt;=Eval_Start_Week,"YES","")</f>
        <v>YES</v>
      </c>
      <c r="Q1303" s="34" t="str">
        <f aca="false">IF(AND(B1303&gt;=Cal_Start_Week,B1303&lt;=Cal_End_Week),"YES","")</f>
        <v>YES</v>
      </c>
    </row>
    <row r="1304" customFormat="false" ht="15" hidden="false" customHeight="false" outlineLevel="0" collapsed="false">
      <c r="A1304" s="31" t="str">
        <f aca="false">Demand_History!C1304</f>
        <v>BTH-003</v>
      </c>
      <c r="B1304" s="31" t="n">
        <f aca="false">Demand_History!A1304</f>
        <v>55</v>
      </c>
      <c r="C1304" s="32" t="n">
        <f aca="false">Demand_History!D1304</f>
        <v>36</v>
      </c>
      <c r="D1304" s="33" t="n">
        <f aca="false">IF(B1304&gt;=2,C1303,"")</f>
        <v>47</v>
      </c>
      <c r="E1304" s="33" t="n">
        <f aca="false">IF(B1304&gt;=5,AVERAGE(C1300:C1303),"")</f>
        <v>45.75</v>
      </c>
      <c r="F1304" s="33" t="n">
        <f aca="false">IF(B1304&gt;=9,AVERAGE(C1296:C1303),"")</f>
        <v>40.5</v>
      </c>
      <c r="G1304" s="33" t="n">
        <f aca="false">IF(B1304=1,"",IF(B1304=2,C1303,SES_Alpha*C1303+(1-SES_Alpha)*G1303))</f>
        <v>46.0432211643968</v>
      </c>
      <c r="H1304" s="33" t="n">
        <f aca="false">IF(D1304="","",D1304-C1304)</f>
        <v>11</v>
      </c>
      <c r="I1304" s="33" t="n">
        <f aca="false">IF(E1304="","",E1304-C1304)</f>
        <v>9.75</v>
      </c>
      <c r="J1304" s="33" t="n">
        <f aca="false">IF(F1304="","",F1304-C1304)</f>
        <v>4.5</v>
      </c>
      <c r="K1304" s="33" t="n">
        <f aca="false">IF(G1304="","",G1304-C1304)</f>
        <v>10.0432211643968</v>
      </c>
      <c r="L1304" s="33" t="n">
        <f aca="false">IF(H1304="","",ABS(H1304))</f>
        <v>11</v>
      </c>
      <c r="M1304" s="33" t="n">
        <f aca="false">IF(I1304="","",ABS(I1304))</f>
        <v>9.75</v>
      </c>
      <c r="N1304" s="33" t="n">
        <f aca="false">IF(J1304="","",ABS(J1304))</f>
        <v>4.5</v>
      </c>
      <c r="O1304" s="33" t="n">
        <f aca="false">IF(K1304="","",ABS(K1304))</f>
        <v>10.0432211643968</v>
      </c>
      <c r="P1304" s="34" t="str">
        <f aca="false">IF(B1304&gt;=Eval_Start_Week,"YES","")</f>
        <v>YES</v>
      </c>
      <c r="Q1304" s="34" t="str">
        <f aca="false">IF(AND(B1304&gt;=Cal_Start_Week,B1304&lt;=Cal_End_Week),"YES","")</f>
        <v>YES</v>
      </c>
    </row>
    <row r="1305" customFormat="false" ht="15" hidden="false" customHeight="false" outlineLevel="0" collapsed="false">
      <c r="A1305" s="31" t="str">
        <f aca="false">Demand_History!C1305</f>
        <v>BTH-003</v>
      </c>
      <c r="B1305" s="31" t="n">
        <f aca="false">Demand_History!A1305</f>
        <v>56</v>
      </c>
      <c r="C1305" s="32" t="n">
        <f aca="false">Demand_History!D1305</f>
        <v>62</v>
      </c>
      <c r="D1305" s="33" t="n">
        <f aca="false">IF(B1305&gt;=2,C1304,"")</f>
        <v>36</v>
      </c>
      <c r="E1305" s="33" t="n">
        <f aca="false">IF(B1305&gt;=5,AVERAGE(C1301:C1304),"")</f>
        <v>45.5</v>
      </c>
      <c r="F1305" s="33" t="n">
        <f aca="false">IF(B1305&gt;=9,AVERAGE(C1297:C1304),"")</f>
        <v>42.75</v>
      </c>
      <c r="G1305" s="33" t="n">
        <f aca="false">IF(B1305=1,"",IF(B1305=2,C1304,SES_Alpha*C1304+(1-SES_Alpha)*G1304))</f>
        <v>43.0302548150778</v>
      </c>
      <c r="H1305" s="33" t="n">
        <f aca="false">IF(D1305="","",D1305-C1305)</f>
        <v>-26</v>
      </c>
      <c r="I1305" s="33" t="n">
        <f aca="false">IF(E1305="","",E1305-C1305)</f>
        <v>-16.5</v>
      </c>
      <c r="J1305" s="33" t="n">
        <f aca="false">IF(F1305="","",F1305-C1305)</f>
        <v>-19.25</v>
      </c>
      <c r="K1305" s="33" t="n">
        <f aca="false">IF(G1305="","",G1305-C1305)</f>
        <v>-18.9697451849222</v>
      </c>
      <c r="L1305" s="33" t="n">
        <f aca="false">IF(H1305="","",ABS(H1305))</f>
        <v>26</v>
      </c>
      <c r="M1305" s="33" t="n">
        <f aca="false">IF(I1305="","",ABS(I1305))</f>
        <v>16.5</v>
      </c>
      <c r="N1305" s="33" t="n">
        <f aca="false">IF(J1305="","",ABS(J1305))</f>
        <v>19.25</v>
      </c>
      <c r="O1305" s="33" t="n">
        <f aca="false">IF(K1305="","",ABS(K1305))</f>
        <v>18.9697451849222</v>
      </c>
      <c r="P1305" s="34" t="str">
        <f aca="false">IF(B1305&gt;=Eval_Start_Week,"YES","")</f>
        <v>YES</v>
      </c>
      <c r="Q1305" s="34" t="str">
        <f aca="false">IF(AND(B1305&gt;=Cal_Start_Week,B1305&lt;=Cal_End_Week),"YES","")</f>
        <v>YES</v>
      </c>
    </row>
    <row r="1306" customFormat="false" ht="15" hidden="false" customHeight="false" outlineLevel="0" collapsed="false">
      <c r="A1306" s="31" t="str">
        <f aca="false">Demand_History!C1306</f>
        <v>BTH-003</v>
      </c>
      <c r="B1306" s="31" t="n">
        <f aca="false">Demand_History!A1306</f>
        <v>57</v>
      </c>
      <c r="C1306" s="32" t="n">
        <f aca="false">Demand_History!D1306</f>
        <v>42</v>
      </c>
      <c r="D1306" s="33" t="n">
        <f aca="false">IF(B1306&gt;=2,C1305,"")</f>
        <v>62</v>
      </c>
      <c r="E1306" s="33" t="n">
        <f aca="false">IF(B1306&gt;=5,AVERAGE(C1302:C1305),"")</f>
        <v>50</v>
      </c>
      <c r="F1306" s="33" t="n">
        <f aca="false">IF(B1306&gt;=9,AVERAGE(C1298:C1305),"")</f>
        <v>45.5</v>
      </c>
      <c r="G1306" s="33" t="n">
        <f aca="false">IF(B1306=1,"",IF(B1306=2,C1305,SES_Alpha*C1305+(1-SES_Alpha)*G1305))</f>
        <v>48.7211783705544</v>
      </c>
      <c r="H1306" s="33" t="n">
        <f aca="false">IF(D1306="","",D1306-C1306)</f>
        <v>20</v>
      </c>
      <c r="I1306" s="33" t="n">
        <f aca="false">IF(E1306="","",E1306-C1306)</f>
        <v>8</v>
      </c>
      <c r="J1306" s="33" t="n">
        <f aca="false">IF(F1306="","",F1306-C1306)</f>
        <v>3.5</v>
      </c>
      <c r="K1306" s="33" t="n">
        <f aca="false">IF(G1306="","",G1306-C1306)</f>
        <v>6.72117837055443</v>
      </c>
      <c r="L1306" s="33" t="n">
        <f aca="false">IF(H1306="","",ABS(H1306))</f>
        <v>20</v>
      </c>
      <c r="M1306" s="33" t="n">
        <f aca="false">IF(I1306="","",ABS(I1306))</f>
        <v>8</v>
      </c>
      <c r="N1306" s="33" t="n">
        <f aca="false">IF(J1306="","",ABS(J1306))</f>
        <v>3.5</v>
      </c>
      <c r="O1306" s="33" t="n">
        <f aca="false">IF(K1306="","",ABS(K1306))</f>
        <v>6.72117837055443</v>
      </c>
      <c r="P1306" s="34" t="str">
        <f aca="false">IF(B1306&gt;=Eval_Start_Week,"YES","")</f>
        <v>YES</v>
      </c>
      <c r="Q1306" s="34" t="str">
        <f aca="false">IF(AND(B1306&gt;=Cal_Start_Week,B1306&lt;=Cal_End_Week),"YES","")</f>
        <v>YES</v>
      </c>
    </row>
    <row r="1307" customFormat="false" ht="15" hidden="false" customHeight="false" outlineLevel="0" collapsed="false">
      <c r="A1307" s="31" t="str">
        <f aca="false">Demand_History!C1307</f>
        <v>BTH-003</v>
      </c>
      <c r="B1307" s="31" t="n">
        <f aca="false">Demand_History!A1307</f>
        <v>58</v>
      </c>
      <c r="C1307" s="32" t="n">
        <f aca="false">Demand_History!D1307</f>
        <v>42</v>
      </c>
      <c r="D1307" s="33" t="n">
        <f aca="false">IF(B1307&gt;=2,C1306,"")</f>
        <v>42</v>
      </c>
      <c r="E1307" s="33" t="n">
        <f aca="false">IF(B1307&gt;=5,AVERAGE(C1303:C1306),"")</f>
        <v>46.75</v>
      </c>
      <c r="F1307" s="33" t="n">
        <f aca="false">IF(B1307&gt;=9,AVERAGE(C1299:C1306),"")</f>
        <v>44.25</v>
      </c>
      <c r="G1307" s="33" t="n">
        <f aca="false">IF(B1307=1,"",IF(B1307=2,C1306,SES_Alpha*C1306+(1-SES_Alpha)*G1306))</f>
        <v>46.7048248593881</v>
      </c>
      <c r="H1307" s="33" t="n">
        <f aca="false">IF(D1307="","",D1307-C1307)</f>
        <v>0</v>
      </c>
      <c r="I1307" s="33" t="n">
        <f aca="false">IF(E1307="","",E1307-C1307)</f>
        <v>4.75</v>
      </c>
      <c r="J1307" s="33" t="n">
        <f aca="false">IF(F1307="","",F1307-C1307)</f>
        <v>2.25</v>
      </c>
      <c r="K1307" s="33" t="n">
        <f aca="false">IF(G1307="","",G1307-C1307)</f>
        <v>4.7048248593881</v>
      </c>
      <c r="L1307" s="33" t="n">
        <f aca="false">IF(H1307="","",ABS(H1307))</f>
        <v>0</v>
      </c>
      <c r="M1307" s="33" t="n">
        <f aca="false">IF(I1307="","",ABS(I1307))</f>
        <v>4.75</v>
      </c>
      <c r="N1307" s="33" t="n">
        <f aca="false">IF(J1307="","",ABS(J1307))</f>
        <v>2.25</v>
      </c>
      <c r="O1307" s="33" t="n">
        <f aca="false">IF(K1307="","",ABS(K1307))</f>
        <v>4.7048248593881</v>
      </c>
      <c r="P1307" s="34" t="str">
        <f aca="false">IF(B1307&gt;=Eval_Start_Week,"YES","")</f>
        <v>YES</v>
      </c>
      <c r="Q1307" s="34" t="str">
        <f aca="false">IF(AND(B1307&gt;=Cal_Start_Week,B1307&lt;=Cal_End_Week),"YES","")</f>
        <v>YES</v>
      </c>
    </row>
    <row r="1308" customFormat="false" ht="15" hidden="false" customHeight="false" outlineLevel="0" collapsed="false">
      <c r="A1308" s="31" t="str">
        <f aca="false">Demand_History!C1308</f>
        <v>BTH-003</v>
      </c>
      <c r="B1308" s="31" t="n">
        <f aca="false">Demand_History!A1308</f>
        <v>59</v>
      </c>
      <c r="C1308" s="32" t="n">
        <f aca="false">Demand_History!D1308</f>
        <v>29</v>
      </c>
      <c r="D1308" s="33" t="n">
        <f aca="false">IF(B1308&gt;=2,C1307,"")</f>
        <v>42</v>
      </c>
      <c r="E1308" s="33" t="n">
        <f aca="false">IF(B1308&gt;=5,AVERAGE(C1304:C1307),"")</f>
        <v>45.5</v>
      </c>
      <c r="F1308" s="33" t="n">
        <f aca="false">IF(B1308&gt;=9,AVERAGE(C1300:C1307),"")</f>
        <v>45.625</v>
      </c>
      <c r="G1308" s="33" t="n">
        <f aca="false">IF(B1308=1,"",IF(B1308=2,C1307,SES_Alpha*C1307+(1-SES_Alpha)*G1307))</f>
        <v>45.2933774015717</v>
      </c>
      <c r="H1308" s="33" t="n">
        <f aca="false">IF(D1308="","",D1308-C1308)</f>
        <v>13</v>
      </c>
      <c r="I1308" s="33" t="n">
        <f aca="false">IF(E1308="","",E1308-C1308)</f>
        <v>16.5</v>
      </c>
      <c r="J1308" s="33" t="n">
        <f aca="false">IF(F1308="","",F1308-C1308)</f>
        <v>16.625</v>
      </c>
      <c r="K1308" s="33" t="n">
        <f aca="false">IF(G1308="","",G1308-C1308)</f>
        <v>16.2933774015717</v>
      </c>
      <c r="L1308" s="33" t="n">
        <f aca="false">IF(H1308="","",ABS(H1308))</f>
        <v>13</v>
      </c>
      <c r="M1308" s="33" t="n">
        <f aca="false">IF(I1308="","",ABS(I1308))</f>
        <v>16.5</v>
      </c>
      <c r="N1308" s="33" t="n">
        <f aca="false">IF(J1308="","",ABS(J1308))</f>
        <v>16.625</v>
      </c>
      <c r="O1308" s="33" t="n">
        <f aca="false">IF(K1308="","",ABS(K1308))</f>
        <v>16.2933774015717</v>
      </c>
      <c r="P1308" s="34" t="str">
        <f aca="false">IF(B1308&gt;=Eval_Start_Week,"YES","")</f>
        <v>YES</v>
      </c>
      <c r="Q1308" s="34" t="str">
        <f aca="false">IF(AND(B1308&gt;=Cal_Start_Week,B1308&lt;=Cal_End_Week),"YES","")</f>
        <v>YES</v>
      </c>
    </row>
    <row r="1309" customFormat="false" ht="15" hidden="false" customHeight="false" outlineLevel="0" collapsed="false">
      <c r="A1309" s="31" t="str">
        <f aca="false">Demand_History!C1309</f>
        <v>BTH-003</v>
      </c>
      <c r="B1309" s="31" t="n">
        <f aca="false">Demand_History!A1309</f>
        <v>60</v>
      </c>
      <c r="C1309" s="32" t="n">
        <f aca="false">Demand_History!D1309</f>
        <v>38</v>
      </c>
      <c r="D1309" s="33" t="n">
        <f aca="false">IF(B1309&gt;=2,C1308,"")</f>
        <v>29</v>
      </c>
      <c r="E1309" s="33" t="n">
        <f aca="false">IF(B1309&gt;=5,AVERAGE(C1305:C1308),"")</f>
        <v>43.75</v>
      </c>
      <c r="F1309" s="33" t="n">
        <f aca="false">IF(B1309&gt;=9,AVERAGE(C1301:C1308),"")</f>
        <v>44.625</v>
      </c>
      <c r="G1309" s="33" t="n">
        <f aca="false">IF(B1309=1,"",IF(B1309=2,C1308,SES_Alpha*C1308+(1-SES_Alpha)*G1308))</f>
        <v>40.4053641811002</v>
      </c>
      <c r="H1309" s="33" t="n">
        <f aca="false">IF(D1309="","",D1309-C1309)</f>
        <v>-9</v>
      </c>
      <c r="I1309" s="33" t="n">
        <f aca="false">IF(E1309="","",E1309-C1309)</f>
        <v>5.75</v>
      </c>
      <c r="J1309" s="33" t="n">
        <f aca="false">IF(F1309="","",F1309-C1309)</f>
        <v>6.625</v>
      </c>
      <c r="K1309" s="33" t="n">
        <f aca="false">IF(G1309="","",G1309-C1309)</f>
        <v>2.40536418110017</v>
      </c>
      <c r="L1309" s="33" t="n">
        <f aca="false">IF(H1309="","",ABS(H1309))</f>
        <v>9</v>
      </c>
      <c r="M1309" s="33" t="n">
        <f aca="false">IF(I1309="","",ABS(I1309))</f>
        <v>5.75</v>
      </c>
      <c r="N1309" s="33" t="n">
        <f aca="false">IF(J1309="","",ABS(J1309))</f>
        <v>6.625</v>
      </c>
      <c r="O1309" s="33" t="n">
        <f aca="false">IF(K1309="","",ABS(K1309))</f>
        <v>2.40536418110017</v>
      </c>
      <c r="P1309" s="34" t="str">
        <f aca="false">IF(B1309&gt;=Eval_Start_Week,"YES","")</f>
        <v>YES</v>
      </c>
      <c r="Q1309" s="34" t="str">
        <f aca="false">IF(AND(B1309&gt;=Cal_Start_Week,B1309&lt;=Cal_End_Week),"YES","")</f>
        <v>YES</v>
      </c>
    </row>
    <row r="1310" customFormat="false" ht="15" hidden="false" customHeight="false" outlineLevel="0" collapsed="false">
      <c r="A1310" s="31" t="str">
        <f aca="false">Demand_History!C1310</f>
        <v>BTH-003</v>
      </c>
      <c r="B1310" s="31" t="n">
        <f aca="false">Demand_History!A1310</f>
        <v>61</v>
      </c>
      <c r="C1310" s="32" t="n">
        <f aca="false">Demand_History!D1310</f>
        <v>60</v>
      </c>
      <c r="D1310" s="33" t="n">
        <f aca="false">IF(B1310&gt;=2,C1309,"")</f>
        <v>38</v>
      </c>
      <c r="E1310" s="33" t="n">
        <f aca="false">IF(B1310&gt;=5,AVERAGE(C1306:C1309),"")</f>
        <v>37.75</v>
      </c>
      <c r="F1310" s="33" t="n">
        <f aca="false">IF(B1310&gt;=9,AVERAGE(C1302:C1309),"")</f>
        <v>43.875</v>
      </c>
      <c r="G1310" s="33" t="n">
        <f aca="false">IF(B1310=1,"",IF(B1310=2,C1309,SES_Alpha*C1309+(1-SES_Alpha)*G1309))</f>
        <v>39.6837549267701</v>
      </c>
      <c r="H1310" s="33" t="n">
        <f aca="false">IF(D1310="","",D1310-C1310)</f>
        <v>-22</v>
      </c>
      <c r="I1310" s="33" t="n">
        <f aca="false">IF(E1310="","",E1310-C1310)</f>
        <v>-22.25</v>
      </c>
      <c r="J1310" s="33" t="n">
        <f aca="false">IF(F1310="","",F1310-C1310)</f>
        <v>-16.125</v>
      </c>
      <c r="K1310" s="33" t="n">
        <f aca="false">IF(G1310="","",G1310-C1310)</f>
        <v>-20.3162450732299</v>
      </c>
      <c r="L1310" s="33" t="n">
        <f aca="false">IF(H1310="","",ABS(H1310))</f>
        <v>22</v>
      </c>
      <c r="M1310" s="33" t="n">
        <f aca="false">IF(I1310="","",ABS(I1310))</f>
        <v>22.25</v>
      </c>
      <c r="N1310" s="33" t="n">
        <f aca="false">IF(J1310="","",ABS(J1310))</f>
        <v>16.125</v>
      </c>
      <c r="O1310" s="33" t="n">
        <f aca="false">IF(K1310="","",ABS(K1310))</f>
        <v>20.3162450732299</v>
      </c>
      <c r="P1310" s="34" t="str">
        <f aca="false">IF(B1310&gt;=Eval_Start_Week,"YES","")</f>
        <v>YES</v>
      </c>
      <c r="Q1310" s="34" t="str">
        <f aca="false">IF(AND(B1310&gt;=Cal_Start_Week,B1310&lt;=Cal_End_Week),"YES","")</f>
        <v>YES</v>
      </c>
    </row>
    <row r="1311" customFormat="false" ht="15" hidden="false" customHeight="false" outlineLevel="0" collapsed="false">
      <c r="A1311" s="31" t="str">
        <f aca="false">Demand_History!C1311</f>
        <v>BTH-003</v>
      </c>
      <c r="B1311" s="31" t="n">
        <f aca="false">Demand_History!A1311</f>
        <v>62</v>
      </c>
      <c r="C1311" s="32" t="n">
        <f aca="false">Demand_History!D1311</f>
        <v>25</v>
      </c>
      <c r="D1311" s="33" t="n">
        <f aca="false">IF(B1311&gt;=2,C1310,"")</f>
        <v>60</v>
      </c>
      <c r="E1311" s="33" t="n">
        <f aca="false">IF(B1311&gt;=5,AVERAGE(C1307:C1310),"")</f>
        <v>42.25</v>
      </c>
      <c r="F1311" s="33" t="n">
        <f aca="false">IF(B1311&gt;=9,AVERAGE(C1303:C1310),"")</f>
        <v>44.5</v>
      </c>
      <c r="G1311" s="33" t="n">
        <f aca="false">IF(B1311=1,"",IF(B1311=2,C1310,SES_Alpha*C1310+(1-SES_Alpha)*G1310))</f>
        <v>45.7786284487391</v>
      </c>
      <c r="H1311" s="33" t="n">
        <f aca="false">IF(D1311="","",D1311-C1311)</f>
        <v>35</v>
      </c>
      <c r="I1311" s="33" t="n">
        <f aca="false">IF(E1311="","",E1311-C1311)</f>
        <v>17.25</v>
      </c>
      <c r="J1311" s="33" t="n">
        <f aca="false">IF(F1311="","",F1311-C1311)</f>
        <v>19.5</v>
      </c>
      <c r="K1311" s="33" t="n">
        <f aca="false">IF(G1311="","",G1311-C1311)</f>
        <v>20.7786284487391</v>
      </c>
      <c r="L1311" s="33" t="n">
        <f aca="false">IF(H1311="","",ABS(H1311))</f>
        <v>35</v>
      </c>
      <c r="M1311" s="33" t="n">
        <f aca="false">IF(I1311="","",ABS(I1311))</f>
        <v>17.25</v>
      </c>
      <c r="N1311" s="33" t="n">
        <f aca="false">IF(J1311="","",ABS(J1311))</f>
        <v>19.5</v>
      </c>
      <c r="O1311" s="33" t="n">
        <f aca="false">IF(K1311="","",ABS(K1311))</f>
        <v>20.7786284487391</v>
      </c>
      <c r="P1311" s="34" t="str">
        <f aca="false">IF(B1311&gt;=Eval_Start_Week,"YES","")</f>
        <v>YES</v>
      </c>
      <c r="Q1311" s="34" t="str">
        <f aca="false">IF(AND(B1311&gt;=Cal_Start_Week,B1311&lt;=Cal_End_Week),"YES","")</f>
        <v>YES</v>
      </c>
    </row>
    <row r="1312" customFormat="false" ht="15" hidden="false" customHeight="false" outlineLevel="0" collapsed="false">
      <c r="A1312" s="31" t="str">
        <f aca="false">Demand_History!C1312</f>
        <v>BTH-003</v>
      </c>
      <c r="B1312" s="31" t="n">
        <f aca="false">Demand_History!A1312</f>
        <v>63</v>
      </c>
      <c r="C1312" s="32" t="n">
        <f aca="false">Demand_History!D1312</f>
        <v>49</v>
      </c>
      <c r="D1312" s="33" t="n">
        <f aca="false">IF(B1312&gt;=2,C1311,"")</f>
        <v>25</v>
      </c>
      <c r="E1312" s="33" t="n">
        <f aca="false">IF(B1312&gt;=5,AVERAGE(C1308:C1311),"")</f>
        <v>38</v>
      </c>
      <c r="F1312" s="33" t="n">
        <f aca="false">IF(B1312&gt;=9,AVERAGE(C1304:C1311),"")</f>
        <v>41.75</v>
      </c>
      <c r="G1312" s="33" t="n">
        <f aca="false">IF(B1312=1,"",IF(B1312=2,C1311,SES_Alpha*C1311+(1-SES_Alpha)*G1311))</f>
        <v>39.5450399141174</v>
      </c>
      <c r="H1312" s="33" t="n">
        <f aca="false">IF(D1312="","",D1312-C1312)</f>
        <v>-24</v>
      </c>
      <c r="I1312" s="33" t="n">
        <f aca="false">IF(E1312="","",E1312-C1312)</f>
        <v>-11</v>
      </c>
      <c r="J1312" s="33" t="n">
        <f aca="false">IF(F1312="","",F1312-C1312)</f>
        <v>-7.25</v>
      </c>
      <c r="K1312" s="33" t="n">
        <f aca="false">IF(G1312="","",G1312-C1312)</f>
        <v>-9.45496008588265</v>
      </c>
      <c r="L1312" s="33" t="n">
        <f aca="false">IF(H1312="","",ABS(H1312))</f>
        <v>24</v>
      </c>
      <c r="M1312" s="33" t="n">
        <f aca="false">IF(I1312="","",ABS(I1312))</f>
        <v>11</v>
      </c>
      <c r="N1312" s="33" t="n">
        <f aca="false">IF(J1312="","",ABS(J1312))</f>
        <v>7.25</v>
      </c>
      <c r="O1312" s="33" t="n">
        <f aca="false">IF(K1312="","",ABS(K1312))</f>
        <v>9.45496008588265</v>
      </c>
      <c r="P1312" s="34" t="str">
        <f aca="false">IF(B1312&gt;=Eval_Start_Week,"YES","")</f>
        <v>YES</v>
      </c>
      <c r="Q1312" s="34" t="str">
        <f aca="false">IF(AND(B1312&gt;=Cal_Start_Week,B1312&lt;=Cal_End_Week),"YES","")</f>
        <v>YES</v>
      </c>
    </row>
    <row r="1313" customFormat="false" ht="15" hidden="false" customHeight="false" outlineLevel="0" collapsed="false">
      <c r="A1313" s="31" t="str">
        <f aca="false">Demand_History!C1313</f>
        <v>BTH-003</v>
      </c>
      <c r="B1313" s="31" t="n">
        <f aca="false">Demand_History!A1313</f>
        <v>64</v>
      </c>
      <c r="C1313" s="32" t="n">
        <f aca="false">Demand_History!D1313</f>
        <v>61</v>
      </c>
      <c r="D1313" s="33" t="n">
        <f aca="false">IF(B1313&gt;=2,C1312,"")</f>
        <v>49</v>
      </c>
      <c r="E1313" s="33" t="n">
        <f aca="false">IF(B1313&gt;=5,AVERAGE(C1309:C1312),"")</f>
        <v>43</v>
      </c>
      <c r="F1313" s="33" t="n">
        <f aca="false">IF(B1313&gt;=9,AVERAGE(C1305:C1312),"")</f>
        <v>43.375</v>
      </c>
      <c r="G1313" s="33" t="n">
        <f aca="false">IF(B1313=1,"",IF(B1313=2,C1312,SES_Alpha*C1312+(1-SES_Alpha)*G1312))</f>
        <v>42.3815279398822</v>
      </c>
      <c r="H1313" s="33" t="n">
        <f aca="false">IF(D1313="","",D1313-C1313)</f>
        <v>-12</v>
      </c>
      <c r="I1313" s="33" t="n">
        <f aca="false">IF(E1313="","",E1313-C1313)</f>
        <v>-18</v>
      </c>
      <c r="J1313" s="33" t="n">
        <f aca="false">IF(F1313="","",F1313-C1313)</f>
        <v>-17.625</v>
      </c>
      <c r="K1313" s="33" t="n">
        <f aca="false">IF(G1313="","",G1313-C1313)</f>
        <v>-18.6184720601179</v>
      </c>
      <c r="L1313" s="33" t="n">
        <f aca="false">IF(H1313="","",ABS(H1313))</f>
        <v>12</v>
      </c>
      <c r="M1313" s="33" t="n">
        <f aca="false">IF(I1313="","",ABS(I1313))</f>
        <v>18</v>
      </c>
      <c r="N1313" s="33" t="n">
        <f aca="false">IF(J1313="","",ABS(J1313))</f>
        <v>17.625</v>
      </c>
      <c r="O1313" s="33" t="n">
        <f aca="false">IF(K1313="","",ABS(K1313))</f>
        <v>18.6184720601179</v>
      </c>
      <c r="P1313" s="34" t="str">
        <f aca="false">IF(B1313&gt;=Eval_Start_Week,"YES","")</f>
        <v>YES</v>
      </c>
      <c r="Q1313" s="34" t="str">
        <f aca="false">IF(AND(B1313&gt;=Cal_Start_Week,B1313&lt;=Cal_End_Week),"YES","")</f>
        <v>YES</v>
      </c>
    </row>
    <row r="1314" customFormat="false" ht="15" hidden="false" customHeight="false" outlineLevel="0" collapsed="false">
      <c r="A1314" s="31" t="str">
        <f aca="false">Demand_History!C1314</f>
        <v>BTH-003</v>
      </c>
      <c r="B1314" s="31" t="n">
        <f aca="false">Demand_History!A1314</f>
        <v>65</v>
      </c>
      <c r="C1314" s="32" t="n">
        <f aca="false">Demand_History!D1314</f>
        <v>44</v>
      </c>
      <c r="D1314" s="33" t="n">
        <f aca="false">IF(B1314&gt;=2,C1313,"")</f>
        <v>61</v>
      </c>
      <c r="E1314" s="33" t="n">
        <f aca="false">IF(B1314&gt;=5,AVERAGE(C1310:C1313),"")</f>
        <v>48.75</v>
      </c>
      <c r="F1314" s="33" t="n">
        <f aca="false">IF(B1314&gt;=9,AVERAGE(C1306:C1313),"")</f>
        <v>43.25</v>
      </c>
      <c r="G1314" s="33" t="n">
        <f aca="false">IF(B1314=1,"",IF(B1314=2,C1313,SES_Alpha*C1313+(1-SES_Alpha)*G1313))</f>
        <v>47.9670695579175</v>
      </c>
      <c r="H1314" s="33" t="n">
        <f aca="false">IF(D1314="","",D1314-C1314)</f>
        <v>17</v>
      </c>
      <c r="I1314" s="33" t="n">
        <f aca="false">IF(E1314="","",E1314-C1314)</f>
        <v>4.75</v>
      </c>
      <c r="J1314" s="33" t="n">
        <f aca="false">IF(F1314="","",F1314-C1314)</f>
        <v>-0.75</v>
      </c>
      <c r="K1314" s="33" t="n">
        <f aca="false">IF(G1314="","",G1314-C1314)</f>
        <v>3.9670695579175</v>
      </c>
      <c r="L1314" s="33" t="n">
        <f aca="false">IF(H1314="","",ABS(H1314))</f>
        <v>17</v>
      </c>
      <c r="M1314" s="33" t="n">
        <f aca="false">IF(I1314="","",ABS(I1314))</f>
        <v>4.75</v>
      </c>
      <c r="N1314" s="33" t="n">
        <f aca="false">IF(J1314="","",ABS(J1314))</f>
        <v>0.75</v>
      </c>
      <c r="O1314" s="33" t="n">
        <f aca="false">IF(K1314="","",ABS(K1314))</f>
        <v>3.9670695579175</v>
      </c>
      <c r="P1314" s="34" t="str">
        <f aca="false">IF(B1314&gt;=Eval_Start_Week,"YES","")</f>
        <v>YES</v>
      </c>
      <c r="Q1314" s="34" t="str">
        <f aca="false">IF(AND(B1314&gt;=Cal_Start_Week,B1314&lt;=Cal_End_Week),"YES","")</f>
        <v>YES</v>
      </c>
    </row>
    <row r="1315" customFormat="false" ht="15" hidden="false" customHeight="false" outlineLevel="0" collapsed="false">
      <c r="A1315" s="31" t="str">
        <f aca="false">Demand_History!C1315</f>
        <v>BTH-003</v>
      </c>
      <c r="B1315" s="31" t="n">
        <f aca="false">Demand_History!A1315</f>
        <v>66</v>
      </c>
      <c r="C1315" s="32" t="n">
        <f aca="false">Demand_History!D1315</f>
        <v>54</v>
      </c>
      <c r="D1315" s="33" t="n">
        <f aca="false">IF(B1315&gt;=2,C1314,"")</f>
        <v>44</v>
      </c>
      <c r="E1315" s="33" t="n">
        <f aca="false">IF(B1315&gt;=5,AVERAGE(C1311:C1314),"")</f>
        <v>44.75</v>
      </c>
      <c r="F1315" s="33" t="n">
        <f aca="false">IF(B1315&gt;=9,AVERAGE(C1307:C1314),"")</f>
        <v>43.5</v>
      </c>
      <c r="G1315" s="33" t="n">
        <f aca="false">IF(B1315=1,"",IF(B1315=2,C1314,SES_Alpha*C1314+(1-SES_Alpha)*G1314))</f>
        <v>46.7769486905422</v>
      </c>
      <c r="H1315" s="33" t="n">
        <f aca="false">IF(D1315="","",D1315-C1315)</f>
        <v>-10</v>
      </c>
      <c r="I1315" s="33" t="n">
        <f aca="false">IF(E1315="","",E1315-C1315)</f>
        <v>-9.25</v>
      </c>
      <c r="J1315" s="33" t="n">
        <f aca="false">IF(F1315="","",F1315-C1315)</f>
        <v>-10.5</v>
      </c>
      <c r="K1315" s="33" t="n">
        <f aca="false">IF(G1315="","",G1315-C1315)</f>
        <v>-7.22305130945776</v>
      </c>
      <c r="L1315" s="33" t="n">
        <f aca="false">IF(H1315="","",ABS(H1315))</f>
        <v>10</v>
      </c>
      <c r="M1315" s="33" t="n">
        <f aca="false">IF(I1315="","",ABS(I1315))</f>
        <v>9.25</v>
      </c>
      <c r="N1315" s="33" t="n">
        <f aca="false">IF(J1315="","",ABS(J1315))</f>
        <v>10.5</v>
      </c>
      <c r="O1315" s="33" t="n">
        <f aca="false">IF(K1315="","",ABS(K1315))</f>
        <v>7.22305130945776</v>
      </c>
      <c r="P1315" s="34" t="str">
        <f aca="false">IF(B1315&gt;=Eval_Start_Week,"YES","")</f>
        <v>YES</v>
      </c>
      <c r="Q1315" s="34" t="str">
        <f aca="false">IF(AND(B1315&gt;=Cal_Start_Week,B1315&lt;=Cal_End_Week),"YES","")</f>
        <v>YES</v>
      </c>
    </row>
    <row r="1316" customFormat="false" ht="15" hidden="false" customHeight="false" outlineLevel="0" collapsed="false">
      <c r="A1316" s="31" t="str">
        <f aca="false">Demand_History!C1316</f>
        <v>BTH-003</v>
      </c>
      <c r="B1316" s="31" t="n">
        <f aca="false">Demand_History!A1316</f>
        <v>67</v>
      </c>
      <c r="C1316" s="32" t="n">
        <f aca="false">Demand_History!D1316</f>
        <v>33</v>
      </c>
      <c r="D1316" s="33" t="n">
        <f aca="false">IF(B1316&gt;=2,C1315,"")</f>
        <v>54</v>
      </c>
      <c r="E1316" s="33" t="n">
        <f aca="false">IF(B1316&gt;=5,AVERAGE(C1312:C1315),"")</f>
        <v>52</v>
      </c>
      <c r="F1316" s="33" t="n">
        <f aca="false">IF(B1316&gt;=9,AVERAGE(C1308:C1315),"")</f>
        <v>45</v>
      </c>
      <c r="G1316" s="33" t="n">
        <f aca="false">IF(B1316=1,"",IF(B1316=2,C1315,SES_Alpha*C1315+(1-SES_Alpha)*G1315))</f>
        <v>48.9438640833796</v>
      </c>
      <c r="H1316" s="33" t="n">
        <f aca="false">IF(D1316="","",D1316-C1316)</f>
        <v>21</v>
      </c>
      <c r="I1316" s="33" t="n">
        <f aca="false">IF(E1316="","",E1316-C1316)</f>
        <v>19</v>
      </c>
      <c r="J1316" s="33" t="n">
        <f aca="false">IF(F1316="","",F1316-C1316)</f>
        <v>12</v>
      </c>
      <c r="K1316" s="33" t="n">
        <f aca="false">IF(G1316="","",G1316-C1316)</f>
        <v>15.9438640833796</v>
      </c>
      <c r="L1316" s="33" t="n">
        <f aca="false">IF(H1316="","",ABS(H1316))</f>
        <v>21</v>
      </c>
      <c r="M1316" s="33" t="n">
        <f aca="false">IF(I1316="","",ABS(I1316))</f>
        <v>19</v>
      </c>
      <c r="N1316" s="33" t="n">
        <f aca="false">IF(J1316="","",ABS(J1316))</f>
        <v>12</v>
      </c>
      <c r="O1316" s="33" t="n">
        <f aca="false">IF(K1316="","",ABS(K1316))</f>
        <v>15.9438640833796</v>
      </c>
      <c r="P1316" s="34" t="str">
        <f aca="false">IF(B1316&gt;=Eval_Start_Week,"YES","")</f>
        <v>YES</v>
      </c>
      <c r="Q1316" s="34" t="str">
        <f aca="false">IF(AND(B1316&gt;=Cal_Start_Week,B1316&lt;=Cal_End_Week),"YES","")</f>
        <v>YES</v>
      </c>
    </row>
    <row r="1317" customFormat="false" ht="15" hidden="false" customHeight="false" outlineLevel="0" collapsed="false">
      <c r="A1317" s="31" t="str">
        <f aca="false">Demand_History!C1317</f>
        <v>BTH-003</v>
      </c>
      <c r="B1317" s="31" t="n">
        <f aca="false">Demand_History!A1317</f>
        <v>68</v>
      </c>
      <c r="C1317" s="32" t="n">
        <f aca="false">Demand_History!D1317</f>
        <v>70</v>
      </c>
      <c r="D1317" s="33" t="n">
        <f aca="false">IF(B1317&gt;=2,C1316,"")</f>
        <v>33</v>
      </c>
      <c r="E1317" s="33" t="n">
        <f aca="false">IF(B1317&gt;=5,AVERAGE(C1313:C1316),"")</f>
        <v>48</v>
      </c>
      <c r="F1317" s="33" t="n">
        <f aca="false">IF(B1317&gt;=9,AVERAGE(C1309:C1316),"")</f>
        <v>45.5</v>
      </c>
      <c r="G1317" s="33" t="n">
        <f aca="false">IF(B1317=1,"",IF(B1317=2,C1316,SES_Alpha*C1316+(1-SES_Alpha)*G1316))</f>
        <v>44.1607048583657</v>
      </c>
      <c r="H1317" s="33" t="n">
        <f aca="false">IF(D1317="","",D1317-C1317)</f>
        <v>-37</v>
      </c>
      <c r="I1317" s="33" t="n">
        <f aca="false">IF(E1317="","",E1317-C1317)</f>
        <v>-22</v>
      </c>
      <c r="J1317" s="33" t="n">
        <f aca="false">IF(F1317="","",F1317-C1317)</f>
        <v>-24.5</v>
      </c>
      <c r="K1317" s="33" t="n">
        <f aca="false">IF(G1317="","",G1317-C1317)</f>
        <v>-25.8392951416343</v>
      </c>
      <c r="L1317" s="33" t="n">
        <f aca="false">IF(H1317="","",ABS(H1317))</f>
        <v>37</v>
      </c>
      <c r="M1317" s="33" t="n">
        <f aca="false">IF(I1317="","",ABS(I1317))</f>
        <v>22</v>
      </c>
      <c r="N1317" s="33" t="n">
        <f aca="false">IF(J1317="","",ABS(J1317))</f>
        <v>24.5</v>
      </c>
      <c r="O1317" s="33" t="n">
        <f aca="false">IF(K1317="","",ABS(K1317))</f>
        <v>25.8392951416343</v>
      </c>
      <c r="P1317" s="34" t="str">
        <f aca="false">IF(B1317&gt;=Eval_Start_Week,"YES","")</f>
        <v>YES</v>
      </c>
      <c r="Q1317" s="34" t="str">
        <f aca="false">IF(AND(B1317&gt;=Cal_Start_Week,B1317&lt;=Cal_End_Week),"YES","")</f>
        <v>YES</v>
      </c>
    </row>
    <row r="1318" customFormat="false" ht="15" hidden="false" customHeight="false" outlineLevel="0" collapsed="false">
      <c r="A1318" s="31" t="str">
        <f aca="false">Demand_History!C1318</f>
        <v>BTH-003</v>
      </c>
      <c r="B1318" s="31" t="n">
        <f aca="false">Demand_History!A1318</f>
        <v>69</v>
      </c>
      <c r="C1318" s="32" t="n">
        <f aca="false">Demand_History!D1318</f>
        <v>67</v>
      </c>
      <c r="D1318" s="33" t="n">
        <f aca="false">IF(B1318&gt;=2,C1317,"")</f>
        <v>70</v>
      </c>
      <c r="E1318" s="33" t="n">
        <f aca="false">IF(B1318&gt;=5,AVERAGE(C1314:C1317),"")</f>
        <v>50.25</v>
      </c>
      <c r="F1318" s="33" t="n">
        <f aca="false">IF(B1318&gt;=9,AVERAGE(C1310:C1317),"")</f>
        <v>49.5</v>
      </c>
      <c r="G1318" s="33" t="n">
        <f aca="false">IF(B1318=1,"",IF(B1318=2,C1317,SES_Alpha*C1317+(1-SES_Alpha)*G1317))</f>
        <v>51.912493400856</v>
      </c>
      <c r="H1318" s="33" t="n">
        <f aca="false">IF(D1318="","",D1318-C1318)</f>
        <v>3</v>
      </c>
      <c r="I1318" s="33" t="n">
        <f aca="false">IF(E1318="","",E1318-C1318)</f>
        <v>-16.75</v>
      </c>
      <c r="J1318" s="33" t="n">
        <f aca="false">IF(F1318="","",F1318-C1318)</f>
        <v>-17.5</v>
      </c>
      <c r="K1318" s="33" t="n">
        <f aca="false">IF(G1318="","",G1318-C1318)</f>
        <v>-15.087506599144</v>
      </c>
      <c r="L1318" s="33" t="n">
        <f aca="false">IF(H1318="","",ABS(H1318))</f>
        <v>3</v>
      </c>
      <c r="M1318" s="33" t="n">
        <f aca="false">IF(I1318="","",ABS(I1318))</f>
        <v>16.75</v>
      </c>
      <c r="N1318" s="33" t="n">
        <f aca="false">IF(J1318="","",ABS(J1318))</f>
        <v>17.5</v>
      </c>
      <c r="O1318" s="33" t="n">
        <f aca="false">IF(K1318="","",ABS(K1318))</f>
        <v>15.087506599144</v>
      </c>
      <c r="P1318" s="34" t="str">
        <f aca="false">IF(B1318&gt;=Eval_Start_Week,"YES","")</f>
        <v>YES</v>
      </c>
      <c r="Q1318" s="34" t="str">
        <f aca="false">IF(AND(B1318&gt;=Cal_Start_Week,B1318&lt;=Cal_End_Week),"YES","")</f>
        <v>YES</v>
      </c>
    </row>
    <row r="1319" customFormat="false" ht="15" hidden="false" customHeight="false" outlineLevel="0" collapsed="false">
      <c r="A1319" s="31" t="str">
        <f aca="false">Demand_History!C1319</f>
        <v>BTH-003</v>
      </c>
      <c r="B1319" s="31" t="n">
        <f aca="false">Demand_History!A1319</f>
        <v>70</v>
      </c>
      <c r="C1319" s="32" t="n">
        <f aca="false">Demand_History!D1319</f>
        <v>54</v>
      </c>
      <c r="D1319" s="33" t="n">
        <f aca="false">IF(B1319&gt;=2,C1318,"")</f>
        <v>67</v>
      </c>
      <c r="E1319" s="33" t="n">
        <f aca="false">IF(B1319&gt;=5,AVERAGE(C1315:C1318),"")</f>
        <v>56</v>
      </c>
      <c r="F1319" s="33" t="n">
        <f aca="false">IF(B1319&gt;=9,AVERAGE(C1311:C1318),"")</f>
        <v>50.375</v>
      </c>
      <c r="G1319" s="33" t="n">
        <f aca="false">IF(B1319=1,"",IF(B1319=2,C1318,SES_Alpha*C1318+(1-SES_Alpha)*G1318))</f>
        <v>56.4387453805992</v>
      </c>
      <c r="H1319" s="33" t="n">
        <f aca="false">IF(D1319="","",D1319-C1319)</f>
        <v>13</v>
      </c>
      <c r="I1319" s="33" t="n">
        <f aca="false">IF(E1319="","",E1319-C1319)</f>
        <v>2</v>
      </c>
      <c r="J1319" s="33" t="n">
        <f aca="false">IF(F1319="","",F1319-C1319)</f>
        <v>-3.625</v>
      </c>
      <c r="K1319" s="33" t="n">
        <f aca="false">IF(G1319="","",G1319-C1319)</f>
        <v>2.43874538059919</v>
      </c>
      <c r="L1319" s="33" t="n">
        <f aca="false">IF(H1319="","",ABS(H1319))</f>
        <v>13</v>
      </c>
      <c r="M1319" s="33" t="n">
        <f aca="false">IF(I1319="","",ABS(I1319))</f>
        <v>2</v>
      </c>
      <c r="N1319" s="33" t="n">
        <f aca="false">IF(J1319="","",ABS(J1319))</f>
        <v>3.625</v>
      </c>
      <c r="O1319" s="33" t="n">
        <f aca="false">IF(K1319="","",ABS(K1319))</f>
        <v>2.43874538059919</v>
      </c>
      <c r="P1319" s="34" t="str">
        <f aca="false">IF(B1319&gt;=Eval_Start_Week,"YES","")</f>
        <v>YES</v>
      </c>
      <c r="Q1319" s="34" t="str">
        <f aca="false">IF(AND(B1319&gt;=Cal_Start_Week,B1319&lt;=Cal_End_Week),"YES","")</f>
        <v>YES</v>
      </c>
    </row>
    <row r="1320" customFormat="false" ht="15" hidden="false" customHeight="false" outlineLevel="0" collapsed="false">
      <c r="A1320" s="31" t="str">
        <f aca="false">Demand_History!C1320</f>
        <v>BTH-003</v>
      </c>
      <c r="B1320" s="31" t="n">
        <f aca="false">Demand_History!A1320</f>
        <v>71</v>
      </c>
      <c r="C1320" s="32" t="n">
        <f aca="false">Demand_History!D1320</f>
        <v>23</v>
      </c>
      <c r="D1320" s="33" t="n">
        <f aca="false">IF(B1320&gt;=2,C1319,"")</f>
        <v>54</v>
      </c>
      <c r="E1320" s="33" t="n">
        <f aca="false">IF(B1320&gt;=5,AVERAGE(C1316:C1319),"")</f>
        <v>56</v>
      </c>
      <c r="F1320" s="33" t="n">
        <f aca="false">IF(B1320&gt;=9,AVERAGE(C1312:C1319),"")</f>
        <v>54</v>
      </c>
      <c r="G1320" s="33" t="n">
        <f aca="false">IF(B1320=1,"",IF(B1320=2,C1319,SES_Alpha*C1319+(1-SES_Alpha)*G1319))</f>
        <v>55.7071217664194</v>
      </c>
      <c r="H1320" s="33" t="n">
        <f aca="false">IF(D1320="","",D1320-C1320)</f>
        <v>31</v>
      </c>
      <c r="I1320" s="33" t="n">
        <f aca="false">IF(E1320="","",E1320-C1320)</f>
        <v>33</v>
      </c>
      <c r="J1320" s="33" t="n">
        <f aca="false">IF(F1320="","",F1320-C1320)</f>
        <v>31</v>
      </c>
      <c r="K1320" s="33" t="n">
        <f aca="false">IF(G1320="","",G1320-C1320)</f>
        <v>32.7071217664194</v>
      </c>
      <c r="L1320" s="33" t="n">
        <f aca="false">IF(H1320="","",ABS(H1320))</f>
        <v>31</v>
      </c>
      <c r="M1320" s="33" t="n">
        <f aca="false">IF(I1320="","",ABS(I1320))</f>
        <v>33</v>
      </c>
      <c r="N1320" s="33" t="n">
        <f aca="false">IF(J1320="","",ABS(J1320))</f>
        <v>31</v>
      </c>
      <c r="O1320" s="33" t="n">
        <f aca="false">IF(K1320="","",ABS(K1320))</f>
        <v>32.7071217664194</v>
      </c>
      <c r="P1320" s="34" t="str">
        <f aca="false">IF(B1320&gt;=Eval_Start_Week,"YES","")</f>
        <v>YES</v>
      </c>
      <c r="Q1320" s="34" t="str">
        <f aca="false">IF(AND(B1320&gt;=Cal_Start_Week,B1320&lt;=Cal_End_Week),"YES","")</f>
        <v>YES</v>
      </c>
    </row>
    <row r="1321" customFormat="false" ht="15" hidden="false" customHeight="false" outlineLevel="0" collapsed="false">
      <c r="A1321" s="31" t="str">
        <f aca="false">Demand_History!C1321</f>
        <v>BTH-003</v>
      </c>
      <c r="B1321" s="31" t="n">
        <f aca="false">Demand_History!A1321</f>
        <v>72</v>
      </c>
      <c r="C1321" s="32" t="n">
        <f aca="false">Demand_History!D1321</f>
        <v>34</v>
      </c>
      <c r="D1321" s="33" t="n">
        <f aca="false">IF(B1321&gt;=2,C1320,"")</f>
        <v>23</v>
      </c>
      <c r="E1321" s="33" t="n">
        <f aca="false">IF(B1321&gt;=5,AVERAGE(C1317:C1320),"")</f>
        <v>53.5</v>
      </c>
      <c r="F1321" s="33" t="n">
        <f aca="false">IF(B1321&gt;=9,AVERAGE(C1313:C1320),"")</f>
        <v>50.75</v>
      </c>
      <c r="G1321" s="33" t="n">
        <f aca="false">IF(B1321=1,"",IF(B1321=2,C1320,SES_Alpha*C1320+(1-SES_Alpha)*G1320))</f>
        <v>45.8949852364936</v>
      </c>
      <c r="H1321" s="33" t="n">
        <f aca="false">IF(D1321="","",D1321-C1321)</f>
        <v>-11</v>
      </c>
      <c r="I1321" s="33" t="n">
        <f aca="false">IF(E1321="","",E1321-C1321)</f>
        <v>19.5</v>
      </c>
      <c r="J1321" s="33" t="n">
        <f aca="false">IF(F1321="","",F1321-C1321)</f>
        <v>16.75</v>
      </c>
      <c r="K1321" s="33" t="n">
        <f aca="false">IF(G1321="","",G1321-C1321)</f>
        <v>11.8949852364936</v>
      </c>
      <c r="L1321" s="33" t="n">
        <f aca="false">IF(H1321="","",ABS(H1321))</f>
        <v>11</v>
      </c>
      <c r="M1321" s="33" t="n">
        <f aca="false">IF(I1321="","",ABS(I1321))</f>
        <v>19.5</v>
      </c>
      <c r="N1321" s="33" t="n">
        <f aca="false">IF(J1321="","",ABS(J1321))</f>
        <v>16.75</v>
      </c>
      <c r="O1321" s="33" t="n">
        <f aca="false">IF(K1321="","",ABS(K1321))</f>
        <v>11.8949852364936</v>
      </c>
      <c r="P1321" s="34" t="str">
        <f aca="false">IF(B1321&gt;=Eval_Start_Week,"YES","")</f>
        <v>YES</v>
      </c>
      <c r="Q1321" s="34" t="str">
        <f aca="false">IF(AND(B1321&gt;=Cal_Start_Week,B1321&lt;=Cal_End_Week),"YES","")</f>
        <v>YES</v>
      </c>
    </row>
    <row r="1322" customFormat="false" ht="15" hidden="false" customHeight="false" outlineLevel="0" collapsed="false">
      <c r="A1322" s="31" t="str">
        <f aca="false">Demand_History!C1322</f>
        <v>BTH-003</v>
      </c>
      <c r="B1322" s="31" t="n">
        <f aca="false">Demand_History!A1322</f>
        <v>73</v>
      </c>
      <c r="C1322" s="32" t="n">
        <f aca="false">Demand_History!D1322</f>
        <v>65</v>
      </c>
      <c r="D1322" s="33" t="n">
        <f aca="false">IF(B1322&gt;=2,C1321,"")</f>
        <v>34</v>
      </c>
      <c r="E1322" s="33" t="n">
        <f aca="false">IF(B1322&gt;=5,AVERAGE(C1318:C1321),"")</f>
        <v>44.5</v>
      </c>
      <c r="F1322" s="33" t="n">
        <f aca="false">IF(B1322&gt;=9,AVERAGE(C1314:C1321),"")</f>
        <v>47.375</v>
      </c>
      <c r="G1322" s="33" t="n">
        <f aca="false">IF(B1322=1,"",IF(B1322=2,C1321,SES_Alpha*C1321+(1-SES_Alpha)*G1321))</f>
        <v>42.3264896655455</v>
      </c>
      <c r="H1322" s="33" t="n">
        <f aca="false">IF(D1322="","",D1322-C1322)</f>
        <v>-31</v>
      </c>
      <c r="I1322" s="33" t="n">
        <f aca="false">IF(E1322="","",E1322-C1322)</f>
        <v>-20.5</v>
      </c>
      <c r="J1322" s="33" t="n">
        <f aca="false">IF(F1322="","",F1322-C1322)</f>
        <v>-17.625</v>
      </c>
      <c r="K1322" s="33" t="n">
        <f aca="false">IF(G1322="","",G1322-C1322)</f>
        <v>-22.6735103344545</v>
      </c>
      <c r="L1322" s="33" t="n">
        <f aca="false">IF(H1322="","",ABS(H1322))</f>
        <v>31</v>
      </c>
      <c r="M1322" s="33" t="n">
        <f aca="false">IF(I1322="","",ABS(I1322))</f>
        <v>20.5</v>
      </c>
      <c r="N1322" s="33" t="n">
        <f aca="false">IF(J1322="","",ABS(J1322))</f>
        <v>17.625</v>
      </c>
      <c r="O1322" s="33" t="n">
        <f aca="false">IF(K1322="","",ABS(K1322))</f>
        <v>22.6735103344545</v>
      </c>
      <c r="P1322" s="34" t="str">
        <f aca="false">IF(B1322&gt;=Eval_Start_Week,"YES","")</f>
        <v>YES</v>
      </c>
      <c r="Q1322" s="34" t="str">
        <f aca="false">IF(AND(B1322&gt;=Cal_Start_Week,B1322&lt;=Cal_End_Week),"YES","")</f>
        <v>YES</v>
      </c>
    </row>
    <row r="1323" customFormat="false" ht="15" hidden="false" customHeight="false" outlineLevel="0" collapsed="false">
      <c r="A1323" s="31" t="str">
        <f aca="false">Demand_History!C1323</f>
        <v>BTH-003</v>
      </c>
      <c r="B1323" s="31" t="n">
        <f aca="false">Demand_History!A1323</f>
        <v>74</v>
      </c>
      <c r="C1323" s="32" t="n">
        <f aca="false">Demand_History!D1323</f>
        <v>76</v>
      </c>
      <c r="D1323" s="33" t="n">
        <f aca="false">IF(B1323&gt;=2,C1322,"")</f>
        <v>65</v>
      </c>
      <c r="E1323" s="33" t="n">
        <f aca="false">IF(B1323&gt;=5,AVERAGE(C1319:C1322),"")</f>
        <v>44</v>
      </c>
      <c r="F1323" s="33" t="n">
        <f aca="false">IF(B1323&gt;=9,AVERAGE(C1315:C1322),"")</f>
        <v>50</v>
      </c>
      <c r="G1323" s="33" t="n">
        <f aca="false">IF(B1323=1,"",IF(B1323=2,C1322,SES_Alpha*C1322+(1-SES_Alpha)*G1322))</f>
        <v>49.1285427658819</v>
      </c>
      <c r="H1323" s="33" t="n">
        <f aca="false">IF(D1323="","",D1323-C1323)</f>
        <v>-11</v>
      </c>
      <c r="I1323" s="33" t="n">
        <f aca="false">IF(E1323="","",E1323-C1323)</f>
        <v>-32</v>
      </c>
      <c r="J1323" s="33" t="n">
        <f aca="false">IF(F1323="","",F1323-C1323)</f>
        <v>-26</v>
      </c>
      <c r="K1323" s="33" t="n">
        <f aca="false">IF(G1323="","",G1323-C1323)</f>
        <v>-26.8714572341181</v>
      </c>
      <c r="L1323" s="33" t="n">
        <f aca="false">IF(H1323="","",ABS(H1323))</f>
        <v>11</v>
      </c>
      <c r="M1323" s="33" t="n">
        <f aca="false">IF(I1323="","",ABS(I1323))</f>
        <v>32</v>
      </c>
      <c r="N1323" s="33" t="n">
        <f aca="false">IF(J1323="","",ABS(J1323))</f>
        <v>26</v>
      </c>
      <c r="O1323" s="33" t="n">
        <f aca="false">IF(K1323="","",ABS(K1323))</f>
        <v>26.8714572341181</v>
      </c>
      <c r="P1323" s="34" t="str">
        <f aca="false">IF(B1323&gt;=Eval_Start_Week,"YES","")</f>
        <v>YES</v>
      </c>
      <c r="Q1323" s="34" t="str">
        <f aca="false">IF(AND(B1323&gt;=Cal_Start_Week,B1323&lt;=Cal_End_Week),"YES","")</f>
        <v>YES</v>
      </c>
    </row>
    <row r="1324" customFormat="false" ht="15" hidden="false" customHeight="false" outlineLevel="0" collapsed="false">
      <c r="A1324" s="31" t="str">
        <f aca="false">Demand_History!C1324</f>
        <v>BTH-003</v>
      </c>
      <c r="B1324" s="31" t="n">
        <f aca="false">Demand_History!A1324</f>
        <v>75</v>
      </c>
      <c r="C1324" s="32" t="n">
        <f aca="false">Demand_History!D1324</f>
        <v>55</v>
      </c>
      <c r="D1324" s="33" t="n">
        <f aca="false">IF(B1324&gt;=2,C1323,"")</f>
        <v>76</v>
      </c>
      <c r="E1324" s="33" t="n">
        <f aca="false">IF(B1324&gt;=5,AVERAGE(C1320:C1323),"")</f>
        <v>49.5</v>
      </c>
      <c r="F1324" s="33" t="n">
        <f aca="false">IF(B1324&gt;=9,AVERAGE(C1316:C1323),"")</f>
        <v>52.75</v>
      </c>
      <c r="G1324" s="33" t="n">
        <f aca="false">IF(B1324=1,"",IF(B1324=2,C1323,SES_Alpha*C1323+(1-SES_Alpha)*G1323))</f>
        <v>57.1899799361173</v>
      </c>
      <c r="H1324" s="33" t="n">
        <f aca="false">IF(D1324="","",D1324-C1324)</f>
        <v>21</v>
      </c>
      <c r="I1324" s="33" t="n">
        <f aca="false">IF(E1324="","",E1324-C1324)</f>
        <v>-5.5</v>
      </c>
      <c r="J1324" s="33" t="n">
        <f aca="false">IF(F1324="","",F1324-C1324)</f>
        <v>-2.25</v>
      </c>
      <c r="K1324" s="33" t="n">
        <f aca="false">IF(G1324="","",G1324-C1324)</f>
        <v>2.1899799361173</v>
      </c>
      <c r="L1324" s="33" t="n">
        <f aca="false">IF(H1324="","",ABS(H1324))</f>
        <v>21</v>
      </c>
      <c r="M1324" s="33" t="n">
        <f aca="false">IF(I1324="","",ABS(I1324))</f>
        <v>5.5</v>
      </c>
      <c r="N1324" s="33" t="n">
        <f aca="false">IF(J1324="","",ABS(J1324))</f>
        <v>2.25</v>
      </c>
      <c r="O1324" s="33" t="n">
        <f aca="false">IF(K1324="","",ABS(K1324))</f>
        <v>2.1899799361173</v>
      </c>
      <c r="P1324" s="34" t="str">
        <f aca="false">IF(B1324&gt;=Eval_Start_Week,"YES","")</f>
        <v>YES</v>
      </c>
      <c r="Q1324" s="34" t="str">
        <f aca="false">IF(AND(B1324&gt;=Cal_Start_Week,B1324&lt;=Cal_End_Week),"YES","")</f>
        <v>YES</v>
      </c>
    </row>
    <row r="1325" customFormat="false" ht="15" hidden="false" customHeight="false" outlineLevel="0" collapsed="false">
      <c r="A1325" s="31" t="str">
        <f aca="false">Demand_History!C1325</f>
        <v>BTH-003</v>
      </c>
      <c r="B1325" s="31" t="n">
        <f aca="false">Demand_History!A1325</f>
        <v>76</v>
      </c>
      <c r="C1325" s="32" t="n">
        <f aca="false">Demand_History!D1325</f>
        <v>69</v>
      </c>
      <c r="D1325" s="33" t="n">
        <f aca="false">IF(B1325&gt;=2,C1324,"")</f>
        <v>55</v>
      </c>
      <c r="E1325" s="33" t="n">
        <f aca="false">IF(B1325&gt;=5,AVERAGE(C1321:C1324),"")</f>
        <v>57.5</v>
      </c>
      <c r="F1325" s="33" t="n">
        <f aca="false">IF(B1325&gt;=9,AVERAGE(C1317:C1324),"")</f>
        <v>55.5</v>
      </c>
      <c r="G1325" s="33" t="n">
        <f aca="false">IF(B1325=1,"",IF(B1325=2,C1324,SES_Alpha*C1324+(1-SES_Alpha)*G1324))</f>
        <v>56.5329859552821</v>
      </c>
      <c r="H1325" s="33" t="n">
        <f aca="false">IF(D1325="","",D1325-C1325)</f>
        <v>-14</v>
      </c>
      <c r="I1325" s="33" t="n">
        <f aca="false">IF(E1325="","",E1325-C1325)</f>
        <v>-11.5</v>
      </c>
      <c r="J1325" s="33" t="n">
        <f aca="false">IF(F1325="","",F1325-C1325)</f>
        <v>-13.5</v>
      </c>
      <c r="K1325" s="33" t="n">
        <f aca="false">IF(G1325="","",G1325-C1325)</f>
        <v>-12.4670140447179</v>
      </c>
      <c r="L1325" s="33" t="n">
        <f aca="false">IF(H1325="","",ABS(H1325))</f>
        <v>14</v>
      </c>
      <c r="M1325" s="33" t="n">
        <f aca="false">IF(I1325="","",ABS(I1325))</f>
        <v>11.5</v>
      </c>
      <c r="N1325" s="33" t="n">
        <f aca="false">IF(J1325="","",ABS(J1325))</f>
        <v>13.5</v>
      </c>
      <c r="O1325" s="33" t="n">
        <f aca="false">IF(K1325="","",ABS(K1325))</f>
        <v>12.4670140447179</v>
      </c>
      <c r="P1325" s="34" t="str">
        <f aca="false">IF(B1325&gt;=Eval_Start_Week,"YES","")</f>
        <v>YES</v>
      </c>
      <c r="Q1325" s="34" t="str">
        <f aca="false">IF(AND(B1325&gt;=Cal_Start_Week,B1325&lt;=Cal_End_Week),"YES","")</f>
        <v>YES</v>
      </c>
    </row>
    <row r="1326" customFormat="false" ht="15" hidden="false" customHeight="false" outlineLevel="0" collapsed="false">
      <c r="A1326" s="31" t="str">
        <f aca="false">Demand_History!C1326</f>
        <v>BTH-003</v>
      </c>
      <c r="B1326" s="31" t="n">
        <f aca="false">Demand_History!A1326</f>
        <v>77</v>
      </c>
      <c r="C1326" s="32" t="n">
        <f aca="false">Demand_History!D1326</f>
        <v>41</v>
      </c>
      <c r="D1326" s="33" t="n">
        <f aca="false">IF(B1326&gt;=2,C1325,"")</f>
        <v>69</v>
      </c>
      <c r="E1326" s="33" t="n">
        <f aca="false">IF(B1326&gt;=5,AVERAGE(C1322:C1325),"")</f>
        <v>66.25</v>
      </c>
      <c r="F1326" s="33" t="n">
        <f aca="false">IF(B1326&gt;=9,AVERAGE(C1318:C1325),"")</f>
        <v>55.375</v>
      </c>
      <c r="G1326" s="33" t="n">
        <f aca="false">IF(B1326=1,"",IF(B1326=2,C1325,SES_Alpha*C1325+(1-SES_Alpha)*G1325))</f>
        <v>60.2730901686975</v>
      </c>
      <c r="H1326" s="33" t="n">
        <f aca="false">IF(D1326="","",D1326-C1326)</f>
        <v>28</v>
      </c>
      <c r="I1326" s="33" t="n">
        <f aca="false">IF(E1326="","",E1326-C1326)</f>
        <v>25.25</v>
      </c>
      <c r="J1326" s="33" t="n">
        <f aca="false">IF(F1326="","",F1326-C1326)</f>
        <v>14.375</v>
      </c>
      <c r="K1326" s="33" t="n">
        <f aca="false">IF(G1326="","",G1326-C1326)</f>
        <v>19.2730901686975</v>
      </c>
      <c r="L1326" s="33" t="n">
        <f aca="false">IF(H1326="","",ABS(H1326))</f>
        <v>28</v>
      </c>
      <c r="M1326" s="33" t="n">
        <f aca="false">IF(I1326="","",ABS(I1326))</f>
        <v>25.25</v>
      </c>
      <c r="N1326" s="33" t="n">
        <f aca="false">IF(J1326="","",ABS(J1326))</f>
        <v>14.375</v>
      </c>
      <c r="O1326" s="33" t="n">
        <f aca="false">IF(K1326="","",ABS(K1326))</f>
        <v>19.2730901686975</v>
      </c>
      <c r="P1326" s="34" t="str">
        <f aca="false">IF(B1326&gt;=Eval_Start_Week,"YES","")</f>
        <v>YES</v>
      </c>
      <c r="Q1326" s="34" t="str">
        <f aca="false">IF(AND(B1326&gt;=Cal_Start_Week,B1326&lt;=Cal_End_Week),"YES","")</f>
        <v>YES</v>
      </c>
    </row>
    <row r="1327" customFormat="false" ht="15" hidden="false" customHeight="false" outlineLevel="0" collapsed="false">
      <c r="A1327" s="31" t="str">
        <f aca="false">Demand_History!C1327</f>
        <v>BTH-003</v>
      </c>
      <c r="B1327" s="31" t="n">
        <f aca="false">Demand_History!A1327</f>
        <v>78</v>
      </c>
      <c r="C1327" s="32" t="n">
        <f aca="false">Demand_History!D1327</f>
        <v>47</v>
      </c>
      <c r="D1327" s="33" t="n">
        <f aca="false">IF(B1327&gt;=2,C1326,"")</f>
        <v>41</v>
      </c>
      <c r="E1327" s="33" t="n">
        <f aca="false">IF(B1327&gt;=5,AVERAGE(C1323:C1326),"")</f>
        <v>60.25</v>
      </c>
      <c r="F1327" s="33" t="n">
        <f aca="false">IF(B1327&gt;=9,AVERAGE(C1319:C1326),"")</f>
        <v>52.125</v>
      </c>
      <c r="G1327" s="33" t="n">
        <f aca="false">IF(B1327=1,"",IF(B1327=2,C1326,SES_Alpha*C1326+(1-SES_Alpha)*G1326))</f>
        <v>54.4911631180882</v>
      </c>
      <c r="H1327" s="33" t="n">
        <f aca="false">IF(D1327="","",D1327-C1327)</f>
        <v>-6</v>
      </c>
      <c r="I1327" s="33" t="n">
        <f aca="false">IF(E1327="","",E1327-C1327)</f>
        <v>13.25</v>
      </c>
      <c r="J1327" s="33" t="n">
        <f aca="false">IF(F1327="","",F1327-C1327)</f>
        <v>5.125</v>
      </c>
      <c r="K1327" s="33" t="n">
        <f aca="false">IF(G1327="","",G1327-C1327)</f>
        <v>7.49116311808823</v>
      </c>
      <c r="L1327" s="33" t="n">
        <f aca="false">IF(H1327="","",ABS(H1327))</f>
        <v>6</v>
      </c>
      <c r="M1327" s="33" t="n">
        <f aca="false">IF(I1327="","",ABS(I1327))</f>
        <v>13.25</v>
      </c>
      <c r="N1327" s="33" t="n">
        <f aca="false">IF(J1327="","",ABS(J1327))</f>
        <v>5.125</v>
      </c>
      <c r="O1327" s="33" t="n">
        <f aca="false">IF(K1327="","",ABS(K1327))</f>
        <v>7.49116311808823</v>
      </c>
      <c r="P1327" s="34" t="str">
        <f aca="false">IF(B1327&gt;=Eval_Start_Week,"YES","")</f>
        <v>YES</v>
      </c>
      <c r="Q1327" s="34" t="str">
        <f aca="false">IF(AND(B1327&gt;=Cal_Start_Week,B1327&lt;=Cal_End_Week),"YES","")</f>
        <v>YES</v>
      </c>
    </row>
    <row r="1328" customFormat="false" ht="15" hidden="false" customHeight="false" outlineLevel="0" collapsed="false">
      <c r="A1328" s="31" t="str">
        <f aca="false">Demand_History!C1328</f>
        <v>BTH-003</v>
      </c>
      <c r="B1328" s="31" t="n">
        <f aca="false">Demand_History!A1328</f>
        <v>79</v>
      </c>
      <c r="C1328" s="32" t="n">
        <f aca="false">Demand_History!D1328</f>
        <v>50</v>
      </c>
      <c r="D1328" s="33" t="n">
        <f aca="false">IF(B1328&gt;=2,C1327,"")</f>
        <v>47</v>
      </c>
      <c r="E1328" s="33" t="n">
        <f aca="false">IF(B1328&gt;=5,AVERAGE(C1324:C1327),"")</f>
        <v>53</v>
      </c>
      <c r="F1328" s="33" t="n">
        <f aca="false">IF(B1328&gt;=9,AVERAGE(C1320:C1327),"")</f>
        <v>51.25</v>
      </c>
      <c r="G1328" s="33" t="n">
        <f aca="false">IF(B1328=1,"",IF(B1328=2,C1327,SES_Alpha*C1327+(1-SES_Alpha)*G1327))</f>
        <v>52.2438141826618</v>
      </c>
      <c r="H1328" s="33" t="n">
        <f aca="false">IF(D1328="","",D1328-C1328)</f>
        <v>-3</v>
      </c>
      <c r="I1328" s="33" t="n">
        <f aca="false">IF(E1328="","",E1328-C1328)</f>
        <v>3</v>
      </c>
      <c r="J1328" s="33" t="n">
        <f aca="false">IF(F1328="","",F1328-C1328)</f>
        <v>1.25</v>
      </c>
      <c r="K1328" s="33" t="n">
        <f aca="false">IF(G1328="","",G1328-C1328)</f>
        <v>2.24381418266176</v>
      </c>
      <c r="L1328" s="33" t="n">
        <f aca="false">IF(H1328="","",ABS(H1328))</f>
        <v>3</v>
      </c>
      <c r="M1328" s="33" t="n">
        <f aca="false">IF(I1328="","",ABS(I1328))</f>
        <v>3</v>
      </c>
      <c r="N1328" s="33" t="n">
        <f aca="false">IF(J1328="","",ABS(J1328))</f>
        <v>1.25</v>
      </c>
      <c r="O1328" s="33" t="n">
        <f aca="false">IF(K1328="","",ABS(K1328))</f>
        <v>2.24381418266176</v>
      </c>
      <c r="P1328" s="34" t="str">
        <f aca="false">IF(B1328&gt;=Eval_Start_Week,"YES","")</f>
        <v>YES</v>
      </c>
      <c r="Q1328" s="34" t="str">
        <f aca="false">IF(AND(B1328&gt;=Cal_Start_Week,B1328&lt;=Cal_End_Week),"YES","")</f>
        <v>YES</v>
      </c>
    </row>
    <row r="1329" customFormat="false" ht="15" hidden="false" customHeight="false" outlineLevel="0" collapsed="false">
      <c r="A1329" s="31" t="str">
        <f aca="false">Demand_History!C1329</f>
        <v>BTH-003</v>
      </c>
      <c r="B1329" s="31" t="n">
        <f aca="false">Demand_History!A1329</f>
        <v>80</v>
      </c>
      <c r="C1329" s="32" t="n">
        <f aca="false">Demand_History!D1329</f>
        <v>56</v>
      </c>
      <c r="D1329" s="33" t="n">
        <f aca="false">IF(B1329&gt;=2,C1328,"")</f>
        <v>50</v>
      </c>
      <c r="E1329" s="33" t="n">
        <f aca="false">IF(B1329&gt;=5,AVERAGE(C1325:C1328),"")</f>
        <v>51.75</v>
      </c>
      <c r="F1329" s="33" t="n">
        <f aca="false">IF(B1329&gt;=9,AVERAGE(C1321:C1328),"")</f>
        <v>54.625</v>
      </c>
      <c r="G1329" s="33" t="n">
        <f aca="false">IF(B1329=1,"",IF(B1329=2,C1328,SES_Alpha*C1328+(1-SES_Alpha)*G1328))</f>
        <v>51.5706699278632</v>
      </c>
      <c r="H1329" s="33" t="n">
        <f aca="false">IF(D1329="","",D1329-C1329)</f>
        <v>-6</v>
      </c>
      <c r="I1329" s="33" t="n">
        <f aca="false">IF(E1329="","",E1329-C1329)</f>
        <v>-4.25</v>
      </c>
      <c r="J1329" s="33" t="n">
        <f aca="false">IF(F1329="","",F1329-C1329)</f>
        <v>-1.375</v>
      </c>
      <c r="K1329" s="33" t="n">
        <f aca="false">IF(G1329="","",G1329-C1329)</f>
        <v>-4.42933007213677</v>
      </c>
      <c r="L1329" s="33" t="n">
        <f aca="false">IF(H1329="","",ABS(H1329))</f>
        <v>6</v>
      </c>
      <c r="M1329" s="33" t="n">
        <f aca="false">IF(I1329="","",ABS(I1329))</f>
        <v>4.25</v>
      </c>
      <c r="N1329" s="33" t="n">
        <f aca="false">IF(J1329="","",ABS(J1329))</f>
        <v>1.375</v>
      </c>
      <c r="O1329" s="33" t="n">
        <f aca="false">IF(K1329="","",ABS(K1329))</f>
        <v>4.42933007213677</v>
      </c>
      <c r="P1329" s="34" t="str">
        <f aca="false">IF(B1329&gt;=Eval_Start_Week,"YES","")</f>
        <v>YES</v>
      </c>
      <c r="Q1329" s="34" t="str">
        <f aca="false">IF(AND(B1329&gt;=Cal_Start_Week,B1329&lt;=Cal_End_Week),"YES","")</f>
        <v>YES</v>
      </c>
    </row>
    <row r="1330" customFormat="false" ht="15" hidden="false" customHeight="false" outlineLevel="0" collapsed="false">
      <c r="A1330" s="31" t="str">
        <f aca="false">Demand_History!C1330</f>
        <v>BTH-003</v>
      </c>
      <c r="B1330" s="31" t="n">
        <f aca="false">Demand_History!A1330</f>
        <v>81</v>
      </c>
      <c r="C1330" s="32" t="n">
        <f aca="false">Demand_History!D1330</f>
        <v>27</v>
      </c>
      <c r="D1330" s="33" t="n">
        <f aca="false">IF(B1330&gt;=2,C1329,"")</f>
        <v>56</v>
      </c>
      <c r="E1330" s="33" t="n">
        <f aca="false">IF(B1330&gt;=5,AVERAGE(C1326:C1329),"")</f>
        <v>48.5</v>
      </c>
      <c r="F1330" s="33" t="n">
        <f aca="false">IF(B1330&gt;=9,AVERAGE(C1322:C1329),"")</f>
        <v>57.375</v>
      </c>
      <c r="G1330" s="33" t="n">
        <f aca="false">IF(B1330=1,"",IF(B1330=2,C1329,SES_Alpha*C1329+(1-SES_Alpha)*G1329))</f>
        <v>52.8994689495043</v>
      </c>
      <c r="H1330" s="33" t="n">
        <f aca="false">IF(D1330="","",D1330-C1330)</f>
        <v>29</v>
      </c>
      <c r="I1330" s="33" t="n">
        <f aca="false">IF(E1330="","",E1330-C1330)</f>
        <v>21.5</v>
      </c>
      <c r="J1330" s="33" t="n">
        <f aca="false">IF(F1330="","",F1330-C1330)</f>
        <v>30.375</v>
      </c>
      <c r="K1330" s="33" t="n">
        <f aca="false">IF(G1330="","",G1330-C1330)</f>
        <v>25.8994689495043</v>
      </c>
      <c r="L1330" s="33" t="n">
        <f aca="false">IF(H1330="","",ABS(H1330))</f>
        <v>29</v>
      </c>
      <c r="M1330" s="33" t="n">
        <f aca="false">IF(I1330="","",ABS(I1330))</f>
        <v>21.5</v>
      </c>
      <c r="N1330" s="33" t="n">
        <f aca="false">IF(J1330="","",ABS(J1330))</f>
        <v>30.375</v>
      </c>
      <c r="O1330" s="33" t="n">
        <f aca="false">IF(K1330="","",ABS(K1330))</f>
        <v>25.8994689495043</v>
      </c>
      <c r="P1330" s="34" t="str">
        <f aca="false">IF(B1330&gt;=Eval_Start_Week,"YES","")</f>
        <v>YES</v>
      </c>
      <c r="Q1330" s="34" t="str">
        <f aca="false">IF(AND(B1330&gt;=Cal_Start_Week,B1330&lt;=Cal_End_Week),"YES","")</f>
        <v>YES</v>
      </c>
    </row>
    <row r="1331" customFormat="false" ht="15" hidden="false" customHeight="false" outlineLevel="0" collapsed="false">
      <c r="A1331" s="31" t="str">
        <f aca="false">Demand_History!C1331</f>
        <v>BTH-003</v>
      </c>
      <c r="B1331" s="31" t="n">
        <f aca="false">Demand_History!A1331</f>
        <v>82</v>
      </c>
      <c r="C1331" s="32" t="n">
        <f aca="false">Demand_History!D1331</f>
        <v>64</v>
      </c>
      <c r="D1331" s="33" t="n">
        <f aca="false">IF(B1331&gt;=2,C1330,"")</f>
        <v>27</v>
      </c>
      <c r="E1331" s="33" t="n">
        <f aca="false">IF(B1331&gt;=5,AVERAGE(C1327:C1330),"")</f>
        <v>45</v>
      </c>
      <c r="F1331" s="33" t="n">
        <f aca="false">IF(B1331&gt;=9,AVERAGE(C1323:C1330),"")</f>
        <v>52.625</v>
      </c>
      <c r="G1331" s="33" t="n">
        <f aca="false">IF(B1331=1,"",IF(B1331=2,C1330,SES_Alpha*C1330+(1-SES_Alpha)*G1330))</f>
        <v>45.129628264653</v>
      </c>
      <c r="H1331" s="33" t="n">
        <f aca="false">IF(D1331="","",D1331-C1331)</f>
        <v>-37</v>
      </c>
      <c r="I1331" s="33" t="n">
        <f aca="false">IF(E1331="","",E1331-C1331)</f>
        <v>-19</v>
      </c>
      <c r="J1331" s="33" t="n">
        <f aca="false">IF(F1331="","",F1331-C1331)</f>
        <v>-11.375</v>
      </c>
      <c r="K1331" s="33" t="n">
        <f aca="false">IF(G1331="","",G1331-C1331)</f>
        <v>-18.870371735347</v>
      </c>
      <c r="L1331" s="33" t="n">
        <f aca="false">IF(H1331="","",ABS(H1331))</f>
        <v>37</v>
      </c>
      <c r="M1331" s="33" t="n">
        <f aca="false">IF(I1331="","",ABS(I1331))</f>
        <v>19</v>
      </c>
      <c r="N1331" s="33" t="n">
        <f aca="false">IF(J1331="","",ABS(J1331))</f>
        <v>11.375</v>
      </c>
      <c r="O1331" s="33" t="n">
        <f aca="false">IF(K1331="","",ABS(K1331))</f>
        <v>18.870371735347</v>
      </c>
      <c r="P1331" s="34" t="str">
        <f aca="false">IF(B1331&gt;=Eval_Start_Week,"YES","")</f>
        <v>YES</v>
      </c>
      <c r="Q1331" s="34" t="str">
        <f aca="false">IF(AND(B1331&gt;=Cal_Start_Week,B1331&lt;=Cal_End_Week),"YES","")</f>
        <v>YES</v>
      </c>
    </row>
    <row r="1332" customFormat="false" ht="15" hidden="false" customHeight="false" outlineLevel="0" collapsed="false">
      <c r="A1332" s="31" t="str">
        <f aca="false">Demand_History!C1332</f>
        <v>BTH-003</v>
      </c>
      <c r="B1332" s="31" t="n">
        <f aca="false">Demand_History!A1332</f>
        <v>83</v>
      </c>
      <c r="C1332" s="32" t="n">
        <f aca="false">Demand_History!D1332</f>
        <v>70</v>
      </c>
      <c r="D1332" s="33" t="n">
        <f aca="false">IF(B1332&gt;=2,C1331,"")</f>
        <v>64</v>
      </c>
      <c r="E1332" s="33" t="n">
        <f aca="false">IF(B1332&gt;=5,AVERAGE(C1328:C1331),"")</f>
        <v>49.25</v>
      </c>
      <c r="F1332" s="33" t="n">
        <f aca="false">IF(B1332&gt;=9,AVERAGE(C1324:C1331),"")</f>
        <v>51.125</v>
      </c>
      <c r="G1332" s="33" t="n">
        <f aca="false">IF(B1332=1,"",IF(B1332=2,C1331,SES_Alpha*C1331+(1-SES_Alpha)*G1331))</f>
        <v>50.7907397852571</v>
      </c>
      <c r="H1332" s="33" t="n">
        <f aca="false">IF(D1332="","",D1332-C1332)</f>
        <v>-6</v>
      </c>
      <c r="I1332" s="33" t="n">
        <f aca="false">IF(E1332="","",E1332-C1332)</f>
        <v>-20.75</v>
      </c>
      <c r="J1332" s="33" t="n">
        <f aca="false">IF(F1332="","",F1332-C1332)</f>
        <v>-18.875</v>
      </c>
      <c r="K1332" s="33" t="n">
        <f aca="false">IF(G1332="","",G1332-C1332)</f>
        <v>-19.2092602147429</v>
      </c>
      <c r="L1332" s="33" t="n">
        <f aca="false">IF(H1332="","",ABS(H1332))</f>
        <v>6</v>
      </c>
      <c r="M1332" s="33" t="n">
        <f aca="false">IF(I1332="","",ABS(I1332))</f>
        <v>20.75</v>
      </c>
      <c r="N1332" s="33" t="n">
        <f aca="false">IF(J1332="","",ABS(J1332))</f>
        <v>18.875</v>
      </c>
      <c r="O1332" s="33" t="n">
        <f aca="false">IF(K1332="","",ABS(K1332))</f>
        <v>19.2092602147429</v>
      </c>
      <c r="P1332" s="34" t="str">
        <f aca="false">IF(B1332&gt;=Eval_Start_Week,"YES","")</f>
        <v>YES</v>
      </c>
      <c r="Q1332" s="34" t="str">
        <f aca="false">IF(AND(B1332&gt;=Cal_Start_Week,B1332&lt;=Cal_End_Week),"YES","")</f>
        <v>YES</v>
      </c>
    </row>
    <row r="1333" customFormat="false" ht="15" hidden="false" customHeight="false" outlineLevel="0" collapsed="false">
      <c r="A1333" s="31" t="str">
        <f aca="false">Demand_History!C1333</f>
        <v>BTH-003</v>
      </c>
      <c r="B1333" s="31" t="n">
        <f aca="false">Demand_History!A1333</f>
        <v>84</v>
      </c>
      <c r="C1333" s="32" t="n">
        <f aca="false">Demand_History!D1333</f>
        <v>33</v>
      </c>
      <c r="D1333" s="33" t="n">
        <f aca="false">IF(B1333&gt;=2,C1332,"")</f>
        <v>70</v>
      </c>
      <c r="E1333" s="33" t="n">
        <f aca="false">IF(B1333&gt;=5,AVERAGE(C1329:C1332),"")</f>
        <v>54.25</v>
      </c>
      <c r="F1333" s="33" t="n">
        <f aca="false">IF(B1333&gt;=9,AVERAGE(C1325:C1332),"")</f>
        <v>53</v>
      </c>
      <c r="G1333" s="33" t="n">
        <f aca="false">IF(B1333=1,"",IF(B1333=2,C1332,SES_Alpha*C1332+(1-SES_Alpha)*G1332))</f>
        <v>56.55351784968</v>
      </c>
      <c r="H1333" s="33" t="n">
        <f aca="false">IF(D1333="","",D1333-C1333)</f>
        <v>37</v>
      </c>
      <c r="I1333" s="33" t="n">
        <f aca="false">IF(E1333="","",E1333-C1333)</f>
        <v>21.25</v>
      </c>
      <c r="J1333" s="33" t="n">
        <f aca="false">IF(F1333="","",F1333-C1333)</f>
        <v>20</v>
      </c>
      <c r="K1333" s="33" t="n">
        <f aca="false">IF(G1333="","",G1333-C1333)</f>
        <v>23.55351784968</v>
      </c>
      <c r="L1333" s="33" t="n">
        <f aca="false">IF(H1333="","",ABS(H1333))</f>
        <v>37</v>
      </c>
      <c r="M1333" s="33" t="n">
        <f aca="false">IF(I1333="","",ABS(I1333))</f>
        <v>21.25</v>
      </c>
      <c r="N1333" s="33" t="n">
        <f aca="false">IF(J1333="","",ABS(J1333))</f>
        <v>20</v>
      </c>
      <c r="O1333" s="33" t="n">
        <f aca="false">IF(K1333="","",ABS(K1333))</f>
        <v>23.55351784968</v>
      </c>
      <c r="P1333" s="34" t="str">
        <f aca="false">IF(B1333&gt;=Eval_Start_Week,"YES","")</f>
        <v>YES</v>
      </c>
      <c r="Q1333" s="34" t="str">
        <f aca="false">IF(AND(B1333&gt;=Cal_Start_Week,B1333&lt;=Cal_End_Week),"YES","")</f>
        <v>YES</v>
      </c>
    </row>
    <row r="1334" customFormat="false" ht="15" hidden="false" customHeight="false" outlineLevel="0" collapsed="false">
      <c r="A1334" s="31" t="str">
        <f aca="false">Demand_History!C1334</f>
        <v>BTH-003</v>
      </c>
      <c r="B1334" s="31" t="n">
        <f aca="false">Demand_History!A1334</f>
        <v>85</v>
      </c>
      <c r="C1334" s="32" t="n">
        <f aca="false">Demand_History!D1334</f>
        <v>29</v>
      </c>
      <c r="D1334" s="33" t="n">
        <f aca="false">IF(B1334&gt;=2,C1333,"")</f>
        <v>33</v>
      </c>
      <c r="E1334" s="33" t="n">
        <f aca="false">IF(B1334&gt;=5,AVERAGE(C1330:C1333),"")</f>
        <v>48.5</v>
      </c>
      <c r="F1334" s="33" t="n">
        <f aca="false">IF(B1334&gt;=9,AVERAGE(C1326:C1333),"")</f>
        <v>48.5</v>
      </c>
      <c r="G1334" s="33" t="n">
        <f aca="false">IF(B1334=1,"",IF(B1334=2,C1333,SES_Alpha*C1333+(1-SES_Alpha)*G1333))</f>
        <v>49.487462494776</v>
      </c>
      <c r="H1334" s="33" t="n">
        <f aca="false">IF(D1334="","",D1334-C1334)</f>
        <v>4</v>
      </c>
      <c r="I1334" s="33" t="n">
        <f aca="false">IF(E1334="","",E1334-C1334)</f>
        <v>19.5</v>
      </c>
      <c r="J1334" s="33" t="n">
        <f aca="false">IF(F1334="","",F1334-C1334)</f>
        <v>19.5</v>
      </c>
      <c r="K1334" s="33" t="n">
        <f aca="false">IF(G1334="","",G1334-C1334)</f>
        <v>20.487462494776</v>
      </c>
      <c r="L1334" s="33" t="n">
        <f aca="false">IF(H1334="","",ABS(H1334))</f>
        <v>4</v>
      </c>
      <c r="M1334" s="33" t="n">
        <f aca="false">IF(I1334="","",ABS(I1334))</f>
        <v>19.5</v>
      </c>
      <c r="N1334" s="33" t="n">
        <f aca="false">IF(J1334="","",ABS(J1334))</f>
        <v>19.5</v>
      </c>
      <c r="O1334" s="33" t="n">
        <f aca="false">IF(K1334="","",ABS(K1334))</f>
        <v>20.487462494776</v>
      </c>
      <c r="P1334" s="34" t="str">
        <f aca="false">IF(B1334&gt;=Eval_Start_Week,"YES","")</f>
        <v>YES</v>
      </c>
      <c r="Q1334" s="34" t="str">
        <f aca="false">IF(AND(B1334&gt;=Cal_Start_Week,B1334&lt;=Cal_End_Week),"YES","")</f>
        <v>YES</v>
      </c>
    </row>
    <row r="1335" customFormat="false" ht="15" hidden="false" customHeight="false" outlineLevel="0" collapsed="false">
      <c r="A1335" s="31" t="str">
        <f aca="false">Demand_History!C1335</f>
        <v>BTH-003</v>
      </c>
      <c r="B1335" s="31" t="n">
        <f aca="false">Demand_History!A1335</f>
        <v>86</v>
      </c>
      <c r="C1335" s="32" t="n">
        <f aca="false">Demand_History!D1335</f>
        <v>55</v>
      </c>
      <c r="D1335" s="33" t="n">
        <f aca="false">IF(B1335&gt;=2,C1334,"")</f>
        <v>29</v>
      </c>
      <c r="E1335" s="33" t="n">
        <f aca="false">IF(B1335&gt;=5,AVERAGE(C1331:C1334),"")</f>
        <v>49</v>
      </c>
      <c r="F1335" s="33" t="n">
        <f aca="false">IF(B1335&gt;=9,AVERAGE(C1327:C1334),"")</f>
        <v>47</v>
      </c>
      <c r="G1335" s="33" t="n">
        <f aca="false">IF(B1335=1,"",IF(B1335=2,C1334,SES_Alpha*C1334+(1-SES_Alpha)*G1334))</f>
        <v>43.3412237463432</v>
      </c>
      <c r="H1335" s="33" t="n">
        <f aca="false">IF(D1335="","",D1335-C1335)</f>
        <v>-26</v>
      </c>
      <c r="I1335" s="33" t="n">
        <f aca="false">IF(E1335="","",E1335-C1335)</f>
        <v>-6</v>
      </c>
      <c r="J1335" s="33" t="n">
        <f aca="false">IF(F1335="","",F1335-C1335)</f>
        <v>-8</v>
      </c>
      <c r="K1335" s="33" t="n">
        <f aca="false">IF(G1335="","",G1335-C1335)</f>
        <v>-11.6587762536568</v>
      </c>
      <c r="L1335" s="33" t="n">
        <f aca="false">IF(H1335="","",ABS(H1335))</f>
        <v>26</v>
      </c>
      <c r="M1335" s="33" t="n">
        <f aca="false">IF(I1335="","",ABS(I1335))</f>
        <v>6</v>
      </c>
      <c r="N1335" s="33" t="n">
        <f aca="false">IF(J1335="","",ABS(J1335))</f>
        <v>8</v>
      </c>
      <c r="O1335" s="33" t="n">
        <f aca="false">IF(K1335="","",ABS(K1335))</f>
        <v>11.6587762536568</v>
      </c>
      <c r="P1335" s="34" t="str">
        <f aca="false">IF(B1335&gt;=Eval_Start_Week,"YES","")</f>
        <v>YES</v>
      </c>
      <c r="Q1335" s="34" t="str">
        <f aca="false">IF(AND(B1335&gt;=Cal_Start_Week,B1335&lt;=Cal_End_Week),"YES","")</f>
        <v>YES</v>
      </c>
    </row>
    <row r="1336" customFormat="false" ht="15" hidden="false" customHeight="false" outlineLevel="0" collapsed="false">
      <c r="A1336" s="31" t="str">
        <f aca="false">Demand_History!C1336</f>
        <v>BTH-003</v>
      </c>
      <c r="B1336" s="31" t="n">
        <f aca="false">Demand_History!A1336</f>
        <v>87</v>
      </c>
      <c r="C1336" s="32" t="n">
        <f aca="false">Demand_History!D1336</f>
        <v>40</v>
      </c>
      <c r="D1336" s="33" t="n">
        <f aca="false">IF(B1336&gt;=2,C1335,"")</f>
        <v>55</v>
      </c>
      <c r="E1336" s="33" t="n">
        <f aca="false">IF(B1336&gt;=5,AVERAGE(C1332:C1335),"")</f>
        <v>46.75</v>
      </c>
      <c r="F1336" s="33" t="n">
        <f aca="false">IF(B1336&gt;=9,AVERAGE(C1328:C1335),"")</f>
        <v>48</v>
      </c>
      <c r="G1336" s="33" t="n">
        <f aca="false">IF(B1336=1,"",IF(B1336=2,C1335,SES_Alpha*C1335+(1-SES_Alpha)*G1335))</f>
        <v>46.8388566224402</v>
      </c>
      <c r="H1336" s="33" t="n">
        <f aca="false">IF(D1336="","",D1336-C1336)</f>
        <v>15</v>
      </c>
      <c r="I1336" s="33" t="n">
        <f aca="false">IF(E1336="","",E1336-C1336)</f>
        <v>6.75</v>
      </c>
      <c r="J1336" s="33" t="n">
        <f aca="false">IF(F1336="","",F1336-C1336)</f>
        <v>8</v>
      </c>
      <c r="K1336" s="33" t="n">
        <f aca="false">IF(G1336="","",G1336-C1336)</f>
        <v>6.83885662244022</v>
      </c>
      <c r="L1336" s="33" t="n">
        <f aca="false">IF(H1336="","",ABS(H1336))</f>
        <v>15</v>
      </c>
      <c r="M1336" s="33" t="n">
        <f aca="false">IF(I1336="","",ABS(I1336))</f>
        <v>6.75</v>
      </c>
      <c r="N1336" s="33" t="n">
        <f aca="false">IF(J1336="","",ABS(J1336))</f>
        <v>8</v>
      </c>
      <c r="O1336" s="33" t="n">
        <f aca="false">IF(K1336="","",ABS(K1336))</f>
        <v>6.83885662244022</v>
      </c>
      <c r="P1336" s="34" t="str">
        <f aca="false">IF(B1336&gt;=Eval_Start_Week,"YES","")</f>
        <v>YES</v>
      </c>
      <c r="Q1336" s="34" t="str">
        <f aca="false">IF(AND(B1336&gt;=Cal_Start_Week,B1336&lt;=Cal_End_Week),"YES","")</f>
        <v>YES</v>
      </c>
    </row>
    <row r="1337" customFormat="false" ht="15" hidden="false" customHeight="false" outlineLevel="0" collapsed="false">
      <c r="A1337" s="31" t="str">
        <f aca="false">Demand_History!C1337</f>
        <v>BTH-003</v>
      </c>
      <c r="B1337" s="31" t="n">
        <f aca="false">Demand_History!A1337</f>
        <v>88</v>
      </c>
      <c r="C1337" s="32" t="n">
        <f aca="false">Demand_History!D1337</f>
        <v>14</v>
      </c>
      <c r="D1337" s="33" t="n">
        <f aca="false">IF(B1337&gt;=2,C1336,"")</f>
        <v>40</v>
      </c>
      <c r="E1337" s="33" t="n">
        <f aca="false">IF(B1337&gt;=5,AVERAGE(C1333:C1336),"")</f>
        <v>39.25</v>
      </c>
      <c r="F1337" s="33" t="n">
        <f aca="false">IF(B1337&gt;=9,AVERAGE(C1329:C1336),"")</f>
        <v>46.75</v>
      </c>
      <c r="G1337" s="33" t="n">
        <f aca="false">IF(B1337=1,"",IF(B1337=2,C1336,SES_Alpha*C1336+(1-SES_Alpha)*G1336))</f>
        <v>44.7871996357082</v>
      </c>
      <c r="H1337" s="33" t="n">
        <f aca="false">IF(D1337="","",D1337-C1337)</f>
        <v>26</v>
      </c>
      <c r="I1337" s="33" t="n">
        <f aca="false">IF(E1337="","",E1337-C1337)</f>
        <v>25.25</v>
      </c>
      <c r="J1337" s="33" t="n">
        <f aca="false">IF(F1337="","",F1337-C1337)</f>
        <v>32.75</v>
      </c>
      <c r="K1337" s="33" t="n">
        <f aca="false">IF(G1337="","",G1337-C1337)</f>
        <v>30.7871996357082</v>
      </c>
      <c r="L1337" s="33" t="n">
        <f aca="false">IF(H1337="","",ABS(H1337))</f>
        <v>26</v>
      </c>
      <c r="M1337" s="33" t="n">
        <f aca="false">IF(I1337="","",ABS(I1337))</f>
        <v>25.25</v>
      </c>
      <c r="N1337" s="33" t="n">
        <f aca="false">IF(J1337="","",ABS(J1337))</f>
        <v>32.75</v>
      </c>
      <c r="O1337" s="33" t="n">
        <f aca="false">IF(K1337="","",ABS(K1337))</f>
        <v>30.7871996357082</v>
      </c>
      <c r="P1337" s="34" t="str">
        <f aca="false">IF(B1337&gt;=Eval_Start_Week,"YES","")</f>
        <v>YES</v>
      </c>
      <c r="Q1337" s="34" t="str">
        <f aca="false">IF(AND(B1337&gt;=Cal_Start_Week,B1337&lt;=Cal_End_Week),"YES","")</f>
        <v>YES</v>
      </c>
    </row>
    <row r="1338" customFormat="false" ht="15" hidden="false" customHeight="false" outlineLevel="0" collapsed="false">
      <c r="A1338" s="31" t="str">
        <f aca="false">Demand_History!C1338</f>
        <v>BTH-003</v>
      </c>
      <c r="B1338" s="31" t="n">
        <f aca="false">Demand_History!A1338</f>
        <v>89</v>
      </c>
      <c r="C1338" s="32" t="n">
        <f aca="false">Demand_History!D1338</f>
        <v>62</v>
      </c>
      <c r="D1338" s="33" t="n">
        <f aca="false">IF(B1338&gt;=2,C1337,"")</f>
        <v>14</v>
      </c>
      <c r="E1338" s="33" t="n">
        <f aca="false">IF(B1338&gt;=5,AVERAGE(C1334:C1337),"")</f>
        <v>34.5</v>
      </c>
      <c r="F1338" s="33" t="n">
        <f aca="false">IF(B1338&gt;=9,AVERAGE(C1330:C1337),"")</f>
        <v>41.5</v>
      </c>
      <c r="G1338" s="33" t="n">
        <f aca="false">IF(B1338=1,"",IF(B1338=2,C1337,SES_Alpha*C1337+(1-SES_Alpha)*G1337))</f>
        <v>35.5510397449957</v>
      </c>
      <c r="H1338" s="33" t="n">
        <f aca="false">IF(D1338="","",D1338-C1338)</f>
        <v>-48</v>
      </c>
      <c r="I1338" s="33" t="n">
        <f aca="false">IF(E1338="","",E1338-C1338)</f>
        <v>-27.5</v>
      </c>
      <c r="J1338" s="33" t="n">
        <f aca="false">IF(F1338="","",F1338-C1338)</f>
        <v>-20.5</v>
      </c>
      <c r="K1338" s="33" t="n">
        <f aca="false">IF(G1338="","",G1338-C1338)</f>
        <v>-26.4489602550043</v>
      </c>
      <c r="L1338" s="33" t="n">
        <f aca="false">IF(H1338="","",ABS(H1338))</f>
        <v>48</v>
      </c>
      <c r="M1338" s="33" t="n">
        <f aca="false">IF(I1338="","",ABS(I1338))</f>
        <v>27.5</v>
      </c>
      <c r="N1338" s="33" t="n">
        <f aca="false">IF(J1338="","",ABS(J1338))</f>
        <v>20.5</v>
      </c>
      <c r="O1338" s="33" t="n">
        <f aca="false">IF(K1338="","",ABS(K1338))</f>
        <v>26.4489602550043</v>
      </c>
      <c r="P1338" s="34" t="str">
        <f aca="false">IF(B1338&gt;=Eval_Start_Week,"YES","")</f>
        <v>YES</v>
      </c>
      <c r="Q1338" s="34" t="str">
        <f aca="false">IF(AND(B1338&gt;=Cal_Start_Week,B1338&lt;=Cal_End_Week),"YES","")</f>
        <v/>
      </c>
    </row>
    <row r="1339" customFormat="false" ht="15" hidden="false" customHeight="false" outlineLevel="0" collapsed="false">
      <c r="A1339" s="31" t="str">
        <f aca="false">Demand_History!C1339</f>
        <v>BTH-003</v>
      </c>
      <c r="B1339" s="31" t="n">
        <f aca="false">Demand_History!A1339</f>
        <v>90</v>
      </c>
      <c r="C1339" s="32" t="n">
        <f aca="false">Demand_History!D1339</f>
        <v>52</v>
      </c>
      <c r="D1339" s="33" t="n">
        <f aca="false">IF(B1339&gt;=2,C1338,"")</f>
        <v>62</v>
      </c>
      <c r="E1339" s="33" t="n">
        <f aca="false">IF(B1339&gt;=5,AVERAGE(C1335:C1338),"")</f>
        <v>42.75</v>
      </c>
      <c r="F1339" s="33" t="n">
        <f aca="false">IF(B1339&gt;=9,AVERAGE(C1331:C1338),"")</f>
        <v>45.875</v>
      </c>
      <c r="G1339" s="33" t="n">
        <f aca="false">IF(B1339=1,"",IF(B1339=2,C1338,SES_Alpha*C1338+(1-SES_Alpha)*G1338))</f>
        <v>43.485727821497</v>
      </c>
      <c r="H1339" s="33" t="n">
        <f aca="false">IF(D1339="","",D1339-C1339)</f>
        <v>10</v>
      </c>
      <c r="I1339" s="33" t="n">
        <f aca="false">IF(E1339="","",E1339-C1339)</f>
        <v>-9.25</v>
      </c>
      <c r="J1339" s="33" t="n">
        <f aca="false">IF(F1339="","",F1339-C1339)</f>
        <v>-6.125</v>
      </c>
      <c r="K1339" s="33" t="n">
        <f aca="false">IF(G1339="","",G1339-C1339)</f>
        <v>-8.51427217850301</v>
      </c>
      <c r="L1339" s="33" t="n">
        <f aca="false">IF(H1339="","",ABS(H1339))</f>
        <v>10</v>
      </c>
      <c r="M1339" s="33" t="n">
        <f aca="false">IF(I1339="","",ABS(I1339))</f>
        <v>9.25</v>
      </c>
      <c r="N1339" s="33" t="n">
        <f aca="false">IF(J1339="","",ABS(J1339))</f>
        <v>6.125</v>
      </c>
      <c r="O1339" s="33" t="n">
        <f aca="false">IF(K1339="","",ABS(K1339))</f>
        <v>8.51427217850301</v>
      </c>
      <c r="P1339" s="34" t="str">
        <f aca="false">IF(B1339&gt;=Eval_Start_Week,"YES","")</f>
        <v>YES</v>
      </c>
      <c r="Q1339" s="34" t="str">
        <f aca="false">IF(AND(B1339&gt;=Cal_Start_Week,B1339&lt;=Cal_End_Week),"YES","")</f>
        <v/>
      </c>
    </row>
    <row r="1340" customFormat="false" ht="15" hidden="false" customHeight="false" outlineLevel="0" collapsed="false">
      <c r="A1340" s="31" t="str">
        <f aca="false">Demand_History!C1340</f>
        <v>BTH-003</v>
      </c>
      <c r="B1340" s="31" t="n">
        <f aca="false">Demand_History!A1340</f>
        <v>91</v>
      </c>
      <c r="C1340" s="32" t="n">
        <f aca="false">Demand_History!D1340</f>
        <v>43</v>
      </c>
      <c r="D1340" s="33" t="n">
        <f aca="false">IF(B1340&gt;=2,C1339,"")</f>
        <v>52</v>
      </c>
      <c r="E1340" s="33" t="n">
        <f aca="false">IF(B1340&gt;=5,AVERAGE(C1336:C1339),"")</f>
        <v>42</v>
      </c>
      <c r="F1340" s="33" t="n">
        <f aca="false">IF(B1340&gt;=9,AVERAGE(C1332:C1339),"")</f>
        <v>44.375</v>
      </c>
      <c r="G1340" s="33" t="n">
        <f aca="false">IF(B1340=1,"",IF(B1340=2,C1339,SES_Alpha*C1339+(1-SES_Alpha)*G1339))</f>
        <v>46.0400094750479</v>
      </c>
      <c r="H1340" s="33" t="n">
        <f aca="false">IF(D1340="","",D1340-C1340)</f>
        <v>9</v>
      </c>
      <c r="I1340" s="33" t="n">
        <f aca="false">IF(E1340="","",E1340-C1340)</f>
        <v>-1</v>
      </c>
      <c r="J1340" s="33" t="n">
        <f aca="false">IF(F1340="","",F1340-C1340)</f>
        <v>1.375</v>
      </c>
      <c r="K1340" s="33" t="n">
        <f aca="false">IF(G1340="","",G1340-C1340)</f>
        <v>3.0400094750479</v>
      </c>
      <c r="L1340" s="33" t="n">
        <f aca="false">IF(H1340="","",ABS(H1340))</f>
        <v>9</v>
      </c>
      <c r="M1340" s="33" t="n">
        <f aca="false">IF(I1340="","",ABS(I1340))</f>
        <v>1</v>
      </c>
      <c r="N1340" s="33" t="n">
        <f aca="false">IF(J1340="","",ABS(J1340))</f>
        <v>1.375</v>
      </c>
      <c r="O1340" s="33" t="n">
        <f aca="false">IF(K1340="","",ABS(K1340))</f>
        <v>3.0400094750479</v>
      </c>
      <c r="P1340" s="34" t="str">
        <f aca="false">IF(B1340&gt;=Eval_Start_Week,"YES","")</f>
        <v>YES</v>
      </c>
      <c r="Q1340" s="34" t="str">
        <f aca="false">IF(AND(B1340&gt;=Cal_Start_Week,B1340&lt;=Cal_End_Week),"YES","")</f>
        <v/>
      </c>
    </row>
    <row r="1341" customFormat="false" ht="15" hidden="false" customHeight="false" outlineLevel="0" collapsed="false">
      <c r="A1341" s="31" t="str">
        <f aca="false">Demand_History!C1341</f>
        <v>BTH-003</v>
      </c>
      <c r="B1341" s="31" t="n">
        <f aca="false">Demand_History!A1341</f>
        <v>92</v>
      </c>
      <c r="C1341" s="32" t="n">
        <f aca="false">Demand_History!D1341</f>
        <v>82</v>
      </c>
      <c r="D1341" s="33" t="n">
        <f aca="false">IF(B1341&gt;=2,C1340,"")</f>
        <v>43</v>
      </c>
      <c r="E1341" s="33" t="n">
        <f aca="false">IF(B1341&gt;=5,AVERAGE(C1337:C1340),"")</f>
        <v>42.75</v>
      </c>
      <c r="F1341" s="33" t="n">
        <f aca="false">IF(B1341&gt;=9,AVERAGE(C1333:C1340),"")</f>
        <v>41</v>
      </c>
      <c r="G1341" s="33" t="n">
        <f aca="false">IF(B1341=1,"",IF(B1341=2,C1340,SES_Alpha*C1340+(1-SES_Alpha)*G1340))</f>
        <v>45.1280066325335</v>
      </c>
      <c r="H1341" s="33" t="n">
        <f aca="false">IF(D1341="","",D1341-C1341)</f>
        <v>-39</v>
      </c>
      <c r="I1341" s="33" t="n">
        <f aca="false">IF(E1341="","",E1341-C1341)</f>
        <v>-39.25</v>
      </c>
      <c r="J1341" s="33" t="n">
        <f aca="false">IF(F1341="","",F1341-C1341)</f>
        <v>-41</v>
      </c>
      <c r="K1341" s="33" t="n">
        <f aca="false">IF(G1341="","",G1341-C1341)</f>
        <v>-36.8719933674665</v>
      </c>
      <c r="L1341" s="33" t="n">
        <f aca="false">IF(H1341="","",ABS(H1341))</f>
        <v>39</v>
      </c>
      <c r="M1341" s="33" t="n">
        <f aca="false">IF(I1341="","",ABS(I1341))</f>
        <v>39.25</v>
      </c>
      <c r="N1341" s="33" t="n">
        <f aca="false">IF(J1341="","",ABS(J1341))</f>
        <v>41</v>
      </c>
      <c r="O1341" s="33" t="n">
        <f aca="false">IF(K1341="","",ABS(K1341))</f>
        <v>36.8719933674665</v>
      </c>
      <c r="P1341" s="34" t="str">
        <f aca="false">IF(B1341&gt;=Eval_Start_Week,"YES","")</f>
        <v>YES</v>
      </c>
      <c r="Q1341" s="34" t="str">
        <f aca="false">IF(AND(B1341&gt;=Cal_Start_Week,B1341&lt;=Cal_End_Week),"YES","")</f>
        <v/>
      </c>
    </row>
    <row r="1342" customFormat="false" ht="15" hidden="false" customHeight="false" outlineLevel="0" collapsed="false">
      <c r="A1342" s="31" t="str">
        <f aca="false">Demand_History!C1342</f>
        <v>BTH-003</v>
      </c>
      <c r="B1342" s="31" t="n">
        <f aca="false">Demand_History!A1342</f>
        <v>93</v>
      </c>
      <c r="C1342" s="32" t="n">
        <f aca="false">Demand_History!D1342</f>
        <v>52</v>
      </c>
      <c r="D1342" s="33" t="n">
        <f aca="false">IF(B1342&gt;=2,C1341,"")</f>
        <v>82</v>
      </c>
      <c r="E1342" s="33" t="n">
        <f aca="false">IF(B1342&gt;=5,AVERAGE(C1338:C1341),"")</f>
        <v>59.75</v>
      </c>
      <c r="F1342" s="33" t="n">
        <f aca="false">IF(B1342&gt;=9,AVERAGE(C1334:C1341),"")</f>
        <v>47.125</v>
      </c>
      <c r="G1342" s="33" t="n">
        <f aca="false">IF(B1342=1,"",IF(B1342=2,C1341,SES_Alpha*C1341+(1-SES_Alpha)*G1341))</f>
        <v>56.1896046427735</v>
      </c>
      <c r="H1342" s="33" t="n">
        <f aca="false">IF(D1342="","",D1342-C1342)</f>
        <v>30</v>
      </c>
      <c r="I1342" s="33" t="n">
        <f aca="false">IF(E1342="","",E1342-C1342)</f>
        <v>7.75</v>
      </c>
      <c r="J1342" s="33" t="n">
        <f aca="false">IF(F1342="","",F1342-C1342)</f>
        <v>-4.875</v>
      </c>
      <c r="K1342" s="33" t="n">
        <f aca="false">IF(G1342="","",G1342-C1342)</f>
        <v>4.18960464277346</v>
      </c>
      <c r="L1342" s="33" t="n">
        <f aca="false">IF(H1342="","",ABS(H1342))</f>
        <v>30</v>
      </c>
      <c r="M1342" s="33" t="n">
        <f aca="false">IF(I1342="","",ABS(I1342))</f>
        <v>7.75</v>
      </c>
      <c r="N1342" s="33" t="n">
        <f aca="false">IF(J1342="","",ABS(J1342))</f>
        <v>4.875</v>
      </c>
      <c r="O1342" s="33" t="n">
        <f aca="false">IF(K1342="","",ABS(K1342))</f>
        <v>4.18960464277346</v>
      </c>
      <c r="P1342" s="34" t="str">
        <f aca="false">IF(B1342&gt;=Eval_Start_Week,"YES","")</f>
        <v>YES</v>
      </c>
      <c r="Q1342" s="34" t="str">
        <f aca="false">IF(AND(B1342&gt;=Cal_Start_Week,B1342&lt;=Cal_End_Week),"YES","")</f>
        <v/>
      </c>
    </row>
    <row r="1343" customFormat="false" ht="15" hidden="false" customHeight="false" outlineLevel="0" collapsed="false">
      <c r="A1343" s="31" t="str">
        <f aca="false">Demand_History!C1343</f>
        <v>BTH-003</v>
      </c>
      <c r="B1343" s="31" t="n">
        <f aca="false">Demand_History!A1343</f>
        <v>94</v>
      </c>
      <c r="C1343" s="32" t="n">
        <f aca="false">Demand_History!D1343</f>
        <v>39</v>
      </c>
      <c r="D1343" s="33" t="n">
        <f aca="false">IF(B1343&gt;=2,C1342,"")</f>
        <v>52</v>
      </c>
      <c r="E1343" s="33" t="n">
        <f aca="false">IF(B1343&gt;=5,AVERAGE(C1339:C1342),"")</f>
        <v>57.25</v>
      </c>
      <c r="F1343" s="33" t="n">
        <f aca="false">IF(B1343&gt;=9,AVERAGE(C1335:C1342),"")</f>
        <v>50</v>
      </c>
      <c r="G1343" s="33" t="n">
        <f aca="false">IF(B1343=1,"",IF(B1343=2,C1342,SES_Alpha*C1342+(1-SES_Alpha)*G1342))</f>
        <v>54.9327232499414</v>
      </c>
      <c r="H1343" s="33" t="n">
        <f aca="false">IF(D1343="","",D1343-C1343)</f>
        <v>13</v>
      </c>
      <c r="I1343" s="33" t="n">
        <f aca="false">IF(E1343="","",E1343-C1343)</f>
        <v>18.25</v>
      </c>
      <c r="J1343" s="33" t="n">
        <f aca="false">IF(F1343="","",F1343-C1343)</f>
        <v>11</v>
      </c>
      <c r="K1343" s="33" t="n">
        <f aca="false">IF(G1343="","",G1343-C1343)</f>
        <v>15.9327232499414</v>
      </c>
      <c r="L1343" s="33" t="n">
        <f aca="false">IF(H1343="","",ABS(H1343))</f>
        <v>13</v>
      </c>
      <c r="M1343" s="33" t="n">
        <f aca="false">IF(I1343="","",ABS(I1343))</f>
        <v>18.25</v>
      </c>
      <c r="N1343" s="33" t="n">
        <f aca="false">IF(J1343="","",ABS(J1343))</f>
        <v>11</v>
      </c>
      <c r="O1343" s="33" t="n">
        <f aca="false">IF(K1343="","",ABS(K1343))</f>
        <v>15.9327232499414</v>
      </c>
      <c r="P1343" s="34" t="str">
        <f aca="false">IF(B1343&gt;=Eval_Start_Week,"YES","")</f>
        <v>YES</v>
      </c>
      <c r="Q1343" s="34" t="str">
        <f aca="false">IF(AND(B1343&gt;=Cal_Start_Week,B1343&lt;=Cal_End_Week),"YES","")</f>
        <v/>
      </c>
    </row>
    <row r="1344" customFormat="false" ht="15" hidden="false" customHeight="false" outlineLevel="0" collapsed="false">
      <c r="A1344" s="31" t="str">
        <f aca="false">Demand_History!C1344</f>
        <v>BTH-003</v>
      </c>
      <c r="B1344" s="31" t="n">
        <f aca="false">Demand_History!A1344</f>
        <v>95</v>
      </c>
      <c r="C1344" s="32" t="n">
        <f aca="false">Demand_History!D1344</f>
        <v>52</v>
      </c>
      <c r="D1344" s="33" t="n">
        <f aca="false">IF(B1344&gt;=2,C1343,"")</f>
        <v>39</v>
      </c>
      <c r="E1344" s="33" t="n">
        <f aca="false">IF(B1344&gt;=5,AVERAGE(C1340:C1343),"")</f>
        <v>54</v>
      </c>
      <c r="F1344" s="33" t="n">
        <f aca="false">IF(B1344&gt;=9,AVERAGE(C1336:C1343),"")</f>
        <v>48</v>
      </c>
      <c r="G1344" s="33" t="n">
        <f aca="false">IF(B1344=1,"",IF(B1344=2,C1343,SES_Alpha*C1343+(1-SES_Alpha)*G1343))</f>
        <v>50.152906274959</v>
      </c>
      <c r="H1344" s="33" t="n">
        <f aca="false">IF(D1344="","",D1344-C1344)</f>
        <v>-13</v>
      </c>
      <c r="I1344" s="33" t="n">
        <f aca="false">IF(E1344="","",E1344-C1344)</f>
        <v>2</v>
      </c>
      <c r="J1344" s="33" t="n">
        <f aca="false">IF(F1344="","",F1344-C1344)</f>
        <v>-4</v>
      </c>
      <c r="K1344" s="33" t="n">
        <f aca="false">IF(G1344="","",G1344-C1344)</f>
        <v>-1.84709372504101</v>
      </c>
      <c r="L1344" s="33" t="n">
        <f aca="false">IF(H1344="","",ABS(H1344))</f>
        <v>13</v>
      </c>
      <c r="M1344" s="33" t="n">
        <f aca="false">IF(I1344="","",ABS(I1344))</f>
        <v>2</v>
      </c>
      <c r="N1344" s="33" t="n">
        <f aca="false">IF(J1344="","",ABS(J1344))</f>
        <v>4</v>
      </c>
      <c r="O1344" s="33" t="n">
        <f aca="false">IF(K1344="","",ABS(K1344))</f>
        <v>1.84709372504101</v>
      </c>
      <c r="P1344" s="34" t="str">
        <f aca="false">IF(B1344&gt;=Eval_Start_Week,"YES","")</f>
        <v>YES</v>
      </c>
      <c r="Q1344" s="34" t="str">
        <f aca="false">IF(AND(B1344&gt;=Cal_Start_Week,B1344&lt;=Cal_End_Week),"YES","")</f>
        <v/>
      </c>
    </row>
    <row r="1345" customFormat="false" ht="15" hidden="false" customHeight="false" outlineLevel="0" collapsed="false">
      <c r="A1345" s="31" t="str">
        <f aca="false">Demand_History!C1345</f>
        <v>BTH-003</v>
      </c>
      <c r="B1345" s="31" t="n">
        <f aca="false">Demand_History!A1345</f>
        <v>96</v>
      </c>
      <c r="C1345" s="32" t="n">
        <f aca="false">Demand_History!D1345</f>
        <v>34</v>
      </c>
      <c r="D1345" s="33" t="n">
        <f aca="false">IF(B1345&gt;=2,C1344,"")</f>
        <v>52</v>
      </c>
      <c r="E1345" s="33" t="n">
        <f aca="false">IF(B1345&gt;=5,AVERAGE(C1341:C1344),"")</f>
        <v>56.25</v>
      </c>
      <c r="F1345" s="33" t="n">
        <f aca="false">IF(B1345&gt;=9,AVERAGE(C1337:C1344),"")</f>
        <v>49.5</v>
      </c>
      <c r="G1345" s="33" t="n">
        <f aca="false">IF(B1345=1,"",IF(B1345=2,C1344,SES_Alpha*C1344+(1-SES_Alpha)*G1344))</f>
        <v>50.7070343924713</v>
      </c>
      <c r="H1345" s="33" t="n">
        <f aca="false">IF(D1345="","",D1345-C1345)</f>
        <v>18</v>
      </c>
      <c r="I1345" s="33" t="n">
        <f aca="false">IF(E1345="","",E1345-C1345)</f>
        <v>22.25</v>
      </c>
      <c r="J1345" s="33" t="n">
        <f aca="false">IF(F1345="","",F1345-C1345)</f>
        <v>15.5</v>
      </c>
      <c r="K1345" s="33" t="n">
        <f aca="false">IF(G1345="","",G1345-C1345)</f>
        <v>16.7070343924713</v>
      </c>
      <c r="L1345" s="33" t="n">
        <f aca="false">IF(H1345="","",ABS(H1345))</f>
        <v>18</v>
      </c>
      <c r="M1345" s="33" t="n">
        <f aca="false">IF(I1345="","",ABS(I1345))</f>
        <v>22.25</v>
      </c>
      <c r="N1345" s="33" t="n">
        <f aca="false">IF(J1345="","",ABS(J1345))</f>
        <v>15.5</v>
      </c>
      <c r="O1345" s="33" t="n">
        <f aca="false">IF(K1345="","",ABS(K1345))</f>
        <v>16.7070343924713</v>
      </c>
      <c r="P1345" s="34" t="str">
        <f aca="false">IF(B1345&gt;=Eval_Start_Week,"YES","")</f>
        <v>YES</v>
      </c>
      <c r="Q1345" s="34" t="str">
        <f aca="false">IF(AND(B1345&gt;=Cal_Start_Week,B1345&lt;=Cal_End_Week),"YES","")</f>
        <v/>
      </c>
    </row>
    <row r="1346" customFormat="false" ht="15" hidden="false" customHeight="false" outlineLevel="0" collapsed="false">
      <c r="A1346" s="31" t="str">
        <f aca="false">Demand_History!C1346</f>
        <v>BTH-003</v>
      </c>
      <c r="B1346" s="31" t="n">
        <f aca="false">Demand_History!A1346</f>
        <v>97</v>
      </c>
      <c r="C1346" s="32" t="n">
        <f aca="false">Demand_History!D1346</f>
        <v>38</v>
      </c>
      <c r="D1346" s="33" t="n">
        <f aca="false">IF(B1346&gt;=2,C1345,"")</f>
        <v>34</v>
      </c>
      <c r="E1346" s="33" t="n">
        <f aca="false">IF(B1346&gt;=5,AVERAGE(C1342:C1345),"")</f>
        <v>44.25</v>
      </c>
      <c r="F1346" s="33" t="n">
        <f aca="false">IF(B1346&gt;=9,AVERAGE(C1338:C1345),"")</f>
        <v>52</v>
      </c>
      <c r="G1346" s="33" t="n">
        <f aca="false">IF(B1346=1,"",IF(B1346=2,C1345,SES_Alpha*C1345+(1-SES_Alpha)*G1345))</f>
        <v>45.6949240747299</v>
      </c>
      <c r="H1346" s="33" t="n">
        <f aca="false">IF(D1346="","",D1346-C1346)</f>
        <v>-4</v>
      </c>
      <c r="I1346" s="33" t="n">
        <f aca="false">IF(E1346="","",E1346-C1346)</f>
        <v>6.25</v>
      </c>
      <c r="J1346" s="33" t="n">
        <f aca="false">IF(F1346="","",F1346-C1346)</f>
        <v>14</v>
      </c>
      <c r="K1346" s="33" t="n">
        <f aca="false">IF(G1346="","",G1346-C1346)</f>
        <v>7.6949240747299</v>
      </c>
      <c r="L1346" s="33" t="n">
        <f aca="false">IF(H1346="","",ABS(H1346))</f>
        <v>4</v>
      </c>
      <c r="M1346" s="33" t="n">
        <f aca="false">IF(I1346="","",ABS(I1346))</f>
        <v>6.25</v>
      </c>
      <c r="N1346" s="33" t="n">
        <f aca="false">IF(J1346="","",ABS(J1346))</f>
        <v>14</v>
      </c>
      <c r="O1346" s="33" t="n">
        <f aca="false">IF(K1346="","",ABS(K1346))</f>
        <v>7.6949240747299</v>
      </c>
      <c r="P1346" s="34" t="str">
        <f aca="false">IF(B1346&gt;=Eval_Start_Week,"YES","")</f>
        <v>YES</v>
      </c>
      <c r="Q1346" s="34" t="str">
        <f aca="false">IF(AND(B1346&gt;=Cal_Start_Week,B1346&lt;=Cal_End_Week),"YES","")</f>
        <v/>
      </c>
    </row>
    <row r="1347" customFormat="false" ht="15" hidden="false" customHeight="false" outlineLevel="0" collapsed="false">
      <c r="A1347" s="31" t="str">
        <f aca="false">Demand_History!C1347</f>
        <v>BTH-003</v>
      </c>
      <c r="B1347" s="31" t="n">
        <f aca="false">Demand_History!A1347</f>
        <v>98</v>
      </c>
      <c r="C1347" s="32" t="n">
        <f aca="false">Demand_History!D1347</f>
        <v>56</v>
      </c>
      <c r="D1347" s="33" t="n">
        <f aca="false">IF(B1347&gt;=2,C1346,"")</f>
        <v>38</v>
      </c>
      <c r="E1347" s="33" t="n">
        <f aca="false">IF(B1347&gt;=5,AVERAGE(C1343:C1346),"")</f>
        <v>40.75</v>
      </c>
      <c r="F1347" s="33" t="n">
        <f aca="false">IF(B1347&gt;=9,AVERAGE(C1339:C1346),"")</f>
        <v>49</v>
      </c>
      <c r="G1347" s="33" t="n">
        <f aca="false">IF(B1347=1,"",IF(B1347=2,C1346,SES_Alpha*C1346+(1-SES_Alpha)*G1346))</f>
        <v>43.3864468523109</v>
      </c>
      <c r="H1347" s="33" t="n">
        <f aca="false">IF(D1347="","",D1347-C1347)</f>
        <v>-18</v>
      </c>
      <c r="I1347" s="33" t="n">
        <f aca="false">IF(E1347="","",E1347-C1347)</f>
        <v>-15.25</v>
      </c>
      <c r="J1347" s="33" t="n">
        <f aca="false">IF(F1347="","",F1347-C1347)</f>
        <v>-7</v>
      </c>
      <c r="K1347" s="33" t="n">
        <f aca="false">IF(G1347="","",G1347-C1347)</f>
        <v>-12.6135531476891</v>
      </c>
      <c r="L1347" s="33" t="n">
        <f aca="false">IF(H1347="","",ABS(H1347))</f>
        <v>18</v>
      </c>
      <c r="M1347" s="33" t="n">
        <f aca="false">IF(I1347="","",ABS(I1347))</f>
        <v>15.25</v>
      </c>
      <c r="N1347" s="33" t="n">
        <f aca="false">IF(J1347="","",ABS(J1347))</f>
        <v>7</v>
      </c>
      <c r="O1347" s="33" t="n">
        <f aca="false">IF(K1347="","",ABS(K1347))</f>
        <v>12.6135531476891</v>
      </c>
      <c r="P1347" s="34" t="str">
        <f aca="false">IF(B1347&gt;=Eval_Start_Week,"YES","")</f>
        <v>YES</v>
      </c>
      <c r="Q1347" s="34" t="str">
        <f aca="false">IF(AND(B1347&gt;=Cal_Start_Week,B1347&lt;=Cal_End_Week),"YES","")</f>
        <v/>
      </c>
    </row>
    <row r="1348" customFormat="false" ht="15" hidden="false" customHeight="false" outlineLevel="0" collapsed="false">
      <c r="A1348" s="31" t="str">
        <f aca="false">Demand_History!C1348</f>
        <v>BTH-003</v>
      </c>
      <c r="B1348" s="31" t="n">
        <f aca="false">Demand_History!A1348</f>
        <v>99</v>
      </c>
      <c r="C1348" s="32" t="n">
        <f aca="false">Demand_History!D1348</f>
        <v>42</v>
      </c>
      <c r="D1348" s="33" t="n">
        <f aca="false">IF(B1348&gt;=2,C1347,"")</f>
        <v>56</v>
      </c>
      <c r="E1348" s="33" t="n">
        <f aca="false">IF(B1348&gt;=5,AVERAGE(C1344:C1347),"")</f>
        <v>45</v>
      </c>
      <c r="F1348" s="33" t="n">
        <f aca="false">IF(B1348&gt;=9,AVERAGE(C1340:C1347),"")</f>
        <v>49.5</v>
      </c>
      <c r="G1348" s="33" t="n">
        <f aca="false">IF(B1348=1,"",IF(B1348=2,C1347,SES_Alpha*C1347+(1-SES_Alpha)*G1347))</f>
        <v>47.1705127966176</v>
      </c>
      <c r="H1348" s="33" t="n">
        <f aca="false">IF(D1348="","",D1348-C1348)</f>
        <v>14</v>
      </c>
      <c r="I1348" s="33" t="n">
        <f aca="false">IF(E1348="","",E1348-C1348)</f>
        <v>3</v>
      </c>
      <c r="J1348" s="33" t="n">
        <f aca="false">IF(F1348="","",F1348-C1348)</f>
        <v>7.5</v>
      </c>
      <c r="K1348" s="33" t="n">
        <f aca="false">IF(G1348="","",G1348-C1348)</f>
        <v>5.17051279661764</v>
      </c>
      <c r="L1348" s="33" t="n">
        <f aca="false">IF(H1348="","",ABS(H1348))</f>
        <v>14</v>
      </c>
      <c r="M1348" s="33" t="n">
        <f aca="false">IF(I1348="","",ABS(I1348))</f>
        <v>3</v>
      </c>
      <c r="N1348" s="33" t="n">
        <f aca="false">IF(J1348="","",ABS(J1348))</f>
        <v>7.5</v>
      </c>
      <c r="O1348" s="33" t="n">
        <f aca="false">IF(K1348="","",ABS(K1348))</f>
        <v>5.17051279661764</v>
      </c>
      <c r="P1348" s="34" t="str">
        <f aca="false">IF(B1348&gt;=Eval_Start_Week,"YES","")</f>
        <v>YES</v>
      </c>
      <c r="Q1348" s="34" t="str">
        <f aca="false">IF(AND(B1348&gt;=Cal_Start_Week,B1348&lt;=Cal_End_Week),"YES","")</f>
        <v/>
      </c>
    </row>
    <row r="1349" customFormat="false" ht="15" hidden="false" customHeight="false" outlineLevel="0" collapsed="false">
      <c r="A1349" s="31" t="str">
        <f aca="false">Demand_History!C1349</f>
        <v>BTH-003</v>
      </c>
      <c r="B1349" s="31" t="n">
        <f aca="false">Demand_History!A1349</f>
        <v>100</v>
      </c>
      <c r="C1349" s="32" t="n">
        <f aca="false">Demand_History!D1349</f>
        <v>43</v>
      </c>
      <c r="D1349" s="33" t="n">
        <f aca="false">IF(B1349&gt;=2,C1348,"")</f>
        <v>42</v>
      </c>
      <c r="E1349" s="33" t="n">
        <f aca="false">IF(B1349&gt;=5,AVERAGE(C1345:C1348),"")</f>
        <v>42.5</v>
      </c>
      <c r="F1349" s="33" t="n">
        <f aca="false">IF(B1349&gt;=9,AVERAGE(C1341:C1348),"")</f>
        <v>49.375</v>
      </c>
      <c r="G1349" s="33" t="n">
        <f aca="false">IF(B1349=1,"",IF(B1349=2,C1348,SES_Alpha*C1348+(1-SES_Alpha)*G1348))</f>
        <v>45.6193589576324</v>
      </c>
      <c r="H1349" s="33" t="n">
        <f aca="false">IF(D1349="","",D1349-C1349)</f>
        <v>-1</v>
      </c>
      <c r="I1349" s="33" t="n">
        <f aca="false">IF(E1349="","",E1349-C1349)</f>
        <v>-0.5</v>
      </c>
      <c r="J1349" s="33" t="n">
        <f aca="false">IF(F1349="","",F1349-C1349)</f>
        <v>6.375</v>
      </c>
      <c r="K1349" s="33" t="n">
        <f aca="false">IF(G1349="","",G1349-C1349)</f>
        <v>2.61935895763235</v>
      </c>
      <c r="L1349" s="33" t="n">
        <f aca="false">IF(H1349="","",ABS(H1349))</f>
        <v>1</v>
      </c>
      <c r="M1349" s="33" t="n">
        <f aca="false">IF(I1349="","",ABS(I1349))</f>
        <v>0.5</v>
      </c>
      <c r="N1349" s="33" t="n">
        <f aca="false">IF(J1349="","",ABS(J1349))</f>
        <v>6.375</v>
      </c>
      <c r="O1349" s="33" t="n">
        <f aca="false">IF(K1349="","",ABS(K1349))</f>
        <v>2.61935895763235</v>
      </c>
      <c r="P1349" s="34" t="str">
        <f aca="false">IF(B1349&gt;=Eval_Start_Week,"YES","")</f>
        <v>YES</v>
      </c>
      <c r="Q1349" s="34" t="str">
        <f aca="false">IF(AND(B1349&gt;=Cal_Start_Week,B1349&lt;=Cal_End_Week),"YES","")</f>
        <v/>
      </c>
    </row>
    <row r="1350" customFormat="false" ht="15" hidden="false" customHeight="false" outlineLevel="0" collapsed="false">
      <c r="A1350" s="31" t="str">
        <f aca="false">Demand_History!C1350</f>
        <v>BTH-003</v>
      </c>
      <c r="B1350" s="31" t="n">
        <f aca="false">Demand_History!A1350</f>
        <v>101</v>
      </c>
      <c r="C1350" s="32" t="n">
        <f aca="false">Demand_History!D1350</f>
        <v>75</v>
      </c>
      <c r="D1350" s="33" t="n">
        <f aca="false">IF(B1350&gt;=2,C1349,"")</f>
        <v>43</v>
      </c>
      <c r="E1350" s="33" t="n">
        <f aca="false">IF(B1350&gt;=5,AVERAGE(C1346:C1349),"")</f>
        <v>44.75</v>
      </c>
      <c r="F1350" s="33" t="n">
        <f aca="false">IF(B1350&gt;=9,AVERAGE(C1342:C1349),"")</f>
        <v>44.5</v>
      </c>
      <c r="G1350" s="33" t="n">
        <f aca="false">IF(B1350=1,"",IF(B1350=2,C1349,SES_Alpha*C1349+(1-SES_Alpha)*G1349))</f>
        <v>44.8335512703426</v>
      </c>
      <c r="H1350" s="33" t="n">
        <f aca="false">IF(D1350="","",D1350-C1350)</f>
        <v>-32</v>
      </c>
      <c r="I1350" s="33" t="n">
        <f aca="false">IF(E1350="","",E1350-C1350)</f>
        <v>-30.25</v>
      </c>
      <c r="J1350" s="33" t="n">
        <f aca="false">IF(F1350="","",F1350-C1350)</f>
        <v>-30.5</v>
      </c>
      <c r="K1350" s="33" t="n">
        <f aca="false">IF(G1350="","",G1350-C1350)</f>
        <v>-30.1664487296574</v>
      </c>
      <c r="L1350" s="33" t="n">
        <f aca="false">IF(H1350="","",ABS(H1350))</f>
        <v>32</v>
      </c>
      <c r="M1350" s="33" t="n">
        <f aca="false">IF(I1350="","",ABS(I1350))</f>
        <v>30.25</v>
      </c>
      <c r="N1350" s="33" t="n">
        <f aca="false">IF(J1350="","",ABS(J1350))</f>
        <v>30.5</v>
      </c>
      <c r="O1350" s="33" t="n">
        <f aca="false">IF(K1350="","",ABS(K1350))</f>
        <v>30.1664487296574</v>
      </c>
      <c r="P1350" s="34" t="str">
        <f aca="false">IF(B1350&gt;=Eval_Start_Week,"YES","")</f>
        <v>YES</v>
      </c>
      <c r="Q1350" s="34" t="str">
        <f aca="false">IF(AND(B1350&gt;=Cal_Start_Week,B1350&lt;=Cal_End_Week),"YES","")</f>
        <v/>
      </c>
    </row>
    <row r="1351" customFormat="false" ht="15" hidden="false" customHeight="false" outlineLevel="0" collapsed="false">
      <c r="A1351" s="31" t="str">
        <f aca="false">Demand_History!C1351</f>
        <v>BTH-003</v>
      </c>
      <c r="B1351" s="31" t="n">
        <f aca="false">Demand_History!A1351</f>
        <v>102</v>
      </c>
      <c r="C1351" s="32" t="n">
        <f aca="false">Demand_History!D1351</f>
        <v>63</v>
      </c>
      <c r="D1351" s="33" t="n">
        <f aca="false">IF(B1351&gt;=2,C1350,"")</f>
        <v>75</v>
      </c>
      <c r="E1351" s="33" t="n">
        <f aca="false">IF(B1351&gt;=5,AVERAGE(C1347:C1350),"")</f>
        <v>54</v>
      </c>
      <c r="F1351" s="33" t="n">
        <f aca="false">IF(B1351&gt;=9,AVERAGE(C1343:C1350),"")</f>
        <v>47.375</v>
      </c>
      <c r="G1351" s="33" t="n">
        <f aca="false">IF(B1351=1,"",IF(B1351=2,C1350,SES_Alpha*C1350+(1-SES_Alpha)*G1350))</f>
        <v>53.8834858892399</v>
      </c>
      <c r="H1351" s="33" t="n">
        <f aca="false">IF(D1351="","",D1351-C1351)</f>
        <v>12</v>
      </c>
      <c r="I1351" s="33" t="n">
        <f aca="false">IF(E1351="","",E1351-C1351)</f>
        <v>-9</v>
      </c>
      <c r="J1351" s="33" t="n">
        <f aca="false">IF(F1351="","",F1351-C1351)</f>
        <v>-15.625</v>
      </c>
      <c r="K1351" s="33" t="n">
        <f aca="false">IF(G1351="","",G1351-C1351)</f>
        <v>-9.11651411076015</v>
      </c>
      <c r="L1351" s="33" t="n">
        <f aca="false">IF(H1351="","",ABS(H1351))</f>
        <v>12</v>
      </c>
      <c r="M1351" s="33" t="n">
        <f aca="false">IF(I1351="","",ABS(I1351))</f>
        <v>9</v>
      </c>
      <c r="N1351" s="33" t="n">
        <f aca="false">IF(J1351="","",ABS(J1351))</f>
        <v>15.625</v>
      </c>
      <c r="O1351" s="33" t="n">
        <f aca="false">IF(K1351="","",ABS(K1351))</f>
        <v>9.11651411076015</v>
      </c>
      <c r="P1351" s="34" t="str">
        <f aca="false">IF(B1351&gt;=Eval_Start_Week,"YES","")</f>
        <v>YES</v>
      </c>
      <c r="Q1351" s="34" t="str">
        <f aca="false">IF(AND(B1351&gt;=Cal_Start_Week,B1351&lt;=Cal_End_Week),"YES","")</f>
        <v/>
      </c>
    </row>
    <row r="1352" customFormat="false" ht="15" hidden="false" customHeight="false" outlineLevel="0" collapsed="false">
      <c r="A1352" s="31" t="str">
        <f aca="false">Demand_History!C1352</f>
        <v>BTH-003</v>
      </c>
      <c r="B1352" s="31" t="n">
        <f aca="false">Demand_History!A1352</f>
        <v>103</v>
      </c>
      <c r="C1352" s="32" t="n">
        <f aca="false">Demand_History!D1352</f>
        <v>62</v>
      </c>
      <c r="D1352" s="33" t="n">
        <f aca="false">IF(B1352&gt;=2,C1351,"")</f>
        <v>63</v>
      </c>
      <c r="E1352" s="33" t="n">
        <f aca="false">IF(B1352&gt;=5,AVERAGE(C1348:C1351),"")</f>
        <v>55.75</v>
      </c>
      <c r="F1352" s="33" t="n">
        <f aca="false">IF(B1352&gt;=9,AVERAGE(C1344:C1351),"")</f>
        <v>50.375</v>
      </c>
      <c r="G1352" s="33" t="n">
        <f aca="false">IF(B1352=1,"",IF(B1352=2,C1351,SES_Alpha*C1351+(1-SES_Alpha)*G1351))</f>
        <v>56.6184401224679</v>
      </c>
      <c r="H1352" s="33" t="n">
        <f aca="false">IF(D1352="","",D1352-C1352)</f>
        <v>1</v>
      </c>
      <c r="I1352" s="33" t="n">
        <f aca="false">IF(E1352="","",E1352-C1352)</f>
        <v>-6.25</v>
      </c>
      <c r="J1352" s="33" t="n">
        <f aca="false">IF(F1352="","",F1352-C1352)</f>
        <v>-11.625</v>
      </c>
      <c r="K1352" s="33" t="n">
        <f aca="false">IF(G1352="","",G1352-C1352)</f>
        <v>-5.38155987753211</v>
      </c>
      <c r="L1352" s="33" t="n">
        <f aca="false">IF(H1352="","",ABS(H1352))</f>
        <v>1</v>
      </c>
      <c r="M1352" s="33" t="n">
        <f aca="false">IF(I1352="","",ABS(I1352))</f>
        <v>6.25</v>
      </c>
      <c r="N1352" s="33" t="n">
        <f aca="false">IF(J1352="","",ABS(J1352))</f>
        <v>11.625</v>
      </c>
      <c r="O1352" s="33" t="n">
        <f aca="false">IF(K1352="","",ABS(K1352))</f>
        <v>5.38155987753211</v>
      </c>
      <c r="P1352" s="34" t="str">
        <f aca="false">IF(B1352&gt;=Eval_Start_Week,"YES","")</f>
        <v>YES</v>
      </c>
      <c r="Q1352" s="34" t="str">
        <f aca="false">IF(AND(B1352&gt;=Cal_Start_Week,B1352&lt;=Cal_End_Week),"YES","")</f>
        <v/>
      </c>
    </row>
    <row r="1353" customFormat="false" ht="15" hidden="false" customHeight="false" outlineLevel="0" collapsed="false">
      <c r="A1353" s="31" t="str">
        <f aca="false">Demand_History!C1353</f>
        <v>BTH-003</v>
      </c>
      <c r="B1353" s="31" t="n">
        <f aca="false">Demand_History!A1353</f>
        <v>104</v>
      </c>
      <c r="C1353" s="32" t="n">
        <f aca="false">Demand_History!D1353</f>
        <v>58</v>
      </c>
      <c r="D1353" s="33" t="n">
        <f aca="false">IF(B1353&gt;=2,C1352,"")</f>
        <v>62</v>
      </c>
      <c r="E1353" s="33" t="n">
        <f aca="false">IF(B1353&gt;=5,AVERAGE(C1349:C1352),"")</f>
        <v>60.75</v>
      </c>
      <c r="F1353" s="33" t="n">
        <f aca="false">IF(B1353&gt;=9,AVERAGE(C1345:C1352),"")</f>
        <v>51.625</v>
      </c>
      <c r="G1353" s="33" t="n">
        <f aca="false">IF(B1353=1,"",IF(B1353=2,C1352,SES_Alpha*C1352+(1-SES_Alpha)*G1352))</f>
        <v>58.2329080857275</v>
      </c>
      <c r="H1353" s="33" t="n">
        <f aca="false">IF(D1353="","",D1353-C1353)</f>
        <v>4</v>
      </c>
      <c r="I1353" s="33" t="n">
        <f aca="false">IF(E1353="","",E1353-C1353)</f>
        <v>2.75</v>
      </c>
      <c r="J1353" s="33" t="n">
        <f aca="false">IF(F1353="","",F1353-C1353)</f>
        <v>-6.375</v>
      </c>
      <c r="K1353" s="33" t="n">
        <f aca="false">IF(G1353="","",G1353-C1353)</f>
        <v>0.232908085727516</v>
      </c>
      <c r="L1353" s="33" t="n">
        <f aca="false">IF(H1353="","",ABS(H1353))</f>
        <v>4</v>
      </c>
      <c r="M1353" s="33" t="n">
        <f aca="false">IF(I1353="","",ABS(I1353))</f>
        <v>2.75</v>
      </c>
      <c r="N1353" s="33" t="n">
        <f aca="false">IF(J1353="","",ABS(J1353))</f>
        <v>6.375</v>
      </c>
      <c r="O1353" s="33" t="n">
        <f aca="false">IF(K1353="","",ABS(K1353))</f>
        <v>0.232908085727516</v>
      </c>
      <c r="P1353" s="34" t="str">
        <f aca="false">IF(B1353&gt;=Eval_Start_Week,"YES","")</f>
        <v>YES</v>
      </c>
      <c r="Q1353" s="34" t="str">
        <f aca="false">IF(AND(B1353&gt;=Cal_Start_Week,B1353&lt;=Cal_End_Week),"YES","")</f>
        <v/>
      </c>
    </row>
    <row r="1354" customFormat="false" ht="15" hidden="false" customHeight="false" outlineLevel="0" collapsed="false">
      <c r="A1354" s="31" t="str">
        <f aca="false">Demand_History!C1354</f>
        <v>BTH-004</v>
      </c>
      <c r="B1354" s="31" t="n">
        <f aca="false">Demand_History!A1354</f>
        <v>1</v>
      </c>
      <c r="C1354" s="32" t="n">
        <f aca="false">Demand_History!D1354</f>
        <v>58</v>
      </c>
      <c r="D1354" s="33" t="str">
        <f aca="false">IF(B1354&gt;=2,C1353,"")</f>
        <v/>
      </c>
      <c r="E1354" s="33" t="str">
        <f aca="false">IF(B1354&gt;=5,AVERAGE(C1350:C1353),"")</f>
        <v/>
      </c>
      <c r="F1354" s="33" t="str">
        <f aca="false">IF(B1354&gt;=9,AVERAGE(C1346:C1353),"")</f>
        <v/>
      </c>
      <c r="G1354" s="33" t="str">
        <f aca="false">IF(B1354=1,"",IF(B1354=2,C1353,SES_Alpha*C1353+(1-SES_Alpha)*G1353))</f>
        <v/>
      </c>
      <c r="H1354" s="33" t="str">
        <f aca="false">IF(D1354="","",D1354-C1354)</f>
        <v/>
      </c>
      <c r="I1354" s="33" t="str">
        <f aca="false">IF(E1354="","",E1354-C1354)</f>
        <v/>
      </c>
      <c r="J1354" s="33" t="str">
        <f aca="false">IF(F1354="","",F1354-C1354)</f>
        <v/>
      </c>
      <c r="K1354" s="33" t="str">
        <f aca="false">IF(G1354="","",G1354-C1354)</f>
        <v/>
      </c>
      <c r="L1354" s="33" t="str">
        <f aca="false">IF(H1354="","",ABS(H1354))</f>
        <v/>
      </c>
      <c r="M1354" s="33" t="str">
        <f aca="false">IF(I1354="","",ABS(I1354))</f>
        <v/>
      </c>
      <c r="N1354" s="33" t="str">
        <f aca="false">IF(J1354="","",ABS(J1354))</f>
        <v/>
      </c>
      <c r="O1354" s="33" t="str">
        <f aca="false">IF(K1354="","",ABS(K1354))</f>
        <v/>
      </c>
      <c r="P1354" s="34" t="str">
        <f aca="false">IF(B1354&gt;=Eval_Start_Week,"YES","")</f>
        <v/>
      </c>
      <c r="Q1354" s="34" t="str">
        <f aca="false">IF(AND(B1354&gt;=Cal_Start_Week,B1354&lt;=Cal_End_Week),"YES","")</f>
        <v/>
      </c>
    </row>
    <row r="1355" customFormat="false" ht="15" hidden="false" customHeight="false" outlineLevel="0" collapsed="false">
      <c r="A1355" s="31" t="str">
        <f aca="false">Demand_History!C1355</f>
        <v>BTH-004</v>
      </c>
      <c r="B1355" s="31" t="n">
        <f aca="false">Demand_History!A1355</f>
        <v>2</v>
      </c>
      <c r="C1355" s="32" t="n">
        <f aca="false">Demand_History!D1355</f>
        <v>65</v>
      </c>
      <c r="D1355" s="33" t="n">
        <f aca="false">IF(B1355&gt;=2,C1354,"")</f>
        <v>58</v>
      </c>
      <c r="E1355" s="33" t="str">
        <f aca="false">IF(B1355&gt;=5,AVERAGE(C1351:C1354),"")</f>
        <v/>
      </c>
      <c r="F1355" s="33" t="str">
        <f aca="false">IF(B1355&gt;=9,AVERAGE(C1347:C1354),"")</f>
        <v/>
      </c>
      <c r="G1355" s="33" t="n">
        <f aca="false">IF(B1355=1,"",IF(B1355=2,C1354,SES_Alpha*C1354+(1-SES_Alpha)*G1354))</f>
        <v>58</v>
      </c>
      <c r="H1355" s="33" t="n">
        <f aca="false">IF(D1355="","",D1355-C1355)</f>
        <v>-7</v>
      </c>
      <c r="I1355" s="33" t="str">
        <f aca="false">IF(E1355="","",E1355-C1355)</f>
        <v/>
      </c>
      <c r="J1355" s="33" t="str">
        <f aca="false">IF(F1355="","",F1355-C1355)</f>
        <v/>
      </c>
      <c r="K1355" s="33" t="n">
        <f aca="false">IF(G1355="","",G1355-C1355)</f>
        <v>-7</v>
      </c>
      <c r="L1355" s="33" t="n">
        <f aca="false">IF(H1355="","",ABS(H1355))</f>
        <v>7</v>
      </c>
      <c r="M1355" s="33" t="str">
        <f aca="false">IF(I1355="","",ABS(I1355))</f>
        <v/>
      </c>
      <c r="N1355" s="33" t="str">
        <f aca="false">IF(J1355="","",ABS(J1355))</f>
        <v/>
      </c>
      <c r="O1355" s="33" t="n">
        <f aca="false">IF(K1355="","",ABS(K1355))</f>
        <v>7</v>
      </c>
      <c r="P1355" s="34" t="str">
        <f aca="false">IF(B1355&gt;=Eval_Start_Week,"YES","")</f>
        <v/>
      </c>
      <c r="Q1355" s="34" t="str">
        <f aca="false">IF(AND(B1355&gt;=Cal_Start_Week,B1355&lt;=Cal_End_Week),"YES","")</f>
        <v/>
      </c>
    </row>
    <row r="1356" customFormat="false" ht="15" hidden="false" customHeight="false" outlineLevel="0" collapsed="false">
      <c r="A1356" s="31" t="str">
        <f aca="false">Demand_History!C1356</f>
        <v>BTH-004</v>
      </c>
      <c r="B1356" s="31" t="n">
        <f aca="false">Demand_History!A1356</f>
        <v>3</v>
      </c>
      <c r="C1356" s="32" t="n">
        <f aca="false">Demand_History!D1356</f>
        <v>53</v>
      </c>
      <c r="D1356" s="33" t="n">
        <f aca="false">IF(B1356&gt;=2,C1355,"")</f>
        <v>65</v>
      </c>
      <c r="E1356" s="33" t="str">
        <f aca="false">IF(B1356&gt;=5,AVERAGE(C1352:C1355),"")</f>
        <v/>
      </c>
      <c r="F1356" s="33" t="str">
        <f aca="false">IF(B1356&gt;=9,AVERAGE(C1348:C1355),"")</f>
        <v/>
      </c>
      <c r="G1356" s="33" t="n">
        <f aca="false">IF(B1356=1,"",IF(B1356=2,C1355,SES_Alpha*C1355+(1-SES_Alpha)*G1355))</f>
        <v>60.1</v>
      </c>
      <c r="H1356" s="33" t="n">
        <f aca="false">IF(D1356="","",D1356-C1356)</f>
        <v>12</v>
      </c>
      <c r="I1356" s="33" t="str">
        <f aca="false">IF(E1356="","",E1356-C1356)</f>
        <v/>
      </c>
      <c r="J1356" s="33" t="str">
        <f aca="false">IF(F1356="","",F1356-C1356)</f>
        <v/>
      </c>
      <c r="K1356" s="33" t="n">
        <f aca="false">IF(G1356="","",G1356-C1356)</f>
        <v>7.09999999999999</v>
      </c>
      <c r="L1356" s="33" t="n">
        <f aca="false">IF(H1356="","",ABS(H1356))</f>
        <v>12</v>
      </c>
      <c r="M1356" s="33" t="str">
        <f aca="false">IF(I1356="","",ABS(I1356))</f>
        <v/>
      </c>
      <c r="N1356" s="33" t="str">
        <f aca="false">IF(J1356="","",ABS(J1356))</f>
        <v/>
      </c>
      <c r="O1356" s="33" t="n">
        <f aca="false">IF(K1356="","",ABS(K1356))</f>
        <v>7.09999999999999</v>
      </c>
      <c r="P1356" s="34" t="str">
        <f aca="false">IF(B1356&gt;=Eval_Start_Week,"YES","")</f>
        <v/>
      </c>
      <c r="Q1356" s="34" t="str">
        <f aca="false">IF(AND(B1356&gt;=Cal_Start_Week,B1356&lt;=Cal_End_Week),"YES","")</f>
        <v/>
      </c>
    </row>
    <row r="1357" customFormat="false" ht="15" hidden="false" customHeight="false" outlineLevel="0" collapsed="false">
      <c r="A1357" s="31" t="str">
        <f aca="false">Demand_History!C1357</f>
        <v>BTH-004</v>
      </c>
      <c r="B1357" s="31" t="n">
        <f aca="false">Demand_History!A1357</f>
        <v>4</v>
      </c>
      <c r="C1357" s="32" t="n">
        <f aca="false">Demand_History!D1357</f>
        <v>67</v>
      </c>
      <c r="D1357" s="33" t="n">
        <f aca="false">IF(B1357&gt;=2,C1356,"")</f>
        <v>53</v>
      </c>
      <c r="E1357" s="33" t="str">
        <f aca="false">IF(B1357&gt;=5,AVERAGE(C1353:C1356),"")</f>
        <v/>
      </c>
      <c r="F1357" s="33" t="str">
        <f aca="false">IF(B1357&gt;=9,AVERAGE(C1349:C1356),"")</f>
        <v/>
      </c>
      <c r="G1357" s="33" t="n">
        <f aca="false">IF(B1357=1,"",IF(B1357=2,C1356,SES_Alpha*C1356+(1-SES_Alpha)*G1356))</f>
        <v>57.97</v>
      </c>
      <c r="H1357" s="33" t="n">
        <f aca="false">IF(D1357="","",D1357-C1357)</f>
        <v>-14</v>
      </c>
      <c r="I1357" s="33" t="str">
        <f aca="false">IF(E1357="","",E1357-C1357)</f>
        <v/>
      </c>
      <c r="J1357" s="33" t="str">
        <f aca="false">IF(F1357="","",F1357-C1357)</f>
        <v/>
      </c>
      <c r="K1357" s="33" t="n">
        <f aca="false">IF(G1357="","",G1357-C1357)</f>
        <v>-9.03000000000001</v>
      </c>
      <c r="L1357" s="33" t="n">
        <f aca="false">IF(H1357="","",ABS(H1357))</f>
        <v>14</v>
      </c>
      <c r="M1357" s="33" t="str">
        <f aca="false">IF(I1357="","",ABS(I1357))</f>
        <v/>
      </c>
      <c r="N1357" s="33" t="str">
        <f aca="false">IF(J1357="","",ABS(J1357))</f>
        <v/>
      </c>
      <c r="O1357" s="33" t="n">
        <f aca="false">IF(K1357="","",ABS(K1357))</f>
        <v>9.03000000000001</v>
      </c>
      <c r="P1357" s="34" t="str">
        <f aca="false">IF(B1357&gt;=Eval_Start_Week,"YES","")</f>
        <v/>
      </c>
      <c r="Q1357" s="34" t="str">
        <f aca="false">IF(AND(B1357&gt;=Cal_Start_Week,B1357&lt;=Cal_End_Week),"YES","")</f>
        <v/>
      </c>
    </row>
    <row r="1358" customFormat="false" ht="15" hidden="false" customHeight="false" outlineLevel="0" collapsed="false">
      <c r="A1358" s="31" t="str">
        <f aca="false">Demand_History!C1358</f>
        <v>BTH-004</v>
      </c>
      <c r="B1358" s="31" t="n">
        <f aca="false">Demand_History!A1358</f>
        <v>5</v>
      </c>
      <c r="C1358" s="32" t="n">
        <f aca="false">Demand_History!D1358</f>
        <v>46</v>
      </c>
      <c r="D1358" s="33" t="n">
        <f aca="false">IF(B1358&gt;=2,C1357,"")</f>
        <v>67</v>
      </c>
      <c r="E1358" s="33" t="n">
        <f aca="false">IF(B1358&gt;=5,AVERAGE(C1354:C1357),"")</f>
        <v>60.75</v>
      </c>
      <c r="F1358" s="33" t="str">
        <f aca="false">IF(B1358&gt;=9,AVERAGE(C1350:C1357),"")</f>
        <v/>
      </c>
      <c r="G1358" s="33" t="n">
        <f aca="false">IF(B1358=1,"",IF(B1358=2,C1357,SES_Alpha*C1357+(1-SES_Alpha)*G1357))</f>
        <v>60.679</v>
      </c>
      <c r="H1358" s="33" t="n">
        <f aca="false">IF(D1358="","",D1358-C1358)</f>
        <v>21</v>
      </c>
      <c r="I1358" s="33" t="n">
        <f aca="false">IF(E1358="","",E1358-C1358)</f>
        <v>14.75</v>
      </c>
      <c r="J1358" s="33" t="str">
        <f aca="false">IF(F1358="","",F1358-C1358)</f>
        <v/>
      </c>
      <c r="K1358" s="33" t="n">
        <f aca="false">IF(G1358="","",G1358-C1358)</f>
        <v>14.679</v>
      </c>
      <c r="L1358" s="33" t="n">
        <f aca="false">IF(H1358="","",ABS(H1358))</f>
        <v>21</v>
      </c>
      <c r="M1358" s="33" t="n">
        <f aca="false">IF(I1358="","",ABS(I1358))</f>
        <v>14.75</v>
      </c>
      <c r="N1358" s="33" t="str">
        <f aca="false">IF(J1358="","",ABS(J1358))</f>
        <v/>
      </c>
      <c r="O1358" s="33" t="n">
        <f aca="false">IF(K1358="","",ABS(K1358))</f>
        <v>14.679</v>
      </c>
      <c r="P1358" s="34" t="str">
        <f aca="false">IF(B1358&gt;=Eval_Start_Week,"YES","")</f>
        <v/>
      </c>
      <c r="Q1358" s="34" t="str">
        <f aca="false">IF(AND(B1358&gt;=Cal_Start_Week,B1358&lt;=Cal_End_Week),"YES","")</f>
        <v/>
      </c>
    </row>
    <row r="1359" customFormat="false" ht="15" hidden="false" customHeight="false" outlineLevel="0" collapsed="false">
      <c r="A1359" s="31" t="str">
        <f aca="false">Demand_History!C1359</f>
        <v>BTH-004</v>
      </c>
      <c r="B1359" s="31" t="n">
        <f aca="false">Demand_History!A1359</f>
        <v>6</v>
      </c>
      <c r="C1359" s="32" t="n">
        <f aca="false">Demand_History!D1359</f>
        <v>51</v>
      </c>
      <c r="D1359" s="33" t="n">
        <f aca="false">IF(B1359&gt;=2,C1358,"")</f>
        <v>46</v>
      </c>
      <c r="E1359" s="33" t="n">
        <f aca="false">IF(B1359&gt;=5,AVERAGE(C1355:C1358),"")</f>
        <v>57.75</v>
      </c>
      <c r="F1359" s="33" t="str">
        <f aca="false">IF(B1359&gt;=9,AVERAGE(C1351:C1358),"")</f>
        <v/>
      </c>
      <c r="G1359" s="33" t="n">
        <f aca="false">IF(B1359=1,"",IF(B1359=2,C1358,SES_Alpha*C1358+(1-SES_Alpha)*G1358))</f>
        <v>56.2753</v>
      </c>
      <c r="H1359" s="33" t="n">
        <f aca="false">IF(D1359="","",D1359-C1359)</f>
        <v>-5</v>
      </c>
      <c r="I1359" s="33" t="n">
        <f aca="false">IF(E1359="","",E1359-C1359)</f>
        <v>6.75</v>
      </c>
      <c r="J1359" s="33" t="str">
        <f aca="false">IF(F1359="","",F1359-C1359)</f>
        <v/>
      </c>
      <c r="K1359" s="33" t="n">
        <f aca="false">IF(G1359="","",G1359-C1359)</f>
        <v>5.27529999999999</v>
      </c>
      <c r="L1359" s="33" t="n">
        <f aca="false">IF(H1359="","",ABS(H1359))</f>
        <v>5</v>
      </c>
      <c r="M1359" s="33" t="n">
        <f aca="false">IF(I1359="","",ABS(I1359))</f>
        <v>6.75</v>
      </c>
      <c r="N1359" s="33" t="str">
        <f aca="false">IF(J1359="","",ABS(J1359))</f>
        <v/>
      </c>
      <c r="O1359" s="33" t="n">
        <f aca="false">IF(K1359="","",ABS(K1359))</f>
        <v>5.27529999999999</v>
      </c>
      <c r="P1359" s="34" t="str">
        <f aca="false">IF(B1359&gt;=Eval_Start_Week,"YES","")</f>
        <v/>
      </c>
      <c r="Q1359" s="34" t="str">
        <f aca="false">IF(AND(B1359&gt;=Cal_Start_Week,B1359&lt;=Cal_End_Week),"YES","")</f>
        <v/>
      </c>
    </row>
    <row r="1360" customFormat="false" ht="15" hidden="false" customHeight="false" outlineLevel="0" collapsed="false">
      <c r="A1360" s="31" t="str">
        <f aca="false">Demand_History!C1360</f>
        <v>BTH-004</v>
      </c>
      <c r="B1360" s="31" t="n">
        <f aca="false">Demand_History!A1360</f>
        <v>7</v>
      </c>
      <c r="C1360" s="32" t="n">
        <f aca="false">Demand_History!D1360</f>
        <v>42</v>
      </c>
      <c r="D1360" s="33" t="n">
        <f aca="false">IF(B1360&gt;=2,C1359,"")</f>
        <v>51</v>
      </c>
      <c r="E1360" s="33" t="n">
        <f aca="false">IF(B1360&gt;=5,AVERAGE(C1356:C1359),"")</f>
        <v>54.25</v>
      </c>
      <c r="F1360" s="33" t="str">
        <f aca="false">IF(B1360&gt;=9,AVERAGE(C1352:C1359),"")</f>
        <v/>
      </c>
      <c r="G1360" s="33" t="n">
        <f aca="false">IF(B1360=1,"",IF(B1360=2,C1359,SES_Alpha*C1359+(1-SES_Alpha)*G1359))</f>
        <v>54.69271</v>
      </c>
      <c r="H1360" s="33" t="n">
        <f aca="false">IF(D1360="","",D1360-C1360)</f>
        <v>9</v>
      </c>
      <c r="I1360" s="33" t="n">
        <f aca="false">IF(E1360="","",E1360-C1360)</f>
        <v>12.25</v>
      </c>
      <c r="J1360" s="33" t="str">
        <f aca="false">IF(F1360="","",F1360-C1360)</f>
        <v/>
      </c>
      <c r="K1360" s="33" t="n">
        <f aca="false">IF(G1360="","",G1360-C1360)</f>
        <v>12.69271</v>
      </c>
      <c r="L1360" s="33" t="n">
        <f aca="false">IF(H1360="","",ABS(H1360))</f>
        <v>9</v>
      </c>
      <c r="M1360" s="33" t="n">
        <f aca="false">IF(I1360="","",ABS(I1360))</f>
        <v>12.25</v>
      </c>
      <c r="N1360" s="33" t="str">
        <f aca="false">IF(J1360="","",ABS(J1360))</f>
        <v/>
      </c>
      <c r="O1360" s="33" t="n">
        <f aca="false">IF(K1360="","",ABS(K1360))</f>
        <v>12.69271</v>
      </c>
      <c r="P1360" s="34" t="str">
        <f aca="false">IF(B1360&gt;=Eval_Start_Week,"YES","")</f>
        <v/>
      </c>
      <c r="Q1360" s="34" t="str">
        <f aca="false">IF(AND(B1360&gt;=Cal_Start_Week,B1360&lt;=Cal_End_Week),"YES","")</f>
        <v/>
      </c>
    </row>
    <row r="1361" customFormat="false" ht="15" hidden="false" customHeight="false" outlineLevel="0" collapsed="false">
      <c r="A1361" s="31" t="str">
        <f aca="false">Demand_History!C1361</f>
        <v>BTH-004</v>
      </c>
      <c r="B1361" s="31" t="n">
        <f aca="false">Demand_History!A1361</f>
        <v>8</v>
      </c>
      <c r="C1361" s="32" t="n">
        <f aca="false">Demand_History!D1361</f>
        <v>50</v>
      </c>
      <c r="D1361" s="33" t="n">
        <f aca="false">IF(B1361&gt;=2,C1360,"")</f>
        <v>42</v>
      </c>
      <c r="E1361" s="33" t="n">
        <f aca="false">IF(B1361&gt;=5,AVERAGE(C1357:C1360),"")</f>
        <v>51.5</v>
      </c>
      <c r="F1361" s="33" t="str">
        <f aca="false">IF(B1361&gt;=9,AVERAGE(C1353:C1360),"")</f>
        <v/>
      </c>
      <c r="G1361" s="33" t="n">
        <f aca="false">IF(B1361=1,"",IF(B1361=2,C1360,SES_Alpha*C1360+(1-SES_Alpha)*G1360))</f>
        <v>50.884897</v>
      </c>
      <c r="H1361" s="33" t="n">
        <f aca="false">IF(D1361="","",D1361-C1361)</f>
        <v>-8</v>
      </c>
      <c r="I1361" s="33" t="n">
        <f aca="false">IF(E1361="","",E1361-C1361)</f>
        <v>1.5</v>
      </c>
      <c r="J1361" s="33" t="str">
        <f aca="false">IF(F1361="","",F1361-C1361)</f>
        <v/>
      </c>
      <c r="K1361" s="33" t="n">
        <f aca="false">IF(G1361="","",G1361-C1361)</f>
        <v>0.884896999999988</v>
      </c>
      <c r="L1361" s="33" t="n">
        <f aca="false">IF(H1361="","",ABS(H1361))</f>
        <v>8</v>
      </c>
      <c r="M1361" s="33" t="n">
        <f aca="false">IF(I1361="","",ABS(I1361))</f>
        <v>1.5</v>
      </c>
      <c r="N1361" s="33" t="str">
        <f aca="false">IF(J1361="","",ABS(J1361))</f>
        <v/>
      </c>
      <c r="O1361" s="33" t="n">
        <f aca="false">IF(K1361="","",ABS(K1361))</f>
        <v>0.884896999999988</v>
      </c>
      <c r="P1361" s="34" t="str">
        <f aca="false">IF(B1361&gt;=Eval_Start_Week,"YES","")</f>
        <v/>
      </c>
      <c r="Q1361" s="34" t="str">
        <f aca="false">IF(AND(B1361&gt;=Cal_Start_Week,B1361&lt;=Cal_End_Week),"YES","")</f>
        <v/>
      </c>
    </row>
    <row r="1362" customFormat="false" ht="15" hidden="false" customHeight="false" outlineLevel="0" collapsed="false">
      <c r="A1362" s="31" t="str">
        <f aca="false">Demand_History!C1362</f>
        <v>BTH-004</v>
      </c>
      <c r="B1362" s="31" t="n">
        <f aca="false">Demand_History!A1362</f>
        <v>9</v>
      </c>
      <c r="C1362" s="32" t="n">
        <f aca="false">Demand_History!D1362</f>
        <v>56</v>
      </c>
      <c r="D1362" s="33" t="n">
        <f aca="false">IF(B1362&gt;=2,C1361,"")</f>
        <v>50</v>
      </c>
      <c r="E1362" s="33" t="n">
        <f aca="false">IF(B1362&gt;=5,AVERAGE(C1358:C1361),"")</f>
        <v>47.25</v>
      </c>
      <c r="F1362" s="33" t="n">
        <f aca="false">IF(B1362&gt;=9,AVERAGE(C1354:C1361),"")</f>
        <v>54</v>
      </c>
      <c r="G1362" s="33" t="n">
        <f aca="false">IF(B1362=1,"",IF(B1362=2,C1361,SES_Alpha*C1361+(1-SES_Alpha)*G1361))</f>
        <v>50.6194279</v>
      </c>
      <c r="H1362" s="33" t="n">
        <f aca="false">IF(D1362="","",D1362-C1362)</f>
        <v>-6</v>
      </c>
      <c r="I1362" s="33" t="n">
        <f aca="false">IF(E1362="","",E1362-C1362)</f>
        <v>-8.75</v>
      </c>
      <c r="J1362" s="33" t="n">
        <f aca="false">IF(F1362="","",F1362-C1362)</f>
        <v>-2</v>
      </c>
      <c r="K1362" s="33" t="n">
        <f aca="false">IF(G1362="","",G1362-C1362)</f>
        <v>-5.38057210000001</v>
      </c>
      <c r="L1362" s="33" t="n">
        <f aca="false">IF(H1362="","",ABS(H1362))</f>
        <v>6</v>
      </c>
      <c r="M1362" s="33" t="n">
        <f aca="false">IF(I1362="","",ABS(I1362))</f>
        <v>8.75</v>
      </c>
      <c r="N1362" s="33" t="n">
        <f aca="false">IF(J1362="","",ABS(J1362))</f>
        <v>2</v>
      </c>
      <c r="O1362" s="33" t="n">
        <f aca="false">IF(K1362="","",ABS(K1362))</f>
        <v>5.38057210000001</v>
      </c>
      <c r="P1362" s="34" t="str">
        <f aca="false">IF(B1362&gt;=Eval_Start_Week,"YES","")</f>
        <v/>
      </c>
      <c r="Q1362" s="34" t="str">
        <f aca="false">IF(AND(B1362&gt;=Cal_Start_Week,B1362&lt;=Cal_End_Week),"YES","")</f>
        <v/>
      </c>
    </row>
    <row r="1363" customFormat="false" ht="15" hidden="false" customHeight="false" outlineLevel="0" collapsed="false">
      <c r="A1363" s="31" t="str">
        <f aca="false">Demand_History!C1363</f>
        <v>BTH-004</v>
      </c>
      <c r="B1363" s="31" t="n">
        <f aca="false">Demand_History!A1363</f>
        <v>10</v>
      </c>
      <c r="C1363" s="32" t="n">
        <f aca="false">Demand_History!D1363</f>
        <v>62</v>
      </c>
      <c r="D1363" s="33" t="n">
        <f aca="false">IF(B1363&gt;=2,C1362,"")</f>
        <v>56</v>
      </c>
      <c r="E1363" s="33" t="n">
        <f aca="false">IF(B1363&gt;=5,AVERAGE(C1359:C1362),"")</f>
        <v>49.75</v>
      </c>
      <c r="F1363" s="33" t="n">
        <f aca="false">IF(B1363&gt;=9,AVERAGE(C1355:C1362),"")</f>
        <v>53.75</v>
      </c>
      <c r="G1363" s="33" t="n">
        <f aca="false">IF(B1363=1,"",IF(B1363=2,C1362,SES_Alpha*C1362+(1-SES_Alpha)*G1362))</f>
        <v>52.23359953</v>
      </c>
      <c r="H1363" s="33" t="n">
        <f aca="false">IF(D1363="","",D1363-C1363)</f>
        <v>-6</v>
      </c>
      <c r="I1363" s="33" t="n">
        <f aca="false">IF(E1363="","",E1363-C1363)</f>
        <v>-12.25</v>
      </c>
      <c r="J1363" s="33" t="n">
        <f aca="false">IF(F1363="","",F1363-C1363)</f>
        <v>-8.25</v>
      </c>
      <c r="K1363" s="33" t="n">
        <f aca="false">IF(G1363="","",G1363-C1363)</f>
        <v>-9.76640047000001</v>
      </c>
      <c r="L1363" s="33" t="n">
        <f aca="false">IF(H1363="","",ABS(H1363))</f>
        <v>6</v>
      </c>
      <c r="M1363" s="33" t="n">
        <f aca="false">IF(I1363="","",ABS(I1363))</f>
        <v>12.25</v>
      </c>
      <c r="N1363" s="33" t="n">
        <f aca="false">IF(J1363="","",ABS(J1363))</f>
        <v>8.25</v>
      </c>
      <c r="O1363" s="33" t="n">
        <f aca="false">IF(K1363="","",ABS(K1363))</f>
        <v>9.76640047000001</v>
      </c>
      <c r="P1363" s="34" t="str">
        <f aca="false">IF(B1363&gt;=Eval_Start_Week,"YES","")</f>
        <v/>
      </c>
      <c r="Q1363" s="34" t="str">
        <f aca="false">IF(AND(B1363&gt;=Cal_Start_Week,B1363&lt;=Cal_End_Week),"YES","")</f>
        <v/>
      </c>
    </row>
    <row r="1364" customFormat="false" ht="15" hidden="false" customHeight="false" outlineLevel="0" collapsed="false">
      <c r="A1364" s="31" t="str">
        <f aca="false">Demand_History!C1364</f>
        <v>BTH-004</v>
      </c>
      <c r="B1364" s="31" t="n">
        <f aca="false">Demand_History!A1364</f>
        <v>11</v>
      </c>
      <c r="C1364" s="32" t="n">
        <f aca="false">Demand_History!D1364</f>
        <v>47</v>
      </c>
      <c r="D1364" s="33" t="n">
        <f aca="false">IF(B1364&gt;=2,C1363,"")</f>
        <v>62</v>
      </c>
      <c r="E1364" s="33" t="n">
        <f aca="false">IF(B1364&gt;=5,AVERAGE(C1360:C1363),"")</f>
        <v>52.5</v>
      </c>
      <c r="F1364" s="33" t="n">
        <f aca="false">IF(B1364&gt;=9,AVERAGE(C1356:C1363),"")</f>
        <v>53.375</v>
      </c>
      <c r="G1364" s="33" t="n">
        <f aca="false">IF(B1364=1,"",IF(B1364=2,C1363,SES_Alpha*C1363+(1-SES_Alpha)*G1363))</f>
        <v>55.163519671</v>
      </c>
      <c r="H1364" s="33" t="n">
        <f aca="false">IF(D1364="","",D1364-C1364)</f>
        <v>15</v>
      </c>
      <c r="I1364" s="33" t="n">
        <f aca="false">IF(E1364="","",E1364-C1364)</f>
        <v>5.5</v>
      </c>
      <c r="J1364" s="33" t="n">
        <f aca="false">IF(F1364="","",F1364-C1364)</f>
        <v>6.375</v>
      </c>
      <c r="K1364" s="33" t="n">
        <f aca="false">IF(G1364="","",G1364-C1364)</f>
        <v>8.16351967099999</v>
      </c>
      <c r="L1364" s="33" t="n">
        <f aca="false">IF(H1364="","",ABS(H1364))</f>
        <v>15</v>
      </c>
      <c r="M1364" s="33" t="n">
        <f aca="false">IF(I1364="","",ABS(I1364))</f>
        <v>5.5</v>
      </c>
      <c r="N1364" s="33" t="n">
        <f aca="false">IF(J1364="","",ABS(J1364))</f>
        <v>6.375</v>
      </c>
      <c r="O1364" s="33" t="n">
        <f aca="false">IF(K1364="","",ABS(K1364))</f>
        <v>8.16351967099999</v>
      </c>
      <c r="P1364" s="34" t="str">
        <f aca="false">IF(B1364&gt;=Eval_Start_Week,"YES","")</f>
        <v/>
      </c>
      <c r="Q1364" s="34" t="str">
        <f aca="false">IF(AND(B1364&gt;=Cal_Start_Week,B1364&lt;=Cal_End_Week),"YES","")</f>
        <v/>
      </c>
    </row>
    <row r="1365" customFormat="false" ht="15" hidden="false" customHeight="false" outlineLevel="0" collapsed="false">
      <c r="A1365" s="31" t="str">
        <f aca="false">Demand_History!C1365</f>
        <v>BTH-004</v>
      </c>
      <c r="B1365" s="31" t="n">
        <f aca="false">Demand_History!A1365</f>
        <v>12</v>
      </c>
      <c r="C1365" s="32" t="n">
        <f aca="false">Demand_History!D1365</f>
        <v>51</v>
      </c>
      <c r="D1365" s="33" t="n">
        <f aca="false">IF(B1365&gt;=2,C1364,"")</f>
        <v>47</v>
      </c>
      <c r="E1365" s="33" t="n">
        <f aca="false">IF(B1365&gt;=5,AVERAGE(C1361:C1364),"")</f>
        <v>53.75</v>
      </c>
      <c r="F1365" s="33" t="n">
        <f aca="false">IF(B1365&gt;=9,AVERAGE(C1357:C1364),"")</f>
        <v>52.625</v>
      </c>
      <c r="G1365" s="33" t="n">
        <f aca="false">IF(B1365=1,"",IF(B1365=2,C1364,SES_Alpha*C1364+(1-SES_Alpha)*G1364))</f>
        <v>52.7144637697</v>
      </c>
      <c r="H1365" s="33" t="n">
        <f aca="false">IF(D1365="","",D1365-C1365)</f>
        <v>-4</v>
      </c>
      <c r="I1365" s="33" t="n">
        <f aca="false">IF(E1365="","",E1365-C1365)</f>
        <v>2.75</v>
      </c>
      <c r="J1365" s="33" t="n">
        <f aca="false">IF(F1365="","",F1365-C1365)</f>
        <v>1.625</v>
      </c>
      <c r="K1365" s="33" t="n">
        <f aca="false">IF(G1365="","",G1365-C1365)</f>
        <v>1.71446376969999</v>
      </c>
      <c r="L1365" s="33" t="n">
        <f aca="false">IF(H1365="","",ABS(H1365))</f>
        <v>4</v>
      </c>
      <c r="M1365" s="33" t="n">
        <f aca="false">IF(I1365="","",ABS(I1365))</f>
        <v>2.75</v>
      </c>
      <c r="N1365" s="33" t="n">
        <f aca="false">IF(J1365="","",ABS(J1365))</f>
        <v>1.625</v>
      </c>
      <c r="O1365" s="33" t="n">
        <f aca="false">IF(K1365="","",ABS(K1365))</f>
        <v>1.71446376969999</v>
      </c>
      <c r="P1365" s="34" t="str">
        <f aca="false">IF(B1365&gt;=Eval_Start_Week,"YES","")</f>
        <v/>
      </c>
      <c r="Q1365" s="34" t="str">
        <f aca="false">IF(AND(B1365&gt;=Cal_Start_Week,B1365&lt;=Cal_End_Week),"YES","")</f>
        <v/>
      </c>
    </row>
    <row r="1366" customFormat="false" ht="15" hidden="false" customHeight="false" outlineLevel="0" collapsed="false">
      <c r="A1366" s="31" t="str">
        <f aca="false">Demand_History!C1366</f>
        <v>BTH-004</v>
      </c>
      <c r="B1366" s="31" t="n">
        <f aca="false">Demand_History!A1366</f>
        <v>13</v>
      </c>
      <c r="C1366" s="32" t="n">
        <f aca="false">Demand_History!D1366</f>
        <v>48</v>
      </c>
      <c r="D1366" s="33" t="n">
        <f aca="false">IF(B1366&gt;=2,C1365,"")</f>
        <v>51</v>
      </c>
      <c r="E1366" s="33" t="n">
        <f aca="false">IF(B1366&gt;=5,AVERAGE(C1362:C1365),"")</f>
        <v>54</v>
      </c>
      <c r="F1366" s="33" t="n">
        <f aca="false">IF(B1366&gt;=9,AVERAGE(C1358:C1365),"")</f>
        <v>50.625</v>
      </c>
      <c r="G1366" s="33" t="n">
        <f aca="false">IF(B1366=1,"",IF(B1366=2,C1365,SES_Alpha*C1365+(1-SES_Alpha)*G1365))</f>
        <v>52.20012463879</v>
      </c>
      <c r="H1366" s="33" t="n">
        <f aca="false">IF(D1366="","",D1366-C1366)</f>
        <v>3</v>
      </c>
      <c r="I1366" s="33" t="n">
        <f aca="false">IF(E1366="","",E1366-C1366)</f>
        <v>6</v>
      </c>
      <c r="J1366" s="33" t="n">
        <f aca="false">IF(F1366="","",F1366-C1366)</f>
        <v>2.625</v>
      </c>
      <c r="K1366" s="33" t="n">
        <f aca="false">IF(G1366="","",G1366-C1366)</f>
        <v>4.20012463878999</v>
      </c>
      <c r="L1366" s="33" t="n">
        <f aca="false">IF(H1366="","",ABS(H1366))</f>
        <v>3</v>
      </c>
      <c r="M1366" s="33" t="n">
        <f aca="false">IF(I1366="","",ABS(I1366))</f>
        <v>6</v>
      </c>
      <c r="N1366" s="33" t="n">
        <f aca="false">IF(J1366="","",ABS(J1366))</f>
        <v>2.625</v>
      </c>
      <c r="O1366" s="33" t="n">
        <f aca="false">IF(K1366="","",ABS(K1366))</f>
        <v>4.20012463878999</v>
      </c>
      <c r="P1366" s="34" t="str">
        <f aca="false">IF(B1366&gt;=Eval_Start_Week,"YES","")</f>
        <v/>
      </c>
      <c r="Q1366" s="34" t="str">
        <f aca="false">IF(AND(B1366&gt;=Cal_Start_Week,B1366&lt;=Cal_End_Week),"YES","")</f>
        <v/>
      </c>
    </row>
    <row r="1367" customFormat="false" ht="15" hidden="false" customHeight="false" outlineLevel="0" collapsed="false">
      <c r="A1367" s="31" t="str">
        <f aca="false">Demand_History!C1367</f>
        <v>BTH-004</v>
      </c>
      <c r="B1367" s="31" t="n">
        <f aca="false">Demand_History!A1367</f>
        <v>14</v>
      </c>
      <c r="C1367" s="32" t="n">
        <f aca="false">Demand_History!D1367</f>
        <v>45</v>
      </c>
      <c r="D1367" s="33" t="n">
        <f aca="false">IF(B1367&gt;=2,C1366,"")</f>
        <v>48</v>
      </c>
      <c r="E1367" s="33" t="n">
        <f aca="false">IF(B1367&gt;=5,AVERAGE(C1363:C1366),"")</f>
        <v>52</v>
      </c>
      <c r="F1367" s="33" t="n">
        <f aca="false">IF(B1367&gt;=9,AVERAGE(C1359:C1366),"")</f>
        <v>50.875</v>
      </c>
      <c r="G1367" s="33" t="n">
        <f aca="false">IF(B1367=1,"",IF(B1367=2,C1366,SES_Alpha*C1366+(1-SES_Alpha)*G1366))</f>
        <v>50.940087247153</v>
      </c>
      <c r="H1367" s="33" t="n">
        <f aca="false">IF(D1367="","",D1367-C1367)</f>
        <v>3</v>
      </c>
      <c r="I1367" s="33" t="n">
        <f aca="false">IF(E1367="","",E1367-C1367)</f>
        <v>7</v>
      </c>
      <c r="J1367" s="33" t="n">
        <f aca="false">IF(F1367="","",F1367-C1367)</f>
        <v>5.875</v>
      </c>
      <c r="K1367" s="33" t="n">
        <f aca="false">IF(G1367="","",G1367-C1367)</f>
        <v>5.94008724715299</v>
      </c>
      <c r="L1367" s="33" t="n">
        <f aca="false">IF(H1367="","",ABS(H1367))</f>
        <v>3</v>
      </c>
      <c r="M1367" s="33" t="n">
        <f aca="false">IF(I1367="","",ABS(I1367))</f>
        <v>7</v>
      </c>
      <c r="N1367" s="33" t="n">
        <f aca="false">IF(J1367="","",ABS(J1367))</f>
        <v>5.875</v>
      </c>
      <c r="O1367" s="33" t="n">
        <f aca="false">IF(K1367="","",ABS(K1367))</f>
        <v>5.94008724715299</v>
      </c>
      <c r="P1367" s="34" t="str">
        <f aca="false">IF(B1367&gt;=Eval_Start_Week,"YES","")</f>
        <v/>
      </c>
      <c r="Q1367" s="34" t="str">
        <f aca="false">IF(AND(B1367&gt;=Cal_Start_Week,B1367&lt;=Cal_End_Week),"YES","")</f>
        <v/>
      </c>
    </row>
    <row r="1368" customFormat="false" ht="15" hidden="false" customHeight="false" outlineLevel="0" collapsed="false">
      <c r="A1368" s="31" t="str">
        <f aca="false">Demand_History!C1368</f>
        <v>BTH-004</v>
      </c>
      <c r="B1368" s="31" t="n">
        <f aca="false">Demand_History!A1368</f>
        <v>15</v>
      </c>
      <c r="C1368" s="32" t="n">
        <f aca="false">Demand_History!D1368</f>
        <v>42</v>
      </c>
      <c r="D1368" s="33" t="n">
        <f aca="false">IF(B1368&gt;=2,C1367,"")</f>
        <v>45</v>
      </c>
      <c r="E1368" s="33" t="n">
        <f aca="false">IF(B1368&gt;=5,AVERAGE(C1364:C1367),"")</f>
        <v>47.75</v>
      </c>
      <c r="F1368" s="33" t="n">
        <f aca="false">IF(B1368&gt;=9,AVERAGE(C1360:C1367),"")</f>
        <v>50.125</v>
      </c>
      <c r="G1368" s="33" t="n">
        <f aca="false">IF(B1368=1,"",IF(B1368=2,C1367,SES_Alpha*C1367+(1-SES_Alpha)*G1367))</f>
        <v>49.1580610730071</v>
      </c>
      <c r="H1368" s="33" t="n">
        <f aca="false">IF(D1368="","",D1368-C1368)</f>
        <v>3</v>
      </c>
      <c r="I1368" s="33" t="n">
        <f aca="false">IF(E1368="","",E1368-C1368)</f>
        <v>5.75</v>
      </c>
      <c r="J1368" s="33" t="n">
        <f aca="false">IF(F1368="","",F1368-C1368)</f>
        <v>8.125</v>
      </c>
      <c r="K1368" s="33" t="n">
        <f aca="false">IF(G1368="","",G1368-C1368)</f>
        <v>7.15806107300709</v>
      </c>
      <c r="L1368" s="33" t="n">
        <f aca="false">IF(H1368="","",ABS(H1368))</f>
        <v>3</v>
      </c>
      <c r="M1368" s="33" t="n">
        <f aca="false">IF(I1368="","",ABS(I1368))</f>
        <v>5.75</v>
      </c>
      <c r="N1368" s="33" t="n">
        <f aca="false">IF(J1368="","",ABS(J1368))</f>
        <v>8.125</v>
      </c>
      <c r="O1368" s="33" t="n">
        <f aca="false">IF(K1368="","",ABS(K1368))</f>
        <v>7.15806107300709</v>
      </c>
      <c r="P1368" s="34" t="str">
        <f aca="false">IF(B1368&gt;=Eval_Start_Week,"YES","")</f>
        <v/>
      </c>
      <c r="Q1368" s="34" t="str">
        <f aca="false">IF(AND(B1368&gt;=Cal_Start_Week,B1368&lt;=Cal_End_Week),"YES","")</f>
        <v/>
      </c>
    </row>
    <row r="1369" customFormat="false" ht="15" hidden="false" customHeight="false" outlineLevel="0" collapsed="false">
      <c r="A1369" s="31" t="str">
        <f aca="false">Demand_History!C1369</f>
        <v>BTH-004</v>
      </c>
      <c r="B1369" s="31" t="n">
        <f aca="false">Demand_History!A1369</f>
        <v>16</v>
      </c>
      <c r="C1369" s="32" t="n">
        <f aca="false">Demand_History!D1369</f>
        <v>50</v>
      </c>
      <c r="D1369" s="33" t="n">
        <f aca="false">IF(B1369&gt;=2,C1368,"")</f>
        <v>42</v>
      </c>
      <c r="E1369" s="33" t="n">
        <f aca="false">IF(B1369&gt;=5,AVERAGE(C1365:C1368),"")</f>
        <v>46.5</v>
      </c>
      <c r="F1369" s="33" t="n">
        <f aca="false">IF(B1369&gt;=9,AVERAGE(C1361:C1368),"")</f>
        <v>50.125</v>
      </c>
      <c r="G1369" s="33" t="n">
        <f aca="false">IF(B1369=1,"",IF(B1369=2,C1368,SES_Alpha*C1368+(1-SES_Alpha)*G1368))</f>
        <v>47.010642751105</v>
      </c>
      <c r="H1369" s="33" t="n">
        <f aca="false">IF(D1369="","",D1369-C1369)</f>
        <v>-8</v>
      </c>
      <c r="I1369" s="33" t="n">
        <f aca="false">IF(E1369="","",E1369-C1369)</f>
        <v>-3.5</v>
      </c>
      <c r="J1369" s="33" t="n">
        <f aca="false">IF(F1369="","",F1369-C1369)</f>
        <v>0.125</v>
      </c>
      <c r="K1369" s="33" t="n">
        <f aca="false">IF(G1369="","",G1369-C1369)</f>
        <v>-2.98935724889504</v>
      </c>
      <c r="L1369" s="33" t="n">
        <f aca="false">IF(H1369="","",ABS(H1369))</f>
        <v>8</v>
      </c>
      <c r="M1369" s="33" t="n">
        <f aca="false">IF(I1369="","",ABS(I1369))</f>
        <v>3.5</v>
      </c>
      <c r="N1369" s="33" t="n">
        <f aca="false">IF(J1369="","",ABS(J1369))</f>
        <v>0.125</v>
      </c>
      <c r="O1369" s="33" t="n">
        <f aca="false">IF(K1369="","",ABS(K1369))</f>
        <v>2.98935724889504</v>
      </c>
      <c r="P1369" s="34" t="str">
        <f aca="false">IF(B1369&gt;=Eval_Start_Week,"YES","")</f>
        <v/>
      </c>
      <c r="Q1369" s="34" t="str">
        <f aca="false">IF(AND(B1369&gt;=Cal_Start_Week,B1369&lt;=Cal_End_Week),"YES","")</f>
        <v/>
      </c>
    </row>
    <row r="1370" customFormat="false" ht="15" hidden="false" customHeight="false" outlineLevel="0" collapsed="false">
      <c r="A1370" s="31" t="str">
        <f aca="false">Demand_History!C1370</f>
        <v>BTH-004</v>
      </c>
      <c r="B1370" s="31" t="n">
        <f aca="false">Demand_History!A1370</f>
        <v>17</v>
      </c>
      <c r="C1370" s="32" t="n">
        <f aca="false">Demand_History!D1370</f>
        <v>38</v>
      </c>
      <c r="D1370" s="33" t="n">
        <f aca="false">IF(B1370&gt;=2,C1369,"")</f>
        <v>50</v>
      </c>
      <c r="E1370" s="33" t="n">
        <f aca="false">IF(B1370&gt;=5,AVERAGE(C1366:C1369),"")</f>
        <v>46.25</v>
      </c>
      <c r="F1370" s="33" t="n">
        <f aca="false">IF(B1370&gt;=9,AVERAGE(C1362:C1369),"")</f>
        <v>50.125</v>
      </c>
      <c r="G1370" s="33" t="n">
        <f aca="false">IF(B1370=1,"",IF(B1370=2,C1369,SES_Alpha*C1369+(1-SES_Alpha)*G1369))</f>
        <v>47.9074499257735</v>
      </c>
      <c r="H1370" s="33" t="n">
        <f aca="false">IF(D1370="","",D1370-C1370)</f>
        <v>12</v>
      </c>
      <c r="I1370" s="33" t="n">
        <f aca="false">IF(E1370="","",E1370-C1370)</f>
        <v>8.25</v>
      </c>
      <c r="J1370" s="33" t="n">
        <f aca="false">IF(F1370="","",F1370-C1370)</f>
        <v>12.125</v>
      </c>
      <c r="K1370" s="33" t="n">
        <f aca="false">IF(G1370="","",G1370-C1370)</f>
        <v>9.90744992577347</v>
      </c>
      <c r="L1370" s="33" t="n">
        <f aca="false">IF(H1370="","",ABS(H1370))</f>
        <v>12</v>
      </c>
      <c r="M1370" s="33" t="n">
        <f aca="false">IF(I1370="","",ABS(I1370))</f>
        <v>8.25</v>
      </c>
      <c r="N1370" s="33" t="n">
        <f aca="false">IF(J1370="","",ABS(J1370))</f>
        <v>12.125</v>
      </c>
      <c r="O1370" s="33" t="n">
        <f aca="false">IF(K1370="","",ABS(K1370))</f>
        <v>9.90744992577347</v>
      </c>
      <c r="P1370" s="34" t="str">
        <f aca="false">IF(B1370&gt;=Eval_Start_Week,"YES","")</f>
        <v/>
      </c>
      <c r="Q1370" s="34" t="str">
        <f aca="false">IF(AND(B1370&gt;=Cal_Start_Week,B1370&lt;=Cal_End_Week),"YES","")</f>
        <v/>
      </c>
    </row>
    <row r="1371" customFormat="false" ht="15" hidden="false" customHeight="false" outlineLevel="0" collapsed="false">
      <c r="A1371" s="31" t="str">
        <f aca="false">Demand_History!C1371</f>
        <v>BTH-004</v>
      </c>
      <c r="B1371" s="31" t="n">
        <f aca="false">Demand_History!A1371</f>
        <v>18</v>
      </c>
      <c r="C1371" s="32" t="n">
        <f aca="false">Demand_History!D1371</f>
        <v>50</v>
      </c>
      <c r="D1371" s="33" t="n">
        <f aca="false">IF(B1371&gt;=2,C1370,"")</f>
        <v>38</v>
      </c>
      <c r="E1371" s="33" t="n">
        <f aca="false">IF(B1371&gt;=5,AVERAGE(C1367:C1370),"")</f>
        <v>43.75</v>
      </c>
      <c r="F1371" s="33" t="n">
        <f aca="false">IF(B1371&gt;=9,AVERAGE(C1363:C1370),"")</f>
        <v>47.875</v>
      </c>
      <c r="G1371" s="33" t="n">
        <f aca="false">IF(B1371=1,"",IF(B1371=2,C1370,SES_Alpha*C1370+(1-SES_Alpha)*G1370))</f>
        <v>44.9352149480414</v>
      </c>
      <c r="H1371" s="33" t="n">
        <f aca="false">IF(D1371="","",D1371-C1371)</f>
        <v>-12</v>
      </c>
      <c r="I1371" s="33" t="n">
        <f aca="false">IF(E1371="","",E1371-C1371)</f>
        <v>-6.25</v>
      </c>
      <c r="J1371" s="33" t="n">
        <f aca="false">IF(F1371="","",F1371-C1371)</f>
        <v>-2.125</v>
      </c>
      <c r="K1371" s="33" t="n">
        <f aca="false">IF(G1371="","",G1371-C1371)</f>
        <v>-5.06478505195857</v>
      </c>
      <c r="L1371" s="33" t="n">
        <f aca="false">IF(H1371="","",ABS(H1371))</f>
        <v>12</v>
      </c>
      <c r="M1371" s="33" t="n">
        <f aca="false">IF(I1371="","",ABS(I1371))</f>
        <v>6.25</v>
      </c>
      <c r="N1371" s="33" t="n">
        <f aca="false">IF(J1371="","",ABS(J1371))</f>
        <v>2.125</v>
      </c>
      <c r="O1371" s="33" t="n">
        <f aca="false">IF(K1371="","",ABS(K1371))</f>
        <v>5.06478505195857</v>
      </c>
      <c r="P1371" s="34" t="str">
        <f aca="false">IF(B1371&gt;=Eval_Start_Week,"YES","")</f>
        <v/>
      </c>
      <c r="Q1371" s="34" t="str">
        <f aca="false">IF(AND(B1371&gt;=Cal_Start_Week,B1371&lt;=Cal_End_Week),"YES","")</f>
        <v/>
      </c>
    </row>
    <row r="1372" customFormat="false" ht="15" hidden="false" customHeight="false" outlineLevel="0" collapsed="false">
      <c r="A1372" s="31" t="str">
        <f aca="false">Demand_History!C1372</f>
        <v>BTH-004</v>
      </c>
      <c r="B1372" s="31" t="n">
        <f aca="false">Demand_History!A1372</f>
        <v>19</v>
      </c>
      <c r="C1372" s="32" t="n">
        <f aca="false">Demand_History!D1372</f>
        <v>49</v>
      </c>
      <c r="D1372" s="33" t="n">
        <f aca="false">IF(B1372&gt;=2,C1371,"")</f>
        <v>50</v>
      </c>
      <c r="E1372" s="33" t="n">
        <f aca="false">IF(B1372&gt;=5,AVERAGE(C1368:C1371),"")</f>
        <v>45</v>
      </c>
      <c r="F1372" s="33" t="n">
        <f aca="false">IF(B1372&gt;=9,AVERAGE(C1364:C1371),"")</f>
        <v>46.375</v>
      </c>
      <c r="G1372" s="33" t="n">
        <f aca="false">IF(B1372=1,"",IF(B1372=2,C1371,SES_Alpha*C1371+(1-SES_Alpha)*G1371))</f>
        <v>46.454650463629</v>
      </c>
      <c r="H1372" s="33" t="n">
        <f aca="false">IF(D1372="","",D1372-C1372)</f>
        <v>1</v>
      </c>
      <c r="I1372" s="33" t="n">
        <f aca="false">IF(E1372="","",E1372-C1372)</f>
        <v>-4</v>
      </c>
      <c r="J1372" s="33" t="n">
        <f aca="false">IF(F1372="","",F1372-C1372)</f>
        <v>-2.625</v>
      </c>
      <c r="K1372" s="33" t="n">
        <f aca="false">IF(G1372="","",G1372-C1372)</f>
        <v>-2.54534953637101</v>
      </c>
      <c r="L1372" s="33" t="n">
        <f aca="false">IF(H1372="","",ABS(H1372))</f>
        <v>1</v>
      </c>
      <c r="M1372" s="33" t="n">
        <f aca="false">IF(I1372="","",ABS(I1372))</f>
        <v>4</v>
      </c>
      <c r="N1372" s="33" t="n">
        <f aca="false">IF(J1372="","",ABS(J1372))</f>
        <v>2.625</v>
      </c>
      <c r="O1372" s="33" t="n">
        <f aca="false">IF(K1372="","",ABS(K1372))</f>
        <v>2.54534953637101</v>
      </c>
      <c r="P1372" s="34" t="str">
        <f aca="false">IF(B1372&gt;=Eval_Start_Week,"YES","")</f>
        <v/>
      </c>
      <c r="Q1372" s="34" t="str">
        <f aca="false">IF(AND(B1372&gt;=Cal_Start_Week,B1372&lt;=Cal_End_Week),"YES","")</f>
        <v/>
      </c>
    </row>
    <row r="1373" customFormat="false" ht="15" hidden="false" customHeight="false" outlineLevel="0" collapsed="false">
      <c r="A1373" s="31" t="str">
        <f aca="false">Demand_History!C1373</f>
        <v>BTH-004</v>
      </c>
      <c r="B1373" s="31" t="n">
        <f aca="false">Demand_History!A1373</f>
        <v>20</v>
      </c>
      <c r="C1373" s="32" t="n">
        <f aca="false">Demand_History!D1373</f>
        <v>44</v>
      </c>
      <c r="D1373" s="33" t="n">
        <f aca="false">IF(B1373&gt;=2,C1372,"")</f>
        <v>49</v>
      </c>
      <c r="E1373" s="33" t="n">
        <f aca="false">IF(B1373&gt;=5,AVERAGE(C1369:C1372),"")</f>
        <v>46.75</v>
      </c>
      <c r="F1373" s="33" t="n">
        <f aca="false">IF(B1373&gt;=9,AVERAGE(C1365:C1372),"")</f>
        <v>46.625</v>
      </c>
      <c r="G1373" s="33" t="n">
        <f aca="false">IF(B1373=1,"",IF(B1373=2,C1372,SES_Alpha*C1372+(1-SES_Alpha)*G1372))</f>
        <v>47.2182553245403</v>
      </c>
      <c r="H1373" s="33" t="n">
        <f aca="false">IF(D1373="","",D1373-C1373)</f>
        <v>5</v>
      </c>
      <c r="I1373" s="33" t="n">
        <f aca="false">IF(E1373="","",E1373-C1373)</f>
        <v>2.75</v>
      </c>
      <c r="J1373" s="33" t="n">
        <f aca="false">IF(F1373="","",F1373-C1373)</f>
        <v>2.625</v>
      </c>
      <c r="K1373" s="33" t="n">
        <f aca="false">IF(G1373="","",G1373-C1373)</f>
        <v>3.21825532454029</v>
      </c>
      <c r="L1373" s="33" t="n">
        <f aca="false">IF(H1373="","",ABS(H1373))</f>
        <v>5</v>
      </c>
      <c r="M1373" s="33" t="n">
        <f aca="false">IF(I1373="","",ABS(I1373))</f>
        <v>2.75</v>
      </c>
      <c r="N1373" s="33" t="n">
        <f aca="false">IF(J1373="","",ABS(J1373))</f>
        <v>2.625</v>
      </c>
      <c r="O1373" s="33" t="n">
        <f aca="false">IF(K1373="","",ABS(K1373))</f>
        <v>3.21825532454029</v>
      </c>
      <c r="P1373" s="34" t="str">
        <f aca="false">IF(B1373&gt;=Eval_Start_Week,"YES","")</f>
        <v/>
      </c>
      <c r="Q1373" s="34" t="str">
        <f aca="false">IF(AND(B1373&gt;=Cal_Start_Week,B1373&lt;=Cal_End_Week),"YES","")</f>
        <v/>
      </c>
    </row>
    <row r="1374" customFormat="false" ht="15" hidden="false" customHeight="false" outlineLevel="0" collapsed="false">
      <c r="A1374" s="31" t="str">
        <f aca="false">Demand_History!C1374</f>
        <v>BTH-004</v>
      </c>
      <c r="B1374" s="31" t="n">
        <f aca="false">Demand_History!A1374</f>
        <v>21</v>
      </c>
      <c r="C1374" s="32" t="n">
        <f aca="false">Demand_History!D1374</f>
        <v>42</v>
      </c>
      <c r="D1374" s="33" t="n">
        <f aca="false">IF(B1374&gt;=2,C1373,"")</f>
        <v>44</v>
      </c>
      <c r="E1374" s="33" t="n">
        <f aca="false">IF(B1374&gt;=5,AVERAGE(C1370:C1373),"")</f>
        <v>45.25</v>
      </c>
      <c r="F1374" s="33" t="n">
        <f aca="false">IF(B1374&gt;=9,AVERAGE(C1366:C1373),"")</f>
        <v>45.75</v>
      </c>
      <c r="G1374" s="33" t="n">
        <f aca="false">IF(B1374=1,"",IF(B1374=2,C1373,SES_Alpha*C1373+(1-SES_Alpha)*G1373))</f>
        <v>46.2527787271782</v>
      </c>
      <c r="H1374" s="33" t="n">
        <f aca="false">IF(D1374="","",D1374-C1374)</f>
        <v>2</v>
      </c>
      <c r="I1374" s="33" t="n">
        <f aca="false">IF(E1374="","",E1374-C1374)</f>
        <v>3.25</v>
      </c>
      <c r="J1374" s="33" t="n">
        <f aca="false">IF(F1374="","",F1374-C1374)</f>
        <v>3.75</v>
      </c>
      <c r="K1374" s="33" t="n">
        <f aca="false">IF(G1374="","",G1374-C1374)</f>
        <v>4.25277872717821</v>
      </c>
      <c r="L1374" s="33" t="n">
        <f aca="false">IF(H1374="","",ABS(H1374))</f>
        <v>2</v>
      </c>
      <c r="M1374" s="33" t="n">
        <f aca="false">IF(I1374="","",ABS(I1374))</f>
        <v>3.25</v>
      </c>
      <c r="N1374" s="33" t="n">
        <f aca="false">IF(J1374="","",ABS(J1374))</f>
        <v>3.75</v>
      </c>
      <c r="O1374" s="33" t="n">
        <f aca="false">IF(K1374="","",ABS(K1374))</f>
        <v>4.25277872717821</v>
      </c>
      <c r="P1374" s="34" t="str">
        <f aca="false">IF(B1374&gt;=Eval_Start_Week,"YES","")</f>
        <v/>
      </c>
      <c r="Q1374" s="34" t="str">
        <f aca="false">IF(AND(B1374&gt;=Cal_Start_Week,B1374&lt;=Cal_End_Week),"YES","")</f>
        <v/>
      </c>
    </row>
    <row r="1375" customFormat="false" ht="15" hidden="false" customHeight="false" outlineLevel="0" collapsed="false">
      <c r="A1375" s="31" t="str">
        <f aca="false">Demand_History!C1375</f>
        <v>BTH-004</v>
      </c>
      <c r="B1375" s="31" t="n">
        <f aca="false">Demand_History!A1375</f>
        <v>22</v>
      </c>
      <c r="C1375" s="32" t="n">
        <f aca="false">Demand_History!D1375</f>
        <v>39</v>
      </c>
      <c r="D1375" s="33" t="n">
        <f aca="false">IF(B1375&gt;=2,C1374,"")</f>
        <v>42</v>
      </c>
      <c r="E1375" s="33" t="n">
        <f aca="false">IF(B1375&gt;=5,AVERAGE(C1371:C1374),"")</f>
        <v>46.25</v>
      </c>
      <c r="F1375" s="33" t="n">
        <f aca="false">IF(B1375&gt;=9,AVERAGE(C1367:C1374),"")</f>
        <v>45</v>
      </c>
      <c r="G1375" s="33" t="n">
        <f aca="false">IF(B1375=1,"",IF(B1375=2,C1374,SES_Alpha*C1374+(1-SES_Alpha)*G1374))</f>
        <v>44.9769451090248</v>
      </c>
      <c r="H1375" s="33" t="n">
        <f aca="false">IF(D1375="","",D1375-C1375)</f>
        <v>3</v>
      </c>
      <c r="I1375" s="33" t="n">
        <f aca="false">IF(E1375="","",E1375-C1375)</f>
        <v>7.25</v>
      </c>
      <c r="J1375" s="33" t="n">
        <f aca="false">IF(F1375="","",F1375-C1375)</f>
        <v>6</v>
      </c>
      <c r="K1375" s="33" t="n">
        <f aca="false">IF(G1375="","",G1375-C1375)</f>
        <v>5.97694510902475</v>
      </c>
      <c r="L1375" s="33" t="n">
        <f aca="false">IF(H1375="","",ABS(H1375))</f>
        <v>3</v>
      </c>
      <c r="M1375" s="33" t="n">
        <f aca="false">IF(I1375="","",ABS(I1375))</f>
        <v>7.25</v>
      </c>
      <c r="N1375" s="33" t="n">
        <f aca="false">IF(J1375="","",ABS(J1375))</f>
        <v>6</v>
      </c>
      <c r="O1375" s="33" t="n">
        <f aca="false">IF(K1375="","",ABS(K1375))</f>
        <v>5.97694510902475</v>
      </c>
      <c r="P1375" s="34" t="str">
        <f aca="false">IF(B1375&gt;=Eval_Start_Week,"YES","")</f>
        <v/>
      </c>
      <c r="Q1375" s="34" t="str">
        <f aca="false">IF(AND(B1375&gt;=Cal_Start_Week,B1375&lt;=Cal_End_Week),"YES","")</f>
        <v/>
      </c>
    </row>
    <row r="1376" customFormat="false" ht="15" hidden="false" customHeight="false" outlineLevel="0" collapsed="false">
      <c r="A1376" s="31" t="str">
        <f aca="false">Demand_History!C1376</f>
        <v>BTH-004</v>
      </c>
      <c r="B1376" s="31" t="n">
        <f aca="false">Demand_History!A1376</f>
        <v>23</v>
      </c>
      <c r="C1376" s="32" t="n">
        <f aca="false">Demand_History!D1376</f>
        <v>61</v>
      </c>
      <c r="D1376" s="33" t="n">
        <f aca="false">IF(B1376&gt;=2,C1375,"")</f>
        <v>39</v>
      </c>
      <c r="E1376" s="33" t="n">
        <f aca="false">IF(B1376&gt;=5,AVERAGE(C1372:C1375),"")</f>
        <v>43.5</v>
      </c>
      <c r="F1376" s="33" t="n">
        <f aca="false">IF(B1376&gt;=9,AVERAGE(C1368:C1375),"")</f>
        <v>44.25</v>
      </c>
      <c r="G1376" s="33" t="n">
        <f aca="false">IF(B1376=1,"",IF(B1376=2,C1375,SES_Alpha*C1375+(1-SES_Alpha)*G1375))</f>
        <v>43.1838615763173</v>
      </c>
      <c r="H1376" s="33" t="n">
        <f aca="false">IF(D1376="","",D1376-C1376)</f>
        <v>-22</v>
      </c>
      <c r="I1376" s="33" t="n">
        <f aca="false">IF(E1376="","",E1376-C1376)</f>
        <v>-17.5</v>
      </c>
      <c r="J1376" s="33" t="n">
        <f aca="false">IF(F1376="","",F1376-C1376)</f>
        <v>-16.75</v>
      </c>
      <c r="K1376" s="33" t="n">
        <f aca="false">IF(G1376="","",G1376-C1376)</f>
        <v>-17.8161384236827</v>
      </c>
      <c r="L1376" s="33" t="n">
        <f aca="false">IF(H1376="","",ABS(H1376))</f>
        <v>22</v>
      </c>
      <c r="M1376" s="33" t="n">
        <f aca="false">IF(I1376="","",ABS(I1376))</f>
        <v>17.5</v>
      </c>
      <c r="N1376" s="33" t="n">
        <f aca="false">IF(J1376="","",ABS(J1376))</f>
        <v>16.75</v>
      </c>
      <c r="O1376" s="33" t="n">
        <f aca="false">IF(K1376="","",ABS(K1376))</f>
        <v>17.8161384236827</v>
      </c>
      <c r="P1376" s="34" t="str">
        <f aca="false">IF(B1376&gt;=Eval_Start_Week,"YES","")</f>
        <v/>
      </c>
      <c r="Q1376" s="34" t="str">
        <f aca="false">IF(AND(B1376&gt;=Cal_Start_Week,B1376&lt;=Cal_End_Week),"YES","")</f>
        <v/>
      </c>
    </row>
    <row r="1377" customFormat="false" ht="15" hidden="false" customHeight="false" outlineLevel="0" collapsed="false">
      <c r="A1377" s="31" t="str">
        <f aca="false">Demand_History!C1377</f>
        <v>BTH-004</v>
      </c>
      <c r="B1377" s="31" t="n">
        <f aca="false">Demand_History!A1377</f>
        <v>24</v>
      </c>
      <c r="C1377" s="32" t="n">
        <f aca="false">Demand_History!D1377</f>
        <v>39</v>
      </c>
      <c r="D1377" s="33" t="n">
        <f aca="false">IF(B1377&gt;=2,C1376,"")</f>
        <v>61</v>
      </c>
      <c r="E1377" s="33" t="n">
        <f aca="false">IF(B1377&gt;=5,AVERAGE(C1373:C1376),"")</f>
        <v>46.5</v>
      </c>
      <c r="F1377" s="33" t="n">
        <f aca="false">IF(B1377&gt;=9,AVERAGE(C1369:C1376),"")</f>
        <v>46.625</v>
      </c>
      <c r="G1377" s="33" t="n">
        <f aca="false">IF(B1377=1,"",IF(B1377=2,C1376,SES_Alpha*C1376+(1-SES_Alpha)*G1376))</f>
        <v>48.5287031034221</v>
      </c>
      <c r="H1377" s="33" t="n">
        <f aca="false">IF(D1377="","",D1377-C1377)</f>
        <v>22</v>
      </c>
      <c r="I1377" s="33" t="n">
        <f aca="false">IF(E1377="","",E1377-C1377)</f>
        <v>7.5</v>
      </c>
      <c r="J1377" s="33" t="n">
        <f aca="false">IF(F1377="","",F1377-C1377)</f>
        <v>7.625</v>
      </c>
      <c r="K1377" s="33" t="n">
        <f aca="false">IF(G1377="","",G1377-C1377)</f>
        <v>9.52870310342212</v>
      </c>
      <c r="L1377" s="33" t="n">
        <f aca="false">IF(H1377="","",ABS(H1377))</f>
        <v>22</v>
      </c>
      <c r="M1377" s="33" t="n">
        <f aca="false">IF(I1377="","",ABS(I1377))</f>
        <v>7.5</v>
      </c>
      <c r="N1377" s="33" t="n">
        <f aca="false">IF(J1377="","",ABS(J1377))</f>
        <v>7.625</v>
      </c>
      <c r="O1377" s="33" t="n">
        <f aca="false">IF(K1377="","",ABS(K1377))</f>
        <v>9.52870310342212</v>
      </c>
      <c r="P1377" s="34" t="str">
        <f aca="false">IF(B1377&gt;=Eval_Start_Week,"YES","")</f>
        <v/>
      </c>
      <c r="Q1377" s="34" t="str">
        <f aca="false">IF(AND(B1377&gt;=Cal_Start_Week,B1377&lt;=Cal_End_Week),"YES","")</f>
        <v/>
      </c>
    </row>
    <row r="1378" customFormat="false" ht="15" hidden="false" customHeight="false" outlineLevel="0" collapsed="false">
      <c r="A1378" s="31" t="str">
        <f aca="false">Demand_History!C1378</f>
        <v>BTH-004</v>
      </c>
      <c r="B1378" s="31" t="n">
        <f aca="false">Demand_History!A1378</f>
        <v>25</v>
      </c>
      <c r="C1378" s="32" t="n">
        <f aca="false">Demand_History!D1378</f>
        <v>58</v>
      </c>
      <c r="D1378" s="33" t="n">
        <f aca="false">IF(B1378&gt;=2,C1377,"")</f>
        <v>39</v>
      </c>
      <c r="E1378" s="33" t="n">
        <f aca="false">IF(B1378&gt;=5,AVERAGE(C1374:C1377),"")</f>
        <v>45.25</v>
      </c>
      <c r="F1378" s="33" t="n">
        <f aca="false">IF(B1378&gt;=9,AVERAGE(C1370:C1377),"")</f>
        <v>45.25</v>
      </c>
      <c r="G1378" s="33" t="n">
        <f aca="false">IF(B1378=1,"",IF(B1378=2,C1377,SES_Alpha*C1377+(1-SES_Alpha)*G1377))</f>
        <v>45.6700921723955</v>
      </c>
      <c r="H1378" s="33" t="n">
        <f aca="false">IF(D1378="","",D1378-C1378)</f>
        <v>-19</v>
      </c>
      <c r="I1378" s="33" t="n">
        <f aca="false">IF(E1378="","",E1378-C1378)</f>
        <v>-12.75</v>
      </c>
      <c r="J1378" s="33" t="n">
        <f aca="false">IF(F1378="","",F1378-C1378)</f>
        <v>-12.75</v>
      </c>
      <c r="K1378" s="33" t="n">
        <f aca="false">IF(G1378="","",G1378-C1378)</f>
        <v>-12.3299078276045</v>
      </c>
      <c r="L1378" s="33" t="n">
        <f aca="false">IF(H1378="","",ABS(H1378))</f>
        <v>19</v>
      </c>
      <c r="M1378" s="33" t="n">
        <f aca="false">IF(I1378="","",ABS(I1378))</f>
        <v>12.75</v>
      </c>
      <c r="N1378" s="33" t="n">
        <f aca="false">IF(J1378="","",ABS(J1378))</f>
        <v>12.75</v>
      </c>
      <c r="O1378" s="33" t="n">
        <f aca="false">IF(K1378="","",ABS(K1378))</f>
        <v>12.3299078276045</v>
      </c>
      <c r="P1378" s="34" t="str">
        <f aca="false">IF(B1378&gt;=Eval_Start_Week,"YES","")</f>
        <v/>
      </c>
      <c r="Q1378" s="34" t="str">
        <f aca="false">IF(AND(B1378&gt;=Cal_Start_Week,B1378&lt;=Cal_End_Week),"YES","")</f>
        <v/>
      </c>
    </row>
    <row r="1379" customFormat="false" ht="15" hidden="false" customHeight="false" outlineLevel="0" collapsed="false">
      <c r="A1379" s="31" t="str">
        <f aca="false">Demand_History!C1379</f>
        <v>BTH-004</v>
      </c>
      <c r="B1379" s="31" t="n">
        <f aca="false">Demand_History!A1379</f>
        <v>26</v>
      </c>
      <c r="C1379" s="32" t="n">
        <f aca="false">Demand_History!D1379</f>
        <v>51</v>
      </c>
      <c r="D1379" s="33" t="n">
        <f aca="false">IF(B1379&gt;=2,C1378,"")</f>
        <v>58</v>
      </c>
      <c r="E1379" s="33" t="n">
        <f aca="false">IF(B1379&gt;=5,AVERAGE(C1375:C1378),"")</f>
        <v>49.25</v>
      </c>
      <c r="F1379" s="33" t="n">
        <f aca="false">IF(B1379&gt;=9,AVERAGE(C1371:C1378),"")</f>
        <v>47.75</v>
      </c>
      <c r="G1379" s="33" t="n">
        <f aca="false">IF(B1379=1,"",IF(B1379=2,C1378,SES_Alpha*C1378+(1-SES_Alpha)*G1378))</f>
        <v>49.3690645206768</v>
      </c>
      <c r="H1379" s="33" t="n">
        <f aca="false">IF(D1379="","",D1379-C1379)</f>
        <v>7</v>
      </c>
      <c r="I1379" s="33" t="n">
        <f aca="false">IF(E1379="","",E1379-C1379)</f>
        <v>-1.75</v>
      </c>
      <c r="J1379" s="33" t="n">
        <f aca="false">IF(F1379="","",F1379-C1379)</f>
        <v>-3.25</v>
      </c>
      <c r="K1379" s="33" t="n">
        <f aca="false">IF(G1379="","",G1379-C1379)</f>
        <v>-1.63093547932316</v>
      </c>
      <c r="L1379" s="33" t="n">
        <f aca="false">IF(H1379="","",ABS(H1379))</f>
        <v>7</v>
      </c>
      <c r="M1379" s="33" t="n">
        <f aca="false">IF(I1379="","",ABS(I1379))</f>
        <v>1.75</v>
      </c>
      <c r="N1379" s="33" t="n">
        <f aca="false">IF(J1379="","",ABS(J1379))</f>
        <v>3.25</v>
      </c>
      <c r="O1379" s="33" t="n">
        <f aca="false">IF(K1379="","",ABS(K1379))</f>
        <v>1.63093547932316</v>
      </c>
      <c r="P1379" s="34" t="str">
        <f aca="false">IF(B1379&gt;=Eval_Start_Week,"YES","")</f>
        <v/>
      </c>
      <c r="Q1379" s="34" t="str">
        <f aca="false">IF(AND(B1379&gt;=Cal_Start_Week,B1379&lt;=Cal_End_Week),"YES","")</f>
        <v/>
      </c>
    </row>
    <row r="1380" customFormat="false" ht="15" hidden="false" customHeight="false" outlineLevel="0" collapsed="false">
      <c r="A1380" s="31" t="str">
        <f aca="false">Demand_History!C1380</f>
        <v>BTH-004</v>
      </c>
      <c r="B1380" s="31" t="n">
        <f aca="false">Demand_History!A1380</f>
        <v>27</v>
      </c>
      <c r="C1380" s="32" t="n">
        <f aca="false">Demand_History!D1380</f>
        <v>45</v>
      </c>
      <c r="D1380" s="33" t="n">
        <f aca="false">IF(B1380&gt;=2,C1379,"")</f>
        <v>51</v>
      </c>
      <c r="E1380" s="33" t="n">
        <f aca="false">IF(B1380&gt;=5,AVERAGE(C1376:C1379),"")</f>
        <v>52.25</v>
      </c>
      <c r="F1380" s="33" t="n">
        <f aca="false">IF(B1380&gt;=9,AVERAGE(C1372:C1379),"")</f>
        <v>47.875</v>
      </c>
      <c r="G1380" s="33" t="n">
        <f aca="false">IF(B1380=1,"",IF(B1380=2,C1379,SES_Alpha*C1379+(1-SES_Alpha)*G1379))</f>
        <v>49.8583451644738</v>
      </c>
      <c r="H1380" s="33" t="n">
        <f aca="false">IF(D1380="","",D1380-C1380)</f>
        <v>6</v>
      </c>
      <c r="I1380" s="33" t="n">
        <f aca="false">IF(E1380="","",E1380-C1380)</f>
        <v>7.25</v>
      </c>
      <c r="J1380" s="33" t="n">
        <f aca="false">IF(F1380="","",F1380-C1380)</f>
        <v>2.875</v>
      </c>
      <c r="K1380" s="33" t="n">
        <f aca="false">IF(G1380="","",G1380-C1380)</f>
        <v>4.85834516447378</v>
      </c>
      <c r="L1380" s="33" t="n">
        <f aca="false">IF(H1380="","",ABS(H1380))</f>
        <v>6</v>
      </c>
      <c r="M1380" s="33" t="n">
        <f aca="false">IF(I1380="","",ABS(I1380))</f>
        <v>7.25</v>
      </c>
      <c r="N1380" s="33" t="n">
        <f aca="false">IF(J1380="","",ABS(J1380))</f>
        <v>2.875</v>
      </c>
      <c r="O1380" s="33" t="n">
        <f aca="false">IF(K1380="","",ABS(K1380))</f>
        <v>4.85834516447378</v>
      </c>
      <c r="P1380" s="34" t="str">
        <f aca="false">IF(B1380&gt;=Eval_Start_Week,"YES","")</f>
        <v/>
      </c>
      <c r="Q1380" s="34" t="str">
        <f aca="false">IF(AND(B1380&gt;=Cal_Start_Week,B1380&lt;=Cal_End_Week),"YES","")</f>
        <v/>
      </c>
    </row>
    <row r="1381" customFormat="false" ht="15" hidden="false" customHeight="false" outlineLevel="0" collapsed="false">
      <c r="A1381" s="31" t="str">
        <f aca="false">Demand_History!C1381</f>
        <v>BTH-004</v>
      </c>
      <c r="B1381" s="31" t="n">
        <f aca="false">Demand_History!A1381</f>
        <v>28</v>
      </c>
      <c r="C1381" s="32" t="n">
        <f aca="false">Demand_History!D1381</f>
        <v>39</v>
      </c>
      <c r="D1381" s="33" t="n">
        <f aca="false">IF(B1381&gt;=2,C1380,"")</f>
        <v>45</v>
      </c>
      <c r="E1381" s="33" t="n">
        <f aca="false">IF(B1381&gt;=5,AVERAGE(C1377:C1380),"")</f>
        <v>48.25</v>
      </c>
      <c r="F1381" s="33" t="n">
        <f aca="false">IF(B1381&gt;=9,AVERAGE(C1373:C1380),"")</f>
        <v>47.375</v>
      </c>
      <c r="G1381" s="33" t="n">
        <f aca="false">IF(B1381=1,"",IF(B1381=2,C1380,SES_Alpha*C1380+(1-SES_Alpha)*G1380))</f>
        <v>48.4008416151317</v>
      </c>
      <c r="H1381" s="33" t="n">
        <f aca="false">IF(D1381="","",D1381-C1381)</f>
        <v>6</v>
      </c>
      <c r="I1381" s="33" t="n">
        <f aca="false">IF(E1381="","",E1381-C1381)</f>
        <v>9.25</v>
      </c>
      <c r="J1381" s="33" t="n">
        <f aca="false">IF(F1381="","",F1381-C1381)</f>
        <v>8.375</v>
      </c>
      <c r="K1381" s="33" t="n">
        <f aca="false">IF(G1381="","",G1381-C1381)</f>
        <v>9.40084161513165</v>
      </c>
      <c r="L1381" s="33" t="n">
        <f aca="false">IF(H1381="","",ABS(H1381))</f>
        <v>6</v>
      </c>
      <c r="M1381" s="33" t="n">
        <f aca="false">IF(I1381="","",ABS(I1381))</f>
        <v>9.25</v>
      </c>
      <c r="N1381" s="33" t="n">
        <f aca="false">IF(J1381="","",ABS(J1381))</f>
        <v>8.375</v>
      </c>
      <c r="O1381" s="33" t="n">
        <f aca="false">IF(K1381="","",ABS(K1381))</f>
        <v>9.40084161513165</v>
      </c>
      <c r="P1381" s="34" t="str">
        <f aca="false">IF(B1381&gt;=Eval_Start_Week,"YES","")</f>
        <v/>
      </c>
      <c r="Q1381" s="34" t="str">
        <f aca="false">IF(AND(B1381&gt;=Cal_Start_Week,B1381&lt;=Cal_End_Week),"YES","")</f>
        <v/>
      </c>
    </row>
    <row r="1382" customFormat="false" ht="15" hidden="false" customHeight="false" outlineLevel="0" collapsed="false">
      <c r="A1382" s="31" t="str">
        <f aca="false">Demand_History!C1382</f>
        <v>BTH-004</v>
      </c>
      <c r="B1382" s="31" t="n">
        <f aca="false">Demand_History!A1382</f>
        <v>29</v>
      </c>
      <c r="C1382" s="32" t="n">
        <f aca="false">Demand_History!D1382</f>
        <v>53</v>
      </c>
      <c r="D1382" s="33" t="n">
        <f aca="false">IF(B1382&gt;=2,C1381,"")</f>
        <v>39</v>
      </c>
      <c r="E1382" s="33" t="n">
        <f aca="false">IF(B1382&gt;=5,AVERAGE(C1378:C1381),"")</f>
        <v>48.25</v>
      </c>
      <c r="F1382" s="33" t="n">
        <f aca="false">IF(B1382&gt;=9,AVERAGE(C1374:C1381),"")</f>
        <v>46.75</v>
      </c>
      <c r="G1382" s="33" t="n">
        <f aca="false">IF(B1382=1,"",IF(B1382=2,C1381,SES_Alpha*C1381+(1-SES_Alpha)*G1381))</f>
        <v>45.5805891305921</v>
      </c>
      <c r="H1382" s="33" t="n">
        <f aca="false">IF(D1382="","",D1382-C1382)</f>
        <v>-14</v>
      </c>
      <c r="I1382" s="33" t="n">
        <f aca="false">IF(E1382="","",E1382-C1382)</f>
        <v>-4.75</v>
      </c>
      <c r="J1382" s="33" t="n">
        <f aca="false">IF(F1382="","",F1382-C1382)</f>
        <v>-6.25</v>
      </c>
      <c r="K1382" s="33" t="n">
        <f aca="false">IF(G1382="","",G1382-C1382)</f>
        <v>-7.41941086940786</v>
      </c>
      <c r="L1382" s="33" t="n">
        <f aca="false">IF(H1382="","",ABS(H1382))</f>
        <v>14</v>
      </c>
      <c r="M1382" s="33" t="n">
        <f aca="false">IF(I1382="","",ABS(I1382))</f>
        <v>4.75</v>
      </c>
      <c r="N1382" s="33" t="n">
        <f aca="false">IF(J1382="","",ABS(J1382))</f>
        <v>6.25</v>
      </c>
      <c r="O1382" s="33" t="n">
        <f aca="false">IF(K1382="","",ABS(K1382))</f>
        <v>7.41941086940786</v>
      </c>
      <c r="P1382" s="34" t="str">
        <f aca="false">IF(B1382&gt;=Eval_Start_Week,"YES","")</f>
        <v/>
      </c>
      <c r="Q1382" s="34" t="str">
        <f aca="false">IF(AND(B1382&gt;=Cal_Start_Week,B1382&lt;=Cal_End_Week),"YES","")</f>
        <v/>
      </c>
    </row>
    <row r="1383" customFormat="false" ht="15" hidden="false" customHeight="false" outlineLevel="0" collapsed="false">
      <c r="A1383" s="31" t="str">
        <f aca="false">Demand_History!C1383</f>
        <v>BTH-004</v>
      </c>
      <c r="B1383" s="31" t="n">
        <f aca="false">Demand_History!A1383</f>
        <v>30</v>
      </c>
      <c r="C1383" s="32" t="n">
        <f aca="false">Demand_History!D1383</f>
        <v>57</v>
      </c>
      <c r="D1383" s="33" t="n">
        <f aca="false">IF(B1383&gt;=2,C1382,"")</f>
        <v>53</v>
      </c>
      <c r="E1383" s="33" t="n">
        <f aca="false">IF(B1383&gt;=5,AVERAGE(C1379:C1382),"")</f>
        <v>47</v>
      </c>
      <c r="F1383" s="33" t="n">
        <f aca="false">IF(B1383&gt;=9,AVERAGE(C1375:C1382),"")</f>
        <v>48.125</v>
      </c>
      <c r="G1383" s="33" t="n">
        <f aca="false">IF(B1383=1,"",IF(B1383=2,C1382,SES_Alpha*C1382+(1-SES_Alpha)*G1382))</f>
        <v>47.8064123914145</v>
      </c>
      <c r="H1383" s="33" t="n">
        <f aca="false">IF(D1383="","",D1383-C1383)</f>
        <v>-4</v>
      </c>
      <c r="I1383" s="33" t="n">
        <f aca="false">IF(E1383="","",E1383-C1383)</f>
        <v>-10</v>
      </c>
      <c r="J1383" s="33" t="n">
        <f aca="false">IF(F1383="","",F1383-C1383)</f>
        <v>-8.875</v>
      </c>
      <c r="K1383" s="33" t="n">
        <f aca="false">IF(G1383="","",G1383-C1383)</f>
        <v>-9.1935876085855</v>
      </c>
      <c r="L1383" s="33" t="n">
        <f aca="false">IF(H1383="","",ABS(H1383))</f>
        <v>4</v>
      </c>
      <c r="M1383" s="33" t="n">
        <f aca="false">IF(I1383="","",ABS(I1383))</f>
        <v>10</v>
      </c>
      <c r="N1383" s="33" t="n">
        <f aca="false">IF(J1383="","",ABS(J1383))</f>
        <v>8.875</v>
      </c>
      <c r="O1383" s="33" t="n">
        <f aca="false">IF(K1383="","",ABS(K1383))</f>
        <v>9.1935876085855</v>
      </c>
      <c r="P1383" s="34" t="str">
        <f aca="false">IF(B1383&gt;=Eval_Start_Week,"YES","")</f>
        <v/>
      </c>
      <c r="Q1383" s="34" t="str">
        <f aca="false">IF(AND(B1383&gt;=Cal_Start_Week,B1383&lt;=Cal_End_Week),"YES","")</f>
        <v/>
      </c>
    </row>
    <row r="1384" customFormat="false" ht="15" hidden="false" customHeight="false" outlineLevel="0" collapsed="false">
      <c r="A1384" s="31" t="str">
        <f aca="false">Demand_History!C1384</f>
        <v>BTH-004</v>
      </c>
      <c r="B1384" s="31" t="n">
        <f aca="false">Demand_History!A1384</f>
        <v>31</v>
      </c>
      <c r="C1384" s="32" t="n">
        <f aca="false">Demand_History!D1384</f>
        <v>40</v>
      </c>
      <c r="D1384" s="33" t="n">
        <f aca="false">IF(B1384&gt;=2,C1383,"")</f>
        <v>57</v>
      </c>
      <c r="E1384" s="33" t="n">
        <f aca="false">IF(B1384&gt;=5,AVERAGE(C1380:C1383),"")</f>
        <v>48.5</v>
      </c>
      <c r="F1384" s="33" t="n">
        <f aca="false">IF(B1384&gt;=9,AVERAGE(C1376:C1383),"")</f>
        <v>50.375</v>
      </c>
      <c r="G1384" s="33" t="n">
        <f aca="false">IF(B1384=1,"",IF(B1384=2,C1383,SES_Alpha*C1383+(1-SES_Alpha)*G1383))</f>
        <v>50.5644886739901</v>
      </c>
      <c r="H1384" s="33" t="n">
        <f aca="false">IF(D1384="","",D1384-C1384)</f>
        <v>17</v>
      </c>
      <c r="I1384" s="33" t="n">
        <f aca="false">IF(E1384="","",E1384-C1384)</f>
        <v>8.5</v>
      </c>
      <c r="J1384" s="33" t="n">
        <f aca="false">IF(F1384="","",F1384-C1384)</f>
        <v>10.375</v>
      </c>
      <c r="K1384" s="33" t="n">
        <f aca="false">IF(G1384="","",G1384-C1384)</f>
        <v>10.5644886739901</v>
      </c>
      <c r="L1384" s="33" t="n">
        <f aca="false">IF(H1384="","",ABS(H1384))</f>
        <v>17</v>
      </c>
      <c r="M1384" s="33" t="n">
        <f aca="false">IF(I1384="","",ABS(I1384))</f>
        <v>8.5</v>
      </c>
      <c r="N1384" s="33" t="n">
        <f aca="false">IF(J1384="","",ABS(J1384))</f>
        <v>10.375</v>
      </c>
      <c r="O1384" s="33" t="n">
        <f aca="false">IF(K1384="","",ABS(K1384))</f>
        <v>10.5644886739901</v>
      </c>
      <c r="P1384" s="34" t="str">
        <f aca="false">IF(B1384&gt;=Eval_Start_Week,"YES","")</f>
        <v/>
      </c>
      <c r="Q1384" s="34" t="str">
        <f aca="false">IF(AND(B1384&gt;=Cal_Start_Week,B1384&lt;=Cal_End_Week),"YES","")</f>
        <v/>
      </c>
    </row>
    <row r="1385" customFormat="false" ht="15" hidden="false" customHeight="false" outlineLevel="0" collapsed="false">
      <c r="A1385" s="31" t="str">
        <f aca="false">Demand_History!C1385</f>
        <v>BTH-004</v>
      </c>
      <c r="B1385" s="31" t="n">
        <f aca="false">Demand_History!A1385</f>
        <v>32</v>
      </c>
      <c r="C1385" s="32" t="n">
        <f aca="false">Demand_History!D1385</f>
        <v>44</v>
      </c>
      <c r="D1385" s="33" t="n">
        <f aca="false">IF(B1385&gt;=2,C1384,"")</f>
        <v>40</v>
      </c>
      <c r="E1385" s="33" t="n">
        <f aca="false">IF(B1385&gt;=5,AVERAGE(C1381:C1384),"")</f>
        <v>47.25</v>
      </c>
      <c r="F1385" s="33" t="n">
        <f aca="false">IF(B1385&gt;=9,AVERAGE(C1377:C1384),"")</f>
        <v>47.75</v>
      </c>
      <c r="G1385" s="33" t="n">
        <f aca="false">IF(B1385=1,"",IF(B1385=2,C1384,SES_Alpha*C1384+(1-SES_Alpha)*G1384))</f>
        <v>47.3951420717931</v>
      </c>
      <c r="H1385" s="33" t="n">
        <f aca="false">IF(D1385="","",D1385-C1385)</f>
        <v>-4</v>
      </c>
      <c r="I1385" s="33" t="n">
        <f aca="false">IF(E1385="","",E1385-C1385)</f>
        <v>3.25</v>
      </c>
      <c r="J1385" s="33" t="n">
        <f aca="false">IF(F1385="","",F1385-C1385)</f>
        <v>3.75</v>
      </c>
      <c r="K1385" s="33" t="n">
        <f aca="false">IF(G1385="","",G1385-C1385)</f>
        <v>3.3951420717931</v>
      </c>
      <c r="L1385" s="33" t="n">
        <f aca="false">IF(H1385="","",ABS(H1385))</f>
        <v>4</v>
      </c>
      <c r="M1385" s="33" t="n">
        <f aca="false">IF(I1385="","",ABS(I1385))</f>
        <v>3.25</v>
      </c>
      <c r="N1385" s="33" t="n">
        <f aca="false">IF(J1385="","",ABS(J1385))</f>
        <v>3.75</v>
      </c>
      <c r="O1385" s="33" t="n">
        <f aca="false">IF(K1385="","",ABS(K1385))</f>
        <v>3.3951420717931</v>
      </c>
      <c r="P1385" s="34" t="str">
        <f aca="false">IF(B1385&gt;=Eval_Start_Week,"YES","")</f>
        <v/>
      </c>
      <c r="Q1385" s="34" t="str">
        <f aca="false">IF(AND(B1385&gt;=Cal_Start_Week,B1385&lt;=Cal_End_Week),"YES","")</f>
        <v/>
      </c>
    </row>
    <row r="1386" customFormat="false" ht="15" hidden="false" customHeight="false" outlineLevel="0" collapsed="false">
      <c r="A1386" s="31" t="str">
        <f aca="false">Demand_History!C1386</f>
        <v>BTH-004</v>
      </c>
      <c r="B1386" s="31" t="n">
        <f aca="false">Demand_History!A1386</f>
        <v>33</v>
      </c>
      <c r="C1386" s="32" t="n">
        <f aca="false">Demand_History!D1386</f>
        <v>52</v>
      </c>
      <c r="D1386" s="33" t="n">
        <f aca="false">IF(B1386&gt;=2,C1385,"")</f>
        <v>44</v>
      </c>
      <c r="E1386" s="33" t="n">
        <f aca="false">IF(B1386&gt;=5,AVERAGE(C1382:C1385),"")</f>
        <v>48.5</v>
      </c>
      <c r="F1386" s="33" t="n">
        <f aca="false">IF(B1386&gt;=9,AVERAGE(C1378:C1385),"")</f>
        <v>48.375</v>
      </c>
      <c r="G1386" s="33" t="n">
        <f aca="false">IF(B1386=1,"",IF(B1386=2,C1385,SES_Alpha*C1385+(1-SES_Alpha)*G1385))</f>
        <v>46.3765994502552</v>
      </c>
      <c r="H1386" s="33" t="n">
        <f aca="false">IF(D1386="","",D1386-C1386)</f>
        <v>-8</v>
      </c>
      <c r="I1386" s="33" t="n">
        <f aca="false">IF(E1386="","",E1386-C1386)</f>
        <v>-3.5</v>
      </c>
      <c r="J1386" s="33" t="n">
        <f aca="false">IF(F1386="","",F1386-C1386)</f>
        <v>-3.625</v>
      </c>
      <c r="K1386" s="33" t="n">
        <f aca="false">IF(G1386="","",G1386-C1386)</f>
        <v>-5.62340054974483</v>
      </c>
      <c r="L1386" s="33" t="n">
        <f aca="false">IF(H1386="","",ABS(H1386))</f>
        <v>8</v>
      </c>
      <c r="M1386" s="33" t="n">
        <f aca="false">IF(I1386="","",ABS(I1386))</f>
        <v>3.5</v>
      </c>
      <c r="N1386" s="33" t="n">
        <f aca="false">IF(J1386="","",ABS(J1386))</f>
        <v>3.625</v>
      </c>
      <c r="O1386" s="33" t="n">
        <f aca="false">IF(K1386="","",ABS(K1386))</f>
        <v>5.62340054974483</v>
      </c>
      <c r="P1386" s="34" t="str">
        <f aca="false">IF(B1386&gt;=Eval_Start_Week,"YES","")</f>
        <v/>
      </c>
      <c r="Q1386" s="34" t="str">
        <f aca="false">IF(AND(B1386&gt;=Cal_Start_Week,B1386&lt;=Cal_End_Week),"YES","")</f>
        <v/>
      </c>
    </row>
    <row r="1387" customFormat="false" ht="15" hidden="false" customHeight="false" outlineLevel="0" collapsed="false">
      <c r="A1387" s="31" t="str">
        <f aca="false">Demand_History!C1387</f>
        <v>BTH-004</v>
      </c>
      <c r="B1387" s="31" t="n">
        <f aca="false">Demand_History!A1387</f>
        <v>34</v>
      </c>
      <c r="C1387" s="32" t="n">
        <f aca="false">Demand_History!D1387</f>
        <v>47</v>
      </c>
      <c r="D1387" s="33" t="n">
        <f aca="false">IF(B1387&gt;=2,C1386,"")</f>
        <v>52</v>
      </c>
      <c r="E1387" s="33" t="n">
        <f aca="false">IF(B1387&gt;=5,AVERAGE(C1383:C1386),"")</f>
        <v>48.25</v>
      </c>
      <c r="F1387" s="33" t="n">
        <f aca="false">IF(B1387&gt;=9,AVERAGE(C1379:C1386),"")</f>
        <v>47.625</v>
      </c>
      <c r="G1387" s="33" t="n">
        <f aca="false">IF(B1387=1,"",IF(B1387=2,C1386,SES_Alpha*C1386+(1-SES_Alpha)*G1386))</f>
        <v>48.0636196151786</v>
      </c>
      <c r="H1387" s="33" t="n">
        <f aca="false">IF(D1387="","",D1387-C1387)</f>
        <v>5</v>
      </c>
      <c r="I1387" s="33" t="n">
        <f aca="false">IF(E1387="","",E1387-C1387)</f>
        <v>1.25</v>
      </c>
      <c r="J1387" s="33" t="n">
        <f aca="false">IF(F1387="","",F1387-C1387)</f>
        <v>0.625</v>
      </c>
      <c r="K1387" s="33" t="n">
        <f aca="false">IF(G1387="","",G1387-C1387)</f>
        <v>1.06361961517862</v>
      </c>
      <c r="L1387" s="33" t="n">
        <f aca="false">IF(H1387="","",ABS(H1387))</f>
        <v>5</v>
      </c>
      <c r="M1387" s="33" t="n">
        <f aca="false">IF(I1387="","",ABS(I1387))</f>
        <v>1.25</v>
      </c>
      <c r="N1387" s="33" t="n">
        <f aca="false">IF(J1387="","",ABS(J1387))</f>
        <v>0.625</v>
      </c>
      <c r="O1387" s="33" t="n">
        <f aca="false">IF(K1387="","",ABS(K1387))</f>
        <v>1.06361961517862</v>
      </c>
      <c r="P1387" s="34" t="str">
        <f aca="false">IF(B1387&gt;=Eval_Start_Week,"YES","")</f>
        <v/>
      </c>
      <c r="Q1387" s="34" t="str">
        <f aca="false">IF(AND(B1387&gt;=Cal_Start_Week,B1387&lt;=Cal_End_Week),"YES","")</f>
        <v/>
      </c>
    </row>
    <row r="1388" customFormat="false" ht="15" hidden="false" customHeight="false" outlineLevel="0" collapsed="false">
      <c r="A1388" s="31" t="str">
        <f aca="false">Demand_History!C1388</f>
        <v>BTH-004</v>
      </c>
      <c r="B1388" s="31" t="n">
        <f aca="false">Demand_History!A1388</f>
        <v>35</v>
      </c>
      <c r="C1388" s="32" t="n">
        <f aca="false">Demand_History!D1388</f>
        <v>57</v>
      </c>
      <c r="D1388" s="33" t="n">
        <f aca="false">IF(B1388&gt;=2,C1387,"")</f>
        <v>47</v>
      </c>
      <c r="E1388" s="33" t="n">
        <f aca="false">IF(B1388&gt;=5,AVERAGE(C1384:C1387),"")</f>
        <v>45.75</v>
      </c>
      <c r="F1388" s="33" t="n">
        <f aca="false">IF(B1388&gt;=9,AVERAGE(C1380:C1387),"")</f>
        <v>47.125</v>
      </c>
      <c r="G1388" s="33" t="n">
        <f aca="false">IF(B1388=1,"",IF(B1388=2,C1387,SES_Alpha*C1387+(1-SES_Alpha)*G1387))</f>
        <v>47.744533730625</v>
      </c>
      <c r="H1388" s="33" t="n">
        <f aca="false">IF(D1388="","",D1388-C1388)</f>
        <v>-10</v>
      </c>
      <c r="I1388" s="33" t="n">
        <f aca="false">IF(E1388="","",E1388-C1388)</f>
        <v>-11.25</v>
      </c>
      <c r="J1388" s="33" t="n">
        <f aca="false">IF(F1388="","",F1388-C1388)</f>
        <v>-9.875</v>
      </c>
      <c r="K1388" s="33" t="n">
        <f aca="false">IF(G1388="","",G1388-C1388)</f>
        <v>-9.25546626937497</v>
      </c>
      <c r="L1388" s="33" t="n">
        <f aca="false">IF(H1388="","",ABS(H1388))</f>
        <v>10</v>
      </c>
      <c r="M1388" s="33" t="n">
        <f aca="false">IF(I1388="","",ABS(I1388))</f>
        <v>11.25</v>
      </c>
      <c r="N1388" s="33" t="n">
        <f aca="false">IF(J1388="","",ABS(J1388))</f>
        <v>9.875</v>
      </c>
      <c r="O1388" s="33" t="n">
        <f aca="false">IF(K1388="","",ABS(K1388))</f>
        <v>9.25546626937497</v>
      </c>
      <c r="P1388" s="34" t="str">
        <f aca="false">IF(B1388&gt;=Eval_Start_Week,"YES","")</f>
        <v/>
      </c>
      <c r="Q1388" s="34" t="str">
        <f aca="false">IF(AND(B1388&gt;=Cal_Start_Week,B1388&lt;=Cal_End_Week),"YES","")</f>
        <v/>
      </c>
    </row>
    <row r="1389" customFormat="false" ht="15" hidden="false" customHeight="false" outlineLevel="0" collapsed="false">
      <c r="A1389" s="31" t="str">
        <f aca="false">Demand_History!C1389</f>
        <v>BTH-004</v>
      </c>
      <c r="B1389" s="31" t="n">
        <f aca="false">Demand_History!A1389</f>
        <v>36</v>
      </c>
      <c r="C1389" s="32" t="n">
        <f aca="false">Demand_History!D1389</f>
        <v>41</v>
      </c>
      <c r="D1389" s="33" t="n">
        <f aca="false">IF(B1389&gt;=2,C1388,"")</f>
        <v>57</v>
      </c>
      <c r="E1389" s="33" t="n">
        <f aca="false">IF(B1389&gt;=5,AVERAGE(C1385:C1388),"")</f>
        <v>50</v>
      </c>
      <c r="F1389" s="33" t="n">
        <f aca="false">IF(B1389&gt;=9,AVERAGE(C1381:C1388),"")</f>
        <v>48.625</v>
      </c>
      <c r="G1389" s="33" t="n">
        <f aca="false">IF(B1389=1,"",IF(B1389=2,C1388,SES_Alpha*C1388+(1-SES_Alpha)*G1388))</f>
        <v>50.5211736114375</v>
      </c>
      <c r="H1389" s="33" t="n">
        <f aca="false">IF(D1389="","",D1389-C1389)</f>
        <v>16</v>
      </c>
      <c r="I1389" s="33" t="n">
        <f aca="false">IF(E1389="","",E1389-C1389)</f>
        <v>9</v>
      </c>
      <c r="J1389" s="33" t="n">
        <f aca="false">IF(F1389="","",F1389-C1389)</f>
        <v>7.625</v>
      </c>
      <c r="K1389" s="33" t="n">
        <f aca="false">IF(G1389="","",G1389-C1389)</f>
        <v>9.52117361143752</v>
      </c>
      <c r="L1389" s="33" t="n">
        <f aca="false">IF(H1389="","",ABS(H1389))</f>
        <v>16</v>
      </c>
      <c r="M1389" s="33" t="n">
        <f aca="false">IF(I1389="","",ABS(I1389))</f>
        <v>9</v>
      </c>
      <c r="N1389" s="33" t="n">
        <f aca="false">IF(J1389="","",ABS(J1389))</f>
        <v>7.625</v>
      </c>
      <c r="O1389" s="33" t="n">
        <f aca="false">IF(K1389="","",ABS(K1389))</f>
        <v>9.52117361143752</v>
      </c>
      <c r="P1389" s="34" t="str">
        <f aca="false">IF(B1389&gt;=Eval_Start_Week,"YES","")</f>
        <v/>
      </c>
      <c r="Q1389" s="34" t="str">
        <f aca="false">IF(AND(B1389&gt;=Cal_Start_Week,B1389&lt;=Cal_End_Week),"YES","")</f>
        <v/>
      </c>
    </row>
    <row r="1390" customFormat="false" ht="15" hidden="false" customHeight="false" outlineLevel="0" collapsed="false">
      <c r="A1390" s="31" t="str">
        <f aca="false">Demand_History!C1390</f>
        <v>BTH-004</v>
      </c>
      <c r="B1390" s="31" t="n">
        <f aca="false">Demand_History!A1390</f>
        <v>37</v>
      </c>
      <c r="C1390" s="32" t="n">
        <f aca="false">Demand_History!D1390</f>
        <v>48</v>
      </c>
      <c r="D1390" s="33" t="n">
        <f aca="false">IF(B1390&gt;=2,C1389,"")</f>
        <v>41</v>
      </c>
      <c r="E1390" s="33" t="n">
        <f aca="false">IF(B1390&gt;=5,AVERAGE(C1386:C1389),"")</f>
        <v>49.25</v>
      </c>
      <c r="F1390" s="33" t="n">
        <f aca="false">IF(B1390&gt;=9,AVERAGE(C1382:C1389),"")</f>
        <v>48.875</v>
      </c>
      <c r="G1390" s="33" t="n">
        <f aca="false">IF(B1390=1,"",IF(B1390=2,C1389,SES_Alpha*C1389+(1-SES_Alpha)*G1389))</f>
        <v>47.6648215280063</v>
      </c>
      <c r="H1390" s="33" t="n">
        <f aca="false">IF(D1390="","",D1390-C1390)</f>
        <v>-7</v>
      </c>
      <c r="I1390" s="33" t="n">
        <f aca="false">IF(E1390="","",E1390-C1390)</f>
        <v>1.25</v>
      </c>
      <c r="J1390" s="33" t="n">
        <f aca="false">IF(F1390="","",F1390-C1390)</f>
        <v>0.875</v>
      </c>
      <c r="K1390" s="33" t="n">
        <f aca="false">IF(G1390="","",G1390-C1390)</f>
        <v>-0.335178471993743</v>
      </c>
      <c r="L1390" s="33" t="n">
        <f aca="false">IF(H1390="","",ABS(H1390))</f>
        <v>7</v>
      </c>
      <c r="M1390" s="33" t="n">
        <f aca="false">IF(I1390="","",ABS(I1390))</f>
        <v>1.25</v>
      </c>
      <c r="N1390" s="33" t="n">
        <f aca="false">IF(J1390="","",ABS(J1390))</f>
        <v>0.875</v>
      </c>
      <c r="O1390" s="33" t="n">
        <f aca="false">IF(K1390="","",ABS(K1390))</f>
        <v>0.335178471993743</v>
      </c>
      <c r="P1390" s="34" t="str">
        <f aca="false">IF(B1390&gt;=Eval_Start_Week,"YES","")</f>
        <v/>
      </c>
      <c r="Q1390" s="34" t="str">
        <f aca="false">IF(AND(B1390&gt;=Cal_Start_Week,B1390&lt;=Cal_End_Week),"YES","")</f>
        <v>YES</v>
      </c>
    </row>
    <row r="1391" customFormat="false" ht="15" hidden="false" customHeight="false" outlineLevel="0" collapsed="false">
      <c r="A1391" s="31" t="str">
        <f aca="false">Demand_History!C1391</f>
        <v>BTH-004</v>
      </c>
      <c r="B1391" s="31" t="n">
        <f aca="false">Demand_History!A1391</f>
        <v>38</v>
      </c>
      <c r="C1391" s="32" t="n">
        <f aca="false">Demand_History!D1391</f>
        <v>36</v>
      </c>
      <c r="D1391" s="33" t="n">
        <f aca="false">IF(B1391&gt;=2,C1390,"")</f>
        <v>48</v>
      </c>
      <c r="E1391" s="33" t="n">
        <f aca="false">IF(B1391&gt;=5,AVERAGE(C1387:C1390),"")</f>
        <v>48.25</v>
      </c>
      <c r="F1391" s="33" t="n">
        <f aca="false">IF(B1391&gt;=9,AVERAGE(C1383:C1390),"")</f>
        <v>48.25</v>
      </c>
      <c r="G1391" s="33" t="n">
        <f aca="false">IF(B1391=1,"",IF(B1391=2,C1390,SES_Alpha*C1390+(1-SES_Alpha)*G1390))</f>
        <v>47.7653750696044</v>
      </c>
      <c r="H1391" s="33" t="n">
        <f aca="false">IF(D1391="","",D1391-C1391)</f>
        <v>12</v>
      </c>
      <c r="I1391" s="33" t="n">
        <f aca="false">IF(E1391="","",E1391-C1391)</f>
        <v>12.25</v>
      </c>
      <c r="J1391" s="33" t="n">
        <f aca="false">IF(F1391="","",F1391-C1391)</f>
        <v>12.25</v>
      </c>
      <c r="K1391" s="33" t="n">
        <f aca="false">IF(G1391="","",G1391-C1391)</f>
        <v>11.7653750696044</v>
      </c>
      <c r="L1391" s="33" t="n">
        <f aca="false">IF(H1391="","",ABS(H1391))</f>
        <v>12</v>
      </c>
      <c r="M1391" s="33" t="n">
        <f aca="false">IF(I1391="","",ABS(I1391))</f>
        <v>12.25</v>
      </c>
      <c r="N1391" s="33" t="n">
        <f aca="false">IF(J1391="","",ABS(J1391))</f>
        <v>12.25</v>
      </c>
      <c r="O1391" s="33" t="n">
        <f aca="false">IF(K1391="","",ABS(K1391))</f>
        <v>11.7653750696044</v>
      </c>
      <c r="P1391" s="34" t="str">
        <f aca="false">IF(B1391&gt;=Eval_Start_Week,"YES","")</f>
        <v/>
      </c>
      <c r="Q1391" s="34" t="str">
        <f aca="false">IF(AND(B1391&gt;=Cal_Start_Week,B1391&lt;=Cal_End_Week),"YES","")</f>
        <v>YES</v>
      </c>
    </row>
    <row r="1392" customFormat="false" ht="15" hidden="false" customHeight="false" outlineLevel="0" collapsed="false">
      <c r="A1392" s="31" t="str">
        <f aca="false">Demand_History!C1392</f>
        <v>BTH-004</v>
      </c>
      <c r="B1392" s="31" t="n">
        <f aca="false">Demand_History!A1392</f>
        <v>39</v>
      </c>
      <c r="C1392" s="32" t="n">
        <f aca="false">Demand_History!D1392</f>
        <v>56</v>
      </c>
      <c r="D1392" s="33" t="n">
        <f aca="false">IF(B1392&gt;=2,C1391,"")</f>
        <v>36</v>
      </c>
      <c r="E1392" s="33" t="n">
        <f aca="false">IF(B1392&gt;=5,AVERAGE(C1388:C1391),"")</f>
        <v>45.5</v>
      </c>
      <c r="F1392" s="33" t="n">
        <f aca="false">IF(B1392&gt;=9,AVERAGE(C1384:C1391),"")</f>
        <v>45.625</v>
      </c>
      <c r="G1392" s="33" t="n">
        <f aca="false">IF(B1392=1,"",IF(B1392=2,C1391,SES_Alpha*C1391+(1-SES_Alpha)*G1391))</f>
        <v>44.2357625487231</v>
      </c>
      <c r="H1392" s="33" t="n">
        <f aca="false">IF(D1392="","",D1392-C1392)</f>
        <v>-20</v>
      </c>
      <c r="I1392" s="33" t="n">
        <f aca="false">IF(E1392="","",E1392-C1392)</f>
        <v>-10.5</v>
      </c>
      <c r="J1392" s="33" t="n">
        <f aca="false">IF(F1392="","",F1392-C1392)</f>
        <v>-10.375</v>
      </c>
      <c r="K1392" s="33" t="n">
        <f aca="false">IF(G1392="","",G1392-C1392)</f>
        <v>-11.7642374512769</v>
      </c>
      <c r="L1392" s="33" t="n">
        <f aca="false">IF(H1392="","",ABS(H1392))</f>
        <v>20</v>
      </c>
      <c r="M1392" s="33" t="n">
        <f aca="false">IF(I1392="","",ABS(I1392))</f>
        <v>10.5</v>
      </c>
      <c r="N1392" s="33" t="n">
        <f aca="false">IF(J1392="","",ABS(J1392))</f>
        <v>10.375</v>
      </c>
      <c r="O1392" s="33" t="n">
        <f aca="false">IF(K1392="","",ABS(K1392))</f>
        <v>11.7642374512769</v>
      </c>
      <c r="P1392" s="34" t="str">
        <f aca="false">IF(B1392&gt;=Eval_Start_Week,"YES","")</f>
        <v/>
      </c>
      <c r="Q1392" s="34" t="str">
        <f aca="false">IF(AND(B1392&gt;=Cal_Start_Week,B1392&lt;=Cal_End_Week),"YES","")</f>
        <v>YES</v>
      </c>
    </row>
    <row r="1393" customFormat="false" ht="15" hidden="false" customHeight="false" outlineLevel="0" collapsed="false">
      <c r="A1393" s="31" t="str">
        <f aca="false">Demand_History!C1393</f>
        <v>BTH-004</v>
      </c>
      <c r="B1393" s="31" t="n">
        <f aca="false">Demand_History!A1393</f>
        <v>40</v>
      </c>
      <c r="C1393" s="32" t="n">
        <f aca="false">Demand_History!D1393</f>
        <v>39</v>
      </c>
      <c r="D1393" s="33" t="n">
        <f aca="false">IF(B1393&gt;=2,C1392,"")</f>
        <v>56</v>
      </c>
      <c r="E1393" s="33" t="n">
        <f aca="false">IF(B1393&gt;=5,AVERAGE(C1389:C1392),"")</f>
        <v>45.25</v>
      </c>
      <c r="F1393" s="33" t="n">
        <f aca="false">IF(B1393&gt;=9,AVERAGE(C1385:C1392),"")</f>
        <v>47.625</v>
      </c>
      <c r="G1393" s="33" t="n">
        <f aca="false">IF(B1393=1,"",IF(B1393=2,C1392,SES_Alpha*C1392+(1-SES_Alpha)*G1392))</f>
        <v>47.7650337841061</v>
      </c>
      <c r="H1393" s="33" t="n">
        <f aca="false">IF(D1393="","",D1393-C1393)</f>
        <v>17</v>
      </c>
      <c r="I1393" s="33" t="n">
        <f aca="false">IF(E1393="","",E1393-C1393)</f>
        <v>6.25</v>
      </c>
      <c r="J1393" s="33" t="n">
        <f aca="false">IF(F1393="","",F1393-C1393)</f>
        <v>8.625</v>
      </c>
      <c r="K1393" s="33" t="n">
        <f aca="false">IF(G1393="","",G1393-C1393)</f>
        <v>8.76503378410614</v>
      </c>
      <c r="L1393" s="33" t="n">
        <f aca="false">IF(H1393="","",ABS(H1393))</f>
        <v>17</v>
      </c>
      <c r="M1393" s="33" t="n">
        <f aca="false">IF(I1393="","",ABS(I1393))</f>
        <v>6.25</v>
      </c>
      <c r="N1393" s="33" t="n">
        <f aca="false">IF(J1393="","",ABS(J1393))</f>
        <v>8.625</v>
      </c>
      <c r="O1393" s="33" t="n">
        <f aca="false">IF(K1393="","",ABS(K1393))</f>
        <v>8.76503378410614</v>
      </c>
      <c r="P1393" s="34" t="str">
        <f aca="false">IF(B1393&gt;=Eval_Start_Week,"YES","")</f>
        <v/>
      </c>
      <c r="Q1393" s="34" t="str">
        <f aca="false">IF(AND(B1393&gt;=Cal_Start_Week,B1393&lt;=Cal_End_Week),"YES","")</f>
        <v>YES</v>
      </c>
    </row>
    <row r="1394" customFormat="false" ht="15" hidden="false" customHeight="false" outlineLevel="0" collapsed="false">
      <c r="A1394" s="31" t="str">
        <f aca="false">Demand_History!C1394</f>
        <v>BTH-004</v>
      </c>
      <c r="B1394" s="31" t="n">
        <f aca="false">Demand_History!A1394</f>
        <v>41</v>
      </c>
      <c r="C1394" s="32" t="n">
        <f aca="false">Demand_History!D1394</f>
        <v>30</v>
      </c>
      <c r="D1394" s="33" t="n">
        <f aca="false">IF(B1394&gt;=2,C1393,"")</f>
        <v>39</v>
      </c>
      <c r="E1394" s="33" t="n">
        <f aca="false">IF(B1394&gt;=5,AVERAGE(C1390:C1393),"")</f>
        <v>44.75</v>
      </c>
      <c r="F1394" s="33" t="n">
        <f aca="false">IF(B1394&gt;=9,AVERAGE(C1386:C1393),"")</f>
        <v>47</v>
      </c>
      <c r="G1394" s="33" t="n">
        <f aca="false">IF(B1394=1,"",IF(B1394=2,C1393,SES_Alpha*C1393+(1-SES_Alpha)*G1393))</f>
        <v>45.1355236488743</v>
      </c>
      <c r="H1394" s="33" t="n">
        <f aca="false">IF(D1394="","",D1394-C1394)</f>
        <v>9</v>
      </c>
      <c r="I1394" s="33" t="n">
        <f aca="false">IF(E1394="","",E1394-C1394)</f>
        <v>14.75</v>
      </c>
      <c r="J1394" s="33" t="n">
        <f aca="false">IF(F1394="","",F1394-C1394)</f>
        <v>17</v>
      </c>
      <c r="K1394" s="33" t="n">
        <f aca="false">IF(G1394="","",G1394-C1394)</f>
        <v>15.1355236488743</v>
      </c>
      <c r="L1394" s="33" t="n">
        <f aca="false">IF(H1394="","",ABS(H1394))</f>
        <v>9</v>
      </c>
      <c r="M1394" s="33" t="n">
        <f aca="false">IF(I1394="","",ABS(I1394))</f>
        <v>14.75</v>
      </c>
      <c r="N1394" s="33" t="n">
        <f aca="false">IF(J1394="","",ABS(J1394))</f>
        <v>17</v>
      </c>
      <c r="O1394" s="33" t="n">
        <f aca="false">IF(K1394="","",ABS(K1394))</f>
        <v>15.1355236488743</v>
      </c>
      <c r="P1394" s="34" t="str">
        <f aca="false">IF(B1394&gt;=Eval_Start_Week,"YES","")</f>
        <v/>
      </c>
      <c r="Q1394" s="34" t="str">
        <f aca="false">IF(AND(B1394&gt;=Cal_Start_Week,B1394&lt;=Cal_End_Week),"YES","")</f>
        <v>YES</v>
      </c>
    </row>
    <row r="1395" customFormat="false" ht="15" hidden="false" customHeight="false" outlineLevel="0" collapsed="false">
      <c r="A1395" s="31" t="str">
        <f aca="false">Demand_History!C1395</f>
        <v>BTH-004</v>
      </c>
      <c r="B1395" s="31" t="n">
        <f aca="false">Demand_History!A1395</f>
        <v>42</v>
      </c>
      <c r="C1395" s="32" t="n">
        <f aca="false">Demand_History!D1395</f>
        <v>42</v>
      </c>
      <c r="D1395" s="33" t="n">
        <f aca="false">IF(B1395&gt;=2,C1394,"")</f>
        <v>30</v>
      </c>
      <c r="E1395" s="33" t="n">
        <f aca="false">IF(B1395&gt;=5,AVERAGE(C1391:C1394),"")</f>
        <v>40.25</v>
      </c>
      <c r="F1395" s="33" t="n">
        <f aca="false">IF(B1395&gt;=9,AVERAGE(C1387:C1394),"")</f>
        <v>44.25</v>
      </c>
      <c r="G1395" s="33" t="n">
        <f aca="false">IF(B1395=1,"",IF(B1395=2,C1394,SES_Alpha*C1394+(1-SES_Alpha)*G1394))</f>
        <v>40.594866554212</v>
      </c>
      <c r="H1395" s="33" t="n">
        <f aca="false">IF(D1395="","",D1395-C1395)</f>
        <v>-12</v>
      </c>
      <c r="I1395" s="33" t="n">
        <f aca="false">IF(E1395="","",E1395-C1395)</f>
        <v>-1.75</v>
      </c>
      <c r="J1395" s="33" t="n">
        <f aca="false">IF(F1395="","",F1395-C1395)</f>
        <v>2.25</v>
      </c>
      <c r="K1395" s="33" t="n">
        <f aca="false">IF(G1395="","",G1395-C1395)</f>
        <v>-1.405133445788</v>
      </c>
      <c r="L1395" s="33" t="n">
        <f aca="false">IF(H1395="","",ABS(H1395))</f>
        <v>12</v>
      </c>
      <c r="M1395" s="33" t="n">
        <f aca="false">IF(I1395="","",ABS(I1395))</f>
        <v>1.75</v>
      </c>
      <c r="N1395" s="33" t="n">
        <f aca="false">IF(J1395="","",ABS(J1395))</f>
        <v>2.25</v>
      </c>
      <c r="O1395" s="33" t="n">
        <f aca="false">IF(K1395="","",ABS(K1395))</f>
        <v>1.405133445788</v>
      </c>
      <c r="P1395" s="34" t="str">
        <f aca="false">IF(B1395&gt;=Eval_Start_Week,"YES","")</f>
        <v/>
      </c>
      <c r="Q1395" s="34" t="str">
        <f aca="false">IF(AND(B1395&gt;=Cal_Start_Week,B1395&lt;=Cal_End_Week),"YES","")</f>
        <v>YES</v>
      </c>
    </row>
    <row r="1396" customFormat="false" ht="15" hidden="false" customHeight="false" outlineLevel="0" collapsed="false">
      <c r="A1396" s="31" t="str">
        <f aca="false">Demand_History!C1396</f>
        <v>BTH-004</v>
      </c>
      <c r="B1396" s="31" t="n">
        <f aca="false">Demand_History!A1396</f>
        <v>43</v>
      </c>
      <c r="C1396" s="32" t="n">
        <f aca="false">Demand_History!D1396</f>
        <v>42</v>
      </c>
      <c r="D1396" s="33" t="n">
        <f aca="false">IF(B1396&gt;=2,C1395,"")</f>
        <v>42</v>
      </c>
      <c r="E1396" s="33" t="n">
        <f aca="false">IF(B1396&gt;=5,AVERAGE(C1392:C1395),"")</f>
        <v>41.75</v>
      </c>
      <c r="F1396" s="33" t="n">
        <f aca="false">IF(B1396&gt;=9,AVERAGE(C1388:C1395),"")</f>
        <v>43.625</v>
      </c>
      <c r="G1396" s="33" t="n">
        <f aca="false">IF(B1396=1,"",IF(B1396=2,C1395,SES_Alpha*C1395+(1-SES_Alpha)*G1395))</f>
        <v>41.0164065879484</v>
      </c>
      <c r="H1396" s="33" t="n">
        <f aca="false">IF(D1396="","",D1396-C1396)</f>
        <v>0</v>
      </c>
      <c r="I1396" s="33" t="n">
        <f aca="false">IF(E1396="","",E1396-C1396)</f>
        <v>-0.25</v>
      </c>
      <c r="J1396" s="33" t="n">
        <f aca="false">IF(F1396="","",F1396-C1396)</f>
        <v>1.625</v>
      </c>
      <c r="K1396" s="33" t="n">
        <f aca="false">IF(G1396="","",G1396-C1396)</f>
        <v>-0.983593412051597</v>
      </c>
      <c r="L1396" s="33" t="n">
        <f aca="false">IF(H1396="","",ABS(H1396))</f>
        <v>0</v>
      </c>
      <c r="M1396" s="33" t="n">
        <f aca="false">IF(I1396="","",ABS(I1396))</f>
        <v>0.25</v>
      </c>
      <c r="N1396" s="33" t="n">
        <f aca="false">IF(J1396="","",ABS(J1396))</f>
        <v>1.625</v>
      </c>
      <c r="O1396" s="33" t="n">
        <f aca="false">IF(K1396="","",ABS(K1396))</f>
        <v>0.983593412051597</v>
      </c>
      <c r="P1396" s="34" t="str">
        <f aca="false">IF(B1396&gt;=Eval_Start_Week,"YES","")</f>
        <v/>
      </c>
      <c r="Q1396" s="34" t="str">
        <f aca="false">IF(AND(B1396&gt;=Cal_Start_Week,B1396&lt;=Cal_End_Week),"YES","")</f>
        <v>YES</v>
      </c>
    </row>
    <row r="1397" customFormat="false" ht="15" hidden="false" customHeight="false" outlineLevel="0" collapsed="false">
      <c r="A1397" s="31" t="str">
        <f aca="false">Demand_History!C1397</f>
        <v>BTH-004</v>
      </c>
      <c r="B1397" s="31" t="n">
        <f aca="false">Demand_History!A1397</f>
        <v>44</v>
      </c>
      <c r="C1397" s="32" t="n">
        <f aca="false">Demand_History!D1397</f>
        <v>54</v>
      </c>
      <c r="D1397" s="33" t="n">
        <f aca="false">IF(B1397&gt;=2,C1396,"")</f>
        <v>42</v>
      </c>
      <c r="E1397" s="33" t="n">
        <f aca="false">IF(B1397&gt;=5,AVERAGE(C1393:C1396),"")</f>
        <v>38.25</v>
      </c>
      <c r="F1397" s="33" t="n">
        <f aca="false">IF(B1397&gt;=9,AVERAGE(C1389:C1396),"")</f>
        <v>41.75</v>
      </c>
      <c r="G1397" s="33" t="n">
        <f aca="false">IF(B1397=1,"",IF(B1397=2,C1396,SES_Alpha*C1396+(1-SES_Alpha)*G1396))</f>
        <v>41.3114846115639</v>
      </c>
      <c r="H1397" s="33" t="n">
        <f aca="false">IF(D1397="","",D1397-C1397)</f>
        <v>-12</v>
      </c>
      <c r="I1397" s="33" t="n">
        <f aca="false">IF(E1397="","",E1397-C1397)</f>
        <v>-15.75</v>
      </c>
      <c r="J1397" s="33" t="n">
        <f aca="false">IF(F1397="","",F1397-C1397)</f>
        <v>-12.25</v>
      </c>
      <c r="K1397" s="33" t="n">
        <f aca="false">IF(G1397="","",G1397-C1397)</f>
        <v>-12.6885153884361</v>
      </c>
      <c r="L1397" s="33" t="n">
        <f aca="false">IF(H1397="","",ABS(H1397))</f>
        <v>12</v>
      </c>
      <c r="M1397" s="33" t="n">
        <f aca="false">IF(I1397="","",ABS(I1397))</f>
        <v>15.75</v>
      </c>
      <c r="N1397" s="33" t="n">
        <f aca="false">IF(J1397="","",ABS(J1397))</f>
        <v>12.25</v>
      </c>
      <c r="O1397" s="33" t="n">
        <f aca="false">IF(K1397="","",ABS(K1397))</f>
        <v>12.6885153884361</v>
      </c>
      <c r="P1397" s="34" t="str">
        <f aca="false">IF(B1397&gt;=Eval_Start_Week,"YES","")</f>
        <v/>
      </c>
      <c r="Q1397" s="34" t="str">
        <f aca="false">IF(AND(B1397&gt;=Cal_Start_Week,B1397&lt;=Cal_End_Week),"YES","")</f>
        <v>YES</v>
      </c>
    </row>
    <row r="1398" customFormat="false" ht="15" hidden="false" customHeight="false" outlineLevel="0" collapsed="false">
      <c r="A1398" s="31" t="str">
        <f aca="false">Demand_History!C1398</f>
        <v>BTH-004</v>
      </c>
      <c r="B1398" s="31" t="n">
        <f aca="false">Demand_History!A1398</f>
        <v>45</v>
      </c>
      <c r="C1398" s="32" t="n">
        <f aca="false">Demand_History!D1398</f>
        <v>40</v>
      </c>
      <c r="D1398" s="33" t="n">
        <f aca="false">IF(B1398&gt;=2,C1397,"")</f>
        <v>54</v>
      </c>
      <c r="E1398" s="33" t="n">
        <f aca="false">IF(B1398&gt;=5,AVERAGE(C1394:C1397),"")</f>
        <v>42</v>
      </c>
      <c r="F1398" s="33" t="n">
        <f aca="false">IF(B1398&gt;=9,AVERAGE(C1390:C1397),"")</f>
        <v>43.375</v>
      </c>
      <c r="G1398" s="33" t="n">
        <f aca="false">IF(B1398=1,"",IF(B1398=2,C1397,SES_Alpha*C1397+(1-SES_Alpha)*G1397))</f>
        <v>45.1180392280947</v>
      </c>
      <c r="H1398" s="33" t="n">
        <f aca="false">IF(D1398="","",D1398-C1398)</f>
        <v>14</v>
      </c>
      <c r="I1398" s="33" t="n">
        <f aca="false">IF(E1398="","",E1398-C1398)</f>
        <v>2</v>
      </c>
      <c r="J1398" s="33" t="n">
        <f aca="false">IF(F1398="","",F1398-C1398)</f>
        <v>3.375</v>
      </c>
      <c r="K1398" s="33" t="n">
        <f aca="false">IF(G1398="","",G1398-C1398)</f>
        <v>5.11803922809472</v>
      </c>
      <c r="L1398" s="33" t="n">
        <f aca="false">IF(H1398="","",ABS(H1398))</f>
        <v>14</v>
      </c>
      <c r="M1398" s="33" t="n">
        <f aca="false">IF(I1398="","",ABS(I1398))</f>
        <v>2</v>
      </c>
      <c r="N1398" s="33" t="n">
        <f aca="false">IF(J1398="","",ABS(J1398))</f>
        <v>3.375</v>
      </c>
      <c r="O1398" s="33" t="n">
        <f aca="false">IF(K1398="","",ABS(K1398))</f>
        <v>5.11803922809472</v>
      </c>
      <c r="P1398" s="34" t="str">
        <f aca="false">IF(B1398&gt;=Eval_Start_Week,"YES","")</f>
        <v/>
      </c>
      <c r="Q1398" s="34" t="str">
        <f aca="false">IF(AND(B1398&gt;=Cal_Start_Week,B1398&lt;=Cal_End_Week),"YES","")</f>
        <v>YES</v>
      </c>
    </row>
    <row r="1399" customFormat="false" ht="15" hidden="false" customHeight="false" outlineLevel="0" collapsed="false">
      <c r="A1399" s="31" t="str">
        <f aca="false">Demand_History!C1399</f>
        <v>BTH-004</v>
      </c>
      <c r="B1399" s="31" t="n">
        <f aca="false">Demand_History!A1399</f>
        <v>46</v>
      </c>
      <c r="C1399" s="32" t="n">
        <f aca="false">Demand_History!D1399</f>
        <v>42</v>
      </c>
      <c r="D1399" s="33" t="n">
        <f aca="false">IF(B1399&gt;=2,C1398,"")</f>
        <v>40</v>
      </c>
      <c r="E1399" s="33" t="n">
        <f aca="false">IF(B1399&gt;=5,AVERAGE(C1395:C1398),"")</f>
        <v>44.5</v>
      </c>
      <c r="F1399" s="33" t="n">
        <f aca="false">IF(B1399&gt;=9,AVERAGE(C1391:C1398),"")</f>
        <v>42.375</v>
      </c>
      <c r="G1399" s="33" t="n">
        <f aca="false">IF(B1399=1,"",IF(B1399=2,C1398,SES_Alpha*C1398+(1-SES_Alpha)*G1398))</f>
        <v>43.5826274596663</v>
      </c>
      <c r="H1399" s="33" t="n">
        <f aca="false">IF(D1399="","",D1399-C1399)</f>
        <v>-2</v>
      </c>
      <c r="I1399" s="33" t="n">
        <f aca="false">IF(E1399="","",E1399-C1399)</f>
        <v>2.5</v>
      </c>
      <c r="J1399" s="33" t="n">
        <f aca="false">IF(F1399="","",F1399-C1399)</f>
        <v>0.375</v>
      </c>
      <c r="K1399" s="33" t="n">
        <f aca="false">IF(G1399="","",G1399-C1399)</f>
        <v>1.5826274596663</v>
      </c>
      <c r="L1399" s="33" t="n">
        <f aca="false">IF(H1399="","",ABS(H1399))</f>
        <v>2</v>
      </c>
      <c r="M1399" s="33" t="n">
        <f aca="false">IF(I1399="","",ABS(I1399))</f>
        <v>2.5</v>
      </c>
      <c r="N1399" s="33" t="n">
        <f aca="false">IF(J1399="","",ABS(J1399))</f>
        <v>0.375</v>
      </c>
      <c r="O1399" s="33" t="n">
        <f aca="false">IF(K1399="","",ABS(K1399))</f>
        <v>1.5826274596663</v>
      </c>
      <c r="P1399" s="34" t="str">
        <f aca="false">IF(B1399&gt;=Eval_Start_Week,"YES","")</f>
        <v/>
      </c>
      <c r="Q1399" s="34" t="str">
        <f aca="false">IF(AND(B1399&gt;=Cal_Start_Week,B1399&lt;=Cal_End_Week),"YES","")</f>
        <v>YES</v>
      </c>
    </row>
    <row r="1400" customFormat="false" ht="15" hidden="false" customHeight="false" outlineLevel="0" collapsed="false">
      <c r="A1400" s="31" t="str">
        <f aca="false">Demand_History!C1400</f>
        <v>BTH-004</v>
      </c>
      <c r="B1400" s="31" t="n">
        <f aca="false">Demand_History!A1400</f>
        <v>47</v>
      </c>
      <c r="C1400" s="32" t="n">
        <f aca="false">Demand_History!D1400</f>
        <v>45</v>
      </c>
      <c r="D1400" s="33" t="n">
        <f aca="false">IF(B1400&gt;=2,C1399,"")</f>
        <v>42</v>
      </c>
      <c r="E1400" s="33" t="n">
        <f aca="false">IF(B1400&gt;=5,AVERAGE(C1396:C1399),"")</f>
        <v>44.5</v>
      </c>
      <c r="F1400" s="33" t="n">
        <f aca="false">IF(B1400&gt;=9,AVERAGE(C1392:C1399),"")</f>
        <v>43.125</v>
      </c>
      <c r="G1400" s="33" t="n">
        <f aca="false">IF(B1400=1,"",IF(B1400=2,C1399,SES_Alpha*C1399+(1-SES_Alpha)*G1399))</f>
        <v>43.1078392217664</v>
      </c>
      <c r="H1400" s="33" t="n">
        <f aca="false">IF(D1400="","",D1400-C1400)</f>
        <v>-3</v>
      </c>
      <c r="I1400" s="33" t="n">
        <f aca="false">IF(E1400="","",E1400-C1400)</f>
        <v>-0.5</v>
      </c>
      <c r="J1400" s="33" t="n">
        <f aca="false">IF(F1400="","",F1400-C1400)</f>
        <v>-1.875</v>
      </c>
      <c r="K1400" s="33" t="n">
        <f aca="false">IF(G1400="","",G1400-C1400)</f>
        <v>-1.8921607782336</v>
      </c>
      <c r="L1400" s="33" t="n">
        <f aca="false">IF(H1400="","",ABS(H1400))</f>
        <v>3</v>
      </c>
      <c r="M1400" s="33" t="n">
        <f aca="false">IF(I1400="","",ABS(I1400))</f>
        <v>0.5</v>
      </c>
      <c r="N1400" s="33" t="n">
        <f aca="false">IF(J1400="","",ABS(J1400))</f>
        <v>1.875</v>
      </c>
      <c r="O1400" s="33" t="n">
        <f aca="false">IF(K1400="","",ABS(K1400))</f>
        <v>1.8921607782336</v>
      </c>
      <c r="P1400" s="34" t="str">
        <f aca="false">IF(B1400&gt;=Eval_Start_Week,"YES","")</f>
        <v/>
      </c>
      <c r="Q1400" s="34" t="str">
        <f aca="false">IF(AND(B1400&gt;=Cal_Start_Week,B1400&lt;=Cal_End_Week),"YES","")</f>
        <v>YES</v>
      </c>
    </row>
    <row r="1401" customFormat="false" ht="15" hidden="false" customHeight="false" outlineLevel="0" collapsed="false">
      <c r="A1401" s="31" t="str">
        <f aca="false">Demand_History!C1401</f>
        <v>BTH-004</v>
      </c>
      <c r="B1401" s="31" t="n">
        <f aca="false">Demand_History!A1401</f>
        <v>48</v>
      </c>
      <c r="C1401" s="32" t="n">
        <f aca="false">Demand_History!D1401</f>
        <v>50</v>
      </c>
      <c r="D1401" s="33" t="n">
        <f aca="false">IF(B1401&gt;=2,C1400,"")</f>
        <v>45</v>
      </c>
      <c r="E1401" s="33" t="n">
        <f aca="false">IF(B1401&gt;=5,AVERAGE(C1397:C1400),"")</f>
        <v>45.25</v>
      </c>
      <c r="F1401" s="33" t="n">
        <f aca="false">IF(B1401&gt;=9,AVERAGE(C1393:C1400),"")</f>
        <v>41.75</v>
      </c>
      <c r="G1401" s="33" t="n">
        <f aca="false">IF(B1401=1,"",IF(B1401=2,C1400,SES_Alpha*C1400+(1-SES_Alpha)*G1400))</f>
        <v>43.6754874552365</v>
      </c>
      <c r="H1401" s="33" t="n">
        <f aca="false">IF(D1401="","",D1401-C1401)</f>
        <v>-5</v>
      </c>
      <c r="I1401" s="33" t="n">
        <f aca="false">IF(E1401="","",E1401-C1401)</f>
        <v>-4.75</v>
      </c>
      <c r="J1401" s="33" t="n">
        <f aca="false">IF(F1401="","",F1401-C1401)</f>
        <v>-8.25</v>
      </c>
      <c r="K1401" s="33" t="n">
        <f aca="false">IF(G1401="","",G1401-C1401)</f>
        <v>-6.32451254476352</v>
      </c>
      <c r="L1401" s="33" t="n">
        <f aca="false">IF(H1401="","",ABS(H1401))</f>
        <v>5</v>
      </c>
      <c r="M1401" s="33" t="n">
        <f aca="false">IF(I1401="","",ABS(I1401))</f>
        <v>4.75</v>
      </c>
      <c r="N1401" s="33" t="n">
        <f aca="false">IF(J1401="","",ABS(J1401))</f>
        <v>8.25</v>
      </c>
      <c r="O1401" s="33" t="n">
        <f aca="false">IF(K1401="","",ABS(K1401))</f>
        <v>6.32451254476352</v>
      </c>
      <c r="P1401" s="34" t="str">
        <f aca="false">IF(B1401&gt;=Eval_Start_Week,"YES","")</f>
        <v/>
      </c>
      <c r="Q1401" s="34" t="str">
        <f aca="false">IF(AND(B1401&gt;=Cal_Start_Week,B1401&lt;=Cal_End_Week),"YES","")</f>
        <v>YES</v>
      </c>
    </row>
    <row r="1402" customFormat="false" ht="15" hidden="false" customHeight="false" outlineLevel="0" collapsed="false">
      <c r="A1402" s="31" t="str">
        <f aca="false">Demand_History!C1402</f>
        <v>BTH-004</v>
      </c>
      <c r="B1402" s="31" t="n">
        <f aca="false">Demand_History!A1402</f>
        <v>49</v>
      </c>
      <c r="C1402" s="32" t="n">
        <f aca="false">Demand_History!D1402</f>
        <v>41</v>
      </c>
      <c r="D1402" s="33" t="n">
        <f aca="false">IF(B1402&gt;=2,C1401,"")</f>
        <v>50</v>
      </c>
      <c r="E1402" s="33" t="n">
        <f aca="false">IF(B1402&gt;=5,AVERAGE(C1398:C1401),"")</f>
        <v>44.25</v>
      </c>
      <c r="F1402" s="33" t="n">
        <f aca="false">IF(B1402&gt;=9,AVERAGE(C1394:C1401),"")</f>
        <v>43.125</v>
      </c>
      <c r="G1402" s="33" t="n">
        <f aca="false">IF(B1402=1,"",IF(B1402=2,C1401,SES_Alpha*C1401+(1-SES_Alpha)*G1401))</f>
        <v>45.5728412186655</v>
      </c>
      <c r="H1402" s="33" t="n">
        <f aca="false">IF(D1402="","",D1402-C1402)</f>
        <v>9</v>
      </c>
      <c r="I1402" s="33" t="n">
        <f aca="false">IF(E1402="","",E1402-C1402)</f>
        <v>3.25</v>
      </c>
      <c r="J1402" s="33" t="n">
        <f aca="false">IF(F1402="","",F1402-C1402)</f>
        <v>2.125</v>
      </c>
      <c r="K1402" s="33" t="n">
        <f aca="false">IF(G1402="","",G1402-C1402)</f>
        <v>4.57284121866553</v>
      </c>
      <c r="L1402" s="33" t="n">
        <f aca="false">IF(H1402="","",ABS(H1402))</f>
        <v>9</v>
      </c>
      <c r="M1402" s="33" t="n">
        <f aca="false">IF(I1402="","",ABS(I1402))</f>
        <v>3.25</v>
      </c>
      <c r="N1402" s="33" t="n">
        <f aca="false">IF(J1402="","",ABS(J1402))</f>
        <v>2.125</v>
      </c>
      <c r="O1402" s="33" t="n">
        <f aca="false">IF(K1402="","",ABS(K1402))</f>
        <v>4.57284121866553</v>
      </c>
      <c r="P1402" s="34" t="str">
        <f aca="false">IF(B1402&gt;=Eval_Start_Week,"YES","")</f>
        <v/>
      </c>
      <c r="Q1402" s="34" t="str">
        <f aca="false">IF(AND(B1402&gt;=Cal_Start_Week,B1402&lt;=Cal_End_Week),"YES","")</f>
        <v>YES</v>
      </c>
    </row>
    <row r="1403" customFormat="false" ht="15" hidden="false" customHeight="false" outlineLevel="0" collapsed="false">
      <c r="A1403" s="31" t="str">
        <f aca="false">Demand_History!C1403</f>
        <v>BTH-004</v>
      </c>
      <c r="B1403" s="31" t="n">
        <f aca="false">Demand_History!A1403</f>
        <v>50</v>
      </c>
      <c r="C1403" s="32" t="n">
        <f aca="false">Demand_History!D1403</f>
        <v>47</v>
      </c>
      <c r="D1403" s="33" t="n">
        <f aca="false">IF(B1403&gt;=2,C1402,"")</f>
        <v>41</v>
      </c>
      <c r="E1403" s="33" t="n">
        <f aca="false">IF(B1403&gt;=5,AVERAGE(C1399:C1402),"")</f>
        <v>44.5</v>
      </c>
      <c r="F1403" s="33" t="n">
        <f aca="false">IF(B1403&gt;=9,AVERAGE(C1395:C1402),"")</f>
        <v>44.5</v>
      </c>
      <c r="G1403" s="33" t="n">
        <f aca="false">IF(B1403=1,"",IF(B1403=2,C1402,SES_Alpha*C1402+(1-SES_Alpha)*G1402))</f>
        <v>44.2009888530659</v>
      </c>
      <c r="H1403" s="33" t="n">
        <f aca="false">IF(D1403="","",D1403-C1403)</f>
        <v>-6</v>
      </c>
      <c r="I1403" s="33" t="n">
        <f aca="false">IF(E1403="","",E1403-C1403)</f>
        <v>-2.5</v>
      </c>
      <c r="J1403" s="33" t="n">
        <f aca="false">IF(F1403="","",F1403-C1403)</f>
        <v>-2.5</v>
      </c>
      <c r="K1403" s="33" t="n">
        <f aca="false">IF(G1403="","",G1403-C1403)</f>
        <v>-2.79901114693413</v>
      </c>
      <c r="L1403" s="33" t="n">
        <f aca="false">IF(H1403="","",ABS(H1403))</f>
        <v>6</v>
      </c>
      <c r="M1403" s="33" t="n">
        <f aca="false">IF(I1403="","",ABS(I1403))</f>
        <v>2.5</v>
      </c>
      <c r="N1403" s="33" t="n">
        <f aca="false">IF(J1403="","",ABS(J1403))</f>
        <v>2.5</v>
      </c>
      <c r="O1403" s="33" t="n">
        <f aca="false">IF(K1403="","",ABS(K1403))</f>
        <v>2.79901114693413</v>
      </c>
      <c r="P1403" s="34" t="str">
        <f aca="false">IF(B1403&gt;=Eval_Start_Week,"YES","")</f>
        <v/>
      </c>
      <c r="Q1403" s="34" t="str">
        <f aca="false">IF(AND(B1403&gt;=Cal_Start_Week,B1403&lt;=Cal_End_Week),"YES","")</f>
        <v>YES</v>
      </c>
    </row>
    <row r="1404" customFormat="false" ht="15" hidden="false" customHeight="false" outlineLevel="0" collapsed="false">
      <c r="A1404" s="31" t="str">
        <f aca="false">Demand_History!C1404</f>
        <v>BTH-004</v>
      </c>
      <c r="B1404" s="31" t="n">
        <f aca="false">Demand_History!A1404</f>
        <v>51</v>
      </c>
      <c r="C1404" s="32" t="n">
        <f aca="false">Demand_History!D1404</f>
        <v>43</v>
      </c>
      <c r="D1404" s="33" t="n">
        <f aca="false">IF(B1404&gt;=2,C1403,"")</f>
        <v>47</v>
      </c>
      <c r="E1404" s="33" t="n">
        <f aca="false">IF(B1404&gt;=5,AVERAGE(C1400:C1403),"")</f>
        <v>45.75</v>
      </c>
      <c r="F1404" s="33" t="n">
        <f aca="false">IF(B1404&gt;=9,AVERAGE(C1396:C1403),"")</f>
        <v>45.125</v>
      </c>
      <c r="G1404" s="33" t="n">
        <f aca="false">IF(B1404=1,"",IF(B1404=2,C1403,SES_Alpha*C1403+(1-SES_Alpha)*G1403))</f>
        <v>45.0406921971461</v>
      </c>
      <c r="H1404" s="33" t="n">
        <f aca="false">IF(D1404="","",D1404-C1404)</f>
        <v>4</v>
      </c>
      <c r="I1404" s="33" t="n">
        <f aca="false">IF(E1404="","",E1404-C1404)</f>
        <v>2.75</v>
      </c>
      <c r="J1404" s="33" t="n">
        <f aca="false">IF(F1404="","",F1404-C1404)</f>
        <v>2.125</v>
      </c>
      <c r="K1404" s="33" t="n">
        <f aca="false">IF(G1404="","",G1404-C1404)</f>
        <v>2.0406921971461</v>
      </c>
      <c r="L1404" s="33" t="n">
        <f aca="false">IF(H1404="","",ABS(H1404))</f>
        <v>4</v>
      </c>
      <c r="M1404" s="33" t="n">
        <f aca="false">IF(I1404="","",ABS(I1404))</f>
        <v>2.75</v>
      </c>
      <c r="N1404" s="33" t="n">
        <f aca="false">IF(J1404="","",ABS(J1404))</f>
        <v>2.125</v>
      </c>
      <c r="O1404" s="33" t="n">
        <f aca="false">IF(K1404="","",ABS(K1404))</f>
        <v>2.0406921971461</v>
      </c>
      <c r="P1404" s="34" t="str">
        <f aca="false">IF(B1404&gt;=Eval_Start_Week,"YES","")</f>
        <v/>
      </c>
      <c r="Q1404" s="34" t="str">
        <f aca="false">IF(AND(B1404&gt;=Cal_Start_Week,B1404&lt;=Cal_End_Week),"YES","")</f>
        <v>YES</v>
      </c>
    </row>
    <row r="1405" customFormat="false" ht="15" hidden="false" customHeight="false" outlineLevel="0" collapsed="false">
      <c r="A1405" s="31" t="str">
        <f aca="false">Demand_History!C1405</f>
        <v>BTH-004</v>
      </c>
      <c r="B1405" s="31" t="n">
        <f aca="false">Demand_History!A1405</f>
        <v>52</v>
      </c>
      <c r="C1405" s="32" t="n">
        <f aca="false">Demand_History!D1405</f>
        <v>38</v>
      </c>
      <c r="D1405" s="33" t="n">
        <f aca="false">IF(B1405&gt;=2,C1404,"")</f>
        <v>43</v>
      </c>
      <c r="E1405" s="33" t="n">
        <f aca="false">IF(B1405&gt;=5,AVERAGE(C1401:C1404),"")</f>
        <v>45.25</v>
      </c>
      <c r="F1405" s="33" t="n">
        <f aca="false">IF(B1405&gt;=9,AVERAGE(C1397:C1404),"")</f>
        <v>45.25</v>
      </c>
      <c r="G1405" s="33" t="n">
        <f aca="false">IF(B1405=1,"",IF(B1405=2,C1404,SES_Alpha*C1404+(1-SES_Alpha)*G1404))</f>
        <v>44.4284845380023</v>
      </c>
      <c r="H1405" s="33" t="n">
        <f aca="false">IF(D1405="","",D1405-C1405)</f>
        <v>5</v>
      </c>
      <c r="I1405" s="33" t="n">
        <f aca="false">IF(E1405="","",E1405-C1405)</f>
        <v>7.25</v>
      </c>
      <c r="J1405" s="33" t="n">
        <f aca="false">IF(F1405="","",F1405-C1405)</f>
        <v>7.25</v>
      </c>
      <c r="K1405" s="33" t="n">
        <f aca="false">IF(G1405="","",G1405-C1405)</f>
        <v>6.42848453800227</v>
      </c>
      <c r="L1405" s="33" t="n">
        <f aca="false">IF(H1405="","",ABS(H1405))</f>
        <v>5</v>
      </c>
      <c r="M1405" s="33" t="n">
        <f aca="false">IF(I1405="","",ABS(I1405))</f>
        <v>7.25</v>
      </c>
      <c r="N1405" s="33" t="n">
        <f aca="false">IF(J1405="","",ABS(J1405))</f>
        <v>7.25</v>
      </c>
      <c r="O1405" s="33" t="n">
        <f aca="false">IF(K1405="","",ABS(K1405))</f>
        <v>6.42848453800227</v>
      </c>
      <c r="P1405" s="34" t="str">
        <f aca="false">IF(B1405&gt;=Eval_Start_Week,"YES","")</f>
        <v/>
      </c>
      <c r="Q1405" s="34" t="str">
        <f aca="false">IF(AND(B1405&gt;=Cal_Start_Week,B1405&lt;=Cal_End_Week),"YES","")</f>
        <v>YES</v>
      </c>
    </row>
    <row r="1406" customFormat="false" ht="15" hidden="false" customHeight="false" outlineLevel="0" collapsed="false">
      <c r="A1406" s="31" t="str">
        <f aca="false">Demand_History!C1406</f>
        <v>BTH-004</v>
      </c>
      <c r="B1406" s="31" t="n">
        <f aca="false">Demand_History!A1406</f>
        <v>53</v>
      </c>
      <c r="C1406" s="32" t="n">
        <f aca="false">Demand_History!D1406</f>
        <v>40</v>
      </c>
      <c r="D1406" s="33" t="n">
        <f aca="false">IF(B1406&gt;=2,C1405,"")</f>
        <v>38</v>
      </c>
      <c r="E1406" s="33" t="n">
        <f aca="false">IF(B1406&gt;=5,AVERAGE(C1402:C1405),"")</f>
        <v>42.25</v>
      </c>
      <c r="F1406" s="33" t="n">
        <f aca="false">IF(B1406&gt;=9,AVERAGE(C1398:C1405),"")</f>
        <v>43.25</v>
      </c>
      <c r="G1406" s="33" t="n">
        <f aca="false">IF(B1406=1,"",IF(B1406=2,C1405,SES_Alpha*C1405+(1-SES_Alpha)*G1405))</f>
        <v>42.4999391766016</v>
      </c>
      <c r="H1406" s="33" t="n">
        <f aca="false">IF(D1406="","",D1406-C1406)</f>
        <v>-2</v>
      </c>
      <c r="I1406" s="33" t="n">
        <f aca="false">IF(E1406="","",E1406-C1406)</f>
        <v>2.25</v>
      </c>
      <c r="J1406" s="33" t="n">
        <f aca="false">IF(F1406="","",F1406-C1406)</f>
        <v>3.25</v>
      </c>
      <c r="K1406" s="33" t="n">
        <f aca="false">IF(G1406="","",G1406-C1406)</f>
        <v>2.49993917660159</v>
      </c>
      <c r="L1406" s="33" t="n">
        <f aca="false">IF(H1406="","",ABS(H1406))</f>
        <v>2</v>
      </c>
      <c r="M1406" s="33" t="n">
        <f aca="false">IF(I1406="","",ABS(I1406))</f>
        <v>2.25</v>
      </c>
      <c r="N1406" s="33" t="n">
        <f aca="false">IF(J1406="","",ABS(J1406))</f>
        <v>3.25</v>
      </c>
      <c r="O1406" s="33" t="n">
        <f aca="false">IF(K1406="","",ABS(K1406))</f>
        <v>2.49993917660159</v>
      </c>
      <c r="P1406" s="34" t="str">
        <f aca="false">IF(B1406&gt;=Eval_Start_Week,"YES","")</f>
        <v>YES</v>
      </c>
      <c r="Q1406" s="34" t="str">
        <f aca="false">IF(AND(B1406&gt;=Cal_Start_Week,B1406&lt;=Cal_End_Week),"YES","")</f>
        <v>YES</v>
      </c>
    </row>
    <row r="1407" customFormat="false" ht="15" hidden="false" customHeight="false" outlineLevel="0" collapsed="false">
      <c r="A1407" s="31" t="str">
        <f aca="false">Demand_History!C1407</f>
        <v>BTH-004</v>
      </c>
      <c r="B1407" s="31" t="n">
        <f aca="false">Demand_History!A1407</f>
        <v>54</v>
      </c>
      <c r="C1407" s="32" t="n">
        <f aca="false">Demand_History!D1407</f>
        <v>40</v>
      </c>
      <c r="D1407" s="33" t="n">
        <f aca="false">IF(B1407&gt;=2,C1406,"")</f>
        <v>40</v>
      </c>
      <c r="E1407" s="33" t="n">
        <f aca="false">IF(B1407&gt;=5,AVERAGE(C1403:C1406),"")</f>
        <v>42</v>
      </c>
      <c r="F1407" s="33" t="n">
        <f aca="false">IF(B1407&gt;=9,AVERAGE(C1399:C1406),"")</f>
        <v>43.25</v>
      </c>
      <c r="G1407" s="33" t="n">
        <f aca="false">IF(B1407=1,"",IF(B1407=2,C1406,SES_Alpha*C1406+(1-SES_Alpha)*G1406))</f>
        <v>41.7499574236211</v>
      </c>
      <c r="H1407" s="33" t="n">
        <f aca="false">IF(D1407="","",D1407-C1407)</f>
        <v>0</v>
      </c>
      <c r="I1407" s="33" t="n">
        <f aca="false">IF(E1407="","",E1407-C1407)</f>
        <v>2</v>
      </c>
      <c r="J1407" s="33" t="n">
        <f aca="false">IF(F1407="","",F1407-C1407)</f>
        <v>3.25</v>
      </c>
      <c r="K1407" s="33" t="n">
        <f aca="false">IF(G1407="","",G1407-C1407)</f>
        <v>1.74995742362111</v>
      </c>
      <c r="L1407" s="33" t="n">
        <f aca="false">IF(H1407="","",ABS(H1407))</f>
        <v>0</v>
      </c>
      <c r="M1407" s="33" t="n">
        <f aca="false">IF(I1407="","",ABS(I1407))</f>
        <v>2</v>
      </c>
      <c r="N1407" s="33" t="n">
        <f aca="false">IF(J1407="","",ABS(J1407))</f>
        <v>3.25</v>
      </c>
      <c r="O1407" s="33" t="n">
        <f aca="false">IF(K1407="","",ABS(K1407))</f>
        <v>1.74995742362111</v>
      </c>
      <c r="P1407" s="34" t="str">
        <f aca="false">IF(B1407&gt;=Eval_Start_Week,"YES","")</f>
        <v>YES</v>
      </c>
      <c r="Q1407" s="34" t="str">
        <f aca="false">IF(AND(B1407&gt;=Cal_Start_Week,B1407&lt;=Cal_End_Week),"YES","")</f>
        <v>YES</v>
      </c>
    </row>
    <row r="1408" customFormat="false" ht="15" hidden="false" customHeight="false" outlineLevel="0" collapsed="false">
      <c r="A1408" s="31" t="str">
        <f aca="false">Demand_History!C1408</f>
        <v>BTH-004</v>
      </c>
      <c r="B1408" s="31" t="n">
        <f aca="false">Demand_History!A1408</f>
        <v>55</v>
      </c>
      <c r="C1408" s="32" t="n">
        <f aca="false">Demand_History!D1408</f>
        <v>34</v>
      </c>
      <c r="D1408" s="33" t="n">
        <f aca="false">IF(B1408&gt;=2,C1407,"")</f>
        <v>40</v>
      </c>
      <c r="E1408" s="33" t="n">
        <f aca="false">IF(B1408&gt;=5,AVERAGE(C1404:C1407),"")</f>
        <v>40.25</v>
      </c>
      <c r="F1408" s="33" t="n">
        <f aca="false">IF(B1408&gt;=9,AVERAGE(C1400:C1407),"")</f>
        <v>43</v>
      </c>
      <c r="G1408" s="33" t="n">
        <f aca="false">IF(B1408=1,"",IF(B1408=2,C1407,SES_Alpha*C1407+(1-SES_Alpha)*G1407))</f>
        <v>41.2249701965348</v>
      </c>
      <c r="H1408" s="33" t="n">
        <f aca="false">IF(D1408="","",D1408-C1408)</f>
        <v>6</v>
      </c>
      <c r="I1408" s="33" t="n">
        <f aca="false">IF(E1408="","",E1408-C1408)</f>
        <v>6.25</v>
      </c>
      <c r="J1408" s="33" t="n">
        <f aca="false">IF(F1408="","",F1408-C1408)</f>
        <v>9</v>
      </c>
      <c r="K1408" s="33" t="n">
        <f aca="false">IF(G1408="","",G1408-C1408)</f>
        <v>7.22497019653478</v>
      </c>
      <c r="L1408" s="33" t="n">
        <f aca="false">IF(H1408="","",ABS(H1408))</f>
        <v>6</v>
      </c>
      <c r="M1408" s="33" t="n">
        <f aca="false">IF(I1408="","",ABS(I1408))</f>
        <v>6.25</v>
      </c>
      <c r="N1408" s="33" t="n">
        <f aca="false">IF(J1408="","",ABS(J1408))</f>
        <v>9</v>
      </c>
      <c r="O1408" s="33" t="n">
        <f aca="false">IF(K1408="","",ABS(K1408))</f>
        <v>7.22497019653478</v>
      </c>
      <c r="P1408" s="34" t="str">
        <f aca="false">IF(B1408&gt;=Eval_Start_Week,"YES","")</f>
        <v>YES</v>
      </c>
      <c r="Q1408" s="34" t="str">
        <f aca="false">IF(AND(B1408&gt;=Cal_Start_Week,B1408&lt;=Cal_End_Week),"YES","")</f>
        <v>YES</v>
      </c>
    </row>
    <row r="1409" customFormat="false" ht="15" hidden="false" customHeight="false" outlineLevel="0" collapsed="false">
      <c r="A1409" s="31" t="str">
        <f aca="false">Demand_History!C1409</f>
        <v>BTH-004</v>
      </c>
      <c r="B1409" s="31" t="n">
        <f aca="false">Demand_History!A1409</f>
        <v>56</v>
      </c>
      <c r="C1409" s="32" t="n">
        <f aca="false">Demand_History!D1409</f>
        <v>46</v>
      </c>
      <c r="D1409" s="33" t="n">
        <f aca="false">IF(B1409&gt;=2,C1408,"")</f>
        <v>34</v>
      </c>
      <c r="E1409" s="33" t="n">
        <f aca="false">IF(B1409&gt;=5,AVERAGE(C1405:C1408),"")</f>
        <v>38</v>
      </c>
      <c r="F1409" s="33" t="n">
        <f aca="false">IF(B1409&gt;=9,AVERAGE(C1401:C1408),"")</f>
        <v>41.625</v>
      </c>
      <c r="G1409" s="33" t="n">
        <f aca="false">IF(B1409=1,"",IF(B1409=2,C1408,SES_Alpha*C1408+(1-SES_Alpha)*G1408))</f>
        <v>39.0574791375743</v>
      </c>
      <c r="H1409" s="33" t="n">
        <f aca="false">IF(D1409="","",D1409-C1409)</f>
        <v>-12</v>
      </c>
      <c r="I1409" s="33" t="n">
        <f aca="false">IF(E1409="","",E1409-C1409)</f>
        <v>-8</v>
      </c>
      <c r="J1409" s="33" t="n">
        <f aca="false">IF(F1409="","",F1409-C1409)</f>
        <v>-4.375</v>
      </c>
      <c r="K1409" s="33" t="n">
        <f aca="false">IF(G1409="","",G1409-C1409)</f>
        <v>-6.94252086242566</v>
      </c>
      <c r="L1409" s="33" t="n">
        <f aca="false">IF(H1409="","",ABS(H1409))</f>
        <v>12</v>
      </c>
      <c r="M1409" s="33" t="n">
        <f aca="false">IF(I1409="","",ABS(I1409))</f>
        <v>8</v>
      </c>
      <c r="N1409" s="33" t="n">
        <f aca="false">IF(J1409="","",ABS(J1409))</f>
        <v>4.375</v>
      </c>
      <c r="O1409" s="33" t="n">
        <f aca="false">IF(K1409="","",ABS(K1409))</f>
        <v>6.94252086242566</v>
      </c>
      <c r="P1409" s="34" t="str">
        <f aca="false">IF(B1409&gt;=Eval_Start_Week,"YES","")</f>
        <v>YES</v>
      </c>
      <c r="Q1409" s="34" t="str">
        <f aca="false">IF(AND(B1409&gt;=Cal_Start_Week,B1409&lt;=Cal_End_Week),"YES","")</f>
        <v>YES</v>
      </c>
    </row>
    <row r="1410" customFormat="false" ht="15" hidden="false" customHeight="false" outlineLevel="0" collapsed="false">
      <c r="A1410" s="31" t="str">
        <f aca="false">Demand_History!C1410</f>
        <v>BTH-004</v>
      </c>
      <c r="B1410" s="31" t="n">
        <f aca="false">Demand_History!A1410</f>
        <v>57</v>
      </c>
      <c r="C1410" s="32" t="n">
        <f aca="false">Demand_History!D1410</f>
        <v>31</v>
      </c>
      <c r="D1410" s="33" t="n">
        <f aca="false">IF(B1410&gt;=2,C1409,"")</f>
        <v>46</v>
      </c>
      <c r="E1410" s="33" t="n">
        <f aca="false">IF(B1410&gt;=5,AVERAGE(C1406:C1409),"")</f>
        <v>40</v>
      </c>
      <c r="F1410" s="33" t="n">
        <f aca="false">IF(B1410&gt;=9,AVERAGE(C1402:C1409),"")</f>
        <v>41.125</v>
      </c>
      <c r="G1410" s="33" t="n">
        <f aca="false">IF(B1410=1,"",IF(B1410=2,C1409,SES_Alpha*C1409+(1-SES_Alpha)*G1409))</f>
        <v>41.140235396302</v>
      </c>
      <c r="H1410" s="33" t="n">
        <f aca="false">IF(D1410="","",D1410-C1410)</f>
        <v>15</v>
      </c>
      <c r="I1410" s="33" t="n">
        <f aca="false">IF(E1410="","",E1410-C1410)</f>
        <v>9</v>
      </c>
      <c r="J1410" s="33" t="n">
        <f aca="false">IF(F1410="","",F1410-C1410)</f>
        <v>10.125</v>
      </c>
      <c r="K1410" s="33" t="n">
        <f aca="false">IF(G1410="","",G1410-C1410)</f>
        <v>10.140235396302</v>
      </c>
      <c r="L1410" s="33" t="n">
        <f aca="false">IF(H1410="","",ABS(H1410))</f>
        <v>15</v>
      </c>
      <c r="M1410" s="33" t="n">
        <f aca="false">IF(I1410="","",ABS(I1410))</f>
        <v>9</v>
      </c>
      <c r="N1410" s="33" t="n">
        <f aca="false">IF(J1410="","",ABS(J1410))</f>
        <v>10.125</v>
      </c>
      <c r="O1410" s="33" t="n">
        <f aca="false">IF(K1410="","",ABS(K1410))</f>
        <v>10.140235396302</v>
      </c>
      <c r="P1410" s="34" t="str">
        <f aca="false">IF(B1410&gt;=Eval_Start_Week,"YES","")</f>
        <v>YES</v>
      </c>
      <c r="Q1410" s="34" t="str">
        <f aca="false">IF(AND(B1410&gt;=Cal_Start_Week,B1410&lt;=Cal_End_Week),"YES","")</f>
        <v>YES</v>
      </c>
    </row>
    <row r="1411" customFormat="false" ht="15" hidden="false" customHeight="false" outlineLevel="0" collapsed="false">
      <c r="A1411" s="31" t="str">
        <f aca="false">Demand_History!C1411</f>
        <v>BTH-004</v>
      </c>
      <c r="B1411" s="31" t="n">
        <f aca="false">Demand_History!A1411</f>
        <v>58</v>
      </c>
      <c r="C1411" s="32" t="n">
        <f aca="false">Demand_History!D1411</f>
        <v>45</v>
      </c>
      <c r="D1411" s="33" t="n">
        <f aca="false">IF(B1411&gt;=2,C1410,"")</f>
        <v>31</v>
      </c>
      <c r="E1411" s="33" t="n">
        <f aca="false">IF(B1411&gt;=5,AVERAGE(C1407:C1410),"")</f>
        <v>37.75</v>
      </c>
      <c r="F1411" s="33" t="n">
        <f aca="false">IF(B1411&gt;=9,AVERAGE(C1403:C1410),"")</f>
        <v>39.875</v>
      </c>
      <c r="G1411" s="33" t="n">
        <f aca="false">IF(B1411=1,"",IF(B1411=2,C1410,SES_Alpha*C1410+(1-SES_Alpha)*G1410))</f>
        <v>38.0981647774114</v>
      </c>
      <c r="H1411" s="33" t="n">
        <f aca="false">IF(D1411="","",D1411-C1411)</f>
        <v>-14</v>
      </c>
      <c r="I1411" s="33" t="n">
        <f aca="false">IF(E1411="","",E1411-C1411)</f>
        <v>-7.25</v>
      </c>
      <c r="J1411" s="33" t="n">
        <f aca="false">IF(F1411="","",F1411-C1411)</f>
        <v>-5.125</v>
      </c>
      <c r="K1411" s="33" t="n">
        <f aca="false">IF(G1411="","",G1411-C1411)</f>
        <v>-6.90183522258857</v>
      </c>
      <c r="L1411" s="33" t="n">
        <f aca="false">IF(H1411="","",ABS(H1411))</f>
        <v>14</v>
      </c>
      <c r="M1411" s="33" t="n">
        <f aca="false">IF(I1411="","",ABS(I1411))</f>
        <v>7.25</v>
      </c>
      <c r="N1411" s="33" t="n">
        <f aca="false">IF(J1411="","",ABS(J1411))</f>
        <v>5.125</v>
      </c>
      <c r="O1411" s="33" t="n">
        <f aca="false">IF(K1411="","",ABS(K1411))</f>
        <v>6.90183522258857</v>
      </c>
      <c r="P1411" s="34" t="str">
        <f aca="false">IF(B1411&gt;=Eval_Start_Week,"YES","")</f>
        <v>YES</v>
      </c>
      <c r="Q1411" s="34" t="str">
        <f aca="false">IF(AND(B1411&gt;=Cal_Start_Week,B1411&lt;=Cal_End_Week),"YES","")</f>
        <v>YES</v>
      </c>
    </row>
    <row r="1412" customFormat="false" ht="15" hidden="false" customHeight="false" outlineLevel="0" collapsed="false">
      <c r="A1412" s="31" t="str">
        <f aca="false">Demand_History!C1412</f>
        <v>BTH-004</v>
      </c>
      <c r="B1412" s="31" t="n">
        <f aca="false">Demand_History!A1412</f>
        <v>59</v>
      </c>
      <c r="C1412" s="32" t="n">
        <f aca="false">Demand_History!D1412</f>
        <v>43</v>
      </c>
      <c r="D1412" s="33" t="n">
        <f aca="false">IF(B1412&gt;=2,C1411,"")</f>
        <v>45</v>
      </c>
      <c r="E1412" s="33" t="n">
        <f aca="false">IF(B1412&gt;=5,AVERAGE(C1408:C1411),"")</f>
        <v>39</v>
      </c>
      <c r="F1412" s="33" t="n">
        <f aca="false">IF(B1412&gt;=9,AVERAGE(C1404:C1411),"")</f>
        <v>39.625</v>
      </c>
      <c r="G1412" s="33" t="n">
        <f aca="false">IF(B1412=1,"",IF(B1412=2,C1411,SES_Alpha*C1411+(1-SES_Alpha)*G1411))</f>
        <v>40.168715344188</v>
      </c>
      <c r="H1412" s="33" t="n">
        <f aca="false">IF(D1412="","",D1412-C1412)</f>
        <v>2</v>
      </c>
      <c r="I1412" s="33" t="n">
        <f aca="false">IF(E1412="","",E1412-C1412)</f>
        <v>-4</v>
      </c>
      <c r="J1412" s="33" t="n">
        <f aca="false">IF(F1412="","",F1412-C1412)</f>
        <v>-3.375</v>
      </c>
      <c r="K1412" s="33" t="n">
        <f aca="false">IF(G1412="","",G1412-C1412)</f>
        <v>-2.831284655812</v>
      </c>
      <c r="L1412" s="33" t="n">
        <f aca="false">IF(H1412="","",ABS(H1412))</f>
        <v>2</v>
      </c>
      <c r="M1412" s="33" t="n">
        <f aca="false">IF(I1412="","",ABS(I1412))</f>
        <v>4</v>
      </c>
      <c r="N1412" s="33" t="n">
        <f aca="false">IF(J1412="","",ABS(J1412))</f>
        <v>3.375</v>
      </c>
      <c r="O1412" s="33" t="n">
        <f aca="false">IF(K1412="","",ABS(K1412))</f>
        <v>2.831284655812</v>
      </c>
      <c r="P1412" s="34" t="str">
        <f aca="false">IF(B1412&gt;=Eval_Start_Week,"YES","")</f>
        <v>YES</v>
      </c>
      <c r="Q1412" s="34" t="str">
        <f aca="false">IF(AND(B1412&gt;=Cal_Start_Week,B1412&lt;=Cal_End_Week),"YES","")</f>
        <v>YES</v>
      </c>
    </row>
    <row r="1413" customFormat="false" ht="15" hidden="false" customHeight="false" outlineLevel="0" collapsed="false">
      <c r="A1413" s="31" t="str">
        <f aca="false">Demand_History!C1413</f>
        <v>BTH-004</v>
      </c>
      <c r="B1413" s="31" t="n">
        <f aca="false">Demand_History!A1413</f>
        <v>60</v>
      </c>
      <c r="C1413" s="32" t="n">
        <f aca="false">Demand_History!D1413</f>
        <v>37</v>
      </c>
      <c r="D1413" s="33" t="n">
        <f aca="false">IF(B1413&gt;=2,C1412,"")</f>
        <v>43</v>
      </c>
      <c r="E1413" s="33" t="n">
        <f aca="false">IF(B1413&gt;=5,AVERAGE(C1409:C1412),"")</f>
        <v>41.25</v>
      </c>
      <c r="F1413" s="33" t="n">
        <f aca="false">IF(B1413&gt;=9,AVERAGE(C1405:C1412),"")</f>
        <v>39.625</v>
      </c>
      <c r="G1413" s="33" t="n">
        <f aca="false">IF(B1413=1,"",IF(B1413=2,C1412,SES_Alpha*C1412+(1-SES_Alpha)*G1412))</f>
        <v>41.0181007409316</v>
      </c>
      <c r="H1413" s="33" t="n">
        <f aca="false">IF(D1413="","",D1413-C1413)</f>
        <v>6</v>
      </c>
      <c r="I1413" s="33" t="n">
        <f aca="false">IF(E1413="","",E1413-C1413)</f>
        <v>4.25</v>
      </c>
      <c r="J1413" s="33" t="n">
        <f aca="false">IF(F1413="","",F1413-C1413)</f>
        <v>2.625</v>
      </c>
      <c r="K1413" s="33" t="n">
        <f aca="false">IF(G1413="","",G1413-C1413)</f>
        <v>4.0181007409316</v>
      </c>
      <c r="L1413" s="33" t="n">
        <f aca="false">IF(H1413="","",ABS(H1413))</f>
        <v>6</v>
      </c>
      <c r="M1413" s="33" t="n">
        <f aca="false">IF(I1413="","",ABS(I1413))</f>
        <v>4.25</v>
      </c>
      <c r="N1413" s="33" t="n">
        <f aca="false">IF(J1413="","",ABS(J1413))</f>
        <v>2.625</v>
      </c>
      <c r="O1413" s="33" t="n">
        <f aca="false">IF(K1413="","",ABS(K1413))</f>
        <v>4.0181007409316</v>
      </c>
      <c r="P1413" s="34" t="str">
        <f aca="false">IF(B1413&gt;=Eval_Start_Week,"YES","")</f>
        <v>YES</v>
      </c>
      <c r="Q1413" s="34" t="str">
        <f aca="false">IF(AND(B1413&gt;=Cal_Start_Week,B1413&lt;=Cal_End_Week),"YES","")</f>
        <v>YES</v>
      </c>
    </row>
    <row r="1414" customFormat="false" ht="15" hidden="false" customHeight="false" outlineLevel="0" collapsed="false">
      <c r="A1414" s="31" t="str">
        <f aca="false">Demand_History!C1414</f>
        <v>BTH-004</v>
      </c>
      <c r="B1414" s="31" t="n">
        <f aca="false">Demand_History!A1414</f>
        <v>61</v>
      </c>
      <c r="C1414" s="32" t="n">
        <f aca="false">Demand_History!D1414</f>
        <v>34</v>
      </c>
      <c r="D1414" s="33" t="n">
        <f aca="false">IF(B1414&gt;=2,C1413,"")</f>
        <v>37</v>
      </c>
      <c r="E1414" s="33" t="n">
        <f aca="false">IF(B1414&gt;=5,AVERAGE(C1410:C1413),"")</f>
        <v>39</v>
      </c>
      <c r="F1414" s="33" t="n">
        <f aca="false">IF(B1414&gt;=9,AVERAGE(C1406:C1413),"")</f>
        <v>39.5</v>
      </c>
      <c r="G1414" s="33" t="n">
        <f aca="false">IF(B1414=1,"",IF(B1414=2,C1413,SES_Alpha*C1413+(1-SES_Alpha)*G1413))</f>
        <v>39.8126705186521</v>
      </c>
      <c r="H1414" s="33" t="n">
        <f aca="false">IF(D1414="","",D1414-C1414)</f>
        <v>3</v>
      </c>
      <c r="I1414" s="33" t="n">
        <f aca="false">IF(E1414="","",E1414-C1414)</f>
        <v>5</v>
      </c>
      <c r="J1414" s="33" t="n">
        <f aca="false">IF(F1414="","",F1414-C1414)</f>
        <v>5.5</v>
      </c>
      <c r="K1414" s="33" t="n">
        <f aca="false">IF(G1414="","",G1414-C1414)</f>
        <v>5.81267051865212</v>
      </c>
      <c r="L1414" s="33" t="n">
        <f aca="false">IF(H1414="","",ABS(H1414))</f>
        <v>3</v>
      </c>
      <c r="M1414" s="33" t="n">
        <f aca="false">IF(I1414="","",ABS(I1414))</f>
        <v>5</v>
      </c>
      <c r="N1414" s="33" t="n">
        <f aca="false">IF(J1414="","",ABS(J1414))</f>
        <v>5.5</v>
      </c>
      <c r="O1414" s="33" t="n">
        <f aca="false">IF(K1414="","",ABS(K1414))</f>
        <v>5.81267051865212</v>
      </c>
      <c r="P1414" s="34" t="str">
        <f aca="false">IF(B1414&gt;=Eval_Start_Week,"YES","")</f>
        <v>YES</v>
      </c>
      <c r="Q1414" s="34" t="str">
        <f aca="false">IF(AND(B1414&gt;=Cal_Start_Week,B1414&lt;=Cal_End_Week),"YES","")</f>
        <v>YES</v>
      </c>
    </row>
    <row r="1415" customFormat="false" ht="15" hidden="false" customHeight="false" outlineLevel="0" collapsed="false">
      <c r="A1415" s="31" t="str">
        <f aca="false">Demand_History!C1415</f>
        <v>BTH-004</v>
      </c>
      <c r="B1415" s="31" t="n">
        <f aca="false">Demand_History!A1415</f>
        <v>62</v>
      </c>
      <c r="C1415" s="32" t="n">
        <f aca="false">Demand_History!D1415</f>
        <v>36</v>
      </c>
      <c r="D1415" s="33" t="n">
        <f aca="false">IF(B1415&gt;=2,C1414,"")</f>
        <v>34</v>
      </c>
      <c r="E1415" s="33" t="n">
        <f aca="false">IF(B1415&gt;=5,AVERAGE(C1411:C1414),"")</f>
        <v>39.75</v>
      </c>
      <c r="F1415" s="33" t="n">
        <f aca="false">IF(B1415&gt;=9,AVERAGE(C1407:C1414),"")</f>
        <v>38.75</v>
      </c>
      <c r="G1415" s="33" t="n">
        <f aca="false">IF(B1415=1,"",IF(B1415=2,C1414,SES_Alpha*C1414+(1-SES_Alpha)*G1414))</f>
        <v>38.0688693630565</v>
      </c>
      <c r="H1415" s="33" t="n">
        <f aca="false">IF(D1415="","",D1415-C1415)</f>
        <v>-2</v>
      </c>
      <c r="I1415" s="33" t="n">
        <f aca="false">IF(E1415="","",E1415-C1415)</f>
        <v>3.75</v>
      </c>
      <c r="J1415" s="33" t="n">
        <f aca="false">IF(F1415="","",F1415-C1415)</f>
        <v>2.75</v>
      </c>
      <c r="K1415" s="33" t="n">
        <f aca="false">IF(G1415="","",G1415-C1415)</f>
        <v>2.06886936305648</v>
      </c>
      <c r="L1415" s="33" t="n">
        <f aca="false">IF(H1415="","",ABS(H1415))</f>
        <v>2</v>
      </c>
      <c r="M1415" s="33" t="n">
        <f aca="false">IF(I1415="","",ABS(I1415))</f>
        <v>3.75</v>
      </c>
      <c r="N1415" s="33" t="n">
        <f aca="false">IF(J1415="","",ABS(J1415))</f>
        <v>2.75</v>
      </c>
      <c r="O1415" s="33" t="n">
        <f aca="false">IF(K1415="","",ABS(K1415))</f>
        <v>2.06886936305648</v>
      </c>
      <c r="P1415" s="34" t="str">
        <f aca="false">IF(B1415&gt;=Eval_Start_Week,"YES","")</f>
        <v>YES</v>
      </c>
      <c r="Q1415" s="34" t="str">
        <f aca="false">IF(AND(B1415&gt;=Cal_Start_Week,B1415&lt;=Cal_End_Week),"YES","")</f>
        <v>YES</v>
      </c>
    </row>
    <row r="1416" customFormat="false" ht="15" hidden="false" customHeight="false" outlineLevel="0" collapsed="false">
      <c r="A1416" s="31" t="str">
        <f aca="false">Demand_History!C1416</f>
        <v>BTH-004</v>
      </c>
      <c r="B1416" s="31" t="n">
        <f aca="false">Demand_History!A1416</f>
        <v>63</v>
      </c>
      <c r="C1416" s="32" t="n">
        <f aca="false">Demand_History!D1416</f>
        <v>40</v>
      </c>
      <c r="D1416" s="33" t="n">
        <f aca="false">IF(B1416&gt;=2,C1415,"")</f>
        <v>36</v>
      </c>
      <c r="E1416" s="33" t="n">
        <f aca="false">IF(B1416&gt;=5,AVERAGE(C1412:C1415),"")</f>
        <v>37.5</v>
      </c>
      <c r="F1416" s="33" t="n">
        <f aca="false">IF(B1416&gt;=9,AVERAGE(C1408:C1415),"")</f>
        <v>38.25</v>
      </c>
      <c r="G1416" s="33" t="n">
        <f aca="false">IF(B1416=1,"",IF(B1416=2,C1415,SES_Alpha*C1415+(1-SES_Alpha)*G1415))</f>
        <v>37.4482085541395</v>
      </c>
      <c r="H1416" s="33" t="n">
        <f aca="false">IF(D1416="","",D1416-C1416)</f>
        <v>-4</v>
      </c>
      <c r="I1416" s="33" t="n">
        <f aca="false">IF(E1416="","",E1416-C1416)</f>
        <v>-2.5</v>
      </c>
      <c r="J1416" s="33" t="n">
        <f aca="false">IF(F1416="","",F1416-C1416)</f>
        <v>-1.75</v>
      </c>
      <c r="K1416" s="33" t="n">
        <f aca="false">IF(G1416="","",G1416-C1416)</f>
        <v>-2.55179144586047</v>
      </c>
      <c r="L1416" s="33" t="n">
        <f aca="false">IF(H1416="","",ABS(H1416))</f>
        <v>4</v>
      </c>
      <c r="M1416" s="33" t="n">
        <f aca="false">IF(I1416="","",ABS(I1416))</f>
        <v>2.5</v>
      </c>
      <c r="N1416" s="33" t="n">
        <f aca="false">IF(J1416="","",ABS(J1416))</f>
        <v>1.75</v>
      </c>
      <c r="O1416" s="33" t="n">
        <f aca="false">IF(K1416="","",ABS(K1416))</f>
        <v>2.55179144586047</v>
      </c>
      <c r="P1416" s="34" t="str">
        <f aca="false">IF(B1416&gt;=Eval_Start_Week,"YES","")</f>
        <v>YES</v>
      </c>
      <c r="Q1416" s="34" t="str">
        <f aca="false">IF(AND(B1416&gt;=Cal_Start_Week,B1416&lt;=Cal_End_Week),"YES","")</f>
        <v>YES</v>
      </c>
    </row>
    <row r="1417" customFormat="false" ht="15" hidden="false" customHeight="false" outlineLevel="0" collapsed="false">
      <c r="A1417" s="31" t="str">
        <f aca="false">Demand_History!C1417</f>
        <v>BTH-004</v>
      </c>
      <c r="B1417" s="31" t="n">
        <f aca="false">Demand_History!A1417</f>
        <v>64</v>
      </c>
      <c r="C1417" s="32" t="n">
        <f aca="false">Demand_History!D1417</f>
        <v>41</v>
      </c>
      <c r="D1417" s="33" t="n">
        <f aca="false">IF(B1417&gt;=2,C1416,"")</f>
        <v>40</v>
      </c>
      <c r="E1417" s="33" t="n">
        <f aca="false">IF(B1417&gt;=5,AVERAGE(C1413:C1416),"")</f>
        <v>36.75</v>
      </c>
      <c r="F1417" s="33" t="n">
        <f aca="false">IF(B1417&gt;=9,AVERAGE(C1409:C1416),"")</f>
        <v>39</v>
      </c>
      <c r="G1417" s="33" t="n">
        <f aca="false">IF(B1417=1,"",IF(B1417=2,C1416,SES_Alpha*C1416+(1-SES_Alpha)*G1416))</f>
        <v>38.2137459878977</v>
      </c>
      <c r="H1417" s="33" t="n">
        <f aca="false">IF(D1417="","",D1417-C1417)</f>
        <v>-1</v>
      </c>
      <c r="I1417" s="33" t="n">
        <f aca="false">IF(E1417="","",E1417-C1417)</f>
        <v>-4.25</v>
      </c>
      <c r="J1417" s="33" t="n">
        <f aca="false">IF(F1417="","",F1417-C1417)</f>
        <v>-2</v>
      </c>
      <c r="K1417" s="33" t="n">
        <f aca="false">IF(G1417="","",G1417-C1417)</f>
        <v>-2.78625401210233</v>
      </c>
      <c r="L1417" s="33" t="n">
        <f aca="false">IF(H1417="","",ABS(H1417))</f>
        <v>1</v>
      </c>
      <c r="M1417" s="33" t="n">
        <f aca="false">IF(I1417="","",ABS(I1417))</f>
        <v>4.25</v>
      </c>
      <c r="N1417" s="33" t="n">
        <f aca="false">IF(J1417="","",ABS(J1417))</f>
        <v>2</v>
      </c>
      <c r="O1417" s="33" t="n">
        <f aca="false">IF(K1417="","",ABS(K1417))</f>
        <v>2.78625401210233</v>
      </c>
      <c r="P1417" s="34" t="str">
        <f aca="false">IF(B1417&gt;=Eval_Start_Week,"YES","")</f>
        <v>YES</v>
      </c>
      <c r="Q1417" s="34" t="str">
        <f aca="false">IF(AND(B1417&gt;=Cal_Start_Week,B1417&lt;=Cal_End_Week),"YES","")</f>
        <v>YES</v>
      </c>
    </row>
    <row r="1418" customFormat="false" ht="15" hidden="false" customHeight="false" outlineLevel="0" collapsed="false">
      <c r="A1418" s="31" t="str">
        <f aca="false">Demand_History!C1418</f>
        <v>BTH-004</v>
      </c>
      <c r="B1418" s="31" t="n">
        <f aca="false">Demand_History!A1418</f>
        <v>65</v>
      </c>
      <c r="C1418" s="32" t="n">
        <f aca="false">Demand_History!D1418</f>
        <v>38</v>
      </c>
      <c r="D1418" s="33" t="n">
        <f aca="false">IF(B1418&gt;=2,C1417,"")</f>
        <v>41</v>
      </c>
      <c r="E1418" s="33" t="n">
        <f aca="false">IF(B1418&gt;=5,AVERAGE(C1414:C1417),"")</f>
        <v>37.75</v>
      </c>
      <c r="F1418" s="33" t="n">
        <f aca="false">IF(B1418&gt;=9,AVERAGE(C1410:C1417),"")</f>
        <v>38.375</v>
      </c>
      <c r="G1418" s="33" t="n">
        <f aca="false">IF(B1418=1,"",IF(B1418=2,C1417,SES_Alpha*C1417+(1-SES_Alpha)*G1417))</f>
        <v>39.0496221915284</v>
      </c>
      <c r="H1418" s="33" t="n">
        <f aca="false">IF(D1418="","",D1418-C1418)</f>
        <v>3</v>
      </c>
      <c r="I1418" s="33" t="n">
        <f aca="false">IF(E1418="","",E1418-C1418)</f>
        <v>-0.25</v>
      </c>
      <c r="J1418" s="33" t="n">
        <f aca="false">IF(F1418="","",F1418-C1418)</f>
        <v>0.375</v>
      </c>
      <c r="K1418" s="33" t="n">
        <f aca="false">IF(G1418="","",G1418-C1418)</f>
        <v>1.04962219152836</v>
      </c>
      <c r="L1418" s="33" t="n">
        <f aca="false">IF(H1418="","",ABS(H1418))</f>
        <v>3</v>
      </c>
      <c r="M1418" s="33" t="n">
        <f aca="false">IF(I1418="","",ABS(I1418))</f>
        <v>0.25</v>
      </c>
      <c r="N1418" s="33" t="n">
        <f aca="false">IF(J1418="","",ABS(J1418))</f>
        <v>0.375</v>
      </c>
      <c r="O1418" s="33" t="n">
        <f aca="false">IF(K1418="","",ABS(K1418))</f>
        <v>1.04962219152836</v>
      </c>
      <c r="P1418" s="34" t="str">
        <f aca="false">IF(B1418&gt;=Eval_Start_Week,"YES","")</f>
        <v>YES</v>
      </c>
      <c r="Q1418" s="34" t="str">
        <f aca="false">IF(AND(B1418&gt;=Cal_Start_Week,B1418&lt;=Cal_End_Week),"YES","")</f>
        <v>YES</v>
      </c>
    </row>
    <row r="1419" customFormat="false" ht="15" hidden="false" customHeight="false" outlineLevel="0" collapsed="false">
      <c r="A1419" s="31" t="str">
        <f aca="false">Demand_History!C1419</f>
        <v>BTH-004</v>
      </c>
      <c r="B1419" s="31" t="n">
        <f aca="false">Demand_History!A1419</f>
        <v>66</v>
      </c>
      <c r="C1419" s="32" t="n">
        <f aca="false">Demand_History!D1419</f>
        <v>41</v>
      </c>
      <c r="D1419" s="33" t="n">
        <f aca="false">IF(B1419&gt;=2,C1418,"")</f>
        <v>38</v>
      </c>
      <c r="E1419" s="33" t="n">
        <f aca="false">IF(B1419&gt;=5,AVERAGE(C1415:C1418),"")</f>
        <v>38.75</v>
      </c>
      <c r="F1419" s="33" t="n">
        <f aca="false">IF(B1419&gt;=9,AVERAGE(C1411:C1418),"")</f>
        <v>39.25</v>
      </c>
      <c r="G1419" s="33" t="n">
        <f aca="false">IF(B1419=1,"",IF(B1419=2,C1418,SES_Alpha*C1418+(1-SES_Alpha)*G1418))</f>
        <v>38.7347355340699</v>
      </c>
      <c r="H1419" s="33" t="n">
        <f aca="false">IF(D1419="","",D1419-C1419)</f>
        <v>-3</v>
      </c>
      <c r="I1419" s="33" t="n">
        <f aca="false">IF(E1419="","",E1419-C1419)</f>
        <v>-2.25</v>
      </c>
      <c r="J1419" s="33" t="n">
        <f aca="false">IF(F1419="","",F1419-C1419)</f>
        <v>-1.75</v>
      </c>
      <c r="K1419" s="33" t="n">
        <f aca="false">IF(G1419="","",G1419-C1419)</f>
        <v>-2.26526446593014</v>
      </c>
      <c r="L1419" s="33" t="n">
        <f aca="false">IF(H1419="","",ABS(H1419))</f>
        <v>3</v>
      </c>
      <c r="M1419" s="33" t="n">
        <f aca="false">IF(I1419="","",ABS(I1419))</f>
        <v>2.25</v>
      </c>
      <c r="N1419" s="33" t="n">
        <f aca="false">IF(J1419="","",ABS(J1419))</f>
        <v>1.75</v>
      </c>
      <c r="O1419" s="33" t="n">
        <f aca="false">IF(K1419="","",ABS(K1419))</f>
        <v>2.26526446593014</v>
      </c>
      <c r="P1419" s="34" t="str">
        <f aca="false">IF(B1419&gt;=Eval_Start_Week,"YES","")</f>
        <v>YES</v>
      </c>
      <c r="Q1419" s="34" t="str">
        <f aca="false">IF(AND(B1419&gt;=Cal_Start_Week,B1419&lt;=Cal_End_Week),"YES","")</f>
        <v>YES</v>
      </c>
    </row>
    <row r="1420" customFormat="false" ht="15" hidden="false" customHeight="false" outlineLevel="0" collapsed="false">
      <c r="A1420" s="31" t="str">
        <f aca="false">Demand_History!C1420</f>
        <v>BTH-004</v>
      </c>
      <c r="B1420" s="31" t="n">
        <f aca="false">Demand_History!A1420</f>
        <v>67</v>
      </c>
      <c r="C1420" s="32" t="n">
        <f aca="false">Demand_History!D1420</f>
        <v>33</v>
      </c>
      <c r="D1420" s="33" t="n">
        <f aca="false">IF(B1420&gt;=2,C1419,"")</f>
        <v>41</v>
      </c>
      <c r="E1420" s="33" t="n">
        <f aca="false">IF(B1420&gt;=5,AVERAGE(C1416:C1419),"")</f>
        <v>40</v>
      </c>
      <c r="F1420" s="33" t="n">
        <f aca="false">IF(B1420&gt;=9,AVERAGE(C1412:C1419),"")</f>
        <v>38.75</v>
      </c>
      <c r="G1420" s="33" t="n">
        <f aca="false">IF(B1420=1,"",IF(B1420=2,C1419,SES_Alpha*C1419+(1-SES_Alpha)*G1419))</f>
        <v>39.4143148738489</v>
      </c>
      <c r="H1420" s="33" t="n">
        <f aca="false">IF(D1420="","",D1420-C1420)</f>
        <v>8</v>
      </c>
      <c r="I1420" s="33" t="n">
        <f aca="false">IF(E1420="","",E1420-C1420)</f>
        <v>7</v>
      </c>
      <c r="J1420" s="33" t="n">
        <f aca="false">IF(F1420="","",F1420-C1420)</f>
        <v>5.75</v>
      </c>
      <c r="K1420" s="33" t="n">
        <f aca="false">IF(G1420="","",G1420-C1420)</f>
        <v>6.4143148738489</v>
      </c>
      <c r="L1420" s="33" t="n">
        <f aca="false">IF(H1420="","",ABS(H1420))</f>
        <v>8</v>
      </c>
      <c r="M1420" s="33" t="n">
        <f aca="false">IF(I1420="","",ABS(I1420))</f>
        <v>7</v>
      </c>
      <c r="N1420" s="33" t="n">
        <f aca="false">IF(J1420="","",ABS(J1420))</f>
        <v>5.75</v>
      </c>
      <c r="O1420" s="33" t="n">
        <f aca="false">IF(K1420="","",ABS(K1420))</f>
        <v>6.4143148738489</v>
      </c>
      <c r="P1420" s="34" t="str">
        <f aca="false">IF(B1420&gt;=Eval_Start_Week,"YES","")</f>
        <v>YES</v>
      </c>
      <c r="Q1420" s="34" t="str">
        <f aca="false">IF(AND(B1420&gt;=Cal_Start_Week,B1420&lt;=Cal_End_Week),"YES","")</f>
        <v>YES</v>
      </c>
    </row>
    <row r="1421" customFormat="false" ht="15" hidden="false" customHeight="false" outlineLevel="0" collapsed="false">
      <c r="A1421" s="31" t="str">
        <f aca="false">Demand_History!C1421</f>
        <v>BTH-004</v>
      </c>
      <c r="B1421" s="31" t="n">
        <f aca="false">Demand_History!A1421</f>
        <v>68</v>
      </c>
      <c r="C1421" s="32" t="n">
        <f aca="false">Demand_History!D1421</f>
        <v>37</v>
      </c>
      <c r="D1421" s="33" t="n">
        <f aca="false">IF(B1421&gt;=2,C1420,"")</f>
        <v>33</v>
      </c>
      <c r="E1421" s="33" t="n">
        <f aca="false">IF(B1421&gt;=5,AVERAGE(C1417:C1420),"")</f>
        <v>38.25</v>
      </c>
      <c r="F1421" s="33" t="n">
        <f aca="false">IF(B1421&gt;=9,AVERAGE(C1413:C1420),"")</f>
        <v>37.5</v>
      </c>
      <c r="G1421" s="33" t="n">
        <f aca="false">IF(B1421=1,"",IF(B1421=2,C1420,SES_Alpha*C1420+(1-SES_Alpha)*G1420))</f>
        <v>37.4900204116942</v>
      </c>
      <c r="H1421" s="33" t="n">
        <f aca="false">IF(D1421="","",D1421-C1421)</f>
        <v>-4</v>
      </c>
      <c r="I1421" s="33" t="n">
        <f aca="false">IF(E1421="","",E1421-C1421)</f>
        <v>1.25</v>
      </c>
      <c r="J1421" s="33" t="n">
        <f aca="false">IF(F1421="","",F1421-C1421)</f>
        <v>0.5</v>
      </c>
      <c r="K1421" s="33" t="n">
        <f aca="false">IF(G1421="","",G1421-C1421)</f>
        <v>0.490020411694225</v>
      </c>
      <c r="L1421" s="33" t="n">
        <f aca="false">IF(H1421="","",ABS(H1421))</f>
        <v>4</v>
      </c>
      <c r="M1421" s="33" t="n">
        <f aca="false">IF(I1421="","",ABS(I1421))</f>
        <v>1.25</v>
      </c>
      <c r="N1421" s="33" t="n">
        <f aca="false">IF(J1421="","",ABS(J1421))</f>
        <v>0.5</v>
      </c>
      <c r="O1421" s="33" t="n">
        <f aca="false">IF(K1421="","",ABS(K1421))</f>
        <v>0.490020411694225</v>
      </c>
      <c r="P1421" s="34" t="str">
        <f aca="false">IF(B1421&gt;=Eval_Start_Week,"YES","")</f>
        <v>YES</v>
      </c>
      <c r="Q1421" s="34" t="str">
        <f aca="false">IF(AND(B1421&gt;=Cal_Start_Week,B1421&lt;=Cal_End_Week),"YES","")</f>
        <v>YES</v>
      </c>
    </row>
    <row r="1422" customFormat="false" ht="15" hidden="false" customHeight="false" outlineLevel="0" collapsed="false">
      <c r="A1422" s="31" t="str">
        <f aca="false">Demand_History!C1422</f>
        <v>BTH-004</v>
      </c>
      <c r="B1422" s="31" t="n">
        <f aca="false">Demand_History!A1422</f>
        <v>69</v>
      </c>
      <c r="C1422" s="32" t="n">
        <f aca="false">Demand_History!D1422</f>
        <v>28</v>
      </c>
      <c r="D1422" s="33" t="n">
        <f aca="false">IF(B1422&gt;=2,C1421,"")</f>
        <v>37</v>
      </c>
      <c r="E1422" s="33" t="n">
        <f aca="false">IF(B1422&gt;=5,AVERAGE(C1418:C1421),"")</f>
        <v>37.25</v>
      </c>
      <c r="F1422" s="33" t="n">
        <f aca="false">IF(B1422&gt;=9,AVERAGE(C1414:C1421),"")</f>
        <v>37.5</v>
      </c>
      <c r="G1422" s="33" t="n">
        <f aca="false">IF(B1422=1,"",IF(B1422=2,C1421,SES_Alpha*C1421+(1-SES_Alpha)*G1421))</f>
        <v>37.343014288186</v>
      </c>
      <c r="H1422" s="33" t="n">
        <f aca="false">IF(D1422="","",D1422-C1422)</f>
        <v>9</v>
      </c>
      <c r="I1422" s="33" t="n">
        <f aca="false">IF(E1422="","",E1422-C1422)</f>
        <v>9.25</v>
      </c>
      <c r="J1422" s="33" t="n">
        <f aca="false">IF(F1422="","",F1422-C1422)</f>
        <v>9.5</v>
      </c>
      <c r="K1422" s="33" t="n">
        <f aca="false">IF(G1422="","",G1422-C1422)</f>
        <v>9.34301428818596</v>
      </c>
      <c r="L1422" s="33" t="n">
        <f aca="false">IF(H1422="","",ABS(H1422))</f>
        <v>9</v>
      </c>
      <c r="M1422" s="33" t="n">
        <f aca="false">IF(I1422="","",ABS(I1422))</f>
        <v>9.25</v>
      </c>
      <c r="N1422" s="33" t="n">
        <f aca="false">IF(J1422="","",ABS(J1422))</f>
        <v>9.5</v>
      </c>
      <c r="O1422" s="33" t="n">
        <f aca="false">IF(K1422="","",ABS(K1422))</f>
        <v>9.34301428818596</v>
      </c>
      <c r="P1422" s="34" t="str">
        <f aca="false">IF(B1422&gt;=Eval_Start_Week,"YES","")</f>
        <v>YES</v>
      </c>
      <c r="Q1422" s="34" t="str">
        <f aca="false">IF(AND(B1422&gt;=Cal_Start_Week,B1422&lt;=Cal_End_Week),"YES","")</f>
        <v>YES</v>
      </c>
    </row>
    <row r="1423" customFormat="false" ht="15" hidden="false" customHeight="false" outlineLevel="0" collapsed="false">
      <c r="A1423" s="31" t="str">
        <f aca="false">Demand_History!C1423</f>
        <v>BTH-004</v>
      </c>
      <c r="B1423" s="31" t="n">
        <f aca="false">Demand_History!A1423</f>
        <v>70</v>
      </c>
      <c r="C1423" s="32" t="n">
        <f aca="false">Demand_History!D1423</f>
        <v>39</v>
      </c>
      <c r="D1423" s="33" t="n">
        <f aca="false">IF(B1423&gt;=2,C1422,"")</f>
        <v>28</v>
      </c>
      <c r="E1423" s="33" t="n">
        <f aca="false">IF(B1423&gt;=5,AVERAGE(C1419:C1422),"")</f>
        <v>34.75</v>
      </c>
      <c r="F1423" s="33" t="n">
        <f aca="false">IF(B1423&gt;=9,AVERAGE(C1415:C1422),"")</f>
        <v>36.75</v>
      </c>
      <c r="G1423" s="33" t="n">
        <f aca="false">IF(B1423=1,"",IF(B1423=2,C1422,SES_Alpha*C1422+(1-SES_Alpha)*G1422))</f>
        <v>34.5401100017302</v>
      </c>
      <c r="H1423" s="33" t="n">
        <f aca="false">IF(D1423="","",D1423-C1423)</f>
        <v>-11</v>
      </c>
      <c r="I1423" s="33" t="n">
        <f aca="false">IF(E1423="","",E1423-C1423)</f>
        <v>-4.25</v>
      </c>
      <c r="J1423" s="33" t="n">
        <f aca="false">IF(F1423="","",F1423-C1423)</f>
        <v>-2.25</v>
      </c>
      <c r="K1423" s="33" t="n">
        <f aca="false">IF(G1423="","",G1423-C1423)</f>
        <v>-4.45988999826983</v>
      </c>
      <c r="L1423" s="33" t="n">
        <f aca="false">IF(H1423="","",ABS(H1423))</f>
        <v>11</v>
      </c>
      <c r="M1423" s="33" t="n">
        <f aca="false">IF(I1423="","",ABS(I1423))</f>
        <v>4.25</v>
      </c>
      <c r="N1423" s="33" t="n">
        <f aca="false">IF(J1423="","",ABS(J1423))</f>
        <v>2.25</v>
      </c>
      <c r="O1423" s="33" t="n">
        <f aca="false">IF(K1423="","",ABS(K1423))</f>
        <v>4.45988999826983</v>
      </c>
      <c r="P1423" s="34" t="str">
        <f aca="false">IF(B1423&gt;=Eval_Start_Week,"YES","")</f>
        <v>YES</v>
      </c>
      <c r="Q1423" s="34" t="str">
        <f aca="false">IF(AND(B1423&gt;=Cal_Start_Week,B1423&lt;=Cal_End_Week),"YES","")</f>
        <v>YES</v>
      </c>
    </row>
    <row r="1424" customFormat="false" ht="15" hidden="false" customHeight="false" outlineLevel="0" collapsed="false">
      <c r="A1424" s="31" t="str">
        <f aca="false">Demand_History!C1424</f>
        <v>BTH-004</v>
      </c>
      <c r="B1424" s="31" t="n">
        <f aca="false">Demand_History!A1424</f>
        <v>71</v>
      </c>
      <c r="C1424" s="32" t="n">
        <f aca="false">Demand_History!D1424</f>
        <v>36</v>
      </c>
      <c r="D1424" s="33" t="n">
        <f aca="false">IF(B1424&gt;=2,C1423,"")</f>
        <v>39</v>
      </c>
      <c r="E1424" s="33" t="n">
        <f aca="false">IF(B1424&gt;=5,AVERAGE(C1420:C1423),"")</f>
        <v>34.25</v>
      </c>
      <c r="F1424" s="33" t="n">
        <f aca="false">IF(B1424&gt;=9,AVERAGE(C1416:C1423),"")</f>
        <v>37.125</v>
      </c>
      <c r="G1424" s="33" t="n">
        <f aca="false">IF(B1424=1,"",IF(B1424=2,C1423,SES_Alpha*C1423+(1-SES_Alpha)*G1423))</f>
        <v>35.8780770012111</v>
      </c>
      <c r="H1424" s="33" t="n">
        <f aca="false">IF(D1424="","",D1424-C1424)</f>
        <v>3</v>
      </c>
      <c r="I1424" s="33" t="n">
        <f aca="false">IF(E1424="","",E1424-C1424)</f>
        <v>-1.75</v>
      </c>
      <c r="J1424" s="33" t="n">
        <f aca="false">IF(F1424="","",F1424-C1424)</f>
        <v>1.125</v>
      </c>
      <c r="K1424" s="33" t="n">
        <f aca="false">IF(G1424="","",G1424-C1424)</f>
        <v>-0.121922998788882</v>
      </c>
      <c r="L1424" s="33" t="n">
        <f aca="false">IF(H1424="","",ABS(H1424))</f>
        <v>3</v>
      </c>
      <c r="M1424" s="33" t="n">
        <f aca="false">IF(I1424="","",ABS(I1424))</f>
        <v>1.75</v>
      </c>
      <c r="N1424" s="33" t="n">
        <f aca="false">IF(J1424="","",ABS(J1424))</f>
        <v>1.125</v>
      </c>
      <c r="O1424" s="33" t="n">
        <f aca="false">IF(K1424="","",ABS(K1424))</f>
        <v>0.121922998788882</v>
      </c>
      <c r="P1424" s="34" t="str">
        <f aca="false">IF(B1424&gt;=Eval_Start_Week,"YES","")</f>
        <v>YES</v>
      </c>
      <c r="Q1424" s="34" t="str">
        <f aca="false">IF(AND(B1424&gt;=Cal_Start_Week,B1424&lt;=Cal_End_Week),"YES","")</f>
        <v>YES</v>
      </c>
    </row>
    <row r="1425" customFormat="false" ht="15" hidden="false" customHeight="false" outlineLevel="0" collapsed="false">
      <c r="A1425" s="31" t="str">
        <f aca="false">Demand_History!C1425</f>
        <v>BTH-004</v>
      </c>
      <c r="B1425" s="31" t="n">
        <f aca="false">Demand_History!A1425</f>
        <v>72</v>
      </c>
      <c r="C1425" s="32" t="n">
        <f aca="false">Demand_History!D1425</f>
        <v>33</v>
      </c>
      <c r="D1425" s="33" t="n">
        <f aca="false">IF(B1425&gt;=2,C1424,"")</f>
        <v>36</v>
      </c>
      <c r="E1425" s="33" t="n">
        <f aca="false">IF(B1425&gt;=5,AVERAGE(C1421:C1424),"")</f>
        <v>35</v>
      </c>
      <c r="F1425" s="33" t="n">
        <f aca="false">IF(B1425&gt;=9,AVERAGE(C1417:C1424),"")</f>
        <v>36.625</v>
      </c>
      <c r="G1425" s="33" t="n">
        <f aca="false">IF(B1425=1,"",IF(B1425=2,C1424,SES_Alpha*C1424+(1-SES_Alpha)*G1424))</f>
        <v>35.9146539008478</v>
      </c>
      <c r="H1425" s="33" t="n">
        <f aca="false">IF(D1425="","",D1425-C1425)</f>
        <v>3</v>
      </c>
      <c r="I1425" s="33" t="n">
        <f aca="false">IF(E1425="","",E1425-C1425)</f>
        <v>2</v>
      </c>
      <c r="J1425" s="33" t="n">
        <f aca="false">IF(F1425="","",F1425-C1425)</f>
        <v>3.625</v>
      </c>
      <c r="K1425" s="33" t="n">
        <f aca="false">IF(G1425="","",G1425-C1425)</f>
        <v>2.91465390084778</v>
      </c>
      <c r="L1425" s="33" t="n">
        <f aca="false">IF(H1425="","",ABS(H1425))</f>
        <v>3</v>
      </c>
      <c r="M1425" s="33" t="n">
        <f aca="false">IF(I1425="","",ABS(I1425))</f>
        <v>2</v>
      </c>
      <c r="N1425" s="33" t="n">
        <f aca="false">IF(J1425="","",ABS(J1425))</f>
        <v>3.625</v>
      </c>
      <c r="O1425" s="33" t="n">
        <f aca="false">IF(K1425="","",ABS(K1425))</f>
        <v>2.91465390084778</v>
      </c>
      <c r="P1425" s="34" t="str">
        <f aca="false">IF(B1425&gt;=Eval_Start_Week,"YES","")</f>
        <v>YES</v>
      </c>
      <c r="Q1425" s="34" t="str">
        <f aca="false">IF(AND(B1425&gt;=Cal_Start_Week,B1425&lt;=Cal_End_Week),"YES","")</f>
        <v>YES</v>
      </c>
    </row>
    <row r="1426" customFormat="false" ht="15" hidden="false" customHeight="false" outlineLevel="0" collapsed="false">
      <c r="A1426" s="31" t="str">
        <f aca="false">Demand_History!C1426</f>
        <v>BTH-004</v>
      </c>
      <c r="B1426" s="31" t="n">
        <f aca="false">Demand_History!A1426</f>
        <v>73</v>
      </c>
      <c r="C1426" s="32" t="n">
        <f aca="false">Demand_History!D1426</f>
        <v>40</v>
      </c>
      <c r="D1426" s="33" t="n">
        <f aca="false">IF(B1426&gt;=2,C1425,"")</f>
        <v>33</v>
      </c>
      <c r="E1426" s="33" t="n">
        <f aca="false">IF(B1426&gt;=5,AVERAGE(C1422:C1425),"")</f>
        <v>34</v>
      </c>
      <c r="F1426" s="33" t="n">
        <f aca="false">IF(B1426&gt;=9,AVERAGE(C1418:C1425),"")</f>
        <v>35.625</v>
      </c>
      <c r="G1426" s="33" t="n">
        <f aca="false">IF(B1426=1,"",IF(B1426=2,C1425,SES_Alpha*C1425+(1-SES_Alpha)*G1425))</f>
        <v>35.0402577305934</v>
      </c>
      <c r="H1426" s="33" t="n">
        <f aca="false">IF(D1426="","",D1426-C1426)</f>
        <v>-7</v>
      </c>
      <c r="I1426" s="33" t="n">
        <f aca="false">IF(E1426="","",E1426-C1426)</f>
        <v>-6</v>
      </c>
      <c r="J1426" s="33" t="n">
        <f aca="false">IF(F1426="","",F1426-C1426)</f>
        <v>-4.375</v>
      </c>
      <c r="K1426" s="33" t="n">
        <f aca="false">IF(G1426="","",G1426-C1426)</f>
        <v>-4.95974226940655</v>
      </c>
      <c r="L1426" s="33" t="n">
        <f aca="false">IF(H1426="","",ABS(H1426))</f>
        <v>7</v>
      </c>
      <c r="M1426" s="33" t="n">
        <f aca="false">IF(I1426="","",ABS(I1426))</f>
        <v>6</v>
      </c>
      <c r="N1426" s="33" t="n">
        <f aca="false">IF(J1426="","",ABS(J1426))</f>
        <v>4.375</v>
      </c>
      <c r="O1426" s="33" t="n">
        <f aca="false">IF(K1426="","",ABS(K1426))</f>
        <v>4.95974226940655</v>
      </c>
      <c r="P1426" s="34" t="str">
        <f aca="false">IF(B1426&gt;=Eval_Start_Week,"YES","")</f>
        <v>YES</v>
      </c>
      <c r="Q1426" s="34" t="str">
        <f aca="false">IF(AND(B1426&gt;=Cal_Start_Week,B1426&lt;=Cal_End_Week),"YES","")</f>
        <v>YES</v>
      </c>
    </row>
    <row r="1427" customFormat="false" ht="15" hidden="false" customHeight="false" outlineLevel="0" collapsed="false">
      <c r="A1427" s="31" t="str">
        <f aca="false">Demand_History!C1427</f>
        <v>BTH-004</v>
      </c>
      <c r="B1427" s="31" t="n">
        <f aca="false">Demand_History!A1427</f>
        <v>74</v>
      </c>
      <c r="C1427" s="32" t="n">
        <f aca="false">Demand_History!D1427</f>
        <v>37</v>
      </c>
      <c r="D1427" s="33" t="n">
        <f aca="false">IF(B1427&gt;=2,C1426,"")</f>
        <v>40</v>
      </c>
      <c r="E1427" s="33" t="n">
        <f aca="false">IF(B1427&gt;=5,AVERAGE(C1423:C1426),"")</f>
        <v>37</v>
      </c>
      <c r="F1427" s="33" t="n">
        <f aca="false">IF(B1427&gt;=9,AVERAGE(C1419:C1426),"")</f>
        <v>35.875</v>
      </c>
      <c r="G1427" s="33" t="n">
        <f aca="false">IF(B1427=1,"",IF(B1427=2,C1426,SES_Alpha*C1426+(1-SES_Alpha)*G1426))</f>
        <v>36.5281804114154</v>
      </c>
      <c r="H1427" s="33" t="n">
        <f aca="false">IF(D1427="","",D1427-C1427)</f>
        <v>3</v>
      </c>
      <c r="I1427" s="33" t="n">
        <f aca="false">IF(E1427="","",E1427-C1427)</f>
        <v>0</v>
      </c>
      <c r="J1427" s="33" t="n">
        <f aca="false">IF(F1427="","",F1427-C1427)</f>
        <v>-1.125</v>
      </c>
      <c r="K1427" s="33" t="n">
        <f aca="false">IF(G1427="","",G1427-C1427)</f>
        <v>-0.471819588584594</v>
      </c>
      <c r="L1427" s="33" t="n">
        <f aca="false">IF(H1427="","",ABS(H1427))</f>
        <v>3</v>
      </c>
      <c r="M1427" s="33" t="n">
        <f aca="false">IF(I1427="","",ABS(I1427))</f>
        <v>0</v>
      </c>
      <c r="N1427" s="33" t="n">
        <f aca="false">IF(J1427="","",ABS(J1427))</f>
        <v>1.125</v>
      </c>
      <c r="O1427" s="33" t="n">
        <f aca="false">IF(K1427="","",ABS(K1427))</f>
        <v>0.471819588584594</v>
      </c>
      <c r="P1427" s="34" t="str">
        <f aca="false">IF(B1427&gt;=Eval_Start_Week,"YES","")</f>
        <v>YES</v>
      </c>
      <c r="Q1427" s="34" t="str">
        <f aca="false">IF(AND(B1427&gt;=Cal_Start_Week,B1427&lt;=Cal_End_Week),"YES","")</f>
        <v>YES</v>
      </c>
    </row>
    <row r="1428" customFormat="false" ht="15" hidden="false" customHeight="false" outlineLevel="0" collapsed="false">
      <c r="A1428" s="31" t="str">
        <f aca="false">Demand_History!C1428</f>
        <v>BTH-004</v>
      </c>
      <c r="B1428" s="31" t="n">
        <f aca="false">Demand_History!A1428</f>
        <v>75</v>
      </c>
      <c r="C1428" s="32" t="n">
        <f aca="false">Demand_History!D1428</f>
        <v>21</v>
      </c>
      <c r="D1428" s="33" t="n">
        <f aca="false">IF(B1428&gt;=2,C1427,"")</f>
        <v>37</v>
      </c>
      <c r="E1428" s="33" t="n">
        <f aca="false">IF(B1428&gt;=5,AVERAGE(C1424:C1427),"")</f>
        <v>36.5</v>
      </c>
      <c r="F1428" s="33" t="n">
        <f aca="false">IF(B1428&gt;=9,AVERAGE(C1420:C1427),"")</f>
        <v>35.375</v>
      </c>
      <c r="G1428" s="33" t="n">
        <f aca="false">IF(B1428=1,"",IF(B1428=2,C1427,SES_Alpha*C1427+(1-SES_Alpha)*G1427))</f>
        <v>36.6697262879908</v>
      </c>
      <c r="H1428" s="33" t="n">
        <f aca="false">IF(D1428="","",D1428-C1428)</f>
        <v>16</v>
      </c>
      <c r="I1428" s="33" t="n">
        <f aca="false">IF(E1428="","",E1428-C1428)</f>
        <v>15.5</v>
      </c>
      <c r="J1428" s="33" t="n">
        <f aca="false">IF(F1428="","",F1428-C1428)</f>
        <v>14.375</v>
      </c>
      <c r="K1428" s="33" t="n">
        <f aca="false">IF(G1428="","",G1428-C1428)</f>
        <v>15.6697262879908</v>
      </c>
      <c r="L1428" s="33" t="n">
        <f aca="false">IF(H1428="","",ABS(H1428))</f>
        <v>16</v>
      </c>
      <c r="M1428" s="33" t="n">
        <f aca="false">IF(I1428="","",ABS(I1428))</f>
        <v>15.5</v>
      </c>
      <c r="N1428" s="33" t="n">
        <f aca="false">IF(J1428="","",ABS(J1428))</f>
        <v>14.375</v>
      </c>
      <c r="O1428" s="33" t="n">
        <f aca="false">IF(K1428="","",ABS(K1428))</f>
        <v>15.6697262879908</v>
      </c>
      <c r="P1428" s="34" t="str">
        <f aca="false">IF(B1428&gt;=Eval_Start_Week,"YES","")</f>
        <v>YES</v>
      </c>
      <c r="Q1428" s="34" t="str">
        <f aca="false">IF(AND(B1428&gt;=Cal_Start_Week,B1428&lt;=Cal_End_Week),"YES","")</f>
        <v>YES</v>
      </c>
    </row>
    <row r="1429" customFormat="false" ht="15" hidden="false" customHeight="false" outlineLevel="0" collapsed="false">
      <c r="A1429" s="31" t="str">
        <f aca="false">Demand_History!C1429</f>
        <v>BTH-004</v>
      </c>
      <c r="B1429" s="31" t="n">
        <f aca="false">Demand_History!A1429</f>
        <v>76</v>
      </c>
      <c r="C1429" s="32" t="n">
        <f aca="false">Demand_History!D1429</f>
        <v>34</v>
      </c>
      <c r="D1429" s="33" t="n">
        <f aca="false">IF(B1429&gt;=2,C1428,"")</f>
        <v>21</v>
      </c>
      <c r="E1429" s="33" t="n">
        <f aca="false">IF(B1429&gt;=5,AVERAGE(C1425:C1428),"")</f>
        <v>32.75</v>
      </c>
      <c r="F1429" s="33" t="n">
        <f aca="false">IF(B1429&gt;=9,AVERAGE(C1421:C1428),"")</f>
        <v>33.875</v>
      </c>
      <c r="G1429" s="33" t="n">
        <f aca="false">IF(B1429=1,"",IF(B1429=2,C1428,SES_Alpha*C1428+(1-SES_Alpha)*G1428))</f>
        <v>31.9688084015936</v>
      </c>
      <c r="H1429" s="33" t="n">
        <f aca="false">IF(D1429="","",D1429-C1429)</f>
        <v>-13</v>
      </c>
      <c r="I1429" s="33" t="n">
        <f aca="false">IF(E1429="","",E1429-C1429)</f>
        <v>-1.25</v>
      </c>
      <c r="J1429" s="33" t="n">
        <f aca="false">IF(F1429="","",F1429-C1429)</f>
        <v>-0.125</v>
      </c>
      <c r="K1429" s="33" t="n">
        <f aca="false">IF(G1429="","",G1429-C1429)</f>
        <v>-2.03119159840645</v>
      </c>
      <c r="L1429" s="33" t="n">
        <f aca="false">IF(H1429="","",ABS(H1429))</f>
        <v>13</v>
      </c>
      <c r="M1429" s="33" t="n">
        <f aca="false">IF(I1429="","",ABS(I1429))</f>
        <v>1.25</v>
      </c>
      <c r="N1429" s="33" t="n">
        <f aca="false">IF(J1429="","",ABS(J1429))</f>
        <v>0.125</v>
      </c>
      <c r="O1429" s="33" t="n">
        <f aca="false">IF(K1429="","",ABS(K1429))</f>
        <v>2.03119159840645</v>
      </c>
      <c r="P1429" s="34" t="str">
        <f aca="false">IF(B1429&gt;=Eval_Start_Week,"YES","")</f>
        <v>YES</v>
      </c>
      <c r="Q1429" s="34" t="str">
        <f aca="false">IF(AND(B1429&gt;=Cal_Start_Week,B1429&lt;=Cal_End_Week),"YES","")</f>
        <v>YES</v>
      </c>
    </row>
    <row r="1430" customFormat="false" ht="15" hidden="false" customHeight="false" outlineLevel="0" collapsed="false">
      <c r="A1430" s="31" t="str">
        <f aca="false">Demand_History!C1430</f>
        <v>BTH-004</v>
      </c>
      <c r="B1430" s="31" t="n">
        <f aca="false">Demand_History!A1430</f>
        <v>77</v>
      </c>
      <c r="C1430" s="32" t="n">
        <f aca="false">Demand_History!D1430</f>
        <v>27</v>
      </c>
      <c r="D1430" s="33" t="n">
        <f aca="false">IF(B1430&gt;=2,C1429,"")</f>
        <v>34</v>
      </c>
      <c r="E1430" s="33" t="n">
        <f aca="false">IF(B1430&gt;=5,AVERAGE(C1426:C1429),"")</f>
        <v>33</v>
      </c>
      <c r="F1430" s="33" t="n">
        <f aca="false">IF(B1430&gt;=9,AVERAGE(C1422:C1429),"")</f>
        <v>33.5</v>
      </c>
      <c r="G1430" s="33" t="n">
        <f aca="false">IF(B1430=1,"",IF(B1430=2,C1429,SES_Alpha*C1429+(1-SES_Alpha)*G1429))</f>
        <v>32.5781658811155</v>
      </c>
      <c r="H1430" s="33" t="n">
        <f aca="false">IF(D1430="","",D1430-C1430)</f>
        <v>7</v>
      </c>
      <c r="I1430" s="33" t="n">
        <f aca="false">IF(E1430="","",E1430-C1430)</f>
        <v>6</v>
      </c>
      <c r="J1430" s="33" t="n">
        <f aca="false">IF(F1430="","",F1430-C1430)</f>
        <v>6.5</v>
      </c>
      <c r="K1430" s="33" t="n">
        <f aca="false">IF(G1430="","",G1430-C1430)</f>
        <v>5.57816588111548</v>
      </c>
      <c r="L1430" s="33" t="n">
        <f aca="false">IF(H1430="","",ABS(H1430))</f>
        <v>7</v>
      </c>
      <c r="M1430" s="33" t="n">
        <f aca="false">IF(I1430="","",ABS(I1430))</f>
        <v>6</v>
      </c>
      <c r="N1430" s="33" t="n">
        <f aca="false">IF(J1430="","",ABS(J1430))</f>
        <v>6.5</v>
      </c>
      <c r="O1430" s="33" t="n">
        <f aca="false">IF(K1430="","",ABS(K1430))</f>
        <v>5.57816588111548</v>
      </c>
      <c r="P1430" s="34" t="str">
        <f aca="false">IF(B1430&gt;=Eval_Start_Week,"YES","")</f>
        <v>YES</v>
      </c>
      <c r="Q1430" s="34" t="str">
        <f aca="false">IF(AND(B1430&gt;=Cal_Start_Week,B1430&lt;=Cal_End_Week),"YES","")</f>
        <v>YES</v>
      </c>
    </row>
    <row r="1431" customFormat="false" ht="15" hidden="false" customHeight="false" outlineLevel="0" collapsed="false">
      <c r="A1431" s="31" t="str">
        <f aca="false">Demand_History!C1431</f>
        <v>BTH-004</v>
      </c>
      <c r="B1431" s="31" t="n">
        <f aca="false">Demand_History!A1431</f>
        <v>78</v>
      </c>
      <c r="C1431" s="32" t="n">
        <f aca="false">Demand_History!D1431</f>
        <v>38</v>
      </c>
      <c r="D1431" s="33" t="n">
        <f aca="false">IF(B1431&gt;=2,C1430,"")</f>
        <v>27</v>
      </c>
      <c r="E1431" s="33" t="n">
        <f aca="false">IF(B1431&gt;=5,AVERAGE(C1427:C1430),"")</f>
        <v>29.75</v>
      </c>
      <c r="F1431" s="33" t="n">
        <f aca="false">IF(B1431&gt;=9,AVERAGE(C1423:C1430),"")</f>
        <v>33.375</v>
      </c>
      <c r="G1431" s="33" t="n">
        <f aca="false">IF(B1431=1,"",IF(B1431=2,C1430,SES_Alpha*C1430+(1-SES_Alpha)*G1430))</f>
        <v>30.9047161167808</v>
      </c>
      <c r="H1431" s="33" t="n">
        <f aca="false">IF(D1431="","",D1431-C1431)</f>
        <v>-11</v>
      </c>
      <c r="I1431" s="33" t="n">
        <f aca="false">IF(E1431="","",E1431-C1431)</f>
        <v>-8.25</v>
      </c>
      <c r="J1431" s="33" t="n">
        <f aca="false">IF(F1431="","",F1431-C1431)</f>
        <v>-4.625</v>
      </c>
      <c r="K1431" s="33" t="n">
        <f aca="false">IF(G1431="","",G1431-C1431)</f>
        <v>-7.09528388321917</v>
      </c>
      <c r="L1431" s="33" t="n">
        <f aca="false">IF(H1431="","",ABS(H1431))</f>
        <v>11</v>
      </c>
      <c r="M1431" s="33" t="n">
        <f aca="false">IF(I1431="","",ABS(I1431))</f>
        <v>8.25</v>
      </c>
      <c r="N1431" s="33" t="n">
        <f aca="false">IF(J1431="","",ABS(J1431))</f>
        <v>4.625</v>
      </c>
      <c r="O1431" s="33" t="n">
        <f aca="false">IF(K1431="","",ABS(K1431))</f>
        <v>7.09528388321917</v>
      </c>
      <c r="P1431" s="34" t="str">
        <f aca="false">IF(B1431&gt;=Eval_Start_Week,"YES","")</f>
        <v>YES</v>
      </c>
      <c r="Q1431" s="34" t="str">
        <f aca="false">IF(AND(B1431&gt;=Cal_Start_Week,B1431&lt;=Cal_End_Week),"YES","")</f>
        <v>YES</v>
      </c>
    </row>
    <row r="1432" customFormat="false" ht="15" hidden="false" customHeight="false" outlineLevel="0" collapsed="false">
      <c r="A1432" s="31" t="str">
        <f aca="false">Demand_History!C1432</f>
        <v>BTH-004</v>
      </c>
      <c r="B1432" s="31" t="n">
        <f aca="false">Demand_History!A1432</f>
        <v>79</v>
      </c>
      <c r="C1432" s="32" t="n">
        <f aca="false">Demand_History!D1432</f>
        <v>44</v>
      </c>
      <c r="D1432" s="33" t="n">
        <f aca="false">IF(B1432&gt;=2,C1431,"")</f>
        <v>38</v>
      </c>
      <c r="E1432" s="33" t="n">
        <f aca="false">IF(B1432&gt;=5,AVERAGE(C1428:C1431),"")</f>
        <v>30</v>
      </c>
      <c r="F1432" s="33" t="n">
        <f aca="false">IF(B1432&gt;=9,AVERAGE(C1424:C1431),"")</f>
        <v>33.25</v>
      </c>
      <c r="G1432" s="33" t="n">
        <f aca="false">IF(B1432=1,"",IF(B1432=2,C1431,SES_Alpha*C1431+(1-SES_Alpha)*G1431))</f>
        <v>33.0333012817466</v>
      </c>
      <c r="H1432" s="33" t="n">
        <f aca="false">IF(D1432="","",D1432-C1432)</f>
        <v>-6</v>
      </c>
      <c r="I1432" s="33" t="n">
        <f aca="false">IF(E1432="","",E1432-C1432)</f>
        <v>-14</v>
      </c>
      <c r="J1432" s="33" t="n">
        <f aca="false">IF(F1432="","",F1432-C1432)</f>
        <v>-10.75</v>
      </c>
      <c r="K1432" s="33" t="n">
        <f aca="false">IF(G1432="","",G1432-C1432)</f>
        <v>-10.9666987182534</v>
      </c>
      <c r="L1432" s="33" t="n">
        <f aca="false">IF(H1432="","",ABS(H1432))</f>
        <v>6</v>
      </c>
      <c r="M1432" s="33" t="n">
        <f aca="false">IF(I1432="","",ABS(I1432))</f>
        <v>14</v>
      </c>
      <c r="N1432" s="33" t="n">
        <f aca="false">IF(J1432="","",ABS(J1432))</f>
        <v>10.75</v>
      </c>
      <c r="O1432" s="33" t="n">
        <f aca="false">IF(K1432="","",ABS(K1432))</f>
        <v>10.9666987182534</v>
      </c>
      <c r="P1432" s="34" t="str">
        <f aca="false">IF(B1432&gt;=Eval_Start_Week,"YES","")</f>
        <v>YES</v>
      </c>
      <c r="Q1432" s="34" t="str">
        <f aca="false">IF(AND(B1432&gt;=Cal_Start_Week,B1432&lt;=Cal_End_Week),"YES","")</f>
        <v>YES</v>
      </c>
    </row>
    <row r="1433" customFormat="false" ht="15" hidden="false" customHeight="false" outlineLevel="0" collapsed="false">
      <c r="A1433" s="31" t="str">
        <f aca="false">Demand_History!C1433</f>
        <v>BTH-004</v>
      </c>
      <c r="B1433" s="31" t="n">
        <f aca="false">Demand_History!A1433</f>
        <v>80</v>
      </c>
      <c r="C1433" s="32" t="n">
        <f aca="false">Demand_History!D1433</f>
        <v>30</v>
      </c>
      <c r="D1433" s="33" t="n">
        <f aca="false">IF(B1433&gt;=2,C1432,"")</f>
        <v>44</v>
      </c>
      <c r="E1433" s="33" t="n">
        <f aca="false">IF(B1433&gt;=5,AVERAGE(C1429:C1432),"")</f>
        <v>35.75</v>
      </c>
      <c r="F1433" s="33" t="n">
        <f aca="false">IF(B1433&gt;=9,AVERAGE(C1425:C1432),"")</f>
        <v>34.25</v>
      </c>
      <c r="G1433" s="33" t="n">
        <f aca="false">IF(B1433=1,"",IF(B1433=2,C1432,SES_Alpha*C1432+(1-SES_Alpha)*G1432))</f>
        <v>36.3233108972226</v>
      </c>
      <c r="H1433" s="33" t="n">
        <f aca="false">IF(D1433="","",D1433-C1433)</f>
        <v>14</v>
      </c>
      <c r="I1433" s="33" t="n">
        <f aca="false">IF(E1433="","",E1433-C1433)</f>
        <v>5.75</v>
      </c>
      <c r="J1433" s="33" t="n">
        <f aca="false">IF(F1433="","",F1433-C1433)</f>
        <v>4.25</v>
      </c>
      <c r="K1433" s="33" t="n">
        <f aca="false">IF(G1433="","",G1433-C1433)</f>
        <v>6.32331089722261</v>
      </c>
      <c r="L1433" s="33" t="n">
        <f aca="false">IF(H1433="","",ABS(H1433))</f>
        <v>14</v>
      </c>
      <c r="M1433" s="33" t="n">
        <f aca="false">IF(I1433="","",ABS(I1433))</f>
        <v>5.75</v>
      </c>
      <c r="N1433" s="33" t="n">
        <f aca="false">IF(J1433="","",ABS(J1433))</f>
        <v>4.25</v>
      </c>
      <c r="O1433" s="33" t="n">
        <f aca="false">IF(K1433="","",ABS(K1433))</f>
        <v>6.32331089722261</v>
      </c>
      <c r="P1433" s="34" t="str">
        <f aca="false">IF(B1433&gt;=Eval_Start_Week,"YES","")</f>
        <v>YES</v>
      </c>
      <c r="Q1433" s="34" t="str">
        <f aca="false">IF(AND(B1433&gt;=Cal_Start_Week,B1433&lt;=Cal_End_Week),"YES","")</f>
        <v>YES</v>
      </c>
    </row>
    <row r="1434" customFormat="false" ht="15" hidden="false" customHeight="false" outlineLevel="0" collapsed="false">
      <c r="A1434" s="31" t="str">
        <f aca="false">Demand_History!C1434</f>
        <v>BTH-004</v>
      </c>
      <c r="B1434" s="31" t="n">
        <f aca="false">Demand_History!A1434</f>
        <v>81</v>
      </c>
      <c r="C1434" s="32" t="n">
        <f aca="false">Demand_History!D1434</f>
        <v>33</v>
      </c>
      <c r="D1434" s="33" t="n">
        <f aca="false">IF(B1434&gt;=2,C1433,"")</f>
        <v>30</v>
      </c>
      <c r="E1434" s="33" t="n">
        <f aca="false">IF(B1434&gt;=5,AVERAGE(C1430:C1433),"")</f>
        <v>34.75</v>
      </c>
      <c r="F1434" s="33" t="n">
        <f aca="false">IF(B1434&gt;=9,AVERAGE(C1426:C1433),"")</f>
        <v>33.875</v>
      </c>
      <c r="G1434" s="33" t="n">
        <f aca="false">IF(B1434=1,"",IF(B1434=2,C1433,SES_Alpha*C1433+(1-SES_Alpha)*G1433))</f>
        <v>34.4263176280558</v>
      </c>
      <c r="H1434" s="33" t="n">
        <f aca="false">IF(D1434="","",D1434-C1434)</f>
        <v>-3</v>
      </c>
      <c r="I1434" s="33" t="n">
        <f aca="false">IF(E1434="","",E1434-C1434)</f>
        <v>1.75</v>
      </c>
      <c r="J1434" s="33" t="n">
        <f aca="false">IF(F1434="","",F1434-C1434)</f>
        <v>0.875</v>
      </c>
      <c r="K1434" s="33" t="n">
        <f aca="false">IF(G1434="","",G1434-C1434)</f>
        <v>1.42631762805583</v>
      </c>
      <c r="L1434" s="33" t="n">
        <f aca="false">IF(H1434="","",ABS(H1434))</f>
        <v>3</v>
      </c>
      <c r="M1434" s="33" t="n">
        <f aca="false">IF(I1434="","",ABS(I1434))</f>
        <v>1.75</v>
      </c>
      <c r="N1434" s="33" t="n">
        <f aca="false">IF(J1434="","",ABS(J1434))</f>
        <v>0.875</v>
      </c>
      <c r="O1434" s="33" t="n">
        <f aca="false">IF(K1434="","",ABS(K1434))</f>
        <v>1.42631762805583</v>
      </c>
      <c r="P1434" s="34" t="str">
        <f aca="false">IF(B1434&gt;=Eval_Start_Week,"YES","")</f>
        <v>YES</v>
      </c>
      <c r="Q1434" s="34" t="str">
        <f aca="false">IF(AND(B1434&gt;=Cal_Start_Week,B1434&lt;=Cal_End_Week),"YES","")</f>
        <v>YES</v>
      </c>
    </row>
    <row r="1435" customFormat="false" ht="15" hidden="false" customHeight="false" outlineLevel="0" collapsed="false">
      <c r="A1435" s="31" t="str">
        <f aca="false">Demand_History!C1435</f>
        <v>BTH-004</v>
      </c>
      <c r="B1435" s="31" t="n">
        <f aca="false">Demand_History!A1435</f>
        <v>82</v>
      </c>
      <c r="C1435" s="32" t="n">
        <f aca="false">Demand_History!D1435</f>
        <v>31</v>
      </c>
      <c r="D1435" s="33" t="n">
        <f aca="false">IF(B1435&gt;=2,C1434,"")</f>
        <v>33</v>
      </c>
      <c r="E1435" s="33" t="n">
        <f aca="false">IF(B1435&gt;=5,AVERAGE(C1431:C1434),"")</f>
        <v>36.25</v>
      </c>
      <c r="F1435" s="33" t="n">
        <f aca="false">IF(B1435&gt;=9,AVERAGE(C1427:C1434),"")</f>
        <v>33</v>
      </c>
      <c r="G1435" s="33" t="n">
        <f aca="false">IF(B1435=1,"",IF(B1435=2,C1434,SES_Alpha*C1434+(1-SES_Alpha)*G1434))</f>
        <v>33.9984223396391</v>
      </c>
      <c r="H1435" s="33" t="n">
        <f aca="false">IF(D1435="","",D1435-C1435)</f>
        <v>2</v>
      </c>
      <c r="I1435" s="33" t="n">
        <f aca="false">IF(E1435="","",E1435-C1435)</f>
        <v>5.25</v>
      </c>
      <c r="J1435" s="33" t="n">
        <f aca="false">IF(F1435="","",F1435-C1435)</f>
        <v>2</v>
      </c>
      <c r="K1435" s="33" t="n">
        <f aca="false">IF(G1435="","",G1435-C1435)</f>
        <v>2.99842233963908</v>
      </c>
      <c r="L1435" s="33" t="n">
        <f aca="false">IF(H1435="","",ABS(H1435))</f>
        <v>2</v>
      </c>
      <c r="M1435" s="33" t="n">
        <f aca="false">IF(I1435="","",ABS(I1435))</f>
        <v>5.25</v>
      </c>
      <c r="N1435" s="33" t="n">
        <f aca="false">IF(J1435="","",ABS(J1435))</f>
        <v>2</v>
      </c>
      <c r="O1435" s="33" t="n">
        <f aca="false">IF(K1435="","",ABS(K1435))</f>
        <v>2.99842233963908</v>
      </c>
      <c r="P1435" s="34" t="str">
        <f aca="false">IF(B1435&gt;=Eval_Start_Week,"YES","")</f>
        <v>YES</v>
      </c>
      <c r="Q1435" s="34" t="str">
        <f aca="false">IF(AND(B1435&gt;=Cal_Start_Week,B1435&lt;=Cal_End_Week),"YES","")</f>
        <v>YES</v>
      </c>
    </row>
    <row r="1436" customFormat="false" ht="15" hidden="false" customHeight="false" outlineLevel="0" collapsed="false">
      <c r="A1436" s="31" t="str">
        <f aca="false">Demand_History!C1436</f>
        <v>BTH-004</v>
      </c>
      <c r="B1436" s="31" t="n">
        <f aca="false">Demand_History!A1436</f>
        <v>83</v>
      </c>
      <c r="C1436" s="32" t="n">
        <f aca="false">Demand_History!D1436</f>
        <v>33</v>
      </c>
      <c r="D1436" s="33" t="n">
        <f aca="false">IF(B1436&gt;=2,C1435,"")</f>
        <v>31</v>
      </c>
      <c r="E1436" s="33" t="n">
        <f aca="false">IF(B1436&gt;=5,AVERAGE(C1432:C1435),"")</f>
        <v>34.5</v>
      </c>
      <c r="F1436" s="33" t="n">
        <f aca="false">IF(B1436&gt;=9,AVERAGE(C1428:C1435),"")</f>
        <v>32.25</v>
      </c>
      <c r="G1436" s="33" t="n">
        <f aca="false">IF(B1436=1,"",IF(B1436=2,C1435,SES_Alpha*C1435+(1-SES_Alpha)*G1435))</f>
        <v>33.0988956377474</v>
      </c>
      <c r="H1436" s="33" t="n">
        <f aca="false">IF(D1436="","",D1436-C1436)</f>
        <v>-2</v>
      </c>
      <c r="I1436" s="33" t="n">
        <f aca="false">IF(E1436="","",E1436-C1436)</f>
        <v>1.5</v>
      </c>
      <c r="J1436" s="33" t="n">
        <f aca="false">IF(F1436="","",F1436-C1436)</f>
        <v>-0.75</v>
      </c>
      <c r="K1436" s="33" t="n">
        <f aca="false">IF(G1436="","",G1436-C1436)</f>
        <v>0.0988956377473542</v>
      </c>
      <c r="L1436" s="33" t="n">
        <f aca="false">IF(H1436="","",ABS(H1436))</f>
        <v>2</v>
      </c>
      <c r="M1436" s="33" t="n">
        <f aca="false">IF(I1436="","",ABS(I1436))</f>
        <v>1.5</v>
      </c>
      <c r="N1436" s="33" t="n">
        <f aca="false">IF(J1436="","",ABS(J1436))</f>
        <v>0.75</v>
      </c>
      <c r="O1436" s="33" t="n">
        <f aca="false">IF(K1436="","",ABS(K1436))</f>
        <v>0.0988956377473542</v>
      </c>
      <c r="P1436" s="34" t="str">
        <f aca="false">IF(B1436&gt;=Eval_Start_Week,"YES","")</f>
        <v>YES</v>
      </c>
      <c r="Q1436" s="34" t="str">
        <f aca="false">IF(AND(B1436&gt;=Cal_Start_Week,B1436&lt;=Cal_End_Week),"YES","")</f>
        <v>YES</v>
      </c>
    </row>
    <row r="1437" customFormat="false" ht="15" hidden="false" customHeight="false" outlineLevel="0" collapsed="false">
      <c r="A1437" s="31" t="str">
        <f aca="false">Demand_History!C1437</f>
        <v>BTH-004</v>
      </c>
      <c r="B1437" s="31" t="n">
        <f aca="false">Demand_History!A1437</f>
        <v>84</v>
      </c>
      <c r="C1437" s="32" t="n">
        <f aca="false">Demand_History!D1437</f>
        <v>34</v>
      </c>
      <c r="D1437" s="33" t="n">
        <f aca="false">IF(B1437&gt;=2,C1436,"")</f>
        <v>33</v>
      </c>
      <c r="E1437" s="33" t="n">
        <f aca="false">IF(B1437&gt;=5,AVERAGE(C1433:C1436),"")</f>
        <v>31.75</v>
      </c>
      <c r="F1437" s="33" t="n">
        <f aca="false">IF(B1437&gt;=9,AVERAGE(C1429:C1436),"")</f>
        <v>33.75</v>
      </c>
      <c r="G1437" s="33" t="n">
        <f aca="false">IF(B1437=1,"",IF(B1437=2,C1436,SES_Alpha*C1436+(1-SES_Alpha)*G1436))</f>
        <v>33.0692269464232</v>
      </c>
      <c r="H1437" s="33" t="n">
        <f aca="false">IF(D1437="","",D1437-C1437)</f>
        <v>-1</v>
      </c>
      <c r="I1437" s="33" t="n">
        <f aca="false">IF(E1437="","",E1437-C1437)</f>
        <v>-2.25</v>
      </c>
      <c r="J1437" s="33" t="n">
        <f aca="false">IF(F1437="","",F1437-C1437)</f>
        <v>-0.25</v>
      </c>
      <c r="K1437" s="33" t="n">
        <f aca="false">IF(G1437="","",G1437-C1437)</f>
        <v>-0.93077305357685</v>
      </c>
      <c r="L1437" s="33" t="n">
        <f aca="false">IF(H1437="","",ABS(H1437))</f>
        <v>1</v>
      </c>
      <c r="M1437" s="33" t="n">
        <f aca="false">IF(I1437="","",ABS(I1437))</f>
        <v>2.25</v>
      </c>
      <c r="N1437" s="33" t="n">
        <f aca="false">IF(J1437="","",ABS(J1437))</f>
        <v>0.25</v>
      </c>
      <c r="O1437" s="33" t="n">
        <f aca="false">IF(K1437="","",ABS(K1437))</f>
        <v>0.93077305357685</v>
      </c>
      <c r="P1437" s="34" t="str">
        <f aca="false">IF(B1437&gt;=Eval_Start_Week,"YES","")</f>
        <v>YES</v>
      </c>
      <c r="Q1437" s="34" t="str">
        <f aca="false">IF(AND(B1437&gt;=Cal_Start_Week,B1437&lt;=Cal_End_Week),"YES","")</f>
        <v>YES</v>
      </c>
    </row>
    <row r="1438" customFormat="false" ht="15" hidden="false" customHeight="false" outlineLevel="0" collapsed="false">
      <c r="A1438" s="31" t="str">
        <f aca="false">Demand_History!C1438</f>
        <v>BTH-004</v>
      </c>
      <c r="B1438" s="31" t="n">
        <f aca="false">Demand_History!A1438</f>
        <v>85</v>
      </c>
      <c r="C1438" s="32" t="n">
        <f aca="false">Demand_History!D1438</f>
        <v>37</v>
      </c>
      <c r="D1438" s="33" t="n">
        <f aca="false">IF(B1438&gt;=2,C1437,"")</f>
        <v>34</v>
      </c>
      <c r="E1438" s="33" t="n">
        <f aca="false">IF(B1438&gt;=5,AVERAGE(C1434:C1437),"")</f>
        <v>32.75</v>
      </c>
      <c r="F1438" s="33" t="n">
        <f aca="false">IF(B1438&gt;=9,AVERAGE(C1430:C1437),"")</f>
        <v>33.75</v>
      </c>
      <c r="G1438" s="33" t="n">
        <f aca="false">IF(B1438=1,"",IF(B1438=2,C1437,SES_Alpha*C1437+(1-SES_Alpha)*G1437))</f>
        <v>33.3484588624962</v>
      </c>
      <c r="H1438" s="33" t="n">
        <f aca="false">IF(D1438="","",D1438-C1438)</f>
        <v>-3</v>
      </c>
      <c r="I1438" s="33" t="n">
        <f aca="false">IF(E1438="","",E1438-C1438)</f>
        <v>-4.25</v>
      </c>
      <c r="J1438" s="33" t="n">
        <f aca="false">IF(F1438="","",F1438-C1438)</f>
        <v>-3.25</v>
      </c>
      <c r="K1438" s="33" t="n">
        <f aca="false">IF(G1438="","",G1438-C1438)</f>
        <v>-3.6515411375038</v>
      </c>
      <c r="L1438" s="33" t="n">
        <f aca="false">IF(H1438="","",ABS(H1438))</f>
        <v>3</v>
      </c>
      <c r="M1438" s="33" t="n">
        <f aca="false">IF(I1438="","",ABS(I1438))</f>
        <v>4.25</v>
      </c>
      <c r="N1438" s="33" t="n">
        <f aca="false">IF(J1438="","",ABS(J1438))</f>
        <v>3.25</v>
      </c>
      <c r="O1438" s="33" t="n">
        <f aca="false">IF(K1438="","",ABS(K1438))</f>
        <v>3.6515411375038</v>
      </c>
      <c r="P1438" s="34" t="str">
        <f aca="false">IF(B1438&gt;=Eval_Start_Week,"YES","")</f>
        <v>YES</v>
      </c>
      <c r="Q1438" s="34" t="str">
        <f aca="false">IF(AND(B1438&gt;=Cal_Start_Week,B1438&lt;=Cal_End_Week),"YES","")</f>
        <v>YES</v>
      </c>
    </row>
    <row r="1439" customFormat="false" ht="15" hidden="false" customHeight="false" outlineLevel="0" collapsed="false">
      <c r="A1439" s="31" t="str">
        <f aca="false">Demand_History!C1439</f>
        <v>BTH-004</v>
      </c>
      <c r="B1439" s="31" t="n">
        <f aca="false">Demand_History!A1439</f>
        <v>86</v>
      </c>
      <c r="C1439" s="32" t="n">
        <f aca="false">Demand_History!D1439</f>
        <v>27</v>
      </c>
      <c r="D1439" s="33" t="n">
        <f aca="false">IF(B1439&gt;=2,C1438,"")</f>
        <v>37</v>
      </c>
      <c r="E1439" s="33" t="n">
        <f aca="false">IF(B1439&gt;=5,AVERAGE(C1435:C1438),"")</f>
        <v>33.75</v>
      </c>
      <c r="F1439" s="33" t="n">
        <f aca="false">IF(B1439&gt;=9,AVERAGE(C1431:C1438),"")</f>
        <v>35</v>
      </c>
      <c r="G1439" s="33" t="n">
        <f aca="false">IF(B1439=1,"",IF(B1439=2,C1438,SES_Alpha*C1438+(1-SES_Alpha)*G1438))</f>
        <v>34.4439212037473</v>
      </c>
      <c r="H1439" s="33" t="n">
        <f aca="false">IF(D1439="","",D1439-C1439)</f>
        <v>10</v>
      </c>
      <c r="I1439" s="33" t="n">
        <f aca="false">IF(E1439="","",E1439-C1439)</f>
        <v>6.75</v>
      </c>
      <c r="J1439" s="33" t="n">
        <f aca="false">IF(F1439="","",F1439-C1439)</f>
        <v>8</v>
      </c>
      <c r="K1439" s="33" t="n">
        <f aca="false">IF(G1439="","",G1439-C1439)</f>
        <v>7.44392120374734</v>
      </c>
      <c r="L1439" s="33" t="n">
        <f aca="false">IF(H1439="","",ABS(H1439))</f>
        <v>10</v>
      </c>
      <c r="M1439" s="33" t="n">
        <f aca="false">IF(I1439="","",ABS(I1439))</f>
        <v>6.75</v>
      </c>
      <c r="N1439" s="33" t="n">
        <f aca="false">IF(J1439="","",ABS(J1439))</f>
        <v>8</v>
      </c>
      <c r="O1439" s="33" t="n">
        <f aca="false">IF(K1439="","",ABS(K1439))</f>
        <v>7.44392120374734</v>
      </c>
      <c r="P1439" s="34" t="str">
        <f aca="false">IF(B1439&gt;=Eval_Start_Week,"YES","")</f>
        <v>YES</v>
      </c>
      <c r="Q1439" s="34" t="str">
        <f aca="false">IF(AND(B1439&gt;=Cal_Start_Week,B1439&lt;=Cal_End_Week),"YES","")</f>
        <v>YES</v>
      </c>
    </row>
    <row r="1440" customFormat="false" ht="15" hidden="false" customHeight="false" outlineLevel="0" collapsed="false">
      <c r="A1440" s="31" t="str">
        <f aca="false">Demand_History!C1440</f>
        <v>BTH-004</v>
      </c>
      <c r="B1440" s="31" t="n">
        <f aca="false">Demand_History!A1440</f>
        <v>87</v>
      </c>
      <c r="C1440" s="32" t="n">
        <f aca="false">Demand_History!D1440</f>
        <v>37</v>
      </c>
      <c r="D1440" s="33" t="n">
        <f aca="false">IF(B1440&gt;=2,C1439,"")</f>
        <v>27</v>
      </c>
      <c r="E1440" s="33" t="n">
        <f aca="false">IF(B1440&gt;=5,AVERAGE(C1436:C1439),"")</f>
        <v>32.75</v>
      </c>
      <c r="F1440" s="33" t="n">
        <f aca="false">IF(B1440&gt;=9,AVERAGE(C1432:C1439),"")</f>
        <v>33.625</v>
      </c>
      <c r="G1440" s="33" t="n">
        <f aca="false">IF(B1440=1,"",IF(B1440=2,C1439,SES_Alpha*C1439+(1-SES_Alpha)*G1439))</f>
        <v>32.2107448426231</v>
      </c>
      <c r="H1440" s="33" t="n">
        <f aca="false">IF(D1440="","",D1440-C1440)</f>
        <v>-10</v>
      </c>
      <c r="I1440" s="33" t="n">
        <f aca="false">IF(E1440="","",E1440-C1440)</f>
        <v>-4.25</v>
      </c>
      <c r="J1440" s="33" t="n">
        <f aca="false">IF(F1440="","",F1440-C1440)</f>
        <v>-3.375</v>
      </c>
      <c r="K1440" s="33" t="n">
        <f aca="false">IF(G1440="","",G1440-C1440)</f>
        <v>-4.78925515737686</v>
      </c>
      <c r="L1440" s="33" t="n">
        <f aca="false">IF(H1440="","",ABS(H1440))</f>
        <v>10</v>
      </c>
      <c r="M1440" s="33" t="n">
        <f aca="false">IF(I1440="","",ABS(I1440))</f>
        <v>4.25</v>
      </c>
      <c r="N1440" s="33" t="n">
        <f aca="false">IF(J1440="","",ABS(J1440))</f>
        <v>3.375</v>
      </c>
      <c r="O1440" s="33" t="n">
        <f aca="false">IF(K1440="","",ABS(K1440))</f>
        <v>4.78925515737686</v>
      </c>
      <c r="P1440" s="34" t="str">
        <f aca="false">IF(B1440&gt;=Eval_Start_Week,"YES","")</f>
        <v>YES</v>
      </c>
      <c r="Q1440" s="34" t="str">
        <f aca="false">IF(AND(B1440&gt;=Cal_Start_Week,B1440&lt;=Cal_End_Week),"YES","")</f>
        <v>YES</v>
      </c>
    </row>
    <row r="1441" customFormat="false" ht="15" hidden="false" customHeight="false" outlineLevel="0" collapsed="false">
      <c r="A1441" s="31" t="str">
        <f aca="false">Demand_History!C1441</f>
        <v>BTH-004</v>
      </c>
      <c r="B1441" s="31" t="n">
        <f aca="false">Demand_History!A1441</f>
        <v>88</v>
      </c>
      <c r="C1441" s="32" t="n">
        <f aca="false">Demand_History!D1441</f>
        <v>26</v>
      </c>
      <c r="D1441" s="33" t="n">
        <f aca="false">IF(B1441&gt;=2,C1440,"")</f>
        <v>37</v>
      </c>
      <c r="E1441" s="33" t="n">
        <f aca="false">IF(B1441&gt;=5,AVERAGE(C1437:C1440),"")</f>
        <v>33.75</v>
      </c>
      <c r="F1441" s="33" t="n">
        <f aca="false">IF(B1441&gt;=9,AVERAGE(C1433:C1440),"")</f>
        <v>32.75</v>
      </c>
      <c r="G1441" s="33" t="n">
        <f aca="false">IF(B1441=1,"",IF(B1441=2,C1440,SES_Alpha*C1440+(1-SES_Alpha)*G1440))</f>
        <v>33.6475213898362</v>
      </c>
      <c r="H1441" s="33" t="n">
        <f aca="false">IF(D1441="","",D1441-C1441)</f>
        <v>11</v>
      </c>
      <c r="I1441" s="33" t="n">
        <f aca="false">IF(E1441="","",E1441-C1441)</f>
        <v>7.75</v>
      </c>
      <c r="J1441" s="33" t="n">
        <f aca="false">IF(F1441="","",F1441-C1441)</f>
        <v>6.75</v>
      </c>
      <c r="K1441" s="33" t="n">
        <f aca="false">IF(G1441="","",G1441-C1441)</f>
        <v>7.64752138983619</v>
      </c>
      <c r="L1441" s="33" t="n">
        <f aca="false">IF(H1441="","",ABS(H1441))</f>
        <v>11</v>
      </c>
      <c r="M1441" s="33" t="n">
        <f aca="false">IF(I1441="","",ABS(I1441))</f>
        <v>7.75</v>
      </c>
      <c r="N1441" s="33" t="n">
        <f aca="false">IF(J1441="","",ABS(J1441))</f>
        <v>6.75</v>
      </c>
      <c r="O1441" s="33" t="n">
        <f aca="false">IF(K1441="","",ABS(K1441))</f>
        <v>7.64752138983619</v>
      </c>
      <c r="P1441" s="34" t="str">
        <f aca="false">IF(B1441&gt;=Eval_Start_Week,"YES","")</f>
        <v>YES</v>
      </c>
      <c r="Q1441" s="34" t="str">
        <f aca="false">IF(AND(B1441&gt;=Cal_Start_Week,B1441&lt;=Cal_End_Week),"YES","")</f>
        <v>YES</v>
      </c>
    </row>
    <row r="1442" customFormat="false" ht="15" hidden="false" customHeight="false" outlineLevel="0" collapsed="false">
      <c r="A1442" s="31" t="str">
        <f aca="false">Demand_History!C1442</f>
        <v>BTH-004</v>
      </c>
      <c r="B1442" s="31" t="n">
        <f aca="false">Demand_History!A1442</f>
        <v>89</v>
      </c>
      <c r="C1442" s="32" t="n">
        <f aca="false">Demand_History!D1442</f>
        <v>31</v>
      </c>
      <c r="D1442" s="33" t="n">
        <f aca="false">IF(B1442&gt;=2,C1441,"")</f>
        <v>26</v>
      </c>
      <c r="E1442" s="33" t="n">
        <f aca="false">IF(B1442&gt;=5,AVERAGE(C1438:C1441),"")</f>
        <v>31.75</v>
      </c>
      <c r="F1442" s="33" t="n">
        <f aca="false">IF(B1442&gt;=9,AVERAGE(C1434:C1441),"")</f>
        <v>32.25</v>
      </c>
      <c r="G1442" s="33" t="n">
        <f aca="false">IF(B1442=1,"",IF(B1442=2,C1441,SES_Alpha*C1441+(1-SES_Alpha)*G1441))</f>
        <v>31.3532649728853</v>
      </c>
      <c r="H1442" s="33" t="n">
        <f aca="false">IF(D1442="","",D1442-C1442)</f>
        <v>-5</v>
      </c>
      <c r="I1442" s="33" t="n">
        <f aca="false">IF(E1442="","",E1442-C1442)</f>
        <v>0.75</v>
      </c>
      <c r="J1442" s="33" t="n">
        <f aca="false">IF(F1442="","",F1442-C1442)</f>
        <v>1.25</v>
      </c>
      <c r="K1442" s="33" t="n">
        <f aca="false">IF(G1442="","",G1442-C1442)</f>
        <v>0.353264972885334</v>
      </c>
      <c r="L1442" s="33" t="n">
        <f aca="false">IF(H1442="","",ABS(H1442))</f>
        <v>5</v>
      </c>
      <c r="M1442" s="33" t="n">
        <f aca="false">IF(I1442="","",ABS(I1442))</f>
        <v>0.75</v>
      </c>
      <c r="N1442" s="33" t="n">
        <f aca="false">IF(J1442="","",ABS(J1442))</f>
        <v>1.25</v>
      </c>
      <c r="O1442" s="33" t="n">
        <f aca="false">IF(K1442="","",ABS(K1442))</f>
        <v>0.353264972885334</v>
      </c>
      <c r="P1442" s="34" t="str">
        <f aca="false">IF(B1442&gt;=Eval_Start_Week,"YES","")</f>
        <v>YES</v>
      </c>
      <c r="Q1442" s="34" t="str">
        <f aca="false">IF(AND(B1442&gt;=Cal_Start_Week,B1442&lt;=Cal_End_Week),"YES","")</f>
        <v/>
      </c>
    </row>
    <row r="1443" customFormat="false" ht="15" hidden="false" customHeight="false" outlineLevel="0" collapsed="false">
      <c r="A1443" s="31" t="str">
        <f aca="false">Demand_History!C1443</f>
        <v>BTH-004</v>
      </c>
      <c r="B1443" s="31" t="n">
        <f aca="false">Demand_History!A1443</f>
        <v>90</v>
      </c>
      <c r="C1443" s="32" t="n">
        <f aca="false">Demand_History!D1443</f>
        <v>35</v>
      </c>
      <c r="D1443" s="33" t="n">
        <f aca="false">IF(B1443&gt;=2,C1442,"")</f>
        <v>31</v>
      </c>
      <c r="E1443" s="33" t="n">
        <f aca="false">IF(B1443&gt;=5,AVERAGE(C1439:C1442),"")</f>
        <v>30.25</v>
      </c>
      <c r="F1443" s="33" t="n">
        <f aca="false">IF(B1443&gt;=9,AVERAGE(C1435:C1442),"")</f>
        <v>32</v>
      </c>
      <c r="G1443" s="33" t="n">
        <f aca="false">IF(B1443=1,"",IF(B1443=2,C1442,SES_Alpha*C1442+(1-SES_Alpha)*G1442))</f>
        <v>31.2472854810197</v>
      </c>
      <c r="H1443" s="33" t="n">
        <f aca="false">IF(D1443="","",D1443-C1443)</f>
        <v>-4</v>
      </c>
      <c r="I1443" s="33" t="n">
        <f aca="false">IF(E1443="","",E1443-C1443)</f>
        <v>-4.75</v>
      </c>
      <c r="J1443" s="33" t="n">
        <f aca="false">IF(F1443="","",F1443-C1443)</f>
        <v>-3</v>
      </c>
      <c r="K1443" s="33" t="n">
        <f aca="false">IF(G1443="","",G1443-C1443)</f>
        <v>-3.75271451898027</v>
      </c>
      <c r="L1443" s="33" t="n">
        <f aca="false">IF(H1443="","",ABS(H1443))</f>
        <v>4</v>
      </c>
      <c r="M1443" s="33" t="n">
        <f aca="false">IF(I1443="","",ABS(I1443))</f>
        <v>4.75</v>
      </c>
      <c r="N1443" s="33" t="n">
        <f aca="false">IF(J1443="","",ABS(J1443))</f>
        <v>3</v>
      </c>
      <c r="O1443" s="33" t="n">
        <f aca="false">IF(K1443="","",ABS(K1443))</f>
        <v>3.75271451898027</v>
      </c>
      <c r="P1443" s="34" t="str">
        <f aca="false">IF(B1443&gt;=Eval_Start_Week,"YES","")</f>
        <v>YES</v>
      </c>
      <c r="Q1443" s="34" t="str">
        <f aca="false">IF(AND(B1443&gt;=Cal_Start_Week,B1443&lt;=Cal_End_Week),"YES","")</f>
        <v/>
      </c>
    </row>
    <row r="1444" customFormat="false" ht="15" hidden="false" customHeight="false" outlineLevel="0" collapsed="false">
      <c r="A1444" s="31" t="str">
        <f aca="false">Demand_History!C1444</f>
        <v>BTH-004</v>
      </c>
      <c r="B1444" s="31" t="n">
        <f aca="false">Demand_History!A1444</f>
        <v>91</v>
      </c>
      <c r="C1444" s="32" t="n">
        <f aca="false">Demand_History!D1444</f>
        <v>32</v>
      </c>
      <c r="D1444" s="33" t="n">
        <f aca="false">IF(B1444&gt;=2,C1443,"")</f>
        <v>35</v>
      </c>
      <c r="E1444" s="33" t="n">
        <f aca="false">IF(B1444&gt;=5,AVERAGE(C1440:C1443),"")</f>
        <v>32.25</v>
      </c>
      <c r="F1444" s="33" t="n">
        <f aca="false">IF(B1444&gt;=9,AVERAGE(C1436:C1443),"")</f>
        <v>32.5</v>
      </c>
      <c r="G1444" s="33" t="n">
        <f aca="false">IF(B1444=1,"",IF(B1444=2,C1443,SES_Alpha*C1443+(1-SES_Alpha)*G1443))</f>
        <v>32.3730998367138</v>
      </c>
      <c r="H1444" s="33" t="n">
        <f aca="false">IF(D1444="","",D1444-C1444)</f>
        <v>3</v>
      </c>
      <c r="I1444" s="33" t="n">
        <f aca="false">IF(E1444="","",E1444-C1444)</f>
        <v>0.25</v>
      </c>
      <c r="J1444" s="33" t="n">
        <f aca="false">IF(F1444="","",F1444-C1444)</f>
        <v>0.5</v>
      </c>
      <c r="K1444" s="33" t="n">
        <f aca="false">IF(G1444="","",G1444-C1444)</f>
        <v>0.373099836713806</v>
      </c>
      <c r="L1444" s="33" t="n">
        <f aca="false">IF(H1444="","",ABS(H1444))</f>
        <v>3</v>
      </c>
      <c r="M1444" s="33" t="n">
        <f aca="false">IF(I1444="","",ABS(I1444))</f>
        <v>0.25</v>
      </c>
      <c r="N1444" s="33" t="n">
        <f aca="false">IF(J1444="","",ABS(J1444))</f>
        <v>0.5</v>
      </c>
      <c r="O1444" s="33" t="n">
        <f aca="false">IF(K1444="","",ABS(K1444))</f>
        <v>0.373099836713806</v>
      </c>
      <c r="P1444" s="34" t="str">
        <f aca="false">IF(B1444&gt;=Eval_Start_Week,"YES","")</f>
        <v>YES</v>
      </c>
      <c r="Q1444" s="34" t="str">
        <f aca="false">IF(AND(B1444&gt;=Cal_Start_Week,B1444&lt;=Cal_End_Week),"YES","")</f>
        <v/>
      </c>
    </row>
    <row r="1445" customFormat="false" ht="15" hidden="false" customHeight="false" outlineLevel="0" collapsed="false">
      <c r="A1445" s="31" t="str">
        <f aca="false">Demand_History!C1445</f>
        <v>BTH-004</v>
      </c>
      <c r="B1445" s="31" t="n">
        <f aca="false">Demand_History!A1445</f>
        <v>92</v>
      </c>
      <c r="C1445" s="32" t="n">
        <f aca="false">Demand_History!D1445</f>
        <v>25</v>
      </c>
      <c r="D1445" s="33" t="n">
        <f aca="false">IF(B1445&gt;=2,C1444,"")</f>
        <v>32</v>
      </c>
      <c r="E1445" s="33" t="n">
        <f aca="false">IF(B1445&gt;=5,AVERAGE(C1441:C1444),"")</f>
        <v>31</v>
      </c>
      <c r="F1445" s="33" t="n">
        <f aca="false">IF(B1445&gt;=9,AVERAGE(C1437:C1444),"")</f>
        <v>32.375</v>
      </c>
      <c r="G1445" s="33" t="n">
        <f aca="false">IF(B1445=1,"",IF(B1445=2,C1444,SES_Alpha*C1444+(1-SES_Alpha)*G1444))</f>
        <v>32.2611698856997</v>
      </c>
      <c r="H1445" s="33" t="n">
        <f aca="false">IF(D1445="","",D1445-C1445)</f>
        <v>7</v>
      </c>
      <c r="I1445" s="33" t="n">
        <f aca="false">IF(E1445="","",E1445-C1445)</f>
        <v>6</v>
      </c>
      <c r="J1445" s="33" t="n">
        <f aca="false">IF(F1445="","",F1445-C1445)</f>
        <v>7.375</v>
      </c>
      <c r="K1445" s="33" t="n">
        <f aca="false">IF(G1445="","",G1445-C1445)</f>
        <v>7.26116988569967</v>
      </c>
      <c r="L1445" s="33" t="n">
        <f aca="false">IF(H1445="","",ABS(H1445))</f>
        <v>7</v>
      </c>
      <c r="M1445" s="33" t="n">
        <f aca="false">IF(I1445="","",ABS(I1445))</f>
        <v>6</v>
      </c>
      <c r="N1445" s="33" t="n">
        <f aca="false">IF(J1445="","",ABS(J1445))</f>
        <v>7.375</v>
      </c>
      <c r="O1445" s="33" t="n">
        <f aca="false">IF(K1445="","",ABS(K1445))</f>
        <v>7.26116988569967</v>
      </c>
      <c r="P1445" s="34" t="str">
        <f aca="false">IF(B1445&gt;=Eval_Start_Week,"YES","")</f>
        <v>YES</v>
      </c>
      <c r="Q1445" s="34" t="str">
        <f aca="false">IF(AND(B1445&gt;=Cal_Start_Week,B1445&lt;=Cal_End_Week),"YES","")</f>
        <v/>
      </c>
    </row>
    <row r="1446" customFormat="false" ht="15" hidden="false" customHeight="false" outlineLevel="0" collapsed="false">
      <c r="A1446" s="31" t="str">
        <f aca="false">Demand_History!C1446</f>
        <v>BTH-004</v>
      </c>
      <c r="B1446" s="31" t="n">
        <f aca="false">Demand_History!A1446</f>
        <v>93</v>
      </c>
      <c r="C1446" s="32" t="n">
        <f aca="false">Demand_History!D1446</f>
        <v>26</v>
      </c>
      <c r="D1446" s="33" t="n">
        <f aca="false">IF(B1446&gt;=2,C1445,"")</f>
        <v>25</v>
      </c>
      <c r="E1446" s="33" t="n">
        <f aca="false">IF(B1446&gt;=5,AVERAGE(C1442:C1445),"")</f>
        <v>30.75</v>
      </c>
      <c r="F1446" s="33" t="n">
        <f aca="false">IF(B1446&gt;=9,AVERAGE(C1438:C1445),"")</f>
        <v>31.25</v>
      </c>
      <c r="G1446" s="33" t="n">
        <f aca="false">IF(B1446=1,"",IF(B1446=2,C1445,SES_Alpha*C1445+(1-SES_Alpha)*G1445))</f>
        <v>30.0828189199898</v>
      </c>
      <c r="H1446" s="33" t="n">
        <f aca="false">IF(D1446="","",D1446-C1446)</f>
        <v>-1</v>
      </c>
      <c r="I1446" s="33" t="n">
        <f aca="false">IF(E1446="","",E1446-C1446)</f>
        <v>4.75</v>
      </c>
      <c r="J1446" s="33" t="n">
        <f aca="false">IF(F1446="","",F1446-C1446)</f>
        <v>5.25</v>
      </c>
      <c r="K1446" s="33" t="n">
        <f aca="false">IF(G1446="","",G1446-C1446)</f>
        <v>4.08281891998977</v>
      </c>
      <c r="L1446" s="33" t="n">
        <f aca="false">IF(H1446="","",ABS(H1446))</f>
        <v>1</v>
      </c>
      <c r="M1446" s="33" t="n">
        <f aca="false">IF(I1446="","",ABS(I1446))</f>
        <v>4.75</v>
      </c>
      <c r="N1446" s="33" t="n">
        <f aca="false">IF(J1446="","",ABS(J1446))</f>
        <v>5.25</v>
      </c>
      <c r="O1446" s="33" t="n">
        <f aca="false">IF(K1446="","",ABS(K1446))</f>
        <v>4.08281891998977</v>
      </c>
      <c r="P1446" s="34" t="str">
        <f aca="false">IF(B1446&gt;=Eval_Start_Week,"YES","")</f>
        <v>YES</v>
      </c>
      <c r="Q1446" s="34" t="str">
        <f aca="false">IF(AND(B1446&gt;=Cal_Start_Week,B1446&lt;=Cal_End_Week),"YES","")</f>
        <v/>
      </c>
    </row>
    <row r="1447" customFormat="false" ht="15" hidden="false" customHeight="false" outlineLevel="0" collapsed="false">
      <c r="A1447" s="31" t="str">
        <f aca="false">Demand_History!C1447</f>
        <v>BTH-004</v>
      </c>
      <c r="B1447" s="31" t="n">
        <f aca="false">Demand_History!A1447</f>
        <v>94</v>
      </c>
      <c r="C1447" s="32" t="n">
        <f aca="false">Demand_History!D1447</f>
        <v>27</v>
      </c>
      <c r="D1447" s="33" t="n">
        <f aca="false">IF(B1447&gt;=2,C1446,"")</f>
        <v>26</v>
      </c>
      <c r="E1447" s="33" t="n">
        <f aca="false">IF(B1447&gt;=5,AVERAGE(C1443:C1446),"")</f>
        <v>29.5</v>
      </c>
      <c r="F1447" s="33" t="n">
        <f aca="false">IF(B1447&gt;=9,AVERAGE(C1439:C1446),"")</f>
        <v>29.875</v>
      </c>
      <c r="G1447" s="33" t="n">
        <f aca="false">IF(B1447=1,"",IF(B1447=2,C1446,SES_Alpha*C1446+(1-SES_Alpha)*G1446))</f>
        <v>28.8579732439928</v>
      </c>
      <c r="H1447" s="33" t="n">
        <f aca="false">IF(D1447="","",D1447-C1447)</f>
        <v>-1</v>
      </c>
      <c r="I1447" s="33" t="n">
        <f aca="false">IF(E1447="","",E1447-C1447)</f>
        <v>2.5</v>
      </c>
      <c r="J1447" s="33" t="n">
        <f aca="false">IF(F1447="","",F1447-C1447)</f>
        <v>2.875</v>
      </c>
      <c r="K1447" s="33" t="n">
        <f aca="false">IF(G1447="","",G1447-C1447)</f>
        <v>1.85797324399283</v>
      </c>
      <c r="L1447" s="33" t="n">
        <f aca="false">IF(H1447="","",ABS(H1447))</f>
        <v>1</v>
      </c>
      <c r="M1447" s="33" t="n">
        <f aca="false">IF(I1447="","",ABS(I1447))</f>
        <v>2.5</v>
      </c>
      <c r="N1447" s="33" t="n">
        <f aca="false">IF(J1447="","",ABS(J1447))</f>
        <v>2.875</v>
      </c>
      <c r="O1447" s="33" t="n">
        <f aca="false">IF(K1447="","",ABS(K1447))</f>
        <v>1.85797324399283</v>
      </c>
      <c r="P1447" s="34" t="str">
        <f aca="false">IF(B1447&gt;=Eval_Start_Week,"YES","")</f>
        <v>YES</v>
      </c>
      <c r="Q1447" s="34" t="str">
        <f aca="false">IF(AND(B1447&gt;=Cal_Start_Week,B1447&lt;=Cal_End_Week),"YES","")</f>
        <v/>
      </c>
    </row>
    <row r="1448" customFormat="false" ht="15" hidden="false" customHeight="false" outlineLevel="0" collapsed="false">
      <c r="A1448" s="31" t="str">
        <f aca="false">Demand_History!C1448</f>
        <v>BTH-004</v>
      </c>
      <c r="B1448" s="31" t="n">
        <f aca="false">Demand_History!A1448</f>
        <v>95</v>
      </c>
      <c r="C1448" s="32" t="n">
        <f aca="false">Demand_History!D1448</f>
        <v>28</v>
      </c>
      <c r="D1448" s="33" t="n">
        <f aca="false">IF(B1448&gt;=2,C1447,"")</f>
        <v>27</v>
      </c>
      <c r="E1448" s="33" t="n">
        <f aca="false">IF(B1448&gt;=5,AVERAGE(C1444:C1447),"")</f>
        <v>27.5</v>
      </c>
      <c r="F1448" s="33" t="n">
        <f aca="false">IF(B1448&gt;=9,AVERAGE(C1440:C1447),"")</f>
        <v>29.875</v>
      </c>
      <c r="G1448" s="33" t="n">
        <f aca="false">IF(B1448=1,"",IF(B1448=2,C1447,SES_Alpha*C1447+(1-SES_Alpha)*G1447))</f>
        <v>28.300581270795</v>
      </c>
      <c r="H1448" s="33" t="n">
        <f aca="false">IF(D1448="","",D1448-C1448)</f>
        <v>-1</v>
      </c>
      <c r="I1448" s="33" t="n">
        <f aca="false">IF(E1448="","",E1448-C1448)</f>
        <v>-0.5</v>
      </c>
      <c r="J1448" s="33" t="n">
        <f aca="false">IF(F1448="","",F1448-C1448)</f>
        <v>1.875</v>
      </c>
      <c r="K1448" s="33" t="n">
        <f aca="false">IF(G1448="","",G1448-C1448)</f>
        <v>0.300581270794986</v>
      </c>
      <c r="L1448" s="33" t="n">
        <f aca="false">IF(H1448="","",ABS(H1448))</f>
        <v>1</v>
      </c>
      <c r="M1448" s="33" t="n">
        <f aca="false">IF(I1448="","",ABS(I1448))</f>
        <v>0.5</v>
      </c>
      <c r="N1448" s="33" t="n">
        <f aca="false">IF(J1448="","",ABS(J1448))</f>
        <v>1.875</v>
      </c>
      <c r="O1448" s="33" t="n">
        <f aca="false">IF(K1448="","",ABS(K1448))</f>
        <v>0.300581270794986</v>
      </c>
      <c r="P1448" s="34" t="str">
        <f aca="false">IF(B1448&gt;=Eval_Start_Week,"YES","")</f>
        <v>YES</v>
      </c>
      <c r="Q1448" s="34" t="str">
        <f aca="false">IF(AND(B1448&gt;=Cal_Start_Week,B1448&lt;=Cal_End_Week),"YES","")</f>
        <v/>
      </c>
    </row>
    <row r="1449" customFormat="false" ht="15" hidden="false" customHeight="false" outlineLevel="0" collapsed="false">
      <c r="A1449" s="31" t="str">
        <f aca="false">Demand_History!C1449</f>
        <v>BTH-004</v>
      </c>
      <c r="B1449" s="31" t="n">
        <f aca="false">Demand_History!A1449</f>
        <v>96</v>
      </c>
      <c r="C1449" s="32" t="n">
        <f aca="false">Demand_History!D1449</f>
        <v>33</v>
      </c>
      <c r="D1449" s="33" t="n">
        <f aca="false">IF(B1449&gt;=2,C1448,"")</f>
        <v>28</v>
      </c>
      <c r="E1449" s="33" t="n">
        <f aca="false">IF(B1449&gt;=5,AVERAGE(C1445:C1448),"")</f>
        <v>26.5</v>
      </c>
      <c r="F1449" s="33" t="n">
        <f aca="false">IF(B1449&gt;=9,AVERAGE(C1441:C1448),"")</f>
        <v>28.75</v>
      </c>
      <c r="G1449" s="33" t="n">
        <f aca="false">IF(B1449=1,"",IF(B1449=2,C1448,SES_Alpha*C1448+(1-SES_Alpha)*G1448))</f>
        <v>28.2104068895565</v>
      </c>
      <c r="H1449" s="33" t="n">
        <f aca="false">IF(D1449="","",D1449-C1449)</f>
        <v>-5</v>
      </c>
      <c r="I1449" s="33" t="n">
        <f aca="false">IF(E1449="","",E1449-C1449)</f>
        <v>-6.5</v>
      </c>
      <c r="J1449" s="33" t="n">
        <f aca="false">IF(F1449="","",F1449-C1449)</f>
        <v>-4.25</v>
      </c>
      <c r="K1449" s="33" t="n">
        <f aca="false">IF(G1449="","",G1449-C1449)</f>
        <v>-4.78959311044351</v>
      </c>
      <c r="L1449" s="33" t="n">
        <f aca="false">IF(H1449="","",ABS(H1449))</f>
        <v>5</v>
      </c>
      <c r="M1449" s="33" t="n">
        <f aca="false">IF(I1449="","",ABS(I1449))</f>
        <v>6.5</v>
      </c>
      <c r="N1449" s="33" t="n">
        <f aca="false">IF(J1449="","",ABS(J1449))</f>
        <v>4.25</v>
      </c>
      <c r="O1449" s="33" t="n">
        <f aca="false">IF(K1449="","",ABS(K1449))</f>
        <v>4.78959311044351</v>
      </c>
      <c r="P1449" s="34" t="str">
        <f aca="false">IF(B1449&gt;=Eval_Start_Week,"YES","")</f>
        <v>YES</v>
      </c>
      <c r="Q1449" s="34" t="str">
        <f aca="false">IF(AND(B1449&gt;=Cal_Start_Week,B1449&lt;=Cal_End_Week),"YES","")</f>
        <v/>
      </c>
    </row>
    <row r="1450" customFormat="false" ht="15" hidden="false" customHeight="false" outlineLevel="0" collapsed="false">
      <c r="A1450" s="31" t="str">
        <f aca="false">Demand_History!C1450</f>
        <v>BTH-004</v>
      </c>
      <c r="B1450" s="31" t="n">
        <f aca="false">Demand_History!A1450</f>
        <v>97</v>
      </c>
      <c r="C1450" s="32" t="n">
        <f aca="false">Demand_History!D1450</f>
        <v>23</v>
      </c>
      <c r="D1450" s="33" t="n">
        <f aca="false">IF(B1450&gt;=2,C1449,"")</f>
        <v>33</v>
      </c>
      <c r="E1450" s="33" t="n">
        <f aca="false">IF(B1450&gt;=5,AVERAGE(C1446:C1449),"")</f>
        <v>28.5</v>
      </c>
      <c r="F1450" s="33" t="n">
        <f aca="false">IF(B1450&gt;=9,AVERAGE(C1442:C1449),"")</f>
        <v>29.625</v>
      </c>
      <c r="G1450" s="33" t="n">
        <f aca="false">IF(B1450=1,"",IF(B1450=2,C1449,SES_Alpha*C1449+(1-SES_Alpha)*G1449))</f>
        <v>29.6472848226895</v>
      </c>
      <c r="H1450" s="33" t="n">
        <f aca="false">IF(D1450="","",D1450-C1450)</f>
        <v>10</v>
      </c>
      <c r="I1450" s="33" t="n">
        <f aca="false">IF(E1450="","",E1450-C1450)</f>
        <v>5.5</v>
      </c>
      <c r="J1450" s="33" t="n">
        <f aca="false">IF(F1450="","",F1450-C1450)</f>
        <v>6.625</v>
      </c>
      <c r="K1450" s="33" t="n">
        <f aca="false">IF(G1450="","",G1450-C1450)</f>
        <v>6.64728482268954</v>
      </c>
      <c r="L1450" s="33" t="n">
        <f aca="false">IF(H1450="","",ABS(H1450))</f>
        <v>10</v>
      </c>
      <c r="M1450" s="33" t="n">
        <f aca="false">IF(I1450="","",ABS(I1450))</f>
        <v>5.5</v>
      </c>
      <c r="N1450" s="33" t="n">
        <f aca="false">IF(J1450="","",ABS(J1450))</f>
        <v>6.625</v>
      </c>
      <c r="O1450" s="33" t="n">
        <f aca="false">IF(K1450="","",ABS(K1450))</f>
        <v>6.64728482268954</v>
      </c>
      <c r="P1450" s="34" t="str">
        <f aca="false">IF(B1450&gt;=Eval_Start_Week,"YES","")</f>
        <v>YES</v>
      </c>
      <c r="Q1450" s="34" t="str">
        <f aca="false">IF(AND(B1450&gt;=Cal_Start_Week,B1450&lt;=Cal_End_Week),"YES","")</f>
        <v/>
      </c>
    </row>
    <row r="1451" customFormat="false" ht="15" hidden="false" customHeight="false" outlineLevel="0" collapsed="false">
      <c r="A1451" s="31" t="str">
        <f aca="false">Demand_History!C1451</f>
        <v>BTH-004</v>
      </c>
      <c r="B1451" s="31" t="n">
        <f aca="false">Demand_History!A1451</f>
        <v>98</v>
      </c>
      <c r="C1451" s="32" t="n">
        <f aca="false">Demand_History!D1451</f>
        <v>29</v>
      </c>
      <c r="D1451" s="33" t="n">
        <f aca="false">IF(B1451&gt;=2,C1450,"")</f>
        <v>23</v>
      </c>
      <c r="E1451" s="33" t="n">
        <f aca="false">IF(B1451&gt;=5,AVERAGE(C1447:C1450),"")</f>
        <v>27.75</v>
      </c>
      <c r="F1451" s="33" t="n">
        <f aca="false">IF(B1451&gt;=9,AVERAGE(C1443:C1450),"")</f>
        <v>28.625</v>
      </c>
      <c r="G1451" s="33" t="n">
        <f aca="false">IF(B1451=1,"",IF(B1451=2,C1450,SES_Alpha*C1450+(1-SES_Alpha)*G1450))</f>
        <v>27.6530993758827</v>
      </c>
      <c r="H1451" s="33" t="n">
        <f aca="false">IF(D1451="","",D1451-C1451)</f>
        <v>-6</v>
      </c>
      <c r="I1451" s="33" t="n">
        <f aca="false">IF(E1451="","",E1451-C1451)</f>
        <v>-1.25</v>
      </c>
      <c r="J1451" s="33" t="n">
        <f aca="false">IF(F1451="","",F1451-C1451)</f>
        <v>-0.375</v>
      </c>
      <c r="K1451" s="33" t="n">
        <f aca="false">IF(G1451="","",G1451-C1451)</f>
        <v>-1.34690062411732</v>
      </c>
      <c r="L1451" s="33" t="n">
        <f aca="false">IF(H1451="","",ABS(H1451))</f>
        <v>6</v>
      </c>
      <c r="M1451" s="33" t="n">
        <f aca="false">IF(I1451="","",ABS(I1451))</f>
        <v>1.25</v>
      </c>
      <c r="N1451" s="33" t="n">
        <f aca="false">IF(J1451="","",ABS(J1451))</f>
        <v>0.375</v>
      </c>
      <c r="O1451" s="33" t="n">
        <f aca="false">IF(K1451="","",ABS(K1451))</f>
        <v>1.34690062411732</v>
      </c>
      <c r="P1451" s="34" t="str">
        <f aca="false">IF(B1451&gt;=Eval_Start_Week,"YES","")</f>
        <v>YES</v>
      </c>
      <c r="Q1451" s="34" t="str">
        <f aca="false">IF(AND(B1451&gt;=Cal_Start_Week,B1451&lt;=Cal_End_Week),"YES","")</f>
        <v/>
      </c>
    </row>
    <row r="1452" customFormat="false" ht="15" hidden="false" customHeight="false" outlineLevel="0" collapsed="false">
      <c r="A1452" s="31" t="str">
        <f aca="false">Demand_History!C1452</f>
        <v>BTH-004</v>
      </c>
      <c r="B1452" s="31" t="n">
        <f aca="false">Demand_History!A1452</f>
        <v>99</v>
      </c>
      <c r="C1452" s="32" t="n">
        <f aca="false">Demand_History!D1452</f>
        <v>30</v>
      </c>
      <c r="D1452" s="33" t="n">
        <f aca="false">IF(B1452&gt;=2,C1451,"")</f>
        <v>29</v>
      </c>
      <c r="E1452" s="33" t="n">
        <f aca="false">IF(B1452&gt;=5,AVERAGE(C1448:C1451),"")</f>
        <v>28.25</v>
      </c>
      <c r="F1452" s="33" t="n">
        <f aca="false">IF(B1452&gt;=9,AVERAGE(C1444:C1451),"")</f>
        <v>27.875</v>
      </c>
      <c r="G1452" s="33" t="n">
        <f aca="false">IF(B1452=1,"",IF(B1452=2,C1451,SES_Alpha*C1451+(1-SES_Alpha)*G1451))</f>
        <v>28.0571695631179</v>
      </c>
      <c r="H1452" s="33" t="n">
        <f aca="false">IF(D1452="","",D1452-C1452)</f>
        <v>-1</v>
      </c>
      <c r="I1452" s="33" t="n">
        <f aca="false">IF(E1452="","",E1452-C1452)</f>
        <v>-1.75</v>
      </c>
      <c r="J1452" s="33" t="n">
        <f aca="false">IF(F1452="","",F1452-C1452)</f>
        <v>-2.125</v>
      </c>
      <c r="K1452" s="33" t="n">
        <f aca="false">IF(G1452="","",G1452-C1452)</f>
        <v>-1.94283043688213</v>
      </c>
      <c r="L1452" s="33" t="n">
        <f aca="false">IF(H1452="","",ABS(H1452))</f>
        <v>1</v>
      </c>
      <c r="M1452" s="33" t="n">
        <f aca="false">IF(I1452="","",ABS(I1452))</f>
        <v>1.75</v>
      </c>
      <c r="N1452" s="33" t="n">
        <f aca="false">IF(J1452="","",ABS(J1452))</f>
        <v>2.125</v>
      </c>
      <c r="O1452" s="33" t="n">
        <f aca="false">IF(K1452="","",ABS(K1452))</f>
        <v>1.94283043688213</v>
      </c>
      <c r="P1452" s="34" t="str">
        <f aca="false">IF(B1452&gt;=Eval_Start_Week,"YES","")</f>
        <v>YES</v>
      </c>
      <c r="Q1452" s="34" t="str">
        <f aca="false">IF(AND(B1452&gt;=Cal_Start_Week,B1452&lt;=Cal_End_Week),"YES","")</f>
        <v/>
      </c>
    </row>
    <row r="1453" customFormat="false" ht="15" hidden="false" customHeight="false" outlineLevel="0" collapsed="false">
      <c r="A1453" s="31" t="str">
        <f aca="false">Demand_History!C1453</f>
        <v>BTH-004</v>
      </c>
      <c r="B1453" s="31" t="n">
        <f aca="false">Demand_History!A1453</f>
        <v>100</v>
      </c>
      <c r="C1453" s="32" t="n">
        <f aca="false">Demand_History!D1453</f>
        <v>29</v>
      </c>
      <c r="D1453" s="33" t="n">
        <f aca="false">IF(B1453&gt;=2,C1452,"")</f>
        <v>30</v>
      </c>
      <c r="E1453" s="33" t="n">
        <f aca="false">IF(B1453&gt;=5,AVERAGE(C1449:C1452),"")</f>
        <v>28.75</v>
      </c>
      <c r="F1453" s="33" t="n">
        <f aca="false">IF(B1453&gt;=9,AVERAGE(C1445:C1452),"")</f>
        <v>27.625</v>
      </c>
      <c r="G1453" s="33" t="n">
        <f aca="false">IF(B1453=1,"",IF(B1453=2,C1452,SES_Alpha*C1452+(1-SES_Alpha)*G1452))</f>
        <v>28.6400186941825</v>
      </c>
      <c r="H1453" s="33" t="n">
        <f aca="false">IF(D1453="","",D1453-C1453)</f>
        <v>1</v>
      </c>
      <c r="I1453" s="33" t="n">
        <f aca="false">IF(E1453="","",E1453-C1453)</f>
        <v>-0.25</v>
      </c>
      <c r="J1453" s="33" t="n">
        <f aca="false">IF(F1453="","",F1453-C1453)</f>
        <v>-1.375</v>
      </c>
      <c r="K1453" s="33" t="n">
        <f aca="false">IF(G1453="","",G1453-C1453)</f>
        <v>-0.359981305817492</v>
      </c>
      <c r="L1453" s="33" t="n">
        <f aca="false">IF(H1453="","",ABS(H1453))</f>
        <v>1</v>
      </c>
      <c r="M1453" s="33" t="n">
        <f aca="false">IF(I1453="","",ABS(I1453))</f>
        <v>0.25</v>
      </c>
      <c r="N1453" s="33" t="n">
        <f aca="false">IF(J1453="","",ABS(J1453))</f>
        <v>1.375</v>
      </c>
      <c r="O1453" s="33" t="n">
        <f aca="false">IF(K1453="","",ABS(K1453))</f>
        <v>0.359981305817492</v>
      </c>
      <c r="P1453" s="34" t="str">
        <f aca="false">IF(B1453&gt;=Eval_Start_Week,"YES","")</f>
        <v>YES</v>
      </c>
      <c r="Q1453" s="34" t="str">
        <f aca="false">IF(AND(B1453&gt;=Cal_Start_Week,B1453&lt;=Cal_End_Week),"YES","")</f>
        <v/>
      </c>
    </row>
    <row r="1454" customFormat="false" ht="15" hidden="false" customHeight="false" outlineLevel="0" collapsed="false">
      <c r="A1454" s="31" t="str">
        <f aca="false">Demand_History!C1454</f>
        <v>BTH-004</v>
      </c>
      <c r="B1454" s="31" t="n">
        <f aca="false">Demand_History!A1454</f>
        <v>101</v>
      </c>
      <c r="C1454" s="32" t="n">
        <f aca="false">Demand_History!D1454</f>
        <v>29</v>
      </c>
      <c r="D1454" s="33" t="n">
        <f aca="false">IF(B1454&gt;=2,C1453,"")</f>
        <v>29</v>
      </c>
      <c r="E1454" s="33" t="n">
        <f aca="false">IF(B1454&gt;=5,AVERAGE(C1450:C1453),"")</f>
        <v>27.75</v>
      </c>
      <c r="F1454" s="33" t="n">
        <f aca="false">IF(B1454&gt;=9,AVERAGE(C1446:C1453),"")</f>
        <v>28.125</v>
      </c>
      <c r="G1454" s="33" t="n">
        <f aca="false">IF(B1454=1,"",IF(B1454=2,C1453,SES_Alpha*C1453+(1-SES_Alpha)*G1453))</f>
        <v>28.7480130859278</v>
      </c>
      <c r="H1454" s="33" t="n">
        <f aca="false">IF(D1454="","",D1454-C1454)</f>
        <v>0</v>
      </c>
      <c r="I1454" s="33" t="n">
        <f aca="false">IF(E1454="","",E1454-C1454)</f>
        <v>-1.25</v>
      </c>
      <c r="J1454" s="33" t="n">
        <f aca="false">IF(F1454="","",F1454-C1454)</f>
        <v>-0.875</v>
      </c>
      <c r="K1454" s="33" t="n">
        <f aca="false">IF(G1454="","",G1454-C1454)</f>
        <v>-0.251986914072248</v>
      </c>
      <c r="L1454" s="33" t="n">
        <f aca="false">IF(H1454="","",ABS(H1454))</f>
        <v>0</v>
      </c>
      <c r="M1454" s="33" t="n">
        <f aca="false">IF(I1454="","",ABS(I1454))</f>
        <v>1.25</v>
      </c>
      <c r="N1454" s="33" t="n">
        <f aca="false">IF(J1454="","",ABS(J1454))</f>
        <v>0.875</v>
      </c>
      <c r="O1454" s="33" t="n">
        <f aca="false">IF(K1454="","",ABS(K1454))</f>
        <v>0.251986914072248</v>
      </c>
      <c r="P1454" s="34" t="str">
        <f aca="false">IF(B1454&gt;=Eval_Start_Week,"YES","")</f>
        <v>YES</v>
      </c>
      <c r="Q1454" s="34" t="str">
        <f aca="false">IF(AND(B1454&gt;=Cal_Start_Week,B1454&lt;=Cal_End_Week),"YES","")</f>
        <v/>
      </c>
    </row>
    <row r="1455" customFormat="false" ht="15" hidden="false" customHeight="false" outlineLevel="0" collapsed="false">
      <c r="A1455" s="31" t="str">
        <f aca="false">Demand_History!C1455</f>
        <v>BTH-004</v>
      </c>
      <c r="B1455" s="31" t="n">
        <f aca="false">Demand_History!A1455</f>
        <v>102</v>
      </c>
      <c r="C1455" s="32" t="n">
        <f aca="false">Demand_History!D1455</f>
        <v>32</v>
      </c>
      <c r="D1455" s="33" t="n">
        <f aca="false">IF(B1455&gt;=2,C1454,"")</f>
        <v>29</v>
      </c>
      <c r="E1455" s="33" t="n">
        <f aca="false">IF(B1455&gt;=5,AVERAGE(C1451:C1454),"")</f>
        <v>29.25</v>
      </c>
      <c r="F1455" s="33" t="n">
        <f aca="false">IF(B1455&gt;=9,AVERAGE(C1447:C1454),"")</f>
        <v>28.5</v>
      </c>
      <c r="G1455" s="33" t="n">
        <f aca="false">IF(B1455=1,"",IF(B1455=2,C1454,SES_Alpha*C1454+(1-SES_Alpha)*G1454))</f>
        <v>28.8236091601494</v>
      </c>
      <c r="H1455" s="33" t="n">
        <f aca="false">IF(D1455="","",D1455-C1455)</f>
        <v>-3</v>
      </c>
      <c r="I1455" s="33" t="n">
        <f aca="false">IF(E1455="","",E1455-C1455)</f>
        <v>-2.75</v>
      </c>
      <c r="J1455" s="33" t="n">
        <f aca="false">IF(F1455="","",F1455-C1455)</f>
        <v>-3.5</v>
      </c>
      <c r="K1455" s="33" t="n">
        <f aca="false">IF(G1455="","",G1455-C1455)</f>
        <v>-3.17639083985058</v>
      </c>
      <c r="L1455" s="33" t="n">
        <f aca="false">IF(H1455="","",ABS(H1455))</f>
        <v>3</v>
      </c>
      <c r="M1455" s="33" t="n">
        <f aca="false">IF(I1455="","",ABS(I1455))</f>
        <v>2.75</v>
      </c>
      <c r="N1455" s="33" t="n">
        <f aca="false">IF(J1455="","",ABS(J1455))</f>
        <v>3.5</v>
      </c>
      <c r="O1455" s="33" t="n">
        <f aca="false">IF(K1455="","",ABS(K1455))</f>
        <v>3.17639083985058</v>
      </c>
      <c r="P1455" s="34" t="str">
        <f aca="false">IF(B1455&gt;=Eval_Start_Week,"YES","")</f>
        <v>YES</v>
      </c>
      <c r="Q1455" s="34" t="str">
        <f aca="false">IF(AND(B1455&gt;=Cal_Start_Week,B1455&lt;=Cal_End_Week),"YES","")</f>
        <v/>
      </c>
    </row>
    <row r="1456" customFormat="false" ht="15" hidden="false" customHeight="false" outlineLevel="0" collapsed="false">
      <c r="A1456" s="31" t="str">
        <f aca="false">Demand_History!C1456</f>
        <v>BTH-004</v>
      </c>
      <c r="B1456" s="31" t="n">
        <f aca="false">Demand_History!A1456</f>
        <v>103</v>
      </c>
      <c r="C1456" s="32" t="n">
        <f aca="false">Demand_History!D1456</f>
        <v>28</v>
      </c>
      <c r="D1456" s="33" t="n">
        <f aca="false">IF(B1456&gt;=2,C1455,"")</f>
        <v>32</v>
      </c>
      <c r="E1456" s="33" t="n">
        <f aca="false">IF(B1456&gt;=5,AVERAGE(C1452:C1455),"")</f>
        <v>30</v>
      </c>
      <c r="F1456" s="33" t="n">
        <f aca="false">IF(B1456&gt;=9,AVERAGE(C1448:C1455),"")</f>
        <v>29.125</v>
      </c>
      <c r="G1456" s="33" t="n">
        <f aca="false">IF(B1456=1,"",IF(B1456=2,C1455,SES_Alpha*C1455+(1-SES_Alpha)*G1455))</f>
        <v>29.7765264121046</v>
      </c>
      <c r="H1456" s="33" t="n">
        <f aca="false">IF(D1456="","",D1456-C1456)</f>
        <v>4</v>
      </c>
      <c r="I1456" s="33" t="n">
        <f aca="false">IF(E1456="","",E1456-C1456)</f>
        <v>2</v>
      </c>
      <c r="J1456" s="33" t="n">
        <f aca="false">IF(F1456="","",F1456-C1456)</f>
        <v>1.125</v>
      </c>
      <c r="K1456" s="33" t="n">
        <f aca="false">IF(G1456="","",G1456-C1456)</f>
        <v>1.77652641210459</v>
      </c>
      <c r="L1456" s="33" t="n">
        <f aca="false">IF(H1456="","",ABS(H1456))</f>
        <v>4</v>
      </c>
      <c r="M1456" s="33" t="n">
        <f aca="false">IF(I1456="","",ABS(I1456))</f>
        <v>2</v>
      </c>
      <c r="N1456" s="33" t="n">
        <f aca="false">IF(J1456="","",ABS(J1456))</f>
        <v>1.125</v>
      </c>
      <c r="O1456" s="33" t="n">
        <f aca="false">IF(K1456="","",ABS(K1456))</f>
        <v>1.77652641210459</v>
      </c>
      <c r="P1456" s="34" t="str">
        <f aca="false">IF(B1456&gt;=Eval_Start_Week,"YES","")</f>
        <v>YES</v>
      </c>
      <c r="Q1456" s="34" t="str">
        <f aca="false">IF(AND(B1456&gt;=Cal_Start_Week,B1456&lt;=Cal_End_Week),"YES","")</f>
        <v/>
      </c>
    </row>
    <row r="1457" customFormat="false" ht="15" hidden="false" customHeight="false" outlineLevel="0" collapsed="false">
      <c r="A1457" s="31" t="str">
        <f aca="false">Demand_History!C1457</f>
        <v>BTH-004</v>
      </c>
      <c r="B1457" s="31" t="n">
        <f aca="false">Demand_History!A1457</f>
        <v>104</v>
      </c>
      <c r="C1457" s="32" t="n">
        <f aca="false">Demand_History!D1457</f>
        <v>29</v>
      </c>
      <c r="D1457" s="33" t="n">
        <f aca="false">IF(B1457&gt;=2,C1456,"")</f>
        <v>28</v>
      </c>
      <c r="E1457" s="33" t="n">
        <f aca="false">IF(B1457&gt;=5,AVERAGE(C1453:C1456),"")</f>
        <v>29.5</v>
      </c>
      <c r="F1457" s="33" t="n">
        <f aca="false">IF(B1457&gt;=9,AVERAGE(C1449:C1456),"")</f>
        <v>29.125</v>
      </c>
      <c r="G1457" s="33" t="n">
        <f aca="false">IF(B1457=1,"",IF(B1457=2,C1456,SES_Alpha*C1456+(1-SES_Alpha)*G1456))</f>
        <v>29.2435684884732</v>
      </c>
      <c r="H1457" s="33" t="n">
        <f aca="false">IF(D1457="","",D1457-C1457)</f>
        <v>-1</v>
      </c>
      <c r="I1457" s="33" t="n">
        <f aca="false">IF(E1457="","",E1457-C1457)</f>
        <v>0.5</v>
      </c>
      <c r="J1457" s="33" t="n">
        <f aca="false">IF(F1457="","",F1457-C1457)</f>
        <v>0.125</v>
      </c>
      <c r="K1457" s="33" t="n">
        <f aca="false">IF(G1457="","",G1457-C1457)</f>
        <v>0.243568488473215</v>
      </c>
      <c r="L1457" s="33" t="n">
        <f aca="false">IF(H1457="","",ABS(H1457))</f>
        <v>1</v>
      </c>
      <c r="M1457" s="33" t="n">
        <f aca="false">IF(I1457="","",ABS(I1457))</f>
        <v>0.5</v>
      </c>
      <c r="N1457" s="33" t="n">
        <f aca="false">IF(J1457="","",ABS(J1457))</f>
        <v>0.125</v>
      </c>
      <c r="O1457" s="33" t="n">
        <f aca="false">IF(K1457="","",ABS(K1457))</f>
        <v>0.243568488473215</v>
      </c>
      <c r="P1457" s="34" t="str">
        <f aca="false">IF(B1457&gt;=Eval_Start_Week,"YES","")</f>
        <v>YES</v>
      </c>
      <c r="Q1457" s="34" t="str">
        <f aca="false">IF(AND(B1457&gt;=Cal_Start_Week,B1457&lt;=Cal_End_Week),"YES","")</f>
        <v/>
      </c>
    </row>
    <row r="1458" customFormat="false" ht="15" hidden="false" customHeight="false" outlineLevel="0" collapsed="false">
      <c r="A1458" s="31" t="str">
        <f aca="false">Demand_History!C1458</f>
        <v>BTH-005</v>
      </c>
      <c r="B1458" s="31" t="n">
        <f aca="false">Demand_History!A1458</f>
        <v>1</v>
      </c>
      <c r="C1458" s="32" t="n">
        <f aca="false">Demand_History!D1458</f>
        <v>31</v>
      </c>
      <c r="D1458" s="33" t="str">
        <f aca="false">IF(B1458&gt;=2,C1457,"")</f>
        <v/>
      </c>
      <c r="E1458" s="33" t="str">
        <f aca="false">IF(B1458&gt;=5,AVERAGE(C1454:C1457),"")</f>
        <v/>
      </c>
      <c r="F1458" s="33" t="str">
        <f aca="false">IF(B1458&gt;=9,AVERAGE(C1450:C1457),"")</f>
        <v/>
      </c>
      <c r="G1458" s="33" t="str">
        <f aca="false">IF(B1458=1,"",IF(B1458=2,C1457,SES_Alpha*C1457+(1-SES_Alpha)*G1457))</f>
        <v/>
      </c>
      <c r="H1458" s="33" t="str">
        <f aca="false">IF(D1458="","",D1458-C1458)</f>
        <v/>
      </c>
      <c r="I1458" s="33" t="str">
        <f aca="false">IF(E1458="","",E1458-C1458)</f>
        <v/>
      </c>
      <c r="J1458" s="33" t="str">
        <f aca="false">IF(F1458="","",F1458-C1458)</f>
        <v/>
      </c>
      <c r="K1458" s="33" t="str">
        <f aca="false">IF(G1458="","",G1458-C1458)</f>
        <v/>
      </c>
      <c r="L1458" s="33" t="str">
        <f aca="false">IF(H1458="","",ABS(H1458))</f>
        <v/>
      </c>
      <c r="M1458" s="33" t="str">
        <f aca="false">IF(I1458="","",ABS(I1458))</f>
        <v/>
      </c>
      <c r="N1458" s="33" t="str">
        <f aca="false">IF(J1458="","",ABS(J1458))</f>
        <v/>
      </c>
      <c r="O1458" s="33" t="str">
        <f aca="false">IF(K1458="","",ABS(K1458))</f>
        <v/>
      </c>
      <c r="P1458" s="34" t="str">
        <f aca="false">IF(B1458&gt;=Eval_Start_Week,"YES","")</f>
        <v/>
      </c>
      <c r="Q1458" s="34" t="str">
        <f aca="false">IF(AND(B1458&gt;=Cal_Start_Week,B1458&lt;=Cal_End_Week),"YES","")</f>
        <v/>
      </c>
    </row>
    <row r="1459" customFormat="false" ht="15" hidden="false" customHeight="false" outlineLevel="0" collapsed="false">
      <c r="A1459" s="31" t="str">
        <f aca="false">Demand_History!C1459</f>
        <v>BTH-005</v>
      </c>
      <c r="B1459" s="31" t="n">
        <f aca="false">Demand_History!A1459</f>
        <v>2</v>
      </c>
      <c r="C1459" s="32" t="n">
        <f aca="false">Demand_History!D1459</f>
        <v>8</v>
      </c>
      <c r="D1459" s="33" t="n">
        <f aca="false">IF(B1459&gt;=2,C1458,"")</f>
        <v>31</v>
      </c>
      <c r="E1459" s="33" t="str">
        <f aca="false">IF(B1459&gt;=5,AVERAGE(C1455:C1458),"")</f>
        <v/>
      </c>
      <c r="F1459" s="33" t="str">
        <f aca="false">IF(B1459&gt;=9,AVERAGE(C1451:C1458),"")</f>
        <v/>
      </c>
      <c r="G1459" s="33" t="n">
        <f aca="false">IF(B1459=1,"",IF(B1459=2,C1458,SES_Alpha*C1458+(1-SES_Alpha)*G1458))</f>
        <v>31</v>
      </c>
      <c r="H1459" s="33" t="n">
        <f aca="false">IF(D1459="","",D1459-C1459)</f>
        <v>23</v>
      </c>
      <c r="I1459" s="33" t="str">
        <f aca="false">IF(E1459="","",E1459-C1459)</f>
        <v/>
      </c>
      <c r="J1459" s="33" t="str">
        <f aca="false">IF(F1459="","",F1459-C1459)</f>
        <v/>
      </c>
      <c r="K1459" s="33" t="n">
        <f aca="false">IF(G1459="","",G1459-C1459)</f>
        <v>23</v>
      </c>
      <c r="L1459" s="33" t="n">
        <f aca="false">IF(H1459="","",ABS(H1459))</f>
        <v>23</v>
      </c>
      <c r="M1459" s="33" t="str">
        <f aca="false">IF(I1459="","",ABS(I1459))</f>
        <v/>
      </c>
      <c r="N1459" s="33" t="str">
        <f aca="false">IF(J1459="","",ABS(J1459))</f>
        <v/>
      </c>
      <c r="O1459" s="33" t="n">
        <f aca="false">IF(K1459="","",ABS(K1459))</f>
        <v>23</v>
      </c>
      <c r="P1459" s="34" t="str">
        <f aca="false">IF(B1459&gt;=Eval_Start_Week,"YES","")</f>
        <v/>
      </c>
      <c r="Q1459" s="34" t="str">
        <f aca="false">IF(AND(B1459&gt;=Cal_Start_Week,B1459&lt;=Cal_End_Week),"YES","")</f>
        <v/>
      </c>
    </row>
    <row r="1460" customFormat="false" ht="15" hidden="false" customHeight="false" outlineLevel="0" collapsed="false">
      <c r="A1460" s="31" t="str">
        <f aca="false">Demand_History!C1460</f>
        <v>BTH-005</v>
      </c>
      <c r="B1460" s="31" t="n">
        <f aca="false">Demand_History!A1460</f>
        <v>3</v>
      </c>
      <c r="C1460" s="32" t="n">
        <f aca="false">Demand_History!D1460</f>
        <v>28</v>
      </c>
      <c r="D1460" s="33" t="n">
        <f aca="false">IF(B1460&gt;=2,C1459,"")</f>
        <v>8</v>
      </c>
      <c r="E1460" s="33" t="str">
        <f aca="false">IF(B1460&gt;=5,AVERAGE(C1456:C1459),"")</f>
        <v/>
      </c>
      <c r="F1460" s="33" t="str">
        <f aca="false">IF(B1460&gt;=9,AVERAGE(C1452:C1459),"")</f>
        <v/>
      </c>
      <c r="G1460" s="33" t="n">
        <f aca="false">IF(B1460=1,"",IF(B1460=2,C1459,SES_Alpha*C1459+(1-SES_Alpha)*G1459))</f>
        <v>24.1</v>
      </c>
      <c r="H1460" s="33" t="n">
        <f aca="false">IF(D1460="","",D1460-C1460)</f>
        <v>-20</v>
      </c>
      <c r="I1460" s="33" t="str">
        <f aca="false">IF(E1460="","",E1460-C1460)</f>
        <v/>
      </c>
      <c r="J1460" s="33" t="str">
        <f aca="false">IF(F1460="","",F1460-C1460)</f>
        <v/>
      </c>
      <c r="K1460" s="33" t="n">
        <f aca="false">IF(G1460="","",G1460-C1460)</f>
        <v>-3.9</v>
      </c>
      <c r="L1460" s="33" t="n">
        <f aca="false">IF(H1460="","",ABS(H1460))</f>
        <v>20</v>
      </c>
      <c r="M1460" s="33" t="str">
        <f aca="false">IF(I1460="","",ABS(I1460))</f>
        <v/>
      </c>
      <c r="N1460" s="33" t="str">
        <f aca="false">IF(J1460="","",ABS(J1460))</f>
        <v/>
      </c>
      <c r="O1460" s="33" t="n">
        <f aca="false">IF(K1460="","",ABS(K1460))</f>
        <v>3.9</v>
      </c>
      <c r="P1460" s="34" t="str">
        <f aca="false">IF(B1460&gt;=Eval_Start_Week,"YES","")</f>
        <v/>
      </c>
      <c r="Q1460" s="34" t="str">
        <f aca="false">IF(AND(B1460&gt;=Cal_Start_Week,B1460&lt;=Cal_End_Week),"YES","")</f>
        <v/>
      </c>
    </row>
    <row r="1461" customFormat="false" ht="15" hidden="false" customHeight="false" outlineLevel="0" collapsed="false">
      <c r="A1461" s="31" t="str">
        <f aca="false">Demand_History!C1461</f>
        <v>BTH-005</v>
      </c>
      <c r="B1461" s="31" t="n">
        <f aca="false">Demand_History!A1461</f>
        <v>4</v>
      </c>
      <c r="C1461" s="32" t="n">
        <f aca="false">Demand_History!D1461</f>
        <v>18</v>
      </c>
      <c r="D1461" s="33" t="n">
        <f aca="false">IF(B1461&gt;=2,C1460,"")</f>
        <v>28</v>
      </c>
      <c r="E1461" s="33" t="str">
        <f aca="false">IF(B1461&gt;=5,AVERAGE(C1457:C1460),"")</f>
        <v/>
      </c>
      <c r="F1461" s="33" t="str">
        <f aca="false">IF(B1461&gt;=9,AVERAGE(C1453:C1460),"")</f>
        <v/>
      </c>
      <c r="G1461" s="33" t="n">
        <f aca="false">IF(B1461=1,"",IF(B1461=2,C1460,SES_Alpha*C1460+(1-SES_Alpha)*G1460))</f>
        <v>25.27</v>
      </c>
      <c r="H1461" s="33" t="n">
        <f aca="false">IF(D1461="","",D1461-C1461)</f>
        <v>10</v>
      </c>
      <c r="I1461" s="33" t="str">
        <f aca="false">IF(E1461="","",E1461-C1461)</f>
        <v/>
      </c>
      <c r="J1461" s="33" t="str">
        <f aca="false">IF(F1461="","",F1461-C1461)</f>
        <v/>
      </c>
      <c r="K1461" s="33" t="n">
        <f aca="false">IF(G1461="","",G1461-C1461)</f>
        <v>7.27</v>
      </c>
      <c r="L1461" s="33" t="n">
        <f aca="false">IF(H1461="","",ABS(H1461))</f>
        <v>10</v>
      </c>
      <c r="M1461" s="33" t="str">
        <f aca="false">IF(I1461="","",ABS(I1461))</f>
        <v/>
      </c>
      <c r="N1461" s="33" t="str">
        <f aca="false">IF(J1461="","",ABS(J1461))</f>
        <v/>
      </c>
      <c r="O1461" s="33" t="n">
        <f aca="false">IF(K1461="","",ABS(K1461))</f>
        <v>7.27</v>
      </c>
      <c r="P1461" s="34" t="str">
        <f aca="false">IF(B1461&gt;=Eval_Start_Week,"YES","")</f>
        <v/>
      </c>
      <c r="Q1461" s="34" t="str">
        <f aca="false">IF(AND(B1461&gt;=Cal_Start_Week,B1461&lt;=Cal_End_Week),"YES","")</f>
        <v/>
      </c>
    </row>
    <row r="1462" customFormat="false" ht="15" hidden="false" customHeight="false" outlineLevel="0" collapsed="false">
      <c r="A1462" s="31" t="str">
        <f aca="false">Demand_History!C1462</f>
        <v>BTH-005</v>
      </c>
      <c r="B1462" s="31" t="n">
        <f aca="false">Demand_History!A1462</f>
        <v>5</v>
      </c>
      <c r="C1462" s="32" t="n">
        <f aca="false">Demand_History!D1462</f>
        <v>18</v>
      </c>
      <c r="D1462" s="33" t="n">
        <f aca="false">IF(B1462&gt;=2,C1461,"")</f>
        <v>18</v>
      </c>
      <c r="E1462" s="33" t="n">
        <f aca="false">IF(B1462&gt;=5,AVERAGE(C1458:C1461),"")</f>
        <v>21.25</v>
      </c>
      <c r="F1462" s="33" t="str">
        <f aca="false">IF(B1462&gt;=9,AVERAGE(C1454:C1461),"")</f>
        <v/>
      </c>
      <c r="G1462" s="33" t="n">
        <f aca="false">IF(B1462=1,"",IF(B1462=2,C1461,SES_Alpha*C1461+(1-SES_Alpha)*G1461))</f>
        <v>23.089</v>
      </c>
      <c r="H1462" s="33" t="n">
        <f aca="false">IF(D1462="","",D1462-C1462)</f>
        <v>0</v>
      </c>
      <c r="I1462" s="33" t="n">
        <f aca="false">IF(E1462="","",E1462-C1462)</f>
        <v>3.25</v>
      </c>
      <c r="J1462" s="33" t="str">
        <f aca="false">IF(F1462="","",F1462-C1462)</f>
        <v/>
      </c>
      <c r="K1462" s="33" t="n">
        <f aca="false">IF(G1462="","",G1462-C1462)</f>
        <v>5.089</v>
      </c>
      <c r="L1462" s="33" t="n">
        <f aca="false">IF(H1462="","",ABS(H1462))</f>
        <v>0</v>
      </c>
      <c r="M1462" s="33" t="n">
        <f aca="false">IF(I1462="","",ABS(I1462))</f>
        <v>3.25</v>
      </c>
      <c r="N1462" s="33" t="str">
        <f aca="false">IF(J1462="","",ABS(J1462))</f>
        <v/>
      </c>
      <c r="O1462" s="33" t="n">
        <f aca="false">IF(K1462="","",ABS(K1462))</f>
        <v>5.089</v>
      </c>
      <c r="P1462" s="34" t="str">
        <f aca="false">IF(B1462&gt;=Eval_Start_Week,"YES","")</f>
        <v/>
      </c>
      <c r="Q1462" s="34" t="str">
        <f aca="false">IF(AND(B1462&gt;=Cal_Start_Week,B1462&lt;=Cal_End_Week),"YES","")</f>
        <v/>
      </c>
    </row>
    <row r="1463" customFormat="false" ht="15" hidden="false" customHeight="false" outlineLevel="0" collapsed="false">
      <c r="A1463" s="31" t="str">
        <f aca="false">Demand_History!C1463</f>
        <v>BTH-005</v>
      </c>
      <c r="B1463" s="31" t="n">
        <f aca="false">Demand_History!A1463</f>
        <v>6</v>
      </c>
      <c r="C1463" s="32" t="n">
        <f aca="false">Demand_History!D1463</f>
        <v>14</v>
      </c>
      <c r="D1463" s="33" t="n">
        <f aca="false">IF(B1463&gt;=2,C1462,"")</f>
        <v>18</v>
      </c>
      <c r="E1463" s="33" t="n">
        <f aca="false">IF(B1463&gt;=5,AVERAGE(C1459:C1462),"")</f>
        <v>18</v>
      </c>
      <c r="F1463" s="33" t="str">
        <f aca="false">IF(B1463&gt;=9,AVERAGE(C1455:C1462),"")</f>
        <v/>
      </c>
      <c r="G1463" s="33" t="n">
        <f aca="false">IF(B1463=1,"",IF(B1463=2,C1462,SES_Alpha*C1462+(1-SES_Alpha)*G1462))</f>
        <v>21.5623</v>
      </c>
      <c r="H1463" s="33" t="n">
        <f aca="false">IF(D1463="","",D1463-C1463)</f>
        <v>4</v>
      </c>
      <c r="I1463" s="33" t="n">
        <f aca="false">IF(E1463="","",E1463-C1463)</f>
        <v>4</v>
      </c>
      <c r="J1463" s="33" t="str">
        <f aca="false">IF(F1463="","",F1463-C1463)</f>
        <v/>
      </c>
      <c r="K1463" s="33" t="n">
        <f aca="false">IF(G1463="","",G1463-C1463)</f>
        <v>7.56229999999999</v>
      </c>
      <c r="L1463" s="33" t="n">
        <f aca="false">IF(H1463="","",ABS(H1463))</f>
        <v>4</v>
      </c>
      <c r="M1463" s="33" t="n">
        <f aca="false">IF(I1463="","",ABS(I1463))</f>
        <v>4</v>
      </c>
      <c r="N1463" s="33" t="str">
        <f aca="false">IF(J1463="","",ABS(J1463))</f>
        <v/>
      </c>
      <c r="O1463" s="33" t="n">
        <f aca="false">IF(K1463="","",ABS(K1463))</f>
        <v>7.56229999999999</v>
      </c>
      <c r="P1463" s="34" t="str">
        <f aca="false">IF(B1463&gt;=Eval_Start_Week,"YES","")</f>
        <v/>
      </c>
      <c r="Q1463" s="34" t="str">
        <f aca="false">IF(AND(B1463&gt;=Cal_Start_Week,B1463&lt;=Cal_End_Week),"YES","")</f>
        <v/>
      </c>
    </row>
    <row r="1464" customFormat="false" ht="15" hidden="false" customHeight="false" outlineLevel="0" collapsed="false">
      <c r="A1464" s="31" t="str">
        <f aca="false">Demand_History!C1464</f>
        <v>BTH-005</v>
      </c>
      <c r="B1464" s="31" t="n">
        <f aca="false">Demand_History!A1464</f>
        <v>7</v>
      </c>
      <c r="C1464" s="32" t="n">
        <f aca="false">Demand_History!D1464</f>
        <v>8</v>
      </c>
      <c r="D1464" s="33" t="n">
        <f aca="false">IF(B1464&gt;=2,C1463,"")</f>
        <v>14</v>
      </c>
      <c r="E1464" s="33" t="n">
        <f aca="false">IF(B1464&gt;=5,AVERAGE(C1460:C1463),"")</f>
        <v>19.5</v>
      </c>
      <c r="F1464" s="33" t="str">
        <f aca="false">IF(B1464&gt;=9,AVERAGE(C1456:C1463),"")</f>
        <v/>
      </c>
      <c r="G1464" s="33" t="n">
        <f aca="false">IF(B1464=1,"",IF(B1464=2,C1463,SES_Alpha*C1463+(1-SES_Alpha)*G1463))</f>
        <v>19.29361</v>
      </c>
      <c r="H1464" s="33" t="n">
        <f aca="false">IF(D1464="","",D1464-C1464)</f>
        <v>6</v>
      </c>
      <c r="I1464" s="33" t="n">
        <f aca="false">IF(E1464="","",E1464-C1464)</f>
        <v>11.5</v>
      </c>
      <c r="J1464" s="33" t="str">
        <f aca="false">IF(F1464="","",F1464-C1464)</f>
        <v/>
      </c>
      <c r="K1464" s="33" t="n">
        <f aca="false">IF(G1464="","",G1464-C1464)</f>
        <v>11.29361</v>
      </c>
      <c r="L1464" s="33" t="n">
        <f aca="false">IF(H1464="","",ABS(H1464))</f>
        <v>6</v>
      </c>
      <c r="M1464" s="33" t="n">
        <f aca="false">IF(I1464="","",ABS(I1464))</f>
        <v>11.5</v>
      </c>
      <c r="N1464" s="33" t="str">
        <f aca="false">IF(J1464="","",ABS(J1464))</f>
        <v/>
      </c>
      <c r="O1464" s="33" t="n">
        <f aca="false">IF(K1464="","",ABS(K1464))</f>
        <v>11.29361</v>
      </c>
      <c r="P1464" s="34" t="str">
        <f aca="false">IF(B1464&gt;=Eval_Start_Week,"YES","")</f>
        <v/>
      </c>
      <c r="Q1464" s="34" t="str">
        <f aca="false">IF(AND(B1464&gt;=Cal_Start_Week,B1464&lt;=Cal_End_Week),"YES","")</f>
        <v/>
      </c>
    </row>
    <row r="1465" customFormat="false" ht="15" hidden="false" customHeight="false" outlineLevel="0" collapsed="false">
      <c r="A1465" s="31" t="str">
        <f aca="false">Demand_History!C1465</f>
        <v>BTH-005</v>
      </c>
      <c r="B1465" s="31" t="n">
        <f aca="false">Demand_History!A1465</f>
        <v>8</v>
      </c>
      <c r="C1465" s="32" t="n">
        <f aca="false">Demand_History!D1465</f>
        <v>18</v>
      </c>
      <c r="D1465" s="33" t="n">
        <f aca="false">IF(B1465&gt;=2,C1464,"")</f>
        <v>8</v>
      </c>
      <c r="E1465" s="33" t="n">
        <f aca="false">IF(B1465&gt;=5,AVERAGE(C1461:C1464),"")</f>
        <v>14.5</v>
      </c>
      <c r="F1465" s="33" t="str">
        <f aca="false">IF(B1465&gt;=9,AVERAGE(C1457:C1464),"")</f>
        <v/>
      </c>
      <c r="G1465" s="33" t="n">
        <f aca="false">IF(B1465=1,"",IF(B1465=2,C1464,SES_Alpha*C1464+(1-SES_Alpha)*G1464))</f>
        <v>15.905527</v>
      </c>
      <c r="H1465" s="33" t="n">
        <f aca="false">IF(D1465="","",D1465-C1465)</f>
        <v>-10</v>
      </c>
      <c r="I1465" s="33" t="n">
        <f aca="false">IF(E1465="","",E1465-C1465)</f>
        <v>-3.5</v>
      </c>
      <c r="J1465" s="33" t="str">
        <f aca="false">IF(F1465="","",F1465-C1465)</f>
        <v/>
      </c>
      <c r="K1465" s="33" t="n">
        <f aca="false">IF(G1465="","",G1465-C1465)</f>
        <v>-2.094473</v>
      </c>
      <c r="L1465" s="33" t="n">
        <f aca="false">IF(H1465="","",ABS(H1465))</f>
        <v>10</v>
      </c>
      <c r="M1465" s="33" t="n">
        <f aca="false">IF(I1465="","",ABS(I1465))</f>
        <v>3.5</v>
      </c>
      <c r="N1465" s="33" t="str">
        <f aca="false">IF(J1465="","",ABS(J1465))</f>
        <v/>
      </c>
      <c r="O1465" s="33" t="n">
        <f aca="false">IF(K1465="","",ABS(K1465))</f>
        <v>2.094473</v>
      </c>
      <c r="P1465" s="34" t="str">
        <f aca="false">IF(B1465&gt;=Eval_Start_Week,"YES","")</f>
        <v/>
      </c>
      <c r="Q1465" s="34" t="str">
        <f aca="false">IF(AND(B1465&gt;=Cal_Start_Week,B1465&lt;=Cal_End_Week),"YES","")</f>
        <v/>
      </c>
    </row>
    <row r="1466" customFormat="false" ht="15" hidden="false" customHeight="false" outlineLevel="0" collapsed="false">
      <c r="A1466" s="31" t="str">
        <f aca="false">Demand_History!C1466</f>
        <v>BTH-005</v>
      </c>
      <c r="B1466" s="31" t="n">
        <f aca="false">Demand_History!A1466</f>
        <v>9</v>
      </c>
      <c r="C1466" s="32" t="n">
        <f aca="false">Demand_History!D1466</f>
        <v>16</v>
      </c>
      <c r="D1466" s="33" t="n">
        <f aca="false">IF(B1466&gt;=2,C1465,"")</f>
        <v>18</v>
      </c>
      <c r="E1466" s="33" t="n">
        <f aca="false">IF(B1466&gt;=5,AVERAGE(C1462:C1465),"")</f>
        <v>14.5</v>
      </c>
      <c r="F1466" s="33" t="n">
        <f aca="false">IF(B1466&gt;=9,AVERAGE(C1458:C1465),"")</f>
        <v>17.875</v>
      </c>
      <c r="G1466" s="33" t="n">
        <f aca="false">IF(B1466=1,"",IF(B1466=2,C1465,SES_Alpha*C1465+(1-SES_Alpha)*G1465))</f>
        <v>16.5338689</v>
      </c>
      <c r="H1466" s="33" t="n">
        <f aca="false">IF(D1466="","",D1466-C1466)</f>
        <v>2</v>
      </c>
      <c r="I1466" s="33" t="n">
        <f aca="false">IF(E1466="","",E1466-C1466)</f>
        <v>-1.5</v>
      </c>
      <c r="J1466" s="33" t="n">
        <f aca="false">IF(F1466="","",F1466-C1466)</f>
        <v>1.875</v>
      </c>
      <c r="K1466" s="33" t="n">
        <f aca="false">IF(G1466="","",G1466-C1466)</f>
        <v>0.533868899999995</v>
      </c>
      <c r="L1466" s="33" t="n">
        <f aca="false">IF(H1466="","",ABS(H1466))</f>
        <v>2</v>
      </c>
      <c r="M1466" s="33" t="n">
        <f aca="false">IF(I1466="","",ABS(I1466))</f>
        <v>1.5</v>
      </c>
      <c r="N1466" s="33" t="n">
        <f aca="false">IF(J1466="","",ABS(J1466))</f>
        <v>1.875</v>
      </c>
      <c r="O1466" s="33" t="n">
        <f aca="false">IF(K1466="","",ABS(K1466))</f>
        <v>0.533868899999995</v>
      </c>
      <c r="P1466" s="34" t="str">
        <f aca="false">IF(B1466&gt;=Eval_Start_Week,"YES","")</f>
        <v/>
      </c>
      <c r="Q1466" s="34" t="str">
        <f aca="false">IF(AND(B1466&gt;=Cal_Start_Week,B1466&lt;=Cal_End_Week),"YES","")</f>
        <v/>
      </c>
    </row>
    <row r="1467" customFormat="false" ht="15" hidden="false" customHeight="false" outlineLevel="0" collapsed="false">
      <c r="A1467" s="31" t="str">
        <f aca="false">Demand_History!C1467</f>
        <v>BTH-005</v>
      </c>
      <c r="B1467" s="31" t="n">
        <f aca="false">Demand_History!A1467</f>
        <v>10</v>
      </c>
      <c r="C1467" s="32" t="n">
        <f aca="false">Demand_History!D1467</f>
        <v>23</v>
      </c>
      <c r="D1467" s="33" t="n">
        <f aca="false">IF(B1467&gt;=2,C1466,"")</f>
        <v>16</v>
      </c>
      <c r="E1467" s="33" t="n">
        <f aca="false">IF(B1467&gt;=5,AVERAGE(C1463:C1466),"")</f>
        <v>14</v>
      </c>
      <c r="F1467" s="33" t="n">
        <f aca="false">IF(B1467&gt;=9,AVERAGE(C1459:C1466),"")</f>
        <v>16</v>
      </c>
      <c r="G1467" s="33" t="n">
        <f aca="false">IF(B1467=1,"",IF(B1467=2,C1466,SES_Alpha*C1466+(1-SES_Alpha)*G1466))</f>
        <v>16.37370823</v>
      </c>
      <c r="H1467" s="33" t="n">
        <f aca="false">IF(D1467="","",D1467-C1467)</f>
        <v>-7</v>
      </c>
      <c r="I1467" s="33" t="n">
        <f aca="false">IF(E1467="","",E1467-C1467)</f>
        <v>-9</v>
      </c>
      <c r="J1467" s="33" t="n">
        <f aca="false">IF(F1467="","",F1467-C1467)</f>
        <v>-7</v>
      </c>
      <c r="K1467" s="33" t="n">
        <f aca="false">IF(G1467="","",G1467-C1467)</f>
        <v>-6.62629177000001</v>
      </c>
      <c r="L1467" s="33" t="n">
        <f aca="false">IF(H1467="","",ABS(H1467))</f>
        <v>7</v>
      </c>
      <c r="M1467" s="33" t="n">
        <f aca="false">IF(I1467="","",ABS(I1467))</f>
        <v>9</v>
      </c>
      <c r="N1467" s="33" t="n">
        <f aca="false">IF(J1467="","",ABS(J1467))</f>
        <v>7</v>
      </c>
      <c r="O1467" s="33" t="n">
        <f aca="false">IF(K1467="","",ABS(K1467))</f>
        <v>6.62629177000001</v>
      </c>
      <c r="P1467" s="34" t="str">
        <f aca="false">IF(B1467&gt;=Eval_Start_Week,"YES","")</f>
        <v/>
      </c>
      <c r="Q1467" s="34" t="str">
        <f aca="false">IF(AND(B1467&gt;=Cal_Start_Week,B1467&lt;=Cal_End_Week),"YES","")</f>
        <v/>
      </c>
    </row>
    <row r="1468" customFormat="false" ht="15" hidden="false" customHeight="false" outlineLevel="0" collapsed="false">
      <c r="A1468" s="31" t="str">
        <f aca="false">Demand_History!C1468</f>
        <v>BTH-005</v>
      </c>
      <c r="B1468" s="31" t="n">
        <f aca="false">Demand_History!A1468</f>
        <v>11</v>
      </c>
      <c r="C1468" s="32" t="n">
        <f aca="false">Demand_History!D1468</f>
        <v>11</v>
      </c>
      <c r="D1468" s="33" t="n">
        <f aca="false">IF(B1468&gt;=2,C1467,"")</f>
        <v>23</v>
      </c>
      <c r="E1468" s="33" t="n">
        <f aca="false">IF(B1468&gt;=5,AVERAGE(C1464:C1467),"")</f>
        <v>16.25</v>
      </c>
      <c r="F1468" s="33" t="n">
        <f aca="false">IF(B1468&gt;=9,AVERAGE(C1460:C1467),"")</f>
        <v>17.875</v>
      </c>
      <c r="G1468" s="33" t="n">
        <f aca="false">IF(B1468=1,"",IF(B1468=2,C1467,SES_Alpha*C1467+(1-SES_Alpha)*G1467))</f>
        <v>18.361595761</v>
      </c>
      <c r="H1468" s="33" t="n">
        <f aca="false">IF(D1468="","",D1468-C1468)</f>
        <v>12</v>
      </c>
      <c r="I1468" s="33" t="n">
        <f aca="false">IF(E1468="","",E1468-C1468)</f>
        <v>5.25</v>
      </c>
      <c r="J1468" s="33" t="n">
        <f aca="false">IF(F1468="","",F1468-C1468)</f>
        <v>6.875</v>
      </c>
      <c r="K1468" s="33" t="n">
        <f aca="false">IF(G1468="","",G1468-C1468)</f>
        <v>7.361595761</v>
      </c>
      <c r="L1468" s="33" t="n">
        <f aca="false">IF(H1468="","",ABS(H1468))</f>
        <v>12</v>
      </c>
      <c r="M1468" s="33" t="n">
        <f aca="false">IF(I1468="","",ABS(I1468))</f>
        <v>5.25</v>
      </c>
      <c r="N1468" s="33" t="n">
        <f aca="false">IF(J1468="","",ABS(J1468))</f>
        <v>6.875</v>
      </c>
      <c r="O1468" s="33" t="n">
        <f aca="false">IF(K1468="","",ABS(K1468))</f>
        <v>7.361595761</v>
      </c>
      <c r="P1468" s="34" t="str">
        <f aca="false">IF(B1468&gt;=Eval_Start_Week,"YES","")</f>
        <v/>
      </c>
      <c r="Q1468" s="34" t="str">
        <f aca="false">IF(AND(B1468&gt;=Cal_Start_Week,B1468&lt;=Cal_End_Week),"YES","")</f>
        <v/>
      </c>
    </row>
    <row r="1469" customFormat="false" ht="15" hidden="false" customHeight="false" outlineLevel="0" collapsed="false">
      <c r="A1469" s="31" t="str">
        <f aca="false">Demand_History!C1469</f>
        <v>BTH-005</v>
      </c>
      <c r="B1469" s="31" t="n">
        <f aca="false">Demand_History!A1469</f>
        <v>12</v>
      </c>
      <c r="C1469" s="32" t="n">
        <f aca="false">Demand_History!D1469</f>
        <v>29</v>
      </c>
      <c r="D1469" s="33" t="n">
        <f aca="false">IF(B1469&gt;=2,C1468,"")</f>
        <v>11</v>
      </c>
      <c r="E1469" s="33" t="n">
        <f aca="false">IF(B1469&gt;=5,AVERAGE(C1465:C1468),"")</f>
        <v>17</v>
      </c>
      <c r="F1469" s="33" t="n">
        <f aca="false">IF(B1469&gt;=9,AVERAGE(C1461:C1468),"")</f>
        <v>15.75</v>
      </c>
      <c r="G1469" s="33" t="n">
        <f aca="false">IF(B1469=1,"",IF(B1469=2,C1468,SES_Alpha*C1468+(1-SES_Alpha)*G1468))</f>
        <v>16.1531170327</v>
      </c>
      <c r="H1469" s="33" t="n">
        <f aca="false">IF(D1469="","",D1469-C1469)</f>
        <v>-18</v>
      </c>
      <c r="I1469" s="33" t="n">
        <f aca="false">IF(E1469="","",E1469-C1469)</f>
        <v>-12</v>
      </c>
      <c r="J1469" s="33" t="n">
        <f aca="false">IF(F1469="","",F1469-C1469)</f>
        <v>-13.25</v>
      </c>
      <c r="K1469" s="33" t="n">
        <f aca="false">IF(G1469="","",G1469-C1469)</f>
        <v>-12.8468829673</v>
      </c>
      <c r="L1469" s="33" t="n">
        <f aca="false">IF(H1469="","",ABS(H1469))</f>
        <v>18</v>
      </c>
      <c r="M1469" s="33" t="n">
        <f aca="false">IF(I1469="","",ABS(I1469))</f>
        <v>12</v>
      </c>
      <c r="N1469" s="33" t="n">
        <f aca="false">IF(J1469="","",ABS(J1469))</f>
        <v>13.25</v>
      </c>
      <c r="O1469" s="33" t="n">
        <f aca="false">IF(K1469="","",ABS(K1469))</f>
        <v>12.8468829673</v>
      </c>
      <c r="P1469" s="34" t="str">
        <f aca="false">IF(B1469&gt;=Eval_Start_Week,"YES","")</f>
        <v/>
      </c>
      <c r="Q1469" s="34" t="str">
        <f aca="false">IF(AND(B1469&gt;=Cal_Start_Week,B1469&lt;=Cal_End_Week),"YES","")</f>
        <v/>
      </c>
    </row>
    <row r="1470" customFormat="false" ht="15" hidden="false" customHeight="false" outlineLevel="0" collapsed="false">
      <c r="A1470" s="31" t="str">
        <f aca="false">Demand_History!C1470</f>
        <v>BTH-005</v>
      </c>
      <c r="B1470" s="31" t="n">
        <f aca="false">Demand_History!A1470</f>
        <v>13</v>
      </c>
      <c r="C1470" s="32" t="n">
        <f aca="false">Demand_History!D1470</f>
        <v>22</v>
      </c>
      <c r="D1470" s="33" t="n">
        <f aca="false">IF(B1470&gt;=2,C1469,"")</f>
        <v>29</v>
      </c>
      <c r="E1470" s="33" t="n">
        <f aca="false">IF(B1470&gt;=5,AVERAGE(C1466:C1469),"")</f>
        <v>19.75</v>
      </c>
      <c r="F1470" s="33" t="n">
        <f aca="false">IF(B1470&gt;=9,AVERAGE(C1462:C1469),"")</f>
        <v>17.125</v>
      </c>
      <c r="G1470" s="33" t="n">
        <f aca="false">IF(B1470=1,"",IF(B1470=2,C1469,SES_Alpha*C1469+(1-SES_Alpha)*G1469))</f>
        <v>20.00718192289</v>
      </c>
      <c r="H1470" s="33" t="n">
        <f aca="false">IF(D1470="","",D1470-C1470)</f>
        <v>7</v>
      </c>
      <c r="I1470" s="33" t="n">
        <f aca="false">IF(E1470="","",E1470-C1470)</f>
        <v>-2.25</v>
      </c>
      <c r="J1470" s="33" t="n">
        <f aca="false">IF(F1470="","",F1470-C1470)</f>
        <v>-4.875</v>
      </c>
      <c r="K1470" s="33" t="n">
        <f aca="false">IF(G1470="","",G1470-C1470)</f>
        <v>-1.99281807711001</v>
      </c>
      <c r="L1470" s="33" t="n">
        <f aca="false">IF(H1470="","",ABS(H1470))</f>
        <v>7</v>
      </c>
      <c r="M1470" s="33" t="n">
        <f aca="false">IF(I1470="","",ABS(I1470))</f>
        <v>2.25</v>
      </c>
      <c r="N1470" s="33" t="n">
        <f aca="false">IF(J1470="","",ABS(J1470))</f>
        <v>4.875</v>
      </c>
      <c r="O1470" s="33" t="n">
        <f aca="false">IF(K1470="","",ABS(K1470))</f>
        <v>1.99281807711001</v>
      </c>
      <c r="P1470" s="34" t="str">
        <f aca="false">IF(B1470&gt;=Eval_Start_Week,"YES","")</f>
        <v/>
      </c>
      <c r="Q1470" s="34" t="str">
        <f aca="false">IF(AND(B1470&gt;=Cal_Start_Week,B1470&lt;=Cal_End_Week),"YES","")</f>
        <v/>
      </c>
    </row>
    <row r="1471" customFormat="false" ht="15" hidden="false" customHeight="false" outlineLevel="0" collapsed="false">
      <c r="A1471" s="31" t="str">
        <f aca="false">Demand_History!C1471</f>
        <v>BTH-005</v>
      </c>
      <c r="B1471" s="31" t="n">
        <f aca="false">Demand_History!A1471</f>
        <v>14</v>
      </c>
      <c r="C1471" s="32" t="n">
        <f aca="false">Demand_History!D1471</f>
        <v>18</v>
      </c>
      <c r="D1471" s="33" t="n">
        <f aca="false">IF(B1471&gt;=2,C1470,"")</f>
        <v>22</v>
      </c>
      <c r="E1471" s="33" t="n">
        <f aca="false">IF(B1471&gt;=5,AVERAGE(C1467:C1470),"")</f>
        <v>21.25</v>
      </c>
      <c r="F1471" s="33" t="n">
        <f aca="false">IF(B1471&gt;=9,AVERAGE(C1463:C1470),"")</f>
        <v>17.625</v>
      </c>
      <c r="G1471" s="33" t="n">
        <f aca="false">IF(B1471=1,"",IF(B1471=2,C1470,SES_Alpha*C1470+(1-SES_Alpha)*G1470))</f>
        <v>20.605027346023</v>
      </c>
      <c r="H1471" s="33" t="n">
        <f aca="false">IF(D1471="","",D1471-C1471)</f>
        <v>4</v>
      </c>
      <c r="I1471" s="33" t="n">
        <f aca="false">IF(E1471="","",E1471-C1471)</f>
        <v>3.25</v>
      </c>
      <c r="J1471" s="33" t="n">
        <f aca="false">IF(F1471="","",F1471-C1471)</f>
        <v>-0.375</v>
      </c>
      <c r="K1471" s="33" t="n">
        <f aca="false">IF(G1471="","",G1471-C1471)</f>
        <v>2.60502734602299</v>
      </c>
      <c r="L1471" s="33" t="n">
        <f aca="false">IF(H1471="","",ABS(H1471))</f>
        <v>4</v>
      </c>
      <c r="M1471" s="33" t="n">
        <f aca="false">IF(I1471="","",ABS(I1471))</f>
        <v>3.25</v>
      </c>
      <c r="N1471" s="33" t="n">
        <f aca="false">IF(J1471="","",ABS(J1471))</f>
        <v>0.375</v>
      </c>
      <c r="O1471" s="33" t="n">
        <f aca="false">IF(K1471="","",ABS(K1471))</f>
        <v>2.60502734602299</v>
      </c>
      <c r="P1471" s="34" t="str">
        <f aca="false">IF(B1471&gt;=Eval_Start_Week,"YES","")</f>
        <v/>
      </c>
      <c r="Q1471" s="34" t="str">
        <f aca="false">IF(AND(B1471&gt;=Cal_Start_Week,B1471&lt;=Cal_End_Week),"YES","")</f>
        <v/>
      </c>
    </row>
    <row r="1472" customFormat="false" ht="15" hidden="false" customHeight="false" outlineLevel="0" collapsed="false">
      <c r="A1472" s="31" t="str">
        <f aca="false">Demand_History!C1472</f>
        <v>BTH-005</v>
      </c>
      <c r="B1472" s="31" t="n">
        <f aca="false">Demand_History!A1472</f>
        <v>15</v>
      </c>
      <c r="C1472" s="32" t="n">
        <f aca="false">Demand_History!D1472</f>
        <v>16</v>
      </c>
      <c r="D1472" s="33" t="n">
        <f aca="false">IF(B1472&gt;=2,C1471,"")</f>
        <v>18</v>
      </c>
      <c r="E1472" s="33" t="n">
        <f aca="false">IF(B1472&gt;=5,AVERAGE(C1468:C1471),"")</f>
        <v>20</v>
      </c>
      <c r="F1472" s="33" t="n">
        <f aca="false">IF(B1472&gt;=9,AVERAGE(C1464:C1471),"")</f>
        <v>18.125</v>
      </c>
      <c r="G1472" s="33" t="n">
        <f aca="false">IF(B1472=1,"",IF(B1472=2,C1471,SES_Alpha*C1471+(1-SES_Alpha)*G1471))</f>
        <v>19.8235191422161</v>
      </c>
      <c r="H1472" s="33" t="n">
        <f aca="false">IF(D1472="","",D1472-C1472)</f>
        <v>2</v>
      </c>
      <c r="I1472" s="33" t="n">
        <f aca="false">IF(E1472="","",E1472-C1472)</f>
        <v>4</v>
      </c>
      <c r="J1472" s="33" t="n">
        <f aca="false">IF(F1472="","",F1472-C1472)</f>
        <v>2.125</v>
      </c>
      <c r="K1472" s="33" t="n">
        <f aca="false">IF(G1472="","",G1472-C1472)</f>
        <v>3.82351914221609</v>
      </c>
      <c r="L1472" s="33" t="n">
        <f aca="false">IF(H1472="","",ABS(H1472))</f>
        <v>2</v>
      </c>
      <c r="M1472" s="33" t="n">
        <f aca="false">IF(I1472="","",ABS(I1472))</f>
        <v>4</v>
      </c>
      <c r="N1472" s="33" t="n">
        <f aca="false">IF(J1472="","",ABS(J1472))</f>
        <v>2.125</v>
      </c>
      <c r="O1472" s="33" t="n">
        <f aca="false">IF(K1472="","",ABS(K1472))</f>
        <v>3.82351914221609</v>
      </c>
      <c r="P1472" s="34" t="str">
        <f aca="false">IF(B1472&gt;=Eval_Start_Week,"YES","")</f>
        <v/>
      </c>
      <c r="Q1472" s="34" t="str">
        <f aca="false">IF(AND(B1472&gt;=Cal_Start_Week,B1472&lt;=Cal_End_Week),"YES","")</f>
        <v/>
      </c>
    </row>
    <row r="1473" customFormat="false" ht="15" hidden="false" customHeight="false" outlineLevel="0" collapsed="false">
      <c r="A1473" s="31" t="str">
        <f aca="false">Demand_History!C1473</f>
        <v>BTH-005</v>
      </c>
      <c r="B1473" s="31" t="n">
        <f aca="false">Demand_History!A1473</f>
        <v>16</v>
      </c>
      <c r="C1473" s="32" t="n">
        <f aca="false">Demand_History!D1473</f>
        <v>15</v>
      </c>
      <c r="D1473" s="33" t="n">
        <f aca="false">IF(B1473&gt;=2,C1472,"")</f>
        <v>16</v>
      </c>
      <c r="E1473" s="33" t="n">
        <f aca="false">IF(B1473&gt;=5,AVERAGE(C1469:C1472),"")</f>
        <v>21.25</v>
      </c>
      <c r="F1473" s="33" t="n">
        <f aca="false">IF(B1473&gt;=9,AVERAGE(C1465:C1472),"")</f>
        <v>19.125</v>
      </c>
      <c r="G1473" s="33" t="n">
        <f aca="false">IF(B1473=1,"",IF(B1473=2,C1472,SES_Alpha*C1472+(1-SES_Alpha)*G1472))</f>
        <v>18.6764633995513</v>
      </c>
      <c r="H1473" s="33" t="n">
        <f aca="false">IF(D1473="","",D1473-C1473)</f>
        <v>1</v>
      </c>
      <c r="I1473" s="33" t="n">
        <f aca="false">IF(E1473="","",E1473-C1473)</f>
        <v>6.25</v>
      </c>
      <c r="J1473" s="33" t="n">
        <f aca="false">IF(F1473="","",F1473-C1473)</f>
        <v>4.125</v>
      </c>
      <c r="K1473" s="33" t="n">
        <f aca="false">IF(G1473="","",G1473-C1473)</f>
        <v>3.67646339955126</v>
      </c>
      <c r="L1473" s="33" t="n">
        <f aca="false">IF(H1473="","",ABS(H1473))</f>
        <v>1</v>
      </c>
      <c r="M1473" s="33" t="n">
        <f aca="false">IF(I1473="","",ABS(I1473))</f>
        <v>6.25</v>
      </c>
      <c r="N1473" s="33" t="n">
        <f aca="false">IF(J1473="","",ABS(J1473))</f>
        <v>4.125</v>
      </c>
      <c r="O1473" s="33" t="n">
        <f aca="false">IF(K1473="","",ABS(K1473))</f>
        <v>3.67646339955126</v>
      </c>
      <c r="P1473" s="34" t="str">
        <f aca="false">IF(B1473&gt;=Eval_Start_Week,"YES","")</f>
        <v/>
      </c>
      <c r="Q1473" s="34" t="str">
        <f aca="false">IF(AND(B1473&gt;=Cal_Start_Week,B1473&lt;=Cal_End_Week),"YES","")</f>
        <v/>
      </c>
    </row>
    <row r="1474" customFormat="false" ht="15" hidden="false" customHeight="false" outlineLevel="0" collapsed="false">
      <c r="A1474" s="31" t="str">
        <f aca="false">Demand_History!C1474</f>
        <v>BTH-005</v>
      </c>
      <c r="B1474" s="31" t="n">
        <f aca="false">Demand_History!A1474</f>
        <v>17</v>
      </c>
      <c r="C1474" s="32" t="n">
        <f aca="false">Demand_History!D1474</f>
        <v>13</v>
      </c>
      <c r="D1474" s="33" t="n">
        <f aca="false">IF(B1474&gt;=2,C1473,"")</f>
        <v>15</v>
      </c>
      <c r="E1474" s="33" t="n">
        <f aca="false">IF(B1474&gt;=5,AVERAGE(C1470:C1473),"")</f>
        <v>17.75</v>
      </c>
      <c r="F1474" s="33" t="n">
        <f aca="false">IF(B1474&gt;=9,AVERAGE(C1466:C1473),"")</f>
        <v>18.75</v>
      </c>
      <c r="G1474" s="33" t="n">
        <f aca="false">IF(B1474=1,"",IF(B1474=2,C1473,SES_Alpha*C1473+(1-SES_Alpha)*G1473))</f>
        <v>17.5735243796859</v>
      </c>
      <c r="H1474" s="33" t="n">
        <f aca="false">IF(D1474="","",D1474-C1474)</f>
        <v>2</v>
      </c>
      <c r="I1474" s="33" t="n">
        <f aca="false">IF(E1474="","",E1474-C1474)</f>
        <v>4.75</v>
      </c>
      <c r="J1474" s="33" t="n">
        <f aca="false">IF(F1474="","",F1474-C1474)</f>
        <v>5.75</v>
      </c>
      <c r="K1474" s="33" t="n">
        <f aca="false">IF(G1474="","",G1474-C1474)</f>
        <v>4.57352437968589</v>
      </c>
      <c r="L1474" s="33" t="n">
        <f aca="false">IF(H1474="","",ABS(H1474))</f>
        <v>2</v>
      </c>
      <c r="M1474" s="33" t="n">
        <f aca="false">IF(I1474="","",ABS(I1474))</f>
        <v>4.75</v>
      </c>
      <c r="N1474" s="33" t="n">
        <f aca="false">IF(J1474="","",ABS(J1474))</f>
        <v>5.75</v>
      </c>
      <c r="O1474" s="33" t="n">
        <f aca="false">IF(K1474="","",ABS(K1474))</f>
        <v>4.57352437968589</v>
      </c>
      <c r="P1474" s="34" t="str">
        <f aca="false">IF(B1474&gt;=Eval_Start_Week,"YES","")</f>
        <v/>
      </c>
      <c r="Q1474" s="34" t="str">
        <f aca="false">IF(AND(B1474&gt;=Cal_Start_Week,B1474&lt;=Cal_End_Week),"YES","")</f>
        <v/>
      </c>
    </row>
    <row r="1475" customFormat="false" ht="15" hidden="false" customHeight="false" outlineLevel="0" collapsed="false">
      <c r="A1475" s="31" t="str">
        <f aca="false">Demand_History!C1475</f>
        <v>BTH-005</v>
      </c>
      <c r="B1475" s="31" t="n">
        <f aca="false">Demand_History!A1475</f>
        <v>18</v>
      </c>
      <c r="C1475" s="32" t="n">
        <f aca="false">Demand_History!D1475</f>
        <v>17</v>
      </c>
      <c r="D1475" s="33" t="n">
        <f aca="false">IF(B1475&gt;=2,C1474,"")</f>
        <v>13</v>
      </c>
      <c r="E1475" s="33" t="n">
        <f aca="false">IF(B1475&gt;=5,AVERAGE(C1471:C1474),"")</f>
        <v>15.5</v>
      </c>
      <c r="F1475" s="33" t="n">
        <f aca="false">IF(B1475&gt;=9,AVERAGE(C1467:C1474),"")</f>
        <v>18.375</v>
      </c>
      <c r="G1475" s="33" t="n">
        <f aca="false">IF(B1475=1,"",IF(B1475=2,C1474,SES_Alpha*C1474+(1-SES_Alpha)*G1474))</f>
        <v>16.2014670657801</v>
      </c>
      <c r="H1475" s="33" t="n">
        <f aca="false">IF(D1475="","",D1475-C1475)</f>
        <v>-4</v>
      </c>
      <c r="I1475" s="33" t="n">
        <f aca="false">IF(E1475="","",E1475-C1475)</f>
        <v>-1.5</v>
      </c>
      <c r="J1475" s="33" t="n">
        <f aca="false">IF(F1475="","",F1475-C1475)</f>
        <v>1.375</v>
      </c>
      <c r="K1475" s="33" t="n">
        <f aca="false">IF(G1475="","",G1475-C1475)</f>
        <v>-0.798532934219882</v>
      </c>
      <c r="L1475" s="33" t="n">
        <f aca="false">IF(H1475="","",ABS(H1475))</f>
        <v>4</v>
      </c>
      <c r="M1475" s="33" t="n">
        <f aca="false">IF(I1475="","",ABS(I1475))</f>
        <v>1.5</v>
      </c>
      <c r="N1475" s="33" t="n">
        <f aca="false">IF(J1475="","",ABS(J1475))</f>
        <v>1.375</v>
      </c>
      <c r="O1475" s="33" t="n">
        <f aca="false">IF(K1475="","",ABS(K1475))</f>
        <v>0.798532934219882</v>
      </c>
      <c r="P1475" s="34" t="str">
        <f aca="false">IF(B1475&gt;=Eval_Start_Week,"YES","")</f>
        <v/>
      </c>
      <c r="Q1475" s="34" t="str">
        <f aca="false">IF(AND(B1475&gt;=Cal_Start_Week,B1475&lt;=Cal_End_Week),"YES","")</f>
        <v/>
      </c>
    </row>
    <row r="1476" customFormat="false" ht="15" hidden="false" customHeight="false" outlineLevel="0" collapsed="false">
      <c r="A1476" s="31" t="str">
        <f aca="false">Demand_History!C1476</f>
        <v>BTH-005</v>
      </c>
      <c r="B1476" s="31" t="n">
        <f aca="false">Demand_History!A1476</f>
        <v>19</v>
      </c>
      <c r="C1476" s="32" t="n">
        <f aca="false">Demand_History!D1476</f>
        <v>20</v>
      </c>
      <c r="D1476" s="33" t="n">
        <f aca="false">IF(B1476&gt;=2,C1475,"")</f>
        <v>17</v>
      </c>
      <c r="E1476" s="33" t="n">
        <f aca="false">IF(B1476&gt;=5,AVERAGE(C1472:C1475),"")</f>
        <v>15.25</v>
      </c>
      <c r="F1476" s="33" t="n">
        <f aca="false">IF(B1476&gt;=9,AVERAGE(C1468:C1475),"")</f>
        <v>17.625</v>
      </c>
      <c r="G1476" s="33" t="n">
        <f aca="false">IF(B1476=1,"",IF(B1476=2,C1475,SES_Alpha*C1475+(1-SES_Alpha)*G1475))</f>
        <v>16.4410269460461</v>
      </c>
      <c r="H1476" s="33" t="n">
        <f aca="false">IF(D1476="","",D1476-C1476)</f>
        <v>-3</v>
      </c>
      <c r="I1476" s="33" t="n">
        <f aca="false">IF(E1476="","",E1476-C1476)</f>
        <v>-4.75</v>
      </c>
      <c r="J1476" s="33" t="n">
        <f aca="false">IF(F1476="","",F1476-C1476)</f>
        <v>-2.375</v>
      </c>
      <c r="K1476" s="33" t="n">
        <f aca="false">IF(G1476="","",G1476-C1476)</f>
        <v>-3.55897305395392</v>
      </c>
      <c r="L1476" s="33" t="n">
        <f aca="false">IF(H1476="","",ABS(H1476))</f>
        <v>3</v>
      </c>
      <c r="M1476" s="33" t="n">
        <f aca="false">IF(I1476="","",ABS(I1476))</f>
        <v>4.75</v>
      </c>
      <c r="N1476" s="33" t="n">
        <f aca="false">IF(J1476="","",ABS(J1476))</f>
        <v>2.375</v>
      </c>
      <c r="O1476" s="33" t="n">
        <f aca="false">IF(K1476="","",ABS(K1476))</f>
        <v>3.55897305395392</v>
      </c>
      <c r="P1476" s="34" t="str">
        <f aca="false">IF(B1476&gt;=Eval_Start_Week,"YES","")</f>
        <v/>
      </c>
      <c r="Q1476" s="34" t="str">
        <f aca="false">IF(AND(B1476&gt;=Cal_Start_Week,B1476&lt;=Cal_End_Week),"YES","")</f>
        <v/>
      </c>
    </row>
    <row r="1477" customFormat="false" ht="15" hidden="false" customHeight="false" outlineLevel="0" collapsed="false">
      <c r="A1477" s="31" t="str">
        <f aca="false">Demand_History!C1477</f>
        <v>BTH-005</v>
      </c>
      <c r="B1477" s="31" t="n">
        <f aca="false">Demand_History!A1477</f>
        <v>20</v>
      </c>
      <c r="C1477" s="32" t="n">
        <f aca="false">Demand_History!D1477</f>
        <v>19</v>
      </c>
      <c r="D1477" s="33" t="n">
        <f aca="false">IF(B1477&gt;=2,C1476,"")</f>
        <v>20</v>
      </c>
      <c r="E1477" s="33" t="n">
        <f aca="false">IF(B1477&gt;=5,AVERAGE(C1473:C1476),"")</f>
        <v>16.25</v>
      </c>
      <c r="F1477" s="33" t="n">
        <f aca="false">IF(B1477&gt;=9,AVERAGE(C1469:C1476),"")</f>
        <v>18.75</v>
      </c>
      <c r="G1477" s="33" t="n">
        <f aca="false">IF(B1477=1,"",IF(B1477=2,C1476,SES_Alpha*C1476+(1-SES_Alpha)*G1476))</f>
        <v>17.5087188622323</v>
      </c>
      <c r="H1477" s="33" t="n">
        <f aca="false">IF(D1477="","",D1477-C1477)</f>
        <v>1</v>
      </c>
      <c r="I1477" s="33" t="n">
        <f aca="false">IF(E1477="","",E1477-C1477)</f>
        <v>-2.75</v>
      </c>
      <c r="J1477" s="33" t="n">
        <f aca="false">IF(F1477="","",F1477-C1477)</f>
        <v>-0.25</v>
      </c>
      <c r="K1477" s="33" t="n">
        <f aca="false">IF(G1477="","",G1477-C1477)</f>
        <v>-1.49128113776774</v>
      </c>
      <c r="L1477" s="33" t="n">
        <f aca="false">IF(H1477="","",ABS(H1477))</f>
        <v>1</v>
      </c>
      <c r="M1477" s="33" t="n">
        <f aca="false">IF(I1477="","",ABS(I1477))</f>
        <v>2.75</v>
      </c>
      <c r="N1477" s="33" t="n">
        <f aca="false">IF(J1477="","",ABS(J1477))</f>
        <v>0.25</v>
      </c>
      <c r="O1477" s="33" t="n">
        <f aca="false">IF(K1477="","",ABS(K1477))</f>
        <v>1.49128113776774</v>
      </c>
      <c r="P1477" s="34" t="str">
        <f aca="false">IF(B1477&gt;=Eval_Start_Week,"YES","")</f>
        <v/>
      </c>
      <c r="Q1477" s="34" t="str">
        <f aca="false">IF(AND(B1477&gt;=Cal_Start_Week,B1477&lt;=Cal_End_Week),"YES","")</f>
        <v/>
      </c>
    </row>
    <row r="1478" customFormat="false" ht="15" hidden="false" customHeight="false" outlineLevel="0" collapsed="false">
      <c r="A1478" s="31" t="str">
        <f aca="false">Demand_History!C1478</f>
        <v>BTH-005</v>
      </c>
      <c r="B1478" s="31" t="n">
        <f aca="false">Demand_History!A1478</f>
        <v>21</v>
      </c>
      <c r="C1478" s="32" t="n">
        <f aca="false">Demand_History!D1478</f>
        <v>11</v>
      </c>
      <c r="D1478" s="33" t="n">
        <f aca="false">IF(B1478&gt;=2,C1477,"")</f>
        <v>19</v>
      </c>
      <c r="E1478" s="33" t="n">
        <f aca="false">IF(B1478&gt;=5,AVERAGE(C1474:C1477),"")</f>
        <v>17.25</v>
      </c>
      <c r="F1478" s="33" t="n">
        <f aca="false">IF(B1478&gt;=9,AVERAGE(C1470:C1477),"")</f>
        <v>17.5</v>
      </c>
      <c r="G1478" s="33" t="n">
        <f aca="false">IF(B1478=1,"",IF(B1478=2,C1477,SES_Alpha*C1477+(1-SES_Alpha)*G1477))</f>
        <v>17.9561032035626</v>
      </c>
      <c r="H1478" s="33" t="n">
        <f aca="false">IF(D1478="","",D1478-C1478)</f>
        <v>8</v>
      </c>
      <c r="I1478" s="33" t="n">
        <f aca="false">IF(E1478="","",E1478-C1478)</f>
        <v>6.25</v>
      </c>
      <c r="J1478" s="33" t="n">
        <f aca="false">IF(F1478="","",F1478-C1478)</f>
        <v>6.5</v>
      </c>
      <c r="K1478" s="33" t="n">
        <f aca="false">IF(G1478="","",G1478-C1478)</f>
        <v>6.95610320356258</v>
      </c>
      <c r="L1478" s="33" t="n">
        <f aca="false">IF(H1478="","",ABS(H1478))</f>
        <v>8</v>
      </c>
      <c r="M1478" s="33" t="n">
        <f aca="false">IF(I1478="","",ABS(I1478))</f>
        <v>6.25</v>
      </c>
      <c r="N1478" s="33" t="n">
        <f aca="false">IF(J1478="","",ABS(J1478))</f>
        <v>6.5</v>
      </c>
      <c r="O1478" s="33" t="n">
        <f aca="false">IF(K1478="","",ABS(K1478))</f>
        <v>6.95610320356258</v>
      </c>
      <c r="P1478" s="34" t="str">
        <f aca="false">IF(B1478&gt;=Eval_Start_Week,"YES","")</f>
        <v/>
      </c>
      <c r="Q1478" s="34" t="str">
        <f aca="false">IF(AND(B1478&gt;=Cal_Start_Week,B1478&lt;=Cal_End_Week),"YES","")</f>
        <v/>
      </c>
    </row>
    <row r="1479" customFormat="false" ht="15" hidden="false" customHeight="false" outlineLevel="0" collapsed="false">
      <c r="A1479" s="31" t="str">
        <f aca="false">Demand_History!C1479</f>
        <v>BTH-005</v>
      </c>
      <c r="B1479" s="31" t="n">
        <f aca="false">Demand_History!A1479</f>
        <v>22</v>
      </c>
      <c r="C1479" s="32" t="n">
        <f aca="false">Demand_History!D1479</f>
        <v>18</v>
      </c>
      <c r="D1479" s="33" t="n">
        <f aca="false">IF(B1479&gt;=2,C1478,"")</f>
        <v>11</v>
      </c>
      <c r="E1479" s="33" t="n">
        <f aca="false">IF(B1479&gt;=5,AVERAGE(C1475:C1478),"")</f>
        <v>16.75</v>
      </c>
      <c r="F1479" s="33" t="n">
        <f aca="false">IF(B1479&gt;=9,AVERAGE(C1471:C1478),"")</f>
        <v>16.125</v>
      </c>
      <c r="G1479" s="33" t="n">
        <f aca="false">IF(B1479=1,"",IF(B1479=2,C1478,SES_Alpha*C1478+(1-SES_Alpha)*G1478))</f>
        <v>15.8692722424938</v>
      </c>
      <c r="H1479" s="33" t="n">
        <f aca="false">IF(D1479="","",D1479-C1479)</f>
        <v>-7</v>
      </c>
      <c r="I1479" s="33" t="n">
        <f aca="false">IF(E1479="","",E1479-C1479)</f>
        <v>-1.25</v>
      </c>
      <c r="J1479" s="33" t="n">
        <f aca="false">IF(F1479="","",F1479-C1479)</f>
        <v>-1.875</v>
      </c>
      <c r="K1479" s="33" t="n">
        <f aca="false">IF(G1479="","",G1479-C1479)</f>
        <v>-2.13072775750619</v>
      </c>
      <c r="L1479" s="33" t="n">
        <f aca="false">IF(H1479="","",ABS(H1479))</f>
        <v>7</v>
      </c>
      <c r="M1479" s="33" t="n">
        <f aca="false">IF(I1479="","",ABS(I1479))</f>
        <v>1.25</v>
      </c>
      <c r="N1479" s="33" t="n">
        <f aca="false">IF(J1479="","",ABS(J1479))</f>
        <v>1.875</v>
      </c>
      <c r="O1479" s="33" t="n">
        <f aca="false">IF(K1479="","",ABS(K1479))</f>
        <v>2.13072775750619</v>
      </c>
      <c r="P1479" s="34" t="str">
        <f aca="false">IF(B1479&gt;=Eval_Start_Week,"YES","")</f>
        <v/>
      </c>
      <c r="Q1479" s="34" t="str">
        <f aca="false">IF(AND(B1479&gt;=Cal_Start_Week,B1479&lt;=Cal_End_Week),"YES","")</f>
        <v/>
      </c>
    </row>
    <row r="1480" customFormat="false" ht="15" hidden="false" customHeight="false" outlineLevel="0" collapsed="false">
      <c r="A1480" s="31" t="str">
        <f aca="false">Demand_History!C1480</f>
        <v>BTH-005</v>
      </c>
      <c r="B1480" s="31" t="n">
        <f aca="false">Demand_History!A1480</f>
        <v>23</v>
      </c>
      <c r="C1480" s="32" t="n">
        <f aca="false">Demand_History!D1480</f>
        <v>14</v>
      </c>
      <c r="D1480" s="33" t="n">
        <f aca="false">IF(B1480&gt;=2,C1479,"")</f>
        <v>18</v>
      </c>
      <c r="E1480" s="33" t="n">
        <f aca="false">IF(B1480&gt;=5,AVERAGE(C1476:C1479),"")</f>
        <v>17</v>
      </c>
      <c r="F1480" s="33" t="n">
        <f aca="false">IF(B1480&gt;=9,AVERAGE(C1472:C1479),"")</f>
        <v>16.125</v>
      </c>
      <c r="G1480" s="33" t="n">
        <f aca="false">IF(B1480=1,"",IF(B1480=2,C1479,SES_Alpha*C1479+(1-SES_Alpha)*G1479))</f>
        <v>16.5084905697457</v>
      </c>
      <c r="H1480" s="33" t="n">
        <f aca="false">IF(D1480="","",D1480-C1480)</f>
        <v>4</v>
      </c>
      <c r="I1480" s="33" t="n">
        <f aca="false">IF(E1480="","",E1480-C1480)</f>
        <v>3</v>
      </c>
      <c r="J1480" s="33" t="n">
        <f aca="false">IF(F1480="","",F1480-C1480)</f>
        <v>2.125</v>
      </c>
      <c r="K1480" s="33" t="n">
        <f aca="false">IF(G1480="","",G1480-C1480)</f>
        <v>2.50849056974566</v>
      </c>
      <c r="L1480" s="33" t="n">
        <f aca="false">IF(H1480="","",ABS(H1480))</f>
        <v>4</v>
      </c>
      <c r="M1480" s="33" t="n">
        <f aca="false">IF(I1480="","",ABS(I1480))</f>
        <v>3</v>
      </c>
      <c r="N1480" s="33" t="n">
        <f aca="false">IF(J1480="","",ABS(J1480))</f>
        <v>2.125</v>
      </c>
      <c r="O1480" s="33" t="n">
        <f aca="false">IF(K1480="","",ABS(K1480))</f>
        <v>2.50849056974566</v>
      </c>
      <c r="P1480" s="34" t="str">
        <f aca="false">IF(B1480&gt;=Eval_Start_Week,"YES","")</f>
        <v/>
      </c>
      <c r="Q1480" s="34" t="str">
        <f aca="false">IF(AND(B1480&gt;=Cal_Start_Week,B1480&lt;=Cal_End_Week),"YES","")</f>
        <v/>
      </c>
    </row>
    <row r="1481" customFormat="false" ht="15" hidden="false" customHeight="false" outlineLevel="0" collapsed="false">
      <c r="A1481" s="31" t="str">
        <f aca="false">Demand_History!C1481</f>
        <v>BTH-005</v>
      </c>
      <c r="B1481" s="31" t="n">
        <f aca="false">Demand_History!A1481</f>
        <v>24</v>
      </c>
      <c r="C1481" s="32" t="n">
        <f aca="false">Demand_History!D1481</f>
        <v>21</v>
      </c>
      <c r="D1481" s="33" t="n">
        <f aca="false">IF(B1481&gt;=2,C1480,"")</f>
        <v>14</v>
      </c>
      <c r="E1481" s="33" t="n">
        <f aca="false">IF(B1481&gt;=5,AVERAGE(C1477:C1480),"")</f>
        <v>15.5</v>
      </c>
      <c r="F1481" s="33" t="n">
        <f aca="false">IF(B1481&gt;=9,AVERAGE(C1473:C1480),"")</f>
        <v>15.875</v>
      </c>
      <c r="G1481" s="33" t="n">
        <f aca="false">IF(B1481=1,"",IF(B1481=2,C1480,SES_Alpha*C1480+(1-SES_Alpha)*G1480))</f>
        <v>15.755943398822</v>
      </c>
      <c r="H1481" s="33" t="n">
        <f aca="false">IF(D1481="","",D1481-C1481)</f>
        <v>-7</v>
      </c>
      <c r="I1481" s="33" t="n">
        <f aca="false">IF(E1481="","",E1481-C1481)</f>
        <v>-5.5</v>
      </c>
      <c r="J1481" s="33" t="n">
        <f aca="false">IF(F1481="","",F1481-C1481)</f>
        <v>-5.125</v>
      </c>
      <c r="K1481" s="33" t="n">
        <f aca="false">IF(G1481="","",G1481-C1481)</f>
        <v>-5.24405660117803</v>
      </c>
      <c r="L1481" s="33" t="n">
        <f aca="false">IF(H1481="","",ABS(H1481))</f>
        <v>7</v>
      </c>
      <c r="M1481" s="33" t="n">
        <f aca="false">IF(I1481="","",ABS(I1481))</f>
        <v>5.5</v>
      </c>
      <c r="N1481" s="33" t="n">
        <f aca="false">IF(J1481="","",ABS(J1481))</f>
        <v>5.125</v>
      </c>
      <c r="O1481" s="33" t="n">
        <f aca="false">IF(K1481="","",ABS(K1481))</f>
        <v>5.24405660117803</v>
      </c>
      <c r="P1481" s="34" t="str">
        <f aca="false">IF(B1481&gt;=Eval_Start_Week,"YES","")</f>
        <v/>
      </c>
      <c r="Q1481" s="34" t="str">
        <f aca="false">IF(AND(B1481&gt;=Cal_Start_Week,B1481&lt;=Cal_End_Week),"YES","")</f>
        <v/>
      </c>
    </row>
    <row r="1482" customFormat="false" ht="15" hidden="false" customHeight="false" outlineLevel="0" collapsed="false">
      <c r="A1482" s="31" t="str">
        <f aca="false">Demand_History!C1482</f>
        <v>BTH-005</v>
      </c>
      <c r="B1482" s="31" t="n">
        <f aca="false">Demand_History!A1482</f>
        <v>25</v>
      </c>
      <c r="C1482" s="32" t="n">
        <f aca="false">Demand_History!D1482</f>
        <v>31</v>
      </c>
      <c r="D1482" s="33" t="n">
        <f aca="false">IF(B1482&gt;=2,C1481,"")</f>
        <v>21</v>
      </c>
      <c r="E1482" s="33" t="n">
        <f aca="false">IF(B1482&gt;=5,AVERAGE(C1478:C1481),"")</f>
        <v>16</v>
      </c>
      <c r="F1482" s="33" t="n">
        <f aca="false">IF(B1482&gt;=9,AVERAGE(C1474:C1481),"")</f>
        <v>16.625</v>
      </c>
      <c r="G1482" s="33" t="n">
        <f aca="false">IF(B1482=1,"",IF(B1482=2,C1481,SES_Alpha*C1481+(1-SES_Alpha)*G1481))</f>
        <v>17.3291603791754</v>
      </c>
      <c r="H1482" s="33" t="n">
        <f aca="false">IF(D1482="","",D1482-C1482)</f>
        <v>-10</v>
      </c>
      <c r="I1482" s="33" t="n">
        <f aca="false">IF(E1482="","",E1482-C1482)</f>
        <v>-15</v>
      </c>
      <c r="J1482" s="33" t="n">
        <f aca="false">IF(F1482="","",F1482-C1482)</f>
        <v>-14.375</v>
      </c>
      <c r="K1482" s="33" t="n">
        <f aca="false">IF(G1482="","",G1482-C1482)</f>
        <v>-13.6708396208246</v>
      </c>
      <c r="L1482" s="33" t="n">
        <f aca="false">IF(H1482="","",ABS(H1482))</f>
        <v>10</v>
      </c>
      <c r="M1482" s="33" t="n">
        <f aca="false">IF(I1482="","",ABS(I1482))</f>
        <v>15</v>
      </c>
      <c r="N1482" s="33" t="n">
        <f aca="false">IF(J1482="","",ABS(J1482))</f>
        <v>14.375</v>
      </c>
      <c r="O1482" s="33" t="n">
        <f aca="false">IF(K1482="","",ABS(K1482))</f>
        <v>13.6708396208246</v>
      </c>
      <c r="P1482" s="34" t="str">
        <f aca="false">IF(B1482&gt;=Eval_Start_Week,"YES","")</f>
        <v/>
      </c>
      <c r="Q1482" s="34" t="str">
        <f aca="false">IF(AND(B1482&gt;=Cal_Start_Week,B1482&lt;=Cal_End_Week),"YES","")</f>
        <v/>
      </c>
    </row>
    <row r="1483" customFormat="false" ht="15" hidden="false" customHeight="false" outlineLevel="0" collapsed="false">
      <c r="A1483" s="31" t="str">
        <f aca="false">Demand_History!C1483</f>
        <v>BTH-005</v>
      </c>
      <c r="B1483" s="31" t="n">
        <f aca="false">Demand_History!A1483</f>
        <v>26</v>
      </c>
      <c r="C1483" s="32" t="n">
        <f aca="false">Demand_History!D1483</f>
        <v>24</v>
      </c>
      <c r="D1483" s="33" t="n">
        <f aca="false">IF(B1483&gt;=2,C1482,"")</f>
        <v>31</v>
      </c>
      <c r="E1483" s="33" t="n">
        <f aca="false">IF(B1483&gt;=5,AVERAGE(C1479:C1482),"")</f>
        <v>21</v>
      </c>
      <c r="F1483" s="33" t="n">
        <f aca="false">IF(B1483&gt;=9,AVERAGE(C1475:C1482),"")</f>
        <v>18.875</v>
      </c>
      <c r="G1483" s="33" t="n">
        <f aca="false">IF(B1483=1,"",IF(B1483=2,C1482,SES_Alpha*C1482+(1-SES_Alpha)*G1482))</f>
        <v>21.4304122654228</v>
      </c>
      <c r="H1483" s="33" t="n">
        <f aca="false">IF(D1483="","",D1483-C1483)</f>
        <v>7</v>
      </c>
      <c r="I1483" s="33" t="n">
        <f aca="false">IF(E1483="","",E1483-C1483)</f>
        <v>-3</v>
      </c>
      <c r="J1483" s="33" t="n">
        <f aca="false">IF(F1483="","",F1483-C1483)</f>
        <v>-5.125</v>
      </c>
      <c r="K1483" s="33" t="n">
        <f aca="false">IF(G1483="","",G1483-C1483)</f>
        <v>-2.56958773457724</v>
      </c>
      <c r="L1483" s="33" t="n">
        <f aca="false">IF(H1483="","",ABS(H1483))</f>
        <v>7</v>
      </c>
      <c r="M1483" s="33" t="n">
        <f aca="false">IF(I1483="","",ABS(I1483))</f>
        <v>3</v>
      </c>
      <c r="N1483" s="33" t="n">
        <f aca="false">IF(J1483="","",ABS(J1483))</f>
        <v>5.125</v>
      </c>
      <c r="O1483" s="33" t="n">
        <f aca="false">IF(K1483="","",ABS(K1483))</f>
        <v>2.56958773457724</v>
      </c>
      <c r="P1483" s="34" t="str">
        <f aca="false">IF(B1483&gt;=Eval_Start_Week,"YES","")</f>
        <v/>
      </c>
      <c r="Q1483" s="34" t="str">
        <f aca="false">IF(AND(B1483&gt;=Cal_Start_Week,B1483&lt;=Cal_End_Week),"YES","")</f>
        <v/>
      </c>
    </row>
    <row r="1484" customFormat="false" ht="15" hidden="false" customHeight="false" outlineLevel="0" collapsed="false">
      <c r="A1484" s="31" t="str">
        <f aca="false">Demand_History!C1484</f>
        <v>BTH-005</v>
      </c>
      <c r="B1484" s="31" t="n">
        <f aca="false">Demand_History!A1484</f>
        <v>27</v>
      </c>
      <c r="C1484" s="32" t="n">
        <f aca="false">Demand_History!D1484</f>
        <v>18</v>
      </c>
      <c r="D1484" s="33" t="n">
        <f aca="false">IF(B1484&gt;=2,C1483,"")</f>
        <v>24</v>
      </c>
      <c r="E1484" s="33" t="n">
        <f aca="false">IF(B1484&gt;=5,AVERAGE(C1480:C1483),"")</f>
        <v>22.5</v>
      </c>
      <c r="F1484" s="33" t="n">
        <f aca="false">IF(B1484&gt;=9,AVERAGE(C1476:C1483),"")</f>
        <v>19.75</v>
      </c>
      <c r="G1484" s="33" t="n">
        <f aca="false">IF(B1484=1,"",IF(B1484=2,C1483,SES_Alpha*C1483+(1-SES_Alpha)*G1483))</f>
        <v>22.2012885857959</v>
      </c>
      <c r="H1484" s="33" t="n">
        <f aca="false">IF(D1484="","",D1484-C1484)</f>
        <v>6</v>
      </c>
      <c r="I1484" s="33" t="n">
        <f aca="false">IF(E1484="","",E1484-C1484)</f>
        <v>4.5</v>
      </c>
      <c r="J1484" s="33" t="n">
        <f aca="false">IF(F1484="","",F1484-C1484)</f>
        <v>1.75</v>
      </c>
      <c r="K1484" s="33" t="n">
        <f aca="false">IF(G1484="","",G1484-C1484)</f>
        <v>4.20128858579593</v>
      </c>
      <c r="L1484" s="33" t="n">
        <f aca="false">IF(H1484="","",ABS(H1484))</f>
        <v>6</v>
      </c>
      <c r="M1484" s="33" t="n">
        <f aca="false">IF(I1484="","",ABS(I1484))</f>
        <v>4.5</v>
      </c>
      <c r="N1484" s="33" t="n">
        <f aca="false">IF(J1484="","",ABS(J1484))</f>
        <v>1.75</v>
      </c>
      <c r="O1484" s="33" t="n">
        <f aca="false">IF(K1484="","",ABS(K1484))</f>
        <v>4.20128858579593</v>
      </c>
      <c r="P1484" s="34" t="str">
        <f aca="false">IF(B1484&gt;=Eval_Start_Week,"YES","")</f>
        <v/>
      </c>
      <c r="Q1484" s="34" t="str">
        <f aca="false">IF(AND(B1484&gt;=Cal_Start_Week,B1484&lt;=Cal_End_Week),"YES","")</f>
        <v/>
      </c>
    </row>
    <row r="1485" customFormat="false" ht="15" hidden="false" customHeight="false" outlineLevel="0" collapsed="false">
      <c r="A1485" s="31" t="str">
        <f aca="false">Demand_History!C1485</f>
        <v>BTH-005</v>
      </c>
      <c r="B1485" s="31" t="n">
        <f aca="false">Demand_History!A1485</f>
        <v>28</v>
      </c>
      <c r="C1485" s="32" t="n">
        <f aca="false">Demand_History!D1485</f>
        <v>10</v>
      </c>
      <c r="D1485" s="33" t="n">
        <f aca="false">IF(B1485&gt;=2,C1484,"")</f>
        <v>18</v>
      </c>
      <c r="E1485" s="33" t="n">
        <f aca="false">IF(B1485&gt;=5,AVERAGE(C1481:C1484),"")</f>
        <v>23.5</v>
      </c>
      <c r="F1485" s="33" t="n">
        <f aca="false">IF(B1485&gt;=9,AVERAGE(C1477:C1484),"")</f>
        <v>19.5</v>
      </c>
      <c r="G1485" s="33" t="n">
        <f aca="false">IF(B1485=1,"",IF(B1485=2,C1484,SES_Alpha*C1484+(1-SES_Alpha)*G1484))</f>
        <v>20.9409020100571</v>
      </c>
      <c r="H1485" s="33" t="n">
        <f aca="false">IF(D1485="","",D1485-C1485)</f>
        <v>8</v>
      </c>
      <c r="I1485" s="33" t="n">
        <f aca="false">IF(E1485="","",E1485-C1485)</f>
        <v>13.5</v>
      </c>
      <c r="J1485" s="33" t="n">
        <f aca="false">IF(F1485="","",F1485-C1485)</f>
        <v>9.5</v>
      </c>
      <c r="K1485" s="33" t="n">
        <f aca="false">IF(G1485="","",G1485-C1485)</f>
        <v>10.9409020100571</v>
      </c>
      <c r="L1485" s="33" t="n">
        <f aca="false">IF(H1485="","",ABS(H1485))</f>
        <v>8</v>
      </c>
      <c r="M1485" s="33" t="n">
        <f aca="false">IF(I1485="","",ABS(I1485))</f>
        <v>13.5</v>
      </c>
      <c r="N1485" s="33" t="n">
        <f aca="false">IF(J1485="","",ABS(J1485))</f>
        <v>9.5</v>
      </c>
      <c r="O1485" s="33" t="n">
        <f aca="false">IF(K1485="","",ABS(K1485))</f>
        <v>10.9409020100571</v>
      </c>
      <c r="P1485" s="34" t="str">
        <f aca="false">IF(B1485&gt;=Eval_Start_Week,"YES","")</f>
        <v/>
      </c>
      <c r="Q1485" s="34" t="str">
        <f aca="false">IF(AND(B1485&gt;=Cal_Start_Week,B1485&lt;=Cal_End_Week),"YES","")</f>
        <v/>
      </c>
    </row>
    <row r="1486" customFormat="false" ht="15" hidden="false" customHeight="false" outlineLevel="0" collapsed="false">
      <c r="A1486" s="31" t="str">
        <f aca="false">Demand_History!C1486</f>
        <v>BTH-005</v>
      </c>
      <c r="B1486" s="31" t="n">
        <f aca="false">Demand_History!A1486</f>
        <v>29</v>
      </c>
      <c r="C1486" s="32" t="n">
        <f aca="false">Demand_History!D1486</f>
        <v>11</v>
      </c>
      <c r="D1486" s="33" t="n">
        <f aca="false">IF(B1486&gt;=2,C1485,"")</f>
        <v>10</v>
      </c>
      <c r="E1486" s="33" t="n">
        <f aca="false">IF(B1486&gt;=5,AVERAGE(C1482:C1485),"")</f>
        <v>20.75</v>
      </c>
      <c r="F1486" s="33" t="n">
        <f aca="false">IF(B1486&gt;=9,AVERAGE(C1478:C1485),"")</f>
        <v>18.375</v>
      </c>
      <c r="G1486" s="33" t="n">
        <f aca="false">IF(B1486=1,"",IF(B1486=2,C1485,SES_Alpha*C1485+(1-SES_Alpha)*G1485))</f>
        <v>17.65863140704</v>
      </c>
      <c r="H1486" s="33" t="n">
        <f aca="false">IF(D1486="","",D1486-C1486)</f>
        <v>-1</v>
      </c>
      <c r="I1486" s="33" t="n">
        <f aca="false">IF(E1486="","",E1486-C1486)</f>
        <v>9.75</v>
      </c>
      <c r="J1486" s="33" t="n">
        <f aca="false">IF(F1486="","",F1486-C1486)</f>
        <v>7.375</v>
      </c>
      <c r="K1486" s="33" t="n">
        <f aca="false">IF(G1486="","",G1486-C1486)</f>
        <v>6.65863140704</v>
      </c>
      <c r="L1486" s="33" t="n">
        <f aca="false">IF(H1486="","",ABS(H1486))</f>
        <v>1</v>
      </c>
      <c r="M1486" s="33" t="n">
        <f aca="false">IF(I1486="","",ABS(I1486))</f>
        <v>9.75</v>
      </c>
      <c r="N1486" s="33" t="n">
        <f aca="false">IF(J1486="","",ABS(J1486))</f>
        <v>7.375</v>
      </c>
      <c r="O1486" s="33" t="n">
        <f aca="false">IF(K1486="","",ABS(K1486))</f>
        <v>6.65863140704</v>
      </c>
      <c r="P1486" s="34" t="str">
        <f aca="false">IF(B1486&gt;=Eval_Start_Week,"YES","")</f>
        <v/>
      </c>
      <c r="Q1486" s="34" t="str">
        <f aca="false">IF(AND(B1486&gt;=Cal_Start_Week,B1486&lt;=Cal_End_Week),"YES","")</f>
        <v/>
      </c>
    </row>
    <row r="1487" customFormat="false" ht="15" hidden="false" customHeight="false" outlineLevel="0" collapsed="false">
      <c r="A1487" s="31" t="str">
        <f aca="false">Demand_History!C1487</f>
        <v>BTH-005</v>
      </c>
      <c r="B1487" s="31" t="n">
        <f aca="false">Demand_History!A1487</f>
        <v>30</v>
      </c>
      <c r="C1487" s="32" t="n">
        <f aca="false">Demand_History!D1487</f>
        <v>10</v>
      </c>
      <c r="D1487" s="33" t="n">
        <f aca="false">IF(B1487&gt;=2,C1486,"")</f>
        <v>11</v>
      </c>
      <c r="E1487" s="33" t="n">
        <f aca="false">IF(B1487&gt;=5,AVERAGE(C1483:C1486),"")</f>
        <v>15.75</v>
      </c>
      <c r="F1487" s="33" t="n">
        <f aca="false">IF(B1487&gt;=9,AVERAGE(C1479:C1486),"")</f>
        <v>18.375</v>
      </c>
      <c r="G1487" s="33" t="n">
        <f aca="false">IF(B1487=1,"",IF(B1487=2,C1486,SES_Alpha*C1486+(1-SES_Alpha)*G1486))</f>
        <v>15.661041984928</v>
      </c>
      <c r="H1487" s="33" t="n">
        <f aca="false">IF(D1487="","",D1487-C1487)</f>
        <v>1</v>
      </c>
      <c r="I1487" s="33" t="n">
        <f aca="false">IF(E1487="","",E1487-C1487)</f>
        <v>5.75</v>
      </c>
      <c r="J1487" s="33" t="n">
        <f aca="false">IF(F1487="","",F1487-C1487)</f>
        <v>8.375</v>
      </c>
      <c r="K1487" s="33" t="n">
        <f aca="false">IF(G1487="","",G1487-C1487)</f>
        <v>5.661041984928</v>
      </c>
      <c r="L1487" s="33" t="n">
        <f aca="false">IF(H1487="","",ABS(H1487))</f>
        <v>1</v>
      </c>
      <c r="M1487" s="33" t="n">
        <f aca="false">IF(I1487="","",ABS(I1487))</f>
        <v>5.75</v>
      </c>
      <c r="N1487" s="33" t="n">
        <f aca="false">IF(J1487="","",ABS(J1487))</f>
        <v>8.375</v>
      </c>
      <c r="O1487" s="33" t="n">
        <f aca="false">IF(K1487="","",ABS(K1487))</f>
        <v>5.661041984928</v>
      </c>
      <c r="P1487" s="34" t="str">
        <f aca="false">IF(B1487&gt;=Eval_Start_Week,"YES","")</f>
        <v/>
      </c>
      <c r="Q1487" s="34" t="str">
        <f aca="false">IF(AND(B1487&gt;=Cal_Start_Week,B1487&lt;=Cal_End_Week),"YES","")</f>
        <v/>
      </c>
    </row>
    <row r="1488" customFormat="false" ht="15" hidden="false" customHeight="false" outlineLevel="0" collapsed="false">
      <c r="A1488" s="31" t="str">
        <f aca="false">Demand_History!C1488</f>
        <v>BTH-005</v>
      </c>
      <c r="B1488" s="31" t="n">
        <f aca="false">Demand_History!A1488</f>
        <v>31</v>
      </c>
      <c r="C1488" s="32" t="n">
        <f aca="false">Demand_History!D1488</f>
        <v>24</v>
      </c>
      <c r="D1488" s="33" t="n">
        <f aca="false">IF(B1488&gt;=2,C1487,"")</f>
        <v>10</v>
      </c>
      <c r="E1488" s="33" t="n">
        <f aca="false">IF(B1488&gt;=5,AVERAGE(C1484:C1487),"")</f>
        <v>12.25</v>
      </c>
      <c r="F1488" s="33" t="n">
        <f aca="false">IF(B1488&gt;=9,AVERAGE(C1480:C1487),"")</f>
        <v>17.375</v>
      </c>
      <c r="G1488" s="33" t="n">
        <f aca="false">IF(B1488=1,"",IF(B1488=2,C1487,SES_Alpha*C1487+(1-SES_Alpha)*G1487))</f>
        <v>13.9627293894496</v>
      </c>
      <c r="H1488" s="33" t="n">
        <f aca="false">IF(D1488="","",D1488-C1488)</f>
        <v>-14</v>
      </c>
      <c r="I1488" s="33" t="n">
        <f aca="false">IF(E1488="","",E1488-C1488)</f>
        <v>-11.75</v>
      </c>
      <c r="J1488" s="33" t="n">
        <f aca="false">IF(F1488="","",F1488-C1488)</f>
        <v>-6.625</v>
      </c>
      <c r="K1488" s="33" t="n">
        <f aca="false">IF(G1488="","",G1488-C1488)</f>
        <v>-10.0372706105504</v>
      </c>
      <c r="L1488" s="33" t="n">
        <f aca="false">IF(H1488="","",ABS(H1488))</f>
        <v>14</v>
      </c>
      <c r="M1488" s="33" t="n">
        <f aca="false">IF(I1488="","",ABS(I1488))</f>
        <v>11.75</v>
      </c>
      <c r="N1488" s="33" t="n">
        <f aca="false">IF(J1488="","",ABS(J1488))</f>
        <v>6.625</v>
      </c>
      <c r="O1488" s="33" t="n">
        <f aca="false">IF(K1488="","",ABS(K1488))</f>
        <v>10.0372706105504</v>
      </c>
      <c r="P1488" s="34" t="str">
        <f aca="false">IF(B1488&gt;=Eval_Start_Week,"YES","")</f>
        <v/>
      </c>
      <c r="Q1488" s="34" t="str">
        <f aca="false">IF(AND(B1488&gt;=Cal_Start_Week,B1488&lt;=Cal_End_Week),"YES","")</f>
        <v/>
      </c>
    </row>
    <row r="1489" customFormat="false" ht="15" hidden="false" customHeight="false" outlineLevel="0" collapsed="false">
      <c r="A1489" s="31" t="str">
        <f aca="false">Demand_History!C1489</f>
        <v>BTH-005</v>
      </c>
      <c r="B1489" s="31" t="n">
        <f aca="false">Demand_History!A1489</f>
        <v>32</v>
      </c>
      <c r="C1489" s="32" t="n">
        <f aca="false">Demand_History!D1489</f>
        <v>15</v>
      </c>
      <c r="D1489" s="33" t="n">
        <f aca="false">IF(B1489&gt;=2,C1488,"")</f>
        <v>24</v>
      </c>
      <c r="E1489" s="33" t="n">
        <f aca="false">IF(B1489&gt;=5,AVERAGE(C1485:C1488),"")</f>
        <v>13.75</v>
      </c>
      <c r="F1489" s="33" t="n">
        <f aca="false">IF(B1489&gt;=9,AVERAGE(C1481:C1488),"")</f>
        <v>18.625</v>
      </c>
      <c r="G1489" s="33" t="n">
        <f aca="false">IF(B1489=1,"",IF(B1489=2,C1488,SES_Alpha*C1488+(1-SES_Alpha)*G1488))</f>
        <v>16.9739105726147</v>
      </c>
      <c r="H1489" s="33" t="n">
        <f aca="false">IF(D1489="","",D1489-C1489)</f>
        <v>9</v>
      </c>
      <c r="I1489" s="33" t="n">
        <f aca="false">IF(E1489="","",E1489-C1489)</f>
        <v>-1.25</v>
      </c>
      <c r="J1489" s="33" t="n">
        <f aca="false">IF(F1489="","",F1489-C1489)</f>
        <v>3.625</v>
      </c>
      <c r="K1489" s="33" t="n">
        <f aca="false">IF(G1489="","",G1489-C1489)</f>
        <v>1.97391057261472</v>
      </c>
      <c r="L1489" s="33" t="n">
        <f aca="false">IF(H1489="","",ABS(H1489))</f>
        <v>9</v>
      </c>
      <c r="M1489" s="33" t="n">
        <f aca="false">IF(I1489="","",ABS(I1489))</f>
        <v>1.25</v>
      </c>
      <c r="N1489" s="33" t="n">
        <f aca="false">IF(J1489="","",ABS(J1489))</f>
        <v>3.625</v>
      </c>
      <c r="O1489" s="33" t="n">
        <f aca="false">IF(K1489="","",ABS(K1489))</f>
        <v>1.97391057261472</v>
      </c>
      <c r="P1489" s="34" t="str">
        <f aca="false">IF(B1489&gt;=Eval_Start_Week,"YES","")</f>
        <v/>
      </c>
      <c r="Q1489" s="34" t="str">
        <f aca="false">IF(AND(B1489&gt;=Cal_Start_Week,B1489&lt;=Cal_End_Week),"YES","")</f>
        <v/>
      </c>
    </row>
    <row r="1490" customFormat="false" ht="15" hidden="false" customHeight="false" outlineLevel="0" collapsed="false">
      <c r="A1490" s="31" t="str">
        <f aca="false">Demand_History!C1490</f>
        <v>BTH-005</v>
      </c>
      <c r="B1490" s="31" t="n">
        <f aca="false">Demand_History!A1490</f>
        <v>33</v>
      </c>
      <c r="C1490" s="32" t="n">
        <f aca="false">Demand_History!D1490</f>
        <v>20</v>
      </c>
      <c r="D1490" s="33" t="n">
        <f aca="false">IF(B1490&gt;=2,C1489,"")</f>
        <v>15</v>
      </c>
      <c r="E1490" s="33" t="n">
        <f aca="false">IF(B1490&gt;=5,AVERAGE(C1486:C1489),"")</f>
        <v>15</v>
      </c>
      <c r="F1490" s="33" t="n">
        <f aca="false">IF(B1490&gt;=9,AVERAGE(C1482:C1489),"")</f>
        <v>17.875</v>
      </c>
      <c r="G1490" s="33" t="n">
        <f aca="false">IF(B1490=1,"",IF(B1490=2,C1489,SES_Alpha*C1489+(1-SES_Alpha)*G1489))</f>
        <v>16.3817374008303</v>
      </c>
      <c r="H1490" s="33" t="n">
        <f aca="false">IF(D1490="","",D1490-C1490)</f>
        <v>-5</v>
      </c>
      <c r="I1490" s="33" t="n">
        <f aca="false">IF(E1490="","",E1490-C1490)</f>
        <v>-5</v>
      </c>
      <c r="J1490" s="33" t="n">
        <f aca="false">IF(F1490="","",F1490-C1490)</f>
        <v>-2.125</v>
      </c>
      <c r="K1490" s="33" t="n">
        <f aca="false">IF(G1490="","",G1490-C1490)</f>
        <v>-3.6182625991697</v>
      </c>
      <c r="L1490" s="33" t="n">
        <f aca="false">IF(H1490="","",ABS(H1490))</f>
        <v>5</v>
      </c>
      <c r="M1490" s="33" t="n">
        <f aca="false">IF(I1490="","",ABS(I1490))</f>
        <v>5</v>
      </c>
      <c r="N1490" s="33" t="n">
        <f aca="false">IF(J1490="","",ABS(J1490))</f>
        <v>2.125</v>
      </c>
      <c r="O1490" s="33" t="n">
        <f aca="false">IF(K1490="","",ABS(K1490))</f>
        <v>3.6182625991697</v>
      </c>
      <c r="P1490" s="34" t="str">
        <f aca="false">IF(B1490&gt;=Eval_Start_Week,"YES","")</f>
        <v/>
      </c>
      <c r="Q1490" s="34" t="str">
        <f aca="false">IF(AND(B1490&gt;=Cal_Start_Week,B1490&lt;=Cal_End_Week),"YES","")</f>
        <v/>
      </c>
    </row>
    <row r="1491" customFormat="false" ht="15" hidden="false" customHeight="false" outlineLevel="0" collapsed="false">
      <c r="A1491" s="31" t="str">
        <f aca="false">Demand_History!C1491</f>
        <v>BTH-005</v>
      </c>
      <c r="B1491" s="31" t="n">
        <f aca="false">Demand_History!A1491</f>
        <v>34</v>
      </c>
      <c r="C1491" s="32" t="n">
        <f aca="false">Demand_History!D1491</f>
        <v>16</v>
      </c>
      <c r="D1491" s="33" t="n">
        <f aca="false">IF(B1491&gt;=2,C1490,"")</f>
        <v>20</v>
      </c>
      <c r="E1491" s="33" t="n">
        <f aca="false">IF(B1491&gt;=5,AVERAGE(C1487:C1490),"")</f>
        <v>17.25</v>
      </c>
      <c r="F1491" s="33" t="n">
        <f aca="false">IF(B1491&gt;=9,AVERAGE(C1483:C1490),"")</f>
        <v>16.5</v>
      </c>
      <c r="G1491" s="33" t="n">
        <f aca="false">IF(B1491=1,"",IF(B1491=2,C1490,SES_Alpha*C1490+(1-SES_Alpha)*G1490))</f>
        <v>17.4672161805812</v>
      </c>
      <c r="H1491" s="33" t="n">
        <f aca="false">IF(D1491="","",D1491-C1491)</f>
        <v>4</v>
      </c>
      <c r="I1491" s="33" t="n">
        <f aca="false">IF(E1491="","",E1491-C1491)</f>
        <v>1.25</v>
      </c>
      <c r="J1491" s="33" t="n">
        <f aca="false">IF(F1491="","",F1491-C1491)</f>
        <v>0.5</v>
      </c>
      <c r="K1491" s="33" t="n">
        <f aca="false">IF(G1491="","",G1491-C1491)</f>
        <v>1.46721618058121</v>
      </c>
      <c r="L1491" s="33" t="n">
        <f aca="false">IF(H1491="","",ABS(H1491))</f>
        <v>4</v>
      </c>
      <c r="M1491" s="33" t="n">
        <f aca="false">IF(I1491="","",ABS(I1491))</f>
        <v>1.25</v>
      </c>
      <c r="N1491" s="33" t="n">
        <f aca="false">IF(J1491="","",ABS(J1491))</f>
        <v>0.5</v>
      </c>
      <c r="O1491" s="33" t="n">
        <f aca="false">IF(K1491="","",ABS(K1491))</f>
        <v>1.46721618058121</v>
      </c>
      <c r="P1491" s="34" t="str">
        <f aca="false">IF(B1491&gt;=Eval_Start_Week,"YES","")</f>
        <v/>
      </c>
      <c r="Q1491" s="34" t="str">
        <f aca="false">IF(AND(B1491&gt;=Cal_Start_Week,B1491&lt;=Cal_End_Week),"YES","")</f>
        <v/>
      </c>
    </row>
    <row r="1492" customFormat="false" ht="15" hidden="false" customHeight="false" outlineLevel="0" collapsed="false">
      <c r="A1492" s="31" t="str">
        <f aca="false">Demand_History!C1492</f>
        <v>BTH-005</v>
      </c>
      <c r="B1492" s="31" t="n">
        <f aca="false">Demand_History!A1492</f>
        <v>35</v>
      </c>
      <c r="C1492" s="32" t="n">
        <f aca="false">Demand_History!D1492</f>
        <v>21</v>
      </c>
      <c r="D1492" s="33" t="n">
        <f aca="false">IF(B1492&gt;=2,C1491,"")</f>
        <v>16</v>
      </c>
      <c r="E1492" s="33" t="n">
        <f aca="false">IF(B1492&gt;=5,AVERAGE(C1488:C1491),"")</f>
        <v>18.75</v>
      </c>
      <c r="F1492" s="33" t="n">
        <f aca="false">IF(B1492&gt;=9,AVERAGE(C1484:C1491),"")</f>
        <v>15.5</v>
      </c>
      <c r="G1492" s="33" t="n">
        <f aca="false">IF(B1492=1,"",IF(B1492=2,C1491,SES_Alpha*C1491+(1-SES_Alpha)*G1491))</f>
        <v>17.0270513264069</v>
      </c>
      <c r="H1492" s="33" t="n">
        <f aca="false">IF(D1492="","",D1492-C1492)</f>
        <v>-5</v>
      </c>
      <c r="I1492" s="33" t="n">
        <f aca="false">IF(E1492="","",E1492-C1492)</f>
        <v>-2.25</v>
      </c>
      <c r="J1492" s="33" t="n">
        <f aca="false">IF(F1492="","",F1492-C1492)</f>
        <v>-5.5</v>
      </c>
      <c r="K1492" s="33" t="n">
        <f aca="false">IF(G1492="","",G1492-C1492)</f>
        <v>-3.97294867359315</v>
      </c>
      <c r="L1492" s="33" t="n">
        <f aca="false">IF(H1492="","",ABS(H1492))</f>
        <v>5</v>
      </c>
      <c r="M1492" s="33" t="n">
        <f aca="false">IF(I1492="","",ABS(I1492))</f>
        <v>2.25</v>
      </c>
      <c r="N1492" s="33" t="n">
        <f aca="false">IF(J1492="","",ABS(J1492))</f>
        <v>5.5</v>
      </c>
      <c r="O1492" s="33" t="n">
        <f aca="false">IF(K1492="","",ABS(K1492))</f>
        <v>3.97294867359315</v>
      </c>
      <c r="P1492" s="34" t="str">
        <f aca="false">IF(B1492&gt;=Eval_Start_Week,"YES","")</f>
        <v/>
      </c>
      <c r="Q1492" s="34" t="str">
        <f aca="false">IF(AND(B1492&gt;=Cal_Start_Week,B1492&lt;=Cal_End_Week),"YES","")</f>
        <v/>
      </c>
    </row>
    <row r="1493" customFormat="false" ht="15" hidden="false" customHeight="false" outlineLevel="0" collapsed="false">
      <c r="A1493" s="31" t="str">
        <f aca="false">Demand_History!C1493</f>
        <v>BTH-005</v>
      </c>
      <c r="B1493" s="31" t="n">
        <f aca="false">Demand_History!A1493</f>
        <v>36</v>
      </c>
      <c r="C1493" s="32" t="n">
        <f aca="false">Demand_History!D1493</f>
        <v>29</v>
      </c>
      <c r="D1493" s="33" t="n">
        <f aca="false">IF(B1493&gt;=2,C1492,"")</f>
        <v>21</v>
      </c>
      <c r="E1493" s="33" t="n">
        <f aca="false">IF(B1493&gt;=5,AVERAGE(C1489:C1492),"")</f>
        <v>18</v>
      </c>
      <c r="F1493" s="33" t="n">
        <f aca="false">IF(B1493&gt;=9,AVERAGE(C1485:C1492),"")</f>
        <v>15.875</v>
      </c>
      <c r="G1493" s="33" t="n">
        <f aca="false">IF(B1493=1,"",IF(B1493=2,C1492,SES_Alpha*C1492+(1-SES_Alpha)*G1492))</f>
        <v>18.2189359284848</v>
      </c>
      <c r="H1493" s="33" t="n">
        <f aca="false">IF(D1493="","",D1493-C1493)</f>
        <v>-8</v>
      </c>
      <c r="I1493" s="33" t="n">
        <f aca="false">IF(E1493="","",E1493-C1493)</f>
        <v>-11</v>
      </c>
      <c r="J1493" s="33" t="n">
        <f aca="false">IF(F1493="","",F1493-C1493)</f>
        <v>-13.125</v>
      </c>
      <c r="K1493" s="33" t="n">
        <f aca="false">IF(G1493="","",G1493-C1493)</f>
        <v>-10.7810640715152</v>
      </c>
      <c r="L1493" s="33" t="n">
        <f aca="false">IF(H1493="","",ABS(H1493))</f>
        <v>8</v>
      </c>
      <c r="M1493" s="33" t="n">
        <f aca="false">IF(I1493="","",ABS(I1493))</f>
        <v>11</v>
      </c>
      <c r="N1493" s="33" t="n">
        <f aca="false">IF(J1493="","",ABS(J1493))</f>
        <v>13.125</v>
      </c>
      <c r="O1493" s="33" t="n">
        <f aca="false">IF(K1493="","",ABS(K1493))</f>
        <v>10.7810640715152</v>
      </c>
      <c r="P1493" s="34" t="str">
        <f aca="false">IF(B1493&gt;=Eval_Start_Week,"YES","")</f>
        <v/>
      </c>
      <c r="Q1493" s="34" t="str">
        <f aca="false">IF(AND(B1493&gt;=Cal_Start_Week,B1493&lt;=Cal_End_Week),"YES","")</f>
        <v/>
      </c>
    </row>
    <row r="1494" customFormat="false" ht="15" hidden="false" customHeight="false" outlineLevel="0" collapsed="false">
      <c r="A1494" s="31" t="str">
        <f aca="false">Demand_History!C1494</f>
        <v>BTH-005</v>
      </c>
      <c r="B1494" s="31" t="n">
        <f aca="false">Demand_History!A1494</f>
        <v>37</v>
      </c>
      <c r="C1494" s="32" t="n">
        <f aca="false">Demand_History!D1494</f>
        <v>16</v>
      </c>
      <c r="D1494" s="33" t="n">
        <f aca="false">IF(B1494&gt;=2,C1493,"")</f>
        <v>29</v>
      </c>
      <c r="E1494" s="33" t="n">
        <f aca="false">IF(B1494&gt;=5,AVERAGE(C1490:C1493),"")</f>
        <v>21.5</v>
      </c>
      <c r="F1494" s="33" t="n">
        <f aca="false">IF(B1494&gt;=9,AVERAGE(C1486:C1493),"")</f>
        <v>18.25</v>
      </c>
      <c r="G1494" s="33" t="n">
        <f aca="false">IF(B1494=1,"",IF(B1494=2,C1493,SES_Alpha*C1493+(1-SES_Alpha)*G1493))</f>
        <v>21.4532551499394</v>
      </c>
      <c r="H1494" s="33" t="n">
        <f aca="false">IF(D1494="","",D1494-C1494)</f>
        <v>13</v>
      </c>
      <c r="I1494" s="33" t="n">
        <f aca="false">IF(E1494="","",E1494-C1494)</f>
        <v>5.5</v>
      </c>
      <c r="J1494" s="33" t="n">
        <f aca="false">IF(F1494="","",F1494-C1494)</f>
        <v>2.25</v>
      </c>
      <c r="K1494" s="33" t="n">
        <f aca="false">IF(G1494="","",G1494-C1494)</f>
        <v>5.45325514993935</v>
      </c>
      <c r="L1494" s="33" t="n">
        <f aca="false">IF(H1494="","",ABS(H1494))</f>
        <v>13</v>
      </c>
      <c r="M1494" s="33" t="n">
        <f aca="false">IF(I1494="","",ABS(I1494))</f>
        <v>5.5</v>
      </c>
      <c r="N1494" s="33" t="n">
        <f aca="false">IF(J1494="","",ABS(J1494))</f>
        <v>2.25</v>
      </c>
      <c r="O1494" s="33" t="n">
        <f aca="false">IF(K1494="","",ABS(K1494))</f>
        <v>5.45325514993935</v>
      </c>
      <c r="P1494" s="34" t="str">
        <f aca="false">IF(B1494&gt;=Eval_Start_Week,"YES","")</f>
        <v/>
      </c>
      <c r="Q1494" s="34" t="str">
        <f aca="false">IF(AND(B1494&gt;=Cal_Start_Week,B1494&lt;=Cal_End_Week),"YES","")</f>
        <v>YES</v>
      </c>
    </row>
    <row r="1495" customFormat="false" ht="15" hidden="false" customHeight="false" outlineLevel="0" collapsed="false">
      <c r="A1495" s="31" t="str">
        <f aca="false">Demand_History!C1495</f>
        <v>BTH-005</v>
      </c>
      <c r="B1495" s="31" t="n">
        <f aca="false">Demand_History!A1495</f>
        <v>38</v>
      </c>
      <c r="C1495" s="32" t="n">
        <f aca="false">Demand_History!D1495</f>
        <v>18</v>
      </c>
      <c r="D1495" s="33" t="n">
        <f aca="false">IF(B1495&gt;=2,C1494,"")</f>
        <v>16</v>
      </c>
      <c r="E1495" s="33" t="n">
        <f aca="false">IF(B1495&gt;=5,AVERAGE(C1491:C1494),"")</f>
        <v>20.5</v>
      </c>
      <c r="F1495" s="33" t="n">
        <f aca="false">IF(B1495&gt;=9,AVERAGE(C1487:C1494),"")</f>
        <v>18.875</v>
      </c>
      <c r="G1495" s="33" t="n">
        <f aca="false">IF(B1495=1,"",IF(B1495=2,C1494,SES_Alpha*C1494+(1-SES_Alpha)*G1494))</f>
        <v>19.8172786049575</v>
      </c>
      <c r="H1495" s="33" t="n">
        <f aca="false">IF(D1495="","",D1495-C1495)</f>
        <v>-2</v>
      </c>
      <c r="I1495" s="33" t="n">
        <f aca="false">IF(E1495="","",E1495-C1495)</f>
        <v>2.5</v>
      </c>
      <c r="J1495" s="33" t="n">
        <f aca="false">IF(F1495="","",F1495-C1495)</f>
        <v>0.875</v>
      </c>
      <c r="K1495" s="33" t="n">
        <f aca="false">IF(G1495="","",G1495-C1495)</f>
        <v>1.81727860495754</v>
      </c>
      <c r="L1495" s="33" t="n">
        <f aca="false">IF(H1495="","",ABS(H1495))</f>
        <v>2</v>
      </c>
      <c r="M1495" s="33" t="n">
        <f aca="false">IF(I1495="","",ABS(I1495))</f>
        <v>2.5</v>
      </c>
      <c r="N1495" s="33" t="n">
        <f aca="false">IF(J1495="","",ABS(J1495))</f>
        <v>0.875</v>
      </c>
      <c r="O1495" s="33" t="n">
        <f aca="false">IF(K1495="","",ABS(K1495))</f>
        <v>1.81727860495754</v>
      </c>
      <c r="P1495" s="34" t="str">
        <f aca="false">IF(B1495&gt;=Eval_Start_Week,"YES","")</f>
        <v/>
      </c>
      <c r="Q1495" s="34" t="str">
        <f aca="false">IF(AND(B1495&gt;=Cal_Start_Week,B1495&lt;=Cal_End_Week),"YES","")</f>
        <v>YES</v>
      </c>
    </row>
    <row r="1496" customFormat="false" ht="15" hidden="false" customHeight="false" outlineLevel="0" collapsed="false">
      <c r="A1496" s="31" t="str">
        <f aca="false">Demand_History!C1496</f>
        <v>BTH-005</v>
      </c>
      <c r="B1496" s="31" t="n">
        <f aca="false">Demand_History!A1496</f>
        <v>39</v>
      </c>
      <c r="C1496" s="32" t="n">
        <f aca="false">Demand_History!D1496</f>
        <v>15</v>
      </c>
      <c r="D1496" s="33" t="n">
        <f aca="false">IF(B1496&gt;=2,C1495,"")</f>
        <v>18</v>
      </c>
      <c r="E1496" s="33" t="n">
        <f aca="false">IF(B1496&gt;=5,AVERAGE(C1492:C1495),"")</f>
        <v>21</v>
      </c>
      <c r="F1496" s="33" t="n">
        <f aca="false">IF(B1496&gt;=9,AVERAGE(C1488:C1495),"")</f>
        <v>19.875</v>
      </c>
      <c r="G1496" s="33" t="n">
        <f aca="false">IF(B1496=1,"",IF(B1496=2,C1495,SES_Alpha*C1495+(1-SES_Alpha)*G1495))</f>
        <v>19.2720950234703</v>
      </c>
      <c r="H1496" s="33" t="n">
        <f aca="false">IF(D1496="","",D1496-C1496)</f>
        <v>3</v>
      </c>
      <c r="I1496" s="33" t="n">
        <f aca="false">IF(E1496="","",E1496-C1496)</f>
        <v>6</v>
      </c>
      <c r="J1496" s="33" t="n">
        <f aca="false">IF(F1496="","",F1496-C1496)</f>
        <v>4.875</v>
      </c>
      <c r="K1496" s="33" t="n">
        <f aca="false">IF(G1496="","",G1496-C1496)</f>
        <v>4.27209502347028</v>
      </c>
      <c r="L1496" s="33" t="n">
        <f aca="false">IF(H1496="","",ABS(H1496))</f>
        <v>3</v>
      </c>
      <c r="M1496" s="33" t="n">
        <f aca="false">IF(I1496="","",ABS(I1496))</f>
        <v>6</v>
      </c>
      <c r="N1496" s="33" t="n">
        <f aca="false">IF(J1496="","",ABS(J1496))</f>
        <v>4.875</v>
      </c>
      <c r="O1496" s="33" t="n">
        <f aca="false">IF(K1496="","",ABS(K1496))</f>
        <v>4.27209502347028</v>
      </c>
      <c r="P1496" s="34" t="str">
        <f aca="false">IF(B1496&gt;=Eval_Start_Week,"YES","")</f>
        <v/>
      </c>
      <c r="Q1496" s="34" t="str">
        <f aca="false">IF(AND(B1496&gt;=Cal_Start_Week,B1496&lt;=Cal_End_Week),"YES","")</f>
        <v>YES</v>
      </c>
    </row>
    <row r="1497" customFormat="false" ht="15" hidden="false" customHeight="false" outlineLevel="0" collapsed="false">
      <c r="A1497" s="31" t="str">
        <f aca="false">Demand_History!C1497</f>
        <v>BTH-005</v>
      </c>
      <c r="B1497" s="31" t="n">
        <f aca="false">Demand_History!A1497</f>
        <v>40</v>
      </c>
      <c r="C1497" s="32" t="n">
        <f aca="false">Demand_History!D1497</f>
        <v>25</v>
      </c>
      <c r="D1497" s="33" t="n">
        <f aca="false">IF(B1497&gt;=2,C1496,"")</f>
        <v>15</v>
      </c>
      <c r="E1497" s="33" t="n">
        <f aca="false">IF(B1497&gt;=5,AVERAGE(C1493:C1496),"")</f>
        <v>19.5</v>
      </c>
      <c r="F1497" s="33" t="n">
        <f aca="false">IF(B1497&gt;=9,AVERAGE(C1489:C1496),"")</f>
        <v>18.75</v>
      </c>
      <c r="G1497" s="33" t="n">
        <f aca="false">IF(B1497=1,"",IF(B1497=2,C1496,SES_Alpha*C1496+(1-SES_Alpha)*G1496))</f>
        <v>17.9904665164292</v>
      </c>
      <c r="H1497" s="33" t="n">
        <f aca="false">IF(D1497="","",D1497-C1497)</f>
        <v>-10</v>
      </c>
      <c r="I1497" s="33" t="n">
        <f aca="false">IF(E1497="","",E1497-C1497)</f>
        <v>-5.5</v>
      </c>
      <c r="J1497" s="33" t="n">
        <f aca="false">IF(F1497="","",F1497-C1497)</f>
        <v>-6.25</v>
      </c>
      <c r="K1497" s="33" t="n">
        <f aca="false">IF(G1497="","",G1497-C1497)</f>
        <v>-7.00953348357081</v>
      </c>
      <c r="L1497" s="33" t="n">
        <f aca="false">IF(H1497="","",ABS(H1497))</f>
        <v>10</v>
      </c>
      <c r="M1497" s="33" t="n">
        <f aca="false">IF(I1497="","",ABS(I1497))</f>
        <v>5.5</v>
      </c>
      <c r="N1497" s="33" t="n">
        <f aca="false">IF(J1497="","",ABS(J1497))</f>
        <v>6.25</v>
      </c>
      <c r="O1497" s="33" t="n">
        <f aca="false">IF(K1497="","",ABS(K1497))</f>
        <v>7.00953348357081</v>
      </c>
      <c r="P1497" s="34" t="str">
        <f aca="false">IF(B1497&gt;=Eval_Start_Week,"YES","")</f>
        <v/>
      </c>
      <c r="Q1497" s="34" t="str">
        <f aca="false">IF(AND(B1497&gt;=Cal_Start_Week,B1497&lt;=Cal_End_Week),"YES","")</f>
        <v>YES</v>
      </c>
    </row>
    <row r="1498" customFormat="false" ht="15" hidden="false" customHeight="false" outlineLevel="0" collapsed="false">
      <c r="A1498" s="31" t="str">
        <f aca="false">Demand_History!C1498</f>
        <v>BTH-005</v>
      </c>
      <c r="B1498" s="31" t="n">
        <f aca="false">Demand_History!A1498</f>
        <v>41</v>
      </c>
      <c r="C1498" s="32" t="n">
        <f aca="false">Demand_History!D1498</f>
        <v>14</v>
      </c>
      <c r="D1498" s="33" t="n">
        <f aca="false">IF(B1498&gt;=2,C1497,"")</f>
        <v>25</v>
      </c>
      <c r="E1498" s="33" t="n">
        <f aca="false">IF(B1498&gt;=5,AVERAGE(C1494:C1497),"")</f>
        <v>18.5</v>
      </c>
      <c r="F1498" s="33" t="n">
        <f aca="false">IF(B1498&gt;=9,AVERAGE(C1490:C1497),"")</f>
        <v>20</v>
      </c>
      <c r="G1498" s="33" t="n">
        <f aca="false">IF(B1498=1,"",IF(B1498=2,C1497,SES_Alpha*C1497+(1-SES_Alpha)*G1497))</f>
        <v>20.0933265615004</v>
      </c>
      <c r="H1498" s="33" t="n">
        <f aca="false">IF(D1498="","",D1498-C1498)</f>
        <v>11</v>
      </c>
      <c r="I1498" s="33" t="n">
        <f aca="false">IF(E1498="","",E1498-C1498)</f>
        <v>4.5</v>
      </c>
      <c r="J1498" s="33" t="n">
        <f aca="false">IF(F1498="","",F1498-C1498)</f>
        <v>6</v>
      </c>
      <c r="K1498" s="33" t="n">
        <f aca="false">IF(G1498="","",G1498-C1498)</f>
        <v>6.09332656150043</v>
      </c>
      <c r="L1498" s="33" t="n">
        <f aca="false">IF(H1498="","",ABS(H1498))</f>
        <v>11</v>
      </c>
      <c r="M1498" s="33" t="n">
        <f aca="false">IF(I1498="","",ABS(I1498))</f>
        <v>4.5</v>
      </c>
      <c r="N1498" s="33" t="n">
        <f aca="false">IF(J1498="","",ABS(J1498))</f>
        <v>6</v>
      </c>
      <c r="O1498" s="33" t="n">
        <f aca="false">IF(K1498="","",ABS(K1498))</f>
        <v>6.09332656150043</v>
      </c>
      <c r="P1498" s="34" t="str">
        <f aca="false">IF(B1498&gt;=Eval_Start_Week,"YES","")</f>
        <v/>
      </c>
      <c r="Q1498" s="34" t="str">
        <f aca="false">IF(AND(B1498&gt;=Cal_Start_Week,B1498&lt;=Cal_End_Week),"YES","")</f>
        <v>YES</v>
      </c>
    </row>
    <row r="1499" customFormat="false" ht="15" hidden="false" customHeight="false" outlineLevel="0" collapsed="false">
      <c r="A1499" s="31" t="str">
        <f aca="false">Demand_History!C1499</f>
        <v>BTH-005</v>
      </c>
      <c r="B1499" s="31" t="n">
        <f aca="false">Demand_History!A1499</f>
        <v>42</v>
      </c>
      <c r="C1499" s="32" t="n">
        <f aca="false">Demand_History!D1499</f>
        <v>13</v>
      </c>
      <c r="D1499" s="33" t="n">
        <f aca="false">IF(B1499&gt;=2,C1498,"")</f>
        <v>14</v>
      </c>
      <c r="E1499" s="33" t="n">
        <f aca="false">IF(B1499&gt;=5,AVERAGE(C1495:C1498),"")</f>
        <v>18</v>
      </c>
      <c r="F1499" s="33" t="n">
        <f aca="false">IF(B1499&gt;=9,AVERAGE(C1491:C1498),"")</f>
        <v>19.25</v>
      </c>
      <c r="G1499" s="33" t="n">
        <f aca="false">IF(B1499=1,"",IF(B1499=2,C1498,SES_Alpha*C1498+(1-SES_Alpha)*G1498))</f>
        <v>18.2653285930503</v>
      </c>
      <c r="H1499" s="33" t="n">
        <f aca="false">IF(D1499="","",D1499-C1499)</f>
        <v>1</v>
      </c>
      <c r="I1499" s="33" t="n">
        <f aca="false">IF(E1499="","",E1499-C1499)</f>
        <v>5</v>
      </c>
      <c r="J1499" s="33" t="n">
        <f aca="false">IF(F1499="","",F1499-C1499)</f>
        <v>6.25</v>
      </c>
      <c r="K1499" s="33" t="n">
        <f aca="false">IF(G1499="","",G1499-C1499)</f>
        <v>5.2653285930503</v>
      </c>
      <c r="L1499" s="33" t="n">
        <f aca="false">IF(H1499="","",ABS(H1499))</f>
        <v>1</v>
      </c>
      <c r="M1499" s="33" t="n">
        <f aca="false">IF(I1499="","",ABS(I1499))</f>
        <v>5</v>
      </c>
      <c r="N1499" s="33" t="n">
        <f aca="false">IF(J1499="","",ABS(J1499))</f>
        <v>6.25</v>
      </c>
      <c r="O1499" s="33" t="n">
        <f aca="false">IF(K1499="","",ABS(K1499))</f>
        <v>5.2653285930503</v>
      </c>
      <c r="P1499" s="34" t="str">
        <f aca="false">IF(B1499&gt;=Eval_Start_Week,"YES","")</f>
        <v/>
      </c>
      <c r="Q1499" s="34" t="str">
        <f aca="false">IF(AND(B1499&gt;=Cal_Start_Week,B1499&lt;=Cal_End_Week),"YES","")</f>
        <v>YES</v>
      </c>
    </row>
    <row r="1500" customFormat="false" ht="15" hidden="false" customHeight="false" outlineLevel="0" collapsed="false">
      <c r="A1500" s="31" t="str">
        <f aca="false">Demand_History!C1500</f>
        <v>BTH-005</v>
      </c>
      <c r="B1500" s="31" t="n">
        <f aca="false">Demand_History!A1500</f>
        <v>43</v>
      </c>
      <c r="C1500" s="32" t="n">
        <f aca="false">Demand_History!D1500</f>
        <v>11</v>
      </c>
      <c r="D1500" s="33" t="n">
        <f aca="false">IF(B1500&gt;=2,C1499,"")</f>
        <v>13</v>
      </c>
      <c r="E1500" s="33" t="n">
        <f aca="false">IF(B1500&gt;=5,AVERAGE(C1496:C1499),"")</f>
        <v>16.75</v>
      </c>
      <c r="F1500" s="33" t="n">
        <f aca="false">IF(B1500&gt;=9,AVERAGE(C1492:C1499),"")</f>
        <v>18.875</v>
      </c>
      <c r="G1500" s="33" t="n">
        <f aca="false">IF(B1500=1,"",IF(B1500=2,C1499,SES_Alpha*C1499+(1-SES_Alpha)*G1499))</f>
        <v>16.6857300151352</v>
      </c>
      <c r="H1500" s="33" t="n">
        <f aca="false">IF(D1500="","",D1500-C1500)</f>
        <v>2</v>
      </c>
      <c r="I1500" s="33" t="n">
        <f aca="false">IF(E1500="","",E1500-C1500)</f>
        <v>5.75</v>
      </c>
      <c r="J1500" s="33" t="n">
        <f aca="false">IF(F1500="","",F1500-C1500)</f>
        <v>7.875</v>
      </c>
      <c r="K1500" s="33" t="n">
        <f aca="false">IF(G1500="","",G1500-C1500)</f>
        <v>5.68573001513521</v>
      </c>
      <c r="L1500" s="33" t="n">
        <f aca="false">IF(H1500="","",ABS(H1500))</f>
        <v>2</v>
      </c>
      <c r="M1500" s="33" t="n">
        <f aca="false">IF(I1500="","",ABS(I1500))</f>
        <v>5.75</v>
      </c>
      <c r="N1500" s="33" t="n">
        <f aca="false">IF(J1500="","",ABS(J1500))</f>
        <v>7.875</v>
      </c>
      <c r="O1500" s="33" t="n">
        <f aca="false">IF(K1500="","",ABS(K1500))</f>
        <v>5.68573001513521</v>
      </c>
      <c r="P1500" s="34" t="str">
        <f aca="false">IF(B1500&gt;=Eval_Start_Week,"YES","")</f>
        <v/>
      </c>
      <c r="Q1500" s="34" t="str">
        <f aca="false">IF(AND(B1500&gt;=Cal_Start_Week,B1500&lt;=Cal_End_Week),"YES","")</f>
        <v>YES</v>
      </c>
    </row>
    <row r="1501" customFormat="false" ht="15" hidden="false" customHeight="false" outlineLevel="0" collapsed="false">
      <c r="A1501" s="31" t="str">
        <f aca="false">Demand_History!C1501</f>
        <v>BTH-005</v>
      </c>
      <c r="B1501" s="31" t="n">
        <f aca="false">Demand_History!A1501</f>
        <v>44</v>
      </c>
      <c r="C1501" s="32" t="n">
        <f aca="false">Demand_History!D1501</f>
        <v>11</v>
      </c>
      <c r="D1501" s="33" t="n">
        <f aca="false">IF(B1501&gt;=2,C1500,"")</f>
        <v>11</v>
      </c>
      <c r="E1501" s="33" t="n">
        <f aca="false">IF(B1501&gt;=5,AVERAGE(C1497:C1500),"")</f>
        <v>15.75</v>
      </c>
      <c r="F1501" s="33" t="n">
        <f aca="false">IF(B1501&gt;=9,AVERAGE(C1493:C1500),"")</f>
        <v>17.625</v>
      </c>
      <c r="G1501" s="33" t="n">
        <f aca="false">IF(B1501=1,"",IF(B1501=2,C1500,SES_Alpha*C1500+(1-SES_Alpha)*G1500))</f>
        <v>14.9800110105946</v>
      </c>
      <c r="H1501" s="33" t="n">
        <f aca="false">IF(D1501="","",D1501-C1501)</f>
        <v>0</v>
      </c>
      <c r="I1501" s="33" t="n">
        <f aca="false">IF(E1501="","",E1501-C1501)</f>
        <v>4.75</v>
      </c>
      <c r="J1501" s="33" t="n">
        <f aca="false">IF(F1501="","",F1501-C1501)</f>
        <v>6.625</v>
      </c>
      <c r="K1501" s="33" t="n">
        <f aca="false">IF(G1501="","",G1501-C1501)</f>
        <v>3.98001101059464</v>
      </c>
      <c r="L1501" s="33" t="n">
        <f aca="false">IF(H1501="","",ABS(H1501))</f>
        <v>0</v>
      </c>
      <c r="M1501" s="33" t="n">
        <f aca="false">IF(I1501="","",ABS(I1501))</f>
        <v>4.75</v>
      </c>
      <c r="N1501" s="33" t="n">
        <f aca="false">IF(J1501="","",ABS(J1501))</f>
        <v>6.625</v>
      </c>
      <c r="O1501" s="33" t="n">
        <f aca="false">IF(K1501="","",ABS(K1501))</f>
        <v>3.98001101059464</v>
      </c>
      <c r="P1501" s="34" t="str">
        <f aca="false">IF(B1501&gt;=Eval_Start_Week,"YES","")</f>
        <v/>
      </c>
      <c r="Q1501" s="34" t="str">
        <f aca="false">IF(AND(B1501&gt;=Cal_Start_Week,B1501&lt;=Cal_End_Week),"YES","")</f>
        <v>YES</v>
      </c>
    </row>
    <row r="1502" customFormat="false" ht="15" hidden="false" customHeight="false" outlineLevel="0" collapsed="false">
      <c r="A1502" s="31" t="str">
        <f aca="false">Demand_History!C1502</f>
        <v>BTH-005</v>
      </c>
      <c r="B1502" s="31" t="n">
        <f aca="false">Demand_History!A1502</f>
        <v>45</v>
      </c>
      <c r="C1502" s="32" t="n">
        <f aca="false">Demand_History!D1502</f>
        <v>23</v>
      </c>
      <c r="D1502" s="33" t="n">
        <f aca="false">IF(B1502&gt;=2,C1501,"")</f>
        <v>11</v>
      </c>
      <c r="E1502" s="33" t="n">
        <f aca="false">IF(B1502&gt;=5,AVERAGE(C1498:C1501),"")</f>
        <v>12.25</v>
      </c>
      <c r="F1502" s="33" t="n">
        <f aca="false">IF(B1502&gt;=9,AVERAGE(C1494:C1501),"")</f>
        <v>15.375</v>
      </c>
      <c r="G1502" s="33" t="n">
        <f aca="false">IF(B1502=1,"",IF(B1502=2,C1501,SES_Alpha*C1501+(1-SES_Alpha)*G1501))</f>
        <v>13.7860077074163</v>
      </c>
      <c r="H1502" s="33" t="n">
        <f aca="false">IF(D1502="","",D1502-C1502)</f>
        <v>-12</v>
      </c>
      <c r="I1502" s="33" t="n">
        <f aca="false">IF(E1502="","",E1502-C1502)</f>
        <v>-10.75</v>
      </c>
      <c r="J1502" s="33" t="n">
        <f aca="false">IF(F1502="","",F1502-C1502)</f>
        <v>-7.625</v>
      </c>
      <c r="K1502" s="33" t="n">
        <f aca="false">IF(G1502="","",G1502-C1502)</f>
        <v>-9.21399229258375</v>
      </c>
      <c r="L1502" s="33" t="n">
        <f aca="false">IF(H1502="","",ABS(H1502))</f>
        <v>12</v>
      </c>
      <c r="M1502" s="33" t="n">
        <f aca="false">IF(I1502="","",ABS(I1502))</f>
        <v>10.75</v>
      </c>
      <c r="N1502" s="33" t="n">
        <f aca="false">IF(J1502="","",ABS(J1502))</f>
        <v>7.625</v>
      </c>
      <c r="O1502" s="33" t="n">
        <f aca="false">IF(K1502="","",ABS(K1502))</f>
        <v>9.21399229258375</v>
      </c>
      <c r="P1502" s="34" t="str">
        <f aca="false">IF(B1502&gt;=Eval_Start_Week,"YES","")</f>
        <v/>
      </c>
      <c r="Q1502" s="34" t="str">
        <f aca="false">IF(AND(B1502&gt;=Cal_Start_Week,B1502&lt;=Cal_End_Week),"YES","")</f>
        <v>YES</v>
      </c>
    </row>
    <row r="1503" customFormat="false" ht="15" hidden="false" customHeight="false" outlineLevel="0" collapsed="false">
      <c r="A1503" s="31" t="str">
        <f aca="false">Demand_History!C1503</f>
        <v>BTH-005</v>
      </c>
      <c r="B1503" s="31" t="n">
        <f aca="false">Demand_History!A1503</f>
        <v>46</v>
      </c>
      <c r="C1503" s="32" t="n">
        <f aca="false">Demand_History!D1503</f>
        <v>36</v>
      </c>
      <c r="D1503" s="33" t="n">
        <f aca="false">IF(B1503&gt;=2,C1502,"")</f>
        <v>23</v>
      </c>
      <c r="E1503" s="33" t="n">
        <f aca="false">IF(B1503&gt;=5,AVERAGE(C1499:C1502),"")</f>
        <v>14.5</v>
      </c>
      <c r="F1503" s="33" t="n">
        <f aca="false">IF(B1503&gt;=9,AVERAGE(C1495:C1502),"")</f>
        <v>16.25</v>
      </c>
      <c r="G1503" s="33" t="n">
        <f aca="false">IF(B1503=1,"",IF(B1503=2,C1502,SES_Alpha*C1502+(1-SES_Alpha)*G1502))</f>
        <v>16.5502053951914</v>
      </c>
      <c r="H1503" s="33" t="n">
        <f aca="false">IF(D1503="","",D1503-C1503)</f>
        <v>-13</v>
      </c>
      <c r="I1503" s="33" t="n">
        <f aca="false">IF(E1503="","",E1503-C1503)</f>
        <v>-21.5</v>
      </c>
      <c r="J1503" s="33" t="n">
        <f aca="false">IF(F1503="","",F1503-C1503)</f>
        <v>-19.75</v>
      </c>
      <c r="K1503" s="33" t="n">
        <f aca="false">IF(G1503="","",G1503-C1503)</f>
        <v>-19.4497946048086</v>
      </c>
      <c r="L1503" s="33" t="n">
        <f aca="false">IF(H1503="","",ABS(H1503))</f>
        <v>13</v>
      </c>
      <c r="M1503" s="33" t="n">
        <f aca="false">IF(I1503="","",ABS(I1503))</f>
        <v>21.5</v>
      </c>
      <c r="N1503" s="33" t="n">
        <f aca="false">IF(J1503="","",ABS(J1503))</f>
        <v>19.75</v>
      </c>
      <c r="O1503" s="33" t="n">
        <f aca="false">IF(K1503="","",ABS(K1503))</f>
        <v>19.4497946048086</v>
      </c>
      <c r="P1503" s="34" t="str">
        <f aca="false">IF(B1503&gt;=Eval_Start_Week,"YES","")</f>
        <v/>
      </c>
      <c r="Q1503" s="34" t="str">
        <f aca="false">IF(AND(B1503&gt;=Cal_Start_Week,B1503&lt;=Cal_End_Week),"YES","")</f>
        <v>YES</v>
      </c>
    </row>
    <row r="1504" customFormat="false" ht="15" hidden="false" customHeight="false" outlineLevel="0" collapsed="false">
      <c r="A1504" s="31" t="str">
        <f aca="false">Demand_History!C1504</f>
        <v>BTH-005</v>
      </c>
      <c r="B1504" s="31" t="n">
        <f aca="false">Demand_History!A1504</f>
        <v>47</v>
      </c>
      <c r="C1504" s="32" t="n">
        <f aca="false">Demand_History!D1504</f>
        <v>14</v>
      </c>
      <c r="D1504" s="33" t="n">
        <f aca="false">IF(B1504&gt;=2,C1503,"")</f>
        <v>36</v>
      </c>
      <c r="E1504" s="33" t="n">
        <f aca="false">IF(B1504&gt;=5,AVERAGE(C1500:C1503),"")</f>
        <v>20.25</v>
      </c>
      <c r="F1504" s="33" t="n">
        <f aca="false">IF(B1504&gt;=9,AVERAGE(C1496:C1503),"")</f>
        <v>18.5</v>
      </c>
      <c r="G1504" s="33" t="n">
        <f aca="false">IF(B1504=1,"",IF(B1504=2,C1503,SES_Alpha*C1503+(1-SES_Alpha)*G1503))</f>
        <v>22.385143776634</v>
      </c>
      <c r="H1504" s="33" t="n">
        <f aca="false">IF(D1504="","",D1504-C1504)</f>
        <v>22</v>
      </c>
      <c r="I1504" s="33" t="n">
        <f aca="false">IF(E1504="","",E1504-C1504)</f>
        <v>6.25</v>
      </c>
      <c r="J1504" s="33" t="n">
        <f aca="false">IF(F1504="","",F1504-C1504)</f>
        <v>4.5</v>
      </c>
      <c r="K1504" s="33" t="n">
        <f aca="false">IF(G1504="","",G1504-C1504)</f>
        <v>8.38514377663396</v>
      </c>
      <c r="L1504" s="33" t="n">
        <f aca="false">IF(H1504="","",ABS(H1504))</f>
        <v>22</v>
      </c>
      <c r="M1504" s="33" t="n">
        <f aca="false">IF(I1504="","",ABS(I1504))</f>
        <v>6.25</v>
      </c>
      <c r="N1504" s="33" t="n">
        <f aca="false">IF(J1504="","",ABS(J1504))</f>
        <v>4.5</v>
      </c>
      <c r="O1504" s="33" t="n">
        <f aca="false">IF(K1504="","",ABS(K1504))</f>
        <v>8.38514377663396</v>
      </c>
      <c r="P1504" s="34" t="str">
        <f aca="false">IF(B1504&gt;=Eval_Start_Week,"YES","")</f>
        <v/>
      </c>
      <c r="Q1504" s="34" t="str">
        <f aca="false">IF(AND(B1504&gt;=Cal_Start_Week,B1504&lt;=Cal_End_Week),"YES","")</f>
        <v>YES</v>
      </c>
    </row>
    <row r="1505" customFormat="false" ht="15" hidden="false" customHeight="false" outlineLevel="0" collapsed="false">
      <c r="A1505" s="31" t="str">
        <f aca="false">Demand_History!C1505</f>
        <v>BTH-005</v>
      </c>
      <c r="B1505" s="31" t="n">
        <f aca="false">Demand_History!A1505</f>
        <v>48</v>
      </c>
      <c r="C1505" s="32" t="n">
        <f aca="false">Demand_History!D1505</f>
        <v>26</v>
      </c>
      <c r="D1505" s="33" t="n">
        <f aca="false">IF(B1505&gt;=2,C1504,"")</f>
        <v>14</v>
      </c>
      <c r="E1505" s="33" t="n">
        <f aca="false">IF(B1505&gt;=5,AVERAGE(C1501:C1504),"")</f>
        <v>21</v>
      </c>
      <c r="F1505" s="33" t="n">
        <f aca="false">IF(B1505&gt;=9,AVERAGE(C1497:C1504),"")</f>
        <v>18.375</v>
      </c>
      <c r="G1505" s="33" t="n">
        <f aca="false">IF(B1505=1,"",IF(B1505=2,C1504,SES_Alpha*C1504+(1-SES_Alpha)*G1504))</f>
        <v>19.8696006436438</v>
      </c>
      <c r="H1505" s="33" t="n">
        <f aca="false">IF(D1505="","",D1505-C1505)</f>
        <v>-12</v>
      </c>
      <c r="I1505" s="33" t="n">
        <f aca="false">IF(E1505="","",E1505-C1505)</f>
        <v>-5</v>
      </c>
      <c r="J1505" s="33" t="n">
        <f aca="false">IF(F1505="","",F1505-C1505)</f>
        <v>-7.625</v>
      </c>
      <c r="K1505" s="33" t="n">
        <f aca="false">IF(G1505="","",G1505-C1505)</f>
        <v>-6.13039935635623</v>
      </c>
      <c r="L1505" s="33" t="n">
        <f aca="false">IF(H1505="","",ABS(H1505))</f>
        <v>12</v>
      </c>
      <c r="M1505" s="33" t="n">
        <f aca="false">IF(I1505="","",ABS(I1505))</f>
        <v>5</v>
      </c>
      <c r="N1505" s="33" t="n">
        <f aca="false">IF(J1505="","",ABS(J1505))</f>
        <v>7.625</v>
      </c>
      <c r="O1505" s="33" t="n">
        <f aca="false">IF(K1505="","",ABS(K1505))</f>
        <v>6.13039935635623</v>
      </c>
      <c r="P1505" s="34" t="str">
        <f aca="false">IF(B1505&gt;=Eval_Start_Week,"YES","")</f>
        <v/>
      </c>
      <c r="Q1505" s="34" t="str">
        <f aca="false">IF(AND(B1505&gt;=Cal_Start_Week,B1505&lt;=Cal_End_Week),"YES","")</f>
        <v>YES</v>
      </c>
    </row>
    <row r="1506" customFormat="false" ht="15" hidden="false" customHeight="false" outlineLevel="0" collapsed="false">
      <c r="A1506" s="31" t="str">
        <f aca="false">Demand_History!C1506</f>
        <v>BTH-005</v>
      </c>
      <c r="B1506" s="31" t="n">
        <f aca="false">Demand_History!A1506</f>
        <v>49</v>
      </c>
      <c r="C1506" s="32" t="n">
        <f aca="false">Demand_History!D1506</f>
        <v>22</v>
      </c>
      <c r="D1506" s="33" t="n">
        <f aca="false">IF(B1506&gt;=2,C1505,"")</f>
        <v>26</v>
      </c>
      <c r="E1506" s="33" t="n">
        <f aca="false">IF(B1506&gt;=5,AVERAGE(C1502:C1505),"")</f>
        <v>24.75</v>
      </c>
      <c r="F1506" s="33" t="n">
        <f aca="false">IF(B1506&gt;=9,AVERAGE(C1498:C1505),"")</f>
        <v>18.5</v>
      </c>
      <c r="G1506" s="33" t="n">
        <f aca="false">IF(B1506=1,"",IF(B1506=2,C1505,SES_Alpha*C1505+(1-SES_Alpha)*G1505))</f>
        <v>21.7087204505506</v>
      </c>
      <c r="H1506" s="33" t="n">
        <f aca="false">IF(D1506="","",D1506-C1506)</f>
        <v>4</v>
      </c>
      <c r="I1506" s="33" t="n">
        <f aca="false">IF(E1506="","",E1506-C1506)</f>
        <v>2.75</v>
      </c>
      <c r="J1506" s="33" t="n">
        <f aca="false">IF(F1506="","",F1506-C1506)</f>
        <v>-3.5</v>
      </c>
      <c r="K1506" s="33" t="n">
        <f aca="false">IF(G1506="","",G1506-C1506)</f>
        <v>-0.29127954944936</v>
      </c>
      <c r="L1506" s="33" t="n">
        <f aca="false">IF(H1506="","",ABS(H1506))</f>
        <v>4</v>
      </c>
      <c r="M1506" s="33" t="n">
        <f aca="false">IF(I1506="","",ABS(I1506))</f>
        <v>2.75</v>
      </c>
      <c r="N1506" s="33" t="n">
        <f aca="false">IF(J1506="","",ABS(J1506))</f>
        <v>3.5</v>
      </c>
      <c r="O1506" s="33" t="n">
        <f aca="false">IF(K1506="","",ABS(K1506))</f>
        <v>0.29127954944936</v>
      </c>
      <c r="P1506" s="34" t="str">
        <f aca="false">IF(B1506&gt;=Eval_Start_Week,"YES","")</f>
        <v/>
      </c>
      <c r="Q1506" s="34" t="str">
        <f aca="false">IF(AND(B1506&gt;=Cal_Start_Week,B1506&lt;=Cal_End_Week),"YES","")</f>
        <v>YES</v>
      </c>
    </row>
    <row r="1507" customFormat="false" ht="15" hidden="false" customHeight="false" outlineLevel="0" collapsed="false">
      <c r="A1507" s="31" t="str">
        <f aca="false">Demand_History!C1507</f>
        <v>BTH-005</v>
      </c>
      <c r="B1507" s="31" t="n">
        <f aca="false">Demand_History!A1507</f>
        <v>50</v>
      </c>
      <c r="C1507" s="32" t="n">
        <f aca="false">Demand_History!D1507</f>
        <v>13</v>
      </c>
      <c r="D1507" s="33" t="n">
        <f aca="false">IF(B1507&gt;=2,C1506,"")</f>
        <v>22</v>
      </c>
      <c r="E1507" s="33" t="n">
        <f aca="false">IF(B1507&gt;=5,AVERAGE(C1503:C1506),"")</f>
        <v>24.5</v>
      </c>
      <c r="F1507" s="33" t="n">
        <f aca="false">IF(B1507&gt;=9,AVERAGE(C1499:C1506),"")</f>
        <v>19.5</v>
      </c>
      <c r="G1507" s="33" t="n">
        <f aca="false">IF(B1507=1,"",IF(B1507=2,C1506,SES_Alpha*C1506+(1-SES_Alpha)*G1506))</f>
        <v>21.7961043153855</v>
      </c>
      <c r="H1507" s="33" t="n">
        <f aca="false">IF(D1507="","",D1507-C1507)</f>
        <v>9</v>
      </c>
      <c r="I1507" s="33" t="n">
        <f aca="false">IF(E1507="","",E1507-C1507)</f>
        <v>11.5</v>
      </c>
      <c r="J1507" s="33" t="n">
        <f aca="false">IF(F1507="","",F1507-C1507)</f>
        <v>6.5</v>
      </c>
      <c r="K1507" s="33" t="n">
        <f aca="false">IF(G1507="","",G1507-C1507)</f>
        <v>8.79610431538545</v>
      </c>
      <c r="L1507" s="33" t="n">
        <f aca="false">IF(H1507="","",ABS(H1507))</f>
        <v>9</v>
      </c>
      <c r="M1507" s="33" t="n">
        <f aca="false">IF(I1507="","",ABS(I1507))</f>
        <v>11.5</v>
      </c>
      <c r="N1507" s="33" t="n">
        <f aca="false">IF(J1507="","",ABS(J1507))</f>
        <v>6.5</v>
      </c>
      <c r="O1507" s="33" t="n">
        <f aca="false">IF(K1507="","",ABS(K1507))</f>
        <v>8.79610431538545</v>
      </c>
      <c r="P1507" s="34" t="str">
        <f aca="false">IF(B1507&gt;=Eval_Start_Week,"YES","")</f>
        <v/>
      </c>
      <c r="Q1507" s="34" t="str">
        <f aca="false">IF(AND(B1507&gt;=Cal_Start_Week,B1507&lt;=Cal_End_Week),"YES","")</f>
        <v>YES</v>
      </c>
    </row>
    <row r="1508" customFormat="false" ht="15" hidden="false" customHeight="false" outlineLevel="0" collapsed="false">
      <c r="A1508" s="31" t="str">
        <f aca="false">Demand_History!C1508</f>
        <v>BTH-005</v>
      </c>
      <c r="B1508" s="31" t="n">
        <f aca="false">Demand_History!A1508</f>
        <v>51</v>
      </c>
      <c r="C1508" s="32" t="n">
        <f aca="false">Demand_History!D1508</f>
        <v>18</v>
      </c>
      <c r="D1508" s="33" t="n">
        <f aca="false">IF(B1508&gt;=2,C1507,"")</f>
        <v>13</v>
      </c>
      <c r="E1508" s="33" t="n">
        <f aca="false">IF(B1508&gt;=5,AVERAGE(C1504:C1507),"")</f>
        <v>18.75</v>
      </c>
      <c r="F1508" s="33" t="n">
        <f aca="false">IF(B1508&gt;=9,AVERAGE(C1500:C1507),"")</f>
        <v>19.5</v>
      </c>
      <c r="G1508" s="33" t="n">
        <f aca="false">IF(B1508=1,"",IF(B1508=2,C1507,SES_Alpha*C1507+(1-SES_Alpha)*G1507))</f>
        <v>19.1572730207698</v>
      </c>
      <c r="H1508" s="33" t="n">
        <f aca="false">IF(D1508="","",D1508-C1508)</f>
        <v>-5</v>
      </c>
      <c r="I1508" s="33" t="n">
        <f aca="false">IF(E1508="","",E1508-C1508)</f>
        <v>0.75</v>
      </c>
      <c r="J1508" s="33" t="n">
        <f aca="false">IF(F1508="","",F1508-C1508)</f>
        <v>1.5</v>
      </c>
      <c r="K1508" s="33" t="n">
        <f aca="false">IF(G1508="","",G1508-C1508)</f>
        <v>1.15727302076981</v>
      </c>
      <c r="L1508" s="33" t="n">
        <f aca="false">IF(H1508="","",ABS(H1508))</f>
        <v>5</v>
      </c>
      <c r="M1508" s="33" t="n">
        <f aca="false">IF(I1508="","",ABS(I1508))</f>
        <v>0.75</v>
      </c>
      <c r="N1508" s="33" t="n">
        <f aca="false">IF(J1508="","",ABS(J1508))</f>
        <v>1.5</v>
      </c>
      <c r="O1508" s="33" t="n">
        <f aca="false">IF(K1508="","",ABS(K1508))</f>
        <v>1.15727302076981</v>
      </c>
      <c r="P1508" s="34" t="str">
        <f aca="false">IF(B1508&gt;=Eval_Start_Week,"YES","")</f>
        <v/>
      </c>
      <c r="Q1508" s="34" t="str">
        <f aca="false">IF(AND(B1508&gt;=Cal_Start_Week,B1508&lt;=Cal_End_Week),"YES","")</f>
        <v>YES</v>
      </c>
    </row>
    <row r="1509" customFormat="false" ht="15" hidden="false" customHeight="false" outlineLevel="0" collapsed="false">
      <c r="A1509" s="31" t="str">
        <f aca="false">Demand_History!C1509</f>
        <v>BTH-005</v>
      </c>
      <c r="B1509" s="31" t="n">
        <f aca="false">Demand_History!A1509</f>
        <v>52</v>
      </c>
      <c r="C1509" s="32" t="n">
        <f aca="false">Demand_History!D1509</f>
        <v>19</v>
      </c>
      <c r="D1509" s="33" t="n">
        <f aca="false">IF(B1509&gt;=2,C1508,"")</f>
        <v>18</v>
      </c>
      <c r="E1509" s="33" t="n">
        <f aca="false">IF(B1509&gt;=5,AVERAGE(C1505:C1508),"")</f>
        <v>19.75</v>
      </c>
      <c r="F1509" s="33" t="n">
        <f aca="false">IF(B1509&gt;=9,AVERAGE(C1501:C1508),"")</f>
        <v>20.375</v>
      </c>
      <c r="G1509" s="33" t="n">
        <f aca="false">IF(B1509=1,"",IF(B1509=2,C1508,SES_Alpha*C1508+(1-SES_Alpha)*G1508))</f>
        <v>18.8100911145389</v>
      </c>
      <c r="H1509" s="33" t="n">
        <f aca="false">IF(D1509="","",D1509-C1509)</f>
        <v>-1</v>
      </c>
      <c r="I1509" s="33" t="n">
        <f aca="false">IF(E1509="","",E1509-C1509)</f>
        <v>0.75</v>
      </c>
      <c r="J1509" s="33" t="n">
        <f aca="false">IF(F1509="","",F1509-C1509)</f>
        <v>1.375</v>
      </c>
      <c r="K1509" s="33" t="n">
        <f aca="false">IF(G1509="","",G1509-C1509)</f>
        <v>-0.189908885461133</v>
      </c>
      <c r="L1509" s="33" t="n">
        <f aca="false">IF(H1509="","",ABS(H1509))</f>
        <v>1</v>
      </c>
      <c r="M1509" s="33" t="n">
        <f aca="false">IF(I1509="","",ABS(I1509))</f>
        <v>0.75</v>
      </c>
      <c r="N1509" s="33" t="n">
        <f aca="false">IF(J1509="","",ABS(J1509))</f>
        <v>1.375</v>
      </c>
      <c r="O1509" s="33" t="n">
        <f aca="false">IF(K1509="","",ABS(K1509))</f>
        <v>0.189908885461133</v>
      </c>
      <c r="P1509" s="34" t="str">
        <f aca="false">IF(B1509&gt;=Eval_Start_Week,"YES","")</f>
        <v/>
      </c>
      <c r="Q1509" s="34" t="str">
        <f aca="false">IF(AND(B1509&gt;=Cal_Start_Week,B1509&lt;=Cal_End_Week),"YES","")</f>
        <v>YES</v>
      </c>
    </row>
    <row r="1510" customFormat="false" ht="15" hidden="false" customHeight="false" outlineLevel="0" collapsed="false">
      <c r="A1510" s="31" t="str">
        <f aca="false">Demand_History!C1510</f>
        <v>BTH-005</v>
      </c>
      <c r="B1510" s="31" t="n">
        <f aca="false">Demand_History!A1510</f>
        <v>53</v>
      </c>
      <c r="C1510" s="32" t="n">
        <f aca="false">Demand_History!D1510</f>
        <v>16</v>
      </c>
      <c r="D1510" s="33" t="n">
        <f aca="false">IF(B1510&gt;=2,C1509,"")</f>
        <v>19</v>
      </c>
      <c r="E1510" s="33" t="n">
        <f aca="false">IF(B1510&gt;=5,AVERAGE(C1506:C1509),"")</f>
        <v>18</v>
      </c>
      <c r="F1510" s="33" t="n">
        <f aca="false">IF(B1510&gt;=9,AVERAGE(C1502:C1509),"")</f>
        <v>21.375</v>
      </c>
      <c r="G1510" s="33" t="n">
        <f aca="false">IF(B1510=1,"",IF(B1510=2,C1509,SES_Alpha*C1509+(1-SES_Alpha)*G1509))</f>
        <v>18.8670637801772</v>
      </c>
      <c r="H1510" s="33" t="n">
        <f aca="false">IF(D1510="","",D1510-C1510)</f>
        <v>3</v>
      </c>
      <c r="I1510" s="33" t="n">
        <f aca="false">IF(E1510="","",E1510-C1510)</f>
        <v>2</v>
      </c>
      <c r="J1510" s="33" t="n">
        <f aca="false">IF(F1510="","",F1510-C1510)</f>
        <v>5.375</v>
      </c>
      <c r="K1510" s="33" t="n">
        <f aca="false">IF(G1510="","",G1510-C1510)</f>
        <v>2.86706378017721</v>
      </c>
      <c r="L1510" s="33" t="n">
        <f aca="false">IF(H1510="","",ABS(H1510))</f>
        <v>3</v>
      </c>
      <c r="M1510" s="33" t="n">
        <f aca="false">IF(I1510="","",ABS(I1510))</f>
        <v>2</v>
      </c>
      <c r="N1510" s="33" t="n">
        <f aca="false">IF(J1510="","",ABS(J1510))</f>
        <v>5.375</v>
      </c>
      <c r="O1510" s="33" t="n">
        <f aca="false">IF(K1510="","",ABS(K1510))</f>
        <v>2.86706378017721</v>
      </c>
      <c r="P1510" s="34" t="str">
        <f aca="false">IF(B1510&gt;=Eval_Start_Week,"YES","")</f>
        <v>YES</v>
      </c>
      <c r="Q1510" s="34" t="str">
        <f aca="false">IF(AND(B1510&gt;=Cal_Start_Week,B1510&lt;=Cal_End_Week),"YES","")</f>
        <v>YES</v>
      </c>
    </row>
    <row r="1511" customFormat="false" ht="15" hidden="false" customHeight="false" outlineLevel="0" collapsed="false">
      <c r="A1511" s="31" t="str">
        <f aca="false">Demand_History!C1511</f>
        <v>BTH-005</v>
      </c>
      <c r="B1511" s="31" t="n">
        <f aca="false">Demand_History!A1511</f>
        <v>54</v>
      </c>
      <c r="C1511" s="32" t="n">
        <f aca="false">Demand_History!D1511</f>
        <v>32</v>
      </c>
      <c r="D1511" s="33" t="n">
        <f aca="false">IF(B1511&gt;=2,C1510,"")</f>
        <v>16</v>
      </c>
      <c r="E1511" s="33" t="n">
        <f aca="false">IF(B1511&gt;=5,AVERAGE(C1507:C1510),"")</f>
        <v>16.5</v>
      </c>
      <c r="F1511" s="33" t="n">
        <f aca="false">IF(B1511&gt;=9,AVERAGE(C1503:C1510),"")</f>
        <v>20.5</v>
      </c>
      <c r="G1511" s="33" t="n">
        <f aca="false">IF(B1511=1,"",IF(B1511=2,C1510,SES_Alpha*C1510+(1-SES_Alpha)*G1510))</f>
        <v>18.006944646124</v>
      </c>
      <c r="H1511" s="33" t="n">
        <f aca="false">IF(D1511="","",D1511-C1511)</f>
        <v>-16</v>
      </c>
      <c r="I1511" s="33" t="n">
        <f aca="false">IF(E1511="","",E1511-C1511)</f>
        <v>-15.5</v>
      </c>
      <c r="J1511" s="33" t="n">
        <f aca="false">IF(F1511="","",F1511-C1511)</f>
        <v>-11.5</v>
      </c>
      <c r="K1511" s="33" t="n">
        <f aca="false">IF(G1511="","",G1511-C1511)</f>
        <v>-13.993055353876</v>
      </c>
      <c r="L1511" s="33" t="n">
        <f aca="false">IF(H1511="","",ABS(H1511))</f>
        <v>16</v>
      </c>
      <c r="M1511" s="33" t="n">
        <f aca="false">IF(I1511="","",ABS(I1511))</f>
        <v>15.5</v>
      </c>
      <c r="N1511" s="33" t="n">
        <f aca="false">IF(J1511="","",ABS(J1511))</f>
        <v>11.5</v>
      </c>
      <c r="O1511" s="33" t="n">
        <f aca="false">IF(K1511="","",ABS(K1511))</f>
        <v>13.993055353876</v>
      </c>
      <c r="P1511" s="34" t="str">
        <f aca="false">IF(B1511&gt;=Eval_Start_Week,"YES","")</f>
        <v>YES</v>
      </c>
      <c r="Q1511" s="34" t="str">
        <f aca="false">IF(AND(B1511&gt;=Cal_Start_Week,B1511&lt;=Cal_End_Week),"YES","")</f>
        <v>YES</v>
      </c>
    </row>
    <row r="1512" customFormat="false" ht="15" hidden="false" customHeight="false" outlineLevel="0" collapsed="false">
      <c r="A1512" s="31" t="str">
        <f aca="false">Demand_History!C1512</f>
        <v>BTH-005</v>
      </c>
      <c r="B1512" s="31" t="n">
        <f aca="false">Demand_History!A1512</f>
        <v>55</v>
      </c>
      <c r="C1512" s="32" t="n">
        <f aca="false">Demand_History!D1512</f>
        <v>8</v>
      </c>
      <c r="D1512" s="33" t="n">
        <f aca="false">IF(B1512&gt;=2,C1511,"")</f>
        <v>32</v>
      </c>
      <c r="E1512" s="33" t="n">
        <f aca="false">IF(B1512&gt;=5,AVERAGE(C1508:C1511),"")</f>
        <v>21.25</v>
      </c>
      <c r="F1512" s="33" t="n">
        <f aca="false">IF(B1512&gt;=9,AVERAGE(C1504:C1511),"")</f>
        <v>20</v>
      </c>
      <c r="G1512" s="33" t="n">
        <f aca="false">IF(B1512=1,"",IF(B1512=2,C1511,SES_Alpha*C1511+(1-SES_Alpha)*G1511))</f>
        <v>22.2048612522868</v>
      </c>
      <c r="H1512" s="33" t="n">
        <f aca="false">IF(D1512="","",D1512-C1512)</f>
        <v>24</v>
      </c>
      <c r="I1512" s="33" t="n">
        <f aca="false">IF(E1512="","",E1512-C1512)</f>
        <v>13.25</v>
      </c>
      <c r="J1512" s="33" t="n">
        <f aca="false">IF(F1512="","",F1512-C1512)</f>
        <v>12</v>
      </c>
      <c r="K1512" s="33" t="n">
        <f aca="false">IF(G1512="","",G1512-C1512)</f>
        <v>14.2048612522868</v>
      </c>
      <c r="L1512" s="33" t="n">
        <f aca="false">IF(H1512="","",ABS(H1512))</f>
        <v>24</v>
      </c>
      <c r="M1512" s="33" t="n">
        <f aca="false">IF(I1512="","",ABS(I1512))</f>
        <v>13.25</v>
      </c>
      <c r="N1512" s="33" t="n">
        <f aca="false">IF(J1512="","",ABS(J1512))</f>
        <v>12</v>
      </c>
      <c r="O1512" s="33" t="n">
        <f aca="false">IF(K1512="","",ABS(K1512))</f>
        <v>14.2048612522868</v>
      </c>
      <c r="P1512" s="34" t="str">
        <f aca="false">IF(B1512&gt;=Eval_Start_Week,"YES","")</f>
        <v>YES</v>
      </c>
      <c r="Q1512" s="34" t="str">
        <f aca="false">IF(AND(B1512&gt;=Cal_Start_Week,B1512&lt;=Cal_End_Week),"YES","")</f>
        <v>YES</v>
      </c>
    </row>
    <row r="1513" customFormat="false" ht="15" hidden="false" customHeight="false" outlineLevel="0" collapsed="false">
      <c r="A1513" s="31" t="str">
        <f aca="false">Demand_History!C1513</f>
        <v>BTH-005</v>
      </c>
      <c r="B1513" s="31" t="n">
        <f aca="false">Demand_History!A1513</f>
        <v>56</v>
      </c>
      <c r="C1513" s="32" t="n">
        <f aca="false">Demand_History!D1513</f>
        <v>22</v>
      </c>
      <c r="D1513" s="33" t="n">
        <f aca="false">IF(B1513&gt;=2,C1512,"")</f>
        <v>8</v>
      </c>
      <c r="E1513" s="33" t="n">
        <f aca="false">IF(B1513&gt;=5,AVERAGE(C1509:C1512),"")</f>
        <v>18.75</v>
      </c>
      <c r="F1513" s="33" t="n">
        <f aca="false">IF(B1513&gt;=9,AVERAGE(C1505:C1512),"")</f>
        <v>19.25</v>
      </c>
      <c r="G1513" s="33" t="n">
        <f aca="false">IF(B1513=1,"",IF(B1513=2,C1512,SES_Alpha*C1512+(1-SES_Alpha)*G1512))</f>
        <v>17.9434028766008</v>
      </c>
      <c r="H1513" s="33" t="n">
        <f aca="false">IF(D1513="","",D1513-C1513)</f>
        <v>-14</v>
      </c>
      <c r="I1513" s="33" t="n">
        <f aca="false">IF(E1513="","",E1513-C1513)</f>
        <v>-3.25</v>
      </c>
      <c r="J1513" s="33" t="n">
        <f aca="false">IF(F1513="","",F1513-C1513)</f>
        <v>-2.75</v>
      </c>
      <c r="K1513" s="33" t="n">
        <f aca="false">IF(G1513="","",G1513-C1513)</f>
        <v>-4.05659712339922</v>
      </c>
      <c r="L1513" s="33" t="n">
        <f aca="false">IF(H1513="","",ABS(H1513))</f>
        <v>14</v>
      </c>
      <c r="M1513" s="33" t="n">
        <f aca="false">IF(I1513="","",ABS(I1513))</f>
        <v>3.25</v>
      </c>
      <c r="N1513" s="33" t="n">
        <f aca="false">IF(J1513="","",ABS(J1513))</f>
        <v>2.75</v>
      </c>
      <c r="O1513" s="33" t="n">
        <f aca="false">IF(K1513="","",ABS(K1513))</f>
        <v>4.05659712339922</v>
      </c>
      <c r="P1513" s="34" t="str">
        <f aca="false">IF(B1513&gt;=Eval_Start_Week,"YES","")</f>
        <v>YES</v>
      </c>
      <c r="Q1513" s="34" t="str">
        <f aca="false">IF(AND(B1513&gt;=Cal_Start_Week,B1513&lt;=Cal_End_Week),"YES","")</f>
        <v>YES</v>
      </c>
    </row>
    <row r="1514" customFormat="false" ht="15" hidden="false" customHeight="false" outlineLevel="0" collapsed="false">
      <c r="A1514" s="31" t="str">
        <f aca="false">Demand_History!C1514</f>
        <v>BTH-005</v>
      </c>
      <c r="B1514" s="31" t="n">
        <f aca="false">Demand_History!A1514</f>
        <v>57</v>
      </c>
      <c r="C1514" s="32" t="n">
        <f aca="false">Demand_History!D1514</f>
        <v>22</v>
      </c>
      <c r="D1514" s="33" t="n">
        <f aca="false">IF(B1514&gt;=2,C1513,"")</f>
        <v>22</v>
      </c>
      <c r="E1514" s="33" t="n">
        <f aca="false">IF(B1514&gt;=5,AVERAGE(C1510:C1513),"")</f>
        <v>19.5</v>
      </c>
      <c r="F1514" s="33" t="n">
        <f aca="false">IF(B1514&gt;=9,AVERAGE(C1506:C1513),"")</f>
        <v>18.75</v>
      </c>
      <c r="G1514" s="33" t="n">
        <f aca="false">IF(B1514=1,"",IF(B1514=2,C1513,SES_Alpha*C1513+(1-SES_Alpha)*G1513))</f>
        <v>19.1603820136205</v>
      </c>
      <c r="H1514" s="33" t="n">
        <f aca="false">IF(D1514="","",D1514-C1514)</f>
        <v>0</v>
      </c>
      <c r="I1514" s="33" t="n">
        <f aca="false">IF(E1514="","",E1514-C1514)</f>
        <v>-2.5</v>
      </c>
      <c r="J1514" s="33" t="n">
        <f aca="false">IF(F1514="","",F1514-C1514)</f>
        <v>-3.25</v>
      </c>
      <c r="K1514" s="33" t="n">
        <f aca="false">IF(G1514="","",G1514-C1514)</f>
        <v>-2.83961798637946</v>
      </c>
      <c r="L1514" s="33" t="n">
        <f aca="false">IF(H1514="","",ABS(H1514))</f>
        <v>0</v>
      </c>
      <c r="M1514" s="33" t="n">
        <f aca="false">IF(I1514="","",ABS(I1514))</f>
        <v>2.5</v>
      </c>
      <c r="N1514" s="33" t="n">
        <f aca="false">IF(J1514="","",ABS(J1514))</f>
        <v>3.25</v>
      </c>
      <c r="O1514" s="33" t="n">
        <f aca="false">IF(K1514="","",ABS(K1514))</f>
        <v>2.83961798637946</v>
      </c>
      <c r="P1514" s="34" t="str">
        <f aca="false">IF(B1514&gt;=Eval_Start_Week,"YES","")</f>
        <v>YES</v>
      </c>
      <c r="Q1514" s="34" t="str">
        <f aca="false">IF(AND(B1514&gt;=Cal_Start_Week,B1514&lt;=Cal_End_Week),"YES","")</f>
        <v>YES</v>
      </c>
    </row>
    <row r="1515" customFormat="false" ht="15" hidden="false" customHeight="false" outlineLevel="0" collapsed="false">
      <c r="A1515" s="31" t="str">
        <f aca="false">Demand_History!C1515</f>
        <v>BTH-005</v>
      </c>
      <c r="B1515" s="31" t="n">
        <f aca="false">Demand_History!A1515</f>
        <v>58</v>
      </c>
      <c r="C1515" s="32" t="n">
        <f aca="false">Demand_History!D1515</f>
        <v>16</v>
      </c>
      <c r="D1515" s="33" t="n">
        <f aca="false">IF(B1515&gt;=2,C1514,"")</f>
        <v>22</v>
      </c>
      <c r="E1515" s="33" t="n">
        <f aca="false">IF(B1515&gt;=5,AVERAGE(C1511:C1514),"")</f>
        <v>21</v>
      </c>
      <c r="F1515" s="33" t="n">
        <f aca="false">IF(B1515&gt;=9,AVERAGE(C1507:C1514),"")</f>
        <v>18.75</v>
      </c>
      <c r="G1515" s="33" t="n">
        <f aca="false">IF(B1515=1,"",IF(B1515=2,C1514,SES_Alpha*C1514+(1-SES_Alpha)*G1514))</f>
        <v>20.0122674095344</v>
      </c>
      <c r="H1515" s="33" t="n">
        <f aca="false">IF(D1515="","",D1515-C1515)</f>
        <v>6</v>
      </c>
      <c r="I1515" s="33" t="n">
        <f aca="false">IF(E1515="","",E1515-C1515)</f>
        <v>5</v>
      </c>
      <c r="J1515" s="33" t="n">
        <f aca="false">IF(F1515="","",F1515-C1515)</f>
        <v>2.75</v>
      </c>
      <c r="K1515" s="33" t="n">
        <f aca="false">IF(G1515="","",G1515-C1515)</f>
        <v>4.01226740953438</v>
      </c>
      <c r="L1515" s="33" t="n">
        <f aca="false">IF(H1515="","",ABS(H1515))</f>
        <v>6</v>
      </c>
      <c r="M1515" s="33" t="n">
        <f aca="false">IF(I1515="","",ABS(I1515))</f>
        <v>5</v>
      </c>
      <c r="N1515" s="33" t="n">
        <f aca="false">IF(J1515="","",ABS(J1515))</f>
        <v>2.75</v>
      </c>
      <c r="O1515" s="33" t="n">
        <f aca="false">IF(K1515="","",ABS(K1515))</f>
        <v>4.01226740953438</v>
      </c>
      <c r="P1515" s="34" t="str">
        <f aca="false">IF(B1515&gt;=Eval_Start_Week,"YES","")</f>
        <v>YES</v>
      </c>
      <c r="Q1515" s="34" t="str">
        <f aca="false">IF(AND(B1515&gt;=Cal_Start_Week,B1515&lt;=Cal_End_Week),"YES","")</f>
        <v>YES</v>
      </c>
    </row>
    <row r="1516" customFormat="false" ht="15" hidden="false" customHeight="false" outlineLevel="0" collapsed="false">
      <c r="A1516" s="31" t="str">
        <f aca="false">Demand_History!C1516</f>
        <v>BTH-005</v>
      </c>
      <c r="B1516" s="31" t="n">
        <f aca="false">Demand_History!A1516</f>
        <v>59</v>
      </c>
      <c r="C1516" s="32" t="n">
        <f aca="false">Demand_History!D1516</f>
        <v>21</v>
      </c>
      <c r="D1516" s="33" t="n">
        <f aca="false">IF(B1516&gt;=2,C1515,"")</f>
        <v>16</v>
      </c>
      <c r="E1516" s="33" t="n">
        <f aca="false">IF(B1516&gt;=5,AVERAGE(C1512:C1515),"")</f>
        <v>17</v>
      </c>
      <c r="F1516" s="33" t="n">
        <f aca="false">IF(B1516&gt;=9,AVERAGE(C1508:C1515),"")</f>
        <v>19.125</v>
      </c>
      <c r="G1516" s="33" t="n">
        <f aca="false">IF(B1516=1,"",IF(B1516=2,C1515,SES_Alpha*C1515+(1-SES_Alpha)*G1515))</f>
        <v>18.8085871866741</v>
      </c>
      <c r="H1516" s="33" t="n">
        <f aca="false">IF(D1516="","",D1516-C1516)</f>
        <v>-5</v>
      </c>
      <c r="I1516" s="33" t="n">
        <f aca="false">IF(E1516="","",E1516-C1516)</f>
        <v>-4</v>
      </c>
      <c r="J1516" s="33" t="n">
        <f aca="false">IF(F1516="","",F1516-C1516)</f>
        <v>-1.875</v>
      </c>
      <c r="K1516" s="33" t="n">
        <f aca="false">IF(G1516="","",G1516-C1516)</f>
        <v>-2.19141281332594</v>
      </c>
      <c r="L1516" s="33" t="n">
        <f aca="false">IF(H1516="","",ABS(H1516))</f>
        <v>5</v>
      </c>
      <c r="M1516" s="33" t="n">
        <f aca="false">IF(I1516="","",ABS(I1516))</f>
        <v>4</v>
      </c>
      <c r="N1516" s="33" t="n">
        <f aca="false">IF(J1516="","",ABS(J1516))</f>
        <v>1.875</v>
      </c>
      <c r="O1516" s="33" t="n">
        <f aca="false">IF(K1516="","",ABS(K1516))</f>
        <v>2.19141281332594</v>
      </c>
      <c r="P1516" s="34" t="str">
        <f aca="false">IF(B1516&gt;=Eval_Start_Week,"YES","")</f>
        <v>YES</v>
      </c>
      <c r="Q1516" s="34" t="str">
        <f aca="false">IF(AND(B1516&gt;=Cal_Start_Week,B1516&lt;=Cal_End_Week),"YES","")</f>
        <v>YES</v>
      </c>
    </row>
    <row r="1517" customFormat="false" ht="15" hidden="false" customHeight="false" outlineLevel="0" collapsed="false">
      <c r="A1517" s="31" t="str">
        <f aca="false">Demand_History!C1517</f>
        <v>BTH-005</v>
      </c>
      <c r="B1517" s="31" t="n">
        <f aca="false">Demand_History!A1517</f>
        <v>60</v>
      </c>
      <c r="C1517" s="32" t="n">
        <f aca="false">Demand_History!D1517</f>
        <v>25</v>
      </c>
      <c r="D1517" s="33" t="n">
        <f aca="false">IF(B1517&gt;=2,C1516,"")</f>
        <v>21</v>
      </c>
      <c r="E1517" s="33" t="n">
        <f aca="false">IF(B1517&gt;=5,AVERAGE(C1513:C1516),"")</f>
        <v>20.25</v>
      </c>
      <c r="F1517" s="33" t="n">
        <f aca="false">IF(B1517&gt;=9,AVERAGE(C1509:C1516),"")</f>
        <v>19.5</v>
      </c>
      <c r="G1517" s="33" t="n">
        <f aca="false">IF(B1517=1,"",IF(B1517=2,C1516,SES_Alpha*C1516+(1-SES_Alpha)*G1516))</f>
        <v>19.4660110306718</v>
      </c>
      <c r="H1517" s="33" t="n">
        <f aca="false">IF(D1517="","",D1517-C1517)</f>
        <v>-4</v>
      </c>
      <c r="I1517" s="33" t="n">
        <f aca="false">IF(E1517="","",E1517-C1517)</f>
        <v>-4.75</v>
      </c>
      <c r="J1517" s="33" t="n">
        <f aca="false">IF(F1517="","",F1517-C1517)</f>
        <v>-5.5</v>
      </c>
      <c r="K1517" s="33" t="n">
        <f aca="false">IF(G1517="","",G1517-C1517)</f>
        <v>-5.53398896932816</v>
      </c>
      <c r="L1517" s="33" t="n">
        <f aca="false">IF(H1517="","",ABS(H1517))</f>
        <v>4</v>
      </c>
      <c r="M1517" s="33" t="n">
        <f aca="false">IF(I1517="","",ABS(I1517))</f>
        <v>4.75</v>
      </c>
      <c r="N1517" s="33" t="n">
        <f aca="false">IF(J1517="","",ABS(J1517))</f>
        <v>5.5</v>
      </c>
      <c r="O1517" s="33" t="n">
        <f aca="false">IF(K1517="","",ABS(K1517))</f>
        <v>5.53398896932816</v>
      </c>
      <c r="P1517" s="34" t="str">
        <f aca="false">IF(B1517&gt;=Eval_Start_Week,"YES","")</f>
        <v>YES</v>
      </c>
      <c r="Q1517" s="34" t="str">
        <f aca="false">IF(AND(B1517&gt;=Cal_Start_Week,B1517&lt;=Cal_End_Week),"YES","")</f>
        <v>YES</v>
      </c>
    </row>
    <row r="1518" customFormat="false" ht="15" hidden="false" customHeight="false" outlineLevel="0" collapsed="false">
      <c r="A1518" s="31" t="str">
        <f aca="false">Demand_History!C1518</f>
        <v>BTH-005</v>
      </c>
      <c r="B1518" s="31" t="n">
        <f aca="false">Demand_History!A1518</f>
        <v>61</v>
      </c>
      <c r="C1518" s="32" t="n">
        <f aca="false">Demand_History!D1518</f>
        <v>21</v>
      </c>
      <c r="D1518" s="33" t="n">
        <f aca="false">IF(B1518&gt;=2,C1517,"")</f>
        <v>25</v>
      </c>
      <c r="E1518" s="33" t="n">
        <f aca="false">IF(B1518&gt;=5,AVERAGE(C1514:C1517),"")</f>
        <v>21</v>
      </c>
      <c r="F1518" s="33" t="n">
        <f aca="false">IF(B1518&gt;=9,AVERAGE(C1510:C1517),"")</f>
        <v>20.25</v>
      </c>
      <c r="G1518" s="33" t="n">
        <f aca="false">IF(B1518=1,"",IF(B1518=2,C1517,SES_Alpha*C1517+(1-SES_Alpha)*G1517))</f>
        <v>21.1262077214703</v>
      </c>
      <c r="H1518" s="33" t="n">
        <f aca="false">IF(D1518="","",D1518-C1518)</f>
        <v>4</v>
      </c>
      <c r="I1518" s="33" t="n">
        <f aca="false">IF(E1518="","",E1518-C1518)</f>
        <v>0</v>
      </c>
      <c r="J1518" s="33" t="n">
        <f aca="false">IF(F1518="","",F1518-C1518)</f>
        <v>-0.75</v>
      </c>
      <c r="K1518" s="33" t="n">
        <f aca="false">IF(G1518="","",G1518-C1518)</f>
        <v>0.126207721470291</v>
      </c>
      <c r="L1518" s="33" t="n">
        <f aca="false">IF(H1518="","",ABS(H1518))</f>
        <v>4</v>
      </c>
      <c r="M1518" s="33" t="n">
        <f aca="false">IF(I1518="","",ABS(I1518))</f>
        <v>0</v>
      </c>
      <c r="N1518" s="33" t="n">
        <f aca="false">IF(J1518="","",ABS(J1518))</f>
        <v>0.75</v>
      </c>
      <c r="O1518" s="33" t="n">
        <f aca="false">IF(K1518="","",ABS(K1518))</f>
        <v>0.126207721470291</v>
      </c>
      <c r="P1518" s="34" t="str">
        <f aca="false">IF(B1518&gt;=Eval_Start_Week,"YES","")</f>
        <v>YES</v>
      </c>
      <c r="Q1518" s="34" t="str">
        <f aca="false">IF(AND(B1518&gt;=Cal_Start_Week,B1518&lt;=Cal_End_Week),"YES","")</f>
        <v>YES</v>
      </c>
    </row>
    <row r="1519" customFormat="false" ht="15" hidden="false" customHeight="false" outlineLevel="0" collapsed="false">
      <c r="A1519" s="31" t="str">
        <f aca="false">Demand_History!C1519</f>
        <v>BTH-005</v>
      </c>
      <c r="B1519" s="31" t="n">
        <f aca="false">Demand_History!A1519</f>
        <v>62</v>
      </c>
      <c r="C1519" s="32" t="n">
        <f aca="false">Demand_History!D1519</f>
        <v>23</v>
      </c>
      <c r="D1519" s="33" t="n">
        <f aca="false">IF(B1519&gt;=2,C1518,"")</f>
        <v>21</v>
      </c>
      <c r="E1519" s="33" t="n">
        <f aca="false">IF(B1519&gt;=5,AVERAGE(C1515:C1518),"")</f>
        <v>20.75</v>
      </c>
      <c r="F1519" s="33" t="n">
        <f aca="false">IF(B1519&gt;=9,AVERAGE(C1511:C1518),"")</f>
        <v>20.875</v>
      </c>
      <c r="G1519" s="33" t="n">
        <f aca="false">IF(B1519=1,"",IF(B1519=2,C1518,SES_Alpha*C1518+(1-SES_Alpha)*G1518))</f>
        <v>21.0883454050292</v>
      </c>
      <c r="H1519" s="33" t="n">
        <f aca="false">IF(D1519="","",D1519-C1519)</f>
        <v>-2</v>
      </c>
      <c r="I1519" s="33" t="n">
        <f aca="false">IF(E1519="","",E1519-C1519)</f>
        <v>-2.25</v>
      </c>
      <c r="J1519" s="33" t="n">
        <f aca="false">IF(F1519="","",F1519-C1519)</f>
        <v>-2.125</v>
      </c>
      <c r="K1519" s="33" t="n">
        <f aca="false">IF(G1519="","",G1519-C1519)</f>
        <v>-1.9116545949708</v>
      </c>
      <c r="L1519" s="33" t="n">
        <f aca="false">IF(H1519="","",ABS(H1519))</f>
        <v>2</v>
      </c>
      <c r="M1519" s="33" t="n">
        <f aca="false">IF(I1519="","",ABS(I1519))</f>
        <v>2.25</v>
      </c>
      <c r="N1519" s="33" t="n">
        <f aca="false">IF(J1519="","",ABS(J1519))</f>
        <v>2.125</v>
      </c>
      <c r="O1519" s="33" t="n">
        <f aca="false">IF(K1519="","",ABS(K1519))</f>
        <v>1.9116545949708</v>
      </c>
      <c r="P1519" s="34" t="str">
        <f aca="false">IF(B1519&gt;=Eval_Start_Week,"YES","")</f>
        <v>YES</v>
      </c>
      <c r="Q1519" s="34" t="str">
        <f aca="false">IF(AND(B1519&gt;=Cal_Start_Week,B1519&lt;=Cal_End_Week),"YES","")</f>
        <v>YES</v>
      </c>
    </row>
    <row r="1520" customFormat="false" ht="15" hidden="false" customHeight="false" outlineLevel="0" collapsed="false">
      <c r="A1520" s="31" t="str">
        <f aca="false">Demand_History!C1520</f>
        <v>BTH-005</v>
      </c>
      <c r="B1520" s="31" t="n">
        <f aca="false">Demand_History!A1520</f>
        <v>63</v>
      </c>
      <c r="C1520" s="32" t="n">
        <f aca="false">Demand_History!D1520</f>
        <v>24</v>
      </c>
      <c r="D1520" s="33" t="n">
        <f aca="false">IF(B1520&gt;=2,C1519,"")</f>
        <v>23</v>
      </c>
      <c r="E1520" s="33" t="n">
        <f aca="false">IF(B1520&gt;=5,AVERAGE(C1516:C1519),"")</f>
        <v>22.5</v>
      </c>
      <c r="F1520" s="33" t="n">
        <f aca="false">IF(B1520&gt;=9,AVERAGE(C1512:C1519),"")</f>
        <v>19.75</v>
      </c>
      <c r="G1520" s="33" t="n">
        <f aca="false">IF(B1520=1,"",IF(B1520=2,C1519,SES_Alpha*C1519+(1-SES_Alpha)*G1519))</f>
        <v>21.6618417835204</v>
      </c>
      <c r="H1520" s="33" t="n">
        <f aca="false">IF(D1520="","",D1520-C1520)</f>
        <v>-1</v>
      </c>
      <c r="I1520" s="33" t="n">
        <f aca="false">IF(E1520="","",E1520-C1520)</f>
        <v>-1.5</v>
      </c>
      <c r="J1520" s="33" t="n">
        <f aca="false">IF(F1520="","",F1520-C1520)</f>
        <v>-4.25</v>
      </c>
      <c r="K1520" s="33" t="n">
        <f aca="false">IF(G1520="","",G1520-C1520)</f>
        <v>-2.33815821647956</v>
      </c>
      <c r="L1520" s="33" t="n">
        <f aca="false">IF(H1520="","",ABS(H1520))</f>
        <v>1</v>
      </c>
      <c r="M1520" s="33" t="n">
        <f aca="false">IF(I1520="","",ABS(I1520))</f>
        <v>1.5</v>
      </c>
      <c r="N1520" s="33" t="n">
        <f aca="false">IF(J1520="","",ABS(J1520))</f>
        <v>4.25</v>
      </c>
      <c r="O1520" s="33" t="n">
        <f aca="false">IF(K1520="","",ABS(K1520))</f>
        <v>2.33815821647956</v>
      </c>
      <c r="P1520" s="34" t="str">
        <f aca="false">IF(B1520&gt;=Eval_Start_Week,"YES","")</f>
        <v>YES</v>
      </c>
      <c r="Q1520" s="34" t="str">
        <f aca="false">IF(AND(B1520&gt;=Cal_Start_Week,B1520&lt;=Cal_End_Week),"YES","")</f>
        <v>YES</v>
      </c>
    </row>
    <row r="1521" customFormat="false" ht="15" hidden="false" customHeight="false" outlineLevel="0" collapsed="false">
      <c r="A1521" s="31" t="str">
        <f aca="false">Demand_History!C1521</f>
        <v>BTH-005</v>
      </c>
      <c r="B1521" s="31" t="n">
        <f aca="false">Demand_History!A1521</f>
        <v>64</v>
      </c>
      <c r="C1521" s="32" t="n">
        <f aca="false">Demand_History!D1521</f>
        <v>7</v>
      </c>
      <c r="D1521" s="33" t="n">
        <f aca="false">IF(B1521&gt;=2,C1520,"")</f>
        <v>24</v>
      </c>
      <c r="E1521" s="33" t="n">
        <f aca="false">IF(B1521&gt;=5,AVERAGE(C1517:C1520),"")</f>
        <v>23.25</v>
      </c>
      <c r="F1521" s="33" t="n">
        <f aca="false">IF(B1521&gt;=9,AVERAGE(C1513:C1520),"")</f>
        <v>21.75</v>
      </c>
      <c r="G1521" s="33" t="n">
        <f aca="false">IF(B1521=1,"",IF(B1521=2,C1520,SES_Alpha*C1520+(1-SES_Alpha)*G1520))</f>
        <v>22.3632892484643</v>
      </c>
      <c r="H1521" s="33" t="n">
        <f aca="false">IF(D1521="","",D1521-C1521)</f>
        <v>17</v>
      </c>
      <c r="I1521" s="33" t="n">
        <f aca="false">IF(E1521="","",E1521-C1521)</f>
        <v>16.25</v>
      </c>
      <c r="J1521" s="33" t="n">
        <f aca="false">IF(F1521="","",F1521-C1521)</f>
        <v>14.75</v>
      </c>
      <c r="K1521" s="33" t="n">
        <f aca="false">IF(G1521="","",G1521-C1521)</f>
        <v>15.3632892484643</v>
      </c>
      <c r="L1521" s="33" t="n">
        <f aca="false">IF(H1521="","",ABS(H1521))</f>
        <v>17</v>
      </c>
      <c r="M1521" s="33" t="n">
        <f aca="false">IF(I1521="","",ABS(I1521))</f>
        <v>16.25</v>
      </c>
      <c r="N1521" s="33" t="n">
        <f aca="false">IF(J1521="","",ABS(J1521))</f>
        <v>14.75</v>
      </c>
      <c r="O1521" s="33" t="n">
        <f aca="false">IF(K1521="","",ABS(K1521))</f>
        <v>15.3632892484643</v>
      </c>
      <c r="P1521" s="34" t="str">
        <f aca="false">IF(B1521&gt;=Eval_Start_Week,"YES","")</f>
        <v>YES</v>
      </c>
      <c r="Q1521" s="34" t="str">
        <f aca="false">IF(AND(B1521&gt;=Cal_Start_Week,B1521&lt;=Cal_End_Week),"YES","")</f>
        <v>YES</v>
      </c>
    </row>
    <row r="1522" customFormat="false" ht="15" hidden="false" customHeight="false" outlineLevel="0" collapsed="false">
      <c r="A1522" s="31" t="str">
        <f aca="false">Demand_History!C1522</f>
        <v>BTH-005</v>
      </c>
      <c r="B1522" s="31" t="n">
        <f aca="false">Demand_History!A1522</f>
        <v>65</v>
      </c>
      <c r="C1522" s="32" t="n">
        <f aca="false">Demand_History!D1522</f>
        <v>29</v>
      </c>
      <c r="D1522" s="33" t="n">
        <f aca="false">IF(B1522&gt;=2,C1521,"")</f>
        <v>7</v>
      </c>
      <c r="E1522" s="33" t="n">
        <f aca="false">IF(B1522&gt;=5,AVERAGE(C1518:C1521),"")</f>
        <v>18.75</v>
      </c>
      <c r="F1522" s="33" t="n">
        <f aca="false">IF(B1522&gt;=9,AVERAGE(C1514:C1521),"")</f>
        <v>19.875</v>
      </c>
      <c r="G1522" s="33" t="n">
        <f aca="false">IF(B1522=1,"",IF(B1522=2,C1521,SES_Alpha*C1521+(1-SES_Alpha)*G1521))</f>
        <v>17.754302473925</v>
      </c>
      <c r="H1522" s="33" t="n">
        <f aca="false">IF(D1522="","",D1522-C1522)</f>
        <v>-22</v>
      </c>
      <c r="I1522" s="33" t="n">
        <f aca="false">IF(E1522="","",E1522-C1522)</f>
        <v>-10.25</v>
      </c>
      <c r="J1522" s="33" t="n">
        <f aca="false">IF(F1522="","",F1522-C1522)</f>
        <v>-9.125</v>
      </c>
      <c r="K1522" s="33" t="n">
        <f aca="false">IF(G1522="","",G1522-C1522)</f>
        <v>-11.245697526075</v>
      </c>
      <c r="L1522" s="33" t="n">
        <f aca="false">IF(H1522="","",ABS(H1522))</f>
        <v>22</v>
      </c>
      <c r="M1522" s="33" t="n">
        <f aca="false">IF(I1522="","",ABS(I1522))</f>
        <v>10.25</v>
      </c>
      <c r="N1522" s="33" t="n">
        <f aca="false">IF(J1522="","",ABS(J1522))</f>
        <v>9.125</v>
      </c>
      <c r="O1522" s="33" t="n">
        <f aca="false">IF(K1522="","",ABS(K1522))</f>
        <v>11.245697526075</v>
      </c>
      <c r="P1522" s="34" t="str">
        <f aca="false">IF(B1522&gt;=Eval_Start_Week,"YES","")</f>
        <v>YES</v>
      </c>
      <c r="Q1522" s="34" t="str">
        <f aca="false">IF(AND(B1522&gt;=Cal_Start_Week,B1522&lt;=Cal_End_Week),"YES","")</f>
        <v>YES</v>
      </c>
    </row>
    <row r="1523" customFormat="false" ht="15" hidden="false" customHeight="false" outlineLevel="0" collapsed="false">
      <c r="A1523" s="31" t="str">
        <f aca="false">Demand_History!C1523</f>
        <v>BTH-005</v>
      </c>
      <c r="B1523" s="31" t="n">
        <f aca="false">Demand_History!A1523</f>
        <v>66</v>
      </c>
      <c r="C1523" s="32" t="n">
        <f aca="false">Demand_History!D1523</f>
        <v>34</v>
      </c>
      <c r="D1523" s="33" t="n">
        <f aca="false">IF(B1523&gt;=2,C1522,"")</f>
        <v>29</v>
      </c>
      <c r="E1523" s="33" t="n">
        <f aca="false">IF(B1523&gt;=5,AVERAGE(C1519:C1522),"")</f>
        <v>20.75</v>
      </c>
      <c r="F1523" s="33" t="n">
        <f aca="false">IF(B1523&gt;=9,AVERAGE(C1515:C1522),"")</f>
        <v>20.75</v>
      </c>
      <c r="G1523" s="33" t="n">
        <f aca="false">IF(B1523=1,"",IF(B1523=2,C1522,SES_Alpha*C1522+(1-SES_Alpha)*G1522))</f>
        <v>21.1280117317475</v>
      </c>
      <c r="H1523" s="33" t="n">
        <f aca="false">IF(D1523="","",D1523-C1523)</f>
        <v>-5</v>
      </c>
      <c r="I1523" s="33" t="n">
        <f aca="false">IF(E1523="","",E1523-C1523)</f>
        <v>-13.25</v>
      </c>
      <c r="J1523" s="33" t="n">
        <f aca="false">IF(F1523="","",F1523-C1523)</f>
        <v>-13.25</v>
      </c>
      <c r="K1523" s="33" t="n">
        <f aca="false">IF(G1523="","",G1523-C1523)</f>
        <v>-12.8719882682525</v>
      </c>
      <c r="L1523" s="33" t="n">
        <f aca="false">IF(H1523="","",ABS(H1523))</f>
        <v>5</v>
      </c>
      <c r="M1523" s="33" t="n">
        <f aca="false">IF(I1523="","",ABS(I1523))</f>
        <v>13.25</v>
      </c>
      <c r="N1523" s="33" t="n">
        <f aca="false">IF(J1523="","",ABS(J1523))</f>
        <v>13.25</v>
      </c>
      <c r="O1523" s="33" t="n">
        <f aca="false">IF(K1523="","",ABS(K1523))</f>
        <v>12.8719882682525</v>
      </c>
      <c r="P1523" s="34" t="str">
        <f aca="false">IF(B1523&gt;=Eval_Start_Week,"YES","")</f>
        <v>YES</v>
      </c>
      <c r="Q1523" s="34" t="str">
        <f aca="false">IF(AND(B1523&gt;=Cal_Start_Week,B1523&lt;=Cal_End_Week),"YES","")</f>
        <v>YES</v>
      </c>
    </row>
    <row r="1524" customFormat="false" ht="15" hidden="false" customHeight="false" outlineLevel="0" collapsed="false">
      <c r="A1524" s="31" t="str">
        <f aca="false">Demand_History!C1524</f>
        <v>BTH-005</v>
      </c>
      <c r="B1524" s="31" t="n">
        <f aca="false">Demand_History!A1524</f>
        <v>67</v>
      </c>
      <c r="C1524" s="32" t="n">
        <f aca="false">Demand_History!D1524</f>
        <v>26</v>
      </c>
      <c r="D1524" s="33" t="n">
        <f aca="false">IF(B1524&gt;=2,C1523,"")</f>
        <v>34</v>
      </c>
      <c r="E1524" s="33" t="n">
        <f aca="false">IF(B1524&gt;=5,AVERAGE(C1520:C1523),"")</f>
        <v>23.5</v>
      </c>
      <c r="F1524" s="33" t="n">
        <f aca="false">IF(B1524&gt;=9,AVERAGE(C1516:C1523),"")</f>
        <v>23</v>
      </c>
      <c r="G1524" s="33" t="n">
        <f aca="false">IF(B1524=1,"",IF(B1524=2,C1523,SES_Alpha*C1523+(1-SES_Alpha)*G1523))</f>
        <v>24.9896082122233</v>
      </c>
      <c r="H1524" s="33" t="n">
        <f aca="false">IF(D1524="","",D1524-C1524)</f>
        <v>8</v>
      </c>
      <c r="I1524" s="33" t="n">
        <f aca="false">IF(E1524="","",E1524-C1524)</f>
        <v>-2.5</v>
      </c>
      <c r="J1524" s="33" t="n">
        <f aca="false">IF(F1524="","",F1524-C1524)</f>
        <v>-3</v>
      </c>
      <c r="K1524" s="33" t="n">
        <f aca="false">IF(G1524="","",G1524-C1524)</f>
        <v>-1.01039178777675</v>
      </c>
      <c r="L1524" s="33" t="n">
        <f aca="false">IF(H1524="","",ABS(H1524))</f>
        <v>8</v>
      </c>
      <c r="M1524" s="33" t="n">
        <f aca="false">IF(I1524="","",ABS(I1524))</f>
        <v>2.5</v>
      </c>
      <c r="N1524" s="33" t="n">
        <f aca="false">IF(J1524="","",ABS(J1524))</f>
        <v>3</v>
      </c>
      <c r="O1524" s="33" t="n">
        <f aca="false">IF(K1524="","",ABS(K1524))</f>
        <v>1.01039178777675</v>
      </c>
      <c r="P1524" s="34" t="str">
        <f aca="false">IF(B1524&gt;=Eval_Start_Week,"YES","")</f>
        <v>YES</v>
      </c>
      <c r="Q1524" s="34" t="str">
        <f aca="false">IF(AND(B1524&gt;=Cal_Start_Week,B1524&lt;=Cal_End_Week),"YES","")</f>
        <v>YES</v>
      </c>
    </row>
    <row r="1525" customFormat="false" ht="15" hidden="false" customHeight="false" outlineLevel="0" collapsed="false">
      <c r="A1525" s="31" t="str">
        <f aca="false">Demand_History!C1525</f>
        <v>BTH-005</v>
      </c>
      <c r="B1525" s="31" t="n">
        <f aca="false">Demand_History!A1525</f>
        <v>68</v>
      </c>
      <c r="C1525" s="32" t="n">
        <f aca="false">Demand_History!D1525</f>
        <v>26</v>
      </c>
      <c r="D1525" s="33" t="n">
        <f aca="false">IF(B1525&gt;=2,C1524,"")</f>
        <v>26</v>
      </c>
      <c r="E1525" s="33" t="n">
        <f aca="false">IF(B1525&gt;=5,AVERAGE(C1521:C1524),"")</f>
        <v>24</v>
      </c>
      <c r="F1525" s="33" t="n">
        <f aca="false">IF(B1525&gt;=9,AVERAGE(C1517:C1524),"")</f>
        <v>23.625</v>
      </c>
      <c r="G1525" s="33" t="n">
        <f aca="false">IF(B1525=1,"",IF(B1525=2,C1524,SES_Alpha*C1524+(1-SES_Alpha)*G1524))</f>
        <v>25.2927257485563</v>
      </c>
      <c r="H1525" s="33" t="n">
        <f aca="false">IF(D1525="","",D1525-C1525)</f>
        <v>0</v>
      </c>
      <c r="I1525" s="33" t="n">
        <f aca="false">IF(E1525="","",E1525-C1525)</f>
        <v>-2</v>
      </c>
      <c r="J1525" s="33" t="n">
        <f aca="false">IF(F1525="","",F1525-C1525)</f>
        <v>-2.375</v>
      </c>
      <c r="K1525" s="33" t="n">
        <f aca="false">IF(G1525="","",G1525-C1525)</f>
        <v>-0.707274251443725</v>
      </c>
      <c r="L1525" s="33" t="n">
        <f aca="false">IF(H1525="","",ABS(H1525))</f>
        <v>0</v>
      </c>
      <c r="M1525" s="33" t="n">
        <f aca="false">IF(I1525="","",ABS(I1525))</f>
        <v>2</v>
      </c>
      <c r="N1525" s="33" t="n">
        <f aca="false">IF(J1525="","",ABS(J1525))</f>
        <v>2.375</v>
      </c>
      <c r="O1525" s="33" t="n">
        <f aca="false">IF(K1525="","",ABS(K1525))</f>
        <v>0.707274251443725</v>
      </c>
      <c r="P1525" s="34" t="str">
        <f aca="false">IF(B1525&gt;=Eval_Start_Week,"YES","")</f>
        <v>YES</v>
      </c>
      <c r="Q1525" s="34" t="str">
        <f aca="false">IF(AND(B1525&gt;=Cal_Start_Week,B1525&lt;=Cal_End_Week),"YES","")</f>
        <v>YES</v>
      </c>
    </row>
    <row r="1526" customFormat="false" ht="15" hidden="false" customHeight="false" outlineLevel="0" collapsed="false">
      <c r="A1526" s="31" t="str">
        <f aca="false">Demand_History!C1526</f>
        <v>BTH-005</v>
      </c>
      <c r="B1526" s="31" t="n">
        <f aca="false">Demand_History!A1526</f>
        <v>69</v>
      </c>
      <c r="C1526" s="32" t="n">
        <f aca="false">Demand_History!D1526</f>
        <v>11</v>
      </c>
      <c r="D1526" s="33" t="n">
        <f aca="false">IF(B1526&gt;=2,C1525,"")</f>
        <v>26</v>
      </c>
      <c r="E1526" s="33" t="n">
        <f aca="false">IF(B1526&gt;=5,AVERAGE(C1522:C1525),"")</f>
        <v>28.75</v>
      </c>
      <c r="F1526" s="33" t="n">
        <f aca="false">IF(B1526&gt;=9,AVERAGE(C1518:C1525),"")</f>
        <v>23.75</v>
      </c>
      <c r="G1526" s="33" t="n">
        <f aca="false">IF(B1526=1,"",IF(B1526=2,C1525,SES_Alpha*C1525+(1-SES_Alpha)*G1525))</f>
        <v>25.5049080239894</v>
      </c>
      <c r="H1526" s="33" t="n">
        <f aca="false">IF(D1526="","",D1526-C1526)</f>
        <v>15</v>
      </c>
      <c r="I1526" s="33" t="n">
        <f aca="false">IF(E1526="","",E1526-C1526)</f>
        <v>17.75</v>
      </c>
      <c r="J1526" s="33" t="n">
        <f aca="false">IF(F1526="","",F1526-C1526)</f>
        <v>12.75</v>
      </c>
      <c r="K1526" s="33" t="n">
        <f aca="false">IF(G1526="","",G1526-C1526)</f>
        <v>14.5049080239894</v>
      </c>
      <c r="L1526" s="33" t="n">
        <f aca="false">IF(H1526="","",ABS(H1526))</f>
        <v>15</v>
      </c>
      <c r="M1526" s="33" t="n">
        <f aca="false">IF(I1526="","",ABS(I1526))</f>
        <v>17.75</v>
      </c>
      <c r="N1526" s="33" t="n">
        <f aca="false">IF(J1526="","",ABS(J1526))</f>
        <v>12.75</v>
      </c>
      <c r="O1526" s="33" t="n">
        <f aca="false">IF(K1526="","",ABS(K1526))</f>
        <v>14.5049080239894</v>
      </c>
      <c r="P1526" s="34" t="str">
        <f aca="false">IF(B1526&gt;=Eval_Start_Week,"YES","")</f>
        <v>YES</v>
      </c>
      <c r="Q1526" s="34" t="str">
        <f aca="false">IF(AND(B1526&gt;=Cal_Start_Week,B1526&lt;=Cal_End_Week),"YES","")</f>
        <v>YES</v>
      </c>
    </row>
    <row r="1527" customFormat="false" ht="15" hidden="false" customHeight="false" outlineLevel="0" collapsed="false">
      <c r="A1527" s="31" t="str">
        <f aca="false">Demand_History!C1527</f>
        <v>BTH-005</v>
      </c>
      <c r="B1527" s="31" t="n">
        <f aca="false">Demand_History!A1527</f>
        <v>70</v>
      </c>
      <c r="C1527" s="32" t="n">
        <f aca="false">Demand_History!D1527</f>
        <v>19</v>
      </c>
      <c r="D1527" s="33" t="n">
        <f aca="false">IF(B1527&gt;=2,C1526,"")</f>
        <v>11</v>
      </c>
      <c r="E1527" s="33" t="n">
        <f aca="false">IF(B1527&gt;=5,AVERAGE(C1523:C1526),"")</f>
        <v>24.25</v>
      </c>
      <c r="F1527" s="33" t="n">
        <f aca="false">IF(B1527&gt;=9,AVERAGE(C1519:C1526),"")</f>
        <v>22.5</v>
      </c>
      <c r="G1527" s="33" t="n">
        <f aca="false">IF(B1527=1,"",IF(B1527=2,C1526,SES_Alpha*C1526+(1-SES_Alpha)*G1526))</f>
        <v>21.1534356167926</v>
      </c>
      <c r="H1527" s="33" t="n">
        <f aca="false">IF(D1527="","",D1527-C1527)</f>
        <v>-8</v>
      </c>
      <c r="I1527" s="33" t="n">
        <f aca="false">IF(E1527="","",E1527-C1527)</f>
        <v>5.25</v>
      </c>
      <c r="J1527" s="33" t="n">
        <f aca="false">IF(F1527="","",F1527-C1527)</f>
        <v>3.5</v>
      </c>
      <c r="K1527" s="33" t="n">
        <f aca="false">IF(G1527="","",G1527-C1527)</f>
        <v>2.15343561679257</v>
      </c>
      <c r="L1527" s="33" t="n">
        <f aca="false">IF(H1527="","",ABS(H1527))</f>
        <v>8</v>
      </c>
      <c r="M1527" s="33" t="n">
        <f aca="false">IF(I1527="","",ABS(I1527))</f>
        <v>5.25</v>
      </c>
      <c r="N1527" s="33" t="n">
        <f aca="false">IF(J1527="","",ABS(J1527))</f>
        <v>3.5</v>
      </c>
      <c r="O1527" s="33" t="n">
        <f aca="false">IF(K1527="","",ABS(K1527))</f>
        <v>2.15343561679257</v>
      </c>
      <c r="P1527" s="34" t="str">
        <f aca="false">IF(B1527&gt;=Eval_Start_Week,"YES","")</f>
        <v>YES</v>
      </c>
      <c r="Q1527" s="34" t="str">
        <f aca="false">IF(AND(B1527&gt;=Cal_Start_Week,B1527&lt;=Cal_End_Week),"YES","")</f>
        <v>YES</v>
      </c>
    </row>
    <row r="1528" customFormat="false" ht="15" hidden="false" customHeight="false" outlineLevel="0" collapsed="false">
      <c r="A1528" s="31" t="str">
        <f aca="false">Demand_History!C1528</f>
        <v>BTH-005</v>
      </c>
      <c r="B1528" s="31" t="n">
        <f aca="false">Demand_History!A1528</f>
        <v>71</v>
      </c>
      <c r="C1528" s="32" t="n">
        <f aca="false">Demand_History!D1528</f>
        <v>15</v>
      </c>
      <c r="D1528" s="33" t="n">
        <f aca="false">IF(B1528&gt;=2,C1527,"")</f>
        <v>19</v>
      </c>
      <c r="E1528" s="33" t="n">
        <f aca="false">IF(B1528&gt;=5,AVERAGE(C1524:C1527),"")</f>
        <v>20.5</v>
      </c>
      <c r="F1528" s="33" t="n">
        <f aca="false">IF(B1528&gt;=9,AVERAGE(C1520:C1527),"")</f>
        <v>22</v>
      </c>
      <c r="G1528" s="33" t="n">
        <f aca="false">IF(B1528=1,"",IF(B1528=2,C1527,SES_Alpha*C1527+(1-SES_Alpha)*G1527))</f>
        <v>20.5074049317548</v>
      </c>
      <c r="H1528" s="33" t="n">
        <f aca="false">IF(D1528="","",D1528-C1528)</f>
        <v>4</v>
      </c>
      <c r="I1528" s="33" t="n">
        <f aca="false">IF(E1528="","",E1528-C1528)</f>
        <v>5.5</v>
      </c>
      <c r="J1528" s="33" t="n">
        <f aca="false">IF(F1528="","",F1528-C1528)</f>
        <v>7</v>
      </c>
      <c r="K1528" s="33" t="n">
        <f aca="false">IF(G1528="","",G1528-C1528)</f>
        <v>5.5074049317548</v>
      </c>
      <c r="L1528" s="33" t="n">
        <f aca="false">IF(H1528="","",ABS(H1528))</f>
        <v>4</v>
      </c>
      <c r="M1528" s="33" t="n">
        <f aca="false">IF(I1528="","",ABS(I1528))</f>
        <v>5.5</v>
      </c>
      <c r="N1528" s="33" t="n">
        <f aca="false">IF(J1528="","",ABS(J1528))</f>
        <v>7</v>
      </c>
      <c r="O1528" s="33" t="n">
        <f aca="false">IF(K1528="","",ABS(K1528))</f>
        <v>5.5074049317548</v>
      </c>
      <c r="P1528" s="34" t="str">
        <f aca="false">IF(B1528&gt;=Eval_Start_Week,"YES","")</f>
        <v>YES</v>
      </c>
      <c r="Q1528" s="34" t="str">
        <f aca="false">IF(AND(B1528&gt;=Cal_Start_Week,B1528&lt;=Cal_End_Week),"YES","")</f>
        <v>YES</v>
      </c>
    </row>
    <row r="1529" customFormat="false" ht="15" hidden="false" customHeight="false" outlineLevel="0" collapsed="false">
      <c r="A1529" s="31" t="str">
        <f aca="false">Demand_History!C1529</f>
        <v>BTH-005</v>
      </c>
      <c r="B1529" s="31" t="n">
        <f aca="false">Demand_History!A1529</f>
        <v>72</v>
      </c>
      <c r="C1529" s="32" t="n">
        <f aca="false">Demand_History!D1529</f>
        <v>16</v>
      </c>
      <c r="D1529" s="33" t="n">
        <f aca="false">IF(B1529&gt;=2,C1528,"")</f>
        <v>15</v>
      </c>
      <c r="E1529" s="33" t="n">
        <f aca="false">IF(B1529&gt;=5,AVERAGE(C1525:C1528),"")</f>
        <v>17.75</v>
      </c>
      <c r="F1529" s="33" t="n">
        <f aca="false">IF(B1529&gt;=9,AVERAGE(C1521:C1528),"")</f>
        <v>20.875</v>
      </c>
      <c r="G1529" s="33" t="n">
        <f aca="false">IF(B1529=1,"",IF(B1529=2,C1528,SES_Alpha*C1528+(1-SES_Alpha)*G1528))</f>
        <v>18.8551834522284</v>
      </c>
      <c r="H1529" s="33" t="n">
        <f aca="false">IF(D1529="","",D1529-C1529)</f>
        <v>-1</v>
      </c>
      <c r="I1529" s="33" t="n">
        <f aca="false">IF(E1529="","",E1529-C1529)</f>
        <v>1.75</v>
      </c>
      <c r="J1529" s="33" t="n">
        <f aca="false">IF(F1529="","",F1529-C1529)</f>
        <v>4.875</v>
      </c>
      <c r="K1529" s="33" t="n">
        <f aca="false">IF(G1529="","",G1529-C1529)</f>
        <v>2.85518345222836</v>
      </c>
      <c r="L1529" s="33" t="n">
        <f aca="false">IF(H1529="","",ABS(H1529))</f>
        <v>1</v>
      </c>
      <c r="M1529" s="33" t="n">
        <f aca="false">IF(I1529="","",ABS(I1529))</f>
        <v>1.75</v>
      </c>
      <c r="N1529" s="33" t="n">
        <f aca="false">IF(J1529="","",ABS(J1529))</f>
        <v>4.875</v>
      </c>
      <c r="O1529" s="33" t="n">
        <f aca="false">IF(K1529="","",ABS(K1529))</f>
        <v>2.85518345222836</v>
      </c>
      <c r="P1529" s="34" t="str">
        <f aca="false">IF(B1529&gt;=Eval_Start_Week,"YES","")</f>
        <v>YES</v>
      </c>
      <c r="Q1529" s="34" t="str">
        <f aca="false">IF(AND(B1529&gt;=Cal_Start_Week,B1529&lt;=Cal_End_Week),"YES","")</f>
        <v>YES</v>
      </c>
    </row>
    <row r="1530" customFormat="false" ht="15" hidden="false" customHeight="false" outlineLevel="0" collapsed="false">
      <c r="A1530" s="31" t="str">
        <f aca="false">Demand_History!C1530</f>
        <v>BTH-005</v>
      </c>
      <c r="B1530" s="31" t="n">
        <f aca="false">Demand_History!A1530</f>
        <v>73</v>
      </c>
      <c r="C1530" s="32" t="n">
        <f aca="false">Demand_History!D1530</f>
        <v>26</v>
      </c>
      <c r="D1530" s="33" t="n">
        <f aca="false">IF(B1530&gt;=2,C1529,"")</f>
        <v>16</v>
      </c>
      <c r="E1530" s="33" t="n">
        <f aca="false">IF(B1530&gt;=5,AVERAGE(C1526:C1529),"")</f>
        <v>15.25</v>
      </c>
      <c r="F1530" s="33" t="n">
        <f aca="false">IF(B1530&gt;=9,AVERAGE(C1522:C1529),"")</f>
        <v>22</v>
      </c>
      <c r="G1530" s="33" t="n">
        <f aca="false">IF(B1530=1,"",IF(B1530=2,C1529,SES_Alpha*C1529+(1-SES_Alpha)*G1529))</f>
        <v>17.9986284165599</v>
      </c>
      <c r="H1530" s="33" t="n">
        <f aca="false">IF(D1530="","",D1530-C1530)</f>
        <v>-10</v>
      </c>
      <c r="I1530" s="33" t="n">
        <f aca="false">IF(E1530="","",E1530-C1530)</f>
        <v>-10.75</v>
      </c>
      <c r="J1530" s="33" t="n">
        <f aca="false">IF(F1530="","",F1530-C1530)</f>
        <v>-4</v>
      </c>
      <c r="K1530" s="33" t="n">
        <f aca="false">IF(G1530="","",G1530-C1530)</f>
        <v>-8.00137158344015</v>
      </c>
      <c r="L1530" s="33" t="n">
        <f aca="false">IF(H1530="","",ABS(H1530))</f>
        <v>10</v>
      </c>
      <c r="M1530" s="33" t="n">
        <f aca="false">IF(I1530="","",ABS(I1530))</f>
        <v>10.75</v>
      </c>
      <c r="N1530" s="33" t="n">
        <f aca="false">IF(J1530="","",ABS(J1530))</f>
        <v>4</v>
      </c>
      <c r="O1530" s="33" t="n">
        <f aca="false">IF(K1530="","",ABS(K1530))</f>
        <v>8.00137158344015</v>
      </c>
      <c r="P1530" s="34" t="str">
        <f aca="false">IF(B1530&gt;=Eval_Start_Week,"YES","")</f>
        <v>YES</v>
      </c>
      <c r="Q1530" s="34" t="str">
        <f aca="false">IF(AND(B1530&gt;=Cal_Start_Week,B1530&lt;=Cal_End_Week),"YES","")</f>
        <v>YES</v>
      </c>
    </row>
    <row r="1531" customFormat="false" ht="15" hidden="false" customHeight="false" outlineLevel="0" collapsed="false">
      <c r="A1531" s="31" t="str">
        <f aca="false">Demand_History!C1531</f>
        <v>BTH-005</v>
      </c>
      <c r="B1531" s="31" t="n">
        <f aca="false">Demand_History!A1531</f>
        <v>74</v>
      </c>
      <c r="C1531" s="32" t="n">
        <f aca="false">Demand_History!D1531</f>
        <v>15</v>
      </c>
      <c r="D1531" s="33" t="n">
        <f aca="false">IF(B1531&gt;=2,C1530,"")</f>
        <v>26</v>
      </c>
      <c r="E1531" s="33" t="n">
        <f aca="false">IF(B1531&gt;=5,AVERAGE(C1527:C1530),"")</f>
        <v>19</v>
      </c>
      <c r="F1531" s="33" t="n">
        <f aca="false">IF(B1531&gt;=9,AVERAGE(C1523:C1530),"")</f>
        <v>21.625</v>
      </c>
      <c r="G1531" s="33" t="n">
        <f aca="false">IF(B1531=1,"",IF(B1531=2,C1530,SES_Alpha*C1530+(1-SES_Alpha)*G1530))</f>
        <v>20.3990398915919</v>
      </c>
      <c r="H1531" s="33" t="n">
        <f aca="false">IF(D1531="","",D1531-C1531)</f>
        <v>11</v>
      </c>
      <c r="I1531" s="33" t="n">
        <f aca="false">IF(E1531="","",E1531-C1531)</f>
        <v>4</v>
      </c>
      <c r="J1531" s="33" t="n">
        <f aca="false">IF(F1531="","",F1531-C1531)</f>
        <v>6.625</v>
      </c>
      <c r="K1531" s="33" t="n">
        <f aca="false">IF(G1531="","",G1531-C1531)</f>
        <v>5.39903989159189</v>
      </c>
      <c r="L1531" s="33" t="n">
        <f aca="false">IF(H1531="","",ABS(H1531))</f>
        <v>11</v>
      </c>
      <c r="M1531" s="33" t="n">
        <f aca="false">IF(I1531="","",ABS(I1531))</f>
        <v>4</v>
      </c>
      <c r="N1531" s="33" t="n">
        <f aca="false">IF(J1531="","",ABS(J1531))</f>
        <v>6.625</v>
      </c>
      <c r="O1531" s="33" t="n">
        <f aca="false">IF(K1531="","",ABS(K1531))</f>
        <v>5.39903989159189</v>
      </c>
      <c r="P1531" s="34" t="str">
        <f aca="false">IF(B1531&gt;=Eval_Start_Week,"YES","")</f>
        <v>YES</v>
      </c>
      <c r="Q1531" s="34" t="str">
        <f aca="false">IF(AND(B1531&gt;=Cal_Start_Week,B1531&lt;=Cal_End_Week),"YES","")</f>
        <v>YES</v>
      </c>
    </row>
    <row r="1532" customFormat="false" ht="15" hidden="false" customHeight="false" outlineLevel="0" collapsed="false">
      <c r="A1532" s="31" t="str">
        <f aca="false">Demand_History!C1532</f>
        <v>BTH-005</v>
      </c>
      <c r="B1532" s="31" t="n">
        <f aca="false">Demand_History!A1532</f>
        <v>75</v>
      </c>
      <c r="C1532" s="32" t="n">
        <f aca="false">Demand_History!D1532</f>
        <v>19</v>
      </c>
      <c r="D1532" s="33" t="n">
        <f aca="false">IF(B1532&gt;=2,C1531,"")</f>
        <v>15</v>
      </c>
      <c r="E1532" s="33" t="n">
        <f aca="false">IF(B1532&gt;=5,AVERAGE(C1528:C1531),"")</f>
        <v>18</v>
      </c>
      <c r="F1532" s="33" t="n">
        <f aca="false">IF(B1532&gt;=9,AVERAGE(C1524:C1531),"")</f>
        <v>19.25</v>
      </c>
      <c r="G1532" s="33" t="n">
        <f aca="false">IF(B1532=1,"",IF(B1532=2,C1531,SES_Alpha*C1531+(1-SES_Alpha)*G1531))</f>
        <v>18.7793279241143</v>
      </c>
      <c r="H1532" s="33" t="n">
        <f aca="false">IF(D1532="","",D1532-C1532)</f>
        <v>-4</v>
      </c>
      <c r="I1532" s="33" t="n">
        <f aca="false">IF(E1532="","",E1532-C1532)</f>
        <v>-1</v>
      </c>
      <c r="J1532" s="33" t="n">
        <f aca="false">IF(F1532="","",F1532-C1532)</f>
        <v>0.25</v>
      </c>
      <c r="K1532" s="33" t="n">
        <f aca="false">IF(G1532="","",G1532-C1532)</f>
        <v>-0.220672075885673</v>
      </c>
      <c r="L1532" s="33" t="n">
        <f aca="false">IF(H1532="","",ABS(H1532))</f>
        <v>4</v>
      </c>
      <c r="M1532" s="33" t="n">
        <f aca="false">IF(I1532="","",ABS(I1532))</f>
        <v>1</v>
      </c>
      <c r="N1532" s="33" t="n">
        <f aca="false">IF(J1532="","",ABS(J1532))</f>
        <v>0.25</v>
      </c>
      <c r="O1532" s="33" t="n">
        <f aca="false">IF(K1532="","",ABS(K1532))</f>
        <v>0.220672075885673</v>
      </c>
      <c r="P1532" s="34" t="str">
        <f aca="false">IF(B1532&gt;=Eval_Start_Week,"YES","")</f>
        <v>YES</v>
      </c>
      <c r="Q1532" s="34" t="str">
        <f aca="false">IF(AND(B1532&gt;=Cal_Start_Week,B1532&lt;=Cal_End_Week),"YES","")</f>
        <v>YES</v>
      </c>
    </row>
    <row r="1533" customFormat="false" ht="15" hidden="false" customHeight="false" outlineLevel="0" collapsed="false">
      <c r="A1533" s="31" t="str">
        <f aca="false">Demand_History!C1533</f>
        <v>BTH-005</v>
      </c>
      <c r="B1533" s="31" t="n">
        <f aca="false">Demand_History!A1533</f>
        <v>76</v>
      </c>
      <c r="C1533" s="32" t="n">
        <f aca="false">Demand_History!D1533</f>
        <v>8</v>
      </c>
      <c r="D1533" s="33" t="n">
        <f aca="false">IF(B1533&gt;=2,C1532,"")</f>
        <v>19</v>
      </c>
      <c r="E1533" s="33" t="n">
        <f aca="false">IF(B1533&gt;=5,AVERAGE(C1529:C1532),"")</f>
        <v>19</v>
      </c>
      <c r="F1533" s="33" t="n">
        <f aca="false">IF(B1533&gt;=9,AVERAGE(C1525:C1532),"")</f>
        <v>18.375</v>
      </c>
      <c r="G1533" s="33" t="n">
        <f aca="false">IF(B1533=1,"",IF(B1533=2,C1532,SES_Alpha*C1532+(1-SES_Alpha)*G1532))</f>
        <v>18.84552954688</v>
      </c>
      <c r="H1533" s="33" t="n">
        <f aca="false">IF(D1533="","",D1533-C1533)</f>
        <v>11</v>
      </c>
      <c r="I1533" s="33" t="n">
        <f aca="false">IF(E1533="","",E1533-C1533)</f>
        <v>11</v>
      </c>
      <c r="J1533" s="33" t="n">
        <f aca="false">IF(F1533="","",F1533-C1533)</f>
        <v>10.375</v>
      </c>
      <c r="K1533" s="33" t="n">
        <f aca="false">IF(G1533="","",G1533-C1533)</f>
        <v>10.84552954688</v>
      </c>
      <c r="L1533" s="33" t="n">
        <f aca="false">IF(H1533="","",ABS(H1533))</f>
        <v>11</v>
      </c>
      <c r="M1533" s="33" t="n">
        <f aca="false">IF(I1533="","",ABS(I1533))</f>
        <v>11</v>
      </c>
      <c r="N1533" s="33" t="n">
        <f aca="false">IF(J1533="","",ABS(J1533))</f>
        <v>10.375</v>
      </c>
      <c r="O1533" s="33" t="n">
        <f aca="false">IF(K1533="","",ABS(K1533))</f>
        <v>10.84552954688</v>
      </c>
      <c r="P1533" s="34" t="str">
        <f aca="false">IF(B1533&gt;=Eval_Start_Week,"YES","")</f>
        <v>YES</v>
      </c>
      <c r="Q1533" s="34" t="str">
        <f aca="false">IF(AND(B1533&gt;=Cal_Start_Week,B1533&lt;=Cal_End_Week),"YES","")</f>
        <v>YES</v>
      </c>
    </row>
    <row r="1534" customFormat="false" ht="15" hidden="false" customHeight="false" outlineLevel="0" collapsed="false">
      <c r="A1534" s="31" t="str">
        <f aca="false">Demand_History!C1534</f>
        <v>BTH-005</v>
      </c>
      <c r="B1534" s="31" t="n">
        <f aca="false">Demand_History!A1534</f>
        <v>77</v>
      </c>
      <c r="C1534" s="32" t="n">
        <f aca="false">Demand_History!D1534</f>
        <v>19</v>
      </c>
      <c r="D1534" s="33" t="n">
        <f aca="false">IF(B1534&gt;=2,C1533,"")</f>
        <v>8</v>
      </c>
      <c r="E1534" s="33" t="n">
        <f aca="false">IF(B1534&gt;=5,AVERAGE(C1530:C1533),"")</f>
        <v>17</v>
      </c>
      <c r="F1534" s="33" t="n">
        <f aca="false">IF(B1534&gt;=9,AVERAGE(C1526:C1533),"")</f>
        <v>16.125</v>
      </c>
      <c r="G1534" s="33" t="n">
        <f aca="false">IF(B1534=1,"",IF(B1534=2,C1533,SES_Alpha*C1533+(1-SES_Alpha)*G1533))</f>
        <v>15.591870682816</v>
      </c>
      <c r="H1534" s="33" t="n">
        <f aca="false">IF(D1534="","",D1534-C1534)</f>
        <v>-11</v>
      </c>
      <c r="I1534" s="33" t="n">
        <f aca="false">IF(E1534="","",E1534-C1534)</f>
        <v>-2</v>
      </c>
      <c r="J1534" s="33" t="n">
        <f aca="false">IF(F1534="","",F1534-C1534)</f>
        <v>-2.875</v>
      </c>
      <c r="K1534" s="33" t="n">
        <f aca="false">IF(G1534="","",G1534-C1534)</f>
        <v>-3.40812931718398</v>
      </c>
      <c r="L1534" s="33" t="n">
        <f aca="false">IF(H1534="","",ABS(H1534))</f>
        <v>11</v>
      </c>
      <c r="M1534" s="33" t="n">
        <f aca="false">IF(I1534="","",ABS(I1534))</f>
        <v>2</v>
      </c>
      <c r="N1534" s="33" t="n">
        <f aca="false">IF(J1534="","",ABS(J1534))</f>
        <v>2.875</v>
      </c>
      <c r="O1534" s="33" t="n">
        <f aca="false">IF(K1534="","",ABS(K1534))</f>
        <v>3.40812931718398</v>
      </c>
      <c r="P1534" s="34" t="str">
        <f aca="false">IF(B1534&gt;=Eval_Start_Week,"YES","")</f>
        <v>YES</v>
      </c>
      <c r="Q1534" s="34" t="str">
        <f aca="false">IF(AND(B1534&gt;=Cal_Start_Week,B1534&lt;=Cal_End_Week),"YES","")</f>
        <v>YES</v>
      </c>
    </row>
    <row r="1535" customFormat="false" ht="15" hidden="false" customHeight="false" outlineLevel="0" collapsed="false">
      <c r="A1535" s="31" t="str">
        <f aca="false">Demand_History!C1535</f>
        <v>BTH-005</v>
      </c>
      <c r="B1535" s="31" t="n">
        <f aca="false">Demand_History!A1535</f>
        <v>78</v>
      </c>
      <c r="C1535" s="32" t="n">
        <f aca="false">Demand_History!D1535</f>
        <v>21</v>
      </c>
      <c r="D1535" s="33" t="n">
        <f aca="false">IF(B1535&gt;=2,C1534,"")</f>
        <v>19</v>
      </c>
      <c r="E1535" s="33" t="n">
        <f aca="false">IF(B1535&gt;=5,AVERAGE(C1531:C1534),"")</f>
        <v>15.25</v>
      </c>
      <c r="F1535" s="33" t="n">
        <f aca="false">IF(B1535&gt;=9,AVERAGE(C1527:C1534),"")</f>
        <v>17.125</v>
      </c>
      <c r="G1535" s="33" t="n">
        <f aca="false">IF(B1535=1,"",IF(B1535=2,C1534,SES_Alpha*C1534+(1-SES_Alpha)*G1534))</f>
        <v>16.6143094779712</v>
      </c>
      <c r="H1535" s="33" t="n">
        <f aca="false">IF(D1535="","",D1535-C1535)</f>
        <v>-2</v>
      </c>
      <c r="I1535" s="33" t="n">
        <f aca="false">IF(E1535="","",E1535-C1535)</f>
        <v>-5.75</v>
      </c>
      <c r="J1535" s="33" t="n">
        <f aca="false">IF(F1535="","",F1535-C1535)</f>
        <v>-3.875</v>
      </c>
      <c r="K1535" s="33" t="n">
        <f aca="false">IF(G1535="","",G1535-C1535)</f>
        <v>-4.38569052202879</v>
      </c>
      <c r="L1535" s="33" t="n">
        <f aca="false">IF(H1535="","",ABS(H1535))</f>
        <v>2</v>
      </c>
      <c r="M1535" s="33" t="n">
        <f aca="false">IF(I1535="","",ABS(I1535))</f>
        <v>5.75</v>
      </c>
      <c r="N1535" s="33" t="n">
        <f aca="false">IF(J1535="","",ABS(J1535))</f>
        <v>3.875</v>
      </c>
      <c r="O1535" s="33" t="n">
        <f aca="false">IF(K1535="","",ABS(K1535))</f>
        <v>4.38569052202879</v>
      </c>
      <c r="P1535" s="34" t="str">
        <f aca="false">IF(B1535&gt;=Eval_Start_Week,"YES","")</f>
        <v>YES</v>
      </c>
      <c r="Q1535" s="34" t="str">
        <f aca="false">IF(AND(B1535&gt;=Cal_Start_Week,B1535&lt;=Cal_End_Week),"YES","")</f>
        <v>YES</v>
      </c>
    </row>
    <row r="1536" customFormat="false" ht="15" hidden="false" customHeight="false" outlineLevel="0" collapsed="false">
      <c r="A1536" s="31" t="str">
        <f aca="false">Demand_History!C1536</f>
        <v>BTH-005</v>
      </c>
      <c r="B1536" s="31" t="n">
        <f aca="false">Demand_History!A1536</f>
        <v>79</v>
      </c>
      <c r="C1536" s="32" t="n">
        <f aca="false">Demand_History!D1536</f>
        <v>16</v>
      </c>
      <c r="D1536" s="33" t="n">
        <f aca="false">IF(B1536&gt;=2,C1535,"")</f>
        <v>21</v>
      </c>
      <c r="E1536" s="33" t="n">
        <f aca="false">IF(B1536&gt;=5,AVERAGE(C1532:C1535),"")</f>
        <v>16.75</v>
      </c>
      <c r="F1536" s="33" t="n">
        <f aca="false">IF(B1536&gt;=9,AVERAGE(C1528:C1535),"")</f>
        <v>17.375</v>
      </c>
      <c r="G1536" s="33" t="n">
        <f aca="false">IF(B1536=1,"",IF(B1536=2,C1535,SES_Alpha*C1535+(1-SES_Alpha)*G1535))</f>
        <v>17.9300166345798</v>
      </c>
      <c r="H1536" s="33" t="n">
        <f aca="false">IF(D1536="","",D1536-C1536)</f>
        <v>5</v>
      </c>
      <c r="I1536" s="33" t="n">
        <f aca="false">IF(E1536="","",E1536-C1536)</f>
        <v>0.75</v>
      </c>
      <c r="J1536" s="33" t="n">
        <f aca="false">IF(F1536="","",F1536-C1536)</f>
        <v>1.375</v>
      </c>
      <c r="K1536" s="33" t="n">
        <f aca="false">IF(G1536="","",G1536-C1536)</f>
        <v>1.93001663457985</v>
      </c>
      <c r="L1536" s="33" t="n">
        <f aca="false">IF(H1536="","",ABS(H1536))</f>
        <v>5</v>
      </c>
      <c r="M1536" s="33" t="n">
        <f aca="false">IF(I1536="","",ABS(I1536))</f>
        <v>0.75</v>
      </c>
      <c r="N1536" s="33" t="n">
        <f aca="false">IF(J1536="","",ABS(J1536))</f>
        <v>1.375</v>
      </c>
      <c r="O1536" s="33" t="n">
        <f aca="false">IF(K1536="","",ABS(K1536))</f>
        <v>1.93001663457985</v>
      </c>
      <c r="P1536" s="34" t="str">
        <f aca="false">IF(B1536&gt;=Eval_Start_Week,"YES","")</f>
        <v>YES</v>
      </c>
      <c r="Q1536" s="34" t="str">
        <f aca="false">IF(AND(B1536&gt;=Cal_Start_Week,B1536&lt;=Cal_End_Week),"YES","")</f>
        <v>YES</v>
      </c>
    </row>
    <row r="1537" customFormat="false" ht="15" hidden="false" customHeight="false" outlineLevel="0" collapsed="false">
      <c r="A1537" s="31" t="str">
        <f aca="false">Demand_History!C1537</f>
        <v>BTH-005</v>
      </c>
      <c r="B1537" s="31" t="n">
        <f aca="false">Demand_History!A1537</f>
        <v>80</v>
      </c>
      <c r="C1537" s="32" t="n">
        <f aca="false">Demand_History!D1537</f>
        <v>16</v>
      </c>
      <c r="D1537" s="33" t="n">
        <f aca="false">IF(B1537&gt;=2,C1536,"")</f>
        <v>16</v>
      </c>
      <c r="E1537" s="33" t="n">
        <f aca="false">IF(B1537&gt;=5,AVERAGE(C1533:C1536),"")</f>
        <v>16</v>
      </c>
      <c r="F1537" s="33" t="n">
        <f aca="false">IF(B1537&gt;=9,AVERAGE(C1529:C1536),"")</f>
        <v>17.5</v>
      </c>
      <c r="G1537" s="33" t="n">
        <f aca="false">IF(B1537=1,"",IF(B1537=2,C1536,SES_Alpha*C1536+(1-SES_Alpha)*G1536))</f>
        <v>17.3510116442059</v>
      </c>
      <c r="H1537" s="33" t="n">
        <f aca="false">IF(D1537="","",D1537-C1537)</f>
        <v>0</v>
      </c>
      <c r="I1537" s="33" t="n">
        <f aca="false">IF(E1537="","",E1537-C1537)</f>
        <v>0</v>
      </c>
      <c r="J1537" s="33" t="n">
        <f aca="false">IF(F1537="","",F1537-C1537)</f>
        <v>1.5</v>
      </c>
      <c r="K1537" s="33" t="n">
        <f aca="false">IF(G1537="","",G1537-C1537)</f>
        <v>1.35101164420589</v>
      </c>
      <c r="L1537" s="33" t="n">
        <f aca="false">IF(H1537="","",ABS(H1537))</f>
        <v>0</v>
      </c>
      <c r="M1537" s="33" t="n">
        <f aca="false">IF(I1537="","",ABS(I1537))</f>
        <v>0</v>
      </c>
      <c r="N1537" s="33" t="n">
        <f aca="false">IF(J1537="","",ABS(J1537))</f>
        <v>1.5</v>
      </c>
      <c r="O1537" s="33" t="n">
        <f aca="false">IF(K1537="","",ABS(K1537))</f>
        <v>1.35101164420589</v>
      </c>
      <c r="P1537" s="34" t="str">
        <f aca="false">IF(B1537&gt;=Eval_Start_Week,"YES","")</f>
        <v>YES</v>
      </c>
      <c r="Q1537" s="34" t="str">
        <f aca="false">IF(AND(B1537&gt;=Cal_Start_Week,B1537&lt;=Cal_End_Week),"YES","")</f>
        <v>YES</v>
      </c>
    </row>
    <row r="1538" customFormat="false" ht="15" hidden="false" customHeight="false" outlineLevel="0" collapsed="false">
      <c r="A1538" s="31" t="str">
        <f aca="false">Demand_History!C1538</f>
        <v>BTH-005</v>
      </c>
      <c r="B1538" s="31" t="n">
        <f aca="false">Demand_History!A1538</f>
        <v>81</v>
      </c>
      <c r="C1538" s="32" t="n">
        <f aca="false">Demand_History!D1538</f>
        <v>32</v>
      </c>
      <c r="D1538" s="33" t="n">
        <f aca="false">IF(B1538&gt;=2,C1537,"")</f>
        <v>16</v>
      </c>
      <c r="E1538" s="33" t="n">
        <f aca="false">IF(B1538&gt;=5,AVERAGE(C1534:C1537),"")</f>
        <v>18</v>
      </c>
      <c r="F1538" s="33" t="n">
        <f aca="false">IF(B1538&gt;=9,AVERAGE(C1530:C1537),"")</f>
        <v>17.5</v>
      </c>
      <c r="G1538" s="33" t="n">
        <f aca="false">IF(B1538=1,"",IF(B1538=2,C1537,SES_Alpha*C1537+(1-SES_Alpha)*G1537))</f>
        <v>16.9457081509441</v>
      </c>
      <c r="H1538" s="33" t="n">
        <f aca="false">IF(D1538="","",D1538-C1538)</f>
        <v>-16</v>
      </c>
      <c r="I1538" s="33" t="n">
        <f aca="false">IF(E1538="","",E1538-C1538)</f>
        <v>-14</v>
      </c>
      <c r="J1538" s="33" t="n">
        <f aca="false">IF(F1538="","",F1538-C1538)</f>
        <v>-14.5</v>
      </c>
      <c r="K1538" s="33" t="n">
        <f aca="false">IF(G1538="","",G1538-C1538)</f>
        <v>-15.0542918490559</v>
      </c>
      <c r="L1538" s="33" t="n">
        <f aca="false">IF(H1538="","",ABS(H1538))</f>
        <v>16</v>
      </c>
      <c r="M1538" s="33" t="n">
        <f aca="false">IF(I1538="","",ABS(I1538))</f>
        <v>14</v>
      </c>
      <c r="N1538" s="33" t="n">
        <f aca="false">IF(J1538="","",ABS(J1538))</f>
        <v>14.5</v>
      </c>
      <c r="O1538" s="33" t="n">
        <f aca="false">IF(K1538="","",ABS(K1538))</f>
        <v>15.0542918490559</v>
      </c>
      <c r="P1538" s="34" t="str">
        <f aca="false">IF(B1538&gt;=Eval_Start_Week,"YES","")</f>
        <v>YES</v>
      </c>
      <c r="Q1538" s="34" t="str">
        <f aca="false">IF(AND(B1538&gt;=Cal_Start_Week,B1538&lt;=Cal_End_Week),"YES","")</f>
        <v>YES</v>
      </c>
    </row>
    <row r="1539" customFormat="false" ht="15" hidden="false" customHeight="false" outlineLevel="0" collapsed="false">
      <c r="A1539" s="31" t="str">
        <f aca="false">Demand_History!C1539</f>
        <v>BTH-005</v>
      </c>
      <c r="B1539" s="31" t="n">
        <f aca="false">Demand_History!A1539</f>
        <v>82</v>
      </c>
      <c r="C1539" s="32" t="n">
        <f aca="false">Demand_History!D1539</f>
        <v>13</v>
      </c>
      <c r="D1539" s="33" t="n">
        <f aca="false">IF(B1539&gt;=2,C1538,"")</f>
        <v>32</v>
      </c>
      <c r="E1539" s="33" t="n">
        <f aca="false">IF(B1539&gt;=5,AVERAGE(C1535:C1538),"")</f>
        <v>21.25</v>
      </c>
      <c r="F1539" s="33" t="n">
        <f aca="false">IF(B1539&gt;=9,AVERAGE(C1531:C1538),"")</f>
        <v>18.25</v>
      </c>
      <c r="G1539" s="33" t="n">
        <f aca="false">IF(B1539=1,"",IF(B1539=2,C1538,SES_Alpha*C1538+(1-SES_Alpha)*G1538))</f>
        <v>21.4619957056609</v>
      </c>
      <c r="H1539" s="33" t="n">
        <f aca="false">IF(D1539="","",D1539-C1539)</f>
        <v>19</v>
      </c>
      <c r="I1539" s="33" t="n">
        <f aca="false">IF(E1539="","",E1539-C1539)</f>
        <v>8.25</v>
      </c>
      <c r="J1539" s="33" t="n">
        <f aca="false">IF(F1539="","",F1539-C1539)</f>
        <v>5.25</v>
      </c>
      <c r="K1539" s="33" t="n">
        <f aca="false">IF(G1539="","",G1539-C1539)</f>
        <v>8.46199570566088</v>
      </c>
      <c r="L1539" s="33" t="n">
        <f aca="false">IF(H1539="","",ABS(H1539))</f>
        <v>19</v>
      </c>
      <c r="M1539" s="33" t="n">
        <f aca="false">IF(I1539="","",ABS(I1539))</f>
        <v>8.25</v>
      </c>
      <c r="N1539" s="33" t="n">
        <f aca="false">IF(J1539="","",ABS(J1539))</f>
        <v>5.25</v>
      </c>
      <c r="O1539" s="33" t="n">
        <f aca="false">IF(K1539="","",ABS(K1539))</f>
        <v>8.46199570566088</v>
      </c>
      <c r="P1539" s="34" t="str">
        <f aca="false">IF(B1539&gt;=Eval_Start_Week,"YES","")</f>
        <v>YES</v>
      </c>
      <c r="Q1539" s="34" t="str">
        <f aca="false">IF(AND(B1539&gt;=Cal_Start_Week,B1539&lt;=Cal_End_Week),"YES","")</f>
        <v>YES</v>
      </c>
    </row>
    <row r="1540" customFormat="false" ht="15" hidden="false" customHeight="false" outlineLevel="0" collapsed="false">
      <c r="A1540" s="31" t="str">
        <f aca="false">Demand_History!C1540</f>
        <v>BTH-005</v>
      </c>
      <c r="B1540" s="31" t="n">
        <f aca="false">Demand_History!A1540</f>
        <v>83</v>
      </c>
      <c r="C1540" s="32" t="n">
        <f aca="false">Demand_History!D1540</f>
        <v>14</v>
      </c>
      <c r="D1540" s="33" t="n">
        <f aca="false">IF(B1540&gt;=2,C1539,"")</f>
        <v>13</v>
      </c>
      <c r="E1540" s="33" t="n">
        <f aca="false">IF(B1540&gt;=5,AVERAGE(C1536:C1539),"")</f>
        <v>19.25</v>
      </c>
      <c r="F1540" s="33" t="n">
        <f aca="false">IF(B1540&gt;=9,AVERAGE(C1532:C1539),"")</f>
        <v>18</v>
      </c>
      <c r="G1540" s="33" t="n">
        <f aca="false">IF(B1540=1,"",IF(B1540=2,C1539,SES_Alpha*C1539+(1-SES_Alpha)*G1539))</f>
        <v>18.9233969939626</v>
      </c>
      <c r="H1540" s="33" t="n">
        <f aca="false">IF(D1540="","",D1540-C1540)</f>
        <v>-1</v>
      </c>
      <c r="I1540" s="33" t="n">
        <f aca="false">IF(E1540="","",E1540-C1540)</f>
        <v>5.25</v>
      </c>
      <c r="J1540" s="33" t="n">
        <f aca="false">IF(F1540="","",F1540-C1540)</f>
        <v>4</v>
      </c>
      <c r="K1540" s="33" t="n">
        <f aca="false">IF(G1540="","",G1540-C1540)</f>
        <v>4.92339699396262</v>
      </c>
      <c r="L1540" s="33" t="n">
        <f aca="false">IF(H1540="","",ABS(H1540))</f>
        <v>1</v>
      </c>
      <c r="M1540" s="33" t="n">
        <f aca="false">IF(I1540="","",ABS(I1540))</f>
        <v>5.25</v>
      </c>
      <c r="N1540" s="33" t="n">
        <f aca="false">IF(J1540="","",ABS(J1540))</f>
        <v>4</v>
      </c>
      <c r="O1540" s="33" t="n">
        <f aca="false">IF(K1540="","",ABS(K1540))</f>
        <v>4.92339699396262</v>
      </c>
      <c r="P1540" s="34" t="str">
        <f aca="false">IF(B1540&gt;=Eval_Start_Week,"YES","")</f>
        <v>YES</v>
      </c>
      <c r="Q1540" s="34" t="str">
        <f aca="false">IF(AND(B1540&gt;=Cal_Start_Week,B1540&lt;=Cal_End_Week),"YES","")</f>
        <v>YES</v>
      </c>
    </row>
    <row r="1541" customFormat="false" ht="15" hidden="false" customHeight="false" outlineLevel="0" collapsed="false">
      <c r="A1541" s="31" t="str">
        <f aca="false">Demand_History!C1541</f>
        <v>BTH-005</v>
      </c>
      <c r="B1541" s="31" t="n">
        <f aca="false">Demand_History!A1541</f>
        <v>84</v>
      </c>
      <c r="C1541" s="32" t="n">
        <f aca="false">Demand_History!D1541</f>
        <v>15</v>
      </c>
      <c r="D1541" s="33" t="n">
        <f aca="false">IF(B1541&gt;=2,C1540,"")</f>
        <v>14</v>
      </c>
      <c r="E1541" s="33" t="n">
        <f aca="false">IF(B1541&gt;=5,AVERAGE(C1537:C1540),"")</f>
        <v>18.75</v>
      </c>
      <c r="F1541" s="33" t="n">
        <f aca="false">IF(B1541&gt;=9,AVERAGE(C1533:C1540),"")</f>
        <v>17.375</v>
      </c>
      <c r="G1541" s="33" t="n">
        <f aca="false">IF(B1541=1,"",IF(B1541=2,C1540,SES_Alpha*C1540+(1-SES_Alpha)*G1540))</f>
        <v>17.4463778957738</v>
      </c>
      <c r="H1541" s="33" t="n">
        <f aca="false">IF(D1541="","",D1541-C1541)</f>
        <v>-1</v>
      </c>
      <c r="I1541" s="33" t="n">
        <f aca="false">IF(E1541="","",E1541-C1541)</f>
        <v>3.75</v>
      </c>
      <c r="J1541" s="33" t="n">
        <f aca="false">IF(F1541="","",F1541-C1541)</f>
        <v>2.375</v>
      </c>
      <c r="K1541" s="33" t="n">
        <f aca="false">IF(G1541="","",G1541-C1541)</f>
        <v>2.44637789577383</v>
      </c>
      <c r="L1541" s="33" t="n">
        <f aca="false">IF(H1541="","",ABS(H1541))</f>
        <v>1</v>
      </c>
      <c r="M1541" s="33" t="n">
        <f aca="false">IF(I1541="","",ABS(I1541))</f>
        <v>3.75</v>
      </c>
      <c r="N1541" s="33" t="n">
        <f aca="false">IF(J1541="","",ABS(J1541))</f>
        <v>2.375</v>
      </c>
      <c r="O1541" s="33" t="n">
        <f aca="false">IF(K1541="","",ABS(K1541))</f>
        <v>2.44637789577383</v>
      </c>
      <c r="P1541" s="34" t="str">
        <f aca="false">IF(B1541&gt;=Eval_Start_Week,"YES","")</f>
        <v>YES</v>
      </c>
      <c r="Q1541" s="34" t="str">
        <f aca="false">IF(AND(B1541&gt;=Cal_Start_Week,B1541&lt;=Cal_End_Week),"YES","")</f>
        <v>YES</v>
      </c>
    </row>
    <row r="1542" customFormat="false" ht="15" hidden="false" customHeight="false" outlineLevel="0" collapsed="false">
      <c r="A1542" s="31" t="str">
        <f aca="false">Demand_History!C1542</f>
        <v>BTH-005</v>
      </c>
      <c r="B1542" s="31" t="n">
        <f aca="false">Demand_History!A1542</f>
        <v>85</v>
      </c>
      <c r="C1542" s="32" t="n">
        <f aca="false">Demand_History!D1542</f>
        <v>27</v>
      </c>
      <c r="D1542" s="33" t="n">
        <f aca="false">IF(B1542&gt;=2,C1541,"")</f>
        <v>15</v>
      </c>
      <c r="E1542" s="33" t="n">
        <f aca="false">IF(B1542&gt;=5,AVERAGE(C1538:C1541),"")</f>
        <v>18.5</v>
      </c>
      <c r="F1542" s="33" t="n">
        <f aca="false">IF(B1542&gt;=9,AVERAGE(C1534:C1541),"")</f>
        <v>18.25</v>
      </c>
      <c r="G1542" s="33" t="n">
        <f aca="false">IF(B1542=1,"",IF(B1542=2,C1541,SES_Alpha*C1541+(1-SES_Alpha)*G1541))</f>
        <v>16.7124645270417</v>
      </c>
      <c r="H1542" s="33" t="n">
        <f aca="false">IF(D1542="","",D1542-C1542)</f>
        <v>-12</v>
      </c>
      <c r="I1542" s="33" t="n">
        <f aca="false">IF(E1542="","",E1542-C1542)</f>
        <v>-8.5</v>
      </c>
      <c r="J1542" s="33" t="n">
        <f aca="false">IF(F1542="","",F1542-C1542)</f>
        <v>-8.75</v>
      </c>
      <c r="K1542" s="33" t="n">
        <f aca="false">IF(G1542="","",G1542-C1542)</f>
        <v>-10.2875354729583</v>
      </c>
      <c r="L1542" s="33" t="n">
        <f aca="false">IF(H1542="","",ABS(H1542))</f>
        <v>12</v>
      </c>
      <c r="M1542" s="33" t="n">
        <f aca="false">IF(I1542="","",ABS(I1542))</f>
        <v>8.5</v>
      </c>
      <c r="N1542" s="33" t="n">
        <f aca="false">IF(J1542="","",ABS(J1542))</f>
        <v>8.75</v>
      </c>
      <c r="O1542" s="33" t="n">
        <f aca="false">IF(K1542="","",ABS(K1542))</f>
        <v>10.2875354729583</v>
      </c>
      <c r="P1542" s="34" t="str">
        <f aca="false">IF(B1542&gt;=Eval_Start_Week,"YES","")</f>
        <v>YES</v>
      </c>
      <c r="Q1542" s="34" t="str">
        <f aca="false">IF(AND(B1542&gt;=Cal_Start_Week,B1542&lt;=Cal_End_Week),"YES","")</f>
        <v>YES</v>
      </c>
    </row>
    <row r="1543" customFormat="false" ht="15" hidden="false" customHeight="false" outlineLevel="0" collapsed="false">
      <c r="A1543" s="31" t="str">
        <f aca="false">Demand_History!C1543</f>
        <v>BTH-005</v>
      </c>
      <c r="B1543" s="31" t="n">
        <f aca="false">Demand_History!A1543</f>
        <v>86</v>
      </c>
      <c r="C1543" s="32" t="n">
        <f aca="false">Demand_History!D1543</f>
        <v>33</v>
      </c>
      <c r="D1543" s="33" t="n">
        <f aca="false">IF(B1543&gt;=2,C1542,"")</f>
        <v>27</v>
      </c>
      <c r="E1543" s="33" t="n">
        <f aca="false">IF(B1543&gt;=5,AVERAGE(C1539:C1542),"")</f>
        <v>17.25</v>
      </c>
      <c r="F1543" s="33" t="n">
        <f aca="false">IF(B1543&gt;=9,AVERAGE(C1535:C1542),"")</f>
        <v>19.25</v>
      </c>
      <c r="G1543" s="33" t="n">
        <f aca="false">IF(B1543=1,"",IF(B1543=2,C1542,SES_Alpha*C1542+(1-SES_Alpha)*G1542))</f>
        <v>19.7987251689292</v>
      </c>
      <c r="H1543" s="33" t="n">
        <f aca="false">IF(D1543="","",D1543-C1543)</f>
        <v>-6</v>
      </c>
      <c r="I1543" s="33" t="n">
        <f aca="false">IF(E1543="","",E1543-C1543)</f>
        <v>-15.75</v>
      </c>
      <c r="J1543" s="33" t="n">
        <f aca="false">IF(F1543="","",F1543-C1543)</f>
        <v>-13.75</v>
      </c>
      <c r="K1543" s="33" t="n">
        <f aca="false">IF(G1543="","",G1543-C1543)</f>
        <v>-13.2012748310708</v>
      </c>
      <c r="L1543" s="33" t="n">
        <f aca="false">IF(H1543="","",ABS(H1543))</f>
        <v>6</v>
      </c>
      <c r="M1543" s="33" t="n">
        <f aca="false">IF(I1543="","",ABS(I1543))</f>
        <v>15.75</v>
      </c>
      <c r="N1543" s="33" t="n">
        <f aca="false">IF(J1543="","",ABS(J1543))</f>
        <v>13.75</v>
      </c>
      <c r="O1543" s="33" t="n">
        <f aca="false">IF(K1543="","",ABS(K1543))</f>
        <v>13.2012748310708</v>
      </c>
      <c r="P1543" s="34" t="str">
        <f aca="false">IF(B1543&gt;=Eval_Start_Week,"YES","")</f>
        <v>YES</v>
      </c>
      <c r="Q1543" s="34" t="str">
        <f aca="false">IF(AND(B1543&gt;=Cal_Start_Week,B1543&lt;=Cal_End_Week),"YES","")</f>
        <v>YES</v>
      </c>
    </row>
    <row r="1544" customFormat="false" ht="15" hidden="false" customHeight="false" outlineLevel="0" collapsed="false">
      <c r="A1544" s="31" t="str">
        <f aca="false">Demand_History!C1544</f>
        <v>BTH-005</v>
      </c>
      <c r="B1544" s="31" t="n">
        <f aca="false">Demand_History!A1544</f>
        <v>87</v>
      </c>
      <c r="C1544" s="32" t="n">
        <f aca="false">Demand_History!D1544</f>
        <v>22</v>
      </c>
      <c r="D1544" s="33" t="n">
        <f aca="false">IF(B1544&gt;=2,C1543,"")</f>
        <v>33</v>
      </c>
      <c r="E1544" s="33" t="n">
        <f aca="false">IF(B1544&gt;=5,AVERAGE(C1540:C1543),"")</f>
        <v>22.25</v>
      </c>
      <c r="F1544" s="33" t="n">
        <f aca="false">IF(B1544&gt;=9,AVERAGE(C1536:C1543),"")</f>
        <v>20.75</v>
      </c>
      <c r="G1544" s="33" t="n">
        <f aca="false">IF(B1544=1,"",IF(B1544=2,C1543,SES_Alpha*C1543+(1-SES_Alpha)*G1543))</f>
        <v>23.7591076182504</v>
      </c>
      <c r="H1544" s="33" t="n">
        <f aca="false">IF(D1544="","",D1544-C1544)</f>
        <v>11</v>
      </c>
      <c r="I1544" s="33" t="n">
        <f aca="false">IF(E1544="","",E1544-C1544)</f>
        <v>0.25</v>
      </c>
      <c r="J1544" s="33" t="n">
        <f aca="false">IF(F1544="","",F1544-C1544)</f>
        <v>-1.25</v>
      </c>
      <c r="K1544" s="33" t="n">
        <f aca="false">IF(G1544="","",G1544-C1544)</f>
        <v>1.75910761825042</v>
      </c>
      <c r="L1544" s="33" t="n">
        <f aca="false">IF(H1544="","",ABS(H1544))</f>
        <v>11</v>
      </c>
      <c r="M1544" s="33" t="n">
        <f aca="false">IF(I1544="","",ABS(I1544))</f>
        <v>0.25</v>
      </c>
      <c r="N1544" s="33" t="n">
        <f aca="false">IF(J1544="","",ABS(J1544))</f>
        <v>1.25</v>
      </c>
      <c r="O1544" s="33" t="n">
        <f aca="false">IF(K1544="","",ABS(K1544))</f>
        <v>1.75910761825042</v>
      </c>
      <c r="P1544" s="34" t="str">
        <f aca="false">IF(B1544&gt;=Eval_Start_Week,"YES","")</f>
        <v>YES</v>
      </c>
      <c r="Q1544" s="34" t="str">
        <f aca="false">IF(AND(B1544&gt;=Cal_Start_Week,B1544&lt;=Cal_End_Week),"YES","")</f>
        <v>YES</v>
      </c>
    </row>
    <row r="1545" customFormat="false" ht="15" hidden="false" customHeight="false" outlineLevel="0" collapsed="false">
      <c r="A1545" s="31" t="str">
        <f aca="false">Demand_History!C1545</f>
        <v>BTH-005</v>
      </c>
      <c r="B1545" s="31" t="n">
        <f aca="false">Demand_History!A1545</f>
        <v>88</v>
      </c>
      <c r="C1545" s="32" t="n">
        <f aca="false">Demand_History!D1545</f>
        <v>16</v>
      </c>
      <c r="D1545" s="33" t="n">
        <f aca="false">IF(B1545&gt;=2,C1544,"")</f>
        <v>22</v>
      </c>
      <c r="E1545" s="33" t="n">
        <f aca="false">IF(B1545&gt;=5,AVERAGE(C1541:C1544),"")</f>
        <v>24.25</v>
      </c>
      <c r="F1545" s="33" t="n">
        <f aca="false">IF(B1545&gt;=9,AVERAGE(C1537:C1544),"")</f>
        <v>21.5</v>
      </c>
      <c r="G1545" s="33" t="n">
        <f aca="false">IF(B1545=1,"",IF(B1545=2,C1544,SES_Alpha*C1544+(1-SES_Alpha)*G1544))</f>
        <v>23.2313753327753</v>
      </c>
      <c r="H1545" s="33" t="n">
        <f aca="false">IF(D1545="","",D1545-C1545)</f>
        <v>6</v>
      </c>
      <c r="I1545" s="33" t="n">
        <f aca="false">IF(E1545="","",E1545-C1545)</f>
        <v>8.25</v>
      </c>
      <c r="J1545" s="33" t="n">
        <f aca="false">IF(F1545="","",F1545-C1545)</f>
        <v>5.5</v>
      </c>
      <c r="K1545" s="33" t="n">
        <f aca="false">IF(G1545="","",G1545-C1545)</f>
        <v>7.23137533277529</v>
      </c>
      <c r="L1545" s="33" t="n">
        <f aca="false">IF(H1545="","",ABS(H1545))</f>
        <v>6</v>
      </c>
      <c r="M1545" s="33" t="n">
        <f aca="false">IF(I1545="","",ABS(I1545))</f>
        <v>8.25</v>
      </c>
      <c r="N1545" s="33" t="n">
        <f aca="false">IF(J1545="","",ABS(J1545))</f>
        <v>5.5</v>
      </c>
      <c r="O1545" s="33" t="n">
        <f aca="false">IF(K1545="","",ABS(K1545))</f>
        <v>7.23137533277529</v>
      </c>
      <c r="P1545" s="34" t="str">
        <f aca="false">IF(B1545&gt;=Eval_Start_Week,"YES","")</f>
        <v>YES</v>
      </c>
      <c r="Q1545" s="34" t="str">
        <f aca="false">IF(AND(B1545&gt;=Cal_Start_Week,B1545&lt;=Cal_End_Week),"YES","")</f>
        <v>YES</v>
      </c>
    </row>
    <row r="1546" customFormat="false" ht="15" hidden="false" customHeight="false" outlineLevel="0" collapsed="false">
      <c r="A1546" s="31" t="str">
        <f aca="false">Demand_History!C1546</f>
        <v>BTH-005</v>
      </c>
      <c r="B1546" s="31" t="n">
        <f aca="false">Demand_History!A1546</f>
        <v>89</v>
      </c>
      <c r="C1546" s="32" t="n">
        <f aca="false">Demand_History!D1546</f>
        <v>17</v>
      </c>
      <c r="D1546" s="33" t="n">
        <f aca="false">IF(B1546&gt;=2,C1545,"")</f>
        <v>16</v>
      </c>
      <c r="E1546" s="33" t="n">
        <f aca="false">IF(B1546&gt;=5,AVERAGE(C1542:C1545),"")</f>
        <v>24.5</v>
      </c>
      <c r="F1546" s="33" t="n">
        <f aca="false">IF(B1546&gt;=9,AVERAGE(C1538:C1545),"")</f>
        <v>21.5</v>
      </c>
      <c r="G1546" s="33" t="n">
        <f aca="false">IF(B1546=1,"",IF(B1546=2,C1545,SES_Alpha*C1545+(1-SES_Alpha)*G1545))</f>
        <v>21.0619627329427</v>
      </c>
      <c r="H1546" s="33" t="n">
        <f aca="false">IF(D1546="","",D1546-C1546)</f>
        <v>-1</v>
      </c>
      <c r="I1546" s="33" t="n">
        <f aca="false">IF(E1546="","",E1546-C1546)</f>
        <v>7.5</v>
      </c>
      <c r="J1546" s="33" t="n">
        <f aca="false">IF(F1546="","",F1546-C1546)</f>
        <v>4.5</v>
      </c>
      <c r="K1546" s="33" t="n">
        <f aca="false">IF(G1546="","",G1546-C1546)</f>
        <v>4.06196273294271</v>
      </c>
      <c r="L1546" s="33" t="n">
        <f aca="false">IF(H1546="","",ABS(H1546))</f>
        <v>1</v>
      </c>
      <c r="M1546" s="33" t="n">
        <f aca="false">IF(I1546="","",ABS(I1546))</f>
        <v>7.5</v>
      </c>
      <c r="N1546" s="33" t="n">
        <f aca="false">IF(J1546="","",ABS(J1546))</f>
        <v>4.5</v>
      </c>
      <c r="O1546" s="33" t="n">
        <f aca="false">IF(K1546="","",ABS(K1546))</f>
        <v>4.06196273294271</v>
      </c>
      <c r="P1546" s="34" t="str">
        <f aca="false">IF(B1546&gt;=Eval_Start_Week,"YES","")</f>
        <v>YES</v>
      </c>
      <c r="Q1546" s="34" t="str">
        <f aca="false">IF(AND(B1546&gt;=Cal_Start_Week,B1546&lt;=Cal_End_Week),"YES","")</f>
        <v/>
      </c>
    </row>
    <row r="1547" customFormat="false" ht="15" hidden="false" customHeight="false" outlineLevel="0" collapsed="false">
      <c r="A1547" s="31" t="str">
        <f aca="false">Demand_History!C1547</f>
        <v>BTH-005</v>
      </c>
      <c r="B1547" s="31" t="n">
        <f aca="false">Demand_History!A1547</f>
        <v>90</v>
      </c>
      <c r="C1547" s="32" t="n">
        <f aca="false">Demand_History!D1547</f>
        <v>27</v>
      </c>
      <c r="D1547" s="33" t="n">
        <f aca="false">IF(B1547&gt;=2,C1546,"")</f>
        <v>17</v>
      </c>
      <c r="E1547" s="33" t="n">
        <f aca="false">IF(B1547&gt;=5,AVERAGE(C1543:C1546),"")</f>
        <v>22</v>
      </c>
      <c r="F1547" s="33" t="n">
        <f aca="false">IF(B1547&gt;=9,AVERAGE(C1539:C1546),"")</f>
        <v>19.625</v>
      </c>
      <c r="G1547" s="33" t="n">
        <f aca="false">IF(B1547=1,"",IF(B1547=2,C1546,SES_Alpha*C1546+(1-SES_Alpha)*G1546))</f>
        <v>19.8433739130599</v>
      </c>
      <c r="H1547" s="33" t="n">
        <f aca="false">IF(D1547="","",D1547-C1547)</f>
        <v>-10</v>
      </c>
      <c r="I1547" s="33" t="n">
        <f aca="false">IF(E1547="","",E1547-C1547)</f>
        <v>-5</v>
      </c>
      <c r="J1547" s="33" t="n">
        <f aca="false">IF(F1547="","",F1547-C1547)</f>
        <v>-7.375</v>
      </c>
      <c r="K1547" s="33" t="n">
        <f aca="false">IF(G1547="","",G1547-C1547)</f>
        <v>-7.15662608694011</v>
      </c>
      <c r="L1547" s="33" t="n">
        <f aca="false">IF(H1547="","",ABS(H1547))</f>
        <v>10</v>
      </c>
      <c r="M1547" s="33" t="n">
        <f aca="false">IF(I1547="","",ABS(I1547))</f>
        <v>5</v>
      </c>
      <c r="N1547" s="33" t="n">
        <f aca="false">IF(J1547="","",ABS(J1547))</f>
        <v>7.375</v>
      </c>
      <c r="O1547" s="33" t="n">
        <f aca="false">IF(K1547="","",ABS(K1547))</f>
        <v>7.15662608694011</v>
      </c>
      <c r="P1547" s="34" t="str">
        <f aca="false">IF(B1547&gt;=Eval_Start_Week,"YES","")</f>
        <v>YES</v>
      </c>
      <c r="Q1547" s="34" t="str">
        <f aca="false">IF(AND(B1547&gt;=Cal_Start_Week,B1547&lt;=Cal_End_Week),"YES","")</f>
        <v/>
      </c>
    </row>
    <row r="1548" customFormat="false" ht="15" hidden="false" customHeight="false" outlineLevel="0" collapsed="false">
      <c r="A1548" s="31" t="str">
        <f aca="false">Demand_History!C1548</f>
        <v>BTH-005</v>
      </c>
      <c r="B1548" s="31" t="n">
        <f aca="false">Demand_History!A1548</f>
        <v>91</v>
      </c>
      <c r="C1548" s="32" t="n">
        <f aca="false">Demand_History!D1548</f>
        <v>14</v>
      </c>
      <c r="D1548" s="33" t="n">
        <f aca="false">IF(B1548&gt;=2,C1547,"")</f>
        <v>27</v>
      </c>
      <c r="E1548" s="33" t="n">
        <f aca="false">IF(B1548&gt;=5,AVERAGE(C1544:C1547),"")</f>
        <v>20.5</v>
      </c>
      <c r="F1548" s="33" t="n">
        <f aca="false">IF(B1548&gt;=9,AVERAGE(C1540:C1547),"")</f>
        <v>21.375</v>
      </c>
      <c r="G1548" s="33" t="n">
        <f aca="false">IF(B1548=1,"",IF(B1548=2,C1547,SES_Alpha*C1547+(1-SES_Alpha)*G1547))</f>
        <v>21.9903617391419</v>
      </c>
      <c r="H1548" s="33" t="n">
        <f aca="false">IF(D1548="","",D1548-C1548)</f>
        <v>13</v>
      </c>
      <c r="I1548" s="33" t="n">
        <f aca="false">IF(E1548="","",E1548-C1548)</f>
        <v>6.5</v>
      </c>
      <c r="J1548" s="33" t="n">
        <f aca="false">IF(F1548="","",F1548-C1548)</f>
        <v>7.375</v>
      </c>
      <c r="K1548" s="33" t="n">
        <f aca="false">IF(G1548="","",G1548-C1548)</f>
        <v>7.99036173914193</v>
      </c>
      <c r="L1548" s="33" t="n">
        <f aca="false">IF(H1548="","",ABS(H1548))</f>
        <v>13</v>
      </c>
      <c r="M1548" s="33" t="n">
        <f aca="false">IF(I1548="","",ABS(I1548))</f>
        <v>6.5</v>
      </c>
      <c r="N1548" s="33" t="n">
        <f aca="false">IF(J1548="","",ABS(J1548))</f>
        <v>7.375</v>
      </c>
      <c r="O1548" s="33" t="n">
        <f aca="false">IF(K1548="","",ABS(K1548))</f>
        <v>7.99036173914193</v>
      </c>
      <c r="P1548" s="34" t="str">
        <f aca="false">IF(B1548&gt;=Eval_Start_Week,"YES","")</f>
        <v>YES</v>
      </c>
      <c r="Q1548" s="34" t="str">
        <f aca="false">IF(AND(B1548&gt;=Cal_Start_Week,B1548&lt;=Cal_End_Week),"YES","")</f>
        <v/>
      </c>
    </row>
    <row r="1549" customFormat="false" ht="15" hidden="false" customHeight="false" outlineLevel="0" collapsed="false">
      <c r="A1549" s="31" t="str">
        <f aca="false">Demand_History!C1549</f>
        <v>BTH-005</v>
      </c>
      <c r="B1549" s="31" t="n">
        <f aca="false">Demand_History!A1549</f>
        <v>92</v>
      </c>
      <c r="C1549" s="32" t="n">
        <f aca="false">Demand_History!D1549</f>
        <v>29</v>
      </c>
      <c r="D1549" s="33" t="n">
        <f aca="false">IF(B1549&gt;=2,C1548,"")</f>
        <v>14</v>
      </c>
      <c r="E1549" s="33" t="n">
        <f aca="false">IF(B1549&gt;=5,AVERAGE(C1545:C1548),"")</f>
        <v>18.5</v>
      </c>
      <c r="F1549" s="33" t="n">
        <f aca="false">IF(B1549&gt;=9,AVERAGE(C1541:C1548),"")</f>
        <v>21.375</v>
      </c>
      <c r="G1549" s="33" t="n">
        <f aca="false">IF(B1549=1,"",IF(B1549=2,C1548,SES_Alpha*C1548+(1-SES_Alpha)*G1548))</f>
        <v>19.5932532173993</v>
      </c>
      <c r="H1549" s="33" t="n">
        <f aca="false">IF(D1549="","",D1549-C1549)</f>
        <v>-15</v>
      </c>
      <c r="I1549" s="33" t="n">
        <f aca="false">IF(E1549="","",E1549-C1549)</f>
        <v>-10.5</v>
      </c>
      <c r="J1549" s="33" t="n">
        <f aca="false">IF(F1549="","",F1549-C1549)</f>
        <v>-7.625</v>
      </c>
      <c r="K1549" s="33" t="n">
        <f aca="false">IF(G1549="","",G1549-C1549)</f>
        <v>-9.40674678260065</v>
      </c>
      <c r="L1549" s="33" t="n">
        <f aca="false">IF(H1549="","",ABS(H1549))</f>
        <v>15</v>
      </c>
      <c r="M1549" s="33" t="n">
        <f aca="false">IF(I1549="","",ABS(I1549))</f>
        <v>10.5</v>
      </c>
      <c r="N1549" s="33" t="n">
        <f aca="false">IF(J1549="","",ABS(J1549))</f>
        <v>7.625</v>
      </c>
      <c r="O1549" s="33" t="n">
        <f aca="false">IF(K1549="","",ABS(K1549))</f>
        <v>9.40674678260065</v>
      </c>
      <c r="P1549" s="34" t="str">
        <f aca="false">IF(B1549&gt;=Eval_Start_Week,"YES","")</f>
        <v>YES</v>
      </c>
      <c r="Q1549" s="34" t="str">
        <f aca="false">IF(AND(B1549&gt;=Cal_Start_Week,B1549&lt;=Cal_End_Week),"YES","")</f>
        <v/>
      </c>
    </row>
    <row r="1550" customFormat="false" ht="15" hidden="false" customHeight="false" outlineLevel="0" collapsed="false">
      <c r="A1550" s="31" t="str">
        <f aca="false">Demand_History!C1550</f>
        <v>BTH-005</v>
      </c>
      <c r="B1550" s="31" t="n">
        <f aca="false">Demand_History!A1550</f>
        <v>93</v>
      </c>
      <c r="C1550" s="32" t="n">
        <f aca="false">Demand_History!D1550</f>
        <v>29</v>
      </c>
      <c r="D1550" s="33" t="n">
        <f aca="false">IF(B1550&gt;=2,C1549,"")</f>
        <v>29</v>
      </c>
      <c r="E1550" s="33" t="n">
        <f aca="false">IF(B1550&gt;=5,AVERAGE(C1546:C1549),"")</f>
        <v>21.75</v>
      </c>
      <c r="F1550" s="33" t="n">
        <f aca="false">IF(B1550&gt;=9,AVERAGE(C1542:C1549),"")</f>
        <v>23.125</v>
      </c>
      <c r="G1550" s="33" t="n">
        <f aca="false">IF(B1550=1,"",IF(B1550=2,C1549,SES_Alpha*C1549+(1-SES_Alpha)*G1549))</f>
        <v>22.4152772521795</v>
      </c>
      <c r="H1550" s="33" t="n">
        <f aca="false">IF(D1550="","",D1550-C1550)</f>
        <v>0</v>
      </c>
      <c r="I1550" s="33" t="n">
        <f aca="false">IF(E1550="","",E1550-C1550)</f>
        <v>-7.25</v>
      </c>
      <c r="J1550" s="33" t="n">
        <f aca="false">IF(F1550="","",F1550-C1550)</f>
        <v>-5.875</v>
      </c>
      <c r="K1550" s="33" t="n">
        <f aca="false">IF(G1550="","",G1550-C1550)</f>
        <v>-6.58472274782046</v>
      </c>
      <c r="L1550" s="33" t="n">
        <f aca="false">IF(H1550="","",ABS(H1550))</f>
        <v>0</v>
      </c>
      <c r="M1550" s="33" t="n">
        <f aca="false">IF(I1550="","",ABS(I1550))</f>
        <v>7.25</v>
      </c>
      <c r="N1550" s="33" t="n">
        <f aca="false">IF(J1550="","",ABS(J1550))</f>
        <v>5.875</v>
      </c>
      <c r="O1550" s="33" t="n">
        <f aca="false">IF(K1550="","",ABS(K1550))</f>
        <v>6.58472274782046</v>
      </c>
      <c r="P1550" s="34" t="str">
        <f aca="false">IF(B1550&gt;=Eval_Start_Week,"YES","")</f>
        <v>YES</v>
      </c>
      <c r="Q1550" s="34" t="str">
        <f aca="false">IF(AND(B1550&gt;=Cal_Start_Week,B1550&lt;=Cal_End_Week),"YES","")</f>
        <v/>
      </c>
    </row>
    <row r="1551" customFormat="false" ht="15" hidden="false" customHeight="false" outlineLevel="0" collapsed="false">
      <c r="A1551" s="31" t="str">
        <f aca="false">Demand_History!C1551</f>
        <v>BTH-005</v>
      </c>
      <c r="B1551" s="31" t="n">
        <f aca="false">Demand_History!A1551</f>
        <v>94</v>
      </c>
      <c r="C1551" s="32" t="n">
        <f aca="false">Demand_History!D1551</f>
        <v>20</v>
      </c>
      <c r="D1551" s="33" t="n">
        <f aca="false">IF(B1551&gt;=2,C1550,"")</f>
        <v>29</v>
      </c>
      <c r="E1551" s="33" t="n">
        <f aca="false">IF(B1551&gt;=5,AVERAGE(C1547:C1550),"")</f>
        <v>24.75</v>
      </c>
      <c r="F1551" s="33" t="n">
        <f aca="false">IF(B1551&gt;=9,AVERAGE(C1543:C1550),"")</f>
        <v>23.375</v>
      </c>
      <c r="G1551" s="33" t="n">
        <f aca="false">IF(B1551=1,"",IF(B1551=2,C1550,SES_Alpha*C1550+(1-SES_Alpha)*G1550))</f>
        <v>24.3906940765257</v>
      </c>
      <c r="H1551" s="33" t="n">
        <f aca="false">IF(D1551="","",D1551-C1551)</f>
        <v>9</v>
      </c>
      <c r="I1551" s="33" t="n">
        <f aca="false">IF(E1551="","",E1551-C1551)</f>
        <v>4.75</v>
      </c>
      <c r="J1551" s="33" t="n">
        <f aca="false">IF(F1551="","",F1551-C1551)</f>
        <v>3.375</v>
      </c>
      <c r="K1551" s="33" t="n">
        <f aca="false">IF(G1551="","",G1551-C1551)</f>
        <v>4.39069407652568</v>
      </c>
      <c r="L1551" s="33" t="n">
        <f aca="false">IF(H1551="","",ABS(H1551))</f>
        <v>9</v>
      </c>
      <c r="M1551" s="33" t="n">
        <f aca="false">IF(I1551="","",ABS(I1551))</f>
        <v>4.75</v>
      </c>
      <c r="N1551" s="33" t="n">
        <f aca="false">IF(J1551="","",ABS(J1551))</f>
        <v>3.375</v>
      </c>
      <c r="O1551" s="33" t="n">
        <f aca="false">IF(K1551="","",ABS(K1551))</f>
        <v>4.39069407652568</v>
      </c>
      <c r="P1551" s="34" t="str">
        <f aca="false">IF(B1551&gt;=Eval_Start_Week,"YES","")</f>
        <v>YES</v>
      </c>
      <c r="Q1551" s="34" t="str">
        <f aca="false">IF(AND(B1551&gt;=Cal_Start_Week,B1551&lt;=Cal_End_Week),"YES","")</f>
        <v/>
      </c>
    </row>
    <row r="1552" customFormat="false" ht="15" hidden="false" customHeight="false" outlineLevel="0" collapsed="false">
      <c r="A1552" s="31" t="str">
        <f aca="false">Demand_History!C1552</f>
        <v>BTH-005</v>
      </c>
      <c r="B1552" s="31" t="n">
        <f aca="false">Demand_History!A1552</f>
        <v>95</v>
      </c>
      <c r="C1552" s="32" t="n">
        <f aca="false">Demand_History!D1552</f>
        <v>24</v>
      </c>
      <c r="D1552" s="33" t="n">
        <f aca="false">IF(B1552&gt;=2,C1551,"")</f>
        <v>20</v>
      </c>
      <c r="E1552" s="33" t="n">
        <f aca="false">IF(B1552&gt;=5,AVERAGE(C1548:C1551),"")</f>
        <v>23</v>
      </c>
      <c r="F1552" s="33" t="n">
        <f aca="false">IF(B1552&gt;=9,AVERAGE(C1544:C1551),"")</f>
        <v>21.75</v>
      </c>
      <c r="G1552" s="33" t="n">
        <f aca="false">IF(B1552=1,"",IF(B1552=2,C1551,SES_Alpha*C1551+(1-SES_Alpha)*G1551))</f>
        <v>23.073485853568</v>
      </c>
      <c r="H1552" s="33" t="n">
        <f aca="false">IF(D1552="","",D1552-C1552)</f>
        <v>-4</v>
      </c>
      <c r="I1552" s="33" t="n">
        <f aca="false">IF(E1552="","",E1552-C1552)</f>
        <v>-1</v>
      </c>
      <c r="J1552" s="33" t="n">
        <f aca="false">IF(F1552="","",F1552-C1552)</f>
        <v>-2.25</v>
      </c>
      <c r="K1552" s="33" t="n">
        <f aca="false">IF(G1552="","",G1552-C1552)</f>
        <v>-0.926514146432027</v>
      </c>
      <c r="L1552" s="33" t="n">
        <f aca="false">IF(H1552="","",ABS(H1552))</f>
        <v>4</v>
      </c>
      <c r="M1552" s="33" t="n">
        <f aca="false">IF(I1552="","",ABS(I1552))</f>
        <v>1</v>
      </c>
      <c r="N1552" s="33" t="n">
        <f aca="false">IF(J1552="","",ABS(J1552))</f>
        <v>2.25</v>
      </c>
      <c r="O1552" s="33" t="n">
        <f aca="false">IF(K1552="","",ABS(K1552))</f>
        <v>0.926514146432027</v>
      </c>
      <c r="P1552" s="34" t="str">
        <f aca="false">IF(B1552&gt;=Eval_Start_Week,"YES","")</f>
        <v>YES</v>
      </c>
      <c r="Q1552" s="34" t="str">
        <f aca="false">IF(AND(B1552&gt;=Cal_Start_Week,B1552&lt;=Cal_End_Week),"YES","")</f>
        <v/>
      </c>
    </row>
    <row r="1553" customFormat="false" ht="15" hidden="false" customHeight="false" outlineLevel="0" collapsed="false">
      <c r="A1553" s="31" t="str">
        <f aca="false">Demand_History!C1553</f>
        <v>BTH-005</v>
      </c>
      <c r="B1553" s="31" t="n">
        <f aca="false">Demand_History!A1553</f>
        <v>96</v>
      </c>
      <c r="C1553" s="32" t="n">
        <f aca="false">Demand_History!D1553</f>
        <v>25</v>
      </c>
      <c r="D1553" s="33" t="n">
        <f aca="false">IF(B1553&gt;=2,C1552,"")</f>
        <v>24</v>
      </c>
      <c r="E1553" s="33" t="n">
        <f aca="false">IF(B1553&gt;=5,AVERAGE(C1549:C1552),"")</f>
        <v>25.5</v>
      </c>
      <c r="F1553" s="33" t="n">
        <f aca="false">IF(B1553&gt;=9,AVERAGE(C1545:C1552),"")</f>
        <v>22</v>
      </c>
      <c r="G1553" s="33" t="n">
        <f aca="false">IF(B1553=1,"",IF(B1553=2,C1552,SES_Alpha*C1552+(1-SES_Alpha)*G1552))</f>
        <v>23.3514400974976</v>
      </c>
      <c r="H1553" s="33" t="n">
        <f aca="false">IF(D1553="","",D1553-C1553)</f>
        <v>-1</v>
      </c>
      <c r="I1553" s="33" t="n">
        <f aca="false">IF(E1553="","",E1553-C1553)</f>
        <v>0.5</v>
      </c>
      <c r="J1553" s="33" t="n">
        <f aca="false">IF(F1553="","",F1553-C1553)</f>
        <v>-3</v>
      </c>
      <c r="K1553" s="33" t="n">
        <f aca="false">IF(G1553="","",G1553-C1553)</f>
        <v>-1.64855990250242</v>
      </c>
      <c r="L1553" s="33" t="n">
        <f aca="false">IF(H1553="","",ABS(H1553))</f>
        <v>1</v>
      </c>
      <c r="M1553" s="33" t="n">
        <f aca="false">IF(I1553="","",ABS(I1553))</f>
        <v>0.5</v>
      </c>
      <c r="N1553" s="33" t="n">
        <f aca="false">IF(J1553="","",ABS(J1553))</f>
        <v>3</v>
      </c>
      <c r="O1553" s="33" t="n">
        <f aca="false">IF(K1553="","",ABS(K1553))</f>
        <v>1.64855990250242</v>
      </c>
      <c r="P1553" s="34" t="str">
        <f aca="false">IF(B1553&gt;=Eval_Start_Week,"YES","")</f>
        <v>YES</v>
      </c>
      <c r="Q1553" s="34" t="str">
        <f aca="false">IF(AND(B1553&gt;=Cal_Start_Week,B1553&lt;=Cal_End_Week),"YES","")</f>
        <v/>
      </c>
    </row>
    <row r="1554" customFormat="false" ht="15" hidden="false" customHeight="false" outlineLevel="0" collapsed="false">
      <c r="A1554" s="31" t="str">
        <f aca="false">Demand_History!C1554</f>
        <v>BTH-005</v>
      </c>
      <c r="B1554" s="31" t="n">
        <f aca="false">Demand_History!A1554</f>
        <v>97</v>
      </c>
      <c r="C1554" s="32" t="n">
        <f aca="false">Demand_History!D1554</f>
        <v>30</v>
      </c>
      <c r="D1554" s="33" t="n">
        <f aca="false">IF(B1554&gt;=2,C1553,"")</f>
        <v>25</v>
      </c>
      <c r="E1554" s="33" t="n">
        <f aca="false">IF(B1554&gt;=5,AVERAGE(C1550:C1553),"")</f>
        <v>24.5</v>
      </c>
      <c r="F1554" s="33" t="n">
        <f aca="false">IF(B1554&gt;=9,AVERAGE(C1546:C1553),"")</f>
        <v>23.125</v>
      </c>
      <c r="G1554" s="33" t="n">
        <f aca="false">IF(B1554=1,"",IF(B1554=2,C1553,SES_Alpha*C1553+(1-SES_Alpha)*G1553))</f>
        <v>23.8460080682483</v>
      </c>
      <c r="H1554" s="33" t="n">
        <f aca="false">IF(D1554="","",D1554-C1554)</f>
        <v>-5</v>
      </c>
      <c r="I1554" s="33" t="n">
        <f aca="false">IF(E1554="","",E1554-C1554)</f>
        <v>-5.5</v>
      </c>
      <c r="J1554" s="33" t="n">
        <f aca="false">IF(F1554="","",F1554-C1554)</f>
        <v>-6.875</v>
      </c>
      <c r="K1554" s="33" t="n">
        <f aca="false">IF(G1554="","",G1554-C1554)</f>
        <v>-6.15399193175169</v>
      </c>
      <c r="L1554" s="33" t="n">
        <f aca="false">IF(H1554="","",ABS(H1554))</f>
        <v>5</v>
      </c>
      <c r="M1554" s="33" t="n">
        <f aca="false">IF(I1554="","",ABS(I1554))</f>
        <v>5.5</v>
      </c>
      <c r="N1554" s="33" t="n">
        <f aca="false">IF(J1554="","",ABS(J1554))</f>
        <v>6.875</v>
      </c>
      <c r="O1554" s="33" t="n">
        <f aca="false">IF(K1554="","",ABS(K1554))</f>
        <v>6.15399193175169</v>
      </c>
      <c r="P1554" s="34" t="str">
        <f aca="false">IF(B1554&gt;=Eval_Start_Week,"YES","")</f>
        <v>YES</v>
      </c>
      <c r="Q1554" s="34" t="str">
        <f aca="false">IF(AND(B1554&gt;=Cal_Start_Week,B1554&lt;=Cal_End_Week),"YES","")</f>
        <v/>
      </c>
    </row>
    <row r="1555" customFormat="false" ht="15" hidden="false" customHeight="false" outlineLevel="0" collapsed="false">
      <c r="A1555" s="31" t="str">
        <f aca="false">Demand_History!C1555</f>
        <v>BTH-005</v>
      </c>
      <c r="B1555" s="31" t="n">
        <f aca="false">Demand_History!A1555</f>
        <v>98</v>
      </c>
      <c r="C1555" s="32" t="n">
        <f aca="false">Demand_History!D1555</f>
        <v>14</v>
      </c>
      <c r="D1555" s="33" t="n">
        <f aca="false">IF(B1555&gt;=2,C1554,"")</f>
        <v>30</v>
      </c>
      <c r="E1555" s="33" t="n">
        <f aca="false">IF(B1555&gt;=5,AVERAGE(C1551:C1554),"")</f>
        <v>24.75</v>
      </c>
      <c r="F1555" s="33" t="n">
        <f aca="false">IF(B1555&gt;=9,AVERAGE(C1547:C1554),"")</f>
        <v>24.75</v>
      </c>
      <c r="G1555" s="33" t="n">
        <f aca="false">IF(B1555=1,"",IF(B1555=2,C1554,SES_Alpha*C1554+(1-SES_Alpha)*G1554))</f>
        <v>25.6922056477738</v>
      </c>
      <c r="H1555" s="33" t="n">
        <f aca="false">IF(D1555="","",D1555-C1555)</f>
        <v>16</v>
      </c>
      <c r="I1555" s="33" t="n">
        <f aca="false">IF(E1555="","",E1555-C1555)</f>
        <v>10.75</v>
      </c>
      <c r="J1555" s="33" t="n">
        <f aca="false">IF(F1555="","",F1555-C1555)</f>
        <v>10.75</v>
      </c>
      <c r="K1555" s="33" t="n">
        <f aca="false">IF(G1555="","",G1555-C1555)</f>
        <v>11.6922056477738</v>
      </c>
      <c r="L1555" s="33" t="n">
        <f aca="false">IF(H1555="","",ABS(H1555))</f>
        <v>16</v>
      </c>
      <c r="M1555" s="33" t="n">
        <f aca="false">IF(I1555="","",ABS(I1555))</f>
        <v>10.75</v>
      </c>
      <c r="N1555" s="33" t="n">
        <f aca="false">IF(J1555="","",ABS(J1555))</f>
        <v>10.75</v>
      </c>
      <c r="O1555" s="33" t="n">
        <f aca="false">IF(K1555="","",ABS(K1555))</f>
        <v>11.6922056477738</v>
      </c>
      <c r="P1555" s="34" t="str">
        <f aca="false">IF(B1555&gt;=Eval_Start_Week,"YES","")</f>
        <v>YES</v>
      </c>
      <c r="Q1555" s="34" t="str">
        <f aca="false">IF(AND(B1555&gt;=Cal_Start_Week,B1555&lt;=Cal_End_Week),"YES","")</f>
        <v/>
      </c>
    </row>
    <row r="1556" customFormat="false" ht="15" hidden="false" customHeight="false" outlineLevel="0" collapsed="false">
      <c r="A1556" s="31" t="str">
        <f aca="false">Demand_History!C1556</f>
        <v>BTH-005</v>
      </c>
      <c r="B1556" s="31" t="n">
        <f aca="false">Demand_History!A1556</f>
        <v>99</v>
      </c>
      <c r="C1556" s="32" t="n">
        <f aca="false">Demand_History!D1556</f>
        <v>27</v>
      </c>
      <c r="D1556" s="33" t="n">
        <f aca="false">IF(B1556&gt;=2,C1555,"")</f>
        <v>14</v>
      </c>
      <c r="E1556" s="33" t="n">
        <f aca="false">IF(B1556&gt;=5,AVERAGE(C1552:C1555),"")</f>
        <v>23.25</v>
      </c>
      <c r="F1556" s="33" t="n">
        <f aca="false">IF(B1556&gt;=9,AVERAGE(C1548:C1555),"")</f>
        <v>23.125</v>
      </c>
      <c r="G1556" s="33" t="n">
        <f aca="false">IF(B1556=1,"",IF(B1556=2,C1555,SES_Alpha*C1555+(1-SES_Alpha)*G1555))</f>
        <v>22.1845439534417</v>
      </c>
      <c r="H1556" s="33" t="n">
        <f aca="false">IF(D1556="","",D1556-C1556)</f>
        <v>-13</v>
      </c>
      <c r="I1556" s="33" t="n">
        <f aca="false">IF(E1556="","",E1556-C1556)</f>
        <v>-3.75</v>
      </c>
      <c r="J1556" s="33" t="n">
        <f aca="false">IF(F1556="","",F1556-C1556)</f>
        <v>-3.875</v>
      </c>
      <c r="K1556" s="33" t="n">
        <f aca="false">IF(G1556="","",G1556-C1556)</f>
        <v>-4.81545604655833</v>
      </c>
      <c r="L1556" s="33" t="n">
        <f aca="false">IF(H1556="","",ABS(H1556))</f>
        <v>13</v>
      </c>
      <c r="M1556" s="33" t="n">
        <f aca="false">IF(I1556="","",ABS(I1556))</f>
        <v>3.75</v>
      </c>
      <c r="N1556" s="33" t="n">
        <f aca="false">IF(J1556="","",ABS(J1556))</f>
        <v>3.875</v>
      </c>
      <c r="O1556" s="33" t="n">
        <f aca="false">IF(K1556="","",ABS(K1556))</f>
        <v>4.81545604655833</v>
      </c>
      <c r="P1556" s="34" t="str">
        <f aca="false">IF(B1556&gt;=Eval_Start_Week,"YES","")</f>
        <v>YES</v>
      </c>
      <c r="Q1556" s="34" t="str">
        <f aca="false">IF(AND(B1556&gt;=Cal_Start_Week,B1556&lt;=Cal_End_Week),"YES","")</f>
        <v/>
      </c>
    </row>
    <row r="1557" customFormat="false" ht="15" hidden="false" customHeight="false" outlineLevel="0" collapsed="false">
      <c r="A1557" s="31" t="str">
        <f aca="false">Demand_History!C1557</f>
        <v>BTH-005</v>
      </c>
      <c r="B1557" s="31" t="n">
        <f aca="false">Demand_History!A1557</f>
        <v>100</v>
      </c>
      <c r="C1557" s="32" t="n">
        <f aca="false">Demand_History!D1557</f>
        <v>18</v>
      </c>
      <c r="D1557" s="33" t="n">
        <f aca="false">IF(B1557&gt;=2,C1556,"")</f>
        <v>27</v>
      </c>
      <c r="E1557" s="33" t="n">
        <f aca="false">IF(B1557&gt;=5,AVERAGE(C1553:C1556),"")</f>
        <v>24</v>
      </c>
      <c r="F1557" s="33" t="n">
        <f aca="false">IF(B1557&gt;=9,AVERAGE(C1549:C1556),"")</f>
        <v>24.75</v>
      </c>
      <c r="G1557" s="33" t="n">
        <f aca="false">IF(B1557=1,"",IF(B1557=2,C1556,SES_Alpha*C1556+(1-SES_Alpha)*G1556))</f>
        <v>23.6291807674092</v>
      </c>
      <c r="H1557" s="33" t="n">
        <f aca="false">IF(D1557="","",D1557-C1557)</f>
        <v>9</v>
      </c>
      <c r="I1557" s="33" t="n">
        <f aca="false">IF(E1557="","",E1557-C1557)</f>
        <v>6</v>
      </c>
      <c r="J1557" s="33" t="n">
        <f aca="false">IF(F1557="","",F1557-C1557)</f>
        <v>6.75</v>
      </c>
      <c r="K1557" s="33" t="n">
        <f aca="false">IF(G1557="","",G1557-C1557)</f>
        <v>5.62918076740917</v>
      </c>
      <c r="L1557" s="33" t="n">
        <f aca="false">IF(H1557="","",ABS(H1557))</f>
        <v>9</v>
      </c>
      <c r="M1557" s="33" t="n">
        <f aca="false">IF(I1557="","",ABS(I1557))</f>
        <v>6</v>
      </c>
      <c r="N1557" s="33" t="n">
        <f aca="false">IF(J1557="","",ABS(J1557))</f>
        <v>6.75</v>
      </c>
      <c r="O1557" s="33" t="n">
        <f aca="false">IF(K1557="","",ABS(K1557))</f>
        <v>5.62918076740917</v>
      </c>
      <c r="P1557" s="34" t="str">
        <f aca="false">IF(B1557&gt;=Eval_Start_Week,"YES","")</f>
        <v>YES</v>
      </c>
      <c r="Q1557" s="34" t="str">
        <f aca="false">IF(AND(B1557&gt;=Cal_Start_Week,B1557&lt;=Cal_End_Week),"YES","")</f>
        <v/>
      </c>
    </row>
    <row r="1558" customFormat="false" ht="15" hidden="false" customHeight="false" outlineLevel="0" collapsed="false">
      <c r="A1558" s="31" t="str">
        <f aca="false">Demand_History!C1558</f>
        <v>BTH-005</v>
      </c>
      <c r="B1558" s="31" t="n">
        <f aca="false">Demand_History!A1558</f>
        <v>101</v>
      </c>
      <c r="C1558" s="32" t="n">
        <f aca="false">Demand_History!D1558</f>
        <v>15</v>
      </c>
      <c r="D1558" s="33" t="n">
        <f aca="false">IF(B1558&gt;=2,C1557,"")</f>
        <v>18</v>
      </c>
      <c r="E1558" s="33" t="n">
        <f aca="false">IF(B1558&gt;=5,AVERAGE(C1554:C1557),"")</f>
        <v>22.25</v>
      </c>
      <c r="F1558" s="33" t="n">
        <f aca="false">IF(B1558&gt;=9,AVERAGE(C1550:C1557),"")</f>
        <v>23.375</v>
      </c>
      <c r="G1558" s="33" t="n">
        <f aca="false">IF(B1558=1,"",IF(B1558=2,C1557,SES_Alpha*C1557+(1-SES_Alpha)*G1557))</f>
        <v>21.9404265371864</v>
      </c>
      <c r="H1558" s="33" t="n">
        <f aca="false">IF(D1558="","",D1558-C1558)</f>
        <v>3</v>
      </c>
      <c r="I1558" s="33" t="n">
        <f aca="false">IF(E1558="","",E1558-C1558)</f>
        <v>7.25</v>
      </c>
      <c r="J1558" s="33" t="n">
        <f aca="false">IF(F1558="","",F1558-C1558)</f>
        <v>8.375</v>
      </c>
      <c r="K1558" s="33" t="n">
        <f aca="false">IF(G1558="","",G1558-C1558)</f>
        <v>6.94042653718642</v>
      </c>
      <c r="L1558" s="33" t="n">
        <f aca="false">IF(H1558="","",ABS(H1558))</f>
        <v>3</v>
      </c>
      <c r="M1558" s="33" t="n">
        <f aca="false">IF(I1558="","",ABS(I1558))</f>
        <v>7.25</v>
      </c>
      <c r="N1558" s="33" t="n">
        <f aca="false">IF(J1558="","",ABS(J1558))</f>
        <v>8.375</v>
      </c>
      <c r="O1558" s="33" t="n">
        <f aca="false">IF(K1558="","",ABS(K1558))</f>
        <v>6.94042653718642</v>
      </c>
      <c r="P1558" s="34" t="str">
        <f aca="false">IF(B1558&gt;=Eval_Start_Week,"YES","")</f>
        <v>YES</v>
      </c>
      <c r="Q1558" s="34" t="str">
        <f aca="false">IF(AND(B1558&gt;=Cal_Start_Week,B1558&lt;=Cal_End_Week),"YES","")</f>
        <v/>
      </c>
    </row>
    <row r="1559" customFormat="false" ht="15" hidden="false" customHeight="false" outlineLevel="0" collapsed="false">
      <c r="A1559" s="31" t="str">
        <f aca="false">Demand_History!C1559</f>
        <v>BTH-005</v>
      </c>
      <c r="B1559" s="31" t="n">
        <f aca="false">Demand_History!A1559</f>
        <v>102</v>
      </c>
      <c r="C1559" s="32" t="n">
        <f aca="false">Demand_History!D1559</f>
        <v>21</v>
      </c>
      <c r="D1559" s="33" t="n">
        <f aca="false">IF(B1559&gt;=2,C1558,"")</f>
        <v>15</v>
      </c>
      <c r="E1559" s="33" t="n">
        <f aca="false">IF(B1559&gt;=5,AVERAGE(C1555:C1558),"")</f>
        <v>18.5</v>
      </c>
      <c r="F1559" s="33" t="n">
        <f aca="false">IF(B1559&gt;=9,AVERAGE(C1551:C1558),"")</f>
        <v>21.625</v>
      </c>
      <c r="G1559" s="33" t="n">
        <f aca="false">IF(B1559=1,"",IF(B1559=2,C1558,SES_Alpha*C1558+(1-SES_Alpha)*G1558))</f>
        <v>19.8582985760305</v>
      </c>
      <c r="H1559" s="33" t="n">
        <f aca="false">IF(D1559="","",D1559-C1559)</f>
        <v>-6</v>
      </c>
      <c r="I1559" s="33" t="n">
        <f aca="false">IF(E1559="","",E1559-C1559)</f>
        <v>-2.5</v>
      </c>
      <c r="J1559" s="33" t="n">
        <f aca="false">IF(F1559="","",F1559-C1559)</f>
        <v>0.625</v>
      </c>
      <c r="K1559" s="33" t="n">
        <f aca="false">IF(G1559="","",G1559-C1559)</f>
        <v>-1.14170142396951</v>
      </c>
      <c r="L1559" s="33" t="n">
        <f aca="false">IF(H1559="","",ABS(H1559))</f>
        <v>6</v>
      </c>
      <c r="M1559" s="33" t="n">
        <f aca="false">IF(I1559="","",ABS(I1559))</f>
        <v>2.5</v>
      </c>
      <c r="N1559" s="33" t="n">
        <f aca="false">IF(J1559="","",ABS(J1559))</f>
        <v>0.625</v>
      </c>
      <c r="O1559" s="33" t="n">
        <f aca="false">IF(K1559="","",ABS(K1559))</f>
        <v>1.14170142396951</v>
      </c>
      <c r="P1559" s="34" t="str">
        <f aca="false">IF(B1559&gt;=Eval_Start_Week,"YES","")</f>
        <v>YES</v>
      </c>
      <c r="Q1559" s="34" t="str">
        <f aca="false">IF(AND(B1559&gt;=Cal_Start_Week,B1559&lt;=Cal_End_Week),"YES","")</f>
        <v/>
      </c>
    </row>
    <row r="1560" customFormat="false" ht="15" hidden="false" customHeight="false" outlineLevel="0" collapsed="false">
      <c r="A1560" s="31" t="str">
        <f aca="false">Demand_History!C1560</f>
        <v>BTH-005</v>
      </c>
      <c r="B1560" s="31" t="n">
        <f aca="false">Demand_History!A1560</f>
        <v>103</v>
      </c>
      <c r="C1560" s="32" t="n">
        <f aca="false">Demand_History!D1560</f>
        <v>19</v>
      </c>
      <c r="D1560" s="33" t="n">
        <f aca="false">IF(B1560&gt;=2,C1559,"")</f>
        <v>21</v>
      </c>
      <c r="E1560" s="33" t="n">
        <f aca="false">IF(B1560&gt;=5,AVERAGE(C1556:C1559),"")</f>
        <v>20.25</v>
      </c>
      <c r="F1560" s="33" t="n">
        <f aca="false">IF(B1560&gt;=9,AVERAGE(C1552:C1559),"")</f>
        <v>21.75</v>
      </c>
      <c r="G1560" s="33" t="n">
        <f aca="false">IF(B1560=1,"",IF(B1560=2,C1559,SES_Alpha*C1559+(1-SES_Alpha)*G1559))</f>
        <v>20.2008090032213</v>
      </c>
      <c r="H1560" s="33" t="n">
        <f aca="false">IF(D1560="","",D1560-C1560)</f>
        <v>2</v>
      </c>
      <c r="I1560" s="33" t="n">
        <f aca="false">IF(E1560="","",E1560-C1560)</f>
        <v>1.25</v>
      </c>
      <c r="J1560" s="33" t="n">
        <f aca="false">IF(F1560="","",F1560-C1560)</f>
        <v>2.75</v>
      </c>
      <c r="K1560" s="33" t="n">
        <f aca="false">IF(G1560="","",G1560-C1560)</f>
        <v>1.20080900322134</v>
      </c>
      <c r="L1560" s="33" t="n">
        <f aca="false">IF(H1560="","",ABS(H1560))</f>
        <v>2</v>
      </c>
      <c r="M1560" s="33" t="n">
        <f aca="false">IF(I1560="","",ABS(I1560))</f>
        <v>1.25</v>
      </c>
      <c r="N1560" s="33" t="n">
        <f aca="false">IF(J1560="","",ABS(J1560))</f>
        <v>2.75</v>
      </c>
      <c r="O1560" s="33" t="n">
        <f aca="false">IF(K1560="","",ABS(K1560))</f>
        <v>1.20080900322134</v>
      </c>
      <c r="P1560" s="34" t="str">
        <f aca="false">IF(B1560&gt;=Eval_Start_Week,"YES","")</f>
        <v>YES</v>
      </c>
      <c r="Q1560" s="34" t="str">
        <f aca="false">IF(AND(B1560&gt;=Cal_Start_Week,B1560&lt;=Cal_End_Week),"YES","")</f>
        <v/>
      </c>
    </row>
    <row r="1561" customFormat="false" ht="15" hidden="false" customHeight="false" outlineLevel="0" collapsed="false">
      <c r="A1561" s="31" t="str">
        <f aca="false">Demand_History!C1561</f>
        <v>BTH-005</v>
      </c>
      <c r="B1561" s="31" t="n">
        <f aca="false">Demand_History!A1561</f>
        <v>104</v>
      </c>
      <c r="C1561" s="32" t="n">
        <f aca="false">Demand_History!D1561</f>
        <v>14</v>
      </c>
      <c r="D1561" s="33" t="n">
        <f aca="false">IF(B1561&gt;=2,C1560,"")</f>
        <v>19</v>
      </c>
      <c r="E1561" s="33" t="n">
        <f aca="false">IF(B1561&gt;=5,AVERAGE(C1557:C1560),"")</f>
        <v>18.25</v>
      </c>
      <c r="F1561" s="33" t="n">
        <f aca="false">IF(B1561&gt;=9,AVERAGE(C1553:C1560),"")</f>
        <v>21.125</v>
      </c>
      <c r="G1561" s="33" t="n">
        <f aca="false">IF(B1561=1,"",IF(B1561=2,C1560,SES_Alpha*C1560+(1-SES_Alpha)*G1560))</f>
        <v>19.8405663022549</v>
      </c>
      <c r="H1561" s="33" t="n">
        <f aca="false">IF(D1561="","",D1561-C1561)</f>
        <v>5</v>
      </c>
      <c r="I1561" s="33" t="n">
        <f aca="false">IF(E1561="","",E1561-C1561)</f>
        <v>4.25</v>
      </c>
      <c r="J1561" s="33" t="n">
        <f aca="false">IF(F1561="","",F1561-C1561)</f>
        <v>7.125</v>
      </c>
      <c r="K1561" s="33" t="n">
        <f aca="false">IF(G1561="","",G1561-C1561)</f>
        <v>5.84056630225494</v>
      </c>
      <c r="L1561" s="33" t="n">
        <f aca="false">IF(H1561="","",ABS(H1561))</f>
        <v>5</v>
      </c>
      <c r="M1561" s="33" t="n">
        <f aca="false">IF(I1561="","",ABS(I1561))</f>
        <v>4.25</v>
      </c>
      <c r="N1561" s="33" t="n">
        <f aca="false">IF(J1561="","",ABS(J1561))</f>
        <v>7.125</v>
      </c>
      <c r="O1561" s="33" t="n">
        <f aca="false">IF(K1561="","",ABS(K1561))</f>
        <v>5.84056630225494</v>
      </c>
      <c r="P1561" s="34" t="str">
        <f aca="false">IF(B1561&gt;=Eval_Start_Week,"YES","")</f>
        <v>YES</v>
      </c>
      <c r="Q1561" s="34" t="str">
        <f aca="false">IF(AND(B1561&gt;=Cal_Start_Week,B1561&lt;=Cal_End_Week),"YES","")</f>
        <v/>
      </c>
    </row>
    <row r="1562" customFormat="false" ht="15" hidden="false" customHeight="false" outlineLevel="0" collapsed="false">
      <c r="A1562" s="31" t="str">
        <f aca="false">Demand_History!C1562</f>
        <v>BTH-006</v>
      </c>
      <c r="B1562" s="31" t="n">
        <f aca="false">Demand_History!A1562</f>
        <v>1</v>
      </c>
      <c r="C1562" s="32" t="n">
        <f aca="false">Demand_History!D1562</f>
        <v>32</v>
      </c>
      <c r="D1562" s="33" t="str">
        <f aca="false">IF(B1562&gt;=2,C1561,"")</f>
        <v/>
      </c>
      <c r="E1562" s="33" t="str">
        <f aca="false">IF(B1562&gt;=5,AVERAGE(C1558:C1561),"")</f>
        <v/>
      </c>
      <c r="F1562" s="33" t="str">
        <f aca="false">IF(B1562&gt;=9,AVERAGE(C1554:C1561),"")</f>
        <v/>
      </c>
      <c r="G1562" s="33" t="str">
        <f aca="false">IF(B1562=1,"",IF(B1562=2,C1561,SES_Alpha*C1561+(1-SES_Alpha)*G1561))</f>
        <v/>
      </c>
      <c r="H1562" s="33" t="str">
        <f aca="false">IF(D1562="","",D1562-C1562)</f>
        <v/>
      </c>
      <c r="I1562" s="33" t="str">
        <f aca="false">IF(E1562="","",E1562-C1562)</f>
        <v/>
      </c>
      <c r="J1562" s="33" t="str">
        <f aca="false">IF(F1562="","",F1562-C1562)</f>
        <v/>
      </c>
      <c r="K1562" s="33" t="str">
        <f aca="false">IF(G1562="","",G1562-C1562)</f>
        <v/>
      </c>
      <c r="L1562" s="33" t="str">
        <f aca="false">IF(H1562="","",ABS(H1562))</f>
        <v/>
      </c>
      <c r="M1562" s="33" t="str">
        <f aca="false">IF(I1562="","",ABS(I1562))</f>
        <v/>
      </c>
      <c r="N1562" s="33" t="str">
        <f aca="false">IF(J1562="","",ABS(J1562))</f>
        <v/>
      </c>
      <c r="O1562" s="33" t="str">
        <f aca="false">IF(K1562="","",ABS(K1562))</f>
        <v/>
      </c>
      <c r="P1562" s="34" t="str">
        <f aca="false">IF(B1562&gt;=Eval_Start_Week,"YES","")</f>
        <v/>
      </c>
      <c r="Q1562" s="34" t="str">
        <f aca="false">IF(AND(B1562&gt;=Cal_Start_Week,B1562&lt;=Cal_End_Week),"YES","")</f>
        <v/>
      </c>
    </row>
    <row r="1563" customFormat="false" ht="15" hidden="false" customHeight="false" outlineLevel="0" collapsed="false">
      <c r="A1563" s="31" t="str">
        <f aca="false">Demand_History!C1563</f>
        <v>BTH-006</v>
      </c>
      <c r="B1563" s="31" t="n">
        <f aca="false">Demand_History!A1563</f>
        <v>2</v>
      </c>
      <c r="C1563" s="32" t="n">
        <f aca="false">Demand_History!D1563</f>
        <v>40</v>
      </c>
      <c r="D1563" s="33" t="n">
        <f aca="false">IF(B1563&gt;=2,C1562,"")</f>
        <v>32</v>
      </c>
      <c r="E1563" s="33" t="str">
        <f aca="false">IF(B1563&gt;=5,AVERAGE(C1559:C1562),"")</f>
        <v/>
      </c>
      <c r="F1563" s="33" t="str">
        <f aca="false">IF(B1563&gt;=9,AVERAGE(C1555:C1562),"")</f>
        <v/>
      </c>
      <c r="G1563" s="33" t="n">
        <f aca="false">IF(B1563=1,"",IF(B1563=2,C1562,SES_Alpha*C1562+(1-SES_Alpha)*G1562))</f>
        <v>32</v>
      </c>
      <c r="H1563" s="33" t="n">
        <f aca="false">IF(D1563="","",D1563-C1563)</f>
        <v>-8</v>
      </c>
      <c r="I1563" s="33" t="str">
        <f aca="false">IF(E1563="","",E1563-C1563)</f>
        <v/>
      </c>
      <c r="J1563" s="33" t="str">
        <f aca="false">IF(F1563="","",F1563-C1563)</f>
        <v/>
      </c>
      <c r="K1563" s="33" t="n">
        <f aca="false">IF(G1563="","",G1563-C1563)</f>
        <v>-8</v>
      </c>
      <c r="L1563" s="33" t="n">
        <f aca="false">IF(H1563="","",ABS(H1563))</f>
        <v>8</v>
      </c>
      <c r="M1563" s="33" t="str">
        <f aca="false">IF(I1563="","",ABS(I1563))</f>
        <v/>
      </c>
      <c r="N1563" s="33" t="str">
        <f aca="false">IF(J1563="","",ABS(J1563))</f>
        <v/>
      </c>
      <c r="O1563" s="33" t="n">
        <f aca="false">IF(K1563="","",ABS(K1563))</f>
        <v>8</v>
      </c>
      <c r="P1563" s="34" t="str">
        <f aca="false">IF(B1563&gt;=Eval_Start_Week,"YES","")</f>
        <v/>
      </c>
      <c r="Q1563" s="34" t="str">
        <f aca="false">IF(AND(B1563&gt;=Cal_Start_Week,B1563&lt;=Cal_End_Week),"YES","")</f>
        <v/>
      </c>
    </row>
    <row r="1564" customFormat="false" ht="15" hidden="false" customHeight="false" outlineLevel="0" collapsed="false">
      <c r="A1564" s="31" t="str">
        <f aca="false">Demand_History!C1564</f>
        <v>BTH-006</v>
      </c>
      <c r="B1564" s="31" t="n">
        <f aca="false">Demand_History!A1564</f>
        <v>3</v>
      </c>
      <c r="C1564" s="32" t="n">
        <f aca="false">Demand_History!D1564</f>
        <v>42</v>
      </c>
      <c r="D1564" s="33" t="n">
        <f aca="false">IF(B1564&gt;=2,C1563,"")</f>
        <v>40</v>
      </c>
      <c r="E1564" s="33" t="str">
        <f aca="false">IF(B1564&gt;=5,AVERAGE(C1560:C1563),"")</f>
        <v/>
      </c>
      <c r="F1564" s="33" t="str">
        <f aca="false">IF(B1564&gt;=9,AVERAGE(C1556:C1563),"")</f>
        <v/>
      </c>
      <c r="G1564" s="33" t="n">
        <f aca="false">IF(B1564=1,"",IF(B1564=2,C1563,SES_Alpha*C1563+(1-SES_Alpha)*G1563))</f>
        <v>34.4</v>
      </c>
      <c r="H1564" s="33" t="n">
        <f aca="false">IF(D1564="","",D1564-C1564)</f>
        <v>-2</v>
      </c>
      <c r="I1564" s="33" t="str">
        <f aca="false">IF(E1564="","",E1564-C1564)</f>
        <v/>
      </c>
      <c r="J1564" s="33" t="str">
        <f aca="false">IF(F1564="","",F1564-C1564)</f>
        <v/>
      </c>
      <c r="K1564" s="33" t="n">
        <f aca="false">IF(G1564="","",G1564-C1564)</f>
        <v>-7.6</v>
      </c>
      <c r="L1564" s="33" t="n">
        <f aca="false">IF(H1564="","",ABS(H1564))</f>
        <v>2</v>
      </c>
      <c r="M1564" s="33" t="str">
        <f aca="false">IF(I1564="","",ABS(I1564))</f>
        <v/>
      </c>
      <c r="N1564" s="33" t="str">
        <f aca="false">IF(J1564="","",ABS(J1564))</f>
        <v/>
      </c>
      <c r="O1564" s="33" t="n">
        <f aca="false">IF(K1564="","",ABS(K1564))</f>
        <v>7.6</v>
      </c>
      <c r="P1564" s="34" t="str">
        <f aca="false">IF(B1564&gt;=Eval_Start_Week,"YES","")</f>
        <v/>
      </c>
      <c r="Q1564" s="34" t="str">
        <f aca="false">IF(AND(B1564&gt;=Cal_Start_Week,B1564&lt;=Cal_End_Week),"YES","")</f>
        <v/>
      </c>
    </row>
    <row r="1565" customFormat="false" ht="15" hidden="false" customHeight="false" outlineLevel="0" collapsed="false">
      <c r="A1565" s="31" t="str">
        <f aca="false">Demand_History!C1565</f>
        <v>BTH-006</v>
      </c>
      <c r="B1565" s="31" t="n">
        <f aca="false">Demand_History!A1565</f>
        <v>4</v>
      </c>
      <c r="C1565" s="32" t="n">
        <f aca="false">Demand_History!D1565</f>
        <v>37</v>
      </c>
      <c r="D1565" s="33" t="n">
        <f aca="false">IF(B1565&gt;=2,C1564,"")</f>
        <v>42</v>
      </c>
      <c r="E1565" s="33" t="str">
        <f aca="false">IF(B1565&gt;=5,AVERAGE(C1561:C1564),"")</f>
        <v/>
      </c>
      <c r="F1565" s="33" t="str">
        <f aca="false">IF(B1565&gt;=9,AVERAGE(C1557:C1564),"")</f>
        <v/>
      </c>
      <c r="G1565" s="33" t="n">
        <f aca="false">IF(B1565=1,"",IF(B1565=2,C1564,SES_Alpha*C1564+(1-SES_Alpha)*G1564))</f>
        <v>36.68</v>
      </c>
      <c r="H1565" s="33" t="n">
        <f aca="false">IF(D1565="","",D1565-C1565)</f>
        <v>5</v>
      </c>
      <c r="I1565" s="33" t="str">
        <f aca="false">IF(E1565="","",E1565-C1565)</f>
        <v/>
      </c>
      <c r="J1565" s="33" t="str">
        <f aca="false">IF(F1565="","",F1565-C1565)</f>
        <v/>
      </c>
      <c r="K1565" s="33" t="n">
        <f aca="false">IF(G1565="","",G1565-C1565)</f>
        <v>-0.32</v>
      </c>
      <c r="L1565" s="33" t="n">
        <f aca="false">IF(H1565="","",ABS(H1565))</f>
        <v>5</v>
      </c>
      <c r="M1565" s="33" t="str">
        <f aca="false">IF(I1565="","",ABS(I1565))</f>
        <v/>
      </c>
      <c r="N1565" s="33" t="str">
        <f aca="false">IF(J1565="","",ABS(J1565))</f>
        <v/>
      </c>
      <c r="O1565" s="33" t="n">
        <f aca="false">IF(K1565="","",ABS(K1565))</f>
        <v>0.32</v>
      </c>
      <c r="P1565" s="34" t="str">
        <f aca="false">IF(B1565&gt;=Eval_Start_Week,"YES","")</f>
        <v/>
      </c>
      <c r="Q1565" s="34" t="str">
        <f aca="false">IF(AND(B1565&gt;=Cal_Start_Week,B1565&lt;=Cal_End_Week),"YES","")</f>
        <v/>
      </c>
    </row>
    <row r="1566" customFormat="false" ht="15" hidden="false" customHeight="false" outlineLevel="0" collapsed="false">
      <c r="A1566" s="31" t="str">
        <f aca="false">Demand_History!C1566</f>
        <v>BTH-006</v>
      </c>
      <c r="B1566" s="31" t="n">
        <f aca="false">Demand_History!A1566</f>
        <v>5</v>
      </c>
      <c r="C1566" s="32" t="n">
        <f aca="false">Demand_History!D1566</f>
        <v>39</v>
      </c>
      <c r="D1566" s="33" t="n">
        <f aca="false">IF(B1566&gt;=2,C1565,"")</f>
        <v>37</v>
      </c>
      <c r="E1566" s="33" t="n">
        <f aca="false">IF(B1566&gt;=5,AVERAGE(C1562:C1565),"")</f>
        <v>37.75</v>
      </c>
      <c r="F1566" s="33" t="str">
        <f aca="false">IF(B1566&gt;=9,AVERAGE(C1558:C1565),"")</f>
        <v/>
      </c>
      <c r="G1566" s="33" t="n">
        <f aca="false">IF(B1566=1,"",IF(B1566=2,C1565,SES_Alpha*C1565+(1-SES_Alpha)*G1565))</f>
        <v>36.776</v>
      </c>
      <c r="H1566" s="33" t="n">
        <f aca="false">IF(D1566="","",D1566-C1566)</f>
        <v>-2</v>
      </c>
      <c r="I1566" s="33" t="n">
        <f aca="false">IF(E1566="","",E1566-C1566)</f>
        <v>-1.25</v>
      </c>
      <c r="J1566" s="33" t="str">
        <f aca="false">IF(F1566="","",F1566-C1566)</f>
        <v/>
      </c>
      <c r="K1566" s="33" t="n">
        <f aca="false">IF(G1566="","",G1566-C1566)</f>
        <v>-2.224</v>
      </c>
      <c r="L1566" s="33" t="n">
        <f aca="false">IF(H1566="","",ABS(H1566))</f>
        <v>2</v>
      </c>
      <c r="M1566" s="33" t="n">
        <f aca="false">IF(I1566="","",ABS(I1566))</f>
        <v>1.25</v>
      </c>
      <c r="N1566" s="33" t="str">
        <f aca="false">IF(J1566="","",ABS(J1566))</f>
        <v/>
      </c>
      <c r="O1566" s="33" t="n">
        <f aca="false">IF(K1566="","",ABS(K1566))</f>
        <v>2.224</v>
      </c>
      <c r="P1566" s="34" t="str">
        <f aca="false">IF(B1566&gt;=Eval_Start_Week,"YES","")</f>
        <v/>
      </c>
      <c r="Q1566" s="34" t="str">
        <f aca="false">IF(AND(B1566&gt;=Cal_Start_Week,B1566&lt;=Cal_End_Week),"YES","")</f>
        <v/>
      </c>
    </row>
    <row r="1567" customFormat="false" ht="15" hidden="false" customHeight="false" outlineLevel="0" collapsed="false">
      <c r="A1567" s="31" t="str">
        <f aca="false">Demand_History!C1567</f>
        <v>BTH-006</v>
      </c>
      <c r="B1567" s="31" t="n">
        <f aca="false">Demand_History!A1567</f>
        <v>6</v>
      </c>
      <c r="C1567" s="32" t="n">
        <f aca="false">Demand_History!D1567</f>
        <v>33</v>
      </c>
      <c r="D1567" s="33" t="n">
        <f aca="false">IF(B1567&gt;=2,C1566,"")</f>
        <v>39</v>
      </c>
      <c r="E1567" s="33" t="n">
        <f aca="false">IF(B1567&gt;=5,AVERAGE(C1563:C1566),"")</f>
        <v>39.5</v>
      </c>
      <c r="F1567" s="33" t="str">
        <f aca="false">IF(B1567&gt;=9,AVERAGE(C1559:C1566),"")</f>
        <v/>
      </c>
      <c r="G1567" s="33" t="n">
        <f aca="false">IF(B1567=1,"",IF(B1567=2,C1566,SES_Alpha*C1566+(1-SES_Alpha)*G1566))</f>
        <v>37.4432</v>
      </c>
      <c r="H1567" s="33" t="n">
        <f aca="false">IF(D1567="","",D1567-C1567)</f>
        <v>6</v>
      </c>
      <c r="I1567" s="33" t="n">
        <f aca="false">IF(E1567="","",E1567-C1567)</f>
        <v>6.5</v>
      </c>
      <c r="J1567" s="33" t="str">
        <f aca="false">IF(F1567="","",F1567-C1567)</f>
        <v/>
      </c>
      <c r="K1567" s="33" t="n">
        <f aca="false">IF(G1567="","",G1567-C1567)</f>
        <v>4.44319999999999</v>
      </c>
      <c r="L1567" s="33" t="n">
        <f aca="false">IF(H1567="","",ABS(H1567))</f>
        <v>6</v>
      </c>
      <c r="M1567" s="33" t="n">
        <f aca="false">IF(I1567="","",ABS(I1567))</f>
        <v>6.5</v>
      </c>
      <c r="N1567" s="33" t="str">
        <f aca="false">IF(J1567="","",ABS(J1567))</f>
        <v/>
      </c>
      <c r="O1567" s="33" t="n">
        <f aca="false">IF(K1567="","",ABS(K1567))</f>
        <v>4.44319999999999</v>
      </c>
      <c r="P1567" s="34" t="str">
        <f aca="false">IF(B1567&gt;=Eval_Start_Week,"YES","")</f>
        <v/>
      </c>
      <c r="Q1567" s="34" t="str">
        <f aca="false">IF(AND(B1567&gt;=Cal_Start_Week,B1567&lt;=Cal_End_Week),"YES","")</f>
        <v/>
      </c>
    </row>
    <row r="1568" customFormat="false" ht="15" hidden="false" customHeight="false" outlineLevel="0" collapsed="false">
      <c r="A1568" s="31" t="str">
        <f aca="false">Demand_History!C1568</f>
        <v>BTH-006</v>
      </c>
      <c r="B1568" s="31" t="n">
        <f aca="false">Demand_History!A1568</f>
        <v>7</v>
      </c>
      <c r="C1568" s="32" t="n">
        <f aca="false">Demand_History!D1568</f>
        <v>35</v>
      </c>
      <c r="D1568" s="33" t="n">
        <f aca="false">IF(B1568&gt;=2,C1567,"")</f>
        <v>33</v>
      </c>
      <c r="E1568" s="33" t="n">
        <f aca="false">IF(B1568&gt;=5,AVERAGE(C1564:C1567),"")</f>
        <v>37.75</v>
      </c>
      <c r="F1568" s="33" t="str">
        <f aca="false">IF(B1568&gt;=9,AVERAGE(C1560:C1567),"")</f>
        <v/>
      </c>
      <c r="G1568" s="33" t="n">
        <f aca="false">IF(B1568=1,"",IF(B1568=2,C1567,SES_Alpha*C1567+(1-SES_Alpha)*G1567))</f>
        <v>36.11024</v>
      </c>
      <c r="H1568" s="33" t="n">
        <f aca="false">IF(D1568="","",D1568-C1568)</f>
        <v>-2</v>
      </c>
      <c r="I1568" s="33" t="n">
        <f aca="false">IF(E1568="","",E1568-C1568)</f>
        <v>2.75</v>
      </c>
      <c r="J1568" s="33" t="str">
        <f aca="false">IF(F1568="","",F1568-C1568)</f>
        <v/>
      </c>
      <c r="K1568" s="33" t="n">
        <f aca="false">IF(G1568="","",G1568-C1568)</f>
        <v>1.11023999999999</v>
      </c>
      <c r="L1568" s="33" t="n">
        <f aca="false">IF(H1568="","",ABS(H1568))</f>
        <v>2</v>
      </c>
      <c r="M1568" s="33" t="n">
        <f aca="false">IF(I1568="","",ABS(I1568))</f>
        <v>2.75</v>
      </c>
      <c r="N1568" s="33" t="str">
        <f aca="false">IF(J1568="","",ABS(J1568))</f>
        <v/>
      </c>
      <c r="O1568" s="33" t="n">
        <f aca="false">IF(K1568="","",ABS(K1568))</f>
        <v>1.11023999999999</v>
      </c>
      <c r="P1568" s="34" t="str">
        <f aca="false">IF(B1568&gt;=Eval_Start_Week,"YES","")</f>
        <v/>
      </c>
      <c r="Q1568" s="34" t="str">
        <f aca="false">IF(AND(B1568&gt;=Cal_Start_Week,B1568&lt;=Cal_End_Week),"YES","")</f>
        <v/>
      </c>
    </row>
    <row r="1569" customFormat="false" ht="15" hidden="false" customHeight="false" outlineLevel="0" collapsed="false">
      <c r="A1569" s="31" t="str">
        <f aca="false">Demand_History!C1569</f>
        <v>BTH-006</v>
      </c>
      <c r="B1569" s="31" t="n">
        <f aca="false">Demand_History!A1569</f>
        <v>8</v>
      </c>
      <c r="C1569" s="32" t="n">
        <f aca="false">Demand_History!D1569</f>
        <v>36</v>
      </c>
      <c r="D1569" s="33" t="n">
        <f aca="false">IF(B1569&gt;=2,C1568,"")</f>
        <v>35</v>
      </c>
      <c r="E1569" s="33" t="n">
        <f aca="false">IF(B1569&gt;=5,AVERAGE(C1565:C1568),"")</f>
        <v>36</v>
      </c>
      <c r="F1569" s="33" t="str">
        <f aca="false">IF(B1569&gt;=9,AVERAGE(C1561:C1568),"")</f>
        <v/>
      </c>
      <c r="G1569" s="33" t="n">
        <f aca="false">IF(B1569=1,"",IF(B1569=2,C1568,SES_Alpha*C1568+(1-SES_Alpha)*G1568))</f>
        <v>35.777168</v>
      </c>
      <c r="H1569" s="33" t="n">
        <f aca="false">IF(D1569="","",D1569-C1569)</f>
        <v>-1</v>
      </c>
      <c r="I1569" s="33" t="n">
        <f aca="false">IF(E1569="","",E1569-C1569)</f>
        <v>0</v>
      </c>
      <c r="J1569" s="33" t="str">
        <f aca="false">IF(F1569="","",F1569-C1569)</f>
        <v/>
      </c>
      <c r="K1569" s="33" t="n">
        <f aca="false">IF(G1569="","",G1569-C1569)</f>
        <v>-0.222832000000011</v>
      </c>
      <c r="L1569" s="33" t="n">
        <f aca="false">IF(H1569="","",ABS(H1569))</f>
        <v>1</v>
      </c>
      <c r="M1569" s="33" t="n">
        <f aca="false">IF(I1569="","",ABS(I1569))</f>
        <v>0</v>
      </c>
      <c r="N1569" s="33" t="str">
        <f aca="false">IF(J1569="","",ABS(J1569))</f>
        <v/>
      </c>
      <c r="O1569" s="33" t="n">
        <f aca="false">IF(K1569="","",ABS(K1569))</f>
        <v>0.222832000000011</v>
      </c>
      <c r="P1569" s="34" t="str">
        <f aca="false">IF(B1569&gt;=Eval_Start_Week,"YES","")</f>
        <v/>
      </c>
      <c r="Q1569" s="34" t="str">
        <f aca="false">IF(AND(B1569&gt;=Cal_Start_Week,B1569&lt;=Cal_End_Week),"YES","")</f>
        <v/>
      </c>
    </row>
    <row r="1570" customFormat="false" ht="15" hidden="false" customHeight="false" outlineLevel="0" collapsed="false">
      <c r="A1570" s="31" t="str">
        <f aca="false">Demand_History!C1570</f>
        <v>BTH-006</v>
      </c>
      <c r="B1570" s="31" t="n">
        <f aca="false">Demand_History!A1570</f>
        <v>9</v>
      </c>
      <c r="C1570" s="32" t="n">
        <f aca="false">Demand_History!D1570</f>
        <v>31</v>
      </c>
      <c r="D1570" s="33" t="n">
        <f aca="false">IF(B1570&gt;=2,C1569,"")</f>
        <v>36</v>
      </c>
      <c r="E1570" s="33" t="n">
        <f aca="false">IF(B1570&gt;=5,AVERAGE(C1566:C1569),"")</f>
        <v>35.75</v>
      </c>
      <c r="F1570" s="33" t="n">
        <f aca="false">IF(B1570&gt;=9,AVERAGE(C1562:C1569),"")</f>
        <v>36.75</v>
      </c>
      <c r="G1570" s="33" t="n">
        <f aca="false">IF(B1570=1,"",IF(B1570=2,C1569,SES_Alpha*C1569+(1-SES_Alpha)*G1569))</f>
        <v>35.8440176</v>
      </c>
      <c r="H1570" s="33" t="n">
        <f aca="false">IF(D1570="","",D1570-C1570)</f>
        <v>5</v>
      </c>
      <c r="I1570" s="33" t="n">
        <f aca="false">IF(E1570="","",E1570-C1570)</f>
        <v>4.75</v>
      </c>
      <c r="J1570" s="33" t="n">
        <f aca="false">IF(F1570="","",F1570-C1570)</f>
        <v>5.75</v>
      </c>
      <c r="K1570" s="33" t="n">
        <f aca="false">IF(G1570="","",G1570-C1570)</f>
        <v>4.84401759999999</v>
      </c>
      <c r="L1570" s="33" t="n">
        <f aca="false">IF(H1570="","",ABS(H1570))</f>
        <v>5</v>
      </c>
      <c r="M1570" s="33" t="n">
        <f aca="false">IF(I1570="","",ABS(I1570))</f>
        <v>4.75</v>
      </c>
      <c r="N1570" s="33" t="n">
        <f aca="false">IF(J1570="","",ABS(J1570))</f>
        <v>5.75</v>
      </c>
      <c r="O1570" s="33" t="n">
        <f aca="false">IF(K1570="","",ABS(K1570))</f>
        <v>4.84401759999999</v>
      </c>
      <c r="P1570" s="34" t="str">
        <f aca="false">IF(B1570&gt;=Eval_Start_Week,"YES","")</f>
        <v/>
      </c>
      <c r="Q1570" s="34" t="str">
        <f aca="false">IF(AND(B1570&gt;=Cal_Start_Week,B1570&lt;=Cal_End_Week),"YES","")</f>
        <v/>
      </c>
    </row>
    <row r="1571" customFormat="false" ht="15" hidden="false" customHeight="false" outlineLevel="0" collapsed="false">
      <c r="A1571" s="31" t="str">
        <f aca="false">Demand_History!C1571</f>
        <v>BTH-006</v>
      </c>
      <c r="B1571" s="31" t="n">
        <f aca="false">Demand_History!A1571</f>
        <v>10</v>
      </c>
      <c r="C1571" s="32" t="n">
        <f aca="false">Demand_History!D1571</f>
        <v>31</v>
      </c>
      <c r="D1571" s="33" t="n">
        <f aca="false">IF(B1571&gt;=2,C1570,"")</f>
        <v>31</v>
      </c>
      <c r="E1571" s="33" t="n">
        <f aca="false">IF(B1571&gt;=5,AVERAGE(C1567:C1570),"")</f>
        <v>33.75</v>
      </c>
      <c r="F1571" s="33" t="n">
        <f aca="false">IF(B1571&gt;=9,AVERAGE(C1563:C1570),"")</f>
        <v>36.625</v>
      </c>
      <c r="G1571" s="33" t="n">
        <f aca="false">IF(B1571=1,"",IF(B1571=2,C1570,SES_Alpha*C1570+(1-SES_Alpha)*G1570))</f>
        <v>34.39081232</v>
      </c>
      <c r="H1571" s="33" t="n">
        <f aca="false">IF(D1571="","",D1571-C1571)</f>
        <v>0</v>
      </c>
      <c r="I1571" s="33" t="n">
        <f aca="false">IF(E1571="","",E1571-C1571)</f>
        <v>2.75</v>
      </c>
      <c r="J1571" s="33" t="n">
        <f aca="false">IF(F1571="","",F1571-C1571)</f>
        <v>5.625</v>
      </c>
      <c r="K1571" s="33" t="n">
        <f aca="false">IF(G1571="","",G1571-C1571)</f>
        <v>3.39081231999999</v>
      </c>
      <c r="L1571" s="33" t="n">
        <f aca="false">IF(H1571="","",ABS(H1571))</f>
        <v>0</v>
      </c>
      <c r="M1571" s="33" t="n">
        <f aca="false">IF(I1571="","",ABS(I1571))</f>
        <v>2.75</v>
      </c>
      <c r="N1571" s="33" t="n">
        <f aca="false">IF(J1571="","",ABS(J1571))</f>
        <v>5.625</v>
      </c>
      <c r="O1571" s="33" t="n">
        <f aca="false">IF(K1571="","",ABS(K1571))</f>
        <v>3.39081231999999</v>
      </c>
      <c r="P1571" s="34" t="str">
        <f aca="false">IF(B1571&gt;=Eval_Start_Week,"YES","")</f>
        <v/>
      </c>
      <c r="Q1571" s="34" t="str">
        <f aca="false">IF(AND(B1571&gt;=Cal_Start_Week,B1571&lt;=Cal_End_Week),"YES","")</f>
        <v/>
      </c>
    </row>
    <row r="1572" customFormat="false" ht="15" hidden="false" customHeight="false" outlineLevel="0" collapsed="false">
      <c r="A1572" s="31" t="str">
        <f aca="false">Demand_History!C1572</f>
        <v>BTH-006</v>
      </c>
      <c r="B1572" s="31" t="n">
        <f aca="false">Demand_History!A1572</f>
        <v>11</v>
      </c>
      <c r="C1572" s="32" t="n">
        <f aca="false">Demand_History!D1572</f>
        <v>35</v>
      </c>
      <c r="D1572" s="33" t="n">
        <f aca="false">IF(B1572&gt;=2,C1571,"")</f>
        <v>31</v>
      </c>
      <c r="E1572" s="33" t="n">
        <f aca="false">IF(B1572&gt;=5,AVERAGE(C1568:C1571),"")</f>
        <v>33.25</v>
      </c>
      <c r="F1572" s="33" t="n">
        <f aca="false">IF(B1572&gt;=9,AVERAGE(C1564:C1571),"")</f>
        <v>35.5</v>
      </c>
      <c r="G1572" s="33" t="n">
        <f aca="false">IF(B1572=1,"",IF(B1572=2,C1571,SES_Alpha*C1571+(1-SES_Alpha)*G1571))</f>
        <v>33.373568624</v>
      </c>
      <c r="H1572" s="33" t="n">
        <f aca="false">IF(D1572="","",D1572-C1572)</f>
        <v>-4</v>
      </c>
      <c r="I1572" s="33" t="n">
        <f aca="false">IF(E1572="","",E1572-C1572)</f>
        <v>-1.75</v>
      </c>
      <c r="J1572" s="33" t="n">
        <f aca="false">IF(F1572="","",F1572-C1572)</f>
        <v>0.5</v>
      </c>
      <c r="K1572" s="33" t="n">
        <f aca="false">IF(G1572="","",G1572-C1572)</f>
        <v>-1.62643137600001</v>
      </c>
      <c r="L1572" s="33" t="n">
        <f aca="false">IF(H1572="","",ABS(H1572))</f>
        <v>4</v>
      </c>
      <c r="M1572" s="33" t="n">
        <f aca="false">IF(I1572="","",ABS(I1572))</f>
        <v>1.75</v>
      </c>
      <c r="N1572" s="33" t="n">
        <f aca="false">IF(J1572="","",ABS(J1572))</f>
        <v>0.5</v>
      </c>
      <c r="O1572" s="33" t="n">
        <f aca="false">IF(K1572="","",ABS(K1572))</f>
        <v>1.62643137600001</v>
      </c>
      <c r="P1572" s="34" t="str">
        <f aca="false">IF(B1572&gt;=Eval_Start_Week,"YES","")</f>
        <v/>
      </c>
      <c r="Q1572" s="34" t="str">
        <f aca="false">IF(AND(B1572&gt;=Cal_Start_Week,B1572&lt;=Cal_End_Week),"YES","")</f>
        <v/>
      </c>
    </row>
    <row r="1573" customFormat="false" ht="15" hidden="false" customHeight="false" outlineLevel="0" collapsed="false">
      <c r="A1573" s="31" t="str">
        <f aca="false">Demand_History!C1573</f>
        <v>BTH-006</v>
      </c>
      <c r="B1573" s="31" t="n">
        <f aca="false">Demand_History!A1573</f>
        <v>12</v>
      </c>
      <c r="C1573" s="32" t="n">
        <f aca="false">Demand_History!D1573</f>
        <v>34</v>
      </c>
      <c r="D1573" s="33" t="n">
        <f aca="false">IF(B1573&gt;=2,C1572,"")</f>
        <v>35</v>
      </c>
      <c r="E1573" s="33" t="n">
        <f aca="false">IF(B1573&gt;=5,AVERAGE(C1569:C1572),"")</f>
        <v>33.25</v>
      </c>
      <c r="F1573" s="33" t="n">
        <f aca="false">IF(B1573&gt;=9,AVERAGE(C1565:C1572),"")</f>
        <v>34.625</v>
      </c>
      <c r="G1573" s="33" t="n">
        <f aca="false">IF(B1573=1,"",IF(B1573=2,C1572,SES_Alpha*C1572+(1-SES_Alpha)*G1572))</f>
        <v>33.8614980368</v>
      </c>
      <c r="H1573" s="33" t="n">
        <f aca="false">IF(D1573="","",D1573-C1573)</f>
        <v>1</v>
      </c>
      <c r="I1573" s="33" t="n">
        <f aca="false">IF(E1573="","",E1573-C1573)</f>
        <v>-0.75</v>
      </c>
      <c r="J1573" s="33" t="n">
        <f aca="false">IF(F1573="","",F1573-C1573)</f>
        <v>0.625</v>
      </c>
      <c r="K1573" s="33" t="n">
        <f aca="false">IF(G1573="","",G1573-C1573)</f>
        <v>-0.138501963200014</v>
      </c>
      <c r="L1573" s="33" t="n">
        <f aca="false">IF(H1573="","",ABS(H1573))</f>
        <v>1</v>
      </c>
      <c r="M1573" s="33" t="n">
        <f aca="false">IF(I1573="","",ABS(I1573))</f>
        <v>0.75</v>
      </c>
      <c r="N1573" s="33" t="n">
        <f aca="false">IF(J1573="","",ABS(J1573))</f>
        <v>0.625</v>
      </c>
      <c r="O1573" s="33" t="n">
        <f aca="false">IF(K1573="","",ABS(K1573))</f>
        <v>0.138501963200014</v>
      </c>
      <c r="P1573" s="34" t="str">
        <f aca="false">IF(B1573&gt;=Eval_Start_Week,"YES","")</f>
        <v/>
      </c>
      <c r="Q1573" s="34" t="str">
        <f aca="false">IF(AND(B1573&gt;=Cal_Start_Week,B1573&lt;=Cal_End_Week),"YES","")</f>
        <v/>
      </c>
    </row>
    <row r="1574" customFormat="false" ht="15" hidden="false" customHeight="false" outlineLevel="0" collapsed="false">
      <c r="A1574" s="31" t="str">
        <f aca="false">Demand_History!C1574</f>
        <v>BTH-006</v>
      </c>
      <c r="B1574" s="31" t="n">
        <f aca="false">Demand_History!A1574</f>
        <v>13</v>
      </c>
      <c r="C1574" s="32" t="n">
        <f aca="false">Demand_History!D1574</f>
        <v>31</v>
      </c>
      <c r="D1574" s="33" t="n">
        <f aca="false">IF(B1574&gt;=2,C1573,"")</f>
        <v>34</v>
      </c>
      <c r="E1574" s="33" t="n">
        <f aca="false">IF(B1574&gt;=5,AVERAGE(C1570:C1573),"")</f>
        <v>32.75</v>
      </c>
      <c r="F1574" s="33" t="n">
        <f aca="false">IF(B1574&gt;=9,AVERAGE(C1566:C1573),"")</f>
        <v>34.25</v>
      </c>
      <c r="G1574" s="33" t="n">
        <f aca="false">IF(B1574=1,"",IF(B1574=2,C1573,SES_Alpha*C1573+(1-SES_Alpha)*G1573))</f>
        <v>33.90304862576</v>
      </c>
      <c r="H1574" s="33" t="n">
        <f aca="false">IF(D1574="","",D1574-C1574)</f>
        <v>3</v>
      </c>
      <c r="I1574" s="33" t="n">
        <f aca="false">IF(E1574="","",E1574-C1574)</f>
        <v>1.75</v>
      </c>
      <c r="J1574" s="33" t="n">
        <f aca="false">IF(F1574="","",F1574-C1574)</f>
        <v>3.25</v>
      </c>
      <c r="K1574" s="33" t="n">
        <f aca="false">IF(G1574="","",G1574-C1574)</f>
        <v>2.90304862575999</v>
      </c>
      <c r="L1574" s="33" t="n">
        <f aca="false">IF(H1574="","",ABS(H1574))</f>
        <v>3</v>
      </c>
      <c r="M1574" s="33" t="n">
        <f aca="false">IF(I1574="","",ABS(I1574))</f>
        <v>1.75</v>
      </c>
      <c r="N1574" s="33" t="n">
        <f aca="false">IF(J1574="","",ABS(J1574))</f>
        <v>3.25</v>
      </c>
      <c r="O1574" s="33" t="n">
        <f aca="false">IF(K1574="","",ABS(K1574))</f>
        <v>2.90304862575999</v>
      </c>
      <c r="P1574" s="34" t="str">
        <f aca="false">IF(B1574&gt;=Eval_Start_Week,"YES","")</f>
        <v/>
      </c>
      <c r="Q1574" s="34" t="str">
        <f aca="false">IF(AND(B1574&gt;=Cal_Start_Week,B1574&lt;=Cal_End_Week),"YES","")</f>
        <v/>
      </c>
    </row>
    <row r="1575" customFormat="false" ht="15" hidden="false" customHeight="false" outlineLevel="0" collapsed="false">
      <c r="A1575" s="31" t="str">
        <f aca="false">Demand_History!C1575</f>
        <v>BTH-006</v>
      </c>
      <c r="B1575" s="31" t="n">
        <f aca="false">Demand_History!A1575</f>
        <v>14</v>
      </c>
      <c r="C1575" s="32" t="n">
        <f aca="false">Demand_History!D1575</f>
        <v>36</v>
      </c>
      <c r="D1575" s="33" t="n">
        <f aca="false">IF(B1575&gt;=2,C1574,"")</f>
        <v>31</v>
      </c>
      <c r="E1575" s="33" t="n">
        <f aca="false">IF(B1575&gt;=5,AVERAGE(C1571:C1574),"")</f>
        <v>32.75</v>
      </c>
      <c r="F1575" s="33" t="n">
        <f aca="false">IF(B1575&gt;=9,AVERAGE(C1567:C1574),"")</f>
        <v>33.25</v>
      </c>
      <c r="G1575" s="33" t="n">
        <f aca="false">IF(B1575=1,"",IF(B1575=2,C1574,SES_Alpha*C1574+(1-SES_Alpha)*G1574))</f>
        <v>33.032134038032</v>
      </c>
      <c r="H1575" s="33" t="n">
        <f aca="false">IF(D1575="","",D1575-C1575)</f>
        <v>-5</v>
      </c>
      <c r="I1575" s="33" t="n">
        <f aca="false">IF(E1575="","",E1575-C1575)</f>
        <v>-3.25</v>
      </c>
      <c r="J1575" s="33" t="n">
        <f aca="false">IF(F1575="","",F1575-C1575)</f>
        <v>-2.75</v>
      </c>
      <c r="K1575" s="33" t="n">
        <f aca="false">IF(G1575="","",G1575-C1575)</f>
        <v>-2.96786596196801</v>
      </c>
      <c r="L1575" s="33" t="n">
        <f aca="false">IF(H1575="","",ABS(H1575))</f>
        <v>5</v>
      </c>
      <c r="M1575" s="33" t="n">
        <f aca="false">IF(I1575="","",ABS(I1575))</f>
        <v>3.25</v>
      </c>
      <c r="N1575" s="33" t="n">
        <f aca="false">IF(J1575="","",ABS(J1575))</f>
        <v>2.75</v>
      </c>
      <c r="O1575" s="33" t="n">
        <f aca="false">IF(K1575="","",ABS(K1575))</f>
        <v>2.96786596196801</v>
      </c>
      <c r="P1575" s="34" t="str">
        <f aca="false">IF(B1575&gt;=Eval_Start_Week,"YES","")</f>
        <v/>
      </c>
      <c r="Q1575" s="34" t="str">
        <f aca="false">IF(AND(B1575&gt;=Cal_Start_Week,B1575&lt;=Cal_End_Week),"YES","")</f>
        <v/>
      </c>
    </row>
    <row r="1576" customFormat="false" ht="15" hidden="false" customHeight="false" outlineLevel="0" collapsed="false">
      <c r="A1576" s="31" t="str">
        <f aca="false">Demand_History!C1576</f>
        <v>BTH-006</v>
      </c>
      <c r="B1576" s="31" t="n">
        <f aca="false">Demand_History!A1576</f>
        <v>15</v>
      </c>
      <c r="C1576" s="32" t="n">
        <f aca="false">Demand_History!D1576</f>
        <v>34</v>
      </c>
      <c r="D1576" s="33" t="n">
        <f aca="false">IF(B1576&gt;=2,C1575,"")</f>
        <v>36</v>
      </c>
      <c r="E1576" s="33" t="n">
        <f aca="false">IF(B1576&gt;=5,AVERAGE(C1572:C1575),"")</f>
        <v>34</v>
      </c>
      <c r="F1576" s="33" t="n">
        <f aca="false">IF(B1576&gt;=9,AVERAGE(C1568:C1575),"")</f>
        <v>33.625</v>
      </c>
      <c r="G1576" s="33" t="n">
        <f aca="false">IF(B1576=1,"",IF(B1576=2,C1575,SES_Alpha*C1575+(1-SES_Alpha)*G1575))</f>
        <v>33.9224938266224</v>
      </c>
      <c r="H1576" s="33" t="n">
        <f aca="false">IF(D1576="","",D1576-C1576)</f>
        <v>2</v>
      </c>
      <c r="I1576" s="33" t="n">
        <f aca="false">IF(E1576="","",E1576-C1576)</f>
        <v>0</v>
      </c>
      <c r="J1576" s="33" t="n">
        <f aca="false">IF(F1576="","",F1576-C1576)</f>
        <v>-0.375</v>
      </c>
      <c r="K1576" s="33" t="n">
        <f aca="false">IF(G1576="","",G1576-C1576)</f>
        <v>-0.077506173377607</v>
      </c>
      <c r="L1576" s="33" t="n">
        <f aca="false">IF(H1576="","",ABS(H1576))</f>
        <v>2</v>
      </c>
      <c r="M1576" s="33" t="n">
        <f aca="false">IF(I1576="","",ABS(I1576))</f>
        <v>0</v>
      </c>
      <c r="N1576" s="33" t="n">
        <f aca="false">IF(J1576="","",ABS(J1576))</f>
        <v>0.375</v>
      </c>
      <c r="O1576" s="33" t="n">
        <f aca="false">IF(K1576="","",ABS(K1576))</f>
        <v>0.077506173377607</v>
      </c>
      <c r="P1576" s="34" t="str">
        <f aca="false">IF(B1576&gt;=Eval_Start_Week,"YES","")</f>
        <v/>
      </c>
      <c r="Q1576" s="34" t="str">
        <f aca="false">IF(AND(B1576&gt;=Cal_Start_Week,B1576&lt;=Cal_End_Week),"YES","")</f>
        <v/>
      </c>
    </row>
    <row r="1577" customFormat="false" ht="15" hidden="false" customHeight="false" outlineLevel="0" collapsed="false">
      <c r="A1577" s="31" t="str">
        <f aca="false">Demand_History!C1577</f>
        <v>BTH-006</v>
      </c>
      <c r="B1577" s="31" t="n">
        <f aca="false">Demand_History!A1577</f>
        <v>16</v>
      </c>
      <c r="C1577" s="32" t="n">
        <f aca="false">Demand_History!D1577</f>
        <v>39</v>
      </c>
      <c r="D1577" s="33" t="n">
        <f aca="false">IF(B1577&gt;=2,C1576,"")</f>
        <v>34</v>
      </c>
      <c r="E1577" s="33" t="n">
        <f aca="false">IF(B1577&gt;=5,AVERAGE(C1573:C1576),"")</f>
        <v>33.75</v>
      </c>
      <c r="F1577" s="33" t="n">
        <f aca="false">IF(B1577&gt;=9,AVERAGE(C1569:C1576),"")</f>
        <v>33.5</v>
      </c>
      <c r="G1577" s="33" t="n">
        <f aca="false">IF(B1577=1,"",IF(B1577=2,C1576,SES_Alpha*C1576+(1-SES_Alpha)*G1576))</f>
        <v>33.9457456786357</v>
      </c>
      <c r="H1577" s="33" t="n">
        <f aca="false">IF(D1577="","",D1577-C1577)</f>
        <v>-5</v>
      </c>
      <c r="I1577" s="33" t="n">
        <f aca="false">IF(E1577="","",E1577-C1577)</f>
        <v>-5.25</v>
      </c>
      <c r="J1577" s="33" t="n">
        <f aca="false">IF(F1577="","",F1577-C1577)</f>
        <v>-5.5</v>
      </c>
      <c r="K1577" s="33" t="n">
        <f aca="false">IF(G1577="","",G1577-C1577)</f>
        <v>-5.05425432136433</v>
      </c>
      <c r="L1577" s="33" t="n">
        <f aca="false">IF(H1577="","",ABS(H1577))</f>
        <v>5</v>
      </c>
      <c r="M1577" s="33" t="n">
        <f aca="false">IF(I1577="","",ABS(I1577))</f>
        <v>5.25</v>
      </c>
      <c r="N1577" s="33" t="n">
        <f aca="false">IF(J1577="","",ABS(J1577))</f>
        <v>5.5</v>
      </c>
      <c r="O1577" s="33" t="n">
        <f aca="false">IF(K1577="","",ABS(K1577))</f>
        <v>5.05425432136433</v>
      </c>
      <c r="P1577" s="34" t="str">
        <f aca="false">IF(B1577&gt;=Eval_Start_Week,"YES","")</f>
        <v/>
      </c>
      <c r="Q1577" s="34" t="str">
        <f aca="false">IF(AND(B1577&gt;=Cal_Start_Week,B1577&lt;=Cal_End_Week),"YES","")</f>
        <v/>
      </c>
    </row>
    <row r="1578" customFormat="false" ht="15" hidden="false" customHeight="false" outlineLevel="0" collapsed="false">
      <c r="A1578" s="31" t="str">
        <f aca="false">Demand_History!C1578</f>
        <v>BTH-006</v>
      </c>
      <c r="B1578" s="31" t="n">
        <f aca="false">Demand_History!A1578</f>
        <v>17</v>
      </c>
      <c r="C1578" s="32" t="n">
        <f aca="false">Demand_History!D1578</f>
        <v>35</v>
      </c>
      <c r="D1578" s="33" t="n">
        <f aca="false">IF(B1578&gt;=2,C1577,"")</f>
        <v>39</v>
      </c>
      <c r="E1578" s="33" t="n">
        <f aca="false">IF(B1578&gt;=5,AVERAGE(C1574:C1577),"")</f>
        <v>35</v>
      </c>
      <c r="F1578" s="33" t="n">
        <f aca="false">IF(B1578&gt;=9,AVERAGE(C1570:C1577),"")</f>
        <v>33.875</v>
      </c>
      <c r="G1578" s="33" t="n">
        <f aca="false">IF(B1578=1,"",IF(B1578=2,C1577,SES_Alpha*C1577+(1-SES_Alpha)*G1577))</f>
        <v>35.462021975045</v>
      </c>
      <c r="H1578" s="33" t="n">
        <f aca="false">IF(D1578="","",D1578-C1578)</f>
        <v>4</v>
      </c>
      <c r="I1578" s="33" t="n">
        <f aca="false">IF(E1578="","",E1578-C1578)</f>
        <v>0</v>
      </c>
      <c r="J1578" s="33" t="n">
        <f aca="false">IF(F1578="","",F1578-C1578)</f>
        <v>-1.125</v>
      </c>
      <c r="K1578" s="33" t="n">
        <f aca="false">IF(G1578="","",G1578-C1578)</f>
        <v>0.462021975044969</v>
      </c>
      <c r="L1578" s="33" t="n">
        <f aca="false">IF(H1578="","",ABS(H1578))</f>
        <v>4</v>
      </c>
      <c r="M1578" s="33" t="n">
        <f aca="false">IF(I1578="","",ABS(I1578))</f>
        <v>0</v>
      </c>
      <c r="N1578" s="33" t="n">
        <f aca="false">IF(J1578="","",ABS(J1578))</f>
        <v>1.125</v>
      </c>
      <c r="O1578" s="33" t="n">
        <f aca="false">IF(K1578="","",ABS(K1578))</f>
        <v>0.462021975044969</v>
      </c>
      <c r="P1578" s="34" t="str">
        <f aca="false">IF(B1578&gt;=Eval_Start_Week,"YES","")</f>
        <v/>
      </c>
      <c r="Q1578" s="34" t="str">
        <f aca="false">IF(AND(B1578&gt;=Cal_Start_Week,B1578&lt;=Cal_End_Week),"YES","")</f>
        <v/>
      </c>
    </row>
    <row r="1579" customFormat="false" ht="15" hidden="false" customHeight="false" outlineLevel="0" collapsed="false">
      <c r="A1579" s="31" t="str">
        <f aca="false">Demand_History!C1579</f>
        <v>BTH-006</v>
      </c>
      <c r="B1579" s="31" t="n">
        <f aca="false">Demand_History!A1579</f>
        <v>18</v>
      </c>
      <c r="C1579" s="32" t="n">
        <f aca="false">Demand_History!D1579</f>
        <v>34</v>
      </c>
      <c r="D1579" s="33" t="n">
        <f aca="false">IF(B1579&gt;=2,C1578,"")</f>
        <v>35</v>
      </c>
      <c r="E1579" s="33" t="n">
        <f aca="false">IF(B1579&gt;=5,AVERAGE(C1575:C1578),"")</f>
        <v>36</v>
      </c>
      <c r="F1579" s="33" t="n">
        <f aca="false">IF(B1579&gt;=9,AVERAGE(C1571:C1578),"")</f>
        <v>34.375</v>
      </c>
      <c r="G1579" s="33" t="n">
        <f aca="false">IF(B1579=1,"",IF(B1579=2,C1578,SES_Alpha*C1578+(1-SES_Alpha)*G1578))</f>
        <v>35.3234153825315</v>
      </c>
      <c r="H1579" s="33" t="n">
        <f aca="false">IF(D1579="","",D1579-C1579)</f>
        <v>1</v>
      </c>
      <c r="I1579" s="33" t="n">
        <f aca="false">IF(E1579="","",E1579-C1579)</f>
        <v>2</v>
      </c>
      <c r="J1579" s="33" t="n">
        <f aca="false">IF(F1579="","",F1579-C1579)</f>
        <v>0.375</v>
      </c>
      <c r="K1579" s="33" t="n">
        <f aca="false">IF(G1579="","",G1579-C1579)</f>
        <v>1.32341538253148</v>
      </c>
      <c r="L1579" s="33" t="n">
        <f aca="false">IF(H1579="","",ABS(H1579))</f>
        <v>1</v>
      </c>
      <c r="M1579" s="33" t="n">
        <f aca="false">IF(I1579="","",ABS(I1579))</f>
        <v>2</v>
      </c>
      <c r="N1579" s="33" t="n">
        <f aca="false">IF(J1579="","",ABS(J1579))</f>
        <v>0.375</v>
      </c>
      <c r="O1579" s="33" t="n">
        <f aca="false">IF(K1579="","",ABS(K1579))</f>
        <v>1.32341538253148</v>
      </c>
      <c r="P1579" s="34" t="str">
        <f aca="false">IF(B1579&gt;=Eval_Start_Week,"YES","")</f>
        <v/>
      </c>
      <c r="Q1579" s="34" t="str">
        <f aca="false">IF(AND(B1579&gt;=Cal_Start_Week,B1579&lt;=Cal_End_Week),"YES","")</f>
        <v/>
      </c>
    </row>
    <row r="1580" customFormat="false" ht="15" hidden="false" customHeight="false" outlineLevel="0" collapsed="false">
      <c r="A1580" s="31" t="str">
        <f aca="false">Demand_History!C1580</f>
        <v>BTH-006</v>
      </c>
      <c r="B1580" s="31" t="n">
        <f aca="false">Demand_History!A1580</f>
        <v>19</v>
      </c>
      <c r="C1580" s="32" t="n">
        <f aca="false">Demand_History!D1580</f>
        <v>35</v>
      </c>
      <c r="D1580" s="33" t="n">
        <f aca="false">IF(B1580&gt;=2,C1579,"")</f>
        <v>34</v>
      </c>
      <c r="E1580" s="33" t="n">
        <f aca="false">IF(B1580&gt;=5,AVERAGE(C1576:C1579),"")</f>
        <v>35.5</v>
      </c>
      <c r="F1580" s="33" t="n">
        <f aca="false">IF(B1580&gt;=9,AVERAGE(C1572:C1579),"")</f>
        <v>34.75</v>
      </c>
      <c r="G1580" s="33" t="n">
        <f aca="false">IF(B1580=1,"",IF(B1580=2,C1579,SES_Alpha*C1579+(1-SES_Alpha)*G1579))</f>
        <v>34.926390767772</v>
      </c>
      <c r="H1580" s="33" t="n">
        <f aca="false">IF(D1580="","",D1580-C1580)</f>
        <v>-1</v>
      </c>
      <c r="I1580" s="33" t="n">
        <f aca="false">IF(E1580="","",E1580-C1580)</f>
        <v>0.5</v>
      </c>
      <c r="J1580" s="33" t="n">
        <f aca="false">IF(F1580="","",F1580-C1580)</f>
        <v>-0.25</v>
      </c>
      <c r="K1580" s="33" t="n">
        <f aca="false">IF(G1580="","",G1580-C1580)</f>
        <v>-0.073609232227966</v>
      </c>
      <c r="L1580" s="33" t="n">
        <f aca="false">IF(H1580="","",ABS(H1580))</f>
        <v>1</v>
      </c>
      <c r="M1580" s="33" t="n">
        <f aca="false">IF(I1580="","",ABS(I1580))</f>
        <v>0.5</v>
      </c>
      <c r="N1580" s="33" t="n">
        <f aca="false">IF(J1580="","",ABS(J1580))</f>
        <v>0.25</v>
      </c>
      <c r="O1580" s="33" t="n">
        <f aca="false">IF(K1580="","",ABS(K1580))</f>
        <v>0.073609232227966</v>
      </c>
      <c r="P1580" s="34" t="str">
        <f aca="false">IF(B1580&gt;=Eval_Start_Week,"YES","")</f>
        <v/>
      </c>
      <c r="Q1580" s="34" t="str">
        <f aca="false">IF(AND(B1580&gt;=Cal_Start_Week,B1580&lt;=Cal_End_Week),"YES","")</f>
        <v/>
      </c>
    </row>
    <row r="1581" customFormat="false" ht="15" hidden="false" customHeight="false" outlineLevel="0" collapsed="false">
      <c r="A1581" s="31" t="str">
        <f aca="false">Demand_History!C1581</f>
        <v>BTH-006</v>
      </c>
      <c r="B1581" s="31" t="n">
        <f aca="false">Demand_History!A1581</f>
        <v>20</v>
      </c>
      <c r="C1581" s="32" t="n">
        <f aca="false">Demand_History!D1581</f>
        <v>34</v>
      </c>
      <c r="D1581" s="33" t="n">
        <f aca="false">IF(B1581&gt;=2,C1580,"")</f>
        <v>35</v>
      </c>
      <c r="E1581" s="33" t="n">
        <f aca="false">IF(B1581&gt;=5,AVERAGE(C1577:C1580),"")</f>
        <v>35.75</v>
      </c>
      <c r="F1581" s="33" t="n">
        <f aca="false">IF(B1581&gt;=9,AVERAGE(C1573:C1580),"")</f>
        <v>34.75</v>
      </c>
      <c r="G1581" s="33" t="n">
        <f aca="false">IF(B1581=1,"",IF(B1581=2,C1580,SES_Alpha*C1580+(1-SES_Alpha)*G1580))</f>
        <v>34.9484735374404</v>
      </c>
      <c r="H1581" s="33" t="n">
        <f aca="false">IF(D1581="","",D1581-C1581)</f>
        <v>1</v>
      </c>
      <c r="I1581" s="33" t="n">
        <f aca="false">IF(E1581="","",E1581-C1581)</f>
        <v>1.75</v>
      </c>
      <c r="J1581" s="33" t="n">
        <f aca="false">IF(F1581="","",F1581-C1581)</f>
        <v>0.75</v>
      </c>
      <c r="K1581" s="33" t="n">
        <f aca="false">IF(G1581="","",G1581-C1581)</f>
        <v>0.948473537440421</v>
      </c>
      <c r="L1581" s="33" t="n">
        <f aca="false">IF(H1581="","",ABS(H1581))</f>
        <v>1</v>
      </c>
      <c r="M1581" s="33" t="n">
        <f aca="false">IF(I1581="","",ABS(I1581))</f>
        <v>1.75</v>
      </c>
      <c r="N1581" s="33" t="n">
        <f aca="false">IF(J1581="","",ABS(J1581))</f>
        <v>0.75</v>
      </c>
      <c r="O1581" s="33" t="n">
        <f aca="false">IF(K1581="","",ABS(K1581))</f>
        <v>0.948473537440421</v>
      </c>
      <c r="P1581" s="34" t="str">
        <f aca="false">IF(B1581&gt;=Eval_Start_Week,"YES","")</f>
        <v/>
      </c>
      <c r="Q1581" s="34" t="str">
        <f aca="false">IF(AND(B1581&gt;=Cal_Start_Week,B1581&lt;=Cal_End_Week),"YES","")</f>
        <v/>
      </c>
    </row>
    <row r="1582" customFormat="false" ht="15" hidden="false" customHeight="false" outlineLevel="0" collapsed="false">
      <c r="A1582" s="31" t="str">
        <f aca="false">Demand_History!C1582</f>
        <v>BTH-006</v>
      </c>
      <c r="B1582" s="31" t="n">
        <f aca="false">Demand_History!A1582</f>
        <v>21</v>
      </c>
      <c r="C1582" s="32" t="n">
        <f aca="false">Demand_History!D1582</f>
        <v>33</v>
      </c>
      <c r="D1582" s="33" t="n">
        <f aca="false">IF(B1582&gt;=2,C1581,"")</f>
        <v>34</v>
      </c>
      <c r="E1582" s="33" t="n">
        <f aca="false">IF(B1582&gt;=5,AVERAGE(C1578:C1581),"")</f>
        <v>34.5</v>
      </c>
      <c r="F1582" s="33" t="n">
        <f aca="false">IF(B1582&gt;=9,AVERAGE(C1574:C1581),"")</f>
        <v>34.75</v>
      </c>
      <c r="G1582" s="33" t="n">
        <f aca="false">IF(B1582=1,"",IF(B1582=2,C1581,SES_Alpha*C1581+(1-SES_Alpha)*G1581))</f>
        <v>34.6639314762083</v>
      </c>
      <c r="H1582" s="33" t="n">
        <f aca="false">IF(D1582="","",D1582-C1582)</f>
        <v>1</v>
      </c>
      <c r="I1582" s="33" t="n">
        <f aca="false">IF(E1582="","",E1582-C1582)</f>
        <v>1.5</v>
      </c>
      <c r="J1582" s="33" t="n">
        <f aca="false">IF(F1582="","",F1582-C1582)</f>
        <v>1.75</v>
      </c>
      <c r="K1582" s="33" t="n">
        <f aca="false">IF(G1582="","",G1582-C1582)</f>
        <v>1.66393147620829</v>
      </c>
      <c r="L1582" s="33" t="n">
        <f aca="false">IF(H1582="","",ABS(H1582))</f>
        <v>1</v>
      </c>
      <c r="M1582" s="33" t="n">
        <f aca="false">IF(I1582="","",ABS(I1582))</f>
        <v>1.5</v>
      </c>
      <c r="N1582" s="33" t="n">
        <f aca="false">IF(J1582="","",ABS(J1582))</f>
        <v>1.75</v>
      </c>
      <c r="O1582" s="33" t="n">
        <f aca="false">IF(K1582="","",ABS(K1582))</f>
        <v>1.66393147620829</v>
      </c>
      <c r="P1582" s="34" t="str">
        <f aca="false">IF(B1582&gt;=Eval_Start_Week,"YES","")</f>
        <v/>
      </c>
      <c r="Q1582" s="34" t="str">
        <f aca="false">IF(AND(B1582&gt;=Cal_Start_Week,B1582&lt;=Cal_End_Week),"YES","")</f>
        <v/>
      </c>
    </row>
    <row r="1583" customFormat="false" ht="15" hidden="false" customHeight="false" outlineLevel="0" collapsed="false">
      <c r="A1583" s="31" t="str">
        <f aca="false">Demand_History!C1583</f>
        <v>BTH-006</v>
      </c>
      <c r="B1583" s="31" t="n">
        <f aca="false">Demand_History!A1583</f>
        <v>22</v>
      </c>
      <c r="C1583" s="32" t="n">
        <f aca="false">Demand_History!D1583</f>
        <v>34</v>
      </c>
      <c r="D1583" s="33" t="n">
        <f aca="false">IF(B1583&gt;=2,C1582,"")</f>
        <v>33</v>
      </c>
      <c r="E1583" s="33" t="n">
        <f aca="false">IF(B1583&gt;=5,AVERAGE(C1579:C1582),"")</f>
        <v>34</v>
      </c>
      <c r="F1583" s="33" t="n">
        <f aca="false">IF(B1583&gt;=9,AVERAGE(C1575:C1582),"")</f>
        <v>35</v>
      </c>
      <c r="G1583" s="33" t="n">
        <f aca="false">IF(B1583=1,"",IF(B1583=2,C1582,SES_Alpha*C1582+(1-SES_Alpha)*G1582))</f>
        <v>34.1647520333458</v>
      </c>
      <c r="H1583" s="33" t="n">
        <f aca="false">IF(D1583="","",D1583-C1583)</f>
        <v>-1</v>
      </c>
      <c r="I1583" s="33" t="n">
        <f aca="false">IF(E1583="","",E1583-C1583)</f>
        <v>0</v>
      </c>
      <c r="J1583" s="33" t="n">
        <f aca="false">IF(F1583="","",F1583-C1583)</f>
        <v>1</v>
      </c>
      <c r="K1583" s="33" t="n">
        <f aca="false">IF(G1583="","",G1583-C1583)</f>
        <v>0.164752033345799</v>
      </c>
      <c r="L1583" s="33" t="n">
        <f aca="false">IF(H1583="","",ABS(H1583))</f>
        <v>1</v>
      </c>
      <c r="M1583" s="33" t="n">
        <f aca="false">IF(I1583="","",ABS(I1583))</f>
        <v>0</v>
      </c>
      <c r="N1583" s="33" t="n">
        <f aca="false">IF(J1583="","",ABS(J1583))</f>
        <v>1</v>
      </c>
      <c r="O1583" s="33" t="n">
        <f aca="false">IF(K1583="","",ABS(K1583))</f>
        <v>0.164752033345799</v>
      </c>
      <c r="P1583" s="34" t="str">
        <f aca="false">IF(B1583&gt;=Eval_Start_Week,"YES","")</f>
        <v/>
      </c>
      <c r="Q1583" s="34" t="str">
        <f aca="false">IF(AND(B1583&gt;=Cal_Start_Week,B1583&lt;=Cal_End_Week),"YES","")</f>
        <v/>
      </c>
    </row>
    <row r="1584" customFormat="false" ht="15" hidden="false" customHeight="false" outlineLevel="0" collapsed="false">
      <c r="A1584" s="31" t="str">
        <f aca="false">Demand_History!C1584</f>
        <v>BTH-006</v>
      </c>
      <c r="B1584" s="31" t="n">
        <f aca="false">Demand_History!A1584</f>
        <v>23</v>
      </c>
      <c r="C1584" s="32" t="n">
        <f aca="false">Demand_History!D1584</f>
        <v>38</v>
      </c>
      <c r="D1584" s="33" t="n">
        <f aca="false">IF(B1584&gt;=2,C1583,"")</f>
        <v>34</v>
      </c>
      <c r="E1584" s="33" t="n">
        <f aca="false">IF(B1584&gt;=5,AVERAGE(C1580:C1583),"")</f>
        <v>34</v>
      </c>
      <c r="F1584" s="33" t="n">
        <f aca="false">IF(B1584&gt;=9,AVERAGE(C1576:C1583),"")</f>
        <v>34.75</v>
      </c>
      <c r="G1584" s="33" t="n">
        <f aca="false">IF(B1584=1,"",IF(B1584=2,C1583,SES_Alpha*C1583+(1-SES_Alpha)*G1583))</f>
        <v>34.1153264233421</v>
      </c>
      <c r="H1584" s="33" t="n">
        <f aca="false">IF(D1584="","",D1584-C1584)</f>
        <v>-4</v>
      </c>
      <c r="I1584" s="33" t="n">
        <f aca="false">IF(E1584="","",E1584-C1584)</f>
        <v>-4</v>
      </c>
      <c r="J1584" s="33" t="n">
        <f aca="false">IF(F1584="","",F1584-C1584)</f>
        <v>-3.25</v>
      </c>
      <c r="K1584" s="33" t="n">
        <f aca="false">IF(G1584="","",G1584-C1584)</f>
        <v>-3.88467357665795</v>
      </c>
      <c r="L1584" s="33" t="n">
        <f aca="false">IF(H1584="","",ABS(H1584))</f>
        <v>4</v>
      </c>
      <c r="M1584" s="33" t="n">
        <f aca="false">IF(I1584="","",ABS(I1584))</f>
        <v>4</v>
      </c>
      <c r="N1584" s="33" t="n">
        <f aca="false">IF(J1584="","",ABS(J1584))</f>
        <v>3.25</v>
      </c>
      <c r="O1584" s="33" t="n">
        <f aca="false">IF(K1584="","",ABS(K1584))</f>
        <v>3.88467357665795</v>
      </c>
      <c r="P1584" s="34" t="str">
        <f aca="false">IF(B1584&gt;=Eval_Start_Week,"YES","")</f>
        <v/>
      </c>
      <c r="Q1584" s="34" t="str">
        <f aca="false">IF(AND(B1584&gt;=Cal_Start_Week,B1584&lt;=Cal_End_Week),"YES","")</f>
        <v/>
      </c>
    </row>
    <row r="1585" customFormat="false" ht="15" hidden="false" customHeight="false" outlineLevel="0" collapsed="false">
      <c r="A1585" s="31" t="str">
        <f aca="false">Demand_History!C1585</f>
        <v>BTH-006</v>
      </c>
      <c r="B1585" s="31" t="n">
        <f aca="false">Demand_History!A1585</f>
        <v>24</v>
      </c>
      <c r="C1585" s="32" t="n">
        <f aca="false">Demand_History!D1585</f>
        <v>37</v>
      </c>
      <c r="D1585" s="33" t="n">
        <f aca="false">IF(B1585&gt;=2,C1584,"")</f>
        <v>38</v>
      </c>
      <c r="E1585" s="33" t="n">
        <f aca="false">IF(B1585&gt;=5,AVERAGE(C1581:C1584),"")</f>
        <v>34.75</v>
      </c>
      <c r="F1585" s="33" t="n">
        <f aca="false">IF(B1585&gt;=9,AVERAGE(C1577:C1584),"")</f>
        <v>35.25</v>
      </c>
      <c r="G1585" s="33" t="n">
        <f aca="false">IF(B1585=1,"",IF(B1585=2,C1584,SES_Alpha*C1584+(1-SES_Alpha)*G1584))</f>
        <v>35.2807284963394</v>
      </c>
      <c r="H1585" s="33" t="n">
        <f aca="false">IF(D1585="","",D1585-C1585)</f>
        <v>1</v>
      </c>
      <c r="I1585" s="33" t="n">
        <f aca="false">IF(E1585="","",E1585-C1585)</f>
        <v>-2.25</v>
      </c>
      <c r="J1585" s="33" t="n">
        <f aca="false">IF(F1585="","",F1585-C1585)</f>
        <v>-1.75</v>
      </c>
      <c r="K1585" s="33" t="n">
        <f aca="false">IF(G1585="","",G1585-C1585)</f>
        <v>-1.71927150366056</v>
      </c>
      <c r="L1585" s="33" t="n">
        <f aca="false">IF(H1585="","",ABS(H1585))</f>
        <v>1</v>
      </c>
      <c r="M1585" s="33" t="n">
        <f aca="false">IF(I1585="","",ABS(I1585))</f>
        <v>2.25</v>
      </c>
      <c r="N1585" s="33" t="n">
        <f aca="false">IF(J1585="","",ABS(J1585))</f>
        <v>1.75</v>
      </c>
      <c r="O1585" s="33" t="n">
        <f aca="false">IF(K1585="","",ABS(K1585))</f>
        <v>1.71927150366056</v>
      </c>
      <c r="P1585" s="34" t="str">
        <f aca="false">IF(B1585&gt;=Eval_Start_Week,"YES","")</f>
        <v/>
      </c>
      <c r="Q1585" s="34" t="str">
        <f aca="false">IF(AND(B1585&gt;=Cal_Start_Week,B1585&lt;=Cal_End_Week),"YES","")</f>
        <v/>
      </c>
    </row>
    <row r="1586" customFormat="false" ht="15" hidden="false" customHeight="false" outlineLevel="0" collapsed="false">
      <c r="A1586" s="31" t="str">
        <f aca="false">Demand_History!C1586</f>
        <v>BTH-006</v>
      </c>
      <c r="B1586" s="31" t="n">
        <f aca="false">Demand_History!A1586</f>
        <v>25</v>
      </c>
      <c r="C1586" s="32" t="n">
        <f aca="false">Demand_History!D1586</f>
        <v>40</v>
      </c>
      <c r="D1586" s="33" t="n">
        <f aca="false">IF(B1586&gt;=2,C1585,"")</f>
        <v>37</v>
      </c>
      <c r="E1586" s="33" t="n">
        <f aca="false">IF(B1586&gt;=5,AVERAGE(C1582:C1585),"")</f>
        <v>35.5</v>
      </c>
      <c r="F1586" s="33" t="n">
        <f aca="false">IF(B1586&gt;=9,AVERAGE(C1578:C1585),"")</f>
        <v>35</v>
      </c>
      <c r="G1586" s="33" t="n">
        <f aca="false">IF(B1586=1,"",IF(B1586=2,C1585,SES_Alpha*C1585+(1-SES_Alpha)*G1585))</f>
        <v>35.7965099474376</v>
      </c>
      <c r="H1586" s="33" t="n">
        <f aca="false">IF(D1586="","",D1586-C1586)</f>
        <v>-3</v>
      </c>
      <c r="I1586" s="33" t="n">
        <f aca="false">IF(E1586="","",E1586-C1586)</f>
        <v>-4.5</v>
      </c>
      <c r="J1586" s="33" t="n">
        <f aca="false">IF(F1586="","",F1586-C1586)</f>
        <v>-5</v>
      </c>
      <c r="K1586" s="33" t="n">
        <f aca="false">IF(G1586="","",G1586-C1586)</f>
        <v>-4.20349005256239</v>
      </c>
      <c r="L1586" s="33" t="n">
        <f aca="false">IF(H1586="","",ABS(H1586))</f>
        <v>3</v>
      </c>
      <c r="M1586" s="33" t="n">
        <f aca="false">IF(I1586="","",ABS(I1586))</f>
        <v>4.5</v>
      </c>
      <c r="N1586" s="33" t="n">
        <f aca="false">IF(J1586="","",ABS(J1586))</f>
        <v>5</v>
      </c>
      <c r="O1586" s="33" t="n">
        <f aca="false">IF(K1586="","",ABS(K1586))</f>
        <v>4.20349005256239</v>
      </c>
      <c r="P1586" s="34" t="str">
        <f aca="false">IF(B1586&gt;=Eval_Start_Week,"YES","")</f>
        <v/>
      </c>
      <c r="Q1586" s="34" t="str">
        <f aca="false">IF(AND(B1586&gt;=Cal_Start_Week,B1586&lt;=Cal_End_Week),"YES","")</f>
        <v/>
      </c>
    </row>
    <row r="1587" customFormat="false" ht="15" hidden="false" customHeight="false" outlineLevel="0" collapsed="false">
      <c r="A1587" s="31" t="str">
        <f aca="false">Demand_History!C1587</f>
        <v>BTH-006</v>
      </c>
      <c r="B1587" s="31" t="n">
        <f aca="false">Demand_History!A1587</f>
        <v>26</v>
      </c>
      <c r="C1587" s="32" t="n">
        <f aca="false">Demand_History!D1587</f>
        <v>29</v>
      </c>
      <c r="D1587" s="33" t="n">
        <f aca="false">IF(B1587&gt;=2,C1586,"")</f>
        <v>40</v>
      </c>
      <c r="E1587" s="33" t="n">
        <f aca="false">IF(B1587&gt;=5,AVERAGE(C1583:C1586),"")</f>
        <v>37.25</v>
      </c>
      <c r="F1587" s="33" t="n">
        <f aca="false">IF(B1587&gt;=9,AVERAGE(C1579:C1586),"")</f>
        <v>35.625</v>
      </c>
      <c r="G1587" s="33" t="n">
        <f aca="false">IF(B1587=1,"",IF(B1587=2,C1586,SES_Alpha*C1586+(1-SES_Alpha)*G1586))</f>
        <v>37.0575569632063</v>
      </c>
      <c r="H1587" s="33" t="n">
        <f aca="false">IF(D1587="","",D1587-C1587)</f>
        <v>11</v>
      </c>
      <c r="I1587" s="33" t="n">
        <f aca="false">IF(E1587="","",E1587-C1587)</f>
        <v>8.25</v>
      </c>
      <c r="J1587" s="33" t="n">
        <f aca="false">IF(F1587="","",F1587-C1587)</f>
        <v>6.625</v>
      </c>
      <c r="K1587" s="33" t="n">
        <f aca="false">IF(G1587="","",G1587-C1587)</f>
        <v>8.05755696320632</v>
      </c>
      <c r="L1587" s="33" t="n">
        <f aca="false">IF(H1587="","",ABS(H1587))</f>
        <v>11</v>
      </c>
      <c r="M1587" s="33" t="n">
        <f aca="false">IF(I1587="","",ABS(I1587))</f>
        <v>8.25</v>
      </c>
      <c r="N1587" s="33" t="n">
        <f aca="false">IF(J1587="","",ABS(J1587))</f>
        <v>6.625</v>
      </c>
      <c r="O1587" s="33" t="n">
        <f aca="false">IF(K1587="","",ABS(K1587))</f>
        <v>8.05755696320632</v>
      </c>
      <c r="P1587" s="34" t="str">
        <f aca="false">IF(B1587&gt;=Eval_Start_Week,"YES","")</f>
        <v/>
      </c>
      <c r="Q1587" s="34" t="str">
        <f aca="false">IF(AND(B1587&gt;=Cal_Start_Week,B1587&lt;=Cal_End_Week),"YES","")</f>
        <v/>
      </c>
    </row>
    <row r="1588" customFormat="false" ht="15" hidden="false" customHeight="false" outlineLevel="0" collapsed="false">
      <c r="A1588" s="31" t="str">
        <f aca="false">Demand_History!C1588</f>
        <v>BTH-006</v>
      </c>
      <c r="B1588" s="31" t="n">
        <f aca="false">Demand_History!A1588</f>
        <v>27</v>
      </c>
      <c r="C1588" s="32" t="n">
        <f aca="false">Demand_History!D1588</f>
        <v>34</v>
      </c>
      <c r="D1588" s="33" t="n">
        <f aca="false">IF(B1588&gt;=2,C1587,"")</f>
        <v>29</v>
      </c>
      <c r="E1588" s="33" t="n">
        <f aca="false">IF(B1588&gt;=5,AVERAGE(C1584:C1587),"")</f>
        <v>36</v>
      </c>
      <c r="F1588" s="33" t="n">
        <f aca="false">IF(B1588&gt;=9,AVERAGE(C1580:C1587),"")</f>
        <v>35</v>
      </c>
      <c r="G1588" s="33" t="n">
        <f aca="false">IF(B1588=1,"",IF(B1588=2,C1587,SES_Alpha*C1587+(1-SES_Alpha)*G1587))</f>
        <v>34.6402898742444</v>
      </c>
      <c r="H1588" s="33" t="n">
        <f aca="false">IF(D1588="","",D1588-C1588)</f>
        <v>-5</v>
      </c>
      <c r="I1588" s="33" t="n">
        <f aca="false">IF(E1588="","",E1588-C1588)</f>
        <v>2</v>
      </c>
      <c r="J1588" s="33" t="n">
        <f aca="false">IF(F1588="","",F1588-C1588)</f>
        <v>1</v>
      </c>
      <c r="K1588" s="33" t="n">
        <f aca="false">IF(G1588="","",G1588-C1588)</f>
        <v>0.640289874244424</v>
      </c>
      <c r="L1588" s="33" t="n">
        <f aca="false">IF(H1588="","",ABS(H1588))</f>
        <v>5</v>
      </c>
      <c r="M1588" s="33" t="n">
        <f aca="false">IF(I1588="","",ABS(I1588))</f>
        <v>2</v>
      </c>
      <c r="N1588" s="33" t="n">
        <f aca="false">IF(J1588="","",ABS(J1588))</f>
        <v>1</v>
      </c>
      <c r="O1588" s="33" t="n">
        <f aca="false">IF(K1588="","",ABS(K1588))</f>
        <v>0.640289874244424</v>
      </c>
      <c r="P1588" s="34" t="str">
        <f aca="false">IF(B1588&gt;=Eval_Start_Week,"YES","")</f>
        <v/>
      </c>
      <c r="Q1588" s="34" t="str">
        <f aca="false">IF(AND(B1588&gt;=Cal_Start_Week,B1588&lt;=Cal_End_Week),"YES","")</f>
        <v/>
      </c>
    </row>
    <row r="1589" customFormat="false" ht="15" hidden="false" customHeight="false" outlineLevel="0" collapsed="false">
      <c r="A1589" s="31" t="str">
        <f aca="false">Demand_History!C1589</f>
        <v>BTH-006</v>
      </c>
      <c r="B1589" s="31" t="n">
        <f aca="false">Demand_History!A1589</f>
        <v>28</v>
      </c>
      <c r="C1589" s="32" t="n">
        <f aca="false">Demand_History!D1589</f>
        <v>33</v>
      </c>
      <c r="D1589" s="33" t="n">
        <f aca="false">IF(B1589&gt;=2,C1588,"")</f>
        <v>34</v>
      </c>
      <c r="E1589" s="33" t="n">
        <f aca="false">IF(B1589&gt;=5,AVERAGE(C1585:C1588),"")</f>
        <v>35</v>
      </c>
      <c r="F1589" s="33" t="n">
        <f aca="false">IF(B1589&gt;=9,AVERAGE(C1581:C1588),"")</f>
        <v>34.875</v>
      </c>
      <c r="G1589" s="33" t="n">
        <f aca="false">IF(B1589=1,"",IF(B1589=2,C1588,SES_Alpha*C1588+(1-SES_Alpha)*G1588))</f>
        <v>34.4482029119711</v>
      </c>
      <c r="H1589" s="33" t="n">
        <f aca="false">IF(D1589="","",D1589-C1589)</f>
        <v>1</v>
      </c>
      <c r="I1589" s="33" t="n">
        <f aca="false">IF(E1589="","",E1589-C1589)</f>
        <v>2</v>
      </c>
      <c r="J1589" s="33" t="n">
        <f aca="false">IF(F1589="","",F1589-C1589)</f>
        <v>1.875</v>
      </c>
      <c r="K1589" s="33" t="n">
        <f aca="false">IF(G1589="","",G1589-C1589)</f>
        <v>1.44820291197109</v>
      </c>
      <c r="L1589" s="33" t="n">
        <f aca="false">IF(H1589="","",ABS(H1589))</f>
        <v>1</v>
      </c>
      <c r="M1589" s="33" t="n">
        <f aca="false">IF(I1589="","",ABS(I1589))</f>
        <v>2</v>
      </c>
      <c r="N1589" s="33" t="n">
        <f aca="false">IF(J1589="","",ABS(J1589))</f>
        <v>1.875</v>
      </c>
      <c r="O1589" s="33" t="n">
        <f aca="false">IF(K1589="","",ABS(K1589))</f>
        <v>1.44820291197109</v>
      </c>
      <c r="P1589" s="34" t="str">
        <f aca="false">IF(B1589&gt;=Eval_Start_Week,"YES","")</f>
        <v/>
      </c>
      <c r="Q1589" s="34" t="str">
        <f aca="false">IF(AND(B1589&gt;=Cal_Start_Week,B1589&lt;=Cal_End_Week),"YES","")</f>
        <v/>
      </c>
    </row>
    <row r="1590" customFormat="false" ht="15" hidden="false" customHeight="false" outlineLevel="0" collapsed="false">
      <c r="A1590" s="31" t="str">
        <f aca="false">Demand_History!C1590</f>
        <v>BTH-006</v>
      </c>
      <c r="B1590" s="31" t="n">
        <f aca="false">Demand_History!A1590</f>
        <v>29</v>
      </c>
      <c r="C1590" s="32" t="n">
        <f aca="false">Demand_History!D1590</f>
        <v>36</v>
      </c>
      <c r="D1590" s="33" t="n">
        <f aca="false">IF(B1590&gt;=2,C1589,"")</f>
        <v>33</v>
      </c>
      <c r="E1590" s="33" t="n">
        <f aca="false">IF(B1590&gt;=5,AVERAGE(C1586:C1589),"")</f>
        <v>34</v>
      </c>
      <c r="F1590" s="33" t="n">
        <f aca="false">IF(B1590&gt;=9,AVERAGE(C1582:C1589),"")</f>
        <v>34.75</v>
      </c>
      <c r="G1590" s="33" t="n">
        <f aca="false">IF(B1590=1,"",IF(B1590=2,C1589,SES_Alpha*C1589+(1-SES_Alpha)*G1589))</f>
        <v>34.0137420383798</v>
      </c>
      <c r="H1590" s="33" t="n">
        <f aca="false">IF(D1590="","",D1590-C1590)</f>
        <v>-3</v>
      </c>
      <c r="I1590" s="33" t="n">
        <f aca="false">IF(E1590="","",E1590-C1590)</f>
        <v>-2</v>
      </c>
      <c r="J1590" s="33" t="n">
        <f aca="false">IF(F1590="","",F1590-C1590)</f>
        <v>-1.25</v>
      </c>
      <c r="K1590" s="33" t="n">
        <f aca="false">IF(G1590="","",G1590-C1590)</f>
        <v>-1.98625796162023</v>
      </c>
      <c r="L1590" s="33" t="n">
        <f aca="false">IF(H1590="","",ABS(H1590))</f>
        <v>3</v>
      </c>
      <c r="M1590" s="33" t="n">
        <f aca="false">IF(I1590="","",ABS(I1590))</f>
        <v>2</v>
      </c>
      <c r="N1590" s="33" t="n">
        <f aca="false">IF(J1590="","",ABS(J1590))</f>
        <v>1.25</v>
      </c>
      <c r="O1590" s="33" t="n">
        <f aca="false">IF(K1590="","",ABS(K1590))</f>
        <v>1.98625796162023</v>
      </c>
      <c r="P1590" s="34" t="str">
        <f aca="false">IF(B1590&gt;=Eval_Start_Week,"YES","")</f>
        <v/>
      </c>
      <c r="Q1590" s="34" t="str">
        <f aca="false">IF(AND(B1590&gt;=Cal_Start_Week,B1590&lt;=Cal_End_Week),"YES","")</f>
        <v/>
      </c>
    </row>
    <row r="1591" customFormat="false" ht="15" hidden="false" customHeight="false" outlineLevel="0" collapsed="false">
      <c r="A1591" s="31" t="str">
        <f aca="false">Demand_History!C1591</f>
        <v>BTH-006</v>
      </c>
      <c r="B1591" s="31" t="n">
        <f aca="false">Demand_History!A1591</f>
        <v>30</v>
      </c>
      <c r="C1591" s="32" t="n">
        <f aca="false">Demand_History!D1591</f>
        <v>33</v>
      </c>
      <c r="D1591" s="33" t="n">
        <f aca="false">IF(B1591&gt;=2,C1590,"")</f>
        <v>36</v>
      </c>
      <c r="E1591" s="33" t="n">
        <f aca="false">IF(B1591&gt;=5,AVERAGE(C1587:C1590),"")</f>
        <v>33</v>
      </c>
      <c r="F1591" s="33" t="n">
        <f aca="false">IF(B1591&gt;=9,AVERAGE(C1583:C1590),"")</f>
        <v>35.125</v>
      </c>
      <c r="G1591" s="33" t="n">
        <f aca="false">IF(B1591=1,"",IF(B1591=2,C1590,SES_Alpha*C1590+(1-SES_Alpha)*G1590))</f>
        <v>34.6096194268658</v>
      </c>
      <c r="H1591" s="33" t="n">
        <f aca="false">IF(D1591="","",D1591-C1591)</f>
        <v>3</v>
      </c>
      <c r="I1591" s="33" t="n">
        <f aca="false">IF(E1591="","",E1591-C1591)</f>
        <v>0</v>
      </c>
      <c r="J1591" s="33" t="n">
        <f aca="false">IF(F1591="","",F1591-C1591)</f>
        <v>2.125</v>
      </c>
      <c r="K1591" s="33" t="n">
        <f aca="false">IF(G1591="","",G1591-C1591)</f>
        <v>1.60961942686583</v>
      </c>
      <c r="L1591" s="33" t="n">
        <f aca="false">IF(H1591="","",ABS(H1591))</f>
        <v>3</v>
      </c>
      <c r="M1591" s="33" t="n">
        <f aca="false">IF(I1591="","",ABS(I1591))</f>
        <v>0</v>
      </c>
      <c r="N1591" s="33" t="n">
        <f aca="false">IF(J1591="","",ABS(J1591))</f>
        <v>2.125</v>
      </c>
      <c r="O1591" s="33" t="n">
        <f aca="false">IF(K1591="","",ABS(K1591))</f>
        <v>1.60961942686583</v>
      </c>
      <c r="P1591" s="34" t="str">
        <f aca="false">IF(B1591&gt;=Eval_Start_Week,"YES","")</f>
        <v/>
      </c>
      <c r="Q1591" s="34" t="str">
        <f aca="false">IF(AND(B1591&gt;=Cal_Start_Week,B1591&lt;=Cal_End_Week),"YES","")</f>
        <v/>
      </c>
    </row>
    <row r="1592" customFormat="false" ht="15" hidden="false" customHeight="false" outlineLevel="0" collapsed="false">
      <c r="A1592" s="31" t="str">
        <f aca="false">Demand_History!C1592</f>
        <v>BTH-006</v>
      </c>
      <c r="B1592" s="31" t="n">
        <f aca="false">Demand_History!A1592</f>
        <v>31</v>
      </c>
      <c r="C1592" s="32" t="n">
        <f aca="false">Demand_History!D1592</f>
        <v>33</v>
      </c>
      <c r="D1592" s="33" t="n">
        <f aca="false">IF(B1592&gt;=2,C1591,"")</f>
        <v>33</v>
      </c>
      <c r="E1592" s="33" t="n">
        <f aca="false">IF(B1592&gt;=5,AVERAGE(C1588:C1591),"")</f>
        <v>34</v>
      </c>
      <c r="F1592" s="33" t="n">
        <f aca="false">IF(B1592&gt;=9,AVERAGE(C1584:C1591),"")</f>
        <v>35</v>
      </c>
      <c r="G1592" s="33" t="n">
        <f aca="false">IF(B1592=1,"",IF(B1592=2,C1591,SES_Alpha*C1591+(1-SES_Alpha)*G1591))</f>
        <v>34.1267335988061</v>
      </c>
      <c r="H1592" s="33" t="n">
        <f aca="false">IF(D1592="","",D1592-C1592)</f>
        <v>0</v>
      </c>
      <c r="I1592" s="33" t="n">
        <f aca="false">IF(E1592="","",E1592-C1592)</f>
        <v>1</v>
      </c>
      <c r="J1592" s="33" t="n">
        <f aca="false">IF(F1592="","",F1592-C1592)</f>
        <v>2</v>
      </c>
      <c r="K1592" s="33" t="n">
        <f aca="false">IF(G1592="","",G1592-C1592)</f>
        <v>1.12673359880608</v>
      </c>
      <c r="L1592" s="33" t="n">
        <f aca="false">IF(H1592="","",ABS(H1592))</f>
        <v>0</v>
      </c>
      <c r="M1592" s="33" t="n">
        <f aca="false">IF(I1592="","",ABS(I1592))</f>
        <v>1</v>
      </c>
      <c r="N1592" s="33" t="n">
        <f aca="false">IF(J1592="","",ABS(J1592))</f>
        <v>2</v>
      </c>
      <c r="O1592" s="33" t="n">
        <f aca="false">IF(K1592="","",ABS(K1592))</f>
        <v>1.12673359880608</v>
      </c>
      <c r="P1592" s="34" t="str">
        <f aca="false">IF(B1592&gt;=Eval_Start_Week,"YES","")</f>
        <v/>
      </c>
      <c r="Q1592" s="34" t="str">
        <f aca="false">IF(AND(B1592&gt;=Cal_Start_Week,B1592&lt;=Cal_End_Week),"YES","")</f>
        <v/>
      </c>
    </row>
    <row r="1593" customFormat="false" ht="15" hidden="false" customHeight="false" outlineLevel="0" collapsed="false">
      <c r="A1593" s="31" t="str">
        <f aca="false">Demand_History!C1593</f>
        <v>BTH-006</v>
      </c>
      <c r="B1593" s="31" t="n">
        <f aca="false">Demand_History!A1593</f>
        <v>32</v>
      </c>
      <c r="C1593" s="32" t="n">
        <f aca="false">Demand_History!D1593</f>
        <v>38</v>
      </c>
      <c r="D1593" s="33" t="n">
        <f aca="false">IF(B1593&gt;=2,C1592,"")</f>
        <v>33</v>
      </c>
      <c r="E1593" s="33" t="n">
        <f aca="false">IF(B1593&gt;=5,AVERAGE(C1589:C1592),"")</f>
        <v>33.75</v>
      </c>
      <c r="F1593" s="33" t="n">
        <f aca="false">IF(B1593&gt;=9,AVERAGE(C1585:C1592),"")</f>
        <v>34.375</v>
      </c>
      <c r="G1593" s="33" t="n">
        <f aca="false">IF(B1593=1,"",IF(B1593=2,C1592,SES_Alpha*C1592+(1-SES_Alpha)*G1592))</f>
        <v>33.7887135191643</v>
      </c>
      <c r="H1593" s="33" t="n">
        <f aca="false">IF(D1593="","",D1593-C1593)</f>
        <v>-5</v>
      </c>
      <c r="I1593" s="33" t="n">
        <f aca="false">IF(E1593="","",E1593-C1593)</f>
        <v>-4.25</v>
      </c>
      <c r="J1593" s="33" t="n">
        <f aca="false">IF(F1593="","",F1593-C1593)</f>
        <v>-3.625</v>
      </c>
      <c r="K1593" s="33" t="n">
        <f aca="false">IF(G1593="","",G1593-C1593)</f>
        <v>-4.21128648083575</v>
      </c>
      <c r="L1593" s="33" t="n">
        <f aca="false">IF(H1593="","",ABS(H1593))</f>
        <v>5</v>
      </c>
      <c r="M1593" s="33" t="n">
        <f aca="false">IF(I1593="","",ABS(I1593))</f>
        <v>4.25</v>
      </c>
      <c r="N1593" s="33" t="n">
        <f aca="false">IF(J1593="","",ABS(J1593))</f>
        <v>3.625</v>
      </c>
      <c r="O1593" s="33" t="n">
        <f aca="false">IF(K1593="","",ABS(K1593))</f>
        <v>4.21128648083575</v>
      </c>
      <c r="P1593" s="34" t="str">
        <f aca="false">IF(B1593&gt;=Eval_Start_Week,"YES","")</f>
        <v/>
      </c>
      <c r="Q1593" s="34" t="str">
        <f aca="false">IF(AND(B1593&gt;=Cal_Start_Week,B1593&lt;=Cal_End_Week),"YES","")</f>
        <v/>
      </c>
    </row>
    <row r="1594" customFormat="false" ht="15" hidden="false" customHeight="false" outlineLevel="0" collapsed="false">
      <c r="A1594" s="31" t="str">
        <f aca="false">Demand_History!C1594</f>
        <v>BTH-006</v>
      </c>
      <c r="B1594" s="31" t="n">
        <f aca="false">Demand_History!A1594</f>
        <v>33</v>
      </c>
      <c r="C1594" s="32" t="n">
        <f aca="false">Demand_History!D1594</f>
        <v>36</v>
      </c>
      <c r="D1594" s="33" t="n">
        <f aca="false">IF(B1594&gt;=2,C1593,"")</f>
        <v>38</v>
      </c>
      <c r="E1594" s="33" t="n">
        <f aca="false">IF(B1594&gt;=5,AVERAGE(C1590:C1593),"")</f>
        <v>35</v>
      </c>
      <c r="F1594" s="33" t="n">
        <f aca="false">IF(B1594&gt;=9,AVERAGE(C1586:C1593),"")</f>
        <v>34.5</v>
      </c>
      <c r="G1594" s="33" t="n">
        <f aca="false">IF(B1594=1,"",IF(B1594=2,C1593,SES_Alpha*C1593+(1-SES_Alpha)*G1593))</f>
        <v>35.052099463415</v>
      </c>
      <c r="H1594" s="33" t="n">
        <f aca="false">IF(D1594="","",D1594-C1594)</f>
        <v>2</v>
      </c>
      <c r="I1594" s="33" t="n">
        <f aca="false">IF(E1594="","",E1594-C1594)</f>
        <v>-1</v>
      </c>
      <c r="J1594" s="33" t="n">
        <f aca="false">IF(F1594="","",F1594-C1594)</f>
        <v>-1.5</v>
      </c>
      <c r="K1594" s="33" t="n">
        <f aca="false">IF(G1594="","",G1594-C1594)</f>
        <v>-0.947900536585024</v>
      </c>
      <c r="L1594" s="33" t="n">
        <f aca="false">IF(H1594="","",ABS(H1594))</f>
        <v>2</v>
      </c>
      <c r="M1594" s="33" t="n">
        <f aca="false">IF(I1594="","",ABS(I1594))</f>
        <v>1</v>
      </c>
      <c r="N1594" s="33" t="n">
        <f aca="false">IF(J1594="","",ABS(J1594))</f>
        <v>1.5</v>
      </c>
      <c r="O1594" s="33" t="n">
        <f aca="false">IF(K1594="","",ABS(K1594))</f>
        <v>0.947900536585024</v>
      </c>
      <c r="P1594" s="34" t="str">
        <f aca="false">IF(B1594&gt;=Eval_Start_Week,"YES","")</f>
        <v/>
      </c>
      <c r="Q1594" s="34" t="str">
        <f aca="false">IF(AND(B1594&gt;=Cal_Start_Week,B1594&lt;=Cal_End_Week),"YES","")</f>
        <v/>
      </c>
    </row>
    <row r="1595" customFormat="false" ht="15" hidden="false" customHeight="false" outlineLevel="0" collapsed="false">
      <c r="A1595" s="31" t="str">
        <f aca="false">Demand_History!C1595</f>
        <v>BTH-006</v>
      </c>
      <c r="B1595" s="31" t="n">
        <f aca="false">Demand_History!A1595</f>
        <v>34</v>
      </c>
      <c r="C1595" s="32" t="n">
        <f aca="false">Demand_History!D1595</f>
        <v>31</v>
      </c>
      <c r="D1595" s="33" t="n">
        <f aca="false">IF(B1595&gt;=2,C1594,"")</f>
        <v>36</v>
      </c>
      <c r="E1595" s="33" t="n">
        <f aca="false">IF(B1595&gt;=5,AVERAGE(C1591:C1594),"")</f>
        <v>35</v>
      </c>
      <c r="F1595" s="33" t="n">
        <f aca="false">IF(B1595&gt;=9,AVERAGE(C1587:C1594),"")</f>
        <v>34</v>
      </c>
      <c r="G1595" s="33" t="n">
        <f aca="false">IF(B1595=1,"",IF(B1595=2,C1594,SES_Alpha*C1594+(1-SES_Alpha)*G1594))</f>
        <v>35.3364696243905</v>
      </c>
      <c r="H1595" s="33" t="n">
        <f aca="false">IF(D1595="","",D1595-C1595)</f>
        <v>5</v>
      </c>
      <c r="I1595" s="33" t="n">
        <f aca="false">IF(E1595="","",E1595-C1595)</f>
        <v>4</v>
      </c>
      <c r="J1595" s="33" t="n">
        <f aca="false">IF(F1595="","",F1595-C1595)</f>
        <v>3</v>
      </c>
      <c r="K1595" s="33" t="n">
        <f aca="false">IF(G1595="","",G1595-C1595)</f>
        <v>4.33646962439048</v>
      </c>
      <c r="L1595" s="33" t="n">
        <f aca="false">IF(H1595="","",ABS(H1595))</f>
        <v>5</v>
      </c>
      <c r="M1595" s="33" t="n">
        <f aca="false">IF(I1595="","",ABS(I1595))</f>
        <v>4</v>
      </c>
      <c r="N1595" s="33" t="n">
        <f aca="false">IF(J1595="","",ABS(J1595))</f>
        <v>3</v>
      </c>
      <c r="O1595" s="33" t="n">
        <f aca="false">IF(K1595="","",ABS(K1595))</f>
        <v>4.33646962439048</v>
      </c>
      <c r="P1595" s="34" t="str">
        <f aca="false">IF(B1595&gt;=Eval_Start_Week,"YES","")</f>
        <v/>
      </c>
      <c r="Q1595" s="34" t="str">
        <f aca="false">IF(AND(B1595&gt;=Cal_Start_Week,B1595&lt;=Cal_End_Week),"YES","")</f>
        <v/>
      </c>
    </row>
    <row r="1596" customFormat="false" ht="15" hidden="false" customHeight="false" outlineLevel="0" collapsed="false">
      <c r="A1596" s="31" t="str">
        <f aca="false">Demand_History!C1596</f>
        <v>BTH-006</v>
      </c>
      <c r="B1596" s="31" t="n">
        <f aca="false">Demand_History!A1596</f>
        <v>35</v>
      </c>
      <c r="C1596" s="32" t="n">
        <f aca="false">Demand_History!D1596</f>
        <v>40</v>
      </c>
      <c r="D1596" s="33" t="n">
        <f aca="false">IF(B1596&gt;=2,C1595,"")</f>
        <v>31</v>
      </c>
      <c r="E1596" s="33" t="n">
        <f aca="false">IF(B1596&gt;=5,AVERAGE(C1592:C1595),"")</f>
        <v>34.5</v>
      </c>
      <c r="F1596" s="33" t="n">
        <f aca="false">IF(B1596&gt;=9,AVERAGE(C1588:C1595),"")</f>
        <v>34.25</v>
      </c>
      <c r="G1596" s="33" t="n">
        <f aca="false">IF(B1596=1,"",IF(B1596=2,C1595,SES_Alpha*C1595+(1-SES_Alpha)*G1595))</f>
        <v>34.0355287370733</v>
      </c>
      <c r="H1596" s="33" t="n">
        <f aca="false">IF(D1596="","",D1596-C1596)</f>
        <v>-9</v>
      </c>
      <c r="I1596" s="33" t="n">
        <f aca="false">IF(E1596="","",E1596-C1596)</f>
        <v>-5.5</v>
      </c>
      <c r="J1596" s="33" t="n">
        <f aca="false">IF(F1596="","",F1596-C1596)</f>
        <v>-5.75</v>
      </c>
      <c r="K1596" s="33" t="n">
        <f aca="false">IF(G1596="","",G1596-C1596)</f>
        <v>-5.96447126292667</v>
      </c>
      <c r="L1596" s="33" t="n">
        <f aca="false">IF(H1596="","",ABS(H1596))</f>
        <v>9</v>
      </c>
      <c r="M1596" s="33" t="n">
        <f aca="false">IF(I1596="","",ABS(I1596))</f>
        <v>5.5</v>
      </c>
      <c r="N1596" s="33" t="n">
        <f aca="false">IF(J1596="","",ABS(J1596))</f>
        <v>5.75</v>
      </c>
      <c r="O1596" s="33" t="n">
        <f aca="false">IF(K1596="","",ABS(K1596))</f>
        <v>5.96447126292667</v>
      </c>
      <c r="P1596" s="34" t="str">
        <f aca="false">IF(B1596&gt;=Eval_Start_Week,"YES","")</f>
        <v/>
      </c>
      <c r="Q1596" s="34" t="str">
        <f aca="false">IF(AND(B1596&gt;=Cal_Start_Week,B1596&lt;=Cal_End_Week),"YES","")</f>
        <v/>
      </c>
    </row>
    <row r="1597" customFormat="false" ht="15" hidden="false" customHeight="false" outlineLevel="0" collapsed="false">
      <c r="A1597" s="31" t="str">
        <f aca="false">Demand_History!C1597</f>
        <v>BTH-006</v>
      </c>
      <c r="B1597" s="31" t="n">
        <f aca="false">Demand_History!A1597</f>
        <v>36</v>
      </c>
      <c r="C1597" s="32" t="n">
        <f aca="false">Demand_History!D1597</f>
        <v>39</v>
      </c>
      <c r="D1597" s="33" t="n">
        <f aca="false">IF(B1597&gt;=2,C1596,"")</f>
        <v>40</v>
      </c>
      <c r="E1597" s="33" t="n">
        <f aca="false">IF(B1597&gt;=5,AVERAGE(C1593:C1596),"")</f>
        <v>36.25</v>
      </c>
      <c r="F1597" s="33" t="n">
        <f aca="false">IF(B1597&gt;=9,AVERAGE(C1589:C1596),"")</f>
        <v>35</v>
      </c>
      <c r="G1597" s="33" t="n">
        <f aca="false">IF(B1597=1,"",IF(B1597=2,C1596,SES_Alpha*C1596+(1-SES_Alpha)*G1596))</f>
        <v>35.8248701159513</v>
      </c>
      <c r="H1597" s="33" t="n">
        <f aca="false">IF(D1597="","",D1597-C1597)</f>
        <v>1</v>
      </c>
      <c r="I1597" s="33" t="n">
        <f aca="false">IF(E1597="","",E1597-C1597)</f>
        <v>-2.75</v>
      </c>
      <c r="J1597" s="33" t="n">
        <f aca="false">IF(F1597="","",F1597-C1597)</f>
        <v>-4</v>
      </c>
      <c r="K1597" s="33" t="n">
        <f aca="false">IF(G1597="","",G1597-C1597)</f>
        <v>-3.17512988404867</v>
      </c>
      <c r="L1597" s="33" t="n">
        <f aca="false">IF(H1597="","",ABS(H1597))</f>
        <v>1</v>
      </c>
      <c r="M1597" s="33" t="n">
        <f aca="false">IF(I1597="","",ABS(I1597))</f>
        <v>2.75</v>
      </c>
      <c r="N1597" s="33" t="n">
        <f aca="false">IF(J1597="","",ABS(J1597))</f>
        <v>4</v>
      </c>
      <c r="O1597" s="33" t="n">
        <f aca="false">IF(K1597="","",ABS(K1597))</f>
        <v>3.17512988404867</v>
      </c>
      <c r="P1597" s="34" t="str">
        <f aca="false">IF(B1597&gt;=Eval_Start_Week,"YES","")</f>
        <v/>
      </c>
      <c r="Q1597" s="34" t="str">
        <f aca="false">IF(AND(B1597&gt;=Cal_Start_Week,B1597&lt;=Cal_End_Week),"YES","")</f>
        <v/>
      </c>
    </row>
    <row r="1598" customFormat="false" ht="15" hidden="false" customHeight="false" outlineLevel="0" collapsed="false">
      <c r="A1598" s="31" t="str">
        <f aca="false">Demand_History!C1598</f>
        <v>BTH-006</v>
      </c>
      <c r="B1598" s="31" t="n">
        <f aca="false">Demand_History!A1598</f>
        <v>37</v>
      </c>
      <c r="C1598" s="32" t="n">
        <f aca="false">Demand_History!D1598</f>
        <v>33</v>
      </c>
      <c r="D1598" s="33" t="n">
        <f aca="false">IF(B1598&gt;=2,C1597,"")</f>
        <v>39</v>
      </c>
      <c r="E1598" s="33" t="n">
        <f aca="false">IF(B1598&gt;=5,AVERAGE(C1594:C1597),"")</f>
        <v>36.5</v>
      </c>
      <c r="F1598" s="33" t="n">
        <f aca="false">IF(B1598&gt;=9,AVERAGE(C1590:C1597),"")</f>
        <v>35.75</v>
      </c>
      <c r="G1598" s="33" t="n">
        <f aca="false">IF(B1598=1,"",IF(B1598=2,C1597,SES_Alpha*C1597+(1-SES_Alpha)*G1597))</f>
        <v>36.7774090811659</v>
      </c>
      <c r="H1598" s="33" t="n">
        <f aca="false">IF(D1598="","",D1598-C1598)</f>
        <v>6</v>
      </c>
      <c r="I1598" s="33" t="n">
        <f aca="false">IF(E1598="","",E1598-C1598)</f>
        <v>3.5</v>
      </c>
      <c r="J1598" s="33" t="n">
        <f aca="false">IF(F1598="","",F1598-C1598)</f>
        <v>2.75</v>
      </c>
      <c r="K1598" s="33" t="n">
        <f aca="false">IF(G1598="","",G1598-C1598)</f>
        <v>3.77740908116593</v>
      </c>
      <c r="L1598" s="33" t="n">
        <f aca="false">IF(H1598="","",ABS(H1598))</f>
        <v>6</v>
      </c>
      <c r="M1598" s="33" t="n">
        <f aca="false">IF(I1598="","",ABS(I1598))</f>
        <v>3.5</v>
      </c>
      <c r="N1598" s="33" t="n">
        <f aca="false">IF(J1598="","",ABS(J1598))</f>
        <v>2.75</v>
      </c>
      <c r="O1598" s="33" t="n">
        <f aca="false">IF(K1598="","",ABS(K1598))</f>
        <v>3.77740908116593</v>
      </c>
      <c r="P1598" s="34" t="str">
        <f aca="false">IF(B1598&gt;=Eval_Start_Week,"YES","")</f>
        <v/>
      </c>
      <c r="Q1598" s="34" t="str">
        <f aca="false">IF(AND(B1598&gt;=Cal_Start_Week,B1598&lt;=Cal_End_Week),"YES","")</f>
        <v>YES</v>
      </c>
    </row>
    <row r="1599" customFormat="false" ht="15" hidden="false" customHeight="false" outlineLevel="0" collapsed="false">
      <c r="A1599" s="31" t="str">
        <f aca="false">Demand_History!C1599</f>
        <v>BTH-006</v>
      </c>
      <c r="B1599" s="31" t="n">
        <f aca="false">Demand_History!A1599</f>
        <v>38</v>
      </c>
      <c r="C1599" s="32" t="n">
        <f aca="false">Demand_History!D1599</f>
        <v>38</v>
      </c>
      <c r="D1599" s="33" t="n">
        <f aca="false">IF(B1599&gt;=2,C1598,"")</f>
        <v>33</v>
      </c>
      <c r="E1599" s="33" t="n">
        <f aca="false">IF(B1599&gt;=5,AVERAGE(C1595:C1598),"")</f>
        <v>35.75</v>
      </c>
      <c r="F1599" s="33" t="n">
        <f aca="false">IF(B1599&gt;=9,AVERAGE(C1591:C1598),"")</f>
        <v>35.375</v>
      </c>
      <c r="G1599" s="33" t="n">
        <f aca="false">IF(B1599=1,"",IF(B1599=2,C1598,SES_Alpha*C1598+(1-SES_Alpha)*G1598))</f>
        <v>35.6441863568162</v>
      </c>
      <c r="H1599" s="33" t="n">
        <f aca="false">IF(D1599="","",D1599-C1599)</f>
        <v>-5</v>
      </c>
      <c r="I1599" s="33" t="n">
        <f aca="false">IF(E1599="","",E1599-C1599)</f>
        <v>-2.25</v>
      </c>
      <c r="J1599" s="33" t="n">
        <f aca="false">IF(F1599="","",F1599-C1599)</f>
        <v>-2.625</v>
      </c>
      <c r="K1599" s="33" t="n">
        <f aca="false">IF(G1599="","",G1599-C1599)</f>
        <v>-2.35581364318385</v>
      </c>
      <c r="L1599" s="33" t="n">
        <f aca="false">IF(H1599="","",ABS(H1599))</f>
        <v>5</v>
      </c>
      <c r="M1599" s="33" t="n">
        <f aca="false">IF(I1599="","",ABS(I1599))</f>
        <v>2.25</v>
      </c>
      <c r="N1599" s="33" t="n">
        <f aca="false">IF(J1599="","",ABS(J1599))</f>
        <v>2.625</v>
      </c>
      <c r="O1599" s="33" t="n">
        <f aca="false">IF(K1599="","",ABS(K1599))</f>
        <v>2.35581364318385</v>
      </c>
      <c r="P1599" s="34" t="str">
        <f aca="false">IF(B1599&gt;=Eval_Start_Week,"YES","")</f>
        <v/>
      </c>
      <c r="Q1599" s="34" t="str">
        <f aca="false">IF(AND(B1599&gt;=Cal_Start_Week,B1599&lt;=Cal_End_Week),"YES","")</f>
        <v>YES</v>
      </c>
    </row>
    <row r="1600" customFormat="false" ht="15" hidden="false" customHeight="false" outlineLevel="0" collapsed="false">
      <c r="A1600" s="31" t="str">
        <f aca="false">Demand_History!C1600</f>
        <v>BTH-006</v>
      </c>
      <c r="B1600" s="31" t="n">
        <f aca="false">Demand_History!A1600</f>
        <v>39</v>
      </c>
      <c r="C1600" s="32" t="n">
        <f aca="false">Demand_History!D1600</f>
        <v>32</v>
      </c>
      <c r="D1600" s="33" t="n">
        <f aca="false">IF(B1600&gt;=2,C1599,"")</f>
        <v>38</v>
      </c>
      <c r="E1600" s="33" t="n">
        <f aca="false">IF(B1600&gt;=5,AVERAGE(C1596:C1599),"")</f>
        <v>37.5</v>
      </c>
      <c r="F1600" s="33" t="n">
        <f aca="false">IF(B1600&gt;=9,AVERAGE(C1592:C1599),"")</f>
        <v>36</v>
      </c>
      <c r="G1600" s="33" t="n">
        <f aca="false">IF(B1600=1,"",IF(B1600=2,C1599,SES_Alpha*C1599+(1-SES_Alpha)*G1599))</f>
        <v>36.3509304497713</v>
      </c>
      <c r="H1600" s="33" t="n">
        <f aca="false">IF(D1600="","",D1600-C1600)</f>
        <v>6</v>
      </c>
      <c r="I1600" s="33" t="n">
        <f aca="false">IF(E1600="","",E1600-C1600)</f>
        <v>5.5</v>
      </c>
      <c r="J1600" s="33" t="n">
        <f aca="false">IF(F1600="","",F1600-C1600)</f>
        <v>4</v>
      </c>
      <c r="K1600" s="33" t="n">
        <f aca="false">IF(G1600="","",G1600-C1600)</f>
        <v>4.35093044977131</v>
      </c>
      <c r="L1600" s="33" t="n">
        <f aca="false">IF(H1600="","",ABS(H1600))</f>
        <v>6</v>
      </c>
      <c r="M1600" s="33" t="n">
        <f aca="false">IF(I1600="","",ABS(I1600))</f>
        <v>5.5</v>
      </c>
      <c r="N1600" s="33" t="n">
        <f aca="false">IF(J1600="","",ABS(J1600))</f>
        <v>4</v>
      </c>
      <c r="O1600" s="33" t="n">
        <f aca="false">IF(K1600="","",ABS(K1600))</f>
        <v>4.35093044977131</v>
      </c>
      <c r="P1600" s="34" t="str">
        <f aca="false">IF(B1600&gt;=Eval_Start_Week,"YES","")</f>
        <v/>
      </c>
      <c r="Q1600" s="34" t="str">
        <f aca="false">IF(AND(B1600&gt;=Cal_Start_Week,B1600&lt;=Cal_End_Week),"YES","")</f>
        <v>YES</v>
      </c>
    </row>
    <row r="1601" customFormat="false" ht="15" hidden="false" customHeight="false" outlineLevel="0" collapsed="false">
      <c r="A1601" s="31" t="str">
        <f aca="false">Demand_History!C1601</f>
        <v>BTH-006</v>
      </c>
      <c r="B1601" s="31" t="n">
        <f aca="false">Demand_History!A1601</f>
        <v>40</v>
      </c>
      <c r="C1601" s="32" t="n">
        <f aca="false">Demand_History!D1601</f>
        <v>39</v>
      </c>
      <c r="D1601" s="33" t="n">
        <f aca="false">IF(B1601&gt;=2,C1600,"")</f>
        <v>32</v>
      </c>
      <c r="E1601" s="33" t="n">
        <f aca="false">IF(B1601&gt;=5,AVERAGE(C1597:C1600),"")</f>
        <v>35.5</v>
      </c>
      <c r="F1601" s="33" t="n">
        <f aca="false">IF(B1601&gt;=9,AVERAGE(C1593:C1600),"")</f>
        <v>35.875</v>
      </c>
      <c r="G1601" s="33" t="n">
        <f aca="false">IF(B1601=1,"",IF(B1601=2,C1600,SES_Alpha*C1600+(1-SES_Alpha)*G1600))</f>
        <v>35.0456513148399</v>
      </c>
      <c r="H1601" s="33" t="n">
        <f aca="false">IF(D1601="","",D1601-C1601)</f>
        <v>-7</v>
      </c>
      <c r="I1601" s="33" t="n">
        <f aca="false">IF(E1601="","",E1601-C1601)</f>
        <v>-3.5</v>
      </c>
      <c r="J1601" s="33" t="n">
        <f aca="false">IF(F1601="","",F1601-C1601)</f>
        <v>-3.125</v>
      </c>
      <c r="K1601" s="33" t="n">
        <f aca="false">IF(G1601="","",G1601-C1601)</f>
        <v>-3.95434868516009</v>
      </c>
      <c r="L1601" s="33" t="n">
        <f aca="false">IF(H1601="","",ABS(H1601))</f>
        <v>7</v>
      </c>
      <c r="M1601" s="33" t="n">
        <f aca="false">IF(I1601="","",ABS(I1601))</f>
        <v>3.5</v>
      </c>
      <c r="N1601" s="33" t="n">
        <f aca="false">IF(J1601="","",ABS(J1601))</f>
        <v>3.125</v>
      </c>
      <c r="O1601" s="33" t="n">
        <f aca="false">IF(K1601="","",ABS(K1601))</f>
        <v>3.95434868516009</v>
      </c>
      <c r="P1601" s="34" t="str">
        <f aca="false">IF(B1601&gt;=Eval_Start_Week,"YES","")</f>
        <v/>
      </c>
      <c r="Q1601" s="34" t="str">
        <f aca="false">IF(AND(B1601&gt;=Cal_Start_Week,B1601&lt;=Cal_End_Week),"YES","")</f>
        <v>YES</v>
      </c>
    </row>
    <row r="1602" customFormat="false" ht="15" hidden="false" customHeight="false" outlineLevel="0" collapsed="false">
      <c r="A1602" s="31" t="str">
        <f aca="false">Demand_History!C1602</f>
        <v>BTH-006</v>
      </c>
      <c r="B1602" s="31" t="n">
        <f aca="false">Demand_History!A1602</f>
        <v>41</v>
      </c>
      <c r="C1602" s="32" t="n">
        <f aca="false">Demand_History!D1602</f>
        <v>34</v>
      </c>
      <c r="D1602" s="33" t="n">
        <f aca="false">IF(B1602&gt;=2,C1601,"")</f>
        <v>39</v>
      </c>
      <c r="E1602" s="33" t="n">
        <f aca="false">IF(B1602&gt;=5,AVERAGE(C1598:C1601),"")</f>
        <v>35.5</v>
      </c>
      <c r="F1602" s="33" t="n">
        <f aca="false">IF(B1602&gt;=9,AVERAGE(C1594:C1601),"")</f>
        <v>36</v>
      </c>
      <c r="G1602" s="33" t="n">
        <f aca="false">IF(B1602=1,"",IF(B1602=2,C1601,SES_Alpha*C1601+(1-SES_Alpha)*G1601))</f>
        <v>36.2319559203879</v>
      </c>
      <c r="H1602" s="33" t="n">
        <f aca="false">IF(D1602="","",D1602-C1602)</f>
        <v>5</v>
      </c>
      <c r="I1602" s="33" t="n">
        <f aca="false">IF(E1602="","",E1602-C1602)</f>
        <v>1.5</v>
      </c>
      <c r="J1602" s="33" t="n">
        <f aca="false">IF(F1602="","",F1602-C1602)</f>
        <v>2</v>
      </c>
      <c r="K1602" s="33" t="n">
        <f aca="false">IF(G1602="","",G1602-C1602)</f>
        <v>2.23195592038793</v>
      </c>
      <c r="L1602" s="33" t="n">
        <f aca="false">IF(H1602="","",ABS(H1602))</f>
        <v>5</v>
      </c>
      <c r="M1602" s="33" t="n">
        <f aca="false">IF(I1602="","",ABS(I1602))</f>
        <v>1.5</v>
      </c>
      <c r="N1602" s="33" t="n">
        <f aca="false">IF(J1602="","",ABS(J1602))</f>
        <v>2</v>
      </c>
      <c r="O1602" s="33" t="n">
        <f aca="false">IF(K1602="","",ABS(K1602))</f>
        <v>2.23195592038793</v>
      </c>
      <c r="P1602" s="34" t="str">
        <f aca="false">IF(B1602&gt;=Eval_Start_Week,"YES","")</f>
        <v/>
      </c>
      <c r="Q1602" s="34" t="str">
        <f aca="false">IF(AND(B1602&gt;=Cal_Start_Week,B1602&lt;=Cal_End_Week),"YES","")</f>
        <v>YES</v>
      </c>
    </row>
    <row r="1603" customFormat="false" ht="15" hidden="false" customHeight="false" outlineLevel="0" collapsed="false">
      <c r="A1603" s="31" t="str">
        <f aca="false">Demand_History!C1603</f>
        <v>BTH-006</v>
      </c>
      <c r="B1603" s="31" t="n">
        <f aca="false">Demand_History!A1603</f>
        <v>42</v>
      </c>
      <c r="C1603" s="32" t="n">
        <f aca="false">Demand_History!D1603</f>
        <v>32</v>
      </c>
      <c r="D1603" s="33" t="n">
        <f aca="false">IF(B1603&gt;=2,C1602,"")</f>
        <v>34</v>
      </c>
      <c r="E1603" s="33" t="n">
        <f aca="false">IF(B1603&gt;=5,AVERAGE(C1599:C1602),"")</f>
        <v>35.75</v>
      </c>
      <c r="F1603" s="33" t="n">
        <f aca="false">IF(B1603&gt;=9,AVERAGE(C1595:C1602),"")</f>
        <v>35.75</v>
      </c>
      <c r="G1603" s="33" t="n">
        <f aca="false">IF(B1603=1,"",IF(B1603=2,C1602,SES_Alpha*C1602+(1-SES_Alpha)*G1602))</f>
        <v>35.5623691442716</v>
      </c>
      <c r="H1603" s="33" t="n">
        <f aca="false">IF(D1603="","",D1603-C1603)</f>
        <v>2</v>
      </c>
      <c r="I1603" s="33" t="n">
        <f aca="false">IF(E1603="","",E1603-C1603)</f>
        <v>3.75</v>
      </c>
      <c r="J1603" s="33" t="n">
        <f aca="false">IF(F1603="","",F1603-C1603)</f>
        <v>3.75</v>
      </c>
      <c r="K1603" s="33" t="n">
        <f aca="false">IF(G1603="","",G1603-C1603)</f>
        <v>3.56236914427155</v>
      </c>
      <c r="L1603" s="33" t="n">
        <f aca="false">IF(H1603="","",ABS(H1603))</f>
        <v>2</v>
      </c>
      <c r="M1603" s="33" t="n">
        <f aca="false">IF(I1603="","",ABS(I1603))</f>
        <v>3.75</v>
      </c>
      <c r="N1603" s="33" t="n">
        <f aca="false">IF(J1603="","",ABS(J1603))</f>
        <v>3.75</v>
      </c>
      <c r="O1603" s="33" t="n">
        <f aca="false">IF(K1603="","",ABS(K1603))</f>
        <v>3.56236914427155</v>
      </c>
      <c r="P1603" s="34" t="str">
        <f aca="false">IF(B1603&gt;=Eval_Start_Week,"YES","")</f>
        <v/>
      </c>
      <c r="Q1603" s="34" t="str">
        <f aca="false">IF(AND(B1603&gt;=Cal_Start_Week,B1603&lt;=Cal_End_Week),"YES","")</f>
        <v>YES</v>
      </c>
    </row>
    <row r="1604" customFormat="false" ht="15" hidden="false" customHeight="false" outlineLevel="0" collapsed="false">
      <c r="A1604" s="31" t="str">
        <f aca="false">Demand_History!C1604</f>
        <v>BTH-006</v>
      </c>
      <c r="B1604" s="31" t="n">
        <f aca="false">Demand_History!A1604</f>
        <v>43</v>
      </c>
      <c r="C1604" s="32" t="n">
        <f aca="false">Demand_History!D1604</f>
        <v>34</v>
      </c>
      <c r="D1604" s="33" t="n">
        <f aca="false">IF(B1604&gt;=2,C1603,"")</f>
        <v>32</v>
      </c>
      <c r="E1604" s="33" t="n">
        <f aca="false">IF(B1604&gt;=5,AVERAGE(C1600:C1603),"")</f>
        <v>34.25</v>
      </c>
      <c r="F1604" s="33" t="n">
        <f aca="false">IF(B1604&gt;=9,AVERAGE(C1596:C1603),"")</f>
        <v>35.875</v>
      </c>
      <c r="G1604" s="33" t="n">
        <f aca="false">IF(B1604=1,"",IF(B1604=2,C1603,SES_Alpha*C1603+(1-SES_Alpha)*G1603))</f>
        <v>34.4936584009901</v>
      </c>
      <c r="H1604" s="33" t="n">
        <f aca="false">IF(D1604="","",D1604-C1604)</f>
        <v>-2</v>
      </c>
      <c r="I1604" s="33" t="n">
        <f aca="false">IF(E1604="","",E1604-C1604)</f>
        <v>0.25</v>
      </c>
      <c r="J1604" s="33" t="n">
        <f aca="false">IF(F1604="","",F1604-C1604)</f>
        <v>1.875</v>
      </c>
      <c r="K1604" s="33" t="n">
        <f aca="false">IF(G1604="","",G1604-C1604)</f>
        <v>0.493658400990086</v>
      </c>
      <c r="L1604" s="33" t="n">
        <f aca="false">IF(H1604="","",ABS(H1604))</f>
        <v>2</v>
      </c>
      <c r="M1604" s="33" t="n">
        <f aca="false">IF(I1604="","",ABS(I1604))</f>
        <v>0.25</v>
      </c>
      <c r="N1604" s="33" t="n">
        <f aca="false">IF(J1604="","",ABS(J1604))</f>
        <v>1.875</v>
      </c>
      <c r="O1604" s="33" t="n">
        <f aca="false">IF(K1604="","",ABS(K1604))</f>
        <v>0.493658400990086</v>
      </c>
      <c r="P1604" s="34" t="str">
        <f aca="false">IF(B1604&gt;=Eval_Start_Week,"YES","")</f>
        <v/>
      </c>
      <c r="Q1604" s="34" t="str">
        <f aca="false">IF(AND(B1604&gt;=Cal_Start_Week,B1604&lt;=Cal_End_Week),"YES","")</f>
        <v>YES</v>
      </c>
    </row>
    <row r="1605" customFormat="false" ht="15" hidden="false" customHeight="false" outlineLevel="0" collapsed="false">
      <c r="A1605" s="31" t="str">
        <f aca="false">Demand_History!C1605</f>
        <v>BTH-006</v>
      </c>
      <c r="B1605" s="31" t="n">
        <f aca="false">Demand_History!A1605</f>
        <v>44</v>
      </c>
      <c r="C1605" s="32" t="n">
        <f aca="false">Demand_History!D1605</f>
        <v>32</v>
      </c>
      <c r="D1605" s="33" t="n">
        <f aca="false">IF(B1605&gt;=2,C1604,"")</f>
        <v>34</v>
      </c>
      <c r="E1605" s="33" t="n">
        <f aca="false">IF(B1605&gt;=5,AVERAGE(C1601:C1604),"")</f>
        <v>34.75</v>
      </c>
      <c r="F1605" s="33" t="n">
        <f aca="false">IF(B1605&gt;=9,AVERAGE(C1597:C1604),"")</f>
        <v>35.125</v>
      </c>
      <c r="G1605" s="33" t="n">
        <f aca="false">IF(B1605=1,"",IF(B1605=2,C1604,SES_Alpha*C1604+(1-SES_Alpha)*G1604))</f>
        <v>34.3455608806931</v>
      </c>
      <c r="H1605" s="33" t="n">
        <f aca="false">IF(D1605="","",D1605-C1605)</f>
        <v>2</v>
      </c>
      <c r="I1605" s="33" t="n">
        <f aca="false">IF(E1605="","",E1605-C1605)</f>
        <v>2.75</v>
      </c>
      <c r="J1605" s="33" t="n">
        <f aca="false">IF(F1605="","",F1605-C1605)</f>
        <v>3.125</v>
      </c>
      <c r="K1605" s="33" t="n">
        <f aca="false">IF(G1605="","",G1605-C1605)</f>
        <v>2.34556088069306</v>
      </c>
      <c r="L1605" s="33" t="n">
        <f aca="false">IF(H1605="","",ABS(H1605))</f>
        <v>2</v>
      </c>
      <c r="M1605" s="33" t="n">
        <f aca="false">IF(I1605="","",ABS(I1605))</f>
        <v>2.75</v>
      </c>
      <c r="N1605" s="33" t="n">
        <f aca="false">IF(J1605="","",ABS(J1605))</f>
        <v>3.125</v>
      </c>
      <c r="O1605" s="33" t="n">
        <f aca="false">IF(K1605="","",ABS(K1605))</f>
        <v>2.34556088069306</v>
      </c>
      <c r="P1605" s="34" t="str">
        <f aca="false">IF(B1605&gt;=Eval_Start_Week,"YES","")</f>
        <v/>
      </c>
      <c r="Q1605" s="34" t="str">
        <f aca="false">IF(AND(B1605&gt;=Cal_Start_Week,B1605&lt;=Cal_End_Week),"YES","")</f>
        <v>YES</v>
      </c>
    </row>
    <row r="1606" customFormat="false" ht="15" hidden="false" customHeight="false" outlineLevel="0" collapsed="false">
      <c r="A1606" s="31" t="str">
        <f aca="false">Demand_History!C1606</f>
        <v>BTH-006</v>
      </c>
      <c r="B1606" s="31" t="n">
        <f aca="false">Demand_History!A1606</f>
        <v>45</v>
      </c>
      <c r="C1606" s="32" t="n">
        <f aca="false">Demand_History!D1606</f>
        <v>36</v>
      </c>
      <c r="D1606" s="33" t="n">
        <f aca="false">IF(B1606&gt;=2,C1605,"")</f>
        <v>32</v>
      </c>
      <c r="E1606" s="33" t="n">
        <f aca="false">IF(B1606&gt;=5,AVERAGE(C1602:C1605),"")</f>
        <v>33</v>
      </c>
      <c r="F1606" s="33" t="n">
        <f aca="false">IF(B1606&gt;=9,AVERAGE(C1598:C1605),"")</f>
        <v>34.25</v>
      </c>
      <c r="G1606" s="33" t="n">
        <f aca="false">IF(B1606=1,"",IF(B1606=2,C1605,SES_Alpha*C1605+(1-SES_Alpha)*G1605))</f>
        <v>33.6418926164851</v>
      </c>
      <c r="H1606" s="33" t="n">
        <f aca="false">IF(D1606="","",D1606-C1606)</f>
        <v>-4</v>
      </c>
      <c r="I1606" s="33" t="n">
        <f aca="false">IF(E1606="","",E1606-C1606)</f>
        <v>-3</v>
      </c>
      <c r="J1606" s="33" t="n">
        <f aca="false">IF(F1606="","",F1606-C1606)</f>
        <v>-1.75</v>
      </c>
      <c r="K1606" s="33" t="n">
        <f aca="false">IF(G1606="","",G1606-C1606)</f>
        <v>-2.35810738351486</v>
      </c>
      <c r="L1606" s="33" t="n">
        <f aca="false">IF(H1606="","",ABS(H1606))</f>
        <v>4</v>
      </c>
      <c r="M1606" s="33" t="n">
        <f aca="false">IF(I1606="","",ABS(I1606))</f>
        <v>3</v>
      </c>
      <c r="N1606" s="33" t="n">
        <f aca="false">IF(J1606="","",ABS(J1606))</f>
        <v>1.75</v>
      </c>
      <c r="O1606" s="33" t="n">
        <f aca="false">IF(K1606="","",ABS(K1606))</f>
        <v>2.35810738351486</v>
      </c>
      <c r="P1606" s="34" t="str">
        <f aca="false">IF(B1606&gt;=Eval_Start_Week,"YES","")</f>
        <v/>
      </c>
      <c r="Q1606" s="34" t="str">
        <f aca="false">IF(AND(B1606&gt;=Cal_Start_Week,B1606&lt;=Cal_End_Week),"YES","")</f>
        <v>YES</v>
      </c>
    </row>
    <row r="1607" customFormat="false" ht="15" hidden="false" customHeight="false" outlineLevel="0" collapsed="false">
      <c r="A1607" s="31" t="str">
        <f aca="false">Demand_History!C1607</f>
        <v>BTH-006</v>
      </c>
      <c r="B1607" s="31" t="n">
        <f aca="false">Demand_History!A1607</f>
        <v>46</v>
      </c>
      <c r="C1607" s="32" t="n">
        <f aca="false">Demand_History!D1607</f>
        <v>36</v>
      </c>
      <c r="D1607" s="33" t="n">
        <f aca="false">IF(B1607&gt;=2,C1606,"")</f>
        <v>36</v>
      </c>
      <c r="E1607" s="33" t="n">
        <f aca="false">IF(B1607&gt;=5,AVERAGE(C1603:C1606),"")</f>
        <v>33.5</v>
      </c>
      <c r="F1607" s="33" t="n">
        <f aca="false">IF(B1607&gt;=9,AVERAGE(C1599:C1606),"")</f>
        <v>34.625</v>
      </c>
      <c r="G1607" s="33" t="n">
        <f aca="false">IF(B1607=1,"",IF(B1607=2,C1606,SES_Alpha*C1606+(1-SES_Alpha)*G1606))</f>
        <v>34.3493248315396</v>
      </c>
      <c r="H1607" s="33" t="n">
        <f aca="false">IF(D1607="","",D1607-C1607)</f>
        <v>0</v>
      </c>
      <c r="I1607" s="33" t="n">
        <f aca="false">IF(E1607="","",E1607-C1607)</f>
        <v>-2.5</v>
      </c>
      <c r="J1607" s="33" t="n">
        <f aca="false">IF(F1607="","",F1607-C1607)</f>
        <v>-1.375</v>
      </c>
      <c r="K1607" s="33" t="n">
        <f aca="false">IF(G1607="","",G1607-C1607)</f>
        <v>-1.65067516846041</v>
      </c>
      <c r="L1607" s="33" t="n">
        <f aca="false">IF(H1607="","",ABS(H1607))</f>
        <v>0</v>
      </c>
      <c r="M1607" s="33" t="n">
        <f aca="false">IF(I1607="","",ABS(I1607))</f>
        <v>2.5</v>
      </c>
      <c r="N1607" s="33" t="n">
        <f aca="false">IF(J1607="","",ABS(J1607))</f>
        <v>1.375</v>
      </c>
      <c r="O1607" s="33" t="n">
        <f aca="false">IF(K1607="","",ABS(K1607))</f>
        <v>1.65067516846041</v>
      </c>
      <c r="P1607" s="34" t="str">
        <f aca="false">IF(B1607&gt;=Eval_Start_Week,"YES","")</f>
        <v/>
      </c>
      <c r="Q1607" s="34" t="str">
        <f aca="false">IF(AND(B1607&gt;=Cal_Start_Week,B1607&lt;=Cal_End_Week),"YES","")</f>
        <v>YES</v>
      </c>
    </row>
    <row r="1608" customFormat="false" ht="15" hidden="false" customHeight="false" outlineLevel="0" collapsed="false">
      <c r="A1608" s="31" t="str">
        <f aca="false">Demand_History!C1608</f>
        <v>BTH-006</v>
      </c>
      <c r="B1608" s="31" t="n">
        <f aca="false">Demand_History!A1608</f>
        <v>47</v>
      </c>
      <c r="C1608" s="32" t="n">
        <f aca="false">Demand_History!D1608</f>
        <v>35</v>
      </c>
      <c r="D1608" s="33" t="n">
        <f aca="false">IF(B1608&gt;=2,C1607,"")</f>
        <v>36</v>
      </c>
      <c r="E1608" s="33" t="n">
        <f aca="false">IF(B1608&gt;=5,AVERAGE(C1604:C1607),"")</f>
        <v>34.5</v>
      </c>
      <c r="F1608" s="33" t="n">
        <f aca="false">IF(B1608&gt;=9,AVERAGE(C1600:C1607),"")</f>
        <v>34.375</v>
      </c>
      <c r="G1608" s="33" t="n">
        <f aca="false">IF(B1608=1,"",IF(B1608=2,C1607,SES_Alpha*C1607+(1-SES_Alpha)*G1607))</f>
        <v>34.8445273820777</v>
      </c>
      <c r="H1608" s="33" t="n">
        <f aca="false">IF(D1608="","",D1608-C1608)</f>
        <v>1</v>
      </c>
      <c r="I1608" s="33" t="n">
        <f aca="false">IF(E1608="","",E1608-C1608)</f>
        <v>-0.5</v>
      </c>
      <c r="J1608" s="33" t="n">
        <f aca="false">IF(F1608="","",F1608-C1608)</f>
        <v>-0.625</v>
      </c>
      <c r="K1608" s="33" t="n">
        <f aca="false">IF(G1608="","",G1608-C1608)</f>
        <v>-0.155472617922293</v>
      </c>
      <c r="L1608" s="33" t="n">
        <f aca="false">IF(H1608="","",ABS(H1608))</f>
        <v>1</v>
      </c>
      <c r="M1608" s="33" t="n">
        <f aca="false">IF(I1608="","",ABS(I1608))</f>
        <v>0.5</v>
      </c>
      <c r="N1608" s="33" t="n">
        <f aca="false">IF(J1608="","",ABS(J1608))</f>
        <v>0.625</v>
      </c>
      <c r="O1608" s="33" t="n">
        <f aca="false">IF(K1608="","",ABS(K1608))</f>
        <v>0.155472617922293</v>
      </c>
      <c r="P1608" s="34" t="str">
        <f aca="false">IF(B1608&gt;=Eval_Start_Week,"YES","")</f>
        <v/>
      </c>
      <c r="Q1608" s="34" t="str">
        <f aca="false">IF(AND(B1608&gt;=Cal_Start_Week,B1608&lt;=Cal_End_Week),"YES","")</f>
        <v>YES</v>
      </c>
    </row>
    <row r="1609" customFormat="false" ht="15" hidden="false" customHeight="false" outlineLevel="0" collapsed="false">
      <c r="A1609" s="31" t="str">
        <f aca="false">Demand_History!C1609</f>
        <v>BTH-006</v>
      </c>
      <c r="B1609" s="31" t="n">
        <f aca="false">Demand_History!A1609</f>
        <v>48</v>
      </c>
      <c r="C1609" s="32" t="n">
        <f aca="false">Demand_History!D1609</f>
        <v>33</v>
      </c>
      <c r="D1609" s="33" t="n">
        <f aca="false">IF(B1609&gt;=2,C1608,"")</f>
        <v>35</v>
      </c>
      <c r="E1609" s="33" t="n">
        <f aca="false">IF(B1609&gt;=5,AVERAGE(C1605:C1608),"")</f>
        <v>34.75</v>
      </c>
      <c r="F1609" s="33" t="n">
        <f aca="false">IF(B1609&gt;=9,AVERAGE(C1601:C1608),"")</f>
        <v>34.75</v>
      </c>
      <c r="G1609" s="33" t="n">
        <f aca="false">IF(B1609=1,"",IF(B1609=2,C1608,SES_Alpha*C1608+(1-SES_Alpha)*G1608))</f>
        <v>34.8911691674544</v>
      </c>
      <c r="H1609" s="33" t="n">
        <f aca="false">IF(D1609="","",D1609-C1609)</f>
        <v>2</v>
      </c>
      <c r="I1609" s="33" t="n">
        <f aca="false">IF(E1609="","",E1609-C1609)</f>
        <v>1.75</v>
      </c>
      <c r="J1609" s="33" t="n">
        <f aca="false">IF(F1609="","",F1609-C1609)</f>
        <v>1.75</v>
      </c>
      <c r="K1609" s="33" t="n">
        <f aca="false">IF(G1609="","",G1609-C1609)</f>
        <v>1.89116916745439</v>
      </c>
      <c r="L1609" s="33" t="n">
        <f aca="false">IF(H1609="","",ABS(H1609))</f>
        <v>2</v>
      </c>
      <c r="M1609" s="33" t="n">
        <f aca="false">IF(I1609="","",ABS(I1609))</f>
        <v>1.75</v>
      </c>
      <c r="N1609" s="33" t="n">
        <f aca="false">IF(J1609="","",ABS(J1609))</f>
        <v>1.75</v>
      </c>
      <c r="O1609" s="33" t="n">
        <f aca="false">IF(K1609="","",ABS(K1609))</f>
        <v>1.89116916745439</v>
      </c>
      <c r="P1609" s="34" t="str">
        <f aca="false">IF(B1609&gt;=Eval_Start_Week,"YES","")</f>
        <v/>
      </c>
      <c r="Q1609" s="34" t="str">
        <f aca="false">IF(AND(B1609&gt;=Cal_Start_Week,B1609&lt;=Cal_End_Week),"YES","")</f>
        <v>YES</v>
      </c>
    </row>
    <row r="1610" customFormat="false" ht="15" hidden="false" customHeight="false" outlineLevel="0" collapsed="false">
      <c r="A1610" s="31" t="str">
        <f aca="false">Demand_History!C1610</f>
        <v>BTH-006</v>
      </c>
      <c r="B1610" s="31" t="n">
        <f aca="false">Demand_History!A1610</f>
        <v>49</v>
      </c>
      <c r="C1610" s="32" t="n">
        <f aca="false">Demand_History!D1610</f>
        <v>22</v>
      </c>
      <c r="D1610" s="33" t="n">
        <f aca="false">IF(B1610&gt;=2,C1609,"")</f>
        <v>33</v>
      </c>
      <c r="E1610" s="33" t="n">
        <f aca="false">IF(B1610&gt;=5,AVERAGE(C1606:C1609),"")</f>
        <v>35</v>
      </c>
      <c r="F1610" s="33" t="n">
        <f aca="false">IF(B1610&gt;=9,AVERAGE(C1602:C1609),"")</f>
        <v>34</v>
      </c>
      <c r="G1610" s="33" t="n">
        <f aca="false">IF(B1610=1,"",IF(B1610=2,C1609,SES_Alpha*C1609+(1-SES_Alpha)*G1609))</f>
        <v>34.3238184172181</v>
      </c>
      <c r="H1610" s="33" t="n">
        <f aca="false">IF(D1610="","",D1610-C1610)</f>
        <v>11</v>
      </c>
      <c r="I1610" s="33" t="n">
        <f aca="false">IF(E1610="","",E1610-C1610)</f>
        <v>13</v>
      </c>
      <c r="J1610" s="33" t="n">
        <f aca="false">IF(F1610="","",F1610-C1610)</f>
        <v>12</v>
      </c>
      <c r="K1610" s="33" t="n">
        <f aca="false">IF(G1610="","",G1610-C1610)</f>
        <v>12.3238184172181</v>
      </c>
      <c r="L1610" s="33" t="n">
        <f aca="false">IF(H1610="","",ABS(H1610))</f>
        <v>11</v>
      </c>
      <c r="M1610" s="33" t="n">
        <f aca="false">IF(I1610="","",ABS(I1610))</f>
        <v>13</v>
      </c>
      <c r="N1610" s="33" t="n">
        <f aca="false">IF(J1610="","",ABS(J1610))</f>
        <v>12</v>
      </c>
      <c r="O1610" s="33" t="n">
        <f aca="false">IF(K1610="","",ABS(K1610))</f>
        <v>12.3238184172181</v>
      </c>
      <c r="P1610" s="34" t="str">
        <f aca="false">IF(B1610&gt;=Eval_Start_Week,"YES","")</f>
        <v/>
      </c>
      <c r="Q1610" s="34" t="str">
        <f aca="false">IF(AND(B1610&gt;=Cal_Start_Week,B1610&lt;=Cal_End_Week),"YES","")</f>
        <v>YES</v>
      </c>
    </row>
    <row r="1611" customFormat="false" ht="15" hidden="false" customHeight="false" outlineLevel="0" collapsed="false">
      <c r="A1611" s="31" t="str">
        <f aca="false">Demand_History!C1611</f>
        <v>BTH-006</v>
      </c>
      <c r="B1611" s="31" t="n">
        <f aca="false">Demand_History!A1611</f>
        <v>50</v>
      </c>
      <c r="C1611" s="32" t="n">
        <f aca="false">Demand_History!D1611</f>
        <v>35</v>
      </c>
      <c r="D1611" s="33" t="n">
        <f aca="false">IF(B1611&gt;=2,C1610,"")</f>
        <v>22</v>
      </c>
      <c r="E1611" s="33" t="n">
        <f aca="false">IF(B1611&gt;=5,AVERAGE(C1607:C1610),"")</f>
        <v>31.5</v>
      </c>
      <c r="F1611" s="33" t="n">
        <f aca="false">IF(B1611&gt;=9,AVERAGE(C1603:C1610),"")</f>
        <v>32.5</v>
      </c>
      <c r="G1611" s="33" t="n">
        <f aca="false">IF(B1611=1,"",IF(B1611=2,C1610,SES_Alpha*C1610+(1-SES_Alpha)*G1610))</f>
        <v>30.6266728920526</v>
      </c>
      <c r="H1611" s="33" t="n">
        <f aca="false">IF(D1611="","",D1611-C1611)</f>
        <v>-13</v>
      </c>
      <c r="I1611" s="33" t="n">
        <f aca="false">IF(E1611="","",E1611-C1611)</f>
        <v>-3.5</v>
      </c>
      <c r="J1611" s="33" t="n">
        <f aca="false">IF(F1611="","",F1611-C1611)</f>
        <v>-2.5</v>
      </c>
      <c r="K1611" s="33" t="n">
        <f aca="false">IF(G1611="","",G1611-C1611)</f>
        <v>-4.37332710794735</v>
      </c>
      <c r="L1611" s="33" t="n">
        <f aca="false">IF(H1611="","",ABS(H1611))</f>
        <v>13</v>
      </c>
      <c r="M1611" s="33" t="n">
        <f aca="false">IF(I1611="","",ABS(I1611))</f>
        <v>3.5</v>
      </c>
      <c r="N1611" s="33" t="n">
        <f aca="false">IF(J1611="","",ABS(J1611))</f>
        <v>2.5</v>
      </c>
      <c r="O1611" s="33" t="n">
        <f aca="false">IF(K1611="","",ABS(K1611))</f>
        <v>4.37332710794735</v>
      </c>
      <c r="P1611" s="34" t="str">
        <f aca="false">IF(B1611&gt;=Eval_Start_Week,"YES","")</f>
        <v/>
      </c>
      <c r="Q1611" s="34" t="str">
        <f aca="false">IF(AND(B1611&gt;=Cal_Start_Week,B1611&lt;=Cal_End_Week),"YES","")</f>
        <v>YES</v>
      </c>
    </row>
    <row r="1612" customFormat="false" ht="15" hidden="false" customHeight="false" outlineLevel="0" collapsed="false">
      <c r="A1612" s="31" t="str">
        <f aca="false">Demand_History!C1612</f>
        <v>BTH-006</v>
      </c>
      <c r="B1612" s="31" t="n">
        <f aca="false">Demand_History!A1612</f>
        <v>51</v>
      </c>
      <c r="C1612" s="32" t="n">
        <f aca="false">Demand_History!D1612</f>
        <v>28</v>
      </c>
      <c r="D1612" s="33" t="n">
        <f aca="false">IF(B1612&gt;=2,C1611,"")</f>
        <v>35</v>
      </c>
      <c r="E1612" s="33" t="n">
        <f aca="false">IF(B1612&gt;=5,AVERAGE(C1608:C1611),"")</f>
        <v>31.25</v>
      </c>
      <c r="F1612" s="33" t="n">
        <f aca="false">IF(B1612&gt;=9,AVERAGE(C1604:C1611),"")</f>
        <v>32.875</v>
      </c>
      <c r="G1612" s="33" t="n">
        <f aca="false">IF(B1612=1,"",IF(B1612=2,C1611,SES_Alpha*C1611+(1-SES_Alpha)*G1611))</f>
        <v>31.9386710244369</v>
      </c>
      <c r="H1612" s="33" t="n">
        <f aca="false">IF(D1612="","",D1612-C1612)</f>
        <v>7</v>
      </c>
      <c r="I1612" s="33" t="n">
        <f aca="false">IF(E1612="","",E1612-C1612)</f>
        <v>3.25</v>
      </c>
      <c r="J1612" s="33" t="n">
        <f aca="false">IF(F1612="","",F1612-C1612)</f>
        <v>4.875</v>
      </c>
      <c r="K1612" s="33" t="n">
        <f aca="false">IF(G1612="","",G1612-C1612)</f>
        <v>3.93867102443685</v>
      </c>
      <c r="L1612" s="33" t="n">
        <f aca="false">IF(H1612="","",ABS(H1612))</f>
        <v>7</v>
      </c>
      <c r="M1612" s="33" t="n">
        <f aca="false">IF(I1612="","",ABS(I1612))</f>
        <v>3.25</v>
      </c>
      <c r="N1612" s="33" t="n">
        <f aca="false">IF(J1612="","",ABS(J1612))</f>
        <v>4.875</v>
      </c>
      <c r="O1612" s="33" t="n">
        <f aca="false">IF(K1612="","",ABS(K1612))</f>
        <v>3.93867102443685</v>
      </c>
      <c r="P1612" s="34" t="str">
        <f aca="false">IF(B1612&gt;=Eval_Start_Week,"YES","")</f>
        <v/>
      </c>
      <c r="Q1612" s="34" t="str">
        <f aca="false">IF(AND(B1612&gt;=Cal_Start_Week,B1612&lt;=Cal_End_Week),"YES","")</f>
        <v>YES</v>
      </c>
    </row>
    <row r="1613" customFormat="false" ht="15" hidden="false" customHeight="false" outlineLevel="0" collapsed="false">
      <c r="A1613" s="31" t="str">
        <f aca="false">Demand_History!C1613</f>
        <v>BTH-006</v>
      </c>
      <c r="B1613" s="31" t="n">
        <f aca="false">Demand_History!A1613</f>
        <v>52</v>
      </c>
      <c r="C1613" s="32" t="n">
        <f aca="false">Demand_History!D1613</f>
        <v>36</v>
      </c>
      <c r="D1613" s="33" t="n">
        <f aca="false">IF(B1613&gt;=2,C1612,"")</f>
        <v>28</v>
      </c>
      <c r="E1613" s="33" t="n">
        <f aca="false">IF(B1613&gt;=5,AVERAGE(C1609:C1612),"")</f>
        <v>29.5</v>
      </c>
      <c r="F1613" s="33" t="n">
        <f aca="false">IF(B1613&gt;=9,AVERAGE(C1605:C1612),"")</f>
        <v>32.125</v>
      </c>
      <c r="G1613" s="33" t="n">
        <f aca="false">IF(B1613=1,"",IF(B1613=2,C1612,SES_Alpha*C1612+(1-SES_Alpha)*G1612))</f>
        <v>30.7570697171058</v>
      </c>
      <c r="H1613" s="33" t="n">
        <f aca="false">IF(D1613="","",D1613-C1613)</f>
        <v>-8</v>
      </c>
      <c r="I1613" s="33" t="n">
        <f aca="false">IF(E1613="","",E1613-C1613)</f>
        <v>-6.5</v>
      </c>
      <c r="J1613" s="33" t="n">
        <f aca="false">IF(F1613="","",F1613-C1613)</f>
        <v>-3.875</v>
      </c>
      <c r="K1613" s="33" t="n">
        <f aca="false">IF(G1613="","",G1613-C1613)</f>
        <v>-5.24293028289421</v>
      </c>
      <c r="L1613" s="33" t="n">
        <f aca="false">IF(H1613="","",ABS(H1613))</f>
        <v>8</v>
      </c>
      <c r="M1613" s="33" t="n">
        <f aca="false">IF(I1613="","",ABS(I1613))</f>
        <v>6.5</v>
      </c>
      <c r="N1613" s="33" t="n">
        <f aca="false">IF(J1613="","",ABS(J1613))</f>
        <v>3.875</v>
      </c>
      <c r="O1613" s="33" t="n">
        <f aca="false">IF(K1613="","",ABS(K1613))</f>
        <v>5.24293028289421</v>
      </c>
      <c r="P1613" s="34" t="str">
        <f aca="false">IF(B1613&gt;=Eval_Start_Week,"YES","")</f>
        <v/>
      </c>
      <c r="Q1613" s="34" t="str">
        <f aca="false">IF(AND(B1613&gt;=Cal_Start_Week,B1613&lt;=Cal_End_Week),"YES","")</f>
        <v>YES</v>
      </c>
    </row>
    <row r="1614" customFormat="false" ht="15" hidden="false" customHeight="false" outlineLevel="0" collapsed="false">
      <c r="A1614" s="31" t="str">
        <f aca="false">Demand_History!C1614</f>
        <v>BTH-006</v>
      </c>
      <c r="B1614" s="31" t="n">
        <f aca="false">Demand_History!A1614</f>
        <v>53</v>
      </c>
      <c r="C1614" s="32" t="n">
        <f aca="false">Demand_History!D1614</f>
        <v>39</v>
      </c>
      <c r="D1614" s="33" t="n">
        <f aca="false">IF(B1614&gt;=2,C1613,"")</f>
        <v>36</v>
      </c>
      <c r="E1614" s="33" t="n">
        <f aca="false">IF(B1614&gt;=5,AVERAGE(C1610:C1613),"")</f>
        <v>30.25</v>
      </c>
      <c r="F1614" s="33" t="n">
        <f aca="false">IF(B1614&gt;=9,AVERAGE(C1606:C1613),"")</f>
        <v>32.625</v>
      </c>
      <c r="G1614" s="33" t="n">
        <f aca="false">IF(B1614=1,"",IF(B1614=2,C1613,SES_Alpha*C1613+(1-SES_Alpha)*G1613))</f>
        <v>32.3299488019741</v>
      </c>
      <c r="H1614" s="33" t="n">
        <f aca="false">IF(D1614="","",D1614-C1614)</f>
        <v>-3</v>
      </c>
      <c r="I1614" s="33" t="n">
        <f aca="false">IF(E1614="","",E1614-C1614)</f>
        <v>-8.75</v>
      </c>
      <c r="J1614" s="33" t="n">
        <f aca="false">IF(F1614="","",F1614-C1614)</f>
        <v>-6.375</v>
      </c>
      <c r="K1614" s="33" t="n">
        <f aca="false">IF(G1614="","",G1614-C1614)</f>
        <v>-6.67005119802595</v>
      </c>
      <c r="L1614" s="33" t="n">
        <f aca="false">IF(H1614="","",ABS(H1614))</f>
        <v>3</v>
      </c>
      <c r="M1614" s="33" t="n">
        <f aca="false">IF(I1614="","",ABS(I1614))</f>
        <v>8.75</v>
      </c>
      <c r="N1614" s="33" t="n">
        <f aca="false">IF(J1614="","",ABS(J1614))</f>
        <v>6.375</v>
      </c>
      <c r="O1614" s="33" t="n">
        <f aca="false">IF(K1614="","",ABS(K1614))</f>
        <v>6.67005119802595</v>
      </c>
      <c r="P1614" s="34" t="str">
        <f aca="false">IF(B1614&gt;=Eval_Start_Week,"YES","")</f>
        <v>YES</v>
      </c>
      <c r="Q1614" s="34" t="str">
        <f aca="false">IF(AND(B1614&gt;=Cal_Start_Week,B1614&lt;=Cal_End_Week),"YES","")</f>
        <v>YES</v>
      </c>
    </row>
    <row r="1615" customFormat="false" ht="15" hidden="false" customHeight="false" outlineLevel="0" collapsed="false">
      <c r="A1615" s="31" t="str">
        <f aca="false">Demand_History!C1615</f>
        <v>BTH-006</v>
      </c>
      <c r="B1615" s="31" t="n">
        <f aca="false">Demand_History!A1615</f>
        <v>54</v>
      </c>
      <c r="C1615" s="32" t="n">
        <f aca="false">Demand_History!D1615</f>
        <v>36</v>
      </c>
      <c r="D1615" s="33" t="n">
        <f aca="false">IF(B1615&gt;=2,C1614,"")</f>
        <v>39</v>
      </c>
      <c r="E1615" s="33" t="n">
        <f aca="false">IF(B1615&gt;=5,AVERAGE(C1611:C1614),"")</f>
        <v>34.5</v>
      </c>
      <c r="F1615" s="33" t="n">
        <f aca="false">IF(B1615&gt;=9,AVERAGE(C1607:C1614),"")</f>
        <v>33</v>
      </c>
      <c r="G1615" s="33" t="n">
        <f aca="false">IF(B1615=1,"",IF(B1615=2,C1614,SES_Alpha*C1614+(1-SES_Alpha)*G1614))</f>
        <v>34.3309641613818</v>
      </c>
      <c r="H1615" s="33" t="n">
        <f aca="false">IF(D1615="","",D1615-C1615)</f>
        <v>3</v>
      </c>
      <c r="I1615" s="33" t="n">
        <f aca="false">IF(E1615="","",E1615-C1615)</f>
        <v>-1.5</v>
      </c>
      <c r="J1615" s="33" t="n">
        <f aca="false">IF(F1615="","",F1615-C1615)</f>
        <v>-3</v>
      </c>
      <c r="K1615" s="33" t="n">
        <f aca="false">IF(G1615="","",G1615-C1615)</f>
        <v>-1.66903583861816</v>
      </c>
      <c r="L1615" s="33" t="n">
        <f aca="false">IF(H1615="","",ABS(H1615))</f>
        <v>3</v>
      </c>
      <c r="M1615" s="33" t="n">
        <f aca="false">IF(I1615="","",ABS(I1615))</f>
        <v>1.5</v>
      </c>
      <c r="N1615" s="33" t="n">
        <f aca="false">IF(J1615="","",ABS(J1615))</f>
        <v>3</v>
      </c>
      <c r="O1615" s="33" t="n">
        <f aca="false">IF(K1615="","",ABS(K1615))</f>
        <v>1.66903583861816</v>
      </c>
      <c r="P1615" s="34" t="str">
        <f aca="false">IF(B1615&gt;=Eval_Start_Week,"YES","")</f>
        <v>YES</v>
      </c>
      <c r="Q1615" s="34" t="str">
        <f aca="false">IF(AND(B1615&gt;=Cal_Start_Week,B1615&lt;=Cal_End_Week),"YES","")</f>
        <v>YES</v>
      </c>
    </row>
    <row r="1616" customFormat="false" ht="15" hidden="false" customHeight="false" outlineLevel="0" collapsed="false">
      <c r="A1616" s="31" t="str">
        <f aca="false">Demand_History!C1616</f>
        <v>BTH-006</v>
      </c>
      <c r="B1616" s="31" t="n">
        <f aca="false">Demand_History!A1616</f>
        <v>55</v>
      </c>
      <c r="C1616" s="32" t="n">
        <f aca="false">Demand_History!D1616</f>
        <v>34</v>
      </c>
      <c r="D1616" s="33" t="n">
        <f aca="false">IF(B1616&gt;=2,C1615,"")</f>
        <v>36</v>
      </c>
      <c r="E1616" s="33" t="n">
        <f aca="false">IF(B1616&gt;=5,AVERAGE(C1612:C1615),"")</f>
        <v>34.75</v>
      </c>
      <c r="F1616" s="33" t="n">
        <f aca="false">IF(B1616&gt;=9,AVERAGE(C1608:C1615),"")</f>
        <v>33</v>
      </c>
      <c r="G1616" s="33" t="n">
        <f aca="false">IF(B1616=1,"",IF(B1616=2,C1615,SES_Alpha*C1615+(1-SES_Alpha)*G1615))</f>
        <v>34.8316749129673</v>
      </c>
      <c r="H1616" s="33" t="n">
        <f aca="false">IF(D1616="","",D1616-C1616)</f>
        <v>2</v>
      </c>
      <c r="I1616" s="33" t="n">
        <f aca="false">IF(E1616="","",E1616-C1616)</f>
        <v>0.75</v>
      </c>
      <c r="J1616" s="33" t="n">
        <f aca="false">IF(F1616="","",F1616-C1616)</f>
        <v>-1</v>
      </c>
      <c r="K1616" s="33" t="n">
        <f aca="false">IF(G1616="","",G1616-C1616)</f>
        <v>0.83167491296728</v>
      </c>
      <c r="L1616" s="33" t="n">
        <f aca="false">IF(H1616="","",ABS(H1616))</f>
        <v>2</v>
      </c>
      <c r="M1616" s="33" t="n">
        <f aca="false">IF(I1616="","",ABS(I1616))</f>
        <v>0.75</v>
      </c>
      <c r="N1616" s="33" t="n">
        <f aca="false">IF(J1616="","",ABS(J1616))</f>
        <v>1</v>
      </c>
      <c r="O1616" s="33" t="n">
        <f aca="false">IF(K1616="","",ABS(K1616))</f>
        <v>0.83167491296728</v>
      </c>
      <c r="P1616" s="34" t="str">
        <f aca="false">IF(B1616&gt;=Eval_Start_Week,"YES","")</f>
        <v>YES</v>
      </c>
      <c r="Q1616" s="34" t="str">
        <f aca="false">IF(AND(B1616&gt;=Cal_Start_Week,B1616&lt;=Cal_End_Week),"YES","")</f>
        <v>YES</v>
      </c>
    </row>
    <row r="1617" customFormat="false" ht="15" hidden="false" customHeight="false" outlineLevel="0" collapsed="false">
      <c r="A1617" s="31" t="str">
        <f aca="false">Demand_History!C1617</f>
        <v>BTH-006</v>
      </c>
      <c r="B1617" s="31" t="n">
        <f aca="false">Demand_History!A1617</f>
        <v>56</v>
      </c>
      <c r="C1617" s="32" t="n">
        <f aca="false">Demand_History!D1617</f>
        <v>34</v>
      </c>
      <c r="D1617" s="33" t="n">
        <f aca="false">IF(B1617&gt;=2,C1616,"")</f>
        <v>34</v>
      </c>
      <c r="E1617" s="33" t="n">
        <f aca="false">IF(B1617&gt;=5,AVERAGE(C1613:C1616),"")</f>
        <v>36.25</v>
      </c>
      <c r="F1617" s="33" t="n">
        <f aca="false">IF(B1617&gt;=9,AVERAGE(C1609:C1616),"")</f>
        <v>32.875</v>
      </c>
      <c r="G1617" s="33" t="n">
        <f aca="false">IF(B1617=1,"",IF(B1617=2,C1616,SES_Alpha*C1616+(1-SES_Alpha)*G1616))</f>
        <v>34.5821724390771</v>
      </c>
      <c r="H1617" s="33" t="n">
        <f aca="false">IF(D1617="","",D1617-C1617)</f>
        <v>0</v>
      </c>
      <c r="I1617" s="33" t="n">
        <f aca="false">IF(E1617="","",E1617-C1617)</f>
        <v>2.25</v>
      </c>
      <c r="J1617" s="33" t="n">
        <f aca="false">IF(F1617="","",F1617-C1617)</f>
        <v>-1.125</v>
      </c>
      <c r="K1617" s="33" t="n">
        <f aca="false">IF(G1617="","",G1617-C1617)</f>
        <v>0.582172439077098</v>
      </c>
      <c r="L1617" s="33" t="n">
        <f aca="false">IF(H1617="","",ABS(H1617))</f>
        <v>0</v>
      </c>
      <c r="M1617" s="33" t="n">
        <f aca="false">IF(I1617="","",ABS(I1617))</f>
        <v>2.25</v>
      </c>
      <c r="N1617" s="33" t="n">
        <f aca="false">IF(J1617="","",ABS(J1617))</f>
        <v>1.125</v>
      </c>
      <c r="O1617" s="33" t="n">
        <f aca="false">IF(K1617="","",ABS(K1617))</f>
        <v>0.582172439077098</v>
      </c>
      <c r="P1617" s="34" t="str">
        <f aca="false">IF(B1617&gt;=Eval_Start_Week,"YES","")</f>
        <v>YES</v>
      </c>
      <c r="Q1617" s="34" t="str">
        <f aca="false">IF(AND(B1617&gt;=Cal_Start_Week,B1617&lt;=Cal_End_Week),"YES","")</f>
        <v>YES</v>
      </c>
    </row>
    <row r="1618" customFormat="false" ht="15" hidden="false" customHeight="false" outlineLevel="0" collapsed="false">
      <c r="A1618" s="31" t="str">
        <f aca="false">Demand_History!C1618</f>
        <v>BTH-006</v>
      </c>
      <c r="B1618" s="31" t="n">
        <f aca="false">Demand_History!A1618</f>
        <v>57</v>
      </c>
      <c r="C1618" s="32" t="n">
        <f aca="false">Demand_History!D1618</f>
        <v>35</v>
      </c>
      <c r="D1618" s="33" t="n">
        <f aca="false">IF(B1618&gt;=2,C1617,"")</f>
        <v>34</v>
      </c>
      <c r="E1618" s="33" t="n">
        <f aca="false">IF(B1618&gt;=5,AVERAGE(C1614:C1617),"")</f>
        <v>35.75</v>
      </c>
      <c r="F1618" s="33" t="n">
        <f aca="false">IF(B1618&gt;=9,AVERAGE(C1610:C1617),"")</f>
        <v>33</v>
      </c>
      <c r="G1618" s="33" t="n">
        <f aca="false">IF(B1618=1,"",IF(B1618=2,C1617,SES_Alpha*C1617+(1-SES_Alpha)*G1617))</f>
        <v>34.407520707354</v>
      </c>
      <c r="H1618" s="33" t="n">
        <f aca="false">IF(D1618="","",D1618-C1618)</f>
        <v>-1</v>
      </c>
      <c r="I1618" s="33" t="n">
        <f aca="false">IF(E1618="","",E1618-C1618)</f>
        <v>0.75</v>
      </c>
      <c r="J1618" s="33" t="n">
        <f aca="false">IF(F1618="","",F1618-C1618)</f>
        <v>-2</v>
      </c>
      <c r="K1618" s="33" t="n">
        <f aca="false">IF(G1618="","",G1618-C1618)</f>
        <v>-0.592479292646033</v>
      </c>
      <c r="L1618" s="33" t="n">
        <f aca="false">IF(H1618="","",ABS(H1618))</f>
        <v>1</v>
      </c>
      <c r="M1618" s="33" t="n">
        <f aca="false">IF(I1618="","",ABS(I1618))</f>
        <v>0.75</v>
      </c>
      <c r="N1618" s="33" t="n">
        <f aca="false">IF(J1618="","",ABS(J1618))</f>
        <v>2</v>
      </c>
      <c r="O1618" s="33" t="n">
        <f aca="false">IF(K1618="","",ABS(K1618))</f>
        <v>0.592479292646033</v>
      </c>
      <c r="P1618" s="34" t="str">
        <f aca="false">IF(B1618&gt;=Eval_Start_Week,"YES","")</f>
        <v>YES</v>
      </c>
      <c r="Q1618" s="34" t="str">
        <f aca="false">IF(AND(B1618&gt;=Cal_Start_Week,B1618&lt;=Cal_End_Week),"YES","")</f>
        <v>YES</v>
      </c>
    </row>
    <row r="1619" customFormat="false" ht="15" hidden="false" customHeight="false" outlineLevel="0" collapsed="false">
      <c r="A1619" s="31" t="str">
        <f aca="false">Demand_History!C1619</f>
        <v>BTH-006</v>
      </c>
      <c r="B1619" s="31" t="n">
        <f aca="false">Demand_History!A1619</f>
        <v>58</v>
      </c>
      <c r="C1619" s="32" t="n">
        <f aca="false">Demand_History!D1619</f>
        <v>33</v>
      </c>
      <c r="D1619" s="33" t="n">
        <f aca="false">IF(B1619&gt;=2,C1618,"")</f>
        <v>35</v>
      </c>
      <c r="E1619" s="33" t="n">
        <f aca="false">IF(B1619&gt;=5,AVERAGE(C1615:C1618),"")</f>
        <v>34.75</v>
      </c>
      <c r="F1619" s="33" t="n">
        <f aca="false">IF(B1619&gt;=9,AVERAGE(C1611:C1618),"")</f>
        <v>34.625</v>
      </c>
      <c r="G1619" s="33" t="n">
        <f aca="false">IF(B1619=1,"",IF(B1619=2,C1618,SES_Alpha*C1618+(1-SES_Alpha)*G1618))</f>
        <v>34.5852644951478</v>
      </c>
      <c r="H1619" s="33" t="n">
        <f aca="false">IF(D1619="","",D1619-C1619)</f>
        <v>2</v>
      </c>
      <c r="I1619" s="33" t="n">
        <f aca="false">IF(E1619="","",E1619-C1619)</f>
        <v>1.75</v>
      </c>
      <c r="J1619" s="33" t="n">
        <f aca="false">IF(F1619="","",F1619-C1619)</f>
        <v>1.625</v>
      </c>
      <c r="K1619" s="33" t="n">
        <f aca="false">IF(G1619="","",G1619-C1619)</f>
        <v>1.58526449514778</v>
      </c>
      <c r="L1619" s="33" t="n">
        <f aca="false">IF(H1619="","",ABS(H1619))</f>
        <v>2</v>
      </c>
      <c r="M1619" s="33" t="n">
        <f aca="false">IF(I1619="","",ABS(I1619))</f>
        <v>1.75</v>
      </c>
      <c r="N1619" s="33" t="n">
        <f aca="false">IF(J1619="","",ABS(J1619))</f>
        <v>1.625</v>
      </c>
      <c r="O1619" s="33" t="n">
        <f aca="false">IF(K1619="","",ABS(K1619))</f>
        <v>1.58526449514778</v>
      </c>
      <c r="P1619" s="34" t="str">
        <f aca="false">IF(B1619&gt;=Eval_Start_Week,"YES","")</f>
        <v>YES</v>
      </c>
      <c r="Q1619" s="34" t="str">
        <f aca="false">IF(AND(B1619&gt;=Cal_Start_Week,B1619&lt;=Cal_End_Week),"YES","")</f>
        <v>YES</v>
      </c>
    </row>
    <row r="1620" customFormat="false" ht="15" hidden="false" customHeight="false" outlineLevel="0" collapsed="false">
      <c r="A1620" s="31" t="str">
        <f aca="false">Demand_History!C1620</f>
        <v>BTH-006</v>
      </c>
      <c r="B1620" s="31" t="n">
        <f aca="false">Demand_History!A1620</f>
        <v>59</v>
      </c>
      <c r="C1620" s="32" t="n">
        <f aca="false">Demand_History!D1620</f>
        <v>33</v>
      </c>
      <c r="D1620" s="33" t="n">
        <f aca="false">IF(B1620&gt;=2,C1619,"")</f>
        <v>33</v>
      </c>
      <c r="E1620" s="33" t="n">
        <f aca="false">IF(B1620&gt;=5,AVERAGE(C1616:C1619),"")</f>
        <v>34</v>
      </c>
      <c r="F1620" s="33" t="n">
        <f aca="false">IF(B1620&gt;=9,AVERAGE(C1612:C1619),"")</f>
        <v>34.375</v>
      </c>
      <c r="G1620" s="33" t="n">
        <f aca="false">IF(B1620=1,"",IF(B1620=2,C1619,SES_Alpha*C1619+(1-SES_Alpha)*G1619))</f>
        <v>34.1096851466034</v>
      </c>
      <c r="H1620" s="33" t="n">
        <f aca="false">IF(D1620="","",D1620-C1620)</f>
        <v>0</v>
      </c>
      <c r="I1620" s="33" t="n">
        <f aca="false">IF(E1620="","",E1620-C1620)</f>
        <v>1</v>
      </c>
      <c r="J1620" s="33" t="n">
        <f aca="false">IF(F1620="","",F1620-C1620)</f>
        <v>1.375</v>
      </c>
      <c r="K1620" s="33" t="n">
        <f aca="false">IF(G1620="","",G1620-C1620)</f>
        <v>1.10968514660344</v>
      </c>
      <c r="L1620" s="33" t="n">
        <f aca="false">IF(H1620="","",ABS(H1620))</f>
        <v>0</v>
      </c>
      <c r="M1620" s="33" t="n">
        <f aca="false">IF(I1620="","",ABS(I1620))</f>
        <v>1</v>
      </c>
      <c r="N1620" s="33" t="n">
        <f aca="false">IF(J1620="","",ABS(J1620))</f>
        <v>1.375</v>
      </c>
      <c r="O1620" s="33" t="n">
        <f aca="false">IF(K1620="","",ABS(K1620))</f>
        <v>1.10968514660344</v>
      </c>
      <c r="P1620" s="34" t="str">
        <f aca="false">IF(B1620&gt;=Eval_Start_Week,"YES","")</f>
        <v>YES</v>
      </c>
      <c r="Q1620" s="34" t="str">
        <f aca="false">IF(AND(B1620&gt;=Cal_Start_Week,B1620&lt;=Cal_End_Week),"YES","")</f>
        <v>YES</v>
      </c>
    </row>
    <row r="1621" customFormat="false" ht="15" hidden="false" customHeight="false" outlineLevel="0" collapsed="false">
      <c r="A1621" s="31" t="str">
        <f aca="false">Demand_History!C1621</f>
        <v>BTH-006</v>
      </c>
      <c r="B1621" s="31" t="n">
        <f aca="false">Demand_History!A1621</f>
        <v>60</v>
      </c>
      <c r="C1621" s="32" t="n">
        <f aca="false">Demand_History!D1621</f>
        <v>32</v>
      </c>
      <c r="D1621" s="33" t="n">
        <f aca="false">IF(B1621&gt;=2,C1620,"")</f>
        <v>33</v>
      </c>
      <c r="E1621" s="33" t="n">
        <f aca="false">IF(B1621&gt;=5,AVERAGE(C1617:C1620),"")</f>
        <v>33.75</v>
      </c>
      <c r="F1621" s="33" t="n">
        <f aca="false">IF(B1621&gt;=9,AVERAGE(C1613:C1620),"")</f>
        <v>35</v>
      </c>
      <c r="G1621" s="33" t="n">
        <f aca="false">IF(B1621=1,"",IF(B1621=2,C1620,SES_Alpha*C1620+(1-SES_Alpha)*G1620))</f>
        <v>33.7767796026224</v>
      </c>
      <c r="H1621" s="33" t="n">
        <f aca="false">IF(D1621="","",D1621-C1621)</f>
        <v>1</v>
      </c>
      <c r="I1621" s="33" t="n">
        <f aca="false">IF(E1621="","",E1621-C1621)</f>
        <v>1.75</v>
      </c>
      <c r="J1621" s="33" t="n">
        <f aca="false">IF(F1621="","",F1621-C1621)</f>
        <v>3</v>
      </c>
      <c r="K1621" s="33" t="n">
        <f aca="false">IF(G1621="","",G1621-C1621)</f>
        <v>1.7767796026224</v>
      </c>
      <c r="L1621" s="33" t="n">
        <f aca="false">IF(H1621="","",ABS(H1621))</f>
        <v>1</v>
      </c>
      <c r="M1621" s="33" t="n">
        <f aca="false">IF(I1621="","",ABS(I1621))</f>
        <v>1.75</v>
      </c>
      <c r="N1621" s="33" t="n">
        <f aca="false">IF(J1621="","",ABS(J1621))</f>
        <v>3</v>
      </c>
      <c r="O1621" s="33" t="n">
        <f aca="false">IF(K1621="","",ABS(K1621))</f>
        <v>1.7767796026224</v>
      </c>
      <c r="P1621" s="34" t="str">
        <f aca="false">IF(B1621&gt;=Eval_Start_Week,"YES","")</f>
        <v>YES</v>
      </c>
      <c r="Q1621" s="34" t="str">
        <f aca="false">IF(AND(B1621&gt;=Cal_Start_Week,B1621&lt;=Cal_End_Week),"YES","")</f>
        <v>YES</v>
      </c>
    </row>
    <row r="1622" customFormat="false" ht="15" hidden="false" customHeight="false" outlineLevel="0" collapsed="false">
      <c r="A1622" s="31" t="str">
        <f aca="false">Demand_History!C1622</f>
        <v>BTH-006</v>
      </c>
      <c r="B1622" s="31" t="n">
        <f aca="false">Demand_History!A1622</f>
        <v>61</v>
      </c>
      <c r="C1622" s="32" t="n">
        <f aca="false">Demand_History!D1622</f>
        <v>39</v>
      </c>
      <c r="D1622" s="33" t="n">
        <f aca="false">IF(B1622&gt;=2,C1621,"")</f>
        <v>32</v>
      </c>
      <c r="E1622" s="33" t="n">
        <f aca="false">IF(B1622&gt;=5,AVERAGE(C1618:C1621),"")</f>
        <v>33.25</v>
      </c>
      <c r="F1622" s="33" t="n">
        <f aca="false">IF(B1622&gt;=9,AVERAGE(C1614:C1621),"")</f>
        <v>34.5</v>
      </c>
      <c r="G1622" s="33" t="n">
        <f aca="false">IF(B1622=1,"",IF(B1622=2,C1621,SES_Alpha*C1621+(1-SES_Alpha)*G1621))</f>
        <v>33.2437457218357</v>
      </c>
      <c r="H1622" s="33" t="n">
        <f aca="false">IF(D1622="","",D1622-C1622)</f>
        <v>-7</v>
      </c>
      <c r="I1622" s="33" t="n">
        <f aca="false">IF(E1622="","",E1622-C1622)</f>
        <v>-5.75</v>
      </c>
      <c r="J1622" s="33" t="n">
        <f aca="false">IF(F1622="","",F1622-C1622)</f>
        <v>-4.5</v>
      </c>
      <c r="K1622" s="33" t="n">
        <f aca="false">IF(G1622="","",G1622-C1622)</f>
        <v>-5.75625427816432</v>
      </c>
      <c r="L1622" s="33" t="n">
        <f aca="false">IF(H1622="","",ABS(H1622))</f>
        <v>7</v>
      </c>
      <c r="M1622" s="33" t="n">
        <f aca="false">IF(I1622="","",ABS(I1622))</f>
        <v>5.75</v>
      </c>
      <c r="N1622" s="33" t="n">
        <f aca="false">IF(J1622="","",ABS(J1622))</f>
        <v>4.5</v>
      </c>
      <c r="O1622" s="33" t="n">
        <f aca="false">IF(K1622="","",ABS(K1622))</f>
        <v>5.75625427816432</v>
      </c>
      <c r="P1622" s="34" t="str">
        <f aca="false">IF(B1622&gt;=Eval_Start_Week,"YES","")</f>
        <v>YES</v>
      </c>
      <c r="Q1622" s="34" t="str">
        <f aca="false">IF(AND(B1622&gt;=Cal_Start_Week,B1622&lt;=Cal_End_Week),"YES","")</f>
        <v>YES</v>
      </c>
    </row>
    <row r="1623" customFormat="false" ht="15" hidden="false" customHeight="false" outlineLevel="0" collapsed="false">
      <c r="A1623" s="31" t="str">
        <f aca="false">Demand_History!C1623</f>
        <v>BTH-006</v>
      </c>
      <c r="B1623" s="31" t="n">
        <f aca="false">Demand_History!A1623</f>
        <v>62</v>
      </c>
      <c r="C1623" s="32" t="n">
        <f aca="false">Demand_History!D1623</f>
        <v>35</v>
      </c>
      <c r="D1623" s="33" t="n">
        <f aca="false">IF(B1623&gt;=2,C1622,"")</f>
        <v>39</v>
      </c>
      <c r="E1623" s="33" t="n">
        <f aca="false">IF(B1623&gt;=5,AVERAGE(C1619:C1622),"")</f>
        <v>34.25</v>
      </c>
      <c r="F1623" s="33" t="n">
        <f aca="false">IF(B1623&gt;=9,AVERAGE(C1615:C1622),"")</f>
        <v>34.5</v>
      </c>
      <c r="G1623" s="33" t="n">
        <f aca="false">IF(B1623=1,"",IF(B1623=2,C1622,SES_Alpha*C1622+(1-SES_Alpha)*G1622))</f>
        <v>34.970622005285</v>
      </c>
      <c r="H1623" s="33" t="n">
        <f aca="false">IF(D1623="","",D1623-C1623)</f>
        <v>4</v>
      </c>
      <c r="I1623" s="33" t="n">
        <f aca="false">IF(E1623="","",E1623-C1623)</f>
        <v>-0.75</v>
      </c>
      <c r="J1623" s="33" t="n">
        <f aca="false">IF(F1623="","",F1623-C1623)</f>
        <v>-0.5</v>
      </c>
      <c r="K1623" s="33" t="n">
        <f aca="false">IF(G1623="","",G1623-C1623)</f>
        <v>-0.029377994715027</v>
      </c>
      <c r="L1623" s="33" t="n">
        <f aca="false">IF(H1623="","",ABS(H1623))</f>
        <v>4</v>
      </c>
      <c r="M1623" s="33" t="n">
        <f aca="false">IF(I1623="","",ABS(I1623))</f>
        <v>0.75</v>
      </c>
      <c r="N1623" s="33" t="n">
        <f aca="false">IF(J1623="","",ABS(J1623))</f>
        <v>0.5</v>
      </c>
      <c r="O1623" s="33" t="n">
        <f aca="false">IF(K1623="","",ABS(K1623))</f>
        <v>0.029377994715027</v>
      </c>
      <c r="P1623" s="34" t="str">
        <f aca="false">IF(B1623&gt;=Eval_Start_Week,"YES","")</f>
        <v>YES</v>
      </c>
      <c r="Q1623" s="34" t="str">
        <f aca="false">IF(AND(B1623&gt;=Cal_Start_Week,B1623&lt;=Cal_End_Week),"YES","")</f>
        <v>YES</v>
      </c>
    </row>
    <row r="1624" customFormat="false" ht="15" hidden="false" customHeight="false" outlineLevel="0" collapsed="false">
      <c r="A1624" s="31" t="str">
        <f aca="false">Demand_History!C1624</f>
        <v>BTH-006</v>
      </c>
      <c r="B1624" s="31" t="n">
        <f aca="false">Demand_History!A1624</f>
        <v>63</v>
      </c>
      <c r="C1624" s="32" t="n">
        <f aca="false">Demand_History!D1624</f>
        <v>39</v>
      </c>
      <c r="D1624" s="33" t="n">
        <f aca="false">IF(B1624&gt;=2,C1623,"")</f>
        <v>35</v>
      </c>
      <c r="E1624" s="33" t="n">
        <f aca="false">IF(B1624&gt;=5,AVERAGE(C1620:C1623),"")</f>
        <v>34.75</v>
      </c>
      <c r="F1624" s="33" t="n">
        <f aca="false">IF(B1624&gt;=9,AVERAGE(C1616:C1623),"")</f>
        <v>34.375</v>
      </c>
      <c r="G1624" s="33" t="n">
        <f aca="false">IF(B1624=1,"",IF(B1624=2,C1623,SES_Alpha*C1623+(1-SES_Alpha)*G1623))</f>
        <v>34.9794354036995</v>
      </c>
      <c r="H1624" s="33" t="n">
        <f aca="false">IF(D1624="","",D1624-C1624)</f>
        <v>-4</v>
      </c>
      <c r="I1624" s="33" t="n">
        <f aca="false">IF(E1624="","",E1624-C1624)</f>
        <v>-4.25</v>
      </c>
      <c r="J1624" s="33" t="n">
        <f aca="false">IF(F1624="","",F1624-C1624)</f>
        <v>-4.625</v>
      </c>
      <c r="K1624" s="33" t="n">
        <f aca="false">IF(G1624="","",G1624-C1624)</f>
        <v>-4.02056459630052</v>
      </c>
      <c r="L1624" s="33" t="n">
        <f aca="false">IF(H1624="","",ABS(H1624))</f>
        <v>4</v>
      </c>
      <c r="M1624" s="33" t="n">
        <f aca="false">IF(I1624="","",ABS(I1624))</f>
        <v>4.25</v>
      </c>
      <c r="N1624" s="33" t="n">
        <f aca="false">IF(J1624="","",ABS(J1624))</f>
        <v>4.625</v>
      </c>
      <c r="O1624" s="33" t="n">
        <f aca="false">IF(K1624="","",ABS(K1624))</f>
        <v>4.02056459630052</v>
      </c>
      <c r="P1624" s="34" t="str">
        <f aca="false">IF(B1624&gt;=Eval_Start_Week,"YES","")</f>
        <v>YES</v>
      </c>
      <c r="Q1624" s="34" t="str">
        <f aca="false">IF(AND(B1624&gt;=Cal_Start_Week,B1624&lt;=Cal_End_Week),"YES","")</f>
        <v>YES</v>
      </c>
    </row>
    <row r="1625" customFormat="false" ht="15" hidden="false" customHeight="false" outlineLevel="0" collapsed="false">
      <c r="A1625" s="31" t="str">
        <f aca="false">Demand_History!C1625</f>
        <v>BTH-006</v>
      </c>
      <c r="B1625" s="31" t="n">
        <f aca="false">Demand_History!A1625</f>
        <v>64</v>
      </c>
      <c r="C1625" s="32" t="n">
        <f aca="false">Demand_History!D1625</f>
        <v>34</v>
      </c>
      <c r="D1625" s="33" t="n">
        <f aca="false">IF(B1625&gt;=2,C1624,"")</f>
        <v>39</v>
      </c>
      <c r="E1625" s="33" t="n">
        <f aca="false">IF(B1625&gt;=5,AVERAGE(C1621:C1624),"")</f>
        <v>36.25</v>
      </c>
      <c r="F1625" s="33" t="n">
        <f aca="false">IF(B1625&gt;=9,AVERAGE(C1617:C1624),"")</f>
        <v>35</v>
      </c>
      <c r="G1625" s="33" t="n">
        <f aca="false">IF(B1625=1,"",IF(B1625=2,C1624,SES_Alpha*C1624+(1-SES_Alpha)*G1624))</f>
        <v>36.1856047825896</v>
      </c>
      <c r="H1625" s="33" t="n">
        <f aca="false">IF(D1625="","",D1625-C1625)</f>
        <v>5</v>
      </c>
      <c r="I1625" s="33" t="n">
        <f aca="false">IF(E1625="","",E1625-C1625)</f>
        <v>2.25</v>
      </c>
      <c r="J1625" s="33" t="n">
        <f aca="false">IF(F1625="","",F1625-C1625)</f>
        <v>1</v>
      </c>
      <c r="K1625" s="33" t="n">
        <f aca="false">IF(G1625="","",G1625-C1625)</f>
        <v>2.18560478258964</v>
      </c>
      <c r="L1625" s="33" t="n">
        <f aca="false">IF(H1625="","",ABS(H1625))</f>
        <v>5</v>
      </c>
      <c r="M1625" s="33" t="n">
        <f aca="false">IF(I1625="","",ABS(I1625))</f>
        <v>2.25</v>
      </c>
      <c r="N1625" s="33" t="n">
        <f aca="false">IF(J1625="","",ABS(J1625))</f>
        <v>1</v>
      </c>
      <c r="O1625" s="33" t="n">
        <f aca="false">IF(K1625="","",ABS(K1625))</f>
        <v>2.18560478258964</v>
      </c>
      <c r="P1625" s="34" t="str">
        <f aca="false">IF(B1625&gt;=Eval_Start_Week,"YES","")</f>
        <v>YES</v>
      </c>
      <c r="Q1625" s="34" t="str">
        <f aca="false">IF(AND(B1625&gt;=Cal_Start_Week,B1625&lt;=Cal_End_Week),"YES","")</f>
        <v>YES</v>
      </c>
    </row>
    <row r="1626" customFormat="false" ht="15" hidden="false" customHeight="false" outlineLevel="0" collapsed="false">
      <c r="A1626" s="31" t="str">
        <f aca="false">Demand_History!C1626</f>
        <v>BTH-006</v>
      </c>
      <c r="B1626" s="31" t="n">
        <f aca="false">Demand_History!A1626</f>
        <v>65</v>
      </c>
      <c r="C1626" s="32" t="n">
        <f aca="false">Demand_History!D1626</f>
        <v>35</v>
      </c>
      <c r="D1626" s="33" t="n">
        <f aca="false">IF(B1626&gt;=2,C1625,"")</f>
        <v>34</v>
      </c>
      <c r="E1626" s="33" t="n">
        <f aca="false">IF(B1626&gt;=5,AVERAGE(C1622:C1625),"")</f>
        <v>36.75</v>
      </c>
      <c r="F1626" s="33" t="n">
        <f aca="false">IF(B1626&gt;=9,AVERAGE(C1618:C1625),"")</f>
        <v>35</v>
      </c>
      <c r="G1626" s="33" t="n">
        <f aca="false">IF(B1626=1,"",IF(B1626=2,C1625,SES_Alpha*C1625+(1-SES_Alpha)*G1625))</f>
        <v>35.5299233478127</v>
      </c>
      <c r="H1626" s="33" t="n">
        <f aca="false">IF(D1626="","",D1626-C1626)</f>
        <v>-1</v>
      </c>
      <c r="I1626" s="33" t="n">
        <f aca="false">IF(E1626="","",E1626-C1626)</f>
        <v>1.75</v>
      </c>
      <c r="J1626" s="33" t="n">
        <f aca="false">IF(F1626="","",F1626-C1626)</f>
        <v>0</v>
      </c>
      <c r="K1626" s="33" t="n">
        <f aca="false">IF(G1626="","",G1626-C1626)</f>
        <v>0.529923347812741</v>
      </c>
      <c r="L1626" s="33" t="n">
        <f aca="false">IF(H1626="","",ABS(H1626))</f>
        <v>1</v>
      </c>
      <c r="M1626" s="33" t="n">
        <f aca="false">IF(I1626="","",ABS(I1626))</f>
        <v>1.75</v>
      </c>
      <c r="N1626" s="33" t="n">
        <f aca="false">IF(J1626="","",ABS(J1626))</f>
        <v>0</v>
      </c>
      <c r="O1626" s="33" t="n">
        <f aca="false">IF(K1626="","",ABS(K1626))</f>
        <v>0.529923347812741</v>
      </c>
      <c r="P1626" s="34" t="str">
        <f aca="false">IF(B1626&gt;=Eval_Start_Week,"YES","")</f>
        <v>YES</v>
      </c>
      <c r="Q1626" s="34" t="str">
        <f aca="false">IF(AND(B1626&gt;=Cal_Start_Week,B1626&lt;=Cal_End_Week),"YES","")</f>
        <v>YES</v>
      </c>
    </row>
    <row r="1627" customFormat="false" ht="15" hidden="false" customHeight="false" outlineLevel="0" collapsed="false">
      <c r="A1627" s="31" t="str">
        <f aca="false">Demand_History!C1627</f>
        <v>BTH-006</v>
      </c>
      <c r="B1627" s="31" t="n">
        <f aca="false">Demand_History!A1627</f>
        <v>66</v>
      </c>
      <c r="C1627" s="32" t="n">
        <f aca="false">Demand_History!D1627</f>
        <v>34</v>
      </c>
      <c r="D1627" s="33" t="n">
        <f aca="false">IF(B1627&gt;=2,C1626,"")</f>
        <v>35</v>
      </c>
      <c r="E1627" s="33" t="n">
        <f aca="false">IF(B1627&gt;=5,AVERAGE(C1623:C1626),"")</f>
        <v>35.75</v>
      </c>
      <c r="F1627" s="33" t="n">
        <f aca="false">IF(B1627&gt;=9,AVERAGE(C1619:C1626),"")</f>
        <v>35</v>
      </c>
      <c r="G1627" s="33" t="n">
        <f aca="false">IF(B1627=1,"",IF(B1627=2,C1626,SES_Alpha*C1626+(1-SES_Alpha)*G1626))</f>
        <v>35.3709463434689</v>
      </c>
      <c r="H1627" s="33" t="n">
        <f aca="false">IF(D1627="","",D1627-C1627)</f>
        <v>1</v>
      </c>
      <c r="I1627" s="33" t="n">
        <f aca="false">IF(E1627="","",E1627-C1627)</f>
        <v>1.75</v>
      </c>
      <c r="J1627" s="33" t="n">
        <f aca="false">IF(F1627="","",F1627-C1627)</f>
        <v>1</v>
      </c>
      <c r="K1627" s="33" t="n">
        <f aca="false">IF(G1627="","",G1627-C1627)</f>
        <v>1.37094634346892</v>
      </c>
      <c r="L1627" s="33" t="n">
        <f aca="false">IF(H1627="","",ABS(H1627))</f>
        <v>1</v>
      </c>
      <c r="M1627" s="33" t="n">
        <f aca="false">IF(I1627="","",ABS(I1627))</f>
        <v>1.75</v>
      </c>
      <c r="N1627" s="33" t="n">
        <f aca="false">IF(J1627="","",ABS(J1627))</f>
        <v>1</v>
      </c>
      <c r="O1627" s="33" t="n">
        <f aca="false">IF(K1627="","",ABS(K1627))</f>
        <v>1.37094634346892</v>
      </c>
      <c r="P1627" s="34" t="str">
        <f aca="false">IF(B1627&gt;=Eval_Start_Week,"YES","")</f>
        <v>YES</v>
      </c>
      <c r="Q1627" s="34" t="str">
        <f aca="false">IF(AND(B1627&gt;=Cal_Start_Week,B1627&lt;=Cal_End_Week),"YES","")</f>
        <v>YES</v>
      </c>
    </row>
    <row r="1628" customFormat="false" ht="15" hidden="false" customHeight="false" outlineLevel="0" collapsed="false">
      <c r="A1628" s="31" t="str">
        <f aca="false">Demand_History!C1628</f>
        <v>BTH-006</v>
      </c>
      <c r="B1628" s="31" t="n">
        <f aca="false">Demand_History!A1628</f>
        <v>67</v>
      </c>
      <c r="C1628" s="32" t="n">
        <f aca="false">Demand_History!D1628</f>
        <v>37</v>
      </c>
      <c r="D1628" s="33" t="n">
        <f aca="false">IF(B1628&gt;=2,C1627,"")</f>
        <v>34</v>
      </c>
      <c r="E1628" s="33" t="n">
        <f aca="false">IF(B1628&gt;=5,AVERAGE(C1624:C1627),"")</f>
        <v>35.5</v>
      </c>
      <c r="F1628" s="33" t="n">
        <f aca="false">IF(B1628&gt;=9,AVERAGE(C1620:C1627),"")</f>
        <v>35.125</v>
      </c>
      <c r="G1628" s="33" t="n">
        <f aca="false">IF(B1628=1,"",IF(B1628=2,C1627,SES_Alpha*C1627+(1-SES_Alpha)*G1627))</f>
        <v>34.9596624404282</v>
      </c>
      <c r="H1628" s="33" t="n">
        <f aca="false">IF(D1628="","",D1628-C1628)</f>
        <v>-3</v>
      </c>
      <c r="I1628" s="33" t="n">
        <f aca="false">IF(E1628="","",E1628-C1628)</f>
        <v>-1.5</v>
      </c>
      <c r="J1628" s="33" t="n">
        <f aca="false">IF(F1628="","",F1628-C1628)</f>
        <v>-1.875</v>
      </c>
      <c r="K1628" s="33" t="n">
        <f aca="false">IF(G1628="","",G1628-C1628)</f>
        <v>-2.04033755957176</v>
      </c>
      <c r="L1628" s="33" t="n">
        <f aca="false">IF(H1628="","",ABS(H1628))</f>
        <v>3</v>
      </c>
      <c r="M1628" s="33" t="n">
        <f aca="false">IF(I1628="","",ABS(I1628))</f>
        <v>1.5</v>
      </c>
      <c r="N1628" s="33" t="n">
        <f aca="false">IF(J1628="","",ABS(J1628))</f>
        <v>1.875</v>
      </c>
      <c r="O1628" s="33" t="n">
        <f aca="false">IF(K1628="","",ABS(K1628))</f>
        <v>2.04033755957176</v>
      </c>
      <c r="P1628" s="34" t="str">
        <f aca="false">IF(B1628&gt;=Eval_Start_Week,"YES","")</f>
        <v>YES</v>
      </c>
      <c r="Q1628" s="34" t="str">
        <f aca="false">IF(AND(B1628&gt;=Cal_Start_Week,B1628&lt;=Cal_End_Week),"YES","")</f>
        <v>YES</v>
      </c>
    </row>
    <row r="1629" customFormat="false" ht="15" hidden="false" customHeight="false" outlineLevel="0" collapsed="false">
      <c r="A1629" s="31" t="str">
        <f aca="false">Demand_History!C1629</f>
        <v>BTH-006</v>
      </c>
      <c r="B1629" s="31" t="n">
        <f aca="false">Demand_History!A1629</f>
        <v>68</v>
      </c>
      <c r="C1629" s="32" t="n">
        <f aca="false">Demand_History!D1629</f>
        <v>38</v>
      </c>
      <c r="D1629" s="33" t="n">
        <f aca="false">IF(B1629&gt;=2,C1628,"")</f>
        <v>37</v>
      </c>
      <c r="E1629" s="33" t="n">
        <f aca="false">IF(B1629&gt;=5,AVERAGE(C1625:C1628),"")</f>
        <v>35</v>
      </c>
      <c r="F1629" s="33" t="n">
        <f aca="false">IF(B1629&gt;=9,AVERAGE(C1621:C1628),"")</f>
        <v>35.625</v>
      </c>
      <c r="G1629" s="33" t="n">
        <f aca="false">IF(B1629=1,"",IF(B1629=2,C1628,SES_Alpha*C1628+(1-SES_Alpha)*G1628))</f>
        <v>35.5717637082998</v>
      </c>
      <c r="H1629" s="33" t="n">
        <f aca="false">IF(D1629="","",D1629-C1629)</f>
        <v>-1</v>
      </c>
      <c r="I1629" s="33" t="n">
        <f aca="false">IF(E1629="","",E1629-C1629)</f>
        <v>-3</v>
      </c>
      <c r="J1629" s="33" t="n">
        <f aca="false">IF(F1629="","",F1629-C1629)</f>
        <v>-2.375</v>
      </c>
      <c r="K1629" s="33" t="n">
        <f aca="false">IF(G1629="","",G1629-C1629)</f>
        <v>-2.42823629170024</v>
      </c>
      <c r="L1629" s="33" t="n">
        <f aca="false">IF(H1629="","",ABS(H1629))</f>
        <v>1</v>
      </c>
      <c r="M1629" s="33" t="n">
        <f aca="false">IF(I1629="","",ABS(I1629))</f>
        <v>3</v>
      </c>
      <c r="N1629" s="33" t="n">
        <f aca="false">IF(J1629="","",ABS(J1629))</f>
        <v>2.375</v>
      </c>
      <c r="O1629" s="33" t="n">
        <f aca="false">IF(K1629="","",ABS(K1629))</f>
        <v>2.42823629170024</v>
      </c>
      <c r="P1629" s="34" t="str">
        <f aca="false">IF(B1629&gt;=Eval_Start_Week,"YES","")</f>
        <v>YES</v>
      </c>
      <c r="Q1629" s="34" t="str">
        <f aca="false">IF(AND(B1629&gt;=Cal_Start_Week,B1629&lt;=Cal_End_Week),"YES","")</f>
        <v>YES</v>
      </c>
    </row>
    <row r="1630" customFormat="false" ht="15" hidden="false" customHeight="false" outlineLevel="0" collapsed="false">
      <c r="A1630" s="31" t="str">
        <f aca="false">Demand_History!C1630</f>
        <v>BTH-006</v>
      </c>
      <c r="B1630" s="31" t="n">
        <f aca="false">Demand_History!A1630</f>
        <v>69</v>
      </c>
      <c r="C1630" s="32" t="n">
        <f aca="false">Demand_History!D1630</f>
        <v>36</v>
      </c>
      <c r="D1630" s="33" t="n">
        <f aca="false">IF(B1630&gt;=2,C1629,"")</f>
        <v>38</v>
      </c>
      <c r="E1630" s="33" t="n">
        <f aca="false">IF(B1630&gt;=5,AVERAGE(C1626:C1629),"")</f>
        <v>36</v>
      </c>
      <c r="F1630" s="33" t="n">
        <f aca="false">IF(B1630&gt;=9,AVERAGE(C1622:C1629),"")</f>
        <v>36.375</v>
      </c>
      <c r="G1630" s="33" t="n">
        <f aca="false">IF(B1630=1,"",IF(B1630=2,C1629,SES_Alpha*C1629+(1-SES_Alpha)*G1629))</f>
        <v>36.3002345958098</v>
      </c>
      <c r="H1630" s="33" t="n">
        <f aca="false">IF(D1630="","",D1630-C1630)</f>
        <v>2</v>
      </c>
      <c r="I1630" s="33" t="n">
        <f aca="false">IF(E1630="","",E1630-C1630)</f>
        <v>0</v>
      </c>
      <c r="J1630" s="33" t="n">
        <f aca="false">IF(F1630="","",F1630-C1630)</f>
        <v>0.375</v>
      </c>
      <c r="K1630" s="33" t="n">
        <f aca="false">IF(G1630="","",G1630-C1630)</f>
        <v>0.300234595809833</v>
      </c>
      <c r="L1630" s="33" t="n">
        <f aca="false">IF(H1630="","",ABS(H1630))</f>
        <v>2</v>
      </c>
      <c r="M1630" s="33" t="n">
        <f aca="false">IF(I1630="","",ABS(I1630))</f>
        <v>0</v>
      </c>
      <c r="N1630" s="33" t="n">
        <f aca="false">IF(J1630="","",ABS(J1630))</f>
        <v>0.375</v>
      </c>
      <c r="O1630" s="33" t="n">
        <f aca="false">IF(K1630="","",ABS(K1630))</f>
        <v>0.300234595809833</v>
      </c>
      <c r="P1630" s="34" t="str">
        <f aca="false">IF(B1630&gt;=Eval_Start_Week,"YES","")</f>
        <v>YES</v>
      </c>
      <c r="Q1630" s="34" t="str">
        <f aca="false">IF(AND(B1630&gt;=Cal_Start_Week,B1630&lt;=Cal_End_Week),"YES","")</f>
        <v>YES</v>
      </c>
    </row>
    <row r="1631" customFormat="false" ht="15" hidden="false" customHeight="false" outlineLevel="0" collapsed="false">
      <c r="A1631" s="31" t="str">
        <f aca="false">Demand_History!C1631</f>
        <v>BTH-006</v>
      </c>
      <c r="B1631" s="31" t="n">
        <f aca="false">Demand_History!A1631</f>
        <v>70</v>
      </c>
      <c r="C1631" s="32" t="n">
        <f aca="false">Demand_History!D1631</f>
        <v>33</v>
      </c>
      <c r="D1631" s="33" t="n">
        <f aca="false">IF(B1631&gt;=2,C1630,"")</f>
        <v>36</v>
      </c>
      <c r="E1631" s="33" t="n">
        <f aca="false">IF(B1631&gt;=5,AVERAGE(C1627:C1630),"")</f>
        <v>36.25</v>
      </c>
      <c r="F1631" s="33" t="n">
        <f aca="false">IF(B1631&gt;=9,AVERAGE(C1623:C1630),"")</f>
        <v>36</v>
      </c>
      <c r="G1631" s="33" t="n">
        <f aca="false">IF(B1631=1,"",IF(B1631=2,C1630,SES_Alpha*C1630+(1-SES_Alpha)*G1630))</f>
        <v>36.2101642170669</v>
      </c>
      <c r="H1631" s="33" t="n">
        <f aca="false">IF(D1631="","",D1631-C1631)</f>
        <v>3</v>
      </c>
      <c r="I1631" s="33" t="n">
        <f aca="false">IF(E1631="","",E1631-C1631)</f>
        <v>3.25</v>
      </c>
      <c r="J1631" s="33" t="n">
        <f aca="false">IF(F1631="","",F1631-C1631)</f>
        <v>3</v>
      </c>
      <c r="K1631" s="33" t="n">
        <f aca="false">IF(G1631="","",G1631-C1631)</f>
        <v>3.21016421706688</v>
      </c>
      <c r="L1631" s="33" t="n">
        <f aca="false">IF(H1631="","",ABS(H1631))</f>
        <v>3</v>
      </c>
      <c r="M1631" s="33" t="n">
        <f aca="false">IF(I1631="","",ABS(I1631))</f>
        <v>3.25</v>
      </c>
      <c r="N1631" s="33" t="n">
        <f aca="false">IF(J1631="","",ABS(J1631))</f>
        <v>3</v>
      </c>
      <c r="O1631" s="33" t="n">
        <f aca="false">IF(K1631="","",ABS(K1631))</f>
        <v>3.21016421706688</v>
      </c>
      <c r="P1631" s="34" t="str">
        <f aca="false">IF(B1631&gt;=Eval_Start_Week,"YES","")</f>
        <v>YES</v>
      </c>
      <c r="Q1631" s="34" t="str">
        <f aca="false">IF(AND(B1631&gt;=Cal_Start_Week,B1631&lt;=Cal_End_Week),"YES","")</f>
        <v>YES</v>
      </c>
    </row>
    <row r="1632" customFormat="false" ht="15" hidden="false" customHeight="false" outlineLevel="0" collapsed="false">
      <c r="A1632" s="31" t="str">
        <f aca="false">Demand_History!C1632</f>
        <v>BTH-006</v>
      </c>
      <c r="B1632" s="31" t="n">
        <f aca="false">Demand_History!A1632</f>
        <v>71</v>
      </c>
      <c r="C1632" s="32" t="n">
        <f aca="false">Demand_History!D1632</f>
        <v>32</v>
      </c>
      <c r="D1632" s="33" t="n">
        <f aca="false">IF(B1632&gt;=2,C1631,"")</f>
        <v>33</v>
      </c>
      <c r="E1632" s="33" t="n">
        <f aca="false">IF(B1632&gt;=5,AVERAGE(C1628:C1631),"")</f>
        <v>36</v>
      </c>
      <c r="F1632" s="33" t="n">
        <f aca="false">IF(B1632&gt;=9,AVERAGE(C1624:C1631),"")</f>
        <v>35.75</v>
      </c>
      <c r="G1632" s="33" t="n">
        <f aca="false">IF(B1632=1,"",IF(B1632=2,C1631,SES_Alpha*C1631+(1-SES_Alpha)*G1631))</f>
        <v>35.2471149519468</v>
      </c>
      <c r="H1632" s="33" t="n">
        <f aca="false">IF(D1632="","",D1632-C1632)</f>
        <v>1</v>
      </c>
      <c r="I1632" s="33" t="n">
        <f aca="false">IF(E1632="","",E1632-C1632)</f>
        <v>4</v>
      </c>
      <c r="J1632" s="33" t="n">
        <f aca="false">IF(F1632="","",F1632-C1632)</f>
        <v>3.75</v>
      </c>
      <c r="K1632" s="33" t="n">
        <f aca="false">IF(G1632="","",G1632-C1632)</f>
        <v>3.24711495194682</v>
      </c>
      <c r="L1632" s="33" t="n">
        <f aca="false">IF(H1632="","",ABS(H1632))</f>
        <v>1</v>
      </c>
      <c r="M1632" s="33" t="n">
        <f aca="false">IF(I1632="","",ABS(I1632))</f>
        <v>4</v>
      </c>
      <c r="N1632" s="33" t="n">
        <f aca="false">IF(J1632="","",ABS(J1632))</f>
        <v>3.75</v>
      </c>
      <c r="O1632" s="33" t="n">
        <f aca="false">IF(K1632="","",ABS(K1632))</f>
        <v>3.24711495194682</v>
      </c>
      <c r="P1632" s="34" t="str">
        <f aca="false">IF(B1632&gt;=Eval_Start_Week,"YES","")</f>
        <v>YES</v>
      </c>
      <c r="Q1632" s="34" t="str">
        <f aca="false">IF(AND(B1632&gt;=Cal_Start_Week,B1632&lt;=Cal_End_Week),"YES","")</f>
        <v>YES</v>
      </c>
    </row>
    <row r="1633" customFormat="false" ht="15" hidden="false" customHeight="false" outlineLevel="0" collapsed="false">
      <c r="A1633" s="31" t="str">
        <f aca="false">Demand_History!C1633</f>
        <v>BTH-006</v>
      </c>
      <c r="B1633" s="31" t="n">
        <f aca="false">Demand_History!A1633</f>
        <v>72</v>
      </c>
      <c r="C1633" s="32" t="n">
        <f aca="false">Demand_History!D1633</f>
        <v>41</v>
      </c>
      <c r="D1633" s="33" t="n">
        <f aca="false">IF(B1633&gt;=2,C1632,"")</f>
        <v>32</v>
      </c>
      <c r="E1633" s="33" t="n">
        <f aca="false">IF(B1633&gt;=5,AVERAGE(C1629:C1632),"")</f>
        <v>34.75</v>
      </c>
      <c r="F1633" s="33" t="n">
        <f aca="false">IF(B1633&gt;=9,AVERAGE(C1625:C1632),"")</f>
        <v>34.875</v>
      </c>
      <c r="G1633" s="33" t="n">
        <f aca="false">IF(B1633=1,"",IF(B1633=2,C1632,SES_Alpha*C1632+(1-SES_Alpha)*G1632))</f>
        <v>34.2729804663628</v>
      </c>
      <c r="H1633" s="33" t="n">
        <f aca="false">IF(D1633="","",D1633-C1633)</f>
        <v>-9</v>
      </c>
      <c r="I1633" s="33" t="n">
        <f aca="false">IF(E1633="","",E1633-C1633)</f>
        <v>-6.25</v>
      </c>
      <c r="J1633" s="33" t="n">
        <f aca="false">IF(F1633="","",F1633-C1633)</f>
        <v>-6.125</v>
      </c>
      <c r="K1633" s="33" t="n">
        <f aca="false">IF(G1633="","",G1633-C1633)</f>
        <v>-6.72701953363723</v>
      </c>
      <c r="L1633" s="33" t="n">
        <f aca="false">IF(H1633="","",ABS(H1633))</f>
        <v>9</v>
      </c>
      <c r="M1633" s="33" t="n">
        <f aca="false">IF(I1633="","",ABS(I1633))</f>
        <v>6.25</v>
      </c>
      <c r="N1633" s="33" t="n">
        <f aca="false">IF(J1633="","",ABS(J1633))</f>
        <v>6.125</v>
      </c>
      <c r="O1633" s="33" t="n">
        <f aca="false">IF(K1633="","",ABS(K1633))</f>
        <v>6.72701953363723</v>
      </c>
      <c r="P1633" s="34" t="str">
        <f aca="false">IF(B1633&gt;=Eval_Start_Week,"YES","")</f>
        <v>YES</v>
      </c>
      <c r="Q1633" s="34" t="str">
        <f aca="false">IF(AND(B1633&gt;=Cal_Start_Week,B1633&lt;=Cal_End_Week),"YES","")</f>
        <v>YES</v>
      </c>
    </row>
    <row r="1634" customFormat="false" ht="15" hidden="false" customHeight="false" outlineLevel="0" collapsed="false">
      <c r="A1634" s="31" t="str">
        <f aca="false">Demand_History!C1634</f>
        <v>BTH-006</v>
      </c>
      <c r="B1634" s="31" t="n">
        <f aca="false">Demand_History!A1634</f>
        <v>73</v>
      </c>
      <c r="C1634" s="32" t="n">
        <f aca="false">Demand_History!D1634</f>
        <v>34</v>
      </c>
      <c r="D1634" s="33" t="n">
        <f aca="false">IF(B1634&gt;=2,C1633,"")</f>
        <v>41</v>
      </c>
      <c r="E1634" s="33" t="n">
        <f aca="false">IF(B1634&gt;=5,AVERAGE(C1630:C1633),"")</f>
        <v>35.5</v>
      </c>
      <c r="F1634" s="33" t="n">
        <f aca="false">IF(B1634&gt;=9,AVERAGE(C1626:C1633),"")</f>
        <v>35.75</v>
      </c>
      <c r="G1634" s="33" t="n">
        <f aca="false">IF(B1634=1,"",IF(B1634=2,C1633,SES_Alpha*C1633+(1-SES_Alpha)*G1633))</f>
        <v>36.2910863264539</v>
      </c>
      <c r="H1634" s="33" t="n">
        <f aca="false">IF(D1634="","",D1634-C1634)</f>
        <v>7</v>
      </c>
      <c r="I1634" s="33" t="n">
        <f aca="false">IF(E1634="","",E1634-C1634)</f>
        <v>1.5</v>
      </c>
      <c r="J1634" s="33" t="n">
        <f aca="false">IF(F1634="","",F1634-C1634)</f>
        <v>1.75</v>
      </c>
      <c r="K1634" s="33" t="n">
        <f aca="false">IF(G1634="","",G1634-C1634)</f>
        <v>2.29108632645394</v>
      </c>
      <c r="L1634" s="33" t="n">
        <f aca="false">IF(H1634="","",ABS(H1634))</f>
        <v>7</v>
      </c>
      <c r="M1634" s="33" t="n">
        <f aca="false">IF(I1634="","",ABS(I1634))</f>
        <v>1.5</v>
      </c>
      <c r="N1634" s="33" t="n">
        <f aca="false">IF(J1634="","",ABS(J1634))</f>
        <v>1.75</v>
      </c>
      <c r="O1634" s="33" t="n">
        <f aca="false">IF(K1634="","",ABS(K1634))</f>
        <v>2.29108632645394</v>
      </c>
      <c r="P1634" s="34" t="str">
        <f aca="false">IF(B1634&gt;=Eval_Start_Week,"YES","")</f>
        <v>YES</v>
      </c>
      <c r="Q1634" s="34" t="str">
        <f aca="false">IF(AND(B1634&gt;=Cal_Start_Week,B1634&lt;=Cal_End_Week),"YES","")</f>
        <v>YES</v>
      </c>
    </row>
    <row r="1635" customFormat="false" ht="15" hidden="false" customHeight="false" outlineLevel="0" collapsed="false">
      <c r="A1635" s="31" t="str">
        <f aca="false">Demand_History!C1635</f>
        <v>BTH-006</v>
      </c>
      <c r="B1635" s="31" t="n">
        <f aca="false">Demand_History!A1635</f>
        <v>74</v>
      </c>
      <c r="C1635" s="32" t="n">
        <f aca="false">Demand_History!D1635</f>
        <v>34</v>
      </c>
      <c r="D1635" s="33" t="n">
        <f aca="false">IF(B1635&gt;=2,C1634,"")</f>
        <v>34</v>
      </c>
      <c r="E1635" s="33" t="n">
        <f aca="false">IF(B1635&gt;=5,AVERAGE(C1631:C1634),"")</f>
        <v>35</v>
      </c>
      <c r="F1635" s="33" t="n">
        <f aca="false">IF(B1635&gt;=9,AVERAGE(C1627:C1634),"")</f>
        <v>35.625</v>
      </c>
      <c r="G1635" s="33" t="n">
        <f aca="false">IF(B1635=1,"",IF(B1635=2,C1634,SES_Alpha*C1634+(1-SES_Alpha)*G1634))</f>
        <v>35.6037604285178</v>
      </c>
      <c r="H1635" s="33" t="n">
        <f aca="false">IF(D1635="","",D1635-C1635)</f>
        <v>0</v>
      </c>
      <c r="I1635" s="33" t="n">
        <f aca="false">IF(E1635="","",E1635-C1635)</f>
        <v>1</v>
      </c>
      <c r="J1635" s="33" t="n">
        <f aca="false">IF(F1635="","",F1635-C1635)</f>
        <v>1.625</v>
      </c>
      <c r="K1635" s="33" t="n">
        <f aca="false">IF(G1635="","",G1635-C1635)</f>
        <v>1.60376042851776</v>
      </c>
      <c r="L1635" s="33" t="n">
        <f aca="false">IF(H1635="","",ABS(H1635))</f>
        <v>0</v>
      </c>
      <c r="M1635" s="33" t="n">
        <f aca="false">IF(I1635="","",ABS(I1635))</f>
        <v>1</v>
      </c>
      <c r="N1635" s="33" t="n">
        <f aca="false">IF(J1635="","",ABS(J1635))</f>
        <v>1.625</v>
      </c>
      <c r="O1635" s="33" t="n">
        <f aca="false">IF(K1635="","",ABS(K1635))</f>
        <v>1.60376042851776</v>
      </c>
      <c r="P1635" s="34" t="str">
        <f aca="false">IF(B1635&gt;=Eval_Start_Week,"YES","")</f>
        <v>YES</v>
      </c>
      <c r="Q1635" s="34" t="str">
        <f aca="false">IF(AND(B1635&gt;=Cal_Start_Week,B1635&lt;=Cal_End_Week),"YES","")</f>
        <v>YES</v>
      </c>
    </row>
    <row r="1636" customFormat="false" ht="15" hidden="false" customHeight="false" outlineLevel="0" collapsed="false">
      <c r="A1636" s="31" t="str">
        <f aca="false">Demand_History!C1636</f>
        <v>BTH-006</v>
      </c>
      <c r="B1636" s="31" t="n">
        <f aca="false">Demand_History!A1636</f>
        <v>75</v>
      </c>
      <c r="C1636" s="32" t="n">
        <f aca="false">Demand_History!D1636</f>
        <v>40</v>
      </c>
      <c r="D1636" s="33" t="n">
        <f aca="false">IF(B1636&gt;=2,C1635,"")</f>
        <v>34</v>
      </c>
      <c r="E1636" s="33" t="n">
        <f aca="false">IF(B1636&gt;=5,AVERAGE(C1632:C1635),"")</f>
        <v>35.25</v>
      </c>
      <c r="F1636" s="33" t="n">
        <f aca="false">IF(B1636&gt;=9,AVERAGE(C1628:C1635),"")</f>
        <v>35.625</v>
      </c>
      <c r="G1636" s="33" t="n">
        <f aca="false">IF(B1636=1,"",IF(B1636=2,C1635,SES_Alpha*C1635+(1-SES_Alpha)*G1635))</f>
        <v>35.1226322999624</v>
      </c>
      <c r="H1636" s="33" t="n">
        <f aca="false">IF(D1636="","",D1636-C1636)</f>
        <v>-6</v>
      </c>
      <c r="I1636" s="33" t="n">
        <f aca="false">IF(E1636="","",E1636-C1636)</f>
        <v>-4.75</v>
      </c>
      <c r="J1636" s="33" t="n">
        <f aca="false">IF(F1636="","",F1636-C1636)</f>
        <v>-4.375</v>
      </c>
      <c r="K1636" s="33" t="n">
        <f aca="false">IF(G1636="","",G1636-C1636)</f>
        <v>-4.87736770003757</v>
      </c>
      <c r="L1636" s="33" t="n">
        <f aca="false">IF(H1636="","",ABS(H1636))</f>
        <v>6</v>
      </c>
      <c r="M1636" s="33" t="n">
        <f aca="false">IF(I1636="","",ABS(I1636))</f>
        <v>4.75</v>
      </c>
      <c r="N1636" s="33" t="n">
        <f aca="false">IF(J1636="","",ABS(J1636))</f>
        <v>4.375</v>
      </c>
      <c r="O1636" s="33" t="n">
        <f aca="false">IF(K1636="","",ABS(K1636))</f>
        <v>4.87736770003757</v>
      </c>
      <c r="P1636" s="34" t="str">
        <f aca="false">IF(B1636&gt;=Eval_Start_Week,"YES","")</f>
        <v>YES</v>
      </c>
      <c r="Q1636" s="34" t="str">
        <f aca="false">IF(AND(B1636&gt;=Cal_Start_Week,B1636&lt;=Cal_End_Week),"YES","")</f>
        <v>YES</v>
      </c>
    </row>
    <row r="1637" customFormat="false" ht="15" hidden="false" customHeight="false" outlineLevel="0" collapsed="false">
      <c r="A1637" s="31" t="str">
        <f aca="false">Demand_History!C1637</f>
        <v>BTH-006</v>
      </c>
      <c r="B1637" s="31" t="n">
        <f aca="false">Demand_History!A1637</f>
        <v>76</v>
      </c>
      <c r="C1637" s="32" t="n">
        <f aca="false">Demand_History!D1637</f>
        <v>39</v>
      </c>
      <c r="D1637" s="33" t="n">
        <f aca="false">IF(B1637&gt;=2,C1636,"")</f>
        <v>40</v>
      </c>
      <c r="E1637" s="33" t="n">
        <f aca="false">IF(B1637&gt;=5,AVERAGE(C1633:C1636),"")</f>
        <v>37.25</v>
      </c>
      <c r="F1637" s="33" t="n">
        <f aca="false">IF(B1637&gt;=9,AVERAGE(C1629:C1636),"")</f>
        <v>36</v>
      </c>
      <c r="G1637" s="33" t="n">
        <f aca="false">IF(B1637=1,"",IF(B1637=2,C1636,SES_Alpha*C1636+(1-SES_Alpha)*G1636))</f>
        <v>36.5858426099737</v>
      </c>
      <c r="H1637" s="33" t="n">
        <f aca="false">IF(D1637="","",D1637-C1637)</f>
        <v>1</v>
      </c>
      <c r="I1637" s="33" t="n">
        <f aca="false">IF(E1637="","",E1637-C1637)</f>
        <v>-1.75</v>
      </c>
      <c r="J1637" s="33" t="n">
        <f aca="false">IF(F1637="","",F1637-C1637)</f>
        <v>-3</v>
      </c>
      <c r="K1637" s="33" t="n">
        <f aca="false">IF(G1637="","",G1637-C1637)</f>
        <v>-2.4141573900263</v>
      </c>
      <c r="L1637" s="33" t="n">
        <f aca="false">IF(H1637="","",ABS(H1637))</f>
        <v>1</v>
      </c>
      <c r="M1637" s="33" t="n">
        <f aca="false">IF(I1637="","",ABS(I1637))</f>
        <v>1.75</v>
      </c>
      <c r="N1637" s="33" t="n">
        <f aca="false">IF(J1637="","",ABS(J1637))</f>
        <v>3</v>
      </c>
      <c r="O1637" s="33" t="n">
        <f aca="false">IF(K1637="","",ABS(K1637))</f>
        <v>2.4141573900263</v>
      </c>
      <c r="P1637" s="34" t="str">
        <f aca="false">IF(B1637&gt;=Eval_Start_Week,"YES","")</f>
        <v>YES</v>
      </c>
      <c r="Q1637" s="34" t="str">
        <f aca="false">IF(AND(B1637&gt;=Cal_Start_Week,B1637&lt;=Cal_End_Week),"YES","")</f>
        <v>YES</v>
      </c>
    </row>
    <row r="1638" customFormat="false" ht="15" hidden="false" customHeight="false" outlineLevel="0" collapsed="false">
      <c r="A1638" s="31" t="str">
        <f aca="false">Demand_History!C1638</f>
        <v>BTH-006</v>
      </c>
      <c r="B1638" s="31" t="n">
        <f aca="false">Demand_History!A1638</f>
        <v>77</v>
      </c>
      <c r="C1638" s="32" t="n">
        <f aca="false">Demand_History!D1638</f>
        <v>37</v>
      </c>
      <c r="D1638" s="33" t="n">
        <f aca="false">IF(B1638&gt;=2,C1637,"")</f>
        <v>39</v>
      </c>
      <c r="E1638" s="33" t="n">
        <f aca="false">IF(B1638&gt;=5,AVERAGE(C1634:C1637),"")</f>
        <v>36.75</v>
      </c>
      <c r="F1638" s="33" t="n">
        <f aca="false">IF(B1638&gt;=9,AVERAGE(C1630:C1637),"")</f>
        <v>36.125</v>
      </c>
      <c r="G1638" s="33" t="n">
        <f aca="false">IF(B1638=1,"",IF(B1638=2,C1637,SES_Alpha*C1637+(1-SES_Alpha)*G1637))</f>
        <v>37.3100898269816</v>
      </c>
      <c r="H1638" s="33" t="n">
        <f aca="false">IF(D1638="","",D1638-C1638)</f>
        <v>2</v>
      </c>
      <c r="I1638" s="33" t="n">
        <f aca="false">IF(E1638="","",E1638-C1638)</f>
        <v>-0.25</v>
      </c>
      <c r="J1638" s="33" t="n">
        <f aca="false">IF(F1638="","",F1638-C1638)</f>
        <v>-0.875</v>
      </c>
      <c r="K1638" s="33" t="n">
        <f aca="false">IF(G1638="","",G1638-C1638)</f>
        <v>0.310089826981589</v>
      </c>
      <c r="L1638" s="33" t="n">
        <f aca="false">IF(H1638="","",ABS(H1638))</f>
        <v>2</v>
      </c>
      <c r="M1638" s="33" t="n">
        <f aca="false">IF(I1638="","",ABS(I1638))</f>
        <v>0.25</v>
      </c>
      <c r="N1638" s="33" t="n">
        <f aca="false">IF(J1638="","",ABS(J1638))</f>
        <v>0.875</v>
      </c>
      <c r="O1638" s="33" t="n">
        <f aca="false">IF(K1638="","",ABS(K1638))</f>
        <v>0.310089826981589</v>
      </c>
      <c r="P1638" s="34" t="str">
        <f aca="false">IF(B1638&gt;=Eval_Start_Week,"YES","")</f>
        <v>YES</v>
      </c>
      <c r="Q1638" s="34" t="str">
        <f aca="false">IF(AND(B1638&gt;=Cal_Start_Week,B1638&lt;=Cal_End_Week),"YES","")</f>
        <v>YES</v>
      </c>
    </row>
    <row r="1639" customFormat="false" ht="15" hidden="false" customHeight="false" outlineLevel="0" collapsed="false">
      <c r="A1639" s="31" t="str">
        <f aca="false">Demand_History!C1639</f>
        <v>BTH-006</v>
      </c>
      <c r="B1639" s="31" t="n">
        <f aca="false">Demand_History!A1639</f>
        <v>78</v>
      </c>
      <c r="C1639" s="32" t="n">
        <f aca="false">Demand_History!D1639</f>
        <v>34</v>
      </c>
      <c r="D1639" s="33" t="n">
        <f aca="false">IF(B1639&gt;=2,C1638,"")</f>
        <v>37</v>
      </c>
      <c r="E1639" s="33" t="n">
        <f aca="false">IF(B1639&gt;=5,AVERAGE(C1635:C1638),"")</f>
        <v>37.5</v>
      </c>
      <c r="F1639" s="33" t="n">
        <f aca="false">IF(B1639&gt;=9,AVERAGE(C1631:C1638),"")</f>
        <v>36.25</v>
      </c>
      <c r="G1639" s="33" t="n">
        <f aca="false">IF(B1639=1,"",IF(B1639=2,C1638,SES_Alpha*C1638+(1-SES_Alpha)*G1638))</f>
        <v>37.2170628788871</v>
      </c>
      <c r="H1639" s="33" t="n">
        <f aca="false">IF(D1639="","",D1639-C1639)</f>
        <v>3</v>
      </c>
      <c r="I1639" s="33" t="n">
        <f aca="false">IF(E1639="","",E1639-C1639)</f>
        <v>3.5</v>
      </c>
      <c r="J1639" s="33" t="n">
        <f aca="false">IF(F1639="","",F1639-C1639)</f>
        <v>2.25</v>
      </c>
      <c r="K1639" s="33" t="n">
        <f aca="false">IF(G1639="","",G1639-C1639)</f>
        <v>3.21706287888711</v>
      </c>
      <c r="L1639" s="33" t="n">
        <f aca="false">IF(H1639="","",ABS(H1639))</f>
        <v>3</v>
      </c>
      <c r="M1639" s="33" t="n">
        <f aca="false">IF(I1639="","",ABS(I1639))</f>
        <v>3.5</v>
      </c>
      <c r="N1639" s="33" t="n">
        <f aca="false">IF(J1639="","",ABS(J1639))</f>
        <v>2.25</v>
      </c>
      <c r="O1639" s="33" t="n">
        <f aca="false">IF(K1639="","",ABS(K1639))</f>
        <v>3.21706287888711</v>
      </c>
      <c r="P1639" s="34" t="str">
        <f aca="false">IF(B1639&gt;=Eval_Start_Week,"YES","")</f>
        <v>YES</v>
      </c>
      <c r="Q1639" s="34" t="str">
        <f aca="false">IF(AND(B1639&gt;=Cal_Start_Week,B1639&lt;=Cal_End_Week),"YES","")</f>
        <v>YES</v>
      </c>
    </row>
    <row r="1640" customFormat="false" ht="15" hidden="false" customHeight="false" outlineLevel="0" collapsed="false">
      <c r="A1640" s="31" t="str">
        <f aca="false">Demand_History!C1640</f>
        <v>BTH-006</v>
      </c>
      <c r="B1640" s="31" t="n">
        <f aca="false">Demand_History!A1640</f>
        <v>79</v>
      </c>
      <c r="C1640" s="32" t="n">
        <f aca="false">Demand_History!D1640</f>
        <v>44</v>
      </c>
      <c r="D1640" s="33" t="n">
        <f aca="false">IF(B1640&gt;=2,C1639,"")</f>
        <v>34</v>
      </c>
      <c r="E1640" s="33" t="n">
        <f aca="false">IF(B1640&gt;=5,AVERAGE(C1636:C1639),"")</f>
        <v>37.5</v>
      </c>
      <c r="F1640" s="33" t="n">
        <f aca="false">IF(B1640&gt;=9,AVERAGE(C1632:C1639),"")</f>
        <v>36.375</v>
      </c>
      <c r="G1640" s="33" t="n">
        <f aca="false">IF(B1640=1,"",IF(B1640=2,C1639,SES_Alpha*C1639+(1-SES_Alpha)*G1639))</f>
        <v>36.251944015221</v>
      </c>
      <c r="H1640" s="33" t="n">
        <f aca="false">IF(D1640="","",D1640-C1640)</f>
        <v>-10</v>
      </c>
      <c r="I1640" s="33" t="n">
        <f aca="false">IF(E1640="","",E1640-C1640)</f>
        <v>-6.5</v>
      </c>
      <c r="J1640" s="33" t="n">
        <f aca="false">IF(F1640="","",F1640-C1640)</f>
        <v>-7.625</v>
      </c>
      <c r="K1640" s="33" t="n">
        <f aca="false">IF(G1640="","",G1640-C1640)</f>
        <v>-7.74805598477902</v>
      </c>
      <c r="L1640" s="33" t="n">
        <f aca="false">IF(H1640="","",ABS(H1640))</f>
        <v>10</v>
      </c>
      <c r="M1640" s="33" t="n">
        <f aca="false">IF(I1640="","",ABS(I1640))</f>
        <v>6.5</v>
      </c>
      <c r="N1640" s="33" t="n">
        <f aca="false">IF(J1640="","",ABS(J1640))</f>
        <v>7.625</v>
      </c>
      <c r="O1640" s="33" t="n">
        <f aca="false">IF(K1640="","",ABS(K1640))</f>
        <v>7.74805598477902</v>
      </c>
      <c r="P1640" s="34" t="str">
        <f aca="false">IF(B1640&gt;=Eval_Start_Week,"YES","")</f>
        <v>YES</v>
      </c>
      <c r="Q1640" s="34" t="str">
        <f aca="false">IF(AND(B1640&gt;=Cal_Start_Week,B1640&lt;=Cal_End_Week),"YES","")</f>
        <v>YES</v>
      </c>
    </row>
    <row r="1641" customFormat="false" ht="15" hidden="false" customHeight="false" outlineLevel="0" collapsed="false">
      <c r="A1641" s="31" t="str">
        <f aca="false">Demand_History!C1641</f>
        <v>BTH-006</v>
      </c>
      <c r="B1641" s="31" t="n">
        <f aca="false">Demand_History!A1641</f>
        <v>80</v>
      </c>
      <c r="C1641" s="32" t="n">
        <f aca="false">Demand_History!D1641</f>
        <v>36</v>
      </c>
      <c r="D1641" s="33" t="n">
        <f aca="false">IF(B1641&gt;=2,C1640,"")</f>
        <v>44</v>
      </c>
      <c r="E1641" s="33" t="n">
        <f aca="false">IF(B1641&gt;=5,AVERAGE(C1637:C1640),"")</f>
        <v>38.5</v>
      </c>
      <c r="F1641" s="33" t="n">
        <f aca="false">IF(B1641&gt;=9,AVERAGE(C1633:C1640),"")</f>
        <v>37.875</v>
      </c>
      <c r="G1641" s="33" t="n">
        <f aca="false">IF(B1641=1,"",IF(B1641=2,C1640,SES_Alpha*C1640+(1-SES_Alpha)*G1640))</f>
        <v>38.5763608106547</v>
      </c>
      <c r="H1641" s="33" t="n">
        <f aca="false">IF(D1641="","",D1641-C1641)</f>
        <v>8</v>
      </c>
      <c r="I1641" s="33" t="n">
        <f aca="false">IF(E1641="","",E1641-C1641)</f>
        <v>2.5</v>
      </c>
      <c r="J1641" s="33" t="n">
        <f aca="false">IF(F1641="","",F1641-C1641)</f>
        <v>1.875</v>
      </c>
      <c r="K1641" s="33" t="n">
        <f aca="false">IF(G1641="","",G1641-C1641)</f>
        <v>2.57636081065468</v>
      </c>
      <c r="L1641" s="33" t="n">
        <f aca="false">IF(H1641="","",ABS(H1641))</f>
        <v>8</v>
      </c>
      <c r="M1641" s="33" t="n">
        <f aca="false">IF(I1641="","",ABS(I1641))</f>
        <v>2.5</v>
      </c>
      <c r="N1641" s="33" t="n">
        <f aca="false">IF(J1641="","",ABS(J1641))</f>
        <v>1.875</v>
      </c>
      <c r="O1641" s="33" t="n">
        <f aca="false">IF(K1641="","",ABS(K1641))</f>
        <v>2.57636081065468</v>
      </c>
      <c r="P1641" s="34" t="str">
        <f aca="false">IF(B1641&gt;=Eval_Start_Week,"YES","")</f>
        <v>YES</v>
      </c>
      <c r="Q1641" s="34" t="str">
        <f aca="false">IF(AND(B1641&gt;=Cal_Start_Week,B1641&lt;=Cal_End_Week),"YES","")</f>
        <v>YES</v>
      </c>
    </row>
    <row r="1642" customFormat="false" ht="15" hidden="false" customHeight="false" outlineLevel="0" collapsed="false">
      <c r="A1642" s="31" t="str">
        <f aca="false">Demand_History!C1642</f>
        <v>BTH-006</v>
      </c>
      <c r="B1642" s="31" t="n">
        <f aca="false">Demand_History!A1642</f>
        <v>81</v>
      </c>
      <c r="C1642" s="32" t="n">
        <f aca="false">Demand_History!D1642</f>
        <v>37</v>
      </c>
      <c r="D1642" s="33" t="n">
        <f aca="false">IF(B1642&gt;=2,C1641,"")</f>
        <v>36</v>
      </c>
      <c r="E1642" s="33" t="n">
        <f aca="false">IF(B1642&gt;=5,AVERAGE(C1638:C1641),"")</f>
        <v>37.75</v>
      </c>
      <c r="F1642" s="33" t="n">
        <f aca="false">IF(B1642&gt;=9,AVERAGE(C1634:C1641),"")</f>
        <v>37.25</v>
      </c>
      <c r="G1642" s="33" t="n">
        <f aca="false">IF(B1642=1,"",IF(B1642=2,C1641,SES_Alpha*C1641+(1-SES_Alpha)*G1641))</f>
        <v>37.8034525674583</v>
      </c>
      <c r="H1642" s="33" t="n">
        <f aca="false">IF(D1642="","",D1642-C1642)</f>
        <v>-1</v>
      </c>
      <c r="I1642" s="33" t="n">
        <f aca="false">IF(E1642="","",E1642-C1642)</f>
        <v>0.75</v>
      </c>
      <c r="J1642" s="33" t="n">
        <f aca="false">IF(F1642="","",F1642-C1642)</f>
        <v>0.25</v>
      </c>
      <c r="K1642" s="33" t="n">
        <f aca="false">IF(G1642="","",G1642-C1642)</f>
        <v>0.80345256745828</v>
      </c>
      <c r="L1642" s="33" t="n">
        <f aca="false">IF(H1642="","",ABS(H1642))</f>
        <v>1</v>
      </c>
      <c r="M1642" s="33" t="n">
        <f aca="false">IF(I1642="","",ABS(I1642))</f>
        <v>0.75</v>
      </c>
      <c r="N1642" s="33" t="n">
        <f aca="false">IF(J1642="","",ABS(J1642))</f>
        <v>0.25</v>
      </c>
      <c r="O1642" s="33" t="n">
        <f aca="false">IF(K1642="","",ABS(K1642))</f>
        <v>0.80345256745828</v>
      </c>
      <c r="P1642" s="34" t="str">
        <f aca="false">IF(B1642&gt;=Eval_Start_Week,"YES","")</f>
        <v>YES</v>
      </c>
      <c r="Q1642" s="34" t="str">
        <f aca="false">IF(AND(B1642&gt;=Cal_Start_Week,B1642&lt;=Cal_End_Week),"YES","")</f>
        <v>YES</v>
      </c>
    </row>
    <row r="1643" customFormat="false" ht="15" hidden="false" customHeight="false" outlineLevel="0" collapsed="false">
      <c r="A1643" s="31" t="str">
        <f aca="false">Demand_History!C1643</f>
        <v>BTH-006</v>
      </c>
      <c r="B1643" s="31" t="n">
        <f aca="false">Demand_History!A1643</f>
        <v>82</v>
      </c>
      <c r="C1643" s="32" t="n">
        <f aca="false">Demand_History!D1643</f>
        <v>34</v>
      </c>
      <c r="D1643" s="33" t="n">
        <f aca="false">IF(B1643&gt;=2,C1642,"")</f>
        <v>37</v>
      </c>
      <c r="E1643" s="33" t="n">
        <f aca="false">IF(B1643&gt;=5,AVERAGE(C1639:C1642),"")</f>
        <v>37.75</v>
      </c>
      <c r="F1643" s="33" t="n">
        <f aca="false">IF(B1643&gt;=9,AVERAGE(C1635:C1642),"")</f>
        <v>37.625</v>
      </c>
      <c r="G1643" s="33" t="n">
        <f aca="false">IF(B1643=1,"",IF(B1643=2,C1642,SES_Alpha*C1642+(1-SES_Alpha)*G1642))</f>
        <v>37.5624167972208</v>
      </c>
      <c r="H1643" s="33" t="n">
        <f aca="false">IF(D1643="","",D1643-C1643)</f>
        <v>3</v>
      </c>
      <c r="I1643" s="33" t="n">
        <f aca="false">IF(E1643="","",E1643-C1643)</f>
        <v>3.75</v>
      </c>
      <c r="J1643" s="33" t="n">
        <f aca="false">IF(F1643="","",F1643-C1643)</f>
        <v>3.625</v>
      </c>
      <c r="K1643" s="33" t="n">
        <f aca="false">IF(G1643="","",G1643-C1643)</f>
        <v>3.56241679722079</v>
      </c>
      <c r="L1643" s="33" t="n">
        <f aca="false">IF(H1643="","",ABS(H1643))</f>
        <v>3</v>
      </c>
      <c r="M1643" s="33" t="n">
        <f aca="false">IF(I1643="","",ABS(I1643))</f>
        <v>3.75</v>
      </c>
      <c r="N1643" s="33" t="n">
        <f aca="false">IF(J1643="","",ABS(J1643))</f>
        <v>3.625</v>
      </c>
      <c r="O1643" s="33" t="n">
        <f aca="false">IF(K1643="","",ABS(K1643))</f>
        <v>3.56241679722079</v>
      </c>
      <c r="P1643" s="34" t="str">
        <f aca="false">IF(B1643&gt;=Eval_Start_Week,"YES","")</f>
        <v>YES</v>
      </c>
      <c r="Q1643" s="34" t="str">
        <f aca="false">IF(AND(B1643&gt;=Cal_Start_Week,B1643&lt;=Cal_End_Week),"YES","")</f>
        <v>YES</v>
      </c>
    </row>
    <row r="1644" customFormat="false" ht="15" hidden="false" customHeight="false" outlineLevel="0" collapsed="false">
      <c r="A1644" s="31" t="str">
        <f aca="false">Demand_History!C1644</f>
        <v>BTH-006</v>
      </c>
      <c r="B1644" s="31" t="n">
        <f aca="false">Demand_History!A1644</f>
        <v>83</v>
      </c>
      <c r="C1644" s="32" t="n">
        <f aca="false">Demand_History!D1644</f>
        <v>30</v>
      </c>
      <c r="D1644" s="33" t="n">
        <f aca="false">IF(B1644&gt;=2,C1643,"")</f>
        <v>34</v>
      </c>
      <c r="E1644" s="33" t="n">
        <f aca="false">IF(B1644&gt;=5,AVERAGE(C1640:C1643),"")</f>
        <v>37.75</v>
      </c>
      <c r="F1644" s="33" t="n">
        <f aca="false">IF(B1644&gt;=9,AVERAGE(C1636:C1643),"")</f>
        <v>37.625</v>
      </c>
      <c r="G1644" s="33" t="n">
        <f aca="false">IF(B1644=1,"",IF(B1644=2,C1643,SES_Alpha*C1643+(1-SES_Alpha)*G1643))</f>
        <v>36.4936917580546</v>
      </c>
      <c r="H1644" s="33" t="n">
        <f aca="false">IF(D1644="","",D1644-C1644)</f>
        <v>4</v>
      </c>
      <c r="I1644" s="33" t="n">
        <f aca="false">IF(E1644="","",E1644-C1644)</f>
        <v>7.75</v>
      </c>
      <c r="J1644" s="33" t="n">
        <f aca="false">IF(F1644="","",F1644-C1644)</f>
        <v>7.625</v>
      </c>
      <c r="K1644" s="33" t="n">
        <f aca="false">IF(G1644="","",G1644-C1644)</f>
        <v>6.49369175805455</v>
      </c>
      <c r="L1644" s="33" t="n">
        <f aca="false">IF(H1644="","",ABS(H1644))</f>
        <v>4</v>
      </c>
      <c r="M1644" s="33" t="n">
        <f aca="false">IF(I1644="","",ABS(I1644))</f>
        <v>7.75</v>
      </c>
      <c r="N1644" s="33" t="n">
        <f aca="false">IF(J1644="","",ABS(J1644))</f>
        <v>7.625</v>
      </c>
      <c r="O1644" s="33" t="n">
        <f aca="false">IF(K1644="","",ABS(K1644))</f>
        <v>6.49369175805455</v>
      </c>
      <c r="P1644" s="34" t="str">
        <f aca="false">IF(B1644&gt;=Eval_Start_Week,"YES","")</f>
        <v>YES</v>
      </c>
      <c r="Q1644" s="34" t="str">
        <f aca="false">IF(AND(B1644&gt;=Cal_Start_Week,B1644&lt;=Cal_End_Week),"YES","")</f>
        <v>YES</v>
      </c>
    </row>
    <row r="1645" customFormat="false" ht="15" hidden="false" customHeight="false" outlineLevel="0" collapsed="false">
      <c r="A1645" s="31" t="str">
        <f aca="false">Demand_History!C1645</f>
        <v>BTH-006</v>
      </c>
      <c r="B1645" s="31" t="n">
        <f aca="false">Demand_History!A1645</f>
        <v>84</v>
      </c>
      <c r="C1645" s="32" t="n">
        <f aca="false">Demand_History!D1645</f>
        <v>30</v>
      </c>
      <c r="D1645" s="33" t="n">
        <f aca="false">IF(B1645&gt;=2,C1644,"")</f>
        <v>30</v>
      </c>
      <c r="E1645" s="33" t="n">
        <f aca="false">IF(B1645&gt;=5,AVERAGE(C1641:C1644),"")</f>
        <v>34.25</v>
      </c>
      <c r="F1645" s="33" t="n">
        <f aca="false">IF(B1645&gt;=9,AVERAGE(C1637:C1644),"")</f>
        <v>36.375</v>
      </c>
      <c r="G1645" s="33" t="n">
        <f aca="false">IF(B1645=1,"",IF(B1645=2,C1644,SES_Alpha*C1644+(1-SES_Alpha)*G1644))</f>
        <v>34.5455842306382</v>
      </c>
      <c r="H1645" s="33" t="n">
        <f aca="false">IF(D1645="","",D1645-C1645)</f>
        <v>0</v>
      </c>
      <c r="I1645" s="33" t="n">
        <f aca="false">IF(E1645="","",E1645-C1645)</f>
        <v>4.25</v>
      </c>
      <c r="J1645" s="33" t="n">
        <f aca="false">IF(F1645="","",F1645-C1645)</f>
        <v>6.375</v>
      </c>
      <c r="K1645" s="33" t="n">
        <f aca="false">IF(G1645="","",G1645-C1645)</f>
        <v>4.54558423063818</v>
      </c>
      <c r="L1645" s="33" t="n">
        <f aca="false">IF(H1645="","",ABS(H1645))</f>
        <v>0</v>
      </c>
      <c r="M1645" s="33" t="n">
        <f aca="false">IF(I1645="","",ABS(I1645))</f>
        <v>4.25</v>
      </c>
      <c r="N1645" s="33" t="n">
        <f aca="false">IF(J1645="","",ABS(J1645))</f>
        <v>6.375</v>
      </c>
      <c r="O1645" s="33" t="n">
        <f aca="false">IF(K1645="","",ABS(K1645))</f>
        <v>4.54558423063818</v>
      </c>
      <c r="P1645" s="34" t="str">
        <f aca="false">IF(B1645&gt;=Eval_Start_Week,"YES","")</f>
        <v>YES</v>
      </c>
      <c r="Q1645" s="34" t="str">
        <f aca="false">IF(AND(B1645&gt;=Cal_Start_Week,B1645&lt;=Cal_End_Week),"YES","")</f>
        <v>YES</v>
      </c>
    </row>
    <row r="1646" customFormat="false" ht="15" hidden="false" customHeight="false" outlineLevel="0" collapsed="false">
      <c r="A1646" s="31" t="str">
        <f aca="false">Demand_History!C1646</f>
        <v>BTH-006</v>
      </c>
      <c r="B1646" s="31" t="n">
        <f aca="false">Demand_History!A1646</f>
        <v>85</v>
      </c>
      <c r="C1646" s="32" t="n">
        <f aca="false">Demand_History!D1646</f>
        <v>36</v>
      </c>
      <c r="D1646" s="33" t="n">
        <f aca="false">IF(B1646&gt;=2,C1645,"")</f>
        <v>30</v>
      </c>
      <c r="E1646" s="33" t="n">
        <f aca="false">IF(B1646&gt;=5,AVERAGE(C1642:C1645),"")</f>
        <v>32.75</v>
      </c>
      <c r="F1646" s="33" t="n">
        <f aca="false">IF(B1646&gt;=9,AVERAGE(C1638:C1645),"")</f>
        <v>35.25</v>
      </c>
      <c r="G1646" s="33" t="n">
        <f aca="false">IF(B1646=1,"",IF(B1646=2,C1645,SES_Alpha*C1645+(1-SES_Alpha)*G1645))</f>
        <v>33.1819089614467</v>
      </c>
      <c r="H1646" s="33" t="n">
        <f aca="false">IF(D1646="","",D1646-C1646)</f>
        <v>-6</v>
      </c>
      <c r="I1646" s="33" t="n">
        <f aca="false">IF(E1646="","",E1646-C1646)</f>
        <v>-3.25</v>
      </c>
      <c r="J1646" s="33" t="n">
        <f aca="false">IF(F1646="","",F1646-C1646)</f>
        <v>-0.75</v>
      </c>
      <c r="K1646" s="33" t="n">
        <f aca="false">IF(G1646="","",G1646-C1646)</f>
        <v>-2.81809103855328</v>
      </c>
      <c r="L1646" s="33" t="n">
        <f aca="false">IF(H1646="","",ABS(H1646))</f>
        <v>6</v>
      </c>
      <c r="M1646" s="33" t="n">
        <f aca="false">IF(I1646="","",ABS(I1646))</f>
        <v>3.25</v>
      </c>
      <c r="N1646" s="33" t="n">
        <f aca="false">IF(J1646="","",ABS(J1646))</f>
        <v>0.75</v>
      </c>
      <c r="O1646" s="33" t="n">
        <f aca="false">IF(K1646="","",ABS(K1646))</f>
        <v>2.81809103855328</v>
      </c>
      <c r="P1646" s="34" t="str">
        <f aca="false">IF(B1646&gt;=Eval_Start_Week,"YES","")</f>
        <v>YES</v>
      </c>
      <c r="Q1646" s="34" t="str">
        <f aca="false">IF(AND(B1646&gt;=Cal_Start_Week,B1646&lt;=Cal_End_Week),"YES","")</f>
        <v>YES</v>
      </c>
    </row>
    <row r="1647" customFormat="false" ht="15" hidden="false" customHeight="false" outlineLevel="0" collapsed="false">
      <c r="A1647" s="31" t="str">
        <f aca="false">Demand_History!C1647</f>
        <v>BTH-006</v>
      </c>
      <c r="B1647" s="31" t="n">
        <f aca="false">Demand_History!A1647</f>
        <v>86</v>
      </c>
      <c r="C1647" s="32" t="n">
        <f aca="false">Demand_History!D1647</f>
        <v>36</v>
      </c>
      <c r="D1647" s="33" t="n">
        <f aca="false">IF(B1647&gt;=2,C1646,"")</f>
        <v>36</v>
      </c>
      <c r="E1647" s="33" t="n">
        <f aca="false">IF(B1647&gt;=5,AVERAGE(C1643:C1646),"")</f>
        <v>32.5</v>
      </c>
      <c r="F1647" s="33" t="n">
        <f aca="false">IF(B1647&gt;=9,AVERAGE(C1639:C1646),"")</f>
        <v>35.125</v>
      </c>
      <c r="G1647" s="33" t="n">
        <f aca="false">IF(B1647=1,"",IF(B1647=2,C1646,SES_Alpha*C1646+(1-SES_Alpha)*G1646))</f>
        <v>34.0273362730127</v>
      </c>
      <c r="H1647" s="33" t="n">
        <f aca="false">IF(D1647="","",D1647-C1647)</f>
        <v>0</v>
      </c>
      <c r="I1647" s="33" t="n">
        <f aca="false">IF(E1647="","",E1647-C1647)</f>
        <v>-3.5</v>
      </c>
      <c r="J1647" s="33" t="n">
        <f aca="false">IF(F1647="","",F1647-C1647)</f>
        <v>-0.875</v>
      </c>
      <c r="K1647" s="33" t="n">
        <f aca="false">IF(G1647="","",G1647-C1647)</f>
        <v>-1.9726637269873</v>
      </c>
      <c r="L1647" s="33" t="n">
        <f aca="false">IF(H1647="","",ABS(H1647))</f>
        <v>0</v>
      </c>
      <c r="M1647" s="33" t="n">
        <f aca="false">IF(I1647="","",ABS(I1647))</f>
        <v>3.5</v>
      </c>
      <c r="N1647" s="33" t="n">
        <f aca="false">IF(J1647="","",ABS(J1647))</f>
        <v>0.875</v>
      </c>
      <c r="O1647" s="33" t="n">
        <f aca="false">IF(K1647="","",ABS(K1647))</f>
        <v>1.9726637269873</v>
      </c>
      <c r="P1647" s="34" t="str">
        <f aca="false">IF(B1647&gt;=Eval_Start_Week,"YES","")</f>
        <v>YES</v>
      </c>
      <c r="Q1647" s="34" t="str">
        <f aca="false">IF(AND(B1647&gt;=Cal_Start_Week,B1647&lt;=Cal_End_Week),"YES","")</f>
        <v>YES</v>
      </c>
    </row>
    <row r="1648" customFormat="false" ht="15" hidden="false" customHeight="false" outlineLevel="0" collapsed="false">
      <c r="A1648" s="31" t="str">
        <f aca="false">Demand_History!C1648</f>
        <v>BTH-006</v>
      </c>
      <c r="B1648" s="31" t="n">
        <f aca="false">Demand_History!A1648</f>
        <v>87</v>
      </c>
      <c r="C1648" s="32" t="n">
        <f aca="false">Demand_History!D1648</f>
        <v>34</v>
      </c>
      <c r="D1648" s="33" t="n">
        <f aca="false">IF(B1648&gt;=2,C1647,"")</f>
        <v>36</v>
      </c>
      <c r="E1648" s="33" t="n">
        <f aca="false">IF(B1648&gt;=5,AVERAGE(C1644:C1647),"")</f>
        <v>33</v>
      </c>
      <c r="F1648" s="33" t="n">
        <f aca="false">IF(B1648&gt;=9,AVERAGE(C1640:C1647),"")</f>
        <v>35.375</v>
      </c>
      <c r="G1648" s="33" t="n">
        <f aca="false">IF(B1648=1,"",IF(B1648=2,C1647,SES_Alpha*C1647+(1-SES_Alpha)*G1647))</f>
        <v>34.6191353911089</v>
      </c>
      <c r="H1648" s="33" t="n">
        <f aca="false">IF(D1648="","",D1648-C1648)</f>
        <v>2</v>
      </c>
      <c r="I1648" s="33" t="n">
        <f aca="false">IF(E1648="","",E1648-C1648)</f>
        <v>-1</v>
      </c>
      <c r="J1648" s="33" t="n">
        <f aca="false">IF(F1648="","",F1648-C1648)</f>
        <v>1.375</v>
      </c>
      <c r="K1648" s="33" t="n">
        <f aca="false">IF(G1648="","",G1648-C1648)</f>
        <v>0.619135391108891</v>
      </c>
      <c r="L1648" s="33" t="n">
        <f aca="false">IF(H1648="","",ABS(H1648))</f>
        <v>2</v>
      </c>
      <c r="M1648" s="33" t="n">
        <f aca="false">IF(I1648="","",ABS(I1648))</f>
        <v>1</v>
      </c>
      <c r="N1648" s="33" t="n">
        <f aca="false">IF(J1648="","",ABS(J1648))</f>
        <v>1.375</v>
      </c>
      <c r="O1648" s="33" t="n">
        <f aca="false">IF(K1648="","",ABS(K1648))</f>
        <v>0.619135391108891</v>
      </c>
      <c r="P1648" s="34" t="str">
        <f aca="false">IF(B1648&gt;=Eval_Start_Week,"YES","")</f>
        <v>YES</v>
      </c>
      <c r="Q1648" s="34" t="str">
        <f aca="false">IF(AND(B1648&gt;=Cal_Start_Week,B1648&lt;=Cal_End_Week),"YES","")</f>
        <v>YES</v>
      </c>
    </row>
    <row r="1649" customFormat="false" ht="15" hidden="false" customHeight="false" outlineLevel="0" collapsed="false">
      <c r="A1649" s="31" t="str">
        <f aca="false">Demand_History!C1649</f>
        <v>BTH-006</v>
      </c>
      <c r="B1649" s="31" t="n">
        <f aca="false">Demand_History!A1649</f>
        <v>88</v>
      </c>
      <c r="C1649" s="32" t="n">
        <f aca="false">Demand_History!D1649</f>
        <v>31</v>
      </c>
      <c r="D1649" s="33" t="n">
        <f aca="false">IF(B1649&gt;=2,C1648,"")</f>
        <v>34</v>
      </c>
      <c r="E1649" s="33" t="n">
        <f aca="false">IF(B1649&gt;=5,AVERAGE(C1645:C1648),"")</f>
        <v>34</v>
      </c>
      <c r="F1649" s="33" t="n">
        <f aca="false">IF(B1649&gt;=9,AVERAGE(C1641:C1648),"")</f>
        <v>34.125</v>
      </c>
      <c r="G1649" s="33" t="n">
        <f aca="false">IF(B1649=1,"",IF(B1649=2,C1648,SES_Alpha*C1648+(1-SES_Alpha)*G1648))</f>
        <v>34.4333947737762</v>
      </c>
      <c r="H1649" s="33" t="n">
        <f aca="false">IF(D1649="","",D1649-C1649)</f>
        <v>3</v>
      </c>
      <c r="I1649" s="33" t="n">
        <f aca="false">IF(E1649="","",E1649-C1649)</f>
        <v>3</v>
      </c>
      <c r="J1649" s="33" t="n">
        <f aca="false">IF(F1649="","",F1649-C1649)</f>
        <v>3.125</v>
      </c>
      <c r="K1649" s="33" t="n">
        <f aca="false">IF(G1649="","",G1649-C1649)</f>
        <v>3.43339477377622</v>
      </c>
      <c r="L1649" s="33" t="n">
        <f aca="false">IF(H1649="","",ABS(H1649))</f>
        <v>3</v>
      </c>
      <c r="M1649" s="33" t="n">
        <f aca="false">IF(I1649="","",ABS(I1649))</f>
        <v>3</v>
      </c>
      <c r="N1649" s="33" t="n">
        <f aca="false">IF(J1649="","",ABS(J1649))</f>
        <v>3.125</v>
      </c>
      <c r="O1649" s="33" t="n">
        <f aca="false">IF(K1649="","",ABS(K1649))</f>
        <v>3.43339477377622</v>
      </c>
      <c r="P1649" s="34" t="str">
        <f aca="false">IF(B1649&gt;=Eval_Start_Week,"YES","")</f>
        <v>YES</v>
      </c>
      <c r="Q1649" s="34" t="str">
        <f aca="false">IF(AND(B1649&gt;=Cal_Start_Week,B1649&lt;=Cal_End_Week),"YES","")</f>
        <v>YES</v>
      </c>
    </row>
    <row r="1650" customFormat="false" ht="15" hidden="false" customHeight="false" outlineLevel="0" collapsed="false">
      <c r="A1650" s="31" t="str">
        <f aca="false">Demand_History!C1650</f>
        <v>BTH-006</v>
      </c>
      <c r="B1650" s="31" t="n">
        <f aca="false">Demand_History!A1650</f>
        <v>89</v>
      </c>
      <c r="C1650" s="32" t="n">
        <f aca="false">Demand_History!D1650</f>
        <v>30</v>
      </c>
      <c r="D1650" s="33" t="n">
        <f aca="false">IF(B1650&gt;=2,C1649,"")</f>
        <v>31</v>
      </c>
      <c r="E1650" s="33" t="n">
        <f aca="false">IF(B1650&gt;=5,AVERAGE(C1646:C1649),"")</f>
        <v>34.25</v>
      </c>
      <c r="F1650" s="33" t="n">
        <f aca="false">IF(B1650&gt;=9,AVERAGE(C1642:C1649),"")</f>
        <v>33.5</v>
      </c>
      <c r="G1650" s="33" t="n">
        <f aca="false">IF(B1650=1,"",IF(B1650=2,C1649,SES_Alpha*C1649+(1-SES_Alpha)*G1649))</f>
        <v>33.4033763416434</v>
      </c>
      <c r="H1650" s="33" t="n">
        <f aca="false">IF(D1650="","",D1650-C1650)</f>
        <v>1</v>
      </c>
      <c r="I1650" s="33" t="n">
        <f aca="false">IF(E1650="","",E1650-C1650)</f>
        <v>4.25</v>
      </c>
      <c r="J1650" s="33" t="n">
        <f aca="false">IF(F1650="","",F1650-C1650)</f>
        <v>3.5</v>
      </c>
      <c r="K1650" s="33" t="n">
        <f aca="false">IF(G1650="","",G1650-C1650)</f>
        <v>3.40337634164335</v>
      </c>
      <c r="L1650" s="33" t="n">
        <f aca="false">IF(H1650="","",ABS(H1650))</f>
        <v>1</v>
      </c>
      <c r="M1650" s="33" t="n">
        <f aca="false">IF(I1650="","",ABS(I1650))</f>
        <v>4.25</v>
      </c>
      <c r="N1650" s="33" t="n">
        <f aca="false">IF(J1650="","",ABS(J1650))</f>
        <v>3.5</v>
      </c>
      <c r="O1650" s="33" t="n">
        <f aca="false">IF(K1650="","",ABS(K1650))</f>
        <v>3.40337634164335</v>
      </c>
      <c r="P1650" s="34" t="str">
        <f aca="false">IF(B1650&gt;=Eval_Start_Week,"YES","")</f>
        <v>YES</v>
      </c>
      <c r="Q1650" s="34" t="str">
        <f aca="false">IF(AND(B1650&gt;=Cal_Start_Week,B1650&lt;=Cal_End_Week),"YES","")</f>
        <v/>
      </c>
    </row>
    <row r="1651" customFormat="false" ht="15" hidden="false" customHeight="false" outlineLevel="0" collapsed="false">
      <c r="A1651" s="31" t="str">
        <f aca="false">Demand_History!C1651</f>
        <v>BTH-006</v>
      </c>
      <c r="B1651" s="31" t="n">
        <f aca="false">Demand_History!A1651</f>
        <v>90</v>
      </c>
      <c r="C1651" s="32" t="n">
        <f aca="false">Demand_History!D1651</f>
        <v>34</v>
      </c>
      <c r="D1651" s="33" t="n">
        <f aca="false">IF(B1651&gt;=2,C1650,"")</f>
        <v>30</v>
      </c>
      <c r="E1651" s="33" t="n">
        <f aca="false">IF(B1651&gt;=5,AVERAGE(C1647:C1650),"")</f>
        <v>32.75</v>
      </c>
      <c r="F1651" s="33" t="n">
        <f aca="false">IF(B1651&gt;=9,AVERAGE(C1643:C1650),"")</f>
        <v>32.625</v>
      </c>
      <c r="G1651" s="33" t="n">
        <f aca="false">IF(B1651=1,"",IF(B1651=2,C1650,SES_Alpha*C1650+(1-SES_Alpha)*G1650))</f>
        <v>32.3823634391503</v>
      </c>
      <c r="H1651" s="33" t="n">
        <f aca="false">IF(D1651="","",D1651-C1651)</f>
        <v>-4</v>
      </c>
      <c r="I1651" s="33" t="n">
        <f aca="false">IF(E1651="","",E1651-C1651)</f>
        <v>-1.25</v>
      </c>
      <c r="J1651" s="33" t="n">
        <f aca="false">IF(F1651="","",F1651-C1651)</f>
        <v>-1.375</v>
      </c>
      <c r="K1651" s="33" t="n">
        <f aca="false">IF(G1651="","",G1651-C1651)</f>
        <v>-1.61763656084965</v>
      </c>
      <c r="L1651" s="33" t="n">
        <f aca="false">IF(H1651="","",ABS(H1651))</f>
        <v>4</v>
      </c>
      <c r="M1651" s="33" t="n">
        <f aca="false">IF(I1651="","",ABS(I1651))</f>
        <v>1.25</v>
      </c>
      <c r="N1651" s="33" t="n">
        <f aca="false">IF(J1651="","",ABS(J1651))</f>
        <v>1.375</v>
      </c>
      <c r="O1651" s="33" t="n">
        <f aca="false">IF(K1651="","",ABS(K1651))</f>
        <v>1.61763656084965</v>
      </c>
      <c r="P1651" s="34" t="str">
        <f aca="false">IF(B1651&gt;=Eval_Start_Week,"YES","")</f>
        <v>YES</v>
      </c>
      <c r="Q1651" s="34" t="str">
        <f aca="false">IF(AND(B1651&gt;=Cal_Start_Week,B1651&lt;=Cal_End_Week),"YES","")</f>
        <v/>
      </c>
    </row>
    <row r="1652" customFormat="false" ht="15" hidden="false" customHeight="false" outlineLevel="0" collapsed="false">
      <c r="A1652" s="31" t="str">
        <f aca="false">Demand_History!C1652</f>
        <v>BTH-006</v>
      </c>
      <c r="B1652" s="31" t="n">
        <f aca="false">Demand_History!A1652</f>
        <v>91</v>
      </c>
      <c r="C1652" s="32" t="n">
        <f aca="false">Demand_History!D1652</f>
        <v>30</v>
      </c>
      <c r="D1652" s="33" t="n">
        <f aca="false">IF(B1652&gt;=2,C1651,"")</f>
        <v>34</v>
      </c>
      <c r="E1652" s="33" t="n">
        <f aca="false">IF(B1652&gt;=5,AVERAGE(C1648:C1651),"")</f>
        <v>32.25</v>
      </c>
      <c r="F1652" s="33" t="n">
        <f aca="false">IF(B1652&gt;=9,AVERAGE(C1644:C1651),"")</f>
        <v>32.625</v>
      </c>
      <c r="G1652" s="33" t="n">
        <f aca="false">IF(B1652=1,"",IF(B1652=2,C1651,SES_Alpha*C1651+(1-SES_Alpha)*G1651))</f>
        <v>32.8676544074052</v>
      </c>
      <c r="H1652" s="33" t="n">
        <f aca="false">IF(D1652="","",D1652-C1652)</f>
        <v>4</v>
      </c>
      <c r="I1652" s="33" t="n">
        <f aca="false">IF(E1652="","",E1652-C1652)</f>
        <v>2.25</v>
      </c>
      <c r="J1652" s="33" t="n">
        <f aca="false">IF(F1652="","",F1652-C1652)</f>
        <v>2.625</v>
      </c>
      <c r="K1652" s="33" t="n">
        <f aca="false">IF(G1652="","",G1652-C1652)</f>
        <v>2.86765440740524</v>
      </c>
      <c r="L1652" s="33" t="n">
        <f aca="false">IF(H1652="","",ABS(H1652))</f>
        <v>4</v>
      </c>
      <c r="M1652" s="33" t="n">
        <f aca="false">IF(I1652="","",ABS(I1652))</f>
        <v>2.25</v>
      </c>
      <c r="N1652" s="33" t="n">
        <f aca="false">IF(J1652="","",ABS(J1652))</f>
        <v>2.625</v>
      </c>
      <c r="O1652" s="33" t="n">
        <f aca="false">IF(K1652="","",ABS(K1652))</f>
        <v>2.86765440740524</v>
      </c>
      <c r="P1652" s="34" t="str">
        <f aca="false">IF(B1652&gt;=Eval_Start_Week,"YES","")</f>
        <v>YES</v>
      </c>
      <c r="Q1652" s="34" t="str">
        <f aca="false">IF(AND(B1652&gt;=Cal_Start_Week,B1652&lt;=Cal_End_Week),"YES","")</f>
        <v/>
      </c>
    </row>
    <row r="1653" customFormat="false" ht="15" hidden="false" customHeight="false" outlineLevel="0" collapsed="false">
      <c r="A1653" s="31" t="str">
        <f aca="false">Demand_History!C1653</f>
        <v>BTH-006</v>
      </c>
      <c r="B1653" s="31" t="n">
        <f aca="false">Demand_History!A1653</f>
        <v>92</v>
      </c>
      <c r="C1653" s="32" t="n">
        <f aca="false">Demand_History!D1653</f>
        <v>38</v>
      </c>
      <c r="D1653" s="33" t="n">
        <f aca="false">IF(B1653&gt;=2,C1652,"")</f>
        <v>30</v>
      </c>
      <c r="E1653" s="33" t="n">
        <f aca="false">IF(B1653&gt;=5,AVERAGE(C1649:C1652),"")</f>
        <v>31.25</v>
      </c>
      <c r="F1653" s="33" t="n">
        <f aca="false">IF(B1653&gt;=9,AVERAGE(C1645:C1652),"")</f>
        <v>32.625</v>
      </c>
      <c r="G1653" s="33" t="n">
        <f aca="false">IF(B1653=1,"",IF(B1653=2,C1652,SES_Alpha*C1652+(1-SES_Alpha)*G1652))</f>
        <v>32.0073580851837</v>
      </c>
      <c r="H1653" s="33" t="n">
        <f aca="false">IF(D1653="","",D1653-C1653)</f>
        <v>-8</v>
      </c>
      <c r="I1653" s="33" t="n">
        <f aca="false">IF(E1653="","",E1653-C1653)</f>
        <v>-6.75</v>
      </c>
      <c r="J1653" s="33" t="n">
        <f aca="false">IF(F1653="","",F1653-C1653)</f>
        <v>-5.375</v>
      </c>
      <c r="K1653" s="33" t="n">
        <f aca="false">IF(G1653="","",G1653-C1653)</f>
        <v>-5.99264191481633</v>
      </c>
      <c r="L1653" s="33" t="n">
        <f aca="false">IF(H1653="","",ABS(H1653))</f>
        <v>8</v>
      </c>
      <c r="M1653" s="33" t="n">
        <f aca="false">IF(I1653="","",ABS(I1653))</f>
        <v>6.75</v>
      </c>
      <c r="N1653" s="33" t="n">
        <f aca="false">IF(J1653="","",ABS(J1653))</f>
        <v>5.375</v>
      </c>
      <c r="O1653" s="33" t="n">
        <f aca="false">IF(K1653="","",ABS(K1653))</f>
        <v>5.99264191481633</v>
      </c>
      <c r="P1653" s="34" t="str">
        <f aca="false">IF(B1653&gt;=Eval_Start_Week,"YES","")</f>
        <v>YES</v>
      </c>
      <c r="Q1653" s="34" t="str">
        <f aca="false">IF(AND(B1653&gt;=Cal_Start_Week,B1653&lt;=Cal_End_Week),"YES","")</f>
        <v/>
      </c>
    </row>
    <row r="1654" customFormat="false" ht="15" hidden="false" customHeight="false" outlineLevel="0" collapsed="false">
      <c r="A1654" s="31" t="str">
        <f aca="false">Demand_History!C1654</f>
        <v>BTH-006</v>
      </c>
      <c r="B1654" s="31" t="n">
        <f aca="false">Demand_History!A1654</f>
        <v>93</v>
      </c>
      <c r="C1654" s="32" t="n">
        <f aca="false">Demand_History!D1654</f>
        <v>39</v>
      </c>
      <c r="D1654" s="33" t="n">
        <f aca="false">IF(B1654&gt;=2,C1653,"")</f>
        <v>38</v>
      </c>
      <c r="E1654" s="33" t="n">
        <f aca="false">IF(B1654&gt;=5,AVERAGE(C1650:C1653),"")</f>
        <v>33</v>
      </c>
      <c r="F1654" s="33" t="n">
        <f aca="false">IF(B1654&gt;=9,AVERAGE(C1646:C1653),"")</f>
        <v>33.625</v>
      </c>
      <c r="G1654" s="33" t="n">
        <f aca="false">IF(B1654=1,"",IF(B1654=2,C1653,SES_Alpha*C1653+(1-SES_Alpha)*G1653))</f>
        <v>33.8051506596286</v>
      </c>
      <c r="H1654" s="33" t="n">
        <f aca="false">IF(D1654="","",D1654-C1654)</f>
        <v>-1</v>
      </c>
      <c r="I1654" s="33" t="n">
        <f aca="false">IF(E1654="","",E1654-C1654)</f>
        <v>-6</v>
      </c>
      <c r="J1654" s="33" t="n">
        <f aca="false">IF(F1654="","",F1654-C1654)</f>
        <v>-5.375</v>
      </c>
      <c r="K1654" s="33" t="n">
        <f aca="false">IF(G1654="","",G1654-C1654)</f>
        <v>-5.19484934037143</v>
      </c>
      <c r="L1654" s="33" t="n">
        <f aca="false">IF(H1654="","",ABS(H1654))</f>
        <v>1</v>
      </c>
      <c r="M1654" s="33" t="n">
        <f aca="false">IF(I1654="","",ABS(I1654))</f>
        <v>6</v>
      </c>
      <c r="N1654" s="33" t="n">
        <f aca="false">IF(J1654="","",ABS(J1654))</f>
        <v>5.375</v>
      </c>
      <c r="O1654" s="33" t="n">
        <f aca="false">IF(K1654="","",ABS(K1654))</f>
        <v>5.19484934037143</v>
      </c>
      <c r="P1654" s="34" t="str">
        <f aca="false">IF(B1654&gt;=Eval_Start_Week,"YES","")</f>
        <v>YES</v>
      </c>
      <c r="Q1654" s="34" t="str">
        <f aca="false">IF(AND(B1654&gt;=Cal_Start_Week,B1654&lt;=Cal_End_Week),"YES","")</f>
        <v/>
      </c>
    </row>
    <row r="1655" customFormat="false" ht="15" hidden="false" customHeight="false" outlineLevel="0" collapsed="false">
      <c r="A1655" s="31" t="str">
        <f aca="false">Demand_History!C1655</f>
        <v>BTH-006</v>
      </c>
      <c r="B1655" s="31" t="n">
        <f aca="false">Demand_History!A1655</f>
        <v>94</v>
      </c>
      <c r="C1655" s="32" t="n">
        <f aca="false">Demand_History!D1655</f>
        <v>45</v>
      </c>
      <c r="D1655" s="33" t="n">
        <f aca="false">IF(B1655&gt;=2,C1654,"")</f>
        <v>39</v>
      </c>
      <c r="E1655" s="33" t="n">
        <f aca="false">IF(B1655&gt;=5,AVERAGE(C1651:C1654),"")</f>
        <v>35.25</v>
      </c>
      <c r="F1655" s="33" t="n">
        <f aca="false">IF(B1655&gt;=9,AVERAGE(C1647:C1654),"")</f>
        <v>34</v>
      </c>
      <c r="G1655" s="33" t="n">
        <f aca="false">IF(B1655=1,"",IF(B1655=2,C1654,SES_Alpha*C1654+(1-SES_Alpha)*G1654))</f>
        <v>35.36360546174</v>
      </c>
      <c r="H1655" s="33" t="n">
        <f aca="false">IF(D1655="","",D1655-C1655)</f>
        <v>-6</v>
      </c>
      <c r="I1655" s="33" t="n">
        <f aca="false">IF(E1655="","",E1655-C1655)</f>
        <v>-9.75</v>
      </c>
      <c r="J1655" s="33" t="n">
        <f aca="false">IF(F1655="","",F1655-C1655)</f>
        <v>-11</v>
      </c>
      <c r="K1655" s="33" t="n">
        <f aca="false">IF(G1655="","",G1655-C1655)</f>
        <v>-9.63639453826001</v>
      </c>
      <c r="L1655" s="33" t="n">
        <f aca="false">IF(H1655="","",ABS(H1655))</f>
        <v>6</v>
      </c>
      <c r="M1655" s="33" t="n">
        <f aca="false">IF(I1655="","",ABS(I1655))</f>
        <v>9.75</v>
      </c>
      <c r="N1655" s="33" t="n">
        <f aca="false">IF(J1655="","",ABS(J1655))</f>
        <v>11</v>
      </c>
      <c r="O1655" s="33" t="n">
        <f aca="false">IF(K1655="","",ABS(K1655))</f>
        <v>9.63639453826001</v>
      </c>
      <c r="P1655" s="34" t="str">
        <f aca="false">IF(B1655&gt;=Eval_Start_Week,"YES","")</f>
        <v>YES</v>
      </c>
      <c r="Q1655" s="34" t="str">
        <f aca="false">IF(AND(B1655&gt;=Cal_Start_Week,B1655&lt;=Cal_End_Week),"YES","")</f>
        <v/>
      </c>
    </row>
    <row r="1656" customFormat="false" ht="15" hidden="false" customHeight="false" outlineLevel="0" collapsed="false">
      <c r="A1656" s="31" t="str">
        <f aca="false">Demand_History!C1656</f>
        <v>BTH-006</v>
      </c>
      <c r="B1656" s="31" t="n">
        <f aca="false">Demand_History!A1656</f>
        <v>95</v>
      </c>
      <c r="C1656" s="32" t="n">
        <f aca="false">Demand_History!D1656</f>
        <v>38</v>
      </c>
      <c r="D1656" s="33" t="n">
        <f aca="false">IF(B1656&gt;=2,C1655,"")</f>
        <v>45</v>
      </c>
      <c r="E1656" s="33" t="n">
        <f aca="false">IF(B1656&gt;=5,AVERAGE(C1652:C1655),"")</f>
        <v>38</v>
      </c>
      <c r="F1656" s="33" t="n">
        <f aca="false">IF(B1656&gt;=9,AVERAGE(C1648:C1655),"")</f>
        <v>35.125</v>
      </c>
      <c r="G1656" s="33" t="n">
        <f aca="false">IF(B1656=1,"",IF(B1656=2,C1655,SES_Alpha*C1655+(1-SES_Alpha)*G1655))</f>
        <v>38.254523823218</v>
      </c>
      <c r="H1656" s="33" t="n">
        <f aca="false">IF(D1656="","",D1656-C1656)</f>
        <v>7</v>
      </c>
      <c r="I1656" s="33" t="n">
        <f aca="false">IF(E1656="","",E1656-C1656)</f>
        <v>0</v>
      </c>
      <c r="J1656" s="33" t="n">
        <f aca="false">IF(F1656="","",F1656-C1656)</f>
        <v>-2.875</v>
      </c>
      <c r="K1656" s="33" t="n">
        <f aca="false">IF(G1656="","",G1656-C1656)</f>
        <v>0.254523823217994</v>
      </c>
      <c r="L1656" s="33" t="n">
        <f aca="false">IF(H1656="","",ABS(H1656))</f>
        <v>7</v>
      </c>
      <c r="M1656" s="33" t="n">
        <f aca="false">IF(I1656="","",ABS(I1656))</f>
        <v>0</v>
      </c>
      <c r="N1656" s="33" t="n">
        <f aca="false">IF(J1656="","",ABS(J1656))</f>
        <v>2.875</v>
      </c>
      <c r="O1656" s="33" t="n">
        <f aca="false">IF(K1656="","",ABS(K1656))</f>
        <v>0.254523823217994</v>
      </c>
      <c r="P1656" s="34" t="str">
        <f aca="false">IF(B1656&gt;=Eval_Start_Week,"YES","")</f>
        <v>YES</v>
      </c>
      <c r="Q1656" s="34" t="str">
        <f aca="false">IF(AND(B1656&gt;=Cal_Start_Week,B1656&lt;=Cal_End_Week),"YES","")</f>
        <v/>
      </c>
    </row>
    <row r="1657" customFormat="false" ht="15" hidden="false" customHeight="false" outlineLevel="0" collapsed="false">
      <c r="A1657" s="31" t="str">
        <f aca="false">Demand_History!C1657</f>
        <v>BTH-006</v>
      </c>
      <c r="B1657" s="31" t="n">
        <f aca="false">Demand_History!A1657</f>
        <v>96</v>
      </c>
      <c r="C1657" s="32" t="n">
        <f aca="false">Demand_History!D1657</f>
        <v>33</v>
      </c>
      <c r="D1657" s="33" t="n">
        <f aca="false">IF(B1657&gt;=2,C1656,"")</f>
        <v>38</v>
      </c>
      <c r="E1657" s="33" t="n">
        <f aca="false">IF(B1657&gt;=5,AVERAGE(C1653:C1656),"")</f>
        <v>40</v>
      </c>
      <c r="F1657" s="33" t="n">
        <f aca="false">IF(B1657&gt;=9,AVERAGE(C1649:C1656),"")</f>
        <v>35.625</v>
      </c>
      <c r="G1657" s="33" t="n">
        <f aca="false">IF(B1657=1,"",IF(B1657=2,C1656,SES_Alpha*C1656+(1-SES_Alpha)*G1656))</f>
        <v>38.1781666762526</v>
      </c>
      <c r="H1657" s="33" t="n">
        <f aca="false">IF(D1657="","",D1657-C1657)</f>
        <v>5</v>
      </c>
      <c r="I1657" s="33" t="n">
        <f aca="false">IF(E1657="","",E1657-C1657)</f>
        <v>7</v>
      </c>
      <c r="J1657" s="33" t="n">
        <f aca="false">IF(F1657="","",F1657-C1657)</f>
        <v>2.625</v>
      </c>
      <c r="K1657" s="33" t="n">
        <f aca="false">IF(G1657="","",G1657-C1657)</f>
        <v>5.17816667625259</v>
      </c>
      <c r="L1657" s="33" t="n">
        <f aca="false">IF(H1657="","",ABS(H1657))</f>
        <v>5</v>
      </c>
      <c r="M1657" s="33" t="n">
        <f aca="false">IF(I1657="","",ABS(I1657))</f>
        <v>7</v>
      </c>
      <c r="N1657" s="33" t="n">
        <f aca="false">IF(J1657="","",ABS(J1657))</f>
        <v>2.625</v>
      </c>
      <c r="O1657" s="33" t="n">
        <f aca="false">IF(K1657="","",ABS(K1657))</f>
        <v>5.17816667625259</v>
      </c>
      <c r="P1657" s="34" t="str">
        <f aca="false">IF(B1657&gt;=Eval_Start_Week,"YES","")</f>
        <v>YES</v>
      </c>
      <c r="Q1657" s="34" t="str">
        <f aca="false">IF(AND(B1657&gt;=Cal_Start_Week,B1657&lt;=Cal_End_Week),"YES","")</f>
        <v/>
      </c>
    </row>
    <row r="1658" customFormat="false" ht="15" hidden="false" customHeight="false" outlineLevel="0" collapsed="false">
      <c r="A1658" s="31" t="str">
        <f aca="false">Demand_History!C1658</f>
        <v>BTH-006</v>
      </c>
      <c r="B1658" s="31" t="n">
        <f aca="false">Demand_History!A1658</f>
        <v>97</v>
      </c>
      <c r="C1658" s="32" t="n">
        <f aca="false">Demand_History!D1658</f>
        <v>32</v>
      </c>
      <c r="D1658" s="33" t="n">
        <f aca="false">IF(B1658&gt;=2,C1657,"")</f>
        <v>33</v>
      </c>
      <c r="E1658" s="33" t="n">
        <f aca="false">IF(B1658&gt;=5,AVERAGE(C1654:C1657),"")</f>
        <v>38.75</v>
      </c>
      <c r="F1658" s="33" t="n">
        <f aca="false">IF(B1658&gt;=9,AVERAGE(C1650:C1657),"")</f>
        <v>35.875</v>
      </c>
      <c r="G1658" s="33" t="n">
        <f aca="false">IF(B1658=1,"",IF(B1658=2,C1657,SES_Alpha*C1657+(1-SES_Alpha)*G1657))</f>
        <v>36.6247166733768</v>
      </c>
      <c r="H1658" s="33" t="n">
        <f aca="false">IF(D1658="","",D1658-C1658)</f>
        <v>1</v>
      </c>
      <c r="I1658" s="33" t="n">
        <f aca="false">IF(E1658="","",E1658-C1658)</f>
        <v>6.75</v>
      </c>
      <c r="J1658" s="33" t="n">
        <f aca="false">IF(F1658="","",F1658-C1658)</f>
        <v>3.875</v>
      </c>
      <c r="K1658" s="33" t="n">
        <f aca="false">IF(G1658="","",G1658-C1658)</f>
        <v>4.62471667337682</v>
      </c>
      <c r="L1658" s="33" t="n">
        <f aca="false">IF(H1658="","",ABS(H1658))</f>
        <v>1</v>
      </c>
      <c r="M1658" s="33" t="n">
        <f aca="false">IF(I1658="","",ABS(I1658))</f>
        <v>6.75</v>
      </c>
      <c r="N1658" s="33" t="n">
        <f aca="false">IF(J1658="","",ABS(J1658))</f>
        <v>3.875</v>
      </c>
      <c r="O1658" s="33" t="n">
        <f aca="false">IF(K1658="","",ABS(K1658))</f>
        <v>4.62471667337682</v>
      </c>
      <c r="P1658" s="34" t="str">
        <f aca="false">IF(B1658&gt;=Eval_Start_Week,"YES","")</f>
        <v>YES</v>
      </c>
      <c r="Q1658" s="34" t="str">
        <f aca="false">IF(AND(B1658&gt;=Cal_Start_Week,B1658&lt;=Cal_End_Week),"YES","")</f>
        <v/>
      </c>
    </row>
    <row r="1659" customFormat="false" ht="15" hidden="false" customHeight="false" outlineLevel="0" collapsed="false">
      <c r="A1659" s="31" t="str">
        <f aca="false">Demand_History!C1659</f>
        <v>BTH-006</v>
      </c>
      <c r="B1659" s="31" t="n">
        <f aca="false">Demand_History!A1659</f>
        <v>98</v>
      </c>
      <c r="C1659" s="32" t="n">
        <f aca="false">Demand_History!D1659</f>
        <v>22</v>
      </c>
      <c r="D1659" s="33" t="n">
        <f aca="false">IF(B1659&gt;=2,C1658,"")</f>
        <v>32</v>
      </c>
      <c r="E1659" s="33" t="n">
        <f aca="false">IF(B1659&gt;=5,AVERAGE(C1655:C1658),"")</f>
        <v>37</v>
      </c>
      <c r="F1659" s="33" t="n">
        <f aca="false">IF(B1659&gt;=9,AVERAGE(C1651:C1658),"")</f>
        <v>36.125</v>
      </c>
      <c r="G1659" s="33" t="n">
        <f aca="false">IF(B1659=1,"",IF(B1659=2,C1658,SES_Alpha*C1658+(1-SES_Alpha)*G1658))</f>
        <v>35.2373016713638</v>
      </c>
      <c r="H1659" s="33" t="n">
        <f aca="false">IF(D1659="","",D1659-C1659)</f>
        <v>10</v>
      </c>
      <c r="I1659" s="33" t="n">
        <f aca="false">IF(E1659="","",E1659-C1659)</f>
        <v>15</v>
      </c>
      <c r="J1659" s="33" t="n">
        <f aca="false">IF(F1659="","",F1659-C1659)</f>
        <v>14.125</v>
      </c>
      <c r="K1659" s="33" t="n">
        <f aca="false">IF(G1659="","",G1659-C1659)</f>
        <v>13.2373016713638</v>
      </c>
      <c r="L1659" s="33" t="n">
        <f aca="false">IF(H1659="","",ABS(H1659))</f>
        <v>10</v>
      </c>
      <c r="M1659" s="33" t="n">
        <f aca="false">IF(I1659="","",ABS(I1659))</f>
        <v>15</v>
      </c>
      <c r="N1659" s="33" t="n">
        <f aca="false">IF(J1659="","",ABS(J1659))</f>
        <v>14.125</v>
      </c>
      <c r="O1659" s="33" t="n">
        <f aca="false">IF(K1659="","",ABS(K1659))</f>
        <v>13.2373016713638</v>
      </c>
      <c r="P1659" s="34" t="str">
        <f aca="false">IF(B1659&gt;=Eval_Start_Week,"YES","")</f>
        <v>YES</v>
      </c>
      <c r="Q1659" s="34" t="str">
        <f aca="false">IF(AND(B1659&gt;=Cal_Start_Week,B1659&lt;=Cal_End_Week),"YES","")</f>
        <v/>
      </c>
    </row>
    <row r="1660" customFormat="false" ht="15" hidden="false" customHeight="false" outlineLevel="0" collapsed="false">
      <c r="A1660" s="31" t="str">
        <f aca="false">Demand_History!C1660</f>
        <v>BTH-006</v>
      </c>
      <c r="B1660" s="31" t="n">
        <f aca="false">Demand_History!A1660</f>
        <v>99</v>
      </c>
      <c r="C1660" s="32" t="n">
        <f aca="false">Demand_History!D1660</f>
        <v>33</v>
      </c>
      <c r="D1660" s="33" t="n">
        <f aca="false">IF(B1660&gt;=2,C1659,"")</f>
        <v>22</v>
      </c>
      <c r="E1660" s="33" t="n">
        <f aca="false">IF(B1660&gt;=5,AVERAGE(C1656:C1659),"")</f>
        <v>31.25</v>
      </c>
      <c r="F1660" s="33" t="n">
        <f aca="false">IF(B1660&gt;=9,AVERAGE(C1652:C1659),"")</f>
        <v>34.625</v>
      </c>
      <c r="G1660" s="33" t="n">
        <f aca="false">IF(B1660=1,"",IF(B1660=2,C1659,SES_Alpha*C1659+(1-SES_Alpha)*G1659))</f>
        <v>31.2661111699546</v>
      </c>
      <c r="H1660" s="33" t="n">
        <f aca="false">IF(D1660="","",D1660-C1660)</f>
        <v>-11</v>
      </c>
      <c r="I1660" s="33" t="n">
        <f aca="false">IF(E1660="","",E1660-C1660)</f>
        <v>-1.75</v>
      </c>
      <c r="J1660" s="33" t="n">
        <f aca="false">IF(F1660="","",F1660-C1660)</f>
        <v>1.625</v>
      </c>
      <c r="K1660" s="33" t="n">
        <f aca="false">IF(G1660="","",G1660-C1660)</f>
        <v>-1.73388883004537</v>
      </c>
      <c r="L1660" s="33" t="n">
        <f aca="false">IF(H1660="","",ABS(H1660))</f>
        <v>11</v>
      </c>
      <c r="M1660" s="33" t="n">
        <f aca="false">IF(I1660="","",ABS(I1660))</f>
        <v>1.75</v>
      </c>
      <c r="N1660" s="33" t="n">
        <f aca="false">IF(J1660="","",ABS(J1660))</f>
        <v>1.625</v>
      </c>
      <c r="O1660" s="33" t="n">
        <f aca="false">IF(K1660="","",ABS(K1660))</f>
        <v>1.73388883004537</v>
      </c>
      <c r="P1660" s="34" t="str">
        <f aca="false">IF(B1660&gt;=Eval_Start_Week,"YES","")</f>
        <v>YES</v>
      </c>
      <c r="Q1660" s="34" t="str">
        <f aca="false">IF(AND(B1660&gt;=Cal_Start_Week,B1660&lt;=Cal_End_Week),"YES","")</f>
        <v/>
      </c>
    </row>
    <row r="1661" customFormat="false" ht="15" hidden="false" customHeight="false" outlineLevel="0" collapsed="false">
      <c r="A1661" s="31" t="str">
        <f aca="false">Demand_History!C1661</f>
        <v>BTH-006</v>
      </c>
      <c r="B1661" s="31" t="n">
        <f aca="false">Demand_History!A1661</f>
        <v>100</v>
      </c>
      <c r="C1661" s="32" t="n">
        <f aca="false">Demand_History!D1661</f>
        <v>34</v>
      </c>
      <c r="D1661" s="33" t="n">
        <f aca="false">IF(B1661&gt;=2,C1660,"")</f>
        <v>33</v>
      </c>
      <c r="E1661" s="33" t="n">
        <f aca="false">IF(B1661&gt;=5,AVERAGE(C1657:C1660),"")</f>
        <v>30</v>
      </c>
      <c r="F1661" s="33" t="n">
        <f aca="false">IF(B1661&gt;=9,AVERAGE(C1653:C1660),"")</f>
        <v>35</v>
      </c>
      <c r="G1661" s="33" t="n">
        <f aca="false">IF(B1661=1,"",IF(B1661=2,C1660,SES_Alpha*C1660+(1-SES_Alpha)*G1660))</f>
        <v>31.7862778189682</v>
      </c>
      <c r="H1661" s="33" t="n">
        <f aca="false">IF(D1661="","",D1661-C1661)</f>
        <v>-1</v>
      </c>
      <c r="I1661" s="33" t="n">
        <f aca="false">IF(E1661="","",E1661-C1661)</f>
        <v>-4</v>
      </c>
      <c r="J1661" s="33" t="n">
        <f aca="false">IF(F1661="","",F1661-C1661)</f>
        <v>1</v>
      </c>
      <c r="K1661" s="33" t="n">
        <f aca="false">IF(G1661="","",G1661-C1661)</f>
        <v>-2.21372218103176</v>
      </c>
      <c r="L1661" s="33" t="n">
        <f aca="false">IF(H1661="","",ABS(H1661))</f>
        <v>1</v>
      </c>
      <c r="M1661" s="33" t="n">
        <f aca="false">IF(I1661="","",ABS(I1661))</f>
        <v>4</v>
      </c>
      <c r="N1661" s="33" t="n">
        <f aca="false">IF(J1661="","",ABS(J1661))</f>
        <v>1</v>
      </c>
      <c r="O1661" s="33" t="n">
        <f aca="false">IF(K1661="","",ABS(K1661))</f>
        <v>2.21372218103176</v>
      </c>
      <c r="P1661" s="34" t="str">
        <f aca="false">IF(B1661&gt;=Eval_Start_Week,"YES","")</f>
        <v>YES</v>
      </c>
      <c r="Q1661" s="34" t="str">
        <f aca="false">IF(AND(B1661&gt;=Cal_Start_Week,B1661&lt;=Cal_End_Week),"YES","")</f>
        <v/>
      </c>
    </row>
    <row r="1662" customFormat="false" ht="15" hidden="false" customHeight="false" outlineLevel="0" collapsed="false">
      <c r="A1662" s="31" t="str">
        <f aca="false">Demand_History!C1662</f>
        <v>BTH-006</v>
      </c>
      <c r="B1662" s="31" t="n">
        <f aca="false">Demand_History!A1662</f>
        <v>101</v>
      </c>
      <c r="C1662" s="32" t="n">
        <f aca="false">Demand_History!D1662</f>
        <v>39</v>
      </c>
      <c r="D1662" s="33" t="n">
        <f aca="false">IF(B1662&gt;=2,C1661,"")</f>
        <v>34</v>
      </c>
      <c r="E1662" s="33" t="n">
        <f aca="false">IF(B1662&gt;=5,AVERAGE(C1658:C1661),"")</f>
        <v>30.25</v>
      </c>
      <c r="F1662" s="33" t="n">
        <f aca="false">IF(B1662&gt;=9,AVERAGE(C1654:C1661),"")</f>
        <v>34.5</v>
      </c>
      <c r="G1662" s="33" t="n">
        <f aca="false">IF(B1662=1,"",IF(B1662=2,C1661,SES_Alpha*C1661+(1-SES_Alpha)*G1661))</f>
        <v>32.4503944732778</v>
      </c>
      <c r="H1662" s="33" t="n">
        <f aca="false">IF(D1662="","",D1662-C1662)</f>
        <v>-5</v>
      </c>
      <c r="I1662" s="33" t="n">
        <f aca="false">IF(E1662="","",E1662-C1662)</f>
        <v>-8.75</v>
      </c>
      <c r="J1662" s="33" t="n">
        <f aca="false">IF(F1662="","",F1662-C1662)</f>
        <v>-4.5</v>
      </c>
      <c r="K1662" s="33" t="n">
        <f aca="false">IF(G1662="","",G1662-C1662)</f>
        <v>-6.54960552672223</v>
      </c>
      <c r="L1662" s="33" t="n">
        <f aca="false">IF(H1662="","",ABS(H1662))</f>
        <v>5</v>
      </c>
      <c r="M1662" s="33" t="n">
        <f aca="false">IF(I1662="","",ABS(I1662))</f>
        <v>8.75</v>
      </c>
      <c r="N1662" s="33" t="n">
        <f aca="false">IF(J1662="","",ABS(J1662))</f>
        <v>4.5</v>
      </c>
      <c r="O1662" s="33" t="n">
        <f aca="false">IF(K1662="","",ABS(K1662))</f>
        <v>6.54960552672223</v>
      </c>
      <c r="P1662" s="34" t="str">
        <f aca="false">IF(B1662&gt;=Eval_Start_Week,"YES","")</f>
        <v>YES</v>
      </c>
      <c r="Q1662" s="34" t="str">
        <f aca="false">IF(AND(B1662&gt;=Cal_Start_Week,B1662&lt;=Cal_End_Week),"YES","")</f>
        <v/>
      </c>
    </row>
    <row r="1663" customFormat="false" ht="15" hidden="false" customHeight="false" outlineLevel="0" collapsed="false">
      <c r="A1663" s="31" t="str">
        <f aca="false">Demand_History!C1663</f>
        <v>BTH-006</v>
      </c>
      <c r="B1663" s="31" t="n">
        <f aca="false">Demand_History!A1663</f>
        <v>102</v>
      </c>
      <c r="C1663" s="32" t="n">
        <f aca="false">Demand_History!D1663</f>
        <v>37</v>
      </c>
      <c r="D1663" s="33" t="n">
        <f aca="false">IF(B1663&gt;=2,C1662,"")</f>
        <v>39</v>
      </c>
      <c r="E1663" s="33" t="n">
        <f aca="false">IF(B1663&gt;=5,AVERAGE(C1659:C1662),"")</f>
        <v>32</v>
      </c>
      <c r="F1663" s="33" t="n">
        <f aca="false">IF(B1663&gt;=9,AVERAGE(C1655:C1662),"")</f>
        <v>34.5</v>
      </c>
      <c r="G1663" s="33" t="n">
        <f aca="false">IF(B1663=1,"",IF(B1663=2,C1662,SES_Alpha*C1662+(1-SES_Alpha)*G1662))</f>
        <v>34.4152761312944</v>
      </c>
      <c r="H1663" s="33" t="n">
        <f aca="false">IF(D1663="","",D1663-C1663)</f>
        <v>2</v>
      </c>
      <c r="I1663" s="33" t="n">
        <f aca="false">IF(E1663="","",E1663-C1663)</f>
        <v>-5</v>
      </c>
      <c r="J1663" s="33" t="n">
        <f aca="false">IF(F1663="","",F1663-C1663)</f>
        <v>-2.5</v>
      </c>
      <c r="K1663" s="33" t="n">
        <f aca="false">IF(G1663="","",G1663-C1663)</f>
        <v>-2.58472386870557</v>
      </c>
      <c r="L1663" s="33" t="n">
        <f aca="false">IF(H1663="","",ABS(H1663))</f>
        <v>2</v>
      </c>
      <c r="M1663" s="33" t="n">
        <f aca="false">IF(I1663="","",ABS(I1663))</f>
        <v>5</v>
      </c>
      <c r="N1663" s="33" t="n">
        <f aca="false">IF(J1663="","",ABS(J1663))</f>
        <v>2.5</v>
      </c>
      <c r="O1663" s="33" t="n">
        <f aca="false">IF(K1663="","",ABS(K1663))</f>
        <v>2.58472386870557</v>
      </c>
      <c r="P1663" s="34" t="str">
        <f aca="false">IF(B1663&gt;=Eval_Start_Week,"YES","")</f>
        <v>YES</v>
      </c>
      <c r="Q1663" s="34" t="str">
        <f aca="false">IF(AND(B1663&gt;=Cal_Start_Week,B1663&lt;=Cal_End_Week),"YES","")</f>
        <v/>
      </c>
    </row>
    <row r="1664" customFormat="false" ht="15" hidden="false" customHeight="false" outlineLevel="0" collapsed="false">
      <c r="A1664" s="31" t="str">
        <f aca="false">Demand_History!C1664</f>
        <v>BTH-006</v>
      </c>
      <c r="B1664" s="31" t="n">
        <f aca="false">Demand_History!A1664</f>
        <v>103</v>
      </c>
      <c r="C1664" s="32" t="n">
        <f aca="false">Demand_History!D1664</f>
        <v>37</v>
      </c>
      <c r="D1664" s="33" t="n">
        <f aca="false">IF(B1664&gt;=2,C1663,"")</f>
        <v>37</v>
      </c>
      <c r="E1664" s="33" t="n">
        <f aca="false">IF(B1664&gt;=5,AVERAGE(C1660:C1663),"")</f>
        <v>35.75</v>
      </c>
      <c r="F1664" s="33" t="n">
        <f aca="false">IF(B1664&gt;=9,AVERAGE(C1656:C1663),"")</f>
        <v>33.5</v>
      </c>
      <c r="G1664" s="33" t="n">
        <f aca="false">IF(B1664=1,"",IF(B1664=2,C1663,SES_Alpha*C1663+(1-SES_Alpha)*G1663))</f>
        <v>35.1906932919061</v>
      </c>
      <c r="H1664" s="33" t="n">
        <f aca="false">IF(D1664="","",D1664-C1664)</f>
        <v>0</v>
      </c>
      <c r="I1664" s="33" t="n">
        <f aca="false">IF(E1664="","",E1664-C1664)</f>
        <v>-1.25</v>
      </c>
      <c r="J1664" s="33" t="n">
        <f aca="false">IF(F1664="","",F1664-C1664)</f>
        <v>-3.5</v>
      </c>
      <c r="K1664" s="33" t="n">
        <f aca="false">IF(G1664="","",G1664-C1664)</f>
        <v>-1.8093067080939</v>
      </c>
      <c r="L1664" s="33" t="n">
        <f aca="false">IF(H1664="","",ABS(H1664))</f>
        <v>0</v>
      </c>
      <c r="M1664" s="33" t="n">
        <f aca="false">IF(I1664="","",ABS(I1664))</f>
        <v>1.25</v>
      </c>
      <c r="N1664" s="33" t="n">
        <f aca="false">IF(J1664="","",ABS(J1664))</f>
        <v>3.5</v>
      </c>
      <c r="O1664" s="33" t="n">
        <f aca="false">IF(K1664="","",ABS(K1664))</f>
        <v>1.8093067080939</v>
      </c>
      <c r="P1664" s="34" t="str">
        <f aca="false">IF(B1664&gt;=Eval_Start_Week,"YES","")</f>
        <v>YES</v>
      </c>
      <c r="Q1664" s="34" t="str">
        <f aca="false">IF(AND(B1664&gt;=Cal_Start_Week,B1664&lt;=Cal_End_Week),"YES","")</f>
        <v/>
      </c>
    </row>
    <row r="1665" customFormat="false" ht="15" hidden="false" customHeight="false" outlineLevel="0" collapsed="false">
      <c r="A1665" s="31" t="str">
        <f aca="false">Demand_History!C1665</f>
        <v>BTH-006</v>
      </c>
      <c r="B1665" s="31" t="n">
        <f aca="false">Demand_History!A1665</f>
        <v>104</v>
      </c>
      <c r="C1665" s="32" t="n">
        <f aca="false">Demand_History!D1665</f>
        <v>36</v>
      </c>
      <c r="D1665" s="33" t="n">
        <f aca="false">IF(B1665&gt;=2,C1664,"")</f>
        <v>37</v>
      </c>
      <c r="E1665" s="33" t="n">
        <f aca="false">IF(B1665&gt;=5,AVERAGE(C1661:C1664),"")</f>
        <v>36.75</v>
      </c>
      <c r="F1665" s="33" t="n">
        <f aca="false">IF(B1665&gt;=9,AVERAGE(C1657:C1664),"")</f>
        <v>33.375</v>
      </c>
      <c r="G1665" s="33" t="n">
        <f aca="false">IF(B1665=1,"",IF(B1665=2,C1664,SES_Alpha*C1664+(1-SES_Alpha)*G1664))</f>
        <v>35.7334853043343</v>
      </c>
      <c r="H1665" s="33" t="n">
        <f aca="false">IF(D1665="","",D1665-C1665)</f>
        <v>1</v>
      </c>
      <c r="I1665" s="33" t="n">
        <f aca="false">IF(E1665="","",E1665-C1665)</f>
        <v>0.75</v>
      </c>
      <c r="J1665" s="33" t="n">
        <f aca="false">IF(F1665="","",F1665-C1665)</f>
        <v>-2.625</v>
      </c>
      <c r="K1665" s="33" t="n">
        <f aca="false">IF(G1665="","",G1665-C1665)</f>
        <v>-0.266514695665734</v>
      </c>
      <c r="L1665" s="33" t="n">
        <f aca="false">IF(H1665="","",ABS(H1665))</f>
        <v>1</v>
      </c>
      <c r="M1665" s="33" t="n">
        <f aca="false">IF(I1665="","",ABS(I1665))</f>
        <v>0.75</v>
      </c>
      <c r="N1665" s="33" t="n">
        <f aca="false">IF(J1665="","",ABS(J1665))</f>
        <v>2.625</v>
      </c>
      <c r="O1665" s="33" t="n">
        <f aca="false">IF(K1665="","",ABS(K1665))</f>
        <v>0.266514695665734</v>
      </c>
      <c r="P1665" s="34" t="str">
        <f aca="false">IF(B1665&gt;=Eval_Start_Week,"YES","")</f>
        <v>YES</v>
      </c>
      <c r="Q1665" s="34" t="str">
        <f aca="false">IF(AND(B1665&gt;=Cal_Start_Week,B1665&lt;=Cal_End_Week),"YES","")</f>
        <v/>
      </c>
    </row>
    <row r="1666" customFormat="false" ht="15" hidden="false" customHeight="false" outlineLevel="0" collapsed="false">
      <c r="A1666" s="31" t="str">
        <f aca="false">Demand_History!C1666</f>
        <v>BTH-007</v>
      </c>
      <c r="B1666" s="31" t="n">
        <f aca="false">Demand_History!A1666</f>
        <v>1</v>
      </c>
      <c r="C1666" s="32" t="n">
        <f aca="false">Demand_History!D1666</f>
        <v>32</v>
      </c>
      <c r="D1666" s="33" t="str">
        <f aca="false">IF(B1666&gt;=2,C1665,"")</f>
        <v/>
      </c>
      <c r="E1666" s="33" t="str">
        <f aca="false">IF(B1666&gt;=5,AVERAGE(C1662:C1665),"")</f>
        <v/>
      </c>
      <c r="F1666" s="33" t="str">
        <f aca="false">IF(B1666&gt;=9,AVERAGE(C1658:C1665),"")</f>
        <v/>
      </c>
      <c r="G1666" s="33" t="str">
        <f aca="false">IF(B1666=1,"",IF(B1666=2,C1665,SES_Alpha*C1665+(1-SES_Alpha)*G1665))</f>
        <v/>
      </c>
      <c r="H1666" s="33" t="str">
        <f aca="false">IF(D1666="","",D1666-C1666)</f>
        <v/>
      </c>
      <c r="I1666" s="33" t="str">
        <f aca="false">IF(E1666="","",E1666-C1666)</f>
        <v/>
      </c>
      <c r="J1666" s="33" t="str">
        <f aca="false">IF(F1666="","",F1666-C1666)</f>
        <v/>
      </c>
      <c r="K1666" s="33" t="str">
        <f aca="false">IF(G1666="","",G1666-C1666)</f>
        <v/>
      </c>
      <c r="L1666" s="33" t="str">
        <f aca="false">IF(H1666="","",ABS(H1666))</f>
        <v/>
      </c>
      <c r="M1666" s="33" t="str">
        <f aca="false">IF(I1666="","",ABS(I1666))</f>
        <v/>
      </c>
      <c r="N1666" s="33" t="str">
        <f aca="false">IF(J1666="","",ABS(J1666))</f>
        <v/>
      </c>
      <c r="O1666" s="33" t="str">
        <f aca="false">IF(K1666="","",ABS(K1666))</f>
        <v/>
      </c>
      <c r="P1666" s="34" t="str">
        <f aca="false">IF(B1666&gt;=Eval_Start_Week,"YES","")</f>
        <v/>
      </c>
      <c r="Q1666" s="34" t="str">
        <f aca="false">IF(AND(B1666&gt;=Cal_Start_Week,B1666&lt;=Cal_End_Week),"YES","")</f>
        <v/>
      </c>
    </row>
    <row r="1667" customFormat="false" ht="15" hidden="false" customHeight="false" outlineLevel="0" collapsed="false">
      <c r="A1667" s="31" t="str">
        <f aca="false">Demand_History!C1667</f>
        <v>BTH-007</v>
      </c>
      <c r="B1667" s="31" t="n">
        <f aca="false">Demand_History!A1667</f>
        <v>2</v>
      </c>
      <c r="C1667" s="32" t="n">
        <f aca="false">Demand_History!D1667</f>
        <v>36</v>
      </c>
      <c r="D1667" s="33" t="n">
        <f aca="false">IF(B1667&gt;=2,C1666,"")</f>
        <v>32</v>
      </c>
      <c r="E1667" s="33" t="str">
        <f aca="false">IF(B1667&gt;=5,AVERAGE(C1663:C1666),"")</f>
        <v/>
      </c>
      <c r="F1667" s="33" t="str">
        <f aca="false">IF(B1667&gt;=9,AVERAGE(C1659:C1666),"")</f>
        <v/>
      </c>
      <c r="G1667" s="33" t="n">
        <f aca="false">IF(B1667=1,"",IF(B1667=2,C1666,SES_Alpha*C1666+(1-SES_Alpha)*G1666))</f>
        <v>32</v>
      </c>
      <c r="H1667" s="33" t="n">
        <f aca="false">IF(D1667="","",D1667-C1667)</f>
        <v>-4</v>
      </c>
      <c r="I1667" s="33" t="str">
        <f aca="false">IF(E1667="","",E1667-C1667)</f>
        <v/>
      </c>
      <c r="J1667" s="33" t="str">
        <f aca="false">IF(F1667="","",F1667-C1667)</f>
        <v/>
      </c>
      <c r="K1667" s="33" t="n">
        <f aca="false">IF(G1667="","",G1667-C1667)</f>
        <v>-4</v>
      </c>
      <c r="L1667" s="33" t="n">
        <f aca="false">IF(H1667="","",ABS(H1667))</f>
        <v>4</v>
      </c>
      <c r="M1667" s="33" t="str">
        <f aca="false">IF(I1667="","",ABS(I1667))</f>
        <v/>
      </c>
      <c r="N1667" s="33" t="str">
        <f aca="false">IF(J1667="","",ABS(J1667))</f>
        <v/>
      </c>
      <c r="O1667" s="33" t="n">
        <f aca="false">IF(K1667="","",ABS(K1667))</f>
        <v>4</v>
      </c>
      <c r="P1667" s="34" t="str">
        <f aca="false">IF(B1667&gt;=Eval_Start_Week,"YES","")</f>
        <v/>
      </c>
      <c r="Q1667" s="34" t="str">
        <f aca="false">IF(AND(B1667&gt;=Cal_Start_Week,B1667&lt;=Cal_End_Week),"YES","")</f>
        <v/>
      </c>
    </row>
    <row r="1668" customFormat="false" ht="15" hidden="false" customHeight="false" outlineLevel="0" collapsed="false">
      <c r="A1668" s="31" t="str">
        <f aca="false">Demand_History!C1668</f>
        <v>BTH-007</v>
      </c>
      <c r="B1668" s="31" t="n">
        <f aca="false">Demand_History!A1668</f>
        <v>3</v>
      </c>
      <c r="C1668" s="32" t="n">
        <f aca="false">Demand_History!D1668</f>
        <v>25</v>
      </c>
      <c r="D1668" s="33" t="n">
        <f aca="false">IF(B1668&gt;=2,C1667,"")</f>
        <v>36</v>
      </c>
      <c r="E1668" s="33" t="str">
        <f aca="false">IF(B1668&gt;=5,AVERAGE(C1664:C1667),"")</f>
        <v/>
      </c>
      <c r="F1668" s="33" t="str">
        <f aca="false">IF(B1668&gt;=9,AVERAGE(C1660:C1667),"")</f>
        <v/>
      </c>
      <c r="G1668" s="33" t="n">
        <f aca="false">IF(B1668=1,"",IF(B1668=2,C1667,SES_Alpha*C1667+(1-SES_Alpha)*G1667))</f>
        <v>33.2</v>
      </c>
      <c r="H1668" s="33" t="n">
        <f aca="false">IF(D1668="","",D1668-C1668)</f>
        <v>11</v>
      </c>
      <c r="I1668" s="33" t="str">
        <f aca="false">IF(E1668="","",E1668-C1668)</f>
        <v/>
      </c>
      <c r="J1668" s="33" t="str">
        <f aca="false">IF(F1668="","",F1668-C1668)</f>
        <v/>
      </c>
      <c r="K1668" s="33" t="n">
        <f aca="false">IF(G1668="","",G1668-C1668)</f>
        <v>8.2</v>
      </c>
      <c r="L1668" s="33" t="n">
        <f aca="false">IF(H1668="","",ABS(H1668))</f>
        <v>11</v>
      </c>
      <c r="M1668" s="33" t="str">
        <f aca="false">IF(I1668="","",ABS(I1668))</f>
        <v/>
      </c>
      <c r="N1668" s="33" t="str">
        <f aca="false">IF(J1668="","",ABS(J1668))</f>
        <v/>
      </c>
      <c r="O1668" s="33" t="n">
        <f aca="false">IF(K1668="","",ABS(K1668))</f>
        <v>8.2</v>
      </c>
      <c r="P1668" s="34" t="str">
        <f aca="false">IF(B1668&gt;=Eval_Start_Week,"YES","")</f>
        <v/>
      </c>
      <c r="Q1668" s="34" t="str">
        <f aca="false">IF(AND(B1668&gt;=Cal_Start_Week,B1668&lt;=Cal_End_Week),"YES","")</f>
        <v/>
      </c>
    </row>
    <row r="1669" customFormat="false" ht="15" hidden="false" customHeight="false" outlineLevel="0" collapsed="false">
      <c r="A1669" s="31" t="str">
        <f aca="false">Demand_History!C1669</f>
        <v>BTH-007</v>
      </c>
      <c r="B1669" s="31" t="n">
        <f aca="false">Demand_History!A1669</f>
        <v>4</v>
      </c>
      <c r="C1669" s="32" t="n">
        <f aca="false">Demand_History!D1669</f>
        <v>28</v>
      </c>
      <c r="D1669" s="33" t="n">
        <f aca="false">IF(B1669&gt;=2,C1668,"")</f>
        <v>25</v>
      </c>
      <c r="E1669" s="33" t="str">
        <f aca="false">IF(B1669&gt;=5,AVERAGE(C1665:C1668),"")</f>
        <v/>
      </c>
      <c r="F1669" s="33" t="str">
        <f aca="false">IF(B1669&gt;=9,AVERAGE(C1661:C1668),"")</f>
        <v/>
      </c>
      <c r="G1669" s="33" t="n">
        <f aca="false">IF(B1669=1,"",IF(B1669=2,C1668,SES_Alpha*C1668+(1-SES_Alpha)*G1668))</f>
        <v>30.74</v>
      </c>
      <c r="H1669" s="33" t="n">
        <f aca="false">IF(D1669="","",D1669-C1669)</f>
        <v>-3</v>
      </c>
      <c r="I1669" s="33" t="str">
        <f aca="false">IF(E1669="","",E1669-C1669)</f>
        <v/>
      </c>
      <c r="J1669" s="33" t="str">
        <f aca="false">IF(F1669="","",F1669-C1669)</f>
        <v/>
      </c>
      <c r="K1669" s="33" t="n">
        <f aca="false">IF(G1669="","",G1669-C1669)</f>
        <v>2.74</v>
      </c>
      <c r="L1669" s="33" t="n">
        <f aca="false">IF(H1669="","",ABS(H1669))</f>
        <v>3</v>
      </c>
      <c r="M1669" s="33" t="str">
        <f aca="false">IF(I1669="","",ABS(I1669))</f>
        <v/>
      </c>
      <c r="N1669" s="33" t="str">
        <f aca="false">IF(J1669="","",ABS(J1669))</f>
        <v/>
      </c>
      <c r="O1669" s="33" t="n">
        <f aca="false">IF(K1669="","",ABS(K1669))</f>
        <v>2.74</v>
      </c>
      <c r="P1669" s="34" t="str">
        <f aca="false">IF(B1669&gt;=Eval_Start_Week,"YES","")</f>
        <v/>
      </c>
      <c r="Q1669" s="34" t="str">
        <f aca="false">IF(AND(B1669&gt;=Cal_Start_Week,B1669&lt;=Cal_End_Week),"YES","")</f>
        <v/>
      </c>
    </row>
    <row r="1670" customFormat="false" ht="15" hidden="false" customHeight="false" outlineLevel="0" collapsed="false">
      <c r="A1670" s="31" t="str">
        <f aca="false">Demand_History!C1670</f>
        <v>BTH-007</v>
      </c>
      <c r="B1670" s="31" t="n">
        <f aca="false">Demand_History!A1670</f>
        <v>5</v>
      </c>
      <c r="C1670" s="32" t="n">
        <f aca="false">Demand_History!D1670</f>
        <v>25</v>
      </c>
      <c r="D1670" s="33" t="n">
        <f aca="false">IF(B1670&gt;=2,C1669,"")</f>
        <v>28</v>
      </c>
      <c r="E1670" s="33" t="n">
        <f aca="false">IF(B1670&gt;=5,AVERAGE(C1666:C1669),"")</f>
        <v>30.25</v>
      </c>
      <c r="F1670" s="33" t="str">
        <f aca="false">IF(B1670&gt;=9,AVERAGE(C1662:C1669),"")</f>
        <v/>
      </c>
      <c r="G1670" s="33" t="n">
        <f aca="false">IF(B1670=1,"",IF(B1670=2,C1669,SES_Alpha*C1669+(1-SES_Alpha)*G1669))</f>
        <v>29.918</v>
      </c>
      <c r="H1670" s="33" t="n">
        <f aca="false">IF(D1670="","",D1670-C1670)</f>
        <v>3</v>
      </c>
      <c r="I1670" s="33" t="n">
        <f aca="false">IF(E1670="","",E1670-C1670)</f>
        <v>5.25</v>
      </c>
      <c r="J1670" s="33" t="str">
        <f aca="false">IF(F1670="","",F1670-C1670)</f>
        <v/>
      </c>
      <c r="K1670" s="33" t="n">
        <f aca="false">IF(G1670="","",G1670-C1670)</f>
        <v>4.91799999999999</v>
      </c>
      <c r="L1670" s="33" t="n">
        <f aca="false">IF(H1670="","",ABS(H1670))</f>
        <v>3</v>
      </c>
      <c r="M1670" s="33" t="n">
        <f aca="false">IF(I1670="","",ABS(I1670))</f>
        <v>5.25</v>
      </c>
      <c r="N1670" s="33" t="str">
        <f aca="false">IF(J1670="","",ABS(J1670))</f>
        <v/>
      </c>
      <c r="O1670" s="33" t="n">
        <f aca="false">IF(K1670="","",ABS(K1670))</f>
        <v>4.91799999999999</v>
      </c>
      <c r="P1670" s="34" t="str">
        <f aca="false">IF(B1670&gt;=Eval_Start_Week,"YES","")</f>
        <v/>
      </c>
      <c r="Q1670" s="34" t="str">
        <f aca="false">IF(AND(B1670&gt;=Cal_Start_Week,B1670&lt;=Cal_End_Week),"YES","")</f>
        <v/>
      </c>
    </row>
    <row r="1671" customFormat="false" ht="15" hidden="false" customHeight="false" outlineLevel="0" collapsed="false">
      <c r="A1671" s="31" t="str">
        <f aca="false">Demand_History!C1671</f>
        <v>BTH-007</v>
      </c>
      <c r="B1671" s="31" t="n">
        <f aca="false">Demand_History!A1671</f>
        <v>6</v>
      </c>
      <c r="C1671" s="32" t="n">
        <f aca="false">Demand_History!D1671</f>
        <v>38</v>
      </c>
      <c r="D1671" s="33" t="n">
        <f aca="false">IF(B1671&gt;=2,C1670,"")</f>
        <v>25</v>
      </c>
      <c r="E1671" s="33" t="n">
        <f aca="false">IF(B1671&gt;=5,AVERAGE(C1667:C1670),"")</f>
        <v>28.5</v>
      </c>
      <c r="F1671" s="33" t="str">
        <f aca="false">IF(B1671&gt;=9,AVERAGE(C1663:C1670),"")</f>
        <v/>
      </c>
      <c r="G1671" s="33" t="n">
        <f aca="false">IF(B1671=1,"",IF(B1671=2,C1670,SES_Alpha*C1670+(1-SES_Alpha)*G1670))</f>
        <v>28.4426</v>
      </c>
      <c r="H1671" s="33" t="n">
        <f aca="false">IF(D1671="","",D1671-C1671)</f>
        <v>-13</v>
      </c>
      <c r="I1671" s="33" t="n">
        <f aca="false">IF(E1671="","",E1671-C1671)</f>
        <v>-9.5</v>
      </c>
      <c r="J1671" s="33" t="str">
        <f aca="false">IF(F1671="","",F1671-C1671)</f>
        <v/>
      </c>
      <c r="K1671" s="33" t="n">
        <f aca="false">IF(G1671="","",G1671-C1671)</f>
        <v>-9.55740000000001</v>
      </c>
      <c r="L1671" s="33" t="n">
        <f aca="false">IF(H1671="","",ABS(H1671))</f>
        <v>13</v>
      </c>
      <c r="M1671" s="33" t="n">
        <f aca="false">IF(I1671="","",ABS(I1671))</f>
        <v>9.5</v>
      </c>
      <c r="N1671" s="33" t="str">
        <f aca="false">IF(J1671="","",ABS(J1671))</f>
        <v/>
      </c>
      <c r="O1671" s="33" t="n">
        <f aca="false">IF(K1671="","",ABS(K1671))</f>
        <v>9.55740000000001</v>
      </c>
      <c r="P1671" s="34" t="str">
        <f aca="false">IF(B1671&gt;=Eval_Start_Week,"YES","")</f>
        <v/>
      </c>
      <c r="Q1671" s="34" t="str">
        <f aca="false">IF(AND(B1671&gt;=Cal_Start_Week,B1671&lt;=Cal_End_Week),"YES","")</f>
        <v/>
      </c>
    </row>
    <row r="1672" customFormat="false" ht="15" hidden="false" customHeight="false" outlineLevel="0" collapsed="false">
      <c r="A1672" s="31" t="str">
        <f aca="false">Demand_History!C1672</f>
        <v>BTH-007</v>
      </c>
      <c r="B1672" s="31" t="n">
        <f aca="false">Demand_History!A1672</f>
        <v>7</v>
      </c>
      <c r="C1672" s="32" t="n">
        <f aca="false">Demand_History!D1672</f>
        <v>37</v>
      </c>
      <c r="D1672" s="33" t="n">
        <f aca="false">IF(B1672&gt;=2,C1671,"")</f>
        <v>38</v>
      </c>
      <c r="E1672" s="33" t="n">
        <f aca="false">IF(B1672&gt;=5,AVERAGE(C1668:C1671),"")</f>
        <v>29</v>
      </c>
      <c r="F1672" s="33" t="str">
        <f aca="false">IF(B1672&gt;=9,AVERAGE(C1664:C1671),"")</f>
        <v/>
      </c>
      <c r="G1672" s="33" t="n">
        <f aca="false">IF(B1672=1,"",IF(B1672=2,C1671,SES_Alpha*C1671+(1-SES_Alpha)*G1671))</f>
        <v>31.30982</v>
      </c>
      <c r="H1672" s="33" t="n">
        <f aca="false">IF(D1672="","",D1672-C1672)</f>
        <v>1</v>
      </c>
      <c r="I1672" s="33" t="n">
        <f aca="false">IF(E1672="","",E1672-C1672)</f>
        <v>-8</v>
      </c>
      <c r="J1672" s="33" t="str">
        <f aca="false">IF(F1672="","",F1672-C1672)</f>
        <v/>
      </c>
      <c r="K1672" s="33" t="n">
        <f aca="false">IF(G1672="","",G1672-C1672)</f>
        <v>-5.69018000000001</v>
      </c>
      <c r="L1672" s="33" t="n">
        <f aca="false">IF(H1672="","",ABS(H1672))</f>
        <v>1</v>
      </c>
      <c r="M1672" s="33" t="n">
        <f aca="false">IF(I1672="","",ABS(I1672))</f>
        <v>8</v>
      </c>
      <c r="N1672" s="33" t="str">
        <f aca="false">IF(J1672="","",ABS(J1672))</f>
        <v/>
      </c>
      <c r="O1672" s="33" t="n">
        <f aca="false">IF(K1672="","",ABS(K1672))</f>
        <v>5.69018000000001</v>
      </c>
      <c r="P1672" s="34" t="str">
        <f aca="false">IF(B1672&gt;=Eval_Start_Week,"YES","")</f>
        <v/>
      </c>
      <c r="Q1672" s="34" t="str">
        <f aca="false">IF(AND(B1672&gt;=Cal_Start_Week,B1672&lt;=Cal_End_Week),"YES","")</f>
        <v/>
      </c>
    </row>
    <row r="1673" customFormat="false" ht="15" hidden="false" customHeight="false" outlineLevel="0" collapsed="false">
      <c r="A1673" s="31" t="str">
        <f aca="false">Demand_History!C1673</f>
        <v>BTH-007</v>
      </c>
      <c r="B1673" s="31" t="n">
        <f aca="false">Demand_History!A1673</f>
        <v>8</v>
      </c>
      <c r="C1673" s="32" t="n">
        <f aca="false">Demand_History!D1673</f>
        <v>35</v>
      </c>
      <c r="D1673" s="33" t="n">
        <f aca="false">IF(B1673&gt;=2,C1672,"")</f>
        <v>37</v>
      </c>
      <c r="E1673" s="33" t="n">
        <f aca="false">IF(B1673&gt;=5,AVERAGE(C1669:C1672),"")</f>
        <v>32</v>
      </c>
      <c r="F1673" s="33" t="str">
        <f aca="false">IF(B1673&gt;=9,AVERAGE(C1665:C1672),"")</f>
        <v/>
      </c>
      <c r="G1673" s="33" t="n">
        <f aca="false">IF(B1673=1,"",IF(B1673=2,C1672,SES_Alpha*C1672+(1-SES_Alpha)*G1672))</f>
        <v>33.016874</v>
      </c>
      <c r="H1673" s="33" t="n">
        <f aca="false">IF(D1673="","",D1673-C1673)</f>
        <v>2</v>
      </c>
      <c r="I1673" s="33" t="n">
        <f aca="false">IF(E1673="","",E1673-C1673)</f>
        <v>-3</v>
      </c>
      <c r="J1673" s="33" t="str">
        <f aca="false">IF(F1673="","",F1673-C1673)</f>
        <v/>
      </c>
      <c r="K1673" s="33" t="n">
        <f aca="false">IF(G1673="","",G1673-C1673)</f>
        <v>-1.98312600000001</v>
      </c>
      <c r="L1673" s="33" t="n">
        <f aca="false">IF(H1673="","",ABS(H1673))</f>
        <v>2</v>
      </c>
      <c r="M1673" s="33" t="n">
        <f aca="false">IF(I1673="","",ABS(I1673))</f>
        <v>3</v>
      </c>
      <c r="N1673" s="33" t="str">
        <f aca="false">IF(J1673="","",ABS(J1673))</f>
        <v/>
      </c>
      <c r="O1673" s="33" t="n">
        <f aca="false">IF(K1673="","",ABS(K1673))</f>
        <v>1.98312600000001</v>
      </c>
      <c r="P1673" s="34" t="str">
        <f aca="false">IF(B1673&gt;=Eval_Start_Week,"YES","")</f>
        <v/>
      </c>
      <c r="Q1673" s="34" t="str">
        <f aca="false">IF(AND(B1673&gt;=Cal_Start_Week,B1673&lt;=Cal_End_Week),"YES","")</f>
        <v/>
      </c>
    </row>
    <row r="1674" customFormat="false" ht="15" hidden="false" customHeight="false" outlineLevel="0" collapsed="false">
      <c r="A1674" s="31" t="str">
        <f aca="false">Demand_History!C1674</f>
        <v>BTH-007</v>
      </c>
      <c r="B1674" s="31" t="n">
        <f aca="false">Demand_History!A1674</f>
        <v>9</v>
      </c>
      <c r="C1674" s="32" t="n">
        <f aca="false">Demand_History!D1674</f>
        <v>27</v>
      </c>
      <c r="D1674" s="33" t="n">
        <f aca="false">IF(B1674&gt;=2,C1673,"")</f>
        <v>35</v>
      </c>
      <c r="E1674" s="33" t="n">
        <f aca="false">IF(B1674&gt;=5,AVERAGE(C1670:C1673),"")</f>
        <v>33.75</v>
      </c>
      <c r="F1674" s="33" t="n">
        <f aca="false">IF(B1674&gt;=9,AVERAGE(C1666:C1673),"")</f>
        <v>32</v>
      </c>
      <c r="G1674" s="33" t="n">
        <f aca="false">IF(B1674=1,"",IF(B1674=2,C1673,SES_Alpha*C1673+(1-SES_Alpha)*G1673))</f>
        <v>33.6118118</v>
      </c>
      <c r="H1674" s="33" t="n">
        <f aca="false">IF(D1674="","",D1674-C1674)</f>
        <v>8</v>
      </c>
      <c r="I1674" s="33" t="n">
        <f aca="false">IF(E1674="","",E1674-C1674)</f>
        <v>6.75</v>
      </c>
      <c r="J1674" s="33" t="n">
        <f aca="false">IF(F1674="","",F1674-C1674)</f>
        <v>5</v>
      </c>
      <c r="K1674" s="33" t="n">
        <f aca="false">IF(G1674="","",G1674-C1674)</f>
        <v>6.6118118</v>
      </c>
      <c r="L1674" s="33" t="n">
        <f aca="false">IF(H1674="","",ABS(H1674))</f>
        <v>8</v>
      </c>
      <c r="M1674" s="33" t="n">
        <f aca="false">IF(I1674="","",ABS(I1674))</f>
        <v>6.75</v>
      </c>
      <c r="N1674" s="33" t="n">
        <f aca="false">IF(J1674="","",ABS(J1674))</f>
        <v>5</v>
      </c>
      <c r="O1674" s="33" t="n">
        <f aca="false">IF(K1674="","",ABS(K1674))</f>
        <v>6.6118118</v>
      </c>
      <c r="P1674" s="34" t="str">
        <f aca="false">IF(B1674&gt;=Eval_Start_Week,"YES","")</f>
        <v/>
      </c>
      <c r="Q1674" s="34" t="str">
        <f aca="false">IF(AND(B1674&gt;=Cal_Start_Week,B1674&lt;=Cal_End_Week),"YES","")</f>
        <v/>
      </c>
    </row>
    <row r="1675" customFormat="false" ht="15" hidden="false" customHeight="false" outlineLevel="0" collapsed="false">
      <c r="A1675" s="31" t="str">
        <f aca="false">Demand_History!C1675</f>
        <v>BTH-007</v>
      </c>
      <c r="B1675" s="31" t="n">
        <f aca="false">Demand_History!A1675</f>
        <v>10</v>
      </c>
      <c r="C1675" s="32" t="n">
        <f aca="false">Demand_History!D1675</f>
        <v>33</v>
      </c>
      <c r="D1675" s="33" t="n">
        <f aca="false">IF(B1675&gt;=2,C1674,"")</f>
        <v>27</v>
      </c>
      <c r="E1675" s="33" t="n">
        <f aca="false">IF(B1675&gt;=5,AVERAGE(C1671:C1674),"")</f>
        <v>34.25</v>
      </c>
      <c r="F1675" s="33" t="n">
        <f aca="false">IF(B1675&gt;=9,AVERAGE(C1667:C1674),"")</f>
        <v>31.375</v>
      </c>
      <c r="G1675" s="33" t="n">
        <f aca="false">IF(B1675=1,"",IF(B1675=2,C1674,SES_Alpha*C1674+(1-SES_Alpha)*G1674))</f>
        <v>31.62826826</v>
      </c>
      <c r="H1675" s="33" t="n">
        <f aca="false">IF(D1675="","",D1675-C1675)</f>
        <v>-6</v>
      </c>
      <c r="I1675" s="33" t="n">
        <f aca="false">IF(E1675="","",E1675-C1675)</f>
        <v>1.25</v>
      </c>
      <c r="J1675" s="33" t="n">
        <f aca="false">IF(F1675="","",F1675-C1675)</f>
        <v>-1.625</v>
      </c>
      <c r="K1675" s="33" t="n">
        <f aca="false">IF(G1675="","",G1675-C1675)</f>
        <v>-1.37173174</v>
      </c>
      <c r="L1675" s="33" t="n">
        <f aca="false">IF(H1675="","",ABS(H1675))</f>
        <v>6</v>
      </c>
      <c r="M1675" s="33" t="n">
        <f aca="false">IF(I1675="","",ABS(I1675))</f>
        <v>1.25</v>
      </c>
      <c r="N1675" s="33" t="n">
        <f aca="false">IF(J1675="","",ABS(J1675))</f>
        <v>1.625</v>
      </c>
      <c r="O1675" s="33" t="n">
        <f aca="false">IF(K1675="","",ABS(K1675))</f>
        <v>1.37173174</v>
      </c>
      <c r="P1675" s="34" t="str">
        <f aca="false">IF(B1675&gt;=Eval_Start_Week,"YES","")</f>
        <v/>
      </c>
      <c r="Q1675" s="34" t="str">
        <f aca="false">IF(AND(B1675&gt;=Cal_Start_Week,B1675&lt;=Cal_End_Week),"YES","")</f>
        <v/>
      </c>
    </row>
    <row r="1676" customFormat="false" ht="15" hidden="false" customHeight="false" outlineLevel="0" collapsed="false">
      <c r="A1676" s="31" t="str">
        <f aca="false">Demand_History!C1676</f>
        <v>BTH-007</v>
      </c>
      <c r="B1676" s="31" t="n">
        <f aca="false">Demand_History!A1676</f>
        <v>11</v>
      </c>
      <c r="C1676" s="32" t="n">
        <f aca="false">Demand_History!D1676</f>
        <v>31</v>
      </c>
      <c r="D1676" s="33" t="n">
        <f aca="false">IF(B1676&gt;=2,C1675,"")</f>
        <v>33</v>
      </c>
      <c r="E1676" s="33" t="n">
        <f aca="false">IF(B1676&gt;=5,AVERAGE(C1672:C1675),"")</f>
        <v>33</v>
      </c>
      <c r="F1676" s="33" t="n">
        <f aca="false">IF(B1676&gt;=9,AVERAGE(C1668:C1675),"")</f>
        <v>31</v>
      </c>
      <c r="G1676" s="33" t="n">
        <f aca="false">IF(B1676=1,"",IF(B1676=2,C1675,SES_Alpha*C1675+(1-SES_Alpha)*G1675))</f>
        <v>32.039787782</v>
      </c>
      <c r="H1676" s="33" t="n">
        <f aca="false">IF(D1676="","",D1676-C1676)</f>
        <v>2</v>
      </c>
      <c r="I1676" s="33" t="n">
        <f aca="false">IF(E1676="","",E1676-C1676)</f>
        <v>2</v>
      </c>
      <c r="J1676" s="33" t="n">
        <f aca="false">IF(F1676="","",F1676-C1676)</f>
        <v>0</v>
      </c>
      <c r="K1676" s="33" t="n">
        <f aca="false">IF(G1676="","",G1676-C1676)</f>
        <v>1.039787782</v>
      </c>
      <c r="L1676" s="33" t="n">
        <f aca="false">IF(H1676="","",ABS(H1676))</f>
        <v>2</v>
      </c>
      <c r="M1676" s="33" t="n">
        <f aca="false">IF(I1676="","",ABS(I1676))</f>
        <v>2</v>
      </c>
      <c r="N1676" s="33" t="n">
        <f aca="false">IF(J1676="","",ABS(J1676))</f>
        <v>0</v>
      </c>
      <c r="O1676" s="33" t="n">
        <f aca="false">IF(K1676="","",ABS(K1676))</f>
        <v>1.039787782</v>
      </c>
      <c r="P1676" s="34" t="str">
        <f aca="false">IF(B1676&gt;=Eval_Start_Week,"YES","")</f>
        <v/>
      </c>
      <c r="Q1676" s="34" t="str">
        <f aca="false">IF(AND(B1676&gt;=Cal_Start_Week,B1676&lt;=Cal_End_Week),"YES","")</f>
        <v/>
      </c>
    </row>
    <row r="1677" customFormat="false" ht="15" hidden="false" customHeight="false" outlineLevel="0" collapsed="false">
      <c r="A1677" s="31" t="str">
        <f aca="false">Demand_History!C1677</f>
        <v>BTH-007</v>
      </c>
      <c r="B1677" s="31" t="n">
        <f aca="false">Demand_History!A1677</f>
        <v>12</v>
      </c>
      <c r="C1677" s="32" t="n">
        <f aca="false">Demand_History!D1677</f>
        <v>33</v>
      </c>
      <c r="D1677" s="33" t="n">
        <f aca="false">IF(B1677&gt;=2,C1676,"")</f>
        <v>31</v>
      </c>
      <c r="E1677" s="33" t="n">
        <f aca="false">IF(B1677&gt;=5,AVERAGE(C1673:C1676),"")</f>
        <v>31.5</v>
      </c>
      <c r="F1677" s="33" t="n">
        <f aca="false">IF(B1677&gt;=9,AVERAGE(C1669:C1676),"")</f>
        <v>31.75</v>
      </c>
      <c r="G1677" s="33" t="n">
        <f aca="false">IF(B1677=1,"",IF(B1677=2,C1676,SES_Alpha*C1676+(1-SES_Alpha)*G1676))</f>
        <v>31.7278514474</v>
      </c>
      <c r="H1677" s="33" t="n">
        <f aca="false">IF(D1677="","",D1677-C1677)</f>
        <v>-2</v>
      </c>
      <c r="I1677" s="33" t="n">
        <f aca="false">IF(E1677="","",E1677-C1677)</f>
        <v>-1.5</v>
      </c>
      <c r="J1677" s="33" t="n">
        <f aca="false">IF(F1677="","",F1677-C1677)</f>
        <v>-1.25</v>
      </c>
      <c r="K1677" s="33" t="n">
        <f aca="false">IF(G1677="","",G1677-C1677)</f>
        <v>-1.2721485526</v>
      </c>
      <c r="L1677" s="33" t="n">
        <f aca="false">IF(H1677="","",ABS(H1677))</f>
        <v>2</v>
      </c>
      <c r="M1677" s="33" t="n">
        <f aca="false">IF(I1677="","",ABS(I1677))</f>
        <v>1.5</v>
      </c>
      <c r="N1677" s="33" t="n">
        <f aca="false">IF(J1677="","",ABS(J1677))</f>
        <v>1.25</v>
      </c>
      <c r="O1677" s="33" t="n">
        <f aca="false">IF(K1677="","",ABS(K1677))</f>
        <v>1.2721485526</v>
      </c>
      <c r="P1677" s="34" t="str">
        <f aca="false">IF(B1677&gt;=Eval_Start_Week,"YES","")</f>
        <v/>
      </c>
      <c r="Q1677" s="34" t="str">
        <f aca="false">IF(AND(B1677&gt;=Cal_Start_Week,B1677&lt;=Cal_End_Week),"YES","")</f>
        <v/>
      </c>
    </row>
    <row r="1678" customFormat="false" ht="15" hidden="false" customHeight="false" outlineLevel="0" collapsed="false">
      <c r="A1678" s="31" t="str">
        <f aca="false">Demand_History!C1678</f>
        <v>BTH-007</v>
      </c>
      <c r="B1678" s="31" t="n">
        <f aca="false">Demand_History!A1678</f>
        <v>13</v>
      </c>
      <c r="C1678" s="32" t="n">
        <f aca="false">Demand_History!D1678</f>
        <v>32</v>
      </c>
      <c r="D1678" s="33" t="n">
        <f aca="false">IF(B1678&gt;=2,C1677,"")</f>
        <v>33</v>
      </c>
      <c r="E1678" s="33" t="n">
        <f aca="false">IF(B1678&gt;=5,AVERAGE(C1674:C1677),"")</f>
        <v>31</v>
      </c>
      <c r="F1678" s="33" t="n">
        <f aca="false">IF(B1678&gt;=9,AVERAGE(C1670:C1677),"")</f>
        <v>32.375</v>
      </c>
      <c r="G1678" s="33" t="n">
        <f aca="false">IF(B1678=1,"",IF(B1678=2,C1677,SES_Alpha*C1677+(1-SES_Alpha)*G1677))</f>
        <v>32.10949601318</v>
      </c>
      <c r="H1678" s="33" t="n">
        <f aca="false">IF(D1678="","",D1678-C1678)</f>
        <v>1</v>
      </c>
      <c r="I1678" s="33" t="n">
        <f aca="false">IF(E1678="","",E1678-C1678)</f>
        <v>-1</v>
      </c>
      <c r="J1678" s="33" t="n">
        <f aca="false">IF(F1678="","",F1678-C1678)</f>
        <v>0.375</v>
      </c>
      <c r="K1678" s="33" t="n">
        <f aca="false">IF(G1678="","",G1678-C1678)</f>
        <v>0.109496013179999</v>
      </c>
      <c r="L1678" s="33" t="n">
        <f aca="false">IF(H1678="","",ABS(H1678))</f>
        <v>1</v>
      </c>
      <c r="M1678" s="33" t="n">
        <f aca="false">IF(I1678="","",ABS(I1678))</f>
        <v>1</v>
      </c>
      <c r="N1678" s="33" t="n">
        <f aca="false">IF(J1678="","",ABS(J1678))</f>
        <v>0.375</v>
      </c>
      <c r="O1678" s="33" t="n">
        <f aca="false">IF(K1678="","",ABS(K1678))</f>
        <v>0.109496013179999</v>
      </c>
      <c r="P1678" s="34" t="str">
        <f aca="false">IF(B1678&gt;=Eval_Start_Week,"YES","")</f>
        <v/>
      </c>
      <c r="Q1678" s="34" t="str">
        <f aca="false">IF(AND(B1678&gt;=Cal_Start_Week,B1678&lt;=Cal_End_Week),"YES","")</f>
        <v/>
      </c>
    </row>
    <row r="1679" customFormat="false" ht="15" hidden="false" customHeight="false" outlineLevel="0" collapsed="false">
      <c r="A1679" s="31" t="str">
        <f aca="false">Demand_History!C1679</f>
        <v>BTH-007</v>
      </c>
      <c r="B1679" s="31" t="n">
        <f aca="false">Demand_History!A1679</f>
        <v>14</v>
      </c>
      <c r="C1679" s="32" t="n">
        <f aca="false">Demand_History!D1679</f>
        <v>36</v>
      </c>
      <c r="D1679" s="33" t="n">
        <f aca="false">IF(B1679&gt;=2,C1678,"")</f>
        <v>32</v>
      </c>
      <c r="E1679" s="33" t="n">
        <f aca="false">IF(B1679&gt;=5,AVERAGE(C1675:C1678),"")</f>
        <v>32.25</v>
      </c>
      <c r="F1679" s="33" t="n">
        <f aca="false">IF(B1679&gt;=9,AVERAGE(C1671:C1678),"")</f>
        <v>33.25</v>
      </c>
      <c r="G1679" s="33" t="n">
        <f aca="false">IF(B1679=1,"",IF(B1679=2,C1678,SES_Alpha*C1678+(1-SES_Alpha)*G1678))</f>
        <v>32.076647209226</v>
      </c>
      <c r="H1679" s="33" t="n">
        <f aca="false">IF(D1679="","",D1679-C1679)</f>
        <v>-4</v>
      </c>
      <c r="I1679" s="33" t="n">
        <f aca="false">IF(E1679="","",E1679-C1679)</f>
        <v>-3.75</v>
      </c>
      <c r="J1679" s="33" t="n">
        <f aca="false">IF(F1679="","",F1679-C1679)</f>
        <v>-2.75</v>
      </c>
      <c r="K1679" s="33" t="n">
        <f aca="false">IF(G1679="","",G1679-C1679)</f>
        <v>-3.923352790774</v>
      </c>
      <c r="L1679" s="33" t="n">
        <f aca="false">IF(H1679="","",ABS(H1679))</f>
        <v>4</v>
      </c>
      <c r="M1679" s="33" t="n">
        <f aca="false">IF(I1679="","",ABS(I1679))</f>
        <v>3.75</v>
      </c>
      <c r="N1679" s="33" t="n">
        <f aca="false">IF(J1679="","",ABS(J1679))</f>
        <v>2.75</v>
      </c>
      <c r="O1679" s="33" t="n">
        <f aca="false">IF(K1679="","",ABS(K1679))</f>
        <v>3.923352790774</v>
      </c>
      <c r="P1679" s="34" t="str">
        <f aca="false">IF(B1679&gt;=Eval_Start_Week,"YES","")</f>
        <v/>
      </c>
      <c r="Q1679" s="34" t="str">
        <f aca="false">IF(AND(B1679&gt;=Cal_Start_Week,B1679&lt;=Cal_End_Week),"YES","")</f>
        <v/>
      </c>
    </row>
    <row r="1680" customFormat="false" ht="15" hidden="false" customHeight="false" outlineLevel="0" collapsed="false">
      <c r="A1680" s="31" t="str">
        <f aca="false">Demand_History!C1680</f>
        <v>BTH-007</v>
      </c>
      <c r="B1680" s="31" t="n">
        <f aca="false">Demand_History!A1680</f>
        <v>15</v>
      </c>
      <c r="C1680" s="32" t="n">
        <f aca="false">Demand_History!D1680</f>
        <v>32</v>
      </c>
      <c r="D1680" s="33" t="n">
        <f aca="false">IF(B1680&gt;=2,C1679,"")</f>
        <v>36</v>
      </c>
      <c r="E1680" s="33" t="n">
        <f aca="false">IF(B1680&gt;=5,AVERAGE(C1676:C1679),"")</f>
        <v>33</v>
      </c>
      <c r="F1680" s="33" t="n">
        <f aca="false">IF(B1680&gt;=9,AVERAGE(C1672:C1679),"")</f>
        <v>33</v>
      </c>
      <c r="G1680" s="33" t="n">
        <f aca="false">IF(B1680=1,"",IF(B1680=2,C1679,SES_Alpha*C1679+(1-SES_Alpha)*G1679))</f>
        <v>33.2536530464582</v>
      </c>
      <c r="H1680" s="33" t="n">
        <f aca="false">IF(D1680="","",D1680-C1680)</f>
        <v>4</v>
      </c>
      <c r="I1680" s="33" t="n">
        <f aca="false">IF(E1680="","",E1680-C1680)</f>
        <v>1</v>
      </c>
      <c r="J1680" s="33" t="n">
        <f aca="false">IF(F1680="","",F1680-C1680)</f>
        <v>1</v>
      </c>
      <c r="K1680" s="33" t="n">
        <f aca="false">IF(G1680="","",G1680-C1680)</f>
        <v>1.2536530464582</v>
      </c>
      <c r="L1680" s="33" t="n">
        <f aca="false">IF(H1680="","",ABS(H1680))</f>
        <v>4</v>
      </c>
      <c r="M1680" s="33" t="n">
        <f aca="false">IF(I1680="","",ABS(I1680))</f>
        <v>1</v>
      </c>
      <c r="N1680" s="33" t="n">
        <f aca="false">IF(J1680="","",ABS(J1680))</f>
        <v>1</v>
      </c>
      <c r="O1680" s="33" t="n">
        <f aca="false">IF(K1680="","",ABS(K1680))</f>
        <v>1.2536530464582</v>
      </c>
      <c r="P1680" s="34" t="str">
        <f aca="false">IF(B1680&gt;=Eval_Start_Week,"YES","")</f>
        <v/>
      </c>
      <c r="Q1680" s="34" t="str">
        <f aca="false">IF(AND(B1680&gt;=Cal_Start_Week,B1680&lt;=Cal_End_Week),"YES","")</f>
        <v/>
      </c>
    </row>
    <row r="1681" customFormat="false" ht="15" hidden="false" customHeight="false" outlineLevel="0" collapsed="false">
      <c r="A1681" s="31" t="str">
        <f aca="false">Demand_History!C1681</f>
        <v>BTH-007</v>
      </c>
      <c r="B1681" s="31" t="n">
        <f aca="false">Demand_History!A1681</f>
        <v>16</v>
      </c>
      <c r="C1681" s="32" t="n">
        <f aca="false">Demand_History!D1681</f>
        <v>38</v>
      </c>
      <c r="D1681" s="33" t="n">
        <f aca="false">IF(B1681&gt;=2,C1680,"")</f>
        <v>32</v>
      </c>
      <c r="E1681" s="33" t="n">
        <f aca="false">IF(B1681&gt;=5,AVERAGE(C1677:C1680),"")</f>
        <v>33.25</v>
      </c>
      <c r="F1681" s="33" t="n">
        <f aca="false">IF(B1681&gt;=9,AVERAGE(C1673:C1680),"")</f>
        <v>32.375</v>
      </c>
      <c r="G1681" s="33" t="n">
        <f aca="false">IF(B1681=1,"",IF(B1681=2,C1680,SES_Alpha*C1680+(1-SES_Alpha)*G1680))</f>
        <v>32.8775571325207</v>
      </c>
      <c r="H1681" s="33" t="n">
        <f aca="false">IF(D1681="","",D1681-C1681)</f>
        <v>-6</v>
      </c>
      <c r="I1681" s="33" t="n">
        <f aca="false">IF(E1681="","",E1681-C1681)</f>
        <v>-4.75</v>
      </c>
      <c r="J1681" s="33" t="n">
        <f aca="false">IF(F1681="","",F1681-C1681)</f>
        <v>-5.625</v>
      </c>
      <c r="K1681" s="33" t="n">
        <f aca="false">IF(G1681="","",G1681-C1681)</f>
        <v>-5.12244286747927</v>
      </c>
      <c r="L1681" s="33" t="n">
        <f aca="false">IF(H1681="","",ABS(H1681))</f>
        <v>6</v>
      </c>
      <c r="M1681" s="33" t="n">
        <f aca="false">IF(I1681="","",ABS(I1681))</f>
        <v>4.75</v>
      </c>
      <c r="N1681" s="33" t="n">
        <f aca="false">IF(J1681="","",ABS(J1681))</f>
        <v>5.625</v>
      </c>
      <c r="O1681" s="33" t="n">
        <f aca="false">IF(K1681="","",ABS(K1681))</f>
        <v>5.12244286747927</v>
      </c>
      <c r="P1681" s="34" t="str">
        <f aca="false">IF(B1681&gt;=Eval_Start_Week,"YES","")</f>
        <v/>
      </c>
      <c r="Q1681" s="34" t="str">
        <f aca="false">IF(AND(B1681&gt;=Cal_Start_Week,B1681&lt;=Cal_End_Week),"YES","")</f>
        <v/>
      </c>
    </row>
    <row r="1682" customFormat="false" ht="15" hidden="false" customHeight="false" outlineLevel="0" collapsed="false">
      <c r="A1682" s="31" t="str">
        <f aca="false">Demand_History!C1682</f>
        <v>BTH-007</v>
      </c>
      <c r="B1682" s="31" t="n">
        <f aca="false">Demand_History!A1682</f>
        <v>17</v>
      </c>
      <c r="C1682" s="32" t="n">
        <f aca="false">Demand_History!D1682</f>
        <v>36</v>
      </c>
      <c r="D1682" s="33" t="n">
        <f aca="false">IF(B1682&gt;=2,C1681,"")</f>
        <v>38</v>
      </c>
      <c r="E1682" s="33" t="n">
        <f aca="false">IF(B1682&gt;=5,AVERAGE(C1678:C1681),"")</f>
        <v>34.5</v>
      </c>
      <c r="F1682" s="33" t="n">
        <f aca="false">IF(B1682&gt;=9,AVERAGE(C1674:C1681),"")</f>
        <v>32.75</v>
      </c>
      <c r="G1682" s="33" t="n">
        <f aca="false">IF(B1682=1,"",IF(B1682=2,C1681,SES_Alpha*C1681+(1-SES_Alpha)*G1681))</f>
        <v>34.4142899927645</v>
      </c>
      <c r="H1682" s="33" t="n">
        <f aca="false">IF(D1682="","",D1682-C1682)</f>
        <v>2</v>
      </c>
      <c r="I1682" s="33" t="n">
        <f aca="false">IF(E1682="","",E1682-C1682)</f>
        <v>-1.5</v>
      </c>
      <c r="J1682" s="33" t="n">
        <f aca="false">IF(F1682="","",F1682-C1682)</f>
        <v>-3.25</v>
      </c>
      <c r="K1682" s="33" t="n">
        <f aca="false">IF(G1682="","",G1682-C1682)</f>
        <v>-1.58571000723548</v>
      </c>
      <c r="L1682" s="33" t="n">
        <f aca="false">IF(H1682="","",ABS(H1682))</f>
        <v>2</v>
      </c>
      <c r="M1682" s="33" t="n">
        <f aca="false">IF(I1682="","",ABS(I1682))</f>
        <v>1.5</v>
      </c>
      <c r="N1682" s="33" t="n">
        <f aca="false">IF(J1682="","",ABS(J1682))</f>
        <v>3.25</v>
      </c>
      <c r="O1682" s="33" t="n">
        <f aca="false">IF(K1682="","",ABS(K1682))</f>
        <v>1.58571000723548</v>
      </c>
      <c r="P1682" s="34" t="str">
        <f aca="false">IF(B1682&gt;=Eval_Start_Week,"YES","")</f>
        <v/>
      </c>
      <c r="Q1682" s="34" t="str">
        <f aca="false">IF(AND(B1682&gt;=Cal_Start_Week,B1682&lt;=Cal_End_Week),"YES","")</f>
        <v/>
      </c>
    </row>
    <row r="1683" customFormat="false" ht="15" hidden="false" customHeight="false" outlineLevel="0" collapsed="false">
      <c r="A1683" s="31" t="str">
        <f aca="false">Demand_History!C1683</f>
        <v>BTH-007</v>
      </c>
      <c r="B1683" s="31" t="n">
        <f aca="false">Demand_History!A1683</f>
        <v>18</v>
      </c>
      <c r="C1683" s="32" t="n">
        <f aca="false">Demand_History!D1683</f>
        <v>33</v>
      </c>
      <c r="D1683" s="33" t="n">
        <f aca="false">IF(B1683&gt;=2,C1682,"")</f>
        <v>36</v>
      </c>
      <c r="E1683" s="33" t="n">
        <f aca="false">IF(B1683&gt;=5,AVERAGE(C1679:C1682),"")</f>
        <v>35.5</v>
      </c>
      <c r="F1683" s="33" t="n">
        <f aca="false">IF(B1683&gt;=9,AVERAGE(C1675:C1682),"")</f>
        <v>33.875</v>
      </c>
      <c r="G1683" s="33" t="n">
        <f aca="false">IF(B1683=1,"",IF(B1683=2,C1682,SES_Alpha*C1682+(1-SES_Alpha)*G1682))</f>
        <v>34.8900029949352</v>
      </c>
      <c r="H1683" s="33" t="n">
        <f aca="false">IF(D1683="","",D1683-C1683)</f>
        <v>3</v>
      </c>
      <c r="I1683" s="33" t="n">
        <f aca="false">IF(E1683="","",E1683-C1683)</f>
        <v>2.5</v>
      </c>
      <c r="J1683" s="33" t="n">
        <f aca="false">IF(F1683="","",F1683-C1683)</f>
        <v>0.875</v>
      </c>
      <c r="K1683" s="33" t="n">
        <f aca="false">IF(G1683="","",G1683-C1683)</f>
        <v>1.89000299493516</v>
      </c>
      <c r="L1683" s="33" t="n">
        <f aca="false">IF(H1683="","",ABS(H1683))</f>
        <v>3</v>
      </c>
      <c r="M1683" s="33" t="n">
        <f aca="false">IF(I1683="","",ABS(I1683))</f>
        <v>2.5</v>
      </c>
      <c r="N1683" s="33" t="n">
        <f aca="false">IF(J1683="","",ABS(J1683))</f>
        <v>0.875</v>
      </c>
      <c r="O1683" s="33" t="n">
        <f aca="false">IF(K1683="","",ABS(K1683))</f>
        <v>1.89000299493516</v>
      </c>
      <c r="P1683" s="34" t="str">
        <f aca="false">IF(B1683&gt;=Eval_Start_Week,"YES","")</f>
        <v/>
      </c>
      <c r="Q1683" s="34" t="str">
        <f aca="false">IF(AND(B1683&gt;=Cal_Start_Week,B1683&lt;=Cal_End_Week),"YES","")</f>
        <v/>
      </c>
    </row>
    <row r="1684" customFormat="false" ht="15" hidden="false" customHeight="false" outlineLevel="0" collapsed="false">
      <c r="A1684" s="31" t="str">
        <f aca="false">Demand_History!C1684</f>
        <v>BTH-007</v>
      </c>
      <c r="B1684" s="31" t="n">
        <f aca="false">Demand_History!A1684</f>
        <v>19</v>
      </c>
      <c r="C1684" s="32" t="n">
        <f aca="false">Demand_History!D1684</f>
        <v>35</v>
      </c>
      <c r="D1684" s="33" t="n">
        <f aca="false">IF(B1684&gt;=2,C1683,"")</f>
        <v>33</v>
      </c>
      <c r="E1684" s="33" t="n">
        <f aca="false">IF(B1684&gt;=5,AVERAGE(C1680:C1683),"")</f>
        <v>34.75</v>
      </c>
      <c r="F1684" s="33" t="n">
        <f aca="false">IF(B1684&gt;=9,AVERAGE(C1676:C1683),"")</f>
        <v>33.875</v>
      </c>
      <c r="G1684" s="33" t="n">
        <f aca="false">IF(B1684=1,"",IF(B1684=2,C1683,SES_Alpha*C1683+(1-SES_Alpha)*G1683))</f>
        <v>34.3230020964546</v>
      </c>
      <c r="H1684" s="33" t="n">
        <f aca="false">IF(D1684="","",D1684-C1684)</f>
        <v>-2</v>
      </c>
      <c r="I1684" s="33" t="n">
        <f aca="false">IF(E1684="","",E1684-C1684)</f>
        <v>-0.25</v>
      </c>
      <c r="J1684" s="33" t="n">
        <f aca="false">IF(F1684="","",F1684-C1684)</f>
        <v>-1.125</v>
      </c>
      <c r="K1684" s="33" t="n">
        <f aca="false">IF(G1684="","",G1684-C1684)</f>
        <v>-0.676997903545392</v>
      </c>
      <c r="L1684" s="33" t="n">
        <f aca="false">IF(H1684="","",ABS(H1684))</f>
        <v>2</v>
      </c>
      <c r="M1684" s="33" t="n">
        <f aca="false">IF(I1684="","",ABS(I1684))</f>
        <v>0.25</v>
      </c>
      <c r="N1684" s="33" t="n">
        <f aca="false">IF(J1684="","",ABS(J1684))</f>
        <v>1.125</v>
      </c>
      <c r="O1684" s="33" t="n">
        <f aca="false">IF(K1684="","",ABS(K1684))</f>
        <v>0.676997903545392</v>
      </c>
      <c r="P1684" s="34" t="str">
        <f aca="false">IF(B1684&gt;=Eval_Start_Week,"YES","")</f>
        <v/>
      </c>
      <c r="Q1684" s="34" t="str">
        <f aca="false">IF(AND(B1684&gt;=Cal_Start_Week,B1684&lt;=Cal_End_Week),"YES","")</f>
        <v/>
      </c>
    </row>
    <row r="1685" customFormat="false" ht="15" hidden="false" customHeight="false" outlineLevel="0" collapsed="false">
      <c r="A1685" s="31" t="str">
        <f aca="false">Demand_History!C1685</f>
        <v>BTH-007</v>
      </c>
      <c r="B1685" s="31" t="n">
        <f aca="false">Demand_History!A1685</f>
        <v>20</v>
      </c>
      <c r="C1685" s="32" t="n">
        <f aca="false">Demand_History!D1685</f>
        <v>33</v>
      </c>
      <c r="D1685" s="33" t="n">
        <f aca="false">IF(B1685&gt;=2,C1684,"")</f>
        <v>35</v>
      </c>
      <c r="E1685" s="33" t="n">
        <f aca="false">IF(B1685&gt;=5,AVERAGE(C1681:C1684),"")</f>
        <v>35.5</v>
      </c>
      <c r="F1685" s="33" t="n">
        <f aca="false">IF(B1685&gt;=9,AVERAGE(C1677:C1684),"")</f>
        <v>34.375</v>
      </c>
      <c r="G1685" s="33" t="n">
        <f aca="false">IF(B1685=1,"",IF(B1685=2,C1684,SES_Alpha*C1684+(1-SES_Alpha)*G1684))</f>
        <v>34.5261014675182</v>
      </c>
      <c r="H1685" s="33" t="n">
        <f aca="false">IF(D1685="","",D1685-C1685)</f>
        <v>2</v>
      </c>
      <c r="I1685" s="33" t="n">
        <f aca="false">IF(E1685="","",E1685-C1685)</f>
        <v>2.5</v>
      </c>
      <c r="J1685" s="33" t="n">
        <f aca="false">IF(F1685="","",F1685-C1685)</f>
        <v>1.375</v>
      </c>
      <c r="K1685" s="33" t="n">
        <f aca="false">IF(G1685="","",G1685-C1685)</f>
        <v>1.52610146751822</v>
      </c>
      <c r="L1685" s="33" t="n">
        <f aca="false">IF(H1685="","",ABS(H1685))</f>
        <v>2</v>
      </c>
      <c r="M1685" s="33" t="n">
        <f aca="false">IF(I1685="","",ABS(I1685))</f>
        <v>2.5</v>
      </c>
      <c r="N1685" s="33" t="n">
        <f aca="false">IF(J1685="","",ABS(J1685))</f>
        <v>1.375</v>
      </c>
      <c r="O1685" s="33" t="n">
        <f aca="false">IF(K1685="","",ABS(K1685))</f>
        <v>1.52610146751822</v>
      </c>
      <c r="P1685" s="34" t="str">
        <f aca="false">IF(B1685&gt;=Eval_Start_Week,"YES","")</f>
        <v/>
      </c>
      <c r="Q1685" s="34" t="str">
        <f aca="false">IF(AND(B1685&gt;=Cal_Start_Week,B1685&lt;=Cal_End_Week),"YES","")</f>
        <v/>
      </c>
    </row>
    <row r="1686" customFormat="false" ht="15" hidden="false" customHeight="false" outlineLevel="0" collapsed="false">
      <c r="A1686" s="31" t="str">
        <f aca="false">Demand_History!C1686</f>
        <v>BTH-007</v>
      </c>
      <c r="B1686" s="31" t="n">
        <f aca="false">Demand_History!A1686</f>
        <v>21</v>
      </c>
      <c r="C1686" s="32" t="n">
        <f aca="false">Demand_History!D1686</f>
        <v>40</v>
      </c>
      <c r="D1686" s="33" t="n">
        <f aca="false">IF(B1686&gt;=2,C1685,"")</f>
        <v>33</v>
      </c>
      <c r="E1686" s="33" t="n">
        <f aca="false">IF(B1686&gt;=5,AVERAGE(C1682:C1685),"")</f>
        <v>34.25</v>
      </c>
      <c r="F1686" s="33" t="n">
        <f aca="false">IF(B1686&gt;=9,AVERAGE(C1678:C1685),"")</f>
        <v>34.375</v>
      </c>
      <c r="G1686" s="33" t="n">
        <f aca="false">IF(B1686=1,"",IF(B1686=2,C1685,SES_Alpha*C1685+(1-SES_Alpha)*G1685))</f>
        <v>34.0682710272628</v>
      </c>
      <c r="H1686" s="33" t="n">
        <f aca="false">IF(D1686="","",D1686-C1686)</f>
        <v>-7</v>
      </c>
      <c r="I1686" s="33" t="n">
        <f aca="false">IF(E1686="","",E1686-C1686)</f>
        <v>-5.75</v>
      </c>
      <c r="J1686" s="33" t="n">
        <f aca="false">IF(F1686="","",F1686-C1686)</f>
        <v>-5.625</v>
      </c>
      <c r="K1686" s="33" t="n">
        <f aca="false">IF(G1686="","",G1686-C1686)</f>
        <v>-5.93172897273725</v>
      </c>
      <c r="L1686" s="33" t="n">
        <f aca="false">IF(H1686="","",ABS(H1686))</f>
        <v>7</v>
      </c>
      <c r="M1686" s="33" t="n">
        <f aca="false">IF(I1686="","",ABS(I1686))</f>
        <v>5.75</v>
      </c>
      <c r="N1686" s="33" t="n">
        <f aca="false">IF(J1686="","",ABS(J1686))</f>
        <v>5.625</v>
      </c>
      <c r="O1686" s="33" t="n">
        <f aca="false">IF(K1686="","",ABS(K1686))</f>
        <v>5.93172897273725</v>
      </c>
      <c r="P1686" s="34" t="str">
        <f aca="false">IF(B1686&gt;=Eval_Start_Week,"YES","")</f>
        <v/>
      </c>
      <c r="Q1686" s="34" t="str">
        <f aca="false">IF(AND(B1686&gt;=Cal_Start_Week,B1686&lt;=Cal_End_Week),"YES","")</f>
        <v/>
      </c>
    </row>
    <row r="1687" customFormat="false" ht="15" hidden="false" customHeight="false" outlineLevel="0" collapsed="false">
      <c r="A1687" s="31" t="str">
        <f aca="false">Demand_History!C1687</f>
        <v>BTH-007</v>
      </c>
      <c r="B1687" s="31" t="n">
        <f aca="false">Demand_History!A1687</f>
        <v>22</v>
      </c>
      <c r="C1687" s="32" t="n">
        <f aca="false">Demand_History!D1687</f>
        <v>35</v>
      </c>
      <c r="D1687" s="33" t="n">
        <f aca="false">IF(B1687&gt;=2,C1686,"")</f>
        <v>40</v>
      </c>
      <c r="E1687" s="33" t="n">
        <f aca="false">IF(B1687&gt;=5,AVERAGE(C1683:C1686),"")</f>
        <v>35.25</v>
      </c>
      <c r="F1687" s="33" t="n">
        <f aca="false">IF(B1687&gt;=9,AVERAGE(C1679:C1686),"")</f>
        <v>35.375</v>
      </c>
      <c r="G1687" s="33" t="n">
        <f aca="false">IF(B1687=1,"",IF(B1687=2,C1686,SES_Alpha*C1686+(1-SES_Alpha)*G1686))</f>
        <v>35.8477897190839</v>
      </c>
      <c r="H1687" s="33" t="n">
        <f aca="false">IF(D1687="","",D1687-C1687)</f>
        <v>5</v>
      </c>
      <c r="I1687" s="33" t="n">
        <f aca="false">IF(E1687="","",E1687-C1687)</f>
        <v>0.25</v>
      </c>
      <c r="J1687" s="33" t="n">
        <f aca="false">IF(F1687="","",F1687-C1687)</f>
        <v>0.375</v>
      </c>
      <c r="K1687" s="33" t="n">
        <f aca="false">IF(G1687="","",G1687-C1687)</f>
        <v>0.847789719083927</v>
      </c>
      <c r="L1687" s="33" t="n">
        <f aca="false">IF(H1687="","",ABS(H1687))</f>
        <v>5</v>
      </c>
      <c r="M1687" s="33" t="n">
        <f aca="false">IF(I1687="","",ABS(I1687))</f>
        <v>0.25</v>
      </c>
      <c r="N1687" s="33" t="n">
        <f aca="false">IF(J1687="","",ABS(J1687))</f>
        <v>0.375</v>
      </c>
      <c r="O1687" s="33" t="n">
        <f aca="false">IF(K1687="","",ABS(K1687))</f>
        <v>0.847789719083927</v>
      </c>
      <c r="P1687" s="34" t="str">
        <f aca="false">IF(B1687&gt;=Eval_Start_Week,"YES","")</f>
        <v/>
      </c>
      <c r="Q1687" s="34" t="str">
        <f aca="false">IF(AND(B1687&gt;=Cal_Start_Week,B1687&lt;=Cal_End_Week),"YES","")</f>
        <v/>
      </c>
    </row>
    <row r="1688" customFormat="false" ht="15" hidden="false" customHeight="false" outlineLevel="0" collapsed="false">
      <c r="A1688" s="31" t="str">
        <f aca="false">Demand_History!C1688</f>
        <v>BTH-007</v>
      </c>
      <c r="B1688" s="31" t="n">
        <f aca="false">Demand_History!A1688</f>
        <v>23</v>
      </c>
      <c r="C1688" s="32" t="n">
        <f aca="false">Demand_History!D1688</f>
        <v>38</v>
      </c>
      <c r="D1688" s="33" t="n">
        <f aca="false">IF(B1688&gt;=2,C1687,"")</f>
        <v>35</v>
      </c>
      <c r="E1688" s="33" t="n">
        <f aca="false">IF(B1688&gt;=5,AVERAGE(C1684:C1687),"")</f>
        <v>35.75</v>
      </c>
      <c r="F1688" s="33" t="n">
        <f aca="false">IF(B1688&gt;=9,AVERAGE(C1680:C1687),"")</f>
        <v>35.25</v>
      </c>
      <c r="G1688" s="33" t="n">
        <f aca="false">IF(B1688=1,"",IF(B1688=2,C1687,SES_Alpha*C1687+(1-SES_Alpha)*G1687))</f>
        <v>35.5934528033587</v>
      </c>
      <c r="H1688" s="33" t="n">
        <f aca="false">IF(D1688="","",D1688-C1688)</f>
        <v>-3</v>
      </c>
      <c r="I1688" s="33" t="n">
        <f aca="false">IF(E1688="","",E1688-C1688)</f>
        <v>-2.25</v>
      </c>
      <c r="J1688" s="33" t="n">
        <f aca="false">IF(F1688="","",F1688-C1688)</f>
        <v>-2.75</v>
      </c>
      <c r="K1688" s="33" t="n">
        <f aca="false">IF(G1688="","",G1688-C1688)</f>
        <v>-2.40654719664126</v>
      </c>
      <c r="L1688" s="33" t="n">
        <f aca="false">IF(H1688="","",ABS(H1688))</f>
        <v>3</v>
      </c>
      <c r="M1688" s="33" t="n">
        <f aca="false">IF(I1688="","",ABS(I1688))</f>
        <v>2.25</v>
      </c>
      <c r="N1688" s="33" t="n">
        <f aca="false">IF(J1688="","",ABS(J1688))</f>
        <v>2.75</v>
      </c>
      <c r="O1688" s="33" t="n">
        <f aca="false">IF(K1688="","",ABS(K1688))</f>
        <v>2.40654719664126</v>
      </c>
      <c r="P1688" s="34" t="str">
        <f aca="false">IF(B1688&gt;=Eval_Start_Week,"YES","")</f>
        <v/>
      </c>
      <c r="Q1688" s="34" t="str">
        <f aca="false">IF(AND(B1688&gt;=Cal_Start_Week,B1688&lt;=Cal_End_Week),"YES","")</f>
        <v/>
      </c>
    </row>
    <row r="1689" customFormat="false" ht="15" hidden="false" customHeight="false" outlineLevel="0" collapsed="false">
      <c r="A1689" s="31" t="str">
        <f aca="false">Demand_History!C1689</f>
        <v>BTH-007</v>
      </c>
      <c r="B1689" s="31" t="n">
        <f aca="false">Demand_History!A1689</f>
        <v>24</v>
      </c>
      <c r="C1689" s="32" t="n">
        <f aca="false">Demand_History!D1689</f>
        <v>35</v>
      </c>
      <c r="D1689" s="33" t="n">
        <f aca="false">IF(B1689&gt;=2,C1688,"")</f>
        <v>38</v>
      </c>
      <c r="E1689" s="33" t="n">
        <f aca="false">IF(B1689&gt;=5,AVERAGE(C1685:C1688),"")</f>
        <v>36.5</v>
      </c>
      <c r="F1689" s="33" t="n">
        <f aca="false">IF(B1689&gt;=9,AVERAGE(C1681:C1688),"")</f>
        <v>36</v>
      </c>
      <c r="G1689" s="33" t="n">
        <f aca="false">IF(B1689=1,"",IF(B1689=2,C1688,SES_Alpha*C1688+(1-SES_Alpha)*G1688))</f>
        <v>36.3154169623511</v>
      </c>
      <c r="H1689" s="33" t="n">
        <f aca="false">IF(D1689="","",D1689-C1689)</f>
        <v>3</v>
      </c>
      <c r="I1689" s="33" t="n">
        <f aca="false">IF(E1689="","",E1689-C1689)</f>
        <v>1.5</v>
      </c>
      <c r="J1689" s="33" t="n">
        <f aca="false">IF(F1689="","",F1689-C1689)</f>
        <v>1</v>
      </c>
      <c r="K1689" s="33" t="n">
        <f aca="false">IF(G1689="","",G1689-C1689)</f>
        <v>1.31541696235112</v>
      </c>
      <c r="L1689" s="33" t="n">
        <f aca="false">IF(H1689="","",ABS(H1689))</f>
        <v>3</v>
      </c>
      <c r="M1689" s="33" t="n">
        <f aca="false">IF(I1689="","",ABS(I1689))</f>
        <v>1.5</v>
      </c>
      <c r="N1689" s="33" t="n">
        <f aca="false">IF(J1689="","",ABS(J1689))</f>
        <v>1</v>
      </c>
      <c r="O1689" s="33" t="n">
        <f aca="false">IF(K1689="","",ABS(K1689))</f>
        <v>1.31541696235112</v>
      </c>
      <c r="P1689" s="34" t="str">
        <f aca="false">IF(B1689&gt;=Eval_Start_Week,"YES","")</f>
        <v/>
      </c>
      <c r="Q1689" s="34" t="str">
        <f aca="false">IF(AND(B1689&gt;=Cal_Start_Week,B1689&lt;=Cal_End_Week),"YES","")</f>
        <v/>
      </c>
    </row>
    <row r="1690" customFormat="false" ht="15" hidden="false" customHeight="false" outlineLevel="0" collapsed="false">
      <c r="A1690" s="31" t="str">
        <f aca="false">Demand_History!C1690</f>
        <v>BTH-007</v>
      </c>
      <c r="B1690" s="31" t="n">
        <f aca="false">Demand_History!A1690</f>
        <v>25</v>
      </c>
      <c r="C1690" s="32" t="n">
        <f aca="false">Demand_History!D1690</f>
        <v>29</v>
      </c>
      <c r="D1690" s="33" t="n">
        <f aca="false">IF(B1690&gt;=2,C1689,"")</f>
        <v>35</v>
      </c>
      <c r="E1690" s="33" t="n">
        <f aca="false">IF(B1690&gt;=5,AVERAGE(C1686:C1689),"")</f>
        <v>37</v>
      </c>
      <c r="F1690" s="33" t="n">
        <f aca="false">IF(B1690&gt;=9,AVERAGE(C1682:C1689),"")</f>
        <v>35.625</v>
      </c>
      <c r="G1690" s="33" t="n">
        <f aca="false">IF(B1690=1,"",IF(B1690=2,C1689,SES_Alpha*C1689+(1-SES_Alpha)*G1689))</f>
        <v>35.9207918736458</v>
      </c>
      <c r="H1690" s="33" t="n">
        <f aca="false">IF(D1690="","",D1690-C1690)</f>
        <v>6</v>
      </c>
      <c r="I1690" s="33" t="n">
        <f aca="false">IF(E1690="","",E1690-C1690)</f>
        <v>8</v>
      </c>
      <c r="J1690" s="33" t="n">
        <f aca="false">IF(F1690="","",F1690-C1690)</f>
        <v>6.625</v>
      </c>
      <c r="K1690" s="33" t="n">
        <f aca="false">IF(G1690="","",G1690-C1690)</f>
        <v>6.92079187364578</v>
      </c>
      <c r="L1690" s="33" t="n">
        <f aca="false">IF(H1690="","",ABS(H1690))</f>
        <v>6</v>
      </c>
      <c r="M1690" s="33" t="n">
        <f aca="false">IF(I1690="","",ABS(I1690))</f>
        <v>8</v>
      </c>
      <c r="N1690" s="33" t="n">
        <f aca="false">IF(J1690="","",ABS(J1690))</f>
        <v>6.625</v>
      </c>
      <c r="O1690" s="33" t="n">
        <f aca="false">IF(K1690="","",ABS(K1690))</f>
        <v>6.92079187364578</v>
      </c>
      <c r="P1690" s="34" t="str">
        <f aca="false">IF(B1690&gt;=Eval_Start_Week,"YES","")</f>
        <v/>
      </c>
      <c r="Q1690" s="34" t="str">
        <f aca="false">IF(AND(B1690&gt;=Cal_Start_Week,B1690&lt;=Cal_End_Week),"YES","")</f>
        <v/>
      </c>
    </row>
    <row r="1691" customFormat="false" ht="15" hidden="false" customHeight="false" outlineLevel="0" collapsed="false">
      <c r="A1691" s="31" t="str">
        <f aca="false">Demand_History!C1691</f>
        <v>BTH-007</v>
      </c>
      <c r="B1691" s="31" t="n">
        <f aca="false">Demand_History!A1691</f>
        <v>26</v>
      </c>
      <c r="C1691" s="32" t="n">
        <f aca="false">Demand_History!D1691</f>
        <v>42</v>
      </c>
      <c r="D1691" s="33" t="n">
        <f aca="false">IF(B1691&gt;=2,C1690,"")</f>
        <v>29</v>
      </c>
      <c r="E1691" s="33" t="n">
        <f aca="false">IF(B1691&gt;=5,AVERAGE(C1687:C1690),"")</f>
        <v>34.25</v>
      </c>
      <c r="F1691" s="33" t="n">
        <f aca="false">IF(B1691&gt;=9,AVERAGE(C1683:C1690),"")</f>
        <v>34.75</v>
      </c>
      <c r="G1691" s="33" t="n">
        <f aca="false">IF(B1691=1,"",IF(B1691=2,C1690,SES_Alpha*C1690+(1-SES_Alpha)*G1690))</f>
        <v>33.844554311552</v>
      </c>
      <c r="H1691" s="33" t="n">
        <f aca="false">IF(D1691="","",D1691-C1691)</f>
        <v>-13</v>
      </c>
      <c r="I1691" s="33" t="n">
        <f aca="false">IF(E1691="","",E1691-C1691)</f>
        <v>-7.75</v>
      </c>
      <c r="J1691" s="33" t="n">
        <f aca="false">IF(F1691="","",F1691-C1691)</f>
        <v>-7.25</v>
      </c>
      <c r="K1691" s="33" t="n">
        <f aca="false">IF(G1691="","",G1691-C1691)</f>
        <v>-8.15544568844796</v>
      </c>
      <c r="L1691" s="33" t="n">
        <f aca="false">IF(H1691="","",ABS(H1691))</f>
        <v>13</v>
      </c>
      <c r="M1691" s="33" t="n">
        <f aca="false">IF(I1691="","",ABS(I1691))</f>
        <v>7.75</v>
      </c>
      <c r="N1691" s="33" t="n">
        <f aca="false">IF(J1691="","",ABS(J1691))</f>
        <v>7.25</v>
      </c>
      <c r="O1691" s="33" t="n">
        <f aca="false">IF(K1691="","",ABS(K1691))</f>
        <v>8.15544568844796</v>
      </c>
      <c r="P1691" s="34" t="str">
        <f aca="false">IF(B1691&gt;=Eval_Start_Week,"YES","")</f>
        <v/>
      </c>
      <c r="Q1691" s="34" t="str">
        <f aca="false">IF(AND(B1691&gt;=Cal_Start_Week,B1691&lt;=Cal_End_Week),"YES","")</f>
        <v/>
      </c>
    </row>
    <row r="1692" customFormat="false" ht="15" hidden="false" customHeight="false" outlineLevel="0" collapsed="false">
      <c r="A1692" s="31" t="str">
        <f aca="false">Demand_History!C1692</f>
        <v>BTH-007</v>
      </c>
      <c r="B1692" s="31" t="n">
        <f aca="false">Demand_History!A1692</f>
        <v>27</v>
      </c>
      <c r="C1692" s="32" t="n">
        <f aca="false">Demand_History!D1692</f>
        <v>32</v>
      </c>
      <c r="D1692" s="33" t="n">
        <f aca="false">IF(B1692&gt;=2,C1691,"")</f>
        <v>42</v>
      </c>
      <c r="E1692" s="33" t="n">
        <f aca="false">IF(B1692&gt;=5,AVERAGE(C1688:C1691),"")</f>
        <v>36</v>
      </c>
      <c r="F1692" s="33" t="n">
        <f aca="false">IF(B1692&gt;=9,AVERAGE(C1684:C1691),"")</f>
        <v>35.875</v>
      </c>
      <c r="G1692" s="33" t="n">
        <f aca="false">IF(B1692=1,"",IF(B1692=2,C1691,SES_Alpha*C1691+(1-SES_Alpha)*G1691))</f>
        <v>36.2911880180864</v>
      </c>
      <c r="H1692" s="33" t="n">
        <f aca="false">IF(D1692="","",D1692-C1692)</f>
        <v>10</v>
      </c>
      <c r="I1692" s="33" t="n">
        <f aca="false">IF(E1692="","",E1692-C1692)</f>
        <v>4</v>
      </c>
      <c r="J1692" s="33" t="n">
        <f aca="false">IF(F1692="","",F1692-C1692)</f>
        <v>3.875</v>
      </c>
      <c r="K1692" s="33" t="n">
        <f aca="false">IF(G1692="","",G1692-C1692)</f>
        <v>4.29118801808643</v>
      </c>
      <c r="L1692" s="33" t="n">
        <f aca="false">IF(H1692="","",ABS(H1692))</f>
        <v>10</v>
      </c>
      <c r="M1692" s="33" t="n">
        <f aca="false">IF(I1692="","",ABS(I1692))</f>
        <v>4</v>
      </c>
      <c r="N1692" s="33" t="n">
        <f aca="false">IF(J1692="","",ABS(J1692))</f>
        <v>3.875</v>
      </c>
      <c r="O1692" s="33" t="n">
        <f aca="false">IF(K1692="","",ABS(K1692))</f>
        <v>4.29118801808643</v>
      </c>
      <c r="P1692" s="34" t="str">
        <f aca="false">IF(B1692&gt;=Eval_Start_Week,"YES","")</f>
        <v/>
      </c>
      <c r="Q1692" s="34" t="str">
        <f aca="false">IF(AND(B1692&gt;=Cal_Start_Week,B1692&lt;=Cal_End_Week),"YES","")</f>
        <v/>
      </c>
    </row>
    <row r="1693" customFormat="false" ht="15" hidden="false" customHeight="false" outlineLevel="0" collapsed="false">
      <c r="A1693" s="31" t="str">
        <f aca="false">Demand_History!C1693</f>
        <v>BTH-007</v>
      </c>
      <c r="B1693" s="31" t="n">
        <f aca="false">Demand_History!A1693</f>
        <v>28</v>
      </c>
      <c r="C1693" s="32" t="n">
        <f aca="false">Demand_History!D1693</f>
        <v>42</v>
      </c>
      <c r="D1693" s="33" t="n">
        <f aca="false">IF(B1693&gt;=2,C1692,"")</f>
        <v>32</v>
      </c>
      <c r="E1693" s="33" t="n">
        <f aca="false">IF(B1693&gt;=5,AVERAGE(C1689:C1692),"")</f>
        <v>34.5</v>
      </c>
      <c r="F1693" s="33" t="n">
        <f aca="false">IF(B1693&gt;=9,AVERAGE(C1685:C1692),"")</f>
        <v>35.5</v>
      </c>
      <c r="G1693" s="33" t="n">
        <f aca="false">IF(B1693=1,"",IF(B1693=2,C1692,SES_Alpha*C1692+(1-SES_Alpha)*G1692))</f>
        <v>35.0038316126605</v>
      </c>
      <c r="H1693" s="33" t="n">
        <f aca="false">IF(D1693="","",D1693-C1693)</f>
        <v>-10</v>
      </c>
      <c r="I1693" s="33" t="n">
        <f aca="false">IF(E1693="","",E1693-C1693)</f>
        <v>-7.5</v>
      </c>
      <c r="J1693" s="33" t="n">
        <f aca="false">IF(F1693="","",F1693-C1693)</f>
        <v>-6.5</v>
      </c>
      <c r="K1693" s="33" t="n">
        <f aca="false">IF(G1693="","",G1693-C1693)</f>
        <v>-6.9961683873395</v>
      </c>
      <c r="L1693" s="33" t="n">
        <f aca="false">IF(H1693="","",ABS(H1693))</f>
        <v>10</v>
      </c>
      <c r="M1693" s="33" t="n">
        <f aca="false">IF(I1693="","",ABS(I1693))</f>
        <v>7.5</v>
      </c>
      <c r="N1693" s="33" t="n">
        <f aca="false">IF(J1693="","",ABS(J1693))</f>
        <v>6.5</v>
      </c>
      <c r="O1693" s="33" t="n">
        <f aca="false">IF(K1693="","",ABS(K1693))</f>
        <v>6.9961683873395</v>
      </c>
      <c r="P1693" s="34" t="str">
        <f aca="false">IF(B1693&gt;=Eval_Start_Week,"YES","")</f>
        <v/>
      </c>
      <c r="Q1693" s="34" t="str">
        <f aca="false">IF(AND(B1693&gt;=Cal_Start_Week,B1693&lt;=Cal_End_Week),"YES","")</f>
        <v/>
      </c>
    </row>
    <row r="1694" customFormat="false" ht="15" hidden="false" customHeight="false" outlineLevel="0" collapsed="false">
      <c r="A1694" s="31" t="str">
        <f aca="false">Demand_History!C1694</f>
        <v>BTH-007</v>
      </c>
      <c r="B1694" s="31" t="n">
        <f aca="false">Demand_History!A1694</f>
        <v>29</v>
      </c>
      <c r="C1694" s="32" t="n">
        <f aca="false">Demand_History!D1694</f>
        <v>41</v>
      </c>
      <c r="D1694" s="33" t="n">
        <f aca="false">IF(B1694&gt;=2,C1693,"")</f>
        <v>42</v>
      </c>
      <c r="E1694" s="33" t="n">
        <f aca="false">IF(B1694&gt;=5,AVERAGE(C1690:C1693),"")</f>
        <v>36.25</v>
      </c>
      <c r="F1694" s="33" t="n">
        <f aca="false">IF(B1694&gt;=9,AVERAGE(C1686:C1693),"")</f>
        <v>36.625</v>
      </c>
      <c r="G1694" s="33" t="n">
        <f aca="false">IF(B1694=1,"",IF(B1694=2,C1693,SES_Alpha*C1693+(1-SES_Alpha)*G1693))</f>
        <v>37.1026821288624</v>
      </c>
      <c r="H1694" s="33" t="n">
        <f aca="false">IF(D1694="","",D1694-C1694)</f>
        <v>1</v>
      </c>
      <c r="I1694" s="33" t="n">
        <f aca="false">IF(E1694="","",E1694-C1694)</f>
        <v>-4.75</v>
      </c>
      <c r="J1694" s="33" t="n">
        <f aca="false">IF(F1694="","",F1694-C1694)</f>
        <v>-4.375</v>
      </c>
      <c r="K1694" s="33" t="n">
        <f aca="false">IF(G1694="","",G1694-C1694)</f>
        <v>-3.89731787113765</v>
      </c>
      <c r="L1694" s="33" t="n">
        <f aca="false">IF(H1694="","",ABS(H1694))</f>
        <v>1</v>
      </c>
      <c r="M1694" s="33" t="n">
        <f aca="false">IF(I1694="","",ABS(I1694))</f>
        <v>4.75</v>
      </c>
      <c r="N1694" s="33" t="n">
        <f aca="false">IF(J1694="","",ABS(J1694))</f>
        <v>4.375</v>
      </c>
      <c r="O1694" s="33" t="n">
        <f aca="false">IF(K1694="","",ABS(K1694))</f>
        <v>3.89731787113765</v>
      </c>
      <c r="P1694" s="34" t="str">
        <f aca="false">IF(B1694&gt;=Eval_Start_Week,"YES","")</f>
        <v/>
      </c>
      <c r="Q1694" s="34" t="str">
        <f aca="false">IF(AND(B1694&gt;=Cal_Start_Week,B1694&lt;=Cal_End_Week),"YES","")</f>
        <v/>
      </c>
    </row>
    <row r="1695" customFormat="false" ht="15" hidden="false" customHeight="false" outlineLevel="0" collapsed="false">
      <c r="A1695" s="31" t="str">
        <f aca="false">Demand_History!C1695</f>
        <v>BTH-007</v>
      </c>
      <c r="B1695" s="31" t="n">
        <f aca="false">Demand_History!A1695</f>
        <v>30</v>
      </c>
      <c r="C1695" s="32" t="n">
        <f aca="false">Demand_History!D1695</f>
        <v>30</v>
      </c>
      <c r="D1695" s="33" t="n">
        <f aca="false">IF(B1695&gt;=2,C1694,"")</f>
        <v>41</v>
      </c>
      <c r="E1695" s="33" t="n">
        <f aca="false">IF(B1695&gt;=5,AVERAGE(C1691:C1694),"")</f>
        <v>39.25</v>
      </c>
      <c r="F1695" s="33" t="n">
        <f aca="false">IF(B1695&gt;=9,AVERAGE(C1687:C1694),"")</f>
        <v>36.75</v>
      </c>
      <c r="G1695" s="33" t="n">
        <f aca="false">IF(B1695=1,"",IF(B1695=2,C1694,SES_Alpha*C1694+(1-SES_Alpha)*G1694))</f>
        <v>38.2718774902036</v>
      </c>
      <c r="H1695" s="33" t="n">
        <f aca="false">IF(D1695="","",D1695-C1695)</f>
        <v>11</v>
      </c>
      <c r="I1695" s="33" t="n">
        <f aca="false">IF(E1695="","",E1695-C1695)</f>
        <v>9.25</v>
      </c>
      <c r="J1695" s="33" t="n">
        <f aca="false">IF(F1695="","",F1695-C1695)</f>
        <v>6.75</v>
      </c>
      <c r="K1695" s="33" t="n">
        <f aca="false">IF(G1695="","",G1695-C1695)</f>
        <v>8.27187749020364</v>
      </c>
      <c r="L1695" s="33" t="n">
        <f aca="false">IF(H1695="","",ABS(H1695))</f>
        <v>11</v>
      </c>
      <c r="M1695" s="33" t="n">
        <f aca="false">IF(I1695="","",ABS(I1695))</f>
        <v>9.25</v>
      </c>
      <c r="N1695" s="33" t="n">
        <f aca="false">IF(J1695="","",ABS(J1695))</f>
        <v>6.75</v>
      </c>
      <c r="O1695" s="33" t="n">
        <f aca="false">IF(K1695="","",ABS(K1695))</f>
        <v>8.27187749020364</v>
      </c>
      <c r="P1695" s="34" t="str">
        <f aca="false">IF(B1695&gt;=Eval_Start_Week,"YES","")</f>
        <v/>
      </c>
      <c r="Q1695" s="34" t="str">
        <f aca="false">IF(AND(B1695&gt;=Cal_Start_Week,B1695&lt;=Cal_End_Week),"YES","")</f>
        <v/>
      </c>
    </row>
    <row r="1696" customFormat="false" ht="15" hidden="false" customHeight="false" outlineLevel="0" collapsed="false">
      <c r="A1696" s="31" t="str">
        <f aca="false">Demand_History!C1696</f>
        <v>BTH-007</v>
      </c>
      <c r="B1696" s="31" t="n">
        <f aca="false">Demand_History!A1696</f>
        <v>31</v>
      </c>
      <c r="C1696" s="32" t="n">
        <f aca="false">Demand_History!D1696</f>
        <v>34</v>
      </c>
      <c r="D1696" s="33" t="n">
        <f aca="false">IF(B1696&gt;=2,C1695,"")</f>
        <v>30</v>
      </c>
      <c r="E1696" s="33" t="n">
        <f aca="false">IF(B1696&gt;=5,AVERAGE(C1692:C1695),"")</f>
        <v>36.25</v>
      </c>
      <c r="F1696" s="33" t="n">
        <f aca="false">IF(B1696&gt;=9,AVERAGE(C1688:C1695),"")</f>
        <v>36.125</v>
      </c>
      <c r="G1696" s="33" t="n">
        <f aca="false">IF(B1696=1,"",IF(B1696=2,C1695,SES_Alpha*C1695+(1-SES_Alpha)*G1695))</f>
        <v>35.7903142431426</v>
      </c>
      <c r="H1696" s="33" t="n">
        <f aca="false">IF(D1696="","",D1696-C1696)</f>
        <v>-4</v>
      </c>
      <c r="I1696" s="33" t="n">
        <f aca="false">IF(E1696="","",E1696-C1696)</f>
        <v>2.25</v>
      </c>
      <c r="J1696" s="33" t="n">
        <f aca="false">IF(F1696="","",F1696-C1696)</f>
        <v>2.125</v>
      </c>
      <c r="K1696" s="33" t="n">
        <f aca="false">IF(G1696="","",G1696-C1696)</f>
        <v>1.79031424314255</v>
      </c>
      <c r="L1696" s="33" t="n">
        <f aca="false">IF(H1696="","",ABS(H1696))</f>
        <v>4</v>
      </c>
      <c r="M1696" s="33" t="n">
        <f aca="false">IF(I1696="","",ABS(I1696))</f>
        <v>2.25</v>
      </c>
      <c r="N1696" s="33" t="n">
        <f aca="false">IF(J1696="","",ABS(J1696))</f>
        <v>2.125</v>
      </c>
      <c r="O1696" s="33" t="n">
        <f aca="false">IF(K1696="","",ABS(K1696))</f>
        <v>1.79031424314255</v>
      </c>
      <c r="P1696" s="34" t="str">
        <f aca="false">IF(B1696&gt;=Eval_Start_Week,"YES","")</f>
        <v/>
      </c>
      <c r="Q1696" s="34" t="str">
        <f aca="false">IF(AND(B1696&gt;=Cal_Start_Week,B1696&lt;=Cal_End_Week),"YES","")</f>
        <v/>
      </c>
    </row>
    <row r="1697" customFormat="false" ht="15" hidden="false" customHeight="false" outlineLevel="0" collapsed="false">
      <c r="A1697" s="31" t="str">
        <f aca="false">Demand_History!C1697</f>
        <v>BTH-007</v>
      </c>
      <c r="B1697" s="31" t="n">
        <f aca="false">Demand_History!A1697</f>
        <v>32</v>
      </c>
      <c r="C1697" s="32" t="n">
        <f aca="false">Demand_History!D1697</f>
        <v>37</v>
      </c>
      <c r="D1697" s="33" t="n">
        <f aca="false">IF(B1697&gt;=2,C1696,"")</f>
        <v>34</v>
      </c>
      <c r="E1697" s="33" t="n">
        <f aca="false">IF(B1697&gt;=5,AVERAGE(C1693:C1696),"")</f>
        <v>36.75</v>
      </c>
      <c r="F1697" s="33" t="n">
        <f aca="false">IF(B1697&gt;=9,AVERAGE(C1689:C1696),"")</f>
        <v>35.625</v>
      </c>
      <c r="G1697" s="33" t="n">
        <f aca="false">IF(B1697=1,"",IF(B1697=2,C1696,SES_Alpha*C1696+(1-SES_Alpha)*G1696))</f>
        <v>35.2532199701998</v>
      </c>
      <c r="H1697" s="33" t="n">
        <f aca="false">IF(D1697="","",D1697-C1697)</f>
        <v>-3</v>
      </c>
      <c r="I1697" s="33" t="n">
        <f aca="false">IF(E1697="","",E1697-C1697)</f>
        <v>-0.25</v>
      </c>
      <c r="J1697" s="33" t="n">
        <f aca="false">IF(F1697="","",F1697-C1697)</f>
        <v>-1.375</v>
      </c>
      <c r="K1697" s="33" t="n">
        <f aca="false">IF(G1697="","",G1697-C1697)</f>
        <v>-1.74678002980022</v>
      </c>
      <c r="L1697" s="33" t="n">
        <f aca="false">IF(H1697="","",ABS(H1697))</f>
        <v>3</v>
      </c>
      <c r="M1697" s="33" t="n">
        <f aca="false">IF(I1697="","",ABS(I1697))</f>
        <v>0.25</v>
      </c>
      <c r="N1697" s="33" t="n">
        <f aca="false">IF(J1697="","",ABS(J1697))</f>
        <v>1.375</v>
      </c>
      <c r="O1697" s="33" t="n">
        <f aca="false">IF(K1697="","",ABS(K1697))</f>
        <v>1.74678002980022</v>
      </c>
      <c r="P1697" s="34" t="str">
        <f aca="false">IF(B1697&gt;=Eval_Start_Week,"YES","")</f>
        <v/>
      </c>
      <c r="Q1697" s="34" t="str">
        <f aca="false">IF(AND(B1697&gt;=Cal_Start_Week,B1697&lt;=Cal_End_Week),"YES","")</f>
        <v/>
      </c>
    </row>
    <row r="1698" customFormat="false" ht="15" hidden="false" customHeight="false" outlineLevel="0" collapsed="false">
      <c r="A1698" s="31" t="str">
        <f aca="false">Demand_History!C1698</f>
        <v>BTH-007</v>
      </c>
      <c r="B1698" s="31" t="n">
        <f aca="false">Demand_History!A1698</f>
        <v>33</v>
      </c>
      <c r="C1698" s="32" t="n">
        <f aca="false">Demand_History!D1698</f>
        <v>35</v>
      </c>
      <c r="D1698" s="33" t="n">
        <f aca="false">IF(B1698&gt;=2,C1697,"")</f>
        <v>37</v>
      </c>
      <c r="E1698" s="33" t="n">
        <f aca="false">IF(B1698&gt;=5,AVERAGE(C1694:C1697),"")</f>
        <v>35.5</v>
      </c>
      <c r="F1698" s="33" t="n">
        <f aca="false">IF(B1698&gt;=9,AVERAGE(C1690:C1697),"")</f>
        <v>35.875</v>
      </c>
      <c r="G1698" s="33" t="n">
        <f aca="false">IF(B1698=1,"",IF(B1698=2,C1697,SES_Alpha*C1697+(1-SES_Alpha)*G1697))</f>
        <v>35.7772539791398</v>
      </c>
      <c r="H1698" s="33" t="n">
        <f aca="false">IF(D1698="","",D1698-C1698)</f>
        <v>2</v>
      </c>
      <c r="I1698" s="33" t="n">
        <f aca="false">IF(E1698="","",E1698-C1698)</f>
        <v>0.5</v>
      </c>
      <c r="J1698" s="33" t="n">
        <f aca="false">IF(F1698="","",F1698-C1698)</f>
        <v>0.875</v>
      </c>
      <c r="K1698" s="33" t="n">
        <f aca="false">IF(G1698="","",G1698-C1698)</f>
        <v>0.777253979139843</v>
      </c>
      <c r="L1698" s="33" t="n">
        <f aca="false">IF(H1698="","",ABS(H1698))</f>
        <v>2</v>
      </c>
      <c r="M1698" s="33" t="n">
        <f aca="false">IF(I1698="","",ABS(I1698))</f>
        <v>0.5</v>
      </c>
      <c r="N1698" s="33" t="n">
        <f aca="false">IF(J1698="","",ABS(J1698))</f>
        <v>0.875</v>
      </c>
      <c r="O1698" s="33" t="n">
        <f aca="false">IF(K1698="","",ABS(K1698))</f>
        <v>0.777253979139843</v>
      </c>
      <c r="P1698" s="34" t="str">
        <f aca="false">IF(B1698&gt;=Eval_Start_Week,"YES","")</f>
        <v/>
      </c>
      <c r="Q1698" s="34" t="str">
        <f aca="false">IF(AND(B1698&gt;=Cal_Start_Week,B1698&lt;=Cal_End_Week),"YES","")</f>
        <v/>
      </c>
    </row>
    <row r="1699" customFormat="false" ht="15" hidden="false" customHeight="false" outlineLevel="0" collapsed="false">
      <c r="A1699" s="31" t="str">
        <f aca="false">Demand_History!C1699</f>
        <v>BTH-007</v>
      </c>
      <c r="B1699" s="31" t="n">
        <f aca="false">Demand_History!A1699</f>
        <v>34</v>
      </c>
      <c r="C1699" s="32" t="n">
        <f aca="false">Demand_History!D1699</f>
        <v>33</v>
      </c>
      <c r="D1699" s="33" t="n">
        <f aca="false">IF(B1699&gt;=2,C1698,"")</f>
        <v>35</v>
      </c>
      <c r="E1699" s="33" t="n">
        <f aca="false">IF(B1699&gt;=5,AVERAGE(C1695:C1698),"")</f>
        <v>34</v>
      </c>
      <c r="F1699" s="33" t="n">
        <f aca="false">IF(B1699&gt;=9,AVERAGE(C1691:C1698),"")</f>
        <v>36.625</v>
      </c>
      <c r="G1699" s="33" t="n">
        <f aca="false">IF(B1699=1,"",IF(B1699=2,C1698,SES_Alpha*C1698+(1-SES_Alpha)*G1698))</f>
        <v>35.5440777853979</v>
      </c>
      <c r="H1699" s="33" t="n">
        <f aca="false">IF(D1699="","",D1699-C1699)</f>
        <v>2</v>
      </c>
      <c r="I1699" s="33" t="n">
        <f aca="false">IF(E1699="","",E1699-C1699)</f>
        <v>1</v>
      </c>
      <c r="J1699" s="33" t="n">
        <f aca="false">IF(F1699="","",F1699-C1699)</f>
        <v>3.625</v>
      </c>
      <c r="K1699" s="33" t="n">
        <f aca="false">IF(G1699="","",G1699-C1699)</f>
        <v>2.54407778539789</v>
      </c>
      <c r="L1699" s="33" t="n">
        <f aca="false">IF(H1699="","",ABS(H1699))</f>
        <v>2</v>
      </c>
      <c r="M1699" s="33" t="n">
        <f aca="false">IF(I1699="","",ABS(I1699))</f>
        <v>1</v>
      </c>
      <c r="N1699" s="33" t="n">
        <f aca="false">IF(J1699="","",ABS(J1699))</f>
        <v>3.625</v>
      </c>
      <c r="O1699" s="33" t="n">
        <f aca="false">IF(K1699="","",ABS(K1699))</f>
        <v>2.54407778539789</v>
      </c>
      <c r="P1699" s="34" t="str">
        <f aca="false">IF(B1699&gt;=Eval_Start_Week,"YES","")</f>
        <v/>
      </c>
      <c r="Q1699" s="34" t="str">
        <f aca="false">IF(AND(B1699&gt;=Cal_Start_Week,B1699&lt;=Cal_End_Week),"YES","")</f>
        <v/>
      </c>
    </row>
    <row r="1700" customFormat="false" ht="15" hidden="false" customHeight="false" outlineLevel="0" collapsed="false">
      <c r="A1700" s="31" t="str">
        <f aca="false">Demand_History!C1700</f>
        <v>BTH-007</v>
      </c>
      <c r="B1700" s="31" t="n">
        <f aca="false">Demand_History!A1700</f>
        <v>35</v>
      </c>
      <c r="C1700" s="32" t="n">
        <f aca="false">Demand_History!D1700</f>
        <v>45</v>
      </c>
      <c r="D1700" s="33" t="n">
        <f aca="false">IF(B1700&gt;=2,C1699,"")</f>
        <v>33</v>
      </c>
      <c r="E1700" s="33" t="n">
        <f aca="false">IF(B1700&gt;=5,AVERAGE(C1696:C1699),"")</f>
        <v>34.75</v>
      </c>
      <c r="F1700" s="33" t="n">
        <f aca="false">IF(B1700&gt;=9,AVERAGE(C1692:C1699),"")</f>
        <v>35.5</v>
      </c>
      <c r="G1700" s="33" t="n">
        <f aca="false">IF(B1700=1,"",IF(B1700=2,C1699,SES_Alpha*C1699+(1-SES_Alpha)*G1699))</f>
        <v>34.7808544497785</v>
      </c>
      <c r="H1700" s="33" t="n">
        <f aca="false">IF(D1700="","",D1700-C1700)</f>
        <v>-12</v>
      </c>
      <c r="I1700" s="33" t="n">
        <f aca="false">IF(E1700="","",E1700-C1700)</f>
        <v>-10.25</v>
      </c>
      <c r="J1700" s="33" t="n">
        <f aca="false">IF(F1700="","",F1700-C1700)</f>
        <v>-9.5</v>
      </c>
      <c r="K1700" s="33" t="n">
        <f aca="false">IF(G1700="","",G1700-C1700)</f>
        <v>-10.2191455502215</v>
      </c>
      <c r="L1700" s="33" t="n">
        <f aca="false">IF(H1700="","",ABS(H1700))</f>
        <v>12</v>
      </c>
      <c r="M1700" s="33" t="n">
        <f aca="false">IF(I1700="","",ABS(I1700))</f>
        <v>10.25</v>
      </c>
      <c r="N1700" s="33" t="n">
        <f aca="false">IF(J1700="","",ABS(J1700))</f>
        <v>9.5</v>
      </c>
      <c r="O1700" s="33" t="n">
        <f aca="false">IF(K1700="","",ABS(K1700))</f>
        <v>10.2191455502215</v>
      </c>
      <c r="P1700" s="34" t="str">
        <f aca="false">IF(B1700&gt;=Eval_Start_Week,"YES","")</f>
        <v/>
      </c>
      <c r="Q1700" s="34" t="str">
        <f aca="false">IF(AND(B1700&gt;=Cal_Start_Week,B1700&lt;=Cal_End_Week),"YES","")</f>
        <v/>
      </c>
    </row>
    <row r="1701" customFormat="false" ht="15" hidden="false" customHeight="false" outlineLevel="0" collapsed="false">
      <c r="A1701" s="31" t="str">
        <f aca="false">Demand_History!C1701</f>
        <v>BTH-007</v>
      </c>
      <c r="B1701" s="31" t="n">
        <f aca="false">Demand_History!A1701</f>
        <v>36</v>
      </c>
      <c r="C1701" s="32" t="n">
        <f aca="false">Demand_History!D1701</f>
        <v>39</v>
      </c>
      <c r="D1701" s="33" t="n">
        <f aca="false">IF(B1701&gt;=2,C1700,"")</f>
        <v>45</v>
      </c>
      <c r="E1701" s="33" t="n">
        <f aca="false">IF(B1701&gt;=5,AVERAGE(C1697:C1700),"")</f>
        <v>37.5</v>
      </c>
      <c r="F1701" s="33" t="n">
        <f aca="false">IF(B1701&gt;=9,AVERAGE(C1693:C1700),"")</f>
        <v>37.125</v>
      </c>
      <c r="G1701" s="33" t="n">
        <f aca="false">IF(B1701=1,"",IF(B1701=2,C1700,SES_Alpha*C1700+(1-SES_Alpha)*G1700))</f>
        <v>37.846598114845</v>
      </c>
      <c r="H1701" s="33" t="n">
        <f aca="false">IF(D1701="","",D1701-C1701)</f>
        <v>6</v>
      </c>
      <c r="I1701" s="33" t="n">
        <f aca="false">IF(E1701="","",E1701-C1701)</f>
        <v>-1.5</v>
      </c>
      <c r="J1701" s="33" t="n">
        <f aca="false">IF(F1701="","",F1701-C1701)</f>
        <v>-1.875</v>
      </c>
      <c r="K1701" s="33" t="n">
        <f aca="false">IF(G1701="","",G1701-C1701)</f>
        <v>-1.15340188515503</v>
      </c>
      <c r="L1701" s="33" t="n">
        <f aca="false">IF(H1701="","",ABS(H1701))</f>
        <v>6</v>
      </c>
      <c r="M1701" s="33" t="n">
        <f aca="false">IF(I1701="","",ABS(I1701))</f>
        <v>1.5</v>
      </c>
      <c r="N1701" s="33" t="n">
        <f aca="false">IF(J1701="","",ABS(J1701))</f>
        <v>1.875</v>
      </c>
      <c r="O1701" s="33" t="n">
        <f aca="false">IF(K1701="","",ABS(K1701))</f>
        <v>1.15340188515503</v>
      </c>
      <c r="P1701" s="34" t="str">
        <f aca="false">IF(B1701&gt;=Eval_Start_Week,"YES","")</f>
        <v/>
      </c>
      <c r="Q1701" s="34" t="str">
        <f aca="false">IF(AND(B1701&gt;=Cal_Start_Week,B1701&lt;=Cal_End_Week),"YES","")</f>
        <v/>
      </c>
    </row>
    <row r="1702" customFormat="false" ht="15" hidden="false" customHeight="false" outlineLevel="0" collapsed="false">
      <c r="A1702" s="31" t="str">
        <f aca="false">Demand_History!C1702</f>
        <v>BTH-007</v>
      </c>
      <c r="B1702" s="31" t="n">
        <f aca="false">Demand_History!A1702</f>
        <v>37</v>
      </c>
      <c r="C1702" s="32" t="n">
        <f aca="false">Demand_History!D1702</f>
        <v>43</v>
      </c>
      <c r="D1702" s="33" t="n">
        <f aca="false">IF(B1702&gt;=2,C1701,"")</f>
        <v>39</v>
      </c>
      <c r="E1702" s="33" t="n">
        <f aca="false">IF(B1702&gt;=5,AVERAGE(C1698:C1701),"")</f>
        <v>38</v>
      </c>
      <c r="F1702" s="33" t="n">
        <f aca="false">IF(B1702&gt;=9,AVERAGE(C1694:C1701),"")</f>
        <v>36.75</v>
      </c>
      <c r="G1702" s="33" t="n">
        <f aca="false">IF(B1702=1,"",IF(B1702=2,C1701,SES_Alpha*C1701+(1-SES_Alpha)*G1701))</f>
        <v>38.1926186803915</v>
      </c>
      <c r="H1702" s="33" t="n">
        <f aca="false">IF(D1702="","",D1702-C1702)</f>
        <v>-4</v>
      </c>
      <c r="I1702" s="33" t="n">
        <f aca="false">IF(E1702="","",E1702-C1702)</f>
        <v>-5</v>
      </c>
      <c r="J1702" s="33" t="n">
        <f aca="false">IF(F1702="","",F1702-C1702)</f>
        <v>-6.25</v>
      </c>
      <c r="K1702" s="33" t="n">
        <f aca="false">IF(G1702="","",G1702-C1702)</f>
        <v>-4.80738131960852</v>
      </c>
      <c r="L1702" s="33" t="n">
        <f aca="false">IF(H1702="","",ABS(H1702))</f>
        <v>4</v>
      </c>
      <c r="M1702" s="33" t="n">
        <f aca="false">IF(I1702="","",ABS(I1702))</f>
        <v>5</v>
      </c>
      <c r="N1702" s="33" t="n">
        <f aca="false">IF(J1702="","",ABS(J1702))</f>
        <v>6.25</v>
      </c>
      <c r="O1702" s="33" t="n">
        <f aca="false">IF(K1702="","",ABS(K1702))</f>
        <v>4.80738131960852</v>
      </c>
      <c r="P1702" s="34" t="str">
        <f aca="false">IF(B1702&gt;=Eval_Start_Week,"YES","")</f>
        <v/>
      </c>
      <c r="Q1702" s="34" t="str">
        <f aca="false">IF(AND(B1702&gt;=Cal_Start_Week,B1702&lt;=Cal_End_Week),"YES","")</f>
        <v>YES</v>
      </c>
    </row>
    <row r="1703" customFormat="false" ht="15" hidden="false" customHeight="false" outlineLevel="0" collapsed="false">
      <c r="A1703" s="31" t="str">
        <f aca="false">Demand_History!C1703</f>
        <v>BTH-007</v>
      </c>
      <c r="B1703" s="31" t="n">
        <f aca="false">Demand_History!A1703</f>
        <v>38</v>
      </c>
      <c r="C1703" s="32" t="n">
        <f aca="false">Demand_History!D1703</f>
        <v>39</v>
      </c>
      <c r="D1703" s="33" t="n">
        <f aca="false">IF(B1703&gt;=2,C1702,"")</f>
        <v>43</v>
      </c>
      <c r="E1703" s="33" t="n">
        <f aca="false">IF(B1703&gt;=5,AVERAGE(C1699:C1702),"")</f>
        <v>40</v>
      </c>
      <c r="F1703" s="33" t="n">
        <f aca="false">IF(B1703&gt;=9,AVERAGE(C1695:C1702),"")</f>
        <v>37</v>
      </c>
      <c r="G1703" s="33" t="n">
        <f aca="false">IF(B1703=1,"",IF(B1703=2,C1702,SES_Alpha*C1702+(1-SES_Alpha)*G1702))</f>
        <v>39.634833076274</v>
      </c>
      <c r="H1703" s="33" t="n">
        <f aca="false">IF(D1703="","",D1703-C1703)</f>
        <v>4</v>
      </c>
      <c r="I1703" s="33" t="n">
        <f aca="false">IF(E1703="","",E1703-C1703)</f>
        <v>1</v>
      </c>
      <c r="J1703" s="33" t="n">
        <f aca="false">IF(F1703="","",F1703-C1703)</f>
        <v>-2</v>
      </c>
      <c r="K1703" s="33" t="n">
        <f aca="false">IF(G1703="","",G1703-C1703)</f>
        <v>0.634833076274035</v>
      </c>
      <c r="L1703" s="33" t="n">
        <f aca="false">IF(H1703="","",ABS(H1703))</f>
        <v>4</v>
      </c>
      <c r="M1703" s="33" t="n">
        <f aca="false">IF(I1703="","",ABS(I1703))</f>
        <v>1</v>
      </c>
      <c r="N1703" s="33" t="n">
        <f aca="false">IF(J1703="","",ABS(J1703))</f>
        <v>2</v>
      </c>
      <c r="O1703" s="33" t="n">
        <f aca="false">IF(K1703="","",ABS(K1703))</f>
        <v>0.634833076274035</v>
      </c>
      <c r="P1703" s="34" t="str">
        <f aca="false">IF(B1703&gt;=Eval_Start_Week,"YES","")</f>
        <v/>
      </c>
      <c r="Q1703" s="34" t="str">
        <f aca="false">IF(AND(B1703&gt;=Cal_Start_Week,B1703&lt;=Cal_End_Week),"YES","")</f>
        <v>YES</v>
      </c>
    </row>
    <row r="1704" customFormat="false" ht="15" hidden="false" customHeight="false" outlineLevel="0" collapsed="false">
      <c r="A1704" s="31" t="str">
        <f aca="false">Demand_History!C1704</f>
        <v>BTH-007</v>
      </c>
      <c r="B1704" s="31" t="n">
        <f aca="false">Demand_History!A1704</f>
        <v>39</v>
      </c>
      <c r="C1704" s="32" t="n">
        <f aca="false">Demand_History!D1704</f>
        <v>43</v>
      </c>
      <c r="D1704" s="33" t="n">
        <f aca="false">IF(B1704&gt;=2,C1703,"")</f>
        <v>39</v>
      </c>
      <c r="E1704" s="33" t="n">
        <f aca="false">IF(B1704&gt;=5,AVERAGE(C1700:C1703),"")</f>
        <v>41.5</v>
      </c>
      <c r="F1704" s="33" t="n">
        <f aca="false">IF(B1704&gt;=9,AVERAGE(C1696:C1703),"")</f>
        <v>38.125</v>
      </c>
      <c r="G1704" s="33" t="n">
        <f aca="false">IF(B1704=1,"",IF(B1704=2,C1703,SES_Alpha*C1703+(1-SES_Alpha)*G1703))</f>
        <v>39.4443831533918</v>
      </c>
      <c r="H1704" s="33" t="n">
        <f aca="false">IF(D1704="","",D1704-C1704)</f>
        <v>-4</v>
      </c>
      <c r="I1704" s="33" t="n">
        <f aca="false">IF(E1704="","",E1704-C1704)</f>
        <v>-1.5</v>
      </c>
      <c r="J1704" s="33" t="n">
        <f aca="false">IF(F1704="","",F1704-C1704)</f>
        <v>-4.875</v>
      </c>
      <c r="K1704" s="33" t="n">
        <f aca="false">IF(G1704="","",G1704-C1704)</f>
        <v>-3.55561684660817</v>
      </c>
      <c r="L1704" s="33" t="n">
        <f aca="false">IF(H1704="","",ABS(H1704))</f>
        <v>4</v>
      </c>
      <c r="M1704" s="33" t="n">
        <f aca="false">IF(I1704="","",ABS(I1704))</f>
        <v>1.5</v>
      </c>
      <c r="N1704" s="33" t="n">
        <f aca="false">IF(J1704="","",ABS(J1704))</f>
        <v>4.875</v>
      </c>
      <c r="O1704" s="33" t="n">
        <f aca="false">IF(K1704="","",ABS(K1704))</f>
        <v>3.55561684660817</v>
      </c>
      <c r="P1704" s="34" t="str">
        <f aca="false">IF(B1704&gt;=Eval_Start_Week,"YES","")</f>
        <v/>
      </c>
      <c r="Q1704" s="34" t="str">
        <f aca="false">IF(AND(B1704&gt;=Cal_Start_Week,B1704&lt;=Cal_End_Week),"YES","")</f>
        <v>YES</v>
      </c>
    </row>
    <row r="1705" customFormat="false" ht="15" hidden="false" customHeight="false" outlineLevel="0" collapsed="false">
      <c r="A1705" s="31" t="str">
        <f aca="false">Demand_History!C1705</f>
        <v>BTH-007</v>
      </c>
      <c r="B1705" s="31" t="n">
        <f aca="false">Demand_History!A1705</f>
        <v>40</v>
      </c>
      <c r="C1705" s="32" t="n">
        <f aca="false">Demand_History!D1705</f>
        <v>38</v>
      </c>
      <c r="D1705" s="33" t="n">
        <f aca="false">IF(B1705&gt;=2,C1704,"")</f>
        <v>43</v>
      </c>
      <c r="E1705" s="33" t="n">
        <f aca="false">IF(B1705&gt;=5,AVERAGE(C1701:C1704),"")</f>
        <v>41</v>
      </c>
      <c r="F1705" s="33" t="n">
        <f aca="false">IF(B1705&gt;=9,AVERAGE(C1697:C1704),"")</f>
        <v>39.25</v>
      </c>
      <c r="G1705" s="33" t="n">
        <f aca="false">IF(B1705=1,"",IF(B1705=2,C1704,SES_Alpha*C1704+(1-SES_Alpha)*G1704))</f>
        <v>40.5110682073743</v>
      </c>
      <c r="H1705" s="33" t="n">
        <f aca="false">IF(D1705="","",D1705-C1705)</f>
        <v>5</v>
      </c>
      <c r="I1705" s="33" t="n">
        <f aca="false">IF(E1705="","",E1705-C1705)</f>
        <v>3</v>
      </c>
      <c r="J1705" s="33" t="n">
        <f aca="false">IF(F1705="","",F1705-C1705)</f>
        <v>1.25</v>
      </c>
      <c r="K1705" s="33" t="n">
        <f aca="false">IF(G1705="","",G1705-C1705)</f>
        <v>2.51106820737428</v>
      </c>
      <c r="L1705" s="33" t="n">
        <f aca="false">IF(H1705="","",ABS(H1705))</f>
        <v>5</v>
      </c>
      <c r="M1705" s="33" t="n">
        <f aca="false">IF(I1705="","",ABS(I1705))</f>
        <v>3</v>
      </c>
      <c r="N1705" s="33" t="n">
        <f aca="false">IF(J1705="","",ABS(J1705))</f>
        <v>1.25</v>
      </c>
      <c r="O1705" s="33" t="n">
        <f aca="false">IF(K1705="","",ABS(K1705))</f>
        <v>2.51106820737428</v>
      </c>
      <c r="P1705" s="34" t="str">
        <f aca="false">IF(B1705&gt;=Eval_Start_Week,"YES","")</f>
        <v/>
      </c>
      <c r="Q1705" s="34" t="str">
        <f aca="false">IF(AND(B1705&gt;=Cal_Start_Week,B1705&lt;=Cal_End_Week),"YES","")</f>
        <v>YES</v>
      </c>
    </row>
    <row r="1706" customFormat="false" ht="15" hidden="false" customHeight="false" outlineLevel="0" collapsed="false">
      <c r="A1706" s="31" t="str">
        <f aca="false">Demand_History!C1706</f>
        <v>BTH-007</v>
      </c>
      <c r="B1706" s="31" t="n">
        <f aca="false">Demand_History!A1706</f>
        <v>41</v>
      </c>
      <c r="C1706" s="32" t="n">
        <f aca="false">Demand_History!D1706</f>
        <v>42</v>
      </c>
      <c r="D1706" s="33" t="n">
        <f aca="false">IF(B1706&gt;=2,C1705,"")</f>
        <v>38</v>
      </c>
      <c r="E1706" s="33" t="n">
        <f aca="false">IF(B1706&gt;=5,AVERAGE(C1702:C1705),"")</f>
        <v>40.75</v>
      </c>
      <c r="F1706" s="33" t="n">
        <f aca="false">IF(B1706&gt;=9,AVERAGE(C1698:C1705),"")</f>
        <v>39.375</v>
      </c>
      <c r="G1706" s="33" t="n">
        <f aca="false">IF(B1706=1,"",IF(B1706=2,C1705,SES_Alpha*C1705+(1-SES_Alpha)*G1705))</f>
        <v>39.757747745162</v>
      </c>
      <c r="H1706" s="33" t="n">
        <f aca="false">IF(D1706="","",D1706-C1706)</f>
        <v>-4</v>
      </c>
      <c r="I1706" s="33" t="n">
        <f aca="false">IF(E1706="","",E1706-C1706)</f>
        <v>-1.25</v>
      </c>
      <c r="J1706" s="33" t="n">
        <f aca="false">IF(F1706="","",F1706-C1706)</f>
        <v>-2.625</v>
      </c>
      <c r="K1706" s="33" t="n">
        <f aca="false">IF(G1706="","",G1706-C1706)</f>
        <v>-2.24225225483801</v>
      </c>
      <c r="L1706" s="33" t="n">
        <f aca="false">IF(H1706="","",ABS(H1706))</f>
        <v>4</v>
      </c>
      <c r="M1706" s="33" t="n">
        <f aca="false">IF(I1706="","",ABS(I1706))</f>
        <v>1.25</v>
      </c>
      <c r="N1706" s="33" t="n">
        <f aca="false">IF(J1706="","",ABS(J1706))</f>
        <v>2.625</v>
      </c>
      <c r="O1706" s="33" t="n">
        <f aca="false">IF(K1706="","",ABS(K1706))</f>
        <v>2.24225225483801</v>
      </c>
      <c r="P1706" s="34" t="str">
        <f aca="false">IF(B1706&gt;=Eval_Start_Week,"YES","")</f>
        <v/>
      </c>
      <c r="Q1706" s="34" t="str">
        <f aca="false">IF(AND(B1706&gt;=Cal_Start_Week,B1706&lt;=Cal_End_Week),"YES","")</f>
        <v>YES</v>
      </c>
    </row>
    <row r="1707" customFormat="false" ht="15" hidden="false" customHeight="false" outlineLevel="0" collapsed="false">
      <c r="A1707" s="31" t="str">
        <f aca="false">Demand_History!C1707</f>
        <v>BTH-007</v>
      </c>
      <c r="B1707" s="31" t="n">
        <f aca="false">Demand_History!A1707</f>
        <v>42</v>
      </c>
      <c r="C1707" s="32" t="n">
        <f aca="false">Demand_History!D1707</f>
        <v>46</v>
      </c>
      <c r="D1707" s="33" t="n">
        <f aca="false">IF(B1707&gt;=2,C1706,"")</f>
        <v>42</v>
      </c>
      <c r="E1707" s="33" t="n">
        <f aca="false">IF(B1707&gt;=5,AVERAGE(C1703:C1706),"")</f>
        <v>40.5</v>
      </c>
      <c r="F1707" s="33" t="n">
        <f aca="false">IF(B1707&gt;=9,AVERAGE(C1699:C1706),"")</f>
        <v>40.25</v>
      </c>
      <c r="G1707" s="33" t="n">
        <f aca="false">IF(B1707=1,"",IF(B1707=2,C1706,SES_Alpha*C1706+(1-SES_Alpha)*G1706))</f>
        <v>40.4304234216134</v>
      </c>
      <c r="H1707" s="33" t="n">
        <f aca="false">IF(D1707="","",D1707-C1707)</f>
        <v>-4</v>
      </c>
      <c r="I1707" s="33" t="n">
        <f aca="false">IF(E1707="","",E1707-C1707)</f>
        <v>-5.5</v>
      </c>
      <c r="J1707" s="33" t="n">
        <f aca="false">IF(F1707="","",F1707-C1707)</f>
        <v>-5.75</v>
      </c>
      <c r="K1707" s="33" t="n">
        <f aca="false">IF(G1707="","",G1707-C1707)</f>
        <v>-5.56957657838661</v>
      </c>
      <c r="L1707" s="33" t="n">
        <f aca="false">IF(H1707="","",ABS(H1707))</f>
        <v>4</v>
      </c>
      <c r="M1707" s="33" t="n">
        <f aca="false">IF(I1707="","",ABS(I1707))</f>
        <v>5.5</v>
      </c>
      <c r="N1707" s="33" t="n">
        <f aca="false">IF(J1707="","",ABS(J1707))</f>
        <v>5.75</v>
      </c>
      <c r="O1707" s="33" t="n">
        <f aca="false">IF(K1707="","",ABS(K1707))</f>
        <v>5.56957657838661</v>
      </c>
      <c r="P1707" s="34" t="str">
        <f aca="false">IF(B1707&gt;=Eval_Start_Week,"YES","")</f>
        <v/>
      </c>
      <c r="Q1707" s="34" t="str">
        <f aca="false">IF(AND(B1707&gt;=Cal_Start_Week,B1707&lt;=Cal_End_Week),"YES","")</f>
        <v>YES</v>
      </c>
    </row>
    <row r="1708" customFormat="false" ht="15" hidden="false" customHeight="false" outlineLevel="0" collapsed="false">
      <c r="A1708" s="31" t="str">
        <f aca="false">Demand_History!C1708</f>
        <v>BTH-007</v>
      </c>
      <c r="B1708" s="31" t="n">
        <f aca="false">Demand_History!A1708</f>
        <v>43</v>
      </c>
      <c r="C1708" s="32" t="n">
        <f aca="false">Demand_History!D1708</f>
        <v>43</v>
      </c>
      <c r="D1708" s="33" t="n">
        <f aca="false">IF(B1708&gt;=2,C1707,"")</f>
        <v>46</v>
      </c>
      <c r="E1708" s="33" t="n">
        <f aca="false">IF(B1708&gt;=5,AVERAGE(C1704:C1707),"")</f>
        <v>42.25</v>
      </c>
      <c r="F1708" s="33" t="n">
        <f aca="false">IF(B1708&gt;=9,AVERAGE(C1700:C1707),"")</f>
        <v>41.875</v>
      </c>
      <c r="G1708" s="33" t="n">
        <f aca="false">IF(B1708=1,"",IF(B1708=2,C1707,SES_Alpha*C1707+(1-SES_Alpha)*G1707))</f>
        <v>42.1012963951294</v>
      </c>
      <c r="H1708" s="33" t="n">
        <f aca="false">IF(D1708="","",D1708-C1708)</f>
        <v>3</v>
      </c>
      <c r="I1708" s="33" t="n">
        <f aca="false">IF(E1708="","",E1708-C1708)</f>
        <v>-0.75</v>
      </c>
      <c r="J1708" s="33" t="n">
        <f aca="false">IF(F1708="","",F1708-C1708)</f>
        <v>-1.125</v>
      </c>
      <c r="K1708" s="33" t="n">
        <f aca="false">IF(G1708="","",G1708-C1708)</f>
        <v>-0.898703604870633</v>
      </c>
      <c r="L1708" s="33" t="n">
        <f aca="false">IF(H1708="","",ABS(H1708))</f>
        <v>3</v>
      </c>
      <c r="M1708" s="33" t="n">
        <f aca="false">IF(I1708="","",ABS(I1708))</f>
        <v>0.75</v>
      </c>
      <c r="N1708" s="33" t="n">
        <f aca="false">IF(J1708="","",ABS(J1708))</f>
        <v>1.125</v>
      </c>
      <c r="O1708" s="33" t="n">
        <f aca="false">IF(K1708="","",ABS(K1708))</f>
        <v>0.898703604870633</v>
      </c>
      <c r="P1708" s="34" t="str">
        <f aca="false">IF(B1708&gt;=Eval_Start_Week,"YES","")</f>
        <v/>
      </c>
      <c r="Q1708" s="34" t="str">
        <f aca="false">IF(AND(B1708&gt;=Cal_Start_Week,B1708&lt;=Cal_End_Week),"YES","")</f>
        <v>YES</v>
      </c>
    </row>
    <row r="1709" customFormat="false" ht="15" hidden="false" customHeight="false" outlineLevel="0" collapsed="false">
      <c r="A1709" s="31" t="str">
        <f aca="false">Demand_History!C1709</f>
        <v>BTH-007</v>
      </c>
      <c r="B1709" s="31" t="n">
        <f aca="false">Demand_History!A1709</f>
        <v>44</v>
      </c>
      <c r="C1709" s="32" t="n">
        <f aca="false">Demand_History!D1709</f>
        <v>41</v>
      </c>
      <c r="D1709" s="33" t="n">
        <f aca="false">IF(B1709&gt;=2,C1708,"")</f>
        <v>43</v>
      </c>
      <c r="E1709" s="33" t="n">
        <f aca="false">IF(B1709&gt;=5,AVERAGE(C1705:C1708),"")</f>
        <v>42.25</v>
      </c>
      <c r="F1709" s="33" t="n">
        <f aca="false">IF(B1709&gt;=9,AVERAGE(C1701:C1708),"")</f>
        <v>41.625</v>
      </c>
      <c r="G1709" s="33" t="n">
        <f aca="false">IF(B1709=1,"",IF(B1709=2,C1708,SES_Alpha*C1708+(1-SES_Alpha)*G1708))</f>
        <v>42.3709074765906</v>
      </c>
      <c r="H1709" s="33" t="n">
        <f aca="false">IF(D1709="","",D1709-C1709)</f>
        <v>2</v>
      </c>
      <c r="I1709" s="33" t="n">
        <f aca="false">IF(E1709="","",E1709-C1709)</f>
        <v>1.25</v>
      </c>
      <c r="J1709" s="33" t="n">
        <f aca="false">IF(F1709="","",F1709-C1709)</f>
        <v>0.625</v>
      </c>
      <c r="K1709" s="33" t="n">
        <f aca="false">IF(G1709="","",G1709-C1709)</f>
        <v>1.37090747659055</v>
      </c>
      <c r="L1709" s="33" t="n">
        <f aca="false">IF(H1709="","",ABS(H1709))</f>
        <v>2</v>
      </c>
      <c r="M1709" s="33" t="n">
        <f aca="false">IF(I1709="","",ABS(I1709))</f>
        <v>1.25</v>
      </c>
      <c r="N1709" s="33" t="n">
        <f aca="false">IF(J1709="","",ABS(J1709))</f>
        <v>0.625</v>
      </c>
      <c r="O1709" s="33" t="n">
        <f aca="false">IF(K1709="","",ABS(K1709))</f>
        <v>1.37090747659055</v>
      </c>
      <c r="P1709" s="34" t="str">
        <f aca="false">IF(B1709&gt;=Eval_Start_Week,"YES","")</f>
        <v/>
      </c>
      <c r="Q1709" s="34" t="str">
        <f aca="false">IF(AND(B1709&gt;=Cal_Start_Week,B1709&lt;=Cal_End_Week),"YES","")</f>
        <v>YES</v>
      </c>
    </row>
    <row r="1710" customFormat="false" ht="15" hidden="false" customHeight="false" outlineLevel="0" collapsed="false">
      <c r="A1710" s="31" t="str">
        <f aca="false">Demand_History!C1710</f>
        <v>BTH-007</v>
      </c>
      <c r="B1710" s="31" t="n">
        <f aca="false">Demand_History!A1710</f>
        <v>45</v>
      </c>
      <c r="C1710" s="32" t="n">
        <f aca="false">Demand_History!D1710</f>
        <v>37</v>
      </c>
      <c r="D1710" s="33" t="n">
        <f aca="false">IF(B1710&gt;=2,C1709,"")</f>
        <v>41</v>
      </c>
      <c r="E1710" s="33" t="n">
        <f aca="false">IF(B1710&gt;=5,AVERAGE(C1706:C1709),"")</f>
        <v>43</v>
      </c>
      <c r="F1710" s="33" t="n">
        <f aca="false">IF(B1710&gt;=9,AVERAGE(C1702:C1709),"")</f>
        <v>41.875</v>
      </c>
      <c r="G1710" s="33" t="n">
        <f aca="false">IF(B1710=1,"",IF(B1710=2,C1709,SES_Alpha*C1709+(1-SES_Alpha)*G1709))</f>
        <v>41.9596352336134</v>
      </c>
      <c r="H1710" s="33" t="n">
        <f aca="false">IF(D1710="","",D1710-C1710)</f>
        <v>4</v>
      </c>
      <c r="I1710" s="33" t="n">
        <f aca="false">IF(E1710="","",E1710-C1710)</f>
        <v>6</v>
      </c>
      <c r="J1710" s="33" t="n">
        <f aca="false">IF(F1710="","",F1710-C1710)</f>
        <v>4.875</v>
      </c>
      <c r="K1710" s="33" t="n">
        <f aca="false">IF(G1710="","",G1710-C1710)</f>
        <v>4.95963523361338</v>
      </c>
      <c r="L1710" s="33" t="n">
        <f aca="false">IF(H1710="","",ABS(H1710))</f>
        <v>4</v>
      </c>
      <c r="M1710" s="33" t="n">
        <f aca="false">IF(I1710="","",ABS(I1710))</f>
        <v>6</v>
      </c>
      <c r="N1710" s="33" t="n">
        <f aca="false">IF(J1710="","",ABS(J1710))</f>
        <v>4.875</v>
      </c>
      <c r="O1710" s="33" t="n">
        <f aca="false">IF(K1710="","",ABS(K1710))</f>
        <v>4.95963523361338</v>
      </c>
      <c r="P1710" s="34" t="str">
        <f aca="false">IF(B1710&gt;=Eval_Start_Week,"YES","")</f>
        <v/>
      </c>
      <c r="Q1710" s="34" t="str">
        <f aca="false">IF(AND(B1710&gt;=Cal_Start_Week,B1710&lt;=Cal_End_Week),"YES","")</f>
        <v>YES</v>
      </c>
    </row>
    <row r="1711" customFormat="false" ht="15" hidden="false" customHeight="false" outlineLevel="0" collapsed="false">
      <c r="A1711" s="31" t="str">
        <f aca="false">Demand_History!C1711</f>
        <v>BTH-007</v>
      </c>
      <c r="B1711" s="31" t="n">
        <f aca="false">Demand_History!A1711</f>
        <v>46</v>
      </c>
      <c r="C1711" s="32" t="n">
        <f aca="false">Demand_History!D1711</f>
        <v>45</v>
      </c>
      <c r="D1711" s="33" t="n">
        <f aca="false">IF(B1711&gt;=2,C1710,"")</f>
        <v>37</v>
      </c>
      <c r="E1711" s="33" t="n">
        <f aca="false">IF(B1711&gt;=5,AVERAGE(C1707:C1710),"")</f>
        <v>41.75</v>
      </c>
      <c r="F1711" s="33" t="n">
        <f aca="false">IF(B1711&gt;=9,AVERAGE(C1703:C1710),"")</f>
        <v>41.125</v>
      </c>
      <c r="G1711" s="33" t="n">
        <f aca="false">IF(B1711=1,"",IF(B1711=2,C1710,SES_Alpha*C1710+(1-SES_Alpha)*G1710))</f>
        <v>40.4717446635294</v>
      </c>
      <c r="H1711" s="33" t="n">
        <f aca="false">IF(D1711="","",D1711-C1711)</f>
        <v>-8</v>
      </c>
      <c r="I1711" s="33" t="n">
        <f aca="false">IF(E1711="","",E1711-C1711)</f>
        <v>-3.25</v>
      </c>
      <c r="J1711" s="33" t="n">
        <f aca="false">IF(F1711="","",F1711-C1711)</f>
        <v>-3.875</v>
      </c>
      <c r="K1711" s="33" t="n">
        <f aca="false">IF(G1711="","",G1711-C1711)</f>
        <v>-4.52825533647064</v>
      </c>
      <c r="L1711" s="33" t="n">
        <f aca="false">IF(H1711="","",ABS(H1711))</f>
        <v>8</v>
      </c>
      <c r="M1711" s="33" t="n">
        <f aca="false">IF(I1711="","",ABS(I1711))</f>
        <v>3.25</v>
      </c>
      <c r="N1711" s="33" t="n">
        <f aca="false">IF(J1711="","",ABS(J1711))</f>
        <v>3.875</v>
      </c>
      <c r="O1711" s="33" t="n">
        <f aca="false">IF(K1711="","",ABS(K1711))</f>
        <v>4.52825533647064</v>
      </c>
      <c r="P1711" s="34" t="str">
        <f aca="false">IF(B1711&gt;=Eval_Start_Week,"YES","")</f>
        <v/>
      </c>
      <c r="Q1711" s="34" t="str">
        <f aca="false">IF(AND(B1711&gt;=Cal_Start_Week,B1711&lt;=Cal_End_Week),"YES","")</f>
        <v>YES</v>
      </c>
    </row>
    <row r="1712" customFormat="false" ht="15" hidden="false" customHeight="false" outlineLevel="0" collapsed="false">
      <c r="A1712" s="31" t="str">
        <f aca="false">Demand_History!C1712</f>
        <v>BTH-007</v>
      </c>
      <c r="B1712" s="31" t="n">
        <f aca="false">Demand_History!A1712</f>
        <v>47</v>
      </c>
      <c r="C1712" s="32" t="n">
        <f aca="false">Demand_History!D1712</f>
        <v>46</v>
      </c>
      <c r="D1712" s="33" t="n">
        <f aca="false">IF(B1712&gt;=2,C1711,"")</f>
        <v>45</v>
      </c>
      <c r="E1712" s="33" t="n">
        <f aca="false">IF(B1712&gt;=5,AVERAGE(C1708:C1711),"")</f>
        <v>41.5</v>
      </c>
      <c r="F1712" s="33" t="n">
        <f aca="false">IF(B1712&gt;=9,AVERAGE(C1704:C1711),"")</f>
        <v>41.875</v>
      </c>
      <c r="G1712" s="33" t="n">
        <f aca="false">IF(B1712=1,"",IF(B1712=2,C1711,SES_Alpha*C1711+(1-SES_Alpha)*G1711))</f>
        <v>41.8302212644706</v>
      </c>
      <c r="H1712" s="33" t="n">
        <f aca="false">IF(D1712="","",D1712-C1712)</f>
        <v>-1</v>
      </c>
      <c r="I1712" s="33" t="n">
        <f aca="false">IF(E1712="","",E1712-C1712)</f>
        <v>-4.5</v>
      </c>
      <c r="J1712" s="33" t="n">
        <f aca="false">IF(F1712="","",F1712-C1712)</f>
        <v>-4.125</v>
      </c>
      <c r="K1712" s="33" t="n">
        <f aca="false">IF(G1712="","",G1712-C1712)</f>
        <v>-4.16977873552945</v>
      </c>
      <c r="L1712" s="33" t="n">
        <f aca="false">IF(H1712="","",ABS(H1712))</f>
        <v>1</v>
      </c>
      <c r="M1712" s="33" t="n">
        <f aca="false">IF(I1712="","",ABS(I1712))</f>
        <v>4.5</v>
      </c>
      <c r="N1712" s="33" t="n">
        <f aca="false">IF(J1712="","",ABS(J1712))</f>
        <v>4.125</v>
      </c>
      <c r="O1712" s="33" t="n">
        <f aca="false">IF(K1712="","",ABS(K1712))</f>
        <v>4.16977873552945</v>
      </c>
      <c r="P1712" s="34" t="str">
        <f aca="false">IF(B1712&gt;=Eval_Start_Week,"YES","")</f>
        <v/>
      </c>
      <c r="Q1712" s="34" t="str">
        <f aca="false">IF(AND(B1712&gt;=Cal_Start_Week,B1712&lt;=Cal_End_Week),"YES","")</f>
        <v>YES</v>
      </c>
    </row>
    <row r="1713" customFormat="false" ht="15" hidden="false" customHeight="false" outlineLevel="0" collapsed="false">
      <c r="A1713" s="31" t="str">
        <f aca="false">Demand_History!C1713</f>
        <v>BTH-007</v>
      </c>
      <c r="B1713" s="31" t="n">
        <f aca="false">Demand_History!A1713</f>
        <v>48</v>
      </c>
      <c r="C1713" s="32" t="n">
        <f aca="false">Demand_History!D1713</f>
        <v>43</v>
      </c>
      <c r="D1713" s="33" t="n">
        <f aca="false">IF(B1713&gt;=2,C1712,"")</f>
        <v>46</v>
      </c>
      <c r="E1713" s="33" t="n">
        <f aca="false">IF(B1713&gt;=5,AVERAGE(C1709:C1712),"")</f>
        <v>42.25</v>
      </c>
      <c r="F1713" s="33" t="n">
        <f aca="false">IF(B1713&gt;=9,AVERAGE(C1705:C1712),"")</f>
        <v>42.25</v>
      </c>
      <c r="G1713" s="33" t="n">
        <f aca="false">IF(B1713=1,"",IF(B1713=2,C1712,SES_Alpha*C1712+(1-SES_Alpha)*G1712))</f>
        <v>43.0811548851294</v>
      </c>
      <c r="H1713" s="33" t="n">
        <f aca="false">IF(D1713="","",D1713-C1713)</f>
        <v>3</v>
      </c>
      <c r="I1713" s="33" t="n">
        <f aca="false">IF(E1713="","",E1713-C1713)</f>
        <v>-0.75</v>
      </c>
      <c r="J1713" s="33" t="n">
        <f aca="false">IF(F1713="","",F1713-C1713)</f>
        <v>-0.75</v>
      </c>
      <c r="K1713" s="33" t="n">
        <f aca="false">IF(G1713="","",G1713-C1713)</f>
        <v>0.0811548851293864</v>
      </c>
      <c r="L1713" s="33" t="n">
        <f aca="false">IF(H1713="","",ABS(H1713))</f>
        <v>3</v>
      </c>
      <c r="M1713" s="33" t="n">
        <f aca="false">IF(I1713="","",ABS(I1713))</f>
        <v>0.75</v>
      </c>
      <c r="N1713" s="33" t="n">
        <f aca="false">IF(J1713="","",ABS(J1713))</f>
        <v>0.75</v>
      </c>
      <c r="O1713" s="33" t="n">
        <f aca="false">IF(K1713="","",ABS(K1713))</f>
        <v>0.0811548851293864</v>
      </c>
      <c r="P1713" s="34" t="str">
        <f aca="false">IF(B1713&gt;=Eval_Start_Week,"YES","")</f>
        <v/>
      </c>
      <c r="Q1713" s="34" t="str">
        <f aca="false">IF(AND(B1713&gt;=Cal_Start_Week,B1713&lt;=Cal_End_Week),"YES","")</f>
        <v>YES</v>
      </c>
    </row>
    <row r="1714" customFormat="false" ht="15" hidden="false" customHeight="false" outlineLevel="0" collapsed="false">
      <c r="A1714" s="31" t="str">
        <f aca="false">Demand_History!C1714</f>
        <v>BTH-007</v>
      </c>
      <c r="B1714" s="31" t="n">
        <f aca="false">Demand_History!A1714</f>
        <v>49</v>
      </c>
      <c r="C1714" s="32" t="n">
        <f aca="false">Demand_History!D1714</f>
        <v>40</v>
      </c>
      <c r="D1714" s="33" t="n">
        <f aca="false">IF(B1714&gt;=2,C1713,"")</f>
        <v>43</v>
      </c>
      <c r="E1714" s="33" t="n">
        <f aca="false">IF(B1714&gt;=5,AVERAGE(C1710:C1713),"")</f>
        <v>42.75</v>
      </c>
      <c r="F1714" s="33" t="n">
        <f aca="false">IF(B1714&gt;=9,AVERAGE(C1706:C1713),"")</f>
        <v>42.875</v>
      </c>
      <c r="G1714" s="33" t="n">
        <f aca="false">IF(B1714=1,"",IF(B1714=2,C1713,SES_Alpha*C1713+(1-SES_Alpha)*G1713))</f>
        <v>43.0568084195906</v>
      </c>
      <c r="H1714" s="33" t="n">
        <f aca="false">IF(D1714="","",D1714-C1714)</f>
        <v>3</v>
      </c>
      <c r="I1714" s="33" t="n">
        <f aca="false">IF(E1714="","",E1714-C1714)</f>
        <v>2.75</v>
      </c>
      <c r="J1714" s="33" t="n">
        <f aca="false">IF(F1714="","",F1714-C1714)</f>
        <v>2.875</v>
      </c>
      <c r="K1714" s="33" t="n">
        <f aca="false">IF(G1714="","",G1714-C1714)</f>
        <v>3.05680841959057</v>
      </c>
      <c r="L1714" s="33" t="n">
        <f aca="false">IF(H1714="","",ABS(H1714))</f>
        <v>3</v>
      </c>
      <c r="M1714" s="33" t="n">
        <f aca="false">IF(I1714="","",ABS(I1714))</f>
        <v>2.75</v>
      </c>
      <c r="N1714" s="33" t="n">
        <f aca="false">IF(J1714="","",ABS(J1714))</f>
        <v>2.875</v>
      </c>
      <c r="O1714" s="33" t="n">
        <f aca="false">IF(K1714="","",ABS(K1714))</f>
        <v>3.05680841959057</v>
      </c>
      <c r="P1714" s="34" t="str">
        <f aca="false">IF(B1714&gt;=Eval_Start_Week,"YES","")</f>
        <v/>
      </c>
      <c r="Q1714" s="34" t="str">
        <f aca="false">IF(AND(B1714&gt;=Cal_Start_Week,B1714&lt;=Cal_End_Week),"YES","")</f>
        <v>YES</v>
      </c>
    </row>
    <row r="1715" customFormat="false" ht="15" hidden="false" customHeight="false" outlineLevel="0" collapsed="false">
      <c r="A1715" s="31" t="str">
        <f aca="false">Demand_History!C1715</f>
        <v>BTH-007</v>
      </c>
      <c r="B1715" s="31" t="n">
        <f aca="false">Demand_History!A1715</f>
        <v>50</v>
      </c>
      <c r="C1715" s="32" t="n">
        <f aca="false">Demand_History!D1715</f>
        <v>49</v>
      </c>
      <c r="D1715" s="33" t="n">
        <f aca="false">IF(B1715&gt;=2,C1714,"")</f>
        <v>40</v>
      </c>
      <c r="E1715" s="33" t="n">
        <f aca="false">IF(B1715&gt;=5,AVERAGE(C1711:C1714),"")</f>
        <v>43.5</v>
      </c>
      <c r="F1715" s="33" t="n">
        <f aca="false">IF(B1715&gt;=9,AVERAGE(C1707:C1714),"")</f>
        <v>42.625</v>
      </c>
      <c r="G1715" s="33" t="n">
        <f aca="false">IF(B1715=1,"",IF(B1715=2,C1714,SES_Alpha*C1714+(1-SES_Alpha)*G1714))</f>
        <v>42.1397658937134</v>
      </c>
      <c r="H1715" s="33" t="n">
        <f aca="false">IF(D1715="","",D1715-C1715)</f>
        <v>-9</v>
      </c>
      <c r="I1715" s="33" t="n">
        <f aca="false">IF(E1715="","",E1715-C1715)</f>
        <v>-5.5</v>
      </c>
      <c r="J1715" s="33" t="n">
        <f aca="false">IF(F1715="","",F1715-C1715)</f>
        <v>-6.375</v>
      </c>
      <c r="K1715" s="33" t="n">
        <f aca="false">IF(G1715="","",G1715-C1715)</f>
        <v>-6.86023410628661</v>
      </c>
      <c r="L1715" s="33" t="n">
        <f aca="false">IF(H1715="","",ABS(H1715))</f>
        <v>9</v>
      </c>
      <c r="M1715" s="33" t="n">
        <f aca="false">IF(I1715="","",ABS(I1715))</f>
        <v>5.5</v>
      </c>
      <c r="N1715" s="33" t="n">
        <f aca="false">IF(J1715="","",ABS(J1715))</f>
        <v>6.375</v>
      </c>
      <c r="O1715" s="33" t="n">
        <f aca="false">IF(K1715="","",ABS(K1715))</f>
        <v>6.86023410628661</v>
      </c>
      <c r="P1715" s="34" t="str">
        <f aca="false">IF(B1715&gt;=Eval_Start_Week,"YES","")</f>
        <v/>
      </c>
      <c r="Q1715" s="34" t="str">
        <f aca="false">IF(AND(B1715&gt;=Cal_Start_Week,B1715&lt;=Cal_End_Week),"YES","")</f>
        <v>YES</v>
      </c>
    </row>
    <row r="1716" customFormat="false" ht="15" hidden="false" customHeight="false" outlineLevel="0" collapsed="false">
      <c r="A1716" s="31" t="str">
        <f aca="false">Demand_History!C1716</f>
        <v>BTH-007</v>
      </c>
      <c r="B1716" s="31" t="n">
        <f aca="false">Demand_History!A1716</f>
        <v>51</v>
      </c>
      <c r="C1716" s="32" t="n">
        <f aca="false">Demand_History!D1716</f>
        <v>61</v>
      </c>
      <c r="D1716" s="33" t="n">
        <f aca="false">IF(B1716&gt;=2,C1715,"")</f>
        <v>49</v>
      </c>
      <c r="E1716" s="33" t="n">
        <f aca="false">IF(B1716&gt;=5,AVERAGE(C1712:C1715),"")</f>
        <v>44.5</v>
      </c>
      <c r="F1716" s="33" t="n">
        <f aca="false">IF(B1716&gt;=9,AVERAGE(C1708:C1715),"")</f>
        <v>43</v>
      </c>
      <c r="G1716" s="33" t="n">
        <f aca="false">IF(B1716=1,"",IF(B1716=2,C1715,SES_Alpha*C1715+(1-SES_Alpha)*G1715))</f>
        <v>44.1978361255994</v>
      </c>
      <c r="H1716" s="33" t="n">
        <f aca="false">IF(D1716="","",D1716-C1716)</f>
        <v>-12</v>
      </c>
      <c r="I1716" s="33" t="n">
        <f aca="false">IF(E1716="","",E1716-C1716)</f>
        <v>-16.5</v>
      </c>
      <c r="J1716" s="33" t="n">
        <f aca="false">IF(F1716="","",F1716-C1716)</f>
        <v>-18</v>
      </c>
      <c r="K1716" s="33" t="n">
        <f aca="false">IF(G1716="","",G1716-C1716)</f>
        <v>-16.8021638744006</v>
      </c>
      <c r="L1716" s="33" t="n">
        <f aca="false">IF(H1716="","",ABS(H1716))</f>
        <v>12</v>
      </c>
      <c r="M1716" s="33" t="n">
        <f aca="false">IF(I1716="","",ABS(I1716))</f>
        <v>16.5</v>
      </c>
      <c r="N1716" s="33" t="n">
        <f aca="false">IF(J1716="","",ABS(J1716))</f>
        <v>18</v>
      </c>
      <c r="O1716" s="33" t="n">
        <f aca="false">IF(K1716="","",ABS(K1716))</f>
        <v>16.8021638744006</v>
      </c>
      <c r="P1716" s="34" t="str">
        <f aca="false">IF(B1716&gt;=Eval_Start_Week,"YES","")</f>
        <v/>
      </c>
      <c r="Q1716" s="34" t="str">
        <f aca="false">IF(AND(B1716&gt;=Cal_Start_Week,B1716&lt;=Cal_End_Week),"YES","")</f>
        <v>YES</v>
      </c>
    </row>
    <row r="1717" customFormat="false" ht="15" hidden="false" customHeight="false" outlineLevel="0" collapsed="false">
      <c r="A1717" s="31" t="str">
        <f aca="false">Demand_History!C1717</f>
        <v>BTH-007</v>
      </c>
      <c r="B1717" s="31" t="n">
        <f aca="false">Demand_History!A1717</f>
        <v>52</v>
      </c>
      <c r="C1717" s="32" t="n">
        <f aca="false">Demand_History!D1717</f>
        <v>44</v>
      </c>
      <c r="D1717" s="33" t="n">
        <f aca="false">IF(B1717&gt;=2,C1716,"")</f>
        <v>61</v>
      </c>
      <c r="E1717" s="33" t="n">
        <f aca="false">IF(B1717&gt;=5,AVERAGE(C1713:C1716),"")</f>
        <v>48.25</v>
      </c>
      <c r="F1717" s="33" t="n">
        <f aca="false">IF(B1717&gt;=9,AVERAGE(C1709:C1716),"")</f>
        <v>45.25</v>
      </c>
      <c r="G1717" s="33" t="n">
        <f aca="false">IF(B1717=1,"",IF(B1717=2,C1716,SES_Alpha*C1716+(1-SES_Alpha)*G1716))</f>
        <v>49.2384852879196</v>
      </c>
      <c r="H1717" s="33" t="n">
        <f aca="false">IF(D1717="","",D1717-C1717)</f>
        <v>17</v>
      </c>
      <c r="I1717" s="33" t="n">
        <f aca="false">IF(E1717="","",E1717-C1717)</f>
        <v>4.25</v>
      </c>
      <c r="J1717" s="33" t="n">
        <f aca="false">IF(F1717="","",F1717-C1717)</f>
        <v>1.25</v>
      </c>
      <c r="K1717" s="33" t="n">
        <f aca="false">IF(G1717="","",G1717-C1717)</f>
        <v>5.23848528791956</v>
      </c>
      <c r="L1717" s="33" t="n">
        <f aca="false">IF(H1717="","",ABS(H1717))</f>
        <v>17</v>
      </c>
      <c r="M1717" s="33" t="n">
        <f aca="false">IF(I1717="","",ABS(I1717))</f>
        <v>4.25</v>
      </c>
      <c r="N1717" s="33" t="n">
        <f aca="false">IF(J1717="","",ABS(J1717))</f>
        <v>1.25</v>
      </c>
      <c r="O1717" s="33" t="n">
        <f aca="false">IF(K1717="","",ABS(K1717))</f>
        <v>5.23848528791956</v>
      </c>
      <c r="P1717" s="34" t="str">
        <f aca="false">IF(B1717&gt;=Eval_Start_Week,"YES","")</f>
        <v/>
      </c>
      <c r="Q1717" s="34" t="str">
        <f aca="false">IF(AND(B1717&gt;=Cal_Start_Week,B1717&lt;=Cal_End_Week),"YES","")</f>
        <v>YES</v>
      </c>
    </row>
    <row r="1718" customFormat="false" ht="15" hidden="false" customHeight="false" outlineLevel="0" collapsed="false">
      <c r="A1718" s="31" t="str">
        <f aca="false">Demand_History!C1718</f>
        <v>BTH-007</v>
      </c>
      <c r="B1718" s="31" t="n">
        <f aca="false">Demand_History!A1718</f>
        <v>53</v>
      </c>
      <c r="C1718" s="32" t="n">
        <f aca="false">Demand_History!D1718</f>
        <v>48</v>
      </c>
      <c r="D1718" s="33" t="n">
        <f aca="false">IF(B1718&gt;=2,C1717,"")</f>
        <v>44</v>
      </c>
      <c r="E1718" s="33" t="n">
        <f aca="false">IF(B1718&gt;=5,AVERAGE(C1714:C1717),"")</f>
        <v>48.5</v>
      </c>
      <c r="F1718" s="33" t="n">
        <f aca="false">IF(B1718&gt;=9,AVERAGE(C1710:C1717),"")</f>
        <v>45.625</v>
      </c>
      <c r="G1718" s="33" t="n">
        <f aca="false">IF(B1718=1,"",IF(B1718=2,C1717,SES_Alpha*C1717+(1-SES_Alpha)*G1717))</f>
        <v>47.6669397015437</v>
      </c>
      <c r="H1718" s="33" t="n">
        <f aca="false">IF(D1718="","",D1718-C1718)</f>
        <v>-4</v>
      </c>
      <c r="I1718" s="33" t="n">
        <f aca="false">IF(E1718="","",E1718-C1718)</f>
        <v>0.5</v>
      </c>
      <c r="J1718" s="33" t="n">
        <f aca="false">IF(F1718="","",F1718-C1718)</f>
        <v>-2.375</v>
      </c>
      <c r="K1718" s="33" t="n">
        <f aca="false">IF(G1718="","",G1718-C1718)</f>
        <v>-0.333060298456317</v>
      </c>
      <c r="L1718" s="33" t="n">
        <f aca="false">IF(H1718="","",ABS(H1718))</f>
        <v>4</v>
      </c>
      <c r="M1718" s="33" t="n">
        <f aca="false">IF(I1718="","",ABS(I1718))</f>
        <v>0.5</v>
      </c>
      <c r="N1718" s="33" t="n">
        <f aca="false">IF(J1718="","",ABS(J1718))</f>
        <v>2.375</v>
      </c>
      <c r="O1718" s="33" t="n">
        <f aca="false">IF(K1718="","",ABS(K1718))</f>
        <v>0.333060298456317</v>
      </c>
      <c r="P1718" s="34" t="str">
        <f aca="false">IF(B1718&gt;=Eval_Start_Week,"YES","")</f>
        <v>YES</v>
      </c>
      <c r="Q1718" s="34" t="str">
        <f aca="false">IF(AND(B1718&gt;=Cal_Start_Week,B1718&lt;=Cal_End_Week),"YES","")</f>
        <v>YES</v>
      </c>
    </row>
    <row r="1719" customFormat="false" ht="15" hidden="false" customHeight="false" outlineLevel="0" collapsed="false">
      <c r="A1719" s="31" t="str">
        <f aca="false">Demand_History!C1719</f>
        <v>BTH-007</v>
      </c>
      <c r="B1719" s="31" t="n">
        <f aca="false">Demand_History!A1719</f>
        <v>54</v>
      </c>
      <c r="C1719" s="32" t="n">
        <f aca="false">Demand_History!D1719</f>
        <v>49</v>
      </c>
      <c r="D1719" s="33" t="n">
        <f aca="false">IF(B1719&gt;=2,C1718,"")</f>
        <v>48</v>
      </c>
      <c r="E1719" s="33" t="n">
        <f aca="false">IF(B1719&gt;=5,AVERAGE(C1715:C1718),"")</f>
        <v>50.5</v>
      </c>
      <c r="F1719" s="33" t="n">
        <f aca="false">IF(B1719&gt;=9,AVERAGE(C1711:C1718),"")</f>
        <v>47</v>
      </c>
      <c r="G1719" s="33" t="n">
        <f aca="false">IF(B1719=1,"",IF(B1719=2,C1718,SES_Alpha*C1718+(1-SES_Alpha)*G1718))</f>
        <v>47.7668577910806</v>
      </c>
      <c r="H1719" s="33" t="n">
        <f aca="false">IF(D1719="","",D1719-C1719)</f>
        <v>-1</v>
      </c>
      <c r="I1719" s="33" t="n">
        <f aca="false">IF(E1719="","",E1719-C1719)</f>
        <v>1.5</v>
      </c>
      <c r="J1719" s="33" t="n">
        <f aca="false">IF(F1719="","",F1719-C1719)</f>
        <v>-2</v>
      </c>
      <c r="K1719" s="33" t="n">
        <f aca="false">IF(G1719="","",G1719-C1719)</f>
        <v>-1.23314220891942</v>
      </c>
      <c r="L1719" s="33" t="n">
        <f aca="false">IF(H1719="","",ABS(H1719))</f>
        <v>1</v>
      </c>
      <c r="M1719" s="33" t="n">
        <f aca="false">IF(I1719="","",ABS(I1719))</f>
        <v>1.5</v>
      </c>
      <c r="N1719" s="33" t="n">
        <f aca="false">IF(J1719="","",ABS(J1719))</f>
        <v>2</v>
      </c>
      <c r="O1719" s="33" t="n">
        <f aca="false">IF(K1719="","",ABS(K1719))</f>
        <v>1.23314220891942</v>
      </c>
      <c r="P1719" s="34" t="str">
        <f aca="false">IF(B1719&gt;=Eval_Start_Week,"YES","")</f>
        <v>YES</v>
      </c>
      <c r="Q1719" s="34" t="str">
        <f aca="false">IF(AND(B1719&gt;=Cal_Start_Week,B1719&lt;=Cal_End_Week),"YES","")</f>
        <v>YES</v>
      </c>
    </row>
    <row r="1720" customFormat="false" ht="15" hidden="false" customHeight="false" outlineLevel="0" collapsed="false">
      <c r="A1720" s="31" t="str">
        <f aca="false">Demand_History!C1720</f>
        <v>BTH-007</v>
      </c>
      <c r="B1720" s="31" t="n">
        <f aca="false">Demand_History!A1720</f>
        <v>55</v>
      </c>
      <c r="C1720" s="32" t="n">
        <f aca="false">Demand_History!D1720</f>
        <v>30</v>
      </c>
      <c r="D1720" s="33" t="n">
        <f aca="false">IF(B1720&gt;=2,C1719,"")</f>
        <v>49</v>
      </c>
      <c r="E1720" s="33" t="n">
        <f aca="false">IF(B1720&gt;=5,AVERAGE(C1716:C1719),"")</f>
        <v>50.5</v>
      </c>
      <c r="F1720" s="33" t="n">
        <f aca="false">IF(B1720&gt;=9,AVERAGE(C1712:C1719),"")</f>
        <v>47.5</v>
      </c>
      <c r="G1720" s="33" t="n">
        <f aca="false">IF(B1720=1,"",IF(B1720=2,C1719,SES_Alpha*C1719+(1-SES_Alpha)*G1719))</f>
        <v>48.1368004537564</v>
      </c>
      <c r="H1720" s="33" t="n">
        <f aca="false">IF(D1720="","",D1720-C1720)</f>
        <v>19</v>
      </c>
      <c r="I1720" s="33" t="n">
        <f aca="false">IF(E1720="","",E1720-C1720)</f>
        <v>20.5</v>
      </c>
      <c r="J1720" s="33" t="n">
        <f aca="false">IF(F1720="","",F1720-C1720)</f>
        <v>17.5</v>
      </c>
      <c r="K1720" s="33" t="n">
        <f aca="false">IF(G1720="","",G1720-C1720)</f>
        <v>18.1368004537564</v>
      </c>
      <c r="L1720" s="33" t="n">
        <f aca="false">IF(H1720="","",ABS(H1720))</f>
        <v>19</v>
      </c>
      <c r="M1720" s="33" t="n">
        <f aca="false">IF(I1720="","",ABS(I1720))</f>
        <v>20.5</v>
      </c>
      <c r="N1720" s="33" t="n">
        <f aca="false">IF(J1720="","",ABS(J1720))</f>
        <v>17.5</v>
      </c>
      <c r="O1720" s="33" t="n">
        <f aca="false">IF(K1720="","",ABS(K1720))</f>
        <v>18.1368004537564</v>
      </c>
      <c r="P1720" s="34" t="str">
        <f aca="false">IF(B1720&gt;=Eval_Start_Week,"YES","")</f>
        <v>YES</v>
      </c>
      <c r="Q1720" s="34" t="str">
        <f aca="false">IF(AND(B1720&gt;=Cal_Start_Week,B1720&lt;=Cal_End_Week),"YES","")</f>
        <v>YES</v>
      </c>
    </row>
    <row r="1721" customFormat="false" ht="15" hidden="false" customHeight="false" outlineLevel="0" collapsed="false">
      <c r="A1721" s="31" t="str">
        <f aca="false">Demand_History!C1721</f>
        <v>BTH-007</v>
      </c>
      <c r="B1721" s="31" t="n">
        <f aca="false">Demand_History!A1721</f>
        <v>56</v>
      </c>
      <c r="C1721" s="32" t="n">
        <f aca="false">Demand_History!D1721</f>
        <v>48</v>
      </c>
      <c r="D1721" s="33" t="n">
        <f aca="false">IF(B1721&gt;=2,C1720,"")</f>
        <v>30</v>
      </c>
      <c r="E1721" s="33" t="n">
        <f aca="false">IF(B1721&gt;=5,AVERAGE(C1717:C1720),"")</f>
        <v>42.75</v>
      </c>
      <c r="F1721" s="33" t="n">
        <f aca="false">IF(B1721&gt;=9,AVERAGE(C1713:C1720),"")</f>
        <v>45.5</v>
      </c>
      <c r="G1721" s="33" t="n">
        <f aca="false">IF(B1721=1,"",IF(B1721=2,C1720,SES_Alpha*C1720+(1-SES_Alpha)*G1720))</f>
        <v>42.6957603176295</v>
      </c>
      <c r="H1721" s="33" t="n">
        <f aca="false">IF(D1721="","",D1721-C1721)</f>
        <v>-18</v>
      </c>
      <c r="I1721" s="33" t="n">
        <f aca="false">IF(E1721="","",E1721-C1721)</f>
        <v>-5.25</v>
      </c>
      <c r="J1721" s="33" t="n">
        <f aca="false">IF(F1721="","",F1721-C1721)</f>
        <v>-2.5</v>
      </c>
      <c r="K1721" s="33" t="n">
        <f aca="false">IF(G1721="","",G1721-C1721)</f>
        <v>-5.30423968237053</v>
      </c>
      <c r="L1721" s="33" t="n">
        <f aca="false">IF(H1721="","",ABS(H1721))</f>
        <v>18</v>
      </c>
      <c r="M1721" s="33" t="n">
        <f aca="false">IF(I1721="","",ABS(I1721))</f>
        <v>5.25</v>
      </c>
      <c r="N1721" s="33" t="n">
        <f aca="false">IF(J1721="","",ABS(J1721))</f>
        <v>2.5</v>
      </c>
      <c r="O1721" s="33" t="n">
        <f aca="false">IF(K1721="","",ABS(K1721))</f>
        <v>5.30423968237053</v>
      </c>
      <c r="P1721" s="34" t="str">
        <f aca="false">IF(B1721&gt;=Eval_Start_Week,"YES","")</f>
        <v>YES</v>
      </c>
      <c r="Q1721" s="34" t="str">
        <f aca="false">IF(AND(B1721&gt;=Cal_Start_Week,B1721&lt;=Cal_End_Week),"YES","")</f>
        <v>YES</v>
      </c>
    </row>
    <row r="1722" customFormat="false" ht="15" hidden="false" customHeight="false" outlineLevel="0" collapsed="false">
      <c r="A1722" s="31" t="str">
        <f aca="false">Demand_History!C1722</f>
        <v>BTH-007</v>
      </c>
      <c r="B1722" s="31" t="n">
        <f aca="false">Demand_History!A1722</f>
        <v>57</v>
      </c>
      <c r="C1722" s="32" t="n">
        <f aca="false">Demand_History!D1722</f>
        <v>43</v>
      </c>
      <c r="D1722" s="33" t="n">
        <f aca="false">IF(B1722&gt;=2,C1721,"")</f>
        <v>48</v>
      </c>
      <c r="E1722" s="33" t="n">
        <f aca="false">IF(B1722&gt;=5,AVERAGE(C1718:C1721),"")</f>
        <v>43.75</v>
      </c>
      <c r="F1722" s="33" t="n">
        <f aca="false">IF(B1722&gt;=9,AVERAGE(C1714:C1721),"")</f>
        <v>46.125</v>
      </c>
      <c r="G1722" s="33" t="n">
        <f aca="false">IF(B1722=1,"",IF(B1722=2,C1721,SES_Alpha*C1721+(1-SES_Alpha)*G1721))</f>
        <v>44.2870322223406</v>
      </c>
      <c r="H1722" s="33" t="n">
        <f aca="false">IF(D1722="","",D1722-C1722)</f>
        <v>5</v>
      </c>
      <c r="I1722" s="33" t="n">
        <f aca="false">IF(E1722="","",E1722-C1722)</f>
        <v>0.75</v>
      </c>
      <c r="J1722" s="33" t="n">
        <f aca="false">IF(F1722="","",F1722-C1722)</f>
        <v>3.125</v>
      </c>
      <c r="K1722" s="33" t="n">
        <f aca="false">IF(G1722="","",G1722-C1722)</f>
        <v>1.28703222234063</v>
      </c>
      <c r="L1722" s="33" t="n">
        <f aca="false">IF(H1722="","",ABS(H1722))</f>
        <v>5</v>
      </c>
      <c r="M1722" s="33" t="n">
        <f aca="false">IF(I1722="","",ABS(I1722))</f>
        <v>0.75</v>
      </c>
      <c r="N1722" s="33" t="n">
        <f aca="false">IF(J1722="","",ABS(J1722))</f>
        <v>3.125</v>
      </c>
      <c r="O1722" s="33" t="n">
        <f aca="false">IF(K1722="","",ABS(K1722))</f>
        <v>1.28703222234063</v>
      </c>
      <c r="P1722" s="34" t="str">
        <f aca="false">IF(B1722&gt;=Eval_Start_Week,"YES","")</f>
        <v>YES</v>
      </c>
      <c r="Q1722" s="34" t="str">
        <f aca="false">IF(AND(B1722&gt;=Cal_Start_Week,B1722&lt;=Cal_End_Week),"YES","")</f>
        <v>YES</v>
      </c>
    </row>
    <row r="1723" customFormat="false" ht="15" hidden="false" customHeight="false" outlineLevel="0" collapsed="false">
      <c r="A1723" s="31" t="str">
        <f aca="false">Demand_History!C1723</f>
        <v>BTH-007</v>
      </c>
      <c r="B1723" s="31" t="n">
        <f aca="false">Demand_History!A1723</f>
        <v>58</v>
      </c>
      <c r="C1723" s="32" t="n">
        <f aca="false">Demand_History!D1723</f>
        <v>57</v>
      </c>
      <c r="D1723" s="33" t="n">
        <f aca="false">IF(B1723&gt;=2,C1722,"")</f>
        <v>43</v>
      </c>
      <c r="E1723" s="33" t="n">
        <f aca="false">IF(B1723&gt;=5,AVERAGE(C1719:C1722),"")</f>
        <v>42.5</v>
      </c>
      <c r="F1723" s="33" t="n">
        <f aca="false">IF(B1723&gt;=9,AVERAGE(C1715:C1722),"")</f>
        <v>46.5</v>
      </c>
      <c r="G1723" s="33" t="n">
        <f aca="false">IF(B1723=1,"",IF(B1723=2,C1722,SES_Alpha*C1722+(1-SES_Alpha)*G1722))</f>
        <v>43.9009225556384</v>
      </c>
      <c r="H1723" s="33" t="n">
        <f aca="false">IF(D1723="","",D1723-C1723)</f>
        <v>-14</v>
      </c>
      <c r="I1723" s="33" t="n">
        <f aca="false">IF(E1723="","",E1723-C1723)</f>
        <v>-14.5</v>
      </c>
      <c r="J1723" s="33" t="n">
        <f aca="false">IF(F1723="","",F1723-C1723)</f>
        <v>-10.5</v>
      </c>
      <c r="K1723" s="33" t="n">
        <f aca="false">IF(G1723="","",G1723-C1723)</f>
        <v>-13.0990774443616</v>
      </c>
      <c r="L1723" s="33" t="n">
        <f aca="false">IF(H1723="","",ABS(H1723))</f>
        <v>14</v>
      </c>
      <c r="M1723" s="33" t="n">
        <f aca="false">IF(I1723="","",ABS(I1723))</f>
        <v>14.5</v>
      </c>
      <c r="N1723" s="33" t="n">
        <f aca="false">IF(J1723="","",ABS(J1723))</f>
        <v>10.5</v>
      </c>
      <c r="O1723" s="33" t="n">
        <f aca="false">IF(K1723="","",ABS(K1723))</f>
        <v>13.0990774443616</v>
      </c>
      <c r="P1723" s="34" t="str">
        <f aca="false">IF(B1723&gt;=Eval_Start_Week,"YES","")</f>
        <v>YES</v>
      </c>
      <c r="Q1723" s="34" t="str">
        <f aca="false">IF(AND(B1723&gt;=Cal_Start_Week,B1723&lt;=Cal_End_Week),"YES","")</f>
        <v>YES</v>
      </c>
    </row>
    <row r="1724" customFormat="false" ht="15" hidden="false" customHeight="false" outlineLevel="0" collapsed="false">
      <c r="A1724" s="31" t="str">
        <f aca="false">Demand_History!C1724</f>
        <v>BTH-007</v>
      </c>
      <c r="B1724" s="31" t="n">
        <f aca="false">Demand_History!A1724</f>
        <v>59</v>
      </c>
      <c r="C1724" s="32" t="n">
        <f aca="false">Demand_History!D1724</f>
        <v>47</v>
      </c>
      <c r="D1724" s="33" t="n">
        <f aca="false">IF(B1724&gt;=2,C1723,"")</f>
        <v>57</v>
      </c>
      <c r="E1724" s="33" t="n">
        <f aca="false">IF(B1724&gt;=5,AVERAGE(C1720:C1723),"")</f>
        <v>44.5</v>
      </c>
      <c r="F1724" s="33" t="n">
        <f aca="false">IF(B1724&gt;=9,AVERAGE(C1716:C1723),"")</f>
        <v>47.5</v>
      </c>
      <c r="G1724" s="33" t="n">
        <f aca="false">IF(B1724=1,"",IF(B1724=2,C1723,SES_Alpha*C1723+(1-SES_Alpha)*G1723))</f>
        <v>47.8306457889469</v>
      </c>
      <c r="H1724" s="33" t="n">
        <f aca="false">IF(D1724="","",D1724-C1724)</f>
        <v>10</v>
      </c>
      <c r="I1724" s="33" t="n">
        <f aca="false">IF(E1724="","",E1724-C1724)</f>
        <v>-2.5</v>
      </c>
      <c r="J1724" s="33" t="n">
        <f aca="false">IF(F1724="","",F1724-C1724)</f>
        <v>0.5</v>
      </c>
      <c r="K1724" s="33" t="n">
        <f aca="false">IF(G1724="","",G1724-C1724)</f>
        <v>0.830645788946903</v>
      </c>
      <c r="L1724" s="33" t="n">
        <f aca="false">IF(H1724="","",ABS(H1724))</f>
        <v>10</v>
      </c>
      <c r="M1724" s="33" t="n">
        <f aca="false">IF(I1724="","",ABS(I1724))</f>
        <v>2.5</v>
      </c>
      <c r="N1724" s="33" t="n">
        <f aca="false">IF(J1724="","",ABS(J1724))</f>
        <v>0.5</v>
      </c>
      <c r="O1724" s="33" t="n">
        <f aca="false">IF(K1724="","",ABS(K1724))</f>
        <v>0.830645788946903</v>
      </c>
      <c r="P1724" s="34" t="str">
        <f aca="false">IF(B1724&gt;=Eval_Start_Week,"YES","")</f>
        <v>YES</v>
      </c>
      <c r="Q1724" s="34" t="str">
        <f aca="false">IF(AND(B1724&gt;=Cal_Start_Week,B1724&lt;=Cal_End_Week),"YES","")</f>
        <v>YES</v>
      </c>
    </row>
    <row r="1725" customFormat="false" ht="15" hidden="false" customHeight="false" outlineLevel="0" collapsed="false">
      <c r="A1725" s="31" t="str">
        <f aca="false">Demand_History!C1725</f>
        <v>BTH-007</v>
      </c>
      <c r="B1725" s="31" t="n">
        <f aca="false">Demand_History!A1725</f>
        <v>60</v>
      </c>
      <c r="C1725" s="32" t="n">
        <f aca="false">Demand_History!D1725</f>
        <v>43</v>
      </c>
      <c r="D1725" s="33" t="n">
        <f aca="false">IF(B1725&gt;=2,C1724,"")</f>
        <v>47</v>
      </c>
      <c r="E1725" s="33" t="n">
        <f aca="false">IF(B1725&gt;=5,AVERAGE(C1721:C1724),"")</f>
        <v>48.75</v>
      </c>
      <c r="F1725" s="33" t="n">
        <f aca="false">IF(B1725&gt;=9,AVERAGE(C1717:C1724),"")</f>
        <v>45.75</v>
      </c>
      <c r="G1725" s="33" t="n">
        <f aca="false">IF(B1725=1,"",IF(B1725=2,C1724,SES_Alpha*C1724+(1-SES_Alpha)*G1724))</f>
        <v>47.5814520522628</v>
      </c>
      <c r="H1725" s="33" t="n">
        <f aca="false">IF(D1725="","",D1725-C1725)</f>
        <v>4</v>
      </c>
      <c r="I1725" s="33" t="n">
        <f aca="false">IF(E1725="","",E1725-C1725)</f>
        <v>5.75</v>
      </c>
      <c r="J1725" s="33" t="n">
        <f aca="false">IF(F1725="","",F1725-C1725)</f>
        <v>2.75</v>
      </c>
      <c r="K1725" s="33" t="n">
        <f aca="false">IF(G1725="","",G1725-C1725)</f>
        <v>4.58145205226283</v>
      </c>
      <c r="L1725" s="33" t="n">
        <f aca="false">IF(H1725="","",ABS(H1725))</f>
        <v>4</v>
      </c>
      <c r="M1725" s="33" t="n">
        <f aca="false">IF(I1725="","",ABS(I1725))</f>
        <v>5.75</v>
      </c>
      <c r="N1725" s="33" t="n">
        <f aca="false">IF(J1725="","",ABS(J1725))</f>
        <v>2.75</v>
      </c>
      <c r="O1725" s="33" t="n">
        <f aca="false">IF(K1725="","",ABS(K1725))</f>
        <v>4.58145205226283</v>
      </c>
      <c r="P1725" s="34" t="str">
        <f aca="false">IF(B1725&gt;=Eval_Start_Week,"YES","")</f>
        <v>YES</v>
      </c>
      <c r="Q1725" s="34" t="str">
        <f aca="false">IF(AND(B1725&gt;=Cal_Start_Week,B1725&lt;=Cal_End_Week),"YES","")</f>
        <v>YES</v>
      </c>
    </row>
    <row r="1726" customFormat="false" ht="15" hidden="false" customHeight="false" outlineLevel="0" collapsed="false">
      <c r="A1726" s="31" t="str">
        <f aca="false">Demand_History!C1726</f>
        <v>BTH-007</v>
      </c>
      <c r="B1726" s="31" t="n">
        <f aca="false">Demand_History!A1726</f>
        <v>61</v>
      </c>
      <c r="C1726" s="32" t="n">
        <f aca="false">Demand_History!D1726</f>
        <v>47</v>
      </c>
      <c r="D1726" s="33" t="n">
        <f aca="false">IF(B1726&gt;=2,C1725,"")</f>
        <v>43</v>
      </c>
      <c r="E1726" s="33" t="n">
        <f aca="false">IF(B1726&gt;=5,AVERAGE(C1722:C1725),"")</f>
        <v>47.5</v>
      </c>
      <c r="F1726" s="33" t="n">
        <f aca="false">IF(B1726&gt;=9,AVERAGE(C1718:C1725),"")</f>
        <v>45.625</v>
      </c>
      <c r="G1726" s="33" t="n">
        <f aca="false">IF(B1726=1,"",IF(B1726=2,C1725,SES_Alpha*C1725+(1-SES_Alpha)*G1725))</f>
        <v>46.207016436584</v>
      </c>
      <c r="H1726" s="33" t="n">
        <f aca="false">IF(D1726="","",D1726-C1726)</f>
        <v>-4</v>
      </c>
      <c r="I1726" s="33" t="n">
        <f aca="false">IF(E1726="","",E1726-C1726)</f>
        <v>0.5</v>
      </c>
      <c r="J1726" s="33" t="n">
        <f aca="false">IF(F1726="","",F1726-C1726)</f>
        <v>-1.375</v>
      </c>
      <c r="K1726" s="33" t="n">
        <f aca="false">IF(G1726="","",G1726-C1726)</f>
        <v>-0.792983563416023</v>
      </c>
      <c r="L1726" s="33" t="n">
        <f aca="false">IF(H1726="","",ABS(H1726))</f>
        <v>4</v>
      </c>
      <c r="M1726" s="33" t="n">
        <f aca="false">IF(I1726="","",ABS(I1726))</f>
        <v>0.5</v>
      </c>
      <c r="N1726" s="33" t="n">
        <f aca="false">IF(J1726="","",ABS(J1726))</f>
        <v>1.375</v>
      </c>
      <c r="O1726" s="33" t="n">
        <f aca="false">IF(K1726="","",ABS(K1726))</f>
        <v>0.792983563416023</v>
      </c>
      <c r="P1726" s="34" t="str">
        <f aca="false">IF(B1726&gt;=Eval_Start_Week,"YES","")</f>
        <v>YES</v>
      </c>
      <c r="Q1726" s="34" t="str">
        <f aca="false">IF(AND(B1726&gt;=Cal_Start_Week,B1726&lt;=Cal_End_Week),"YES","")</f>
        <v>YES</v>
      </c>
    </row>
    <row r="1727" customFormat="false" ht="15" hidden="false" customHeight="false" outlineLevel="0" collapsed="false">
      <c r="A1727" s="31" t="str">
        <f aca="false">Demand_History!C1727</f>
        <v>BTH-007</v>
      </c>
      <c r="B1727" s="31" t="n">
        <f aca="false">Demand_History!A1727</f>
        <v>62</v>
      </c>
      <c r="C1727" s="32" t="n">
        <f aca="false">Demand_History!D1727</f>
        <v>50</v>
      </c>
      <c r="D1727" s="33" t="n">
        <f aca="false">IF(B1727&gt;=2,C1726,"")</f>
        <v>47</v>
      </c>
      <c r="E1727" s="33" t="n">
        <f aca="false">IF(B1727&gt;=5,AVERAGE(C1723:C1726),"")</f>
        <v>48.5</v>
      </c>
      <c r="F1727" s="33" t="n">
        <f aca="false">IF(B1727&gt;=9,AVERAGE(C1719:C1726),"")</f>
        <v>45.5</v>
      </c>
      <c r="G1727" s="33" t="n">
        <f aca="false">IF(B1727=1,"",IF(B1727=2,C1726,SES_Alpha*C1726+(1-SES_Alpha)*G1726))</f>
        <v>46.4449115056088</v>
      </c>
      <c r="H1727" s="33" t="n">
        <f aca="false">IF(D1727="","",D1727-C1727)</f>
        <v>-3</v>
      </c>
      <c r="I1727" s="33" t="n">
        <f aca="false">IF(E1727="","",E1727-C1727)</f>
        <v>-1.5</v>
      </c>
      <c r="J1727" s="33" t="n">
        <f aca="false">IF(F1727="","",F1727-C1727)</f>
        <v>-4.5</v>
      </c>
      <c r="K1727" s="33" t="n">
        <f aca="false">IF(G1727="","",G1727-C1727)</f>
        <v>-3.55508849439121</v>
      </c>
      <c r="L1727" s="33" t="n">
        <f aca="false">IF(H1727="","",ABS(H1727))</f>
        <v>3</v>
      </c>
      <c r="M1727" s="33" t="n">
        <f aca="false">IF(I1727="","",ABS(I1727))</f>
        <v>1.5</v>
      </c>
      <c r="N1727" s="33" t="n">
        <f aca="false">IF(J1727="","",ABS(J1727))</f>
        <v>4.5</v>
      </c>
      <c r="O1727" s="33" t="n">
        <f aca="false">IF(K1727="","",ABS(K1727))</f>
        <v>3.55508849439121</v>
      </c>
      <c r="P1727" s="34" t="str">
        <f aca="false">IF(B1727&gt;=Eval_Start_Week,"YES","")</f>
        <v>YES</v>
      </c>
      <c r="Q1727" s="34" t="str">
        <f aca="false">IF(AND(B1727&gt;=Cal_Start_Week,B1727&lt;=Cal_End_Week),"YES","")</f>
        <v>YES</v>
      </c>
    </row>
    <row r="1728" customFormat="false" ht="15" hidden="false" customHeight="false" outlineLevel="0" collapsed="false">
      <c r="A1728" s="31" t="str">
        <f aca="false">Demand_History!C1728</f>
        <v>BTH-007</v>
      </c>
      <c r="B1728" s="31" t="n">
        <f aca="false">Demand_History!A1728</f>
        <v>63</v>
      </c>
      <c r="C1728" s="32" t="n">
        <f aca="false">Demand_History!D1728</f>
        <v>46</v>
      </c>
      <c r="D1728" s="33" t="n">
        <f aca="false">IF(B1728&gt;=2,C1727,"")</f>
        <v>50</v>
      </c>
      <c r="E1728" s="33" t="n">
        <f aca="false">IF(B1728&gt;=5,AVERAGE(C1724:C1727),"")</f>
        <v>46.75</v>
      </c>
      <c r="F1728" s="33" t="n">
        <f aca="false">IF(B1728&gt;=9,AVERAGE(C1720:C1727),"")</f>
        <v>45.625</v>
      </c>
      <c r="G1728" s="33" t="n">
        <f aca="false">IF(B1728=1,"",IF(B1728=2,C1727,SES_Alpha*C1727+(1-SES_Alpha)*G1727))</f>
        <v>47.5114380539262</v>
      </c>
      <c r="H1728" s="33" t="n">
        <f aca="false">IF(D1728="","",D1728-C1728)</f>
        <v>4</v>
      </c>
      <c r="I1728" s="33" t="n">
        <f aca="false">IF(E1728="","",E1728-C1728)</f>
        <v>0.75</v>
      </c>
      <c r="J1728" s="33" t="n">
        <f aca="false">IF(F1728="","",F1728-C1728)</f>
        <v>-0.375</v>
      </c>
      <c r="K1728" s="33" t="n">
        <f aca="false">IF(G1728="","",G1728-C1728)</f>
        <v>1.51143805392615</v>
      </c>
      <c r="L1728" s="33" t="n">
        <f aca="false">IF(H1728="","",ABS(H1728))</f>
        <v>4</v>
      </c>
      <c r="M1728" s="33" t="n">
        <f aca="false">IF(I1728="","",ABS(I1728))</f>
        <v>0.75</v>
      </c>
      <c r="N1728" s="33" t="n">
        <f aca="false">IF(J1728="","",ABS(J1728))</f>
        <v>0.375</v>
      </c>
      <c r="O1728" s="33" t="n">
        <f aca="false">IF(K1728="","",ABS(K1728))</f>
        <v>1.51143805392615</v>
      </c>
      <c r="P1728" s="34" t="str">
        <f aca="false">IF(B1728&gt;=Eval_Start_Week,"YES","")</f>
        <v>YES</v>
      </c>
      <c r="Q1728" s="34" t="str">
        <f aca="false">IF(AND(B1728&gt;=Cal_Start_Week,B1728&lt;=Cal_End_Week),"YES","")</f>
        <v>YES</v>
      </c>
    </row>
    <row r="1729" customFormat="false" ht="15" hidden="false" customHeight="false" outlineLevel="0" collapsed="false">
      <c r="A1729" s="31" t="str">
        <f aca="false">Demand_History!C1729</f>
        <v>BTH-007</v>
      </c>
      <c r="B1729" s="31" t="n">
        <f aca="false">Demand_History!A1729</f>
        <v>64</v>
      </c>
      <c r="C1729" s="32" t="n">
        <f aca="false">Demand_History!D1729</f>
        <v>50</v>
      </c>
      <c r="D1729" s="33" t="n">
        <f aca="false">IF(B1729&gt;=2,C1728,"")</f>
        <v>46</v>
      </c>
      <c r="E1729" s="33" t="n">
        <f aca="false">IF(B1729&gt;=5,AVERAGE(C1725:C1728),"")</f>
        <v>46.5</v>
      </c>
      <c r="F1729" s="33" t="n">
        <f aca="false">IF(B1729&gt;=9,AVERAGE(C1721:C1728),"")</f>
        <v>47.625</v>
      </c>
      <c r="G1729" s="33" t="n">
        <f aca="false">IF(B1729=1,"",IF(B1729=2,C1728,SES_Alpha*C1728+(1-SES_Alpha)*G1728))</f>
        <v>47.0580066377483</v>
      </c>
      <c r="H1729" s="33" t="n">
        <f aca="false">IF(D1729="","",D1729-C1729)</f>
        <v>-4</v>
      </c>
      <c r="I1729" s="33" t="n">
        <f aca="false">IF(E1729="","",E1729-C1729)</f>
        <v>-3.5</v>
      </c>
      <c r="J1729" s="33" t="n">
        <f aca="false">IF(F1729="","",F1729-C1729)</f>
        <v>-2.375</v>
      </c>
      <c r="K1729" s="33" t="n">
        <f aca="false">IF(G1729="","",G1729-C1729)</f>
        <v>-2.9419933622517</v>
      </c>
      <c r="L1729" s="33" t="n">
        <f aca="false">IF(H1729="","",ABS(H1729))</f>
        <v>4</v>
      </c>
      <c r="M1729" s="33" t="n">
        <f aca="false">IF(I1729="","",ABS(I1729))</f>
        <v>3.5</v>
      </c>
      <c r="N1729" s="33" t="n">
        <f aca="false">IF(J1729="","",ABS(J1729))</f>
        <v>2.375</v>
      </c>
      <c r="O1729" s="33" t="n">
        <f aca="false">IF(K1729="","",ABS(K1729))</f>
        <v>2.9419933622517</v>
      </c>
      <c r="P1729" s="34" t="str">
        <f aca="false">IF(B1729&gt;=Eval_Start_Week,"YES","")</f>
        <v>YES</v>
      </c>
      <c r="Q1729" s="34" t="str">
        <f aca="false">IF(AND(B1729&gt;=Cal_Start_Week,B1729&lt;=Cal_End_Week),"YES","")</f>
        <v>YES</v>
      </c>
    </row>
    <row r="1730" customFormat="false" ht="15" hidden="false" customHeight="false" outlineLevel="0" collapsed="false">
      <c r="A1730" s="31" t="str">
        <f aca="false">Demand_History!C1730</f>
        <v>BTH-007</v>
      </c>
      <c r="B1730" s="31" t="n">
        <f aca="false">Demand_History!A1730</f>
        <v>65</v>
      </c>
      <c r="C1730" s="32" t="n">
        <f aca="false">Demand_History!D1730</f>
        <v>41</v>
      </c>
      <c r="D1730" s="33" t="n">
        <f aca="false">IF(B1730&gt;=2,C1729,"")</f>
        <v>50</v>
      </c>
      <c r="E1730" s="33" t="n">
        <f aca="false">IF(B1730&gt;=5,AVERAGE(C1726:C1729),"")</f>
        <v>48.25</v>
      </c>
      <c r="F1730" s="33" t="n">
        <f aca="false">IF(B1730&gt;=9,AVERAGE(C1722:C1729),"")</f>
        <v>47.875</v>
      </c>
      <c r="G1730" s="33" t="n">
        <f aca="false">IF(B1730=1,"",IF(B1730=2,C1729,SES_Alpha*C1729+(1-SES_Alpha)*G1729))</f>
        <v>47.9406046464238</v>
      </c>
      <c r="H1730" s="33" t="n">
        <f aca="false">IF(D1730="","",D1730-C1730)</f>
        <v>9</v>
      </c>
      <c r="I1730" s="33" t="n">
        <f aca="false">IF(E1730="","",E1730-C1730)</f>
        <v>7.25</v>
      </c>
      <c r="J1730" s="33" t="n">
        <f aca="false">IF(F1730="","",F1730-C1730)</f>
        <v>6.875</v>
      </c>
      <c r="K1730" s="33" t="n">
        <f aca="false">IF(G1730="","",G1730-C1730)</f>
        <v>6.94060464642381</v>
      </c>
      <c r="L1730" s="33" t="n">
        <f aca="false">IF(H1730="","",ABS(H1730))</f>
        <v>9</v>
      </c>
      <c r="M1730" s="33" t="n">
        <f aca="false">IF(I1730="","",ABS(I1730))</f>
        <v>7.25</v>
      </c>
      <c r="N1730" s="33" t="n">
        <f aca="false">IF(J1730="","",ABS(J1730))</f>
        <v>6.875</v>
      </c>
      <c r="O1730" s="33" t="n">
        <f aca="false">IF(K1730="","",ABS(K1730))</f>
        <v>6.94060464642381</v>
      </c>
      <c r="P1730" s="34" t="str">
        <f aca="false">IF(B1730&gt;=Eval_Start_Week,"YES","")</f>
        <v>YES</v>
      </c>
      <c r="Q1730" s="34" t="str">
        <f aca="false">IF(AND(B1730&gt;=Cal_Start_Week,B1730&lt;=Cal_End_Week),"YES","")</f>
        <v>YES</v>
      </c>
    </row>
    <row r="1731" customFormat="false" ht="15" hidden="false" customHeight="false" outlineLevel="0" collapsed="false">
      <c r="A1731" s="31" t="str">
        <f aca="false">Demand_History!C1731</f>
        <v>BTH-007</v>
      </c>
      <c r="B1731" s="31" t="n">
        <f aca="false">Demand_History!A1731</f>
        <v>66</v>
      </c>
      <c r="C1731" s="32" t="n">
        <f aca="false">Demand_History!D1731</f>
        <v>49</v>
      </c>
      <c r="D1731" s="33" t="n">
        <f aca="false">IF(B1731&gt;=2,C1730,"")</f>
        <v>41</v>
      </c>
      <c r="E1731" s="33" t="n">
        <f aca="false">IF(B1731&gt;=5,AVERAGE(C1727:C1730),"")</f>
        <v>46.75</v>
      </c>
      <c r="F1731" s="33" t="n">
        <f aca="false">IF(B1731&gt;=9,AVERAGE(C1723:C1730),"")</f>
        <v>47.625</v>
      </c>
      <c r="G1731" s="33" t="n">
        <f aca="false">IF(B1731=1,"",IF(B1731=2,C1730,SES_Alpha*C1730+(1-SES_Alpha)*G1730))</f>
        <v>45.8584232524967</v>
      </c>
      <c r="H1731" s="33" t="n">
        <f aca="false">IF(D1731="","",D1731-C1731)</f>
        <v>-8</v>
      </c>
      <c r="I1731" s="33" t="n">
        <f aca="false">IF(E1731="","",E1731-C1731)</f>
        <v>-2.25</v>
      </c>
      <c r="J1731" s="33" t="n">
        <f aca="false">IF(F1731="","",F1731-C1731)</f>
        <v>-1.375</v>
      </c>
      <c r="K1731" s="33" t="n">
        <f aca="false">IF(G1731="","",G1731-C1731)</f>
        <v>-3.14157674750334</v>
      </c>
      <c r="L1731" s="33" t="n">
        <f aca="false">IF(H1731="","",ABS(H1731))</f>
        <v>8</v>
      </c>
      <c r="M1731" s="33" t="n">
        <f aca="false">IF(I1731="","",ABS(I1731))</f>
        <v>2.25</v>
      </c>
      <c r="N1731" s="33" t="n">
        <f aca="false">IF(J1731="","",ABS(J1731))</f>
        <v>1.375</v>
      </c>
      <c r="O1731" s="33" t="n">
        <f aca="false">IF(K1731="","",ABS(K1731))</f>
        <v>3.14157674750334</v>
      </c>
      <c r="P1731" s="34" t="str">
        <f aca="false">IF(B1731&gt;=Eval_Start_Week,"YES","")</f>
        <v>YES</v>
      </c>
      <c r="Q1731" s="34" t="str">
        <f aca="false">IF(AND(B1731&gt;=Cal_Start_Week,B1731&lt;=Cal_End_Week),"YES","")</f>
        <v>YES</v>
      </c>
    </row>
    <row r="1732" customFormat="false" ht="15" hidden="false" customHeight="false" outlineLevel="0" collapsed="false">
      <c r="A1732" s="31" t="str">
        <f aca="false">Demand_History!C1732</f>
        <v>BTH-007</v>
      </c>
      <c r="B1732" s="31" t="n">
        <f aca="false">Demand_History!A1732</f>
        <v>67</v>
      </c>
      <c r="C1732" s="32" t="n">
        <f aca="false">Demand_History!D1732</f>
        <v>56</v>
      </c>
      <c r="D1732" s="33" t="n">
        <f aca="false">IF(B1732&gt;=2,C1731,"")</f>
        <v>49</v>
      </c>
      <c r="E1732" s="33" t="n">
        <f aca="false">IF(B1732&gt;=5,AVERAGE(C1728:C1731),"")</f>
        <v>46.5</v>
      </c>
      <c r="F1732" s="33" t="n">
        <f aca="false">IF(B1732&gt;=9,AVERAGE(C1724:C1731),"")</f>
        <v>46.625</v>
      </c>
      <c r="G1732" s="33" t="n">
        <f aca="false">IF(B1732=1,"",IF(B1732=2,C1731,SES_Alpha*C1731+(1-SES_Alpha)*G1731))</f>
        <v>46.8008962767477</v>
      </c>
      <c r="H1732" s="33" t="n">
        <f aca="false">IF(D1732="","",D1732-C1732)</f>
        <v>-7</v>
      </c>
      <c r="I1732" s="33" t="n">
        <f aca="false">IF(E1732="","",E1732-C1732)</f>
        <v>-9.5</v>
      </c>
      <c r="J1732" s="33" t="n">
        <f aca="false">IF(F1732="","",F1732-C1732)</f>
        <v>-9.375</v>
      </c>
      <c r="K1732" s="33" t="n">
        <f aca="false">IF(G1732="","",G1732-C1732)</f>
        <v>-9.19910372325234</v>
      </c>
      <c r="L1732" s="33" t="n">
        <f aca="false">IF(H1732="","",ABS(H1732))</f>
        <v>7</v>
      </c>
      <c r="M1732" s="33" t="n">
        <f aca="false">IF(I1732="","",ABS(I1732))</f>
        <v>9.5</v>
      </c>
      <c r="N1732" s="33" t="n">
        <f aca="false">IF(J1732="","",ABS(J1732))</f>
        <v>9.375</v>
      </c>
      <c r="O1732" s="33" t="n">
        <f aca="false">IF(K1732="","",ABS(K1732))</f>
        <v>9.19910372325234</v>
      </c>
      <c r="P1732" s="34" t="str">
        <f aca="false">IF(B1732&gt;=Eval_Start_Week,"YES","")</f>
        <v>YES</v>
      </c>
      <c r="Q1732" s="34" t="str">
        <f aca="false">IF(AND(B1732&gt;=Cal_Start_Week,B1732&lt;=Cal_End_Week),"YES","")</f>
        <v>YES</v>
      </c>
    </row>
    <row r="1733" customFormat="false" ht="15" hidden="false" customHeight="false" outlineLevel="0" collapsed="false">
      <c r="A1733" s="31" t="str">
        <f aca="false">Demand_History!C1733</f>
        <v>BTH-007</v>
      </c>
      <c r="B1733" s="31" t="n">
        <f aca="false">Demand_History!A1733</f>
        <v>68</v>
      </c>
      <c r="C1733" s="32" t="n">
        <f aca="false">Demand_History!D1733</f>
        <v>65</v>
      </c>
      <c r="D1733" s="33" t="n">
        <f aca="false">IF(B1733&gt;=2,C1732,"")</f>
        <v>56</v>
      </c>
      <c r="E1733" s="33" t="n">
        <f aca="false">IF(B1733&gt;=5,AVERAGE(C1729:C1732),"")</f>
        <v>49</v>
      </c>
      <c r="F1733" s="33" t="n">
        <f aca="false">IF(B1733&gt;=9,AVERAGE(C1725:C1732),"")</f>
        <v>47.75</v>
      </c>
      <c r="G1733" s="33" t="n">
        <f aca="false">IF(B1733=1,"",IF(B1733=2,C1732,SES_Alpha*C1732+(1-SES_Alpha)*G1732))</f>
        <v>49.5606273937234</v>
      </c>
      <c r="H1733" s="33" t="n">
        <f aca="false">IF(D1733="","",D1733-C1733)</f>
        <v>-9</v>
      </c>
      <c r="I1733" s="33" t="n">
        <f aca="false">IF(E1733="","",E1733-C1733)</f>
        <v>-16</v>
      </c>
      <c r="J1733" s="33" t="n">
        <f aca="false">IF(F1733="","",F1733-C1733)</f>
        <v>-17.25</v>
      </c>
      <c r="K1733" s="33" t="n">
        <f aca="false">IF(G1733="","",G1733-C1733)</f>
        <v>-15.4393726062766</v>
      </c>
      <c r="L1733" s="33" t="n">
        <f aca="false">IF(H1733="","",ABS(H1733))</f>
        <v>9</v>
      </c>
      <c r="M1733" s="33" t="n">
        <f aca="false">IF(I1733="","",ABS(I1733))</f>
        <v>16</v>
      </c>
      <c r="N1733" s="33" t="n">
        <f aca="false">IF(J1733="","",ABS(J1733))</f>
        <v>17.25</v>
      </c>
      <c r="O1733" s="33" t="n">
        <f aca="false">IF(K1733="","",ABS(K1733))</f>
        <v>15.4393726062766</v>
      </c>
      <c r="P1733" s="34" t="str">
        <f aca="false">IF(B1733&gt;=Eval_Start_Week,"YES","")</f>
        <v>YES</v>
      </c>
      <c r="Q1733" s="34" t="str">
        <f aca="false">IF(AND(B1733&gt;=Cal_Start_Week,B1733&lt;=Cal_End_Week),"YES","")</f>
        <v>YES</v>
      </c>
    </row>
    <row r="1734" customFormat="false" ht="15" hidden="false" customHeight="false" outlineLevel="0" collapsed="false">
      <c r="A1734" s="31" t="str">
        <f aca="false">Demand_History!C1734</f>
        <v>BTH-007</v>
      </c>
      <c r="B1734" s="31" t="n">
        <f aca="false">Demand_History!A1734</f>
        <v>69</v>
      </c>
      <c r="C1734" s="32" t="n">
        <f aca="false">Demand_History!D1734</f>
        <v>57</v>
      </c>
      <c r="D1734" s="33" t="n">
        <f aca="false">IF(B1734&gt;=2,C1733,"")</f>
        <v>65</v>
      </c>
      <c r="E1734" s="33" t="n">
        <f aca="false">IF(B1734&gt;=5,AVERAGE(C1730:C1733),"")</f>
        <v>52.75</v>
      </c>
      <c r="F1734" s="33" t="n">
        <f aca="false">IF(B1734&gt;=9,AVERAGE(C1726:C1733),"")</f>
        <v>50.5</v>
      </c>
      <c r="G1734" s="33" t="n">
        <f aca="false">IF(B1734=1,"",IF(B1734=2,C1733,SES_Alpha*C1733+(1-SES_Alpha)*G1733))</f>
        <v>54.1924391756064</v>
      </c>
      <c r="H1734" s="33" t="n">
        <f aca="false">IF(D1734="","",D1734-C1734)</f>
        <v>8</v>
      </c>
      <c r="I1734" s="33" t="n">
        <f aca="false">IF(E1734="","",E1734-C1734)</f>
        <v>-4.25</v>
      </c>
      <c r="J1734" s="33" t="n">
        <f aca="false">IF(F1734="","",F1734-C1734)</f>
        <v>-6.5</v>
      </c>
      <c r="K1734" s="33" t="n">
        <f aca="false">IF(G1734="","",G1734-C1734)</f>
        <v>-2.80756082439365</v>
      </c>
      <c r="L1734" s="33" t="n">
        <f aca="false">IF(H1734="","",ABS(H1734))</f>
        <v>8</v>
      </c>
      <c r="M1734" s="33" t="n">
        <f aca="false">IF(I1734="","",ABS(I1734))</f>
        <v>4.25</v>
      </c>
      <c r="N1734" s="33" t="n">
        <f aca="false">IF(J1734="","",ABS(J1734))</f>
        <v>6.5</v>
      </c>
      <c r="O1734" s="33" t="n">
        <f aca="false">IF(K1734="","",ABS(K1734))</f>
        <v>2.80756082439365</v>
      </c>
      <c r="P1734" s="34" t="str">
        <f aca="false">IF(B1734&gt;=Eval_Start_Week,"YES","")</f>
        <v>YES</v>
      </c>
      <c r="Q1734" s="34" t="str">
        <f aca="false">IF(AND(B1734&gt;=Cal_Start_Week,B1734&lt;=Cal_End_Week),"YES","")</f>
        <v>YES</v>
      </c>
    </row>
    <row r="1735" customFormat="false" ht="15" hidden="false" customHeight="false" outlineLevel="0" collapsed="false">
      <c r="A1735" s="31" t="str">
        <f aca="false">Demand_History!C1735</f>
        <v>BTH-007</v>
      </c>
      <c r="B1735" s="31" t="n">
        <f aca="false">Demand_History!A1735</f>
        <v>70</v>
      </c>
      <c r="C1735" s="32" t="n">
        <f aca="false">Demand_History!D1735</f>
        <v>54</v>
      </c>
      <c r="D1735" s="33" t="n">
        <f aca="false">IF(B1735&gt;=2,C1734,"")</f>
        <v>57</v>
      </c>
      <c r="E1735" s="33" t="n">
        <f aca="false">IF(B1735&gt;=5,AVERAGE(C1731:C1734),"")</f>
        <v>56.75</v>
      </c>
      <c r="F1735" s="33" t="n">
        <f aca="false">IF(B1735&gt;=9,AVERAGE(C1727:C1734),"")</f>
        <v>51.75</v>
      </c>
      <c r="G1735" s="33" t="n">
        <f aca="false">IF(B1735=1,"",IF(B1735=2,C1734,SES_Alpha*C1734+(1-SES_Alpha)*G1734))</f>
        <v>55.0347074229244</v>
      </c>
      <c r="H1735" s="33" t="n">
        <f aca="false">IF(D1735="","",D1735-C1735)</f>
        <v>3</v>
      </c>
      <c r="I1735" s="33" t="n">
        <f aca="false">IF(E1735="","",E1735-C1735)</f>
        <v>2.75</v>
      </c>
      <c r="J1735" s="33" t="n">
        <f aca="false">IF(F1735="","",F1735-C1735)</f>
        <v>-2.25</v>
      </c>
      <c r="K1735" s="33" t="n">
        <f aca="false">IF(G1735="","",G1735-C1735)</f>
        <v>1.03470742292444</v>
      </c>
      <c r="L1735" s="33" t="n">
        <f aca="false">IF(H1735="","",ABS(H1735))</f>
        <v>3</v>
      </c>
      <c r="M1735" s="33" t="n">
        <f aca="false">IF(I1735="","",ABS(I1735))</f>
        <v>2.75</v>
      </c>
      <c r="N1735" s="33" t="n">
        <f aca="false">IF(J1735="","",ABS(J1735))</f>
        <v>2.25</v>
      </c>
      <c r="O1735" s="33" t="n">
        <f aca="false">IF(K1735="","",ABS(K1735))</f>
        <v>1.03470742292444</v>
      </c>
      <c r="P1735" s="34" t="str">
        <f aca="false">IF(B1735&gt;=Eval_Start_Week,"YES","")</f>
        <v>YES</v>
      </c>
      <c r="Q1735" s="34" t="str">
        <f aca="false">IF(AND(B1735&gt;=Cal_Start_Week,B1735&lt;=Cal_End_Week),"YES","")</f>
        <v>YES</v>
      </c>
    </row>
    <row r="1736" customFormat="false" ht="15" hidden="false" customHeight="false" outlineLevel="0" collapsed="false">
      <c r="A1736" s="31" t="str">
        <f aca="false">Demand_History!C1736</f>
        <v>BTH-007</v>
      </c>
      <c r="B1736" s="31" t="n">
        <f aca="false">Demand_History!A1736</f>
        <v>71</v>
      </c>
      <c r="C1736" s="32" t="n">
        <f aca="false">Demand_History!D1736</f>
        <v>61</v>
      </c>
      <c r="D1736" s="33" t="n">
        <f aca="false">IF(B1736&gt;=2,C1735,"")</f>
        <v>54</v>
      </c>
      <c r="E1736" s="33" t="n">
        <f aca="false">IF(B1736&gt;=5,AVERAGE(C1732:C1735),"")</f>
        <v>58</v>
      </c>
      <c r="F1736" s="33" t="n">
        <f aca="false">IF(B1736&gt;=9,AVERAGE(C1728:C1735),"")</f>
        <v>52.25</v>
      </c>
      <c r="G1736" s="33" t="n">
        <f aca="false">IF(B1736=1,"",IF(B1736=2,C1735,SES_Alpha*C1735+(1-SES_Alpha)*G1735))</f>
        <v>54.7242951960471</v>
      </c>
      <c r="H1736" s="33" t="n">
        <f aca="false">IF(D1736="","",D1736-C1736)</f>
        <v>-7</v>
      </c>
      <c r="I1736" s="33" t="n">
        <f aca="false">IF(E1736="","",E1736-C1736)</f>
        <v>-3</v>
      </c>
      <c r="J1736" s="33" t="n">
        <f aca="false">IF(F1736="","",F1736-C1736)</f>
        <v>-8.75</v>
      </c>
      <c r="K1736" s="33" t="n">
        <f aca="false">IF(G1736="","",G1736-C1736)</f>
        <v>-6.27570480395289</v>
      </c>
      <c r="L1736" s="33" t="n">
        <f aca="false">IF(H1736="","",ABS(H1736))</f>
        <v>7</v>
      </c>
      <c r="M1736" s="33" t="n">
        <f aca="false">IF(I1736="","",ABS(I1736))</f>
        <v>3</v>
      </c>
      <c r="N1736" s="33" t="n">
        <f aca="false">IF(J1736="","",ABS(J1736))</f>
        <v>8.75</v>
      </c>
      <c r="O1736" s="33" t="n">
        <f aca="false">IF(K1736="","",ABS(K1736))</f>
        <v>6.27570480395289</v>
      </c>
      <c r="P1736" s="34" t="str">
        <f aca="false">IF(B1736&gt;=Eval_Start_Week,"YES","")</f>
        <v>YES</v>
      </c>
      <c r="Q1736" s="34" t="str">
        <f aca="false">IF(AND(B1736&gt;=Cal_Start_Week,B1736&lt;=Cal_End_Week),"YES","")</f>
        <v>YES</v>
      </c>
    </row>
    <row r="1737" customFormat="false" ht="15" hidden="false" customHeight="false" outlineLevel="0" collapsed="false">
      <c r="A1737" s="31" t="str">
        <f aca="false">Demand_History!C1737</f>
        <v>BTH-007</v>
      </c>
      <c r="B1737" s="31" t="n">
        <f aca="false">Demand_History!A1737</f>
        <v>72</v>
      </c>
      <c r="C1737" s="32" t="n">
        <f aca="false">Demand_History!D1737</f>
        <v>60</v>
      </c>
      <c r="D1737" s="33" t="n">
        <f aca="false">IF(B1737&gt;=2,C1736,"")</f>
        <v>61</v>
      </c>
      <c r="E1737" s="33" t="n">
        <f aca="false">IF(B1737&gt;=5,AVERAGE(C1733:C1736),"")</f>
        <v>59.25</v>
      </c>
      <c r="F1737" s="33" t="n">
        <f aca="false">IF(B1737&gt;=9,AVERAGE(C1729:C1736),"")</f>
        <v>54.125</v>
      </c>
      <c r="G1737" s="33" t="n">
        <f aca="false">IF(B1737=1,"",IF(B1737=2,C1736,SES_Alpha*C1736+(1-SES_Alpha)*G1736))</f>
        <v>56.607006637233</v>
      </c>
      <c r="H1737" s="33" t="n">
        <f aca="false">IF(D1737="","",D1737-C1737)</f>
        <v>1</v>
      </c>
      <c r="I1737" s="33" t="n">
        <f aca="false">IF(E1737="","",E1737-C1737)</f>
        <v>-0.75</v>
      </c>
      <c r="J1737" s="33" t="n">
        <f aca="false">IF(F1737="","",F1737-C1737)</f>
        <v>-5.875</v>
      </c>
      <c r="K1737" s="33" t="n">
        <f aca="false">IF(G1737="","",G1737-C1737)</f>
        <v>-3.39299336276703</v>
      </c>
      <c r="L1737" s="33" t="n">
        <f aca="false">IF(H1737="","",ABS(H1737))</f>
        <v>1</v>
      </c>
      <c r="M1737" s="33" t="n">
        <f aca="false">IF(I1737="","",ABS(I1737))</f>
        <v>0.75</v>
      </c>
      <c r="N1737" s="33" t="n">
        <f aca="false">IF(J1737="","",ABS(J1737))</f>
        <v>5.875</v>
      </c>
      <c r="O1737" s="33" t="n">
        <f aca="false">IF(K1737="","",ABS(K1737))</f>
        <v>3.39299336276703</v>
      </c>
      <c r="P1737" s="34" t="str">
        <f aca="false">IF(B1737&gt;=Eval_Start_Week,"YES","")</f>
        <v>YES</v>
      </c>
      <c r="Q1737" s="34" t="str">
        <f aca="false">IF(AND(B1737&gt;=Cal_Start_Week,B1737&lt;=Cal_End_Week),"YES","")</f>
        <v>YES</v>
      </c>
    </row>
    <row r="1738" customFormat="false" ht="15" hidden="false" customHeight="false" outlineLevel="0" collapsed="false">
      <c r="A1738" s="31" t="str">
        <f aca="false">Demand_History!C1738</f>
        <v>BTH-007</v>
      </c>
      <c r="B1738" s="31" t="n">
        <f aca="false">Demand_History!A1738</f>
        <v>73</v>
      </c>
      <c r="C1738" s="32" t="n">
        <f aca="false">Demand_History!D1738</f>
        <v>65</v>
      </c>
      <c r="D1738" s="33" t="n">
        <f aca="false">IF(B1738&gt;=2,C1737,"")</f>
        <v>60</v>
      </c>
      <c r="E1738" s="33" t="n">
        <f aca="false">IF(B1738&gt;=5,AVERAGE(C1734:C1737),"")</f>
        <v>58</v>
      </c>
      <c r="F1738" s="33" t="n">
        <f aca="false">IF(B1738&gt;=9,AVERAGE(C1730:C1737),"")</f>
        <v>55.375</v>
      </c>
      <c r="G1738" s="33" t="n">
        <f aca="false">IF(B1738=1,"",IF(B1738=2,C1737,SES_Alpha*C1737+(1-SES_Alpha)*G1737))</f>
        <v>57.6249046460631</v>
      </c>
      <c r="H1738" s="33" t="n">
        <f aca="false">IF(D1738="","",D1738-C1738)</f>
        <v>-5</v>
      </c>
      <c r="I1738" s="33" t="n">
        <f aca="false">IF(E1738="","",E1738-C1738)</f>
        <v>-7</v>
      </c>
      <c r="J1738" s="33" t="n">
        <f aca="false">IF(F1738="","",F1738-C1738)</f>
        <v>-9.625</v>
      </c>
      <c r="K1738" s="33" t="n">
        <f aca="false">IF(G1738="","",G1738-C1738)</f>
        <v>-7.37509535393692</v>
      </c>
      <c r="L1738" s="33" t="n">
        <f aca="false">IF(H1738="","",ABS(H1738))</f>
        <v>5</v>
      </c>
      <c r="M1738" s="33" t="n">
        <f aca="false">IF(I1738="","",ABS(I1738))</f>
        <v>7</v>
      </c>
      <c r="N1738" s="33" t="n">
        <f aca="false">IF(J1738="","",ABS(J1738))</f>
        <v>9.625</v>
      </c>
      <c r="O1738" s="33" t="n">
        <f aca="false">IF(K1738="","",ABS(K1738))</f>
        <v>7.37509535393692</v>
      </c>
      <c r="P1738" s="34" t="str">
        <f aca="false">IF(B1738&gt;=Eval_Start_Week,"YES","")</f>
        <v>YES</v>
      </c>
      <c r="Q1738" s="34" t="str">
        <f aca="false">IF(AND(B1738&gt;=Cal_Start_Week,B1738&lt;=Cal_End_Week),"YES","")</f>
        <v>YES</v>
      </c>
    </row>
    <row r="1739" customFormat="false" ht="15" hidden="false" customHeight="false" outlineLevel="0" collapsed="false">
      <c r="A1739" s="31" t="str">
        <f aca="false">Demand_History!C1739</f>
        <v>BTH-007</v>
      </c>
      <c r="B1739" s="31" t="n">
        <f aca="false">Demand_History!A1739</f>
        <v>74</v>
      </c>
      <c r="C1739" s="32" t="n">
        <f aca="false">Demand_History!D1739</f>
        <v>61</v>
      </c>
      <c r="D1739" s="33" t="n">
        <f aca="false">IF(B1739&gt;=2,C1738,"")</f>
        <v>65</v>
      </c>
      <c r="E1739" s="33" t="n">
        <f aca="false">IF(B1739&gt;=5,AVERAGE(C1735:C1738),"")</f>
        <v>60</v>
      </c>
      <c r="F1739" s="33" t="n">
        <f aca="false">IF(B1739&gt;=9,AVERAGE(C1731:C1738),"")</f>
        <v>58.375</v>
      </c>
      <c r="G1739" s="33" t="n">
        <f aca="false">IF(B1739=1,"",IF(B1739=2,C1738,SES_Alpha*C1738+(1-SES_Alpha)*G1738))</f>
        <v>59.8374332522442</v>
      </c>
      <c r="H1739" s="33" t="n">
        <f aca="false">IF(D1739="","",D1739-C1739)</f>
        <v>4</v>
      </c>
      <c r="I1739" s="33" t="n">
        <f aca="false">IF(E1739="","",E1739-C1739)</f>
        <v>-1</v>
      </c>
      <c r="J1739" s="33" t="n">
        <f aca="false">IF(F1739="","",F1739-C1739)</f>
        <v>-2.625</v>
      </c>
      <c r="K1739" s="33" t="n">
        <f aca="false">IF(G1739="","",G1739-C1739)</f>
        <v>-1.16256674775585</v>
      </c>
      <c r="L1739" s="33" t="n">
        <f aca="false">IF(H1739="","",ABS(H1739))</f>
        <v>4</v>
      </c>
      <c r="M1739" s="33" t="n">
        <f aca="false">IF(I1739="","",ABS(I1739))</f>
        <v>1</v>
      </c>
      <c r="N1739" s="33" t="n">
        <f aca="false">IF(J1739="","",ABS(J1739))</f>
        <v>2.625</v>
      </c>
      <c r="O1739" s="33" t="n">
        <f aca="false">IF(K1739="","",ABS(K1739))</f>
        <v>1.16256674775585</v>
      </c>
      <c r="P1739" s="34" t="str">
        <f aca="false">IF(B1739&gt;=Eval_Start_Week,"YES","")</f>
        <v>YES</v>
      </c>
      <c r="Q1739" s="34" t="str">
        <f aca="false">IF(AND(B1739&gt;=Cal_Start_Week,B1739&lt;=Cal_End_Week),"YES","")</f>
        <v>YES</v>
      </c>
    </row>
    <row r="1740" customFormat="false" ht="15" hidden="false" customHeight="false" outlineLevel="0" collapsed="false">
      <c r="A1740" s="31" t="str">
        <f aca="false">Demand_History!C1740</f>
        <v>BTH-007</v>
      </c>
      <c r="B1740" s="31" t="n">
        <f aca="false">Demand_History!A1740</f>
        <v>75</v>
      </c>
      <c r="C1740" s="32" t="n">
        <f aca="false">Demand_History!D1740</f>
        <v>53</v>
      </c>
      <c r="D1740" s="33" t="n">
        <f aca="false">IF(B1740&gt;=2,C1739,"")</f>
        <v>61</v>
      </c>
      <c r="E1740" s="33" t="n">
        <f aca="false">IF(B1740&gt;=5,AVERAGE(C1736:C1739),"")</f>
        <v>61.75</v>
      </c>
      <c r="F1740" s="33" t="n">
        <f aca="false">IF(B1740&gt;=9,AVERAGE(C1732:C1739),"")</f>
        <v>59.875</v>
      </c>
      <c r="G1740" s="33" t="n">
        <f aca="false">IF(B1740=1,"",IF(B1740=2,C1739,SES_Alpha*C1739+(1-SES_Alpha)*G1739))</f>
        <v>60.1862032765709</v>
      </c>
      <c r="H1740" s="33" t="n">
        <f aca="false">IF(D1740="","",D1740-C1740)</f>
        <v>8</v>
      </c>
      <c r="I1740" s="33" t="n">
        <f aca="false">IF(E1740="","",E1740-C1740)</f>
        <v>8.75</v>
      </c>
      <c r="J1740" s="33" t="n">
        <f aca="false">IF(F1740="","",F1740-C1740)</f>
        <v>6.875</v>
      </c>
      <c r="K1740" s="33" t="n">
        <f aca="false">IF(G1740="","",G1740-C1740)</f>
        <v>7.18620327657091</v>
      </c>
      <c r="L1740" s="33" t="n">
        <f aca="false">IF(H1740="","",ABS(H1740))</f>
        <v>8</v>
      </c>
      <c r="M1740" s="33" t="n">
        <f aca="false">IF(I1740="","",ABS(I1740))</f>
        <v>8.75</v>
      </c>
      <c r="N1740" s="33" t="n">
        <f aca="false">IF(J1740="","",ABS(J1740))</f>
        <v>6.875</v>
      </c>
      <c r="O1740" s="33" t="n">
        <f aca="false">IF(K1740="","",ABS(K1740))</f>
        <v>7.18620327657091</v>
      </c>
      <c r="P1740" s="34" t="str">
        <f aca="false">IF(B1740&gt;=Eval_Start_Week,"YES","")</f>
        <v>YES</v>
      </c>
      <c r="Q1740" s="34" t="str">
        <f aca="false">IF(AND(B1740&gt;=Cal_Start_Week,B1740&lt;=Cal_End_Week),"YES","")</f>
        <v>YES</v>
      </c>
    </row>
    <row r="1741" customFormat="false" ht="15" hidden="false" customHeight="false" outlineLevel="0" collapsed="false">
      <c r="A1741" s="31" t="str">
        <f aca="false">Demand_History!C1741</f>
        <v>BTH-007</v>
      </c>
      <c r="B1741" s="31" t="n">
        <f aca="false">Demand_History!A1741</f>
        <v>76</v>
      </c>
      <c r="C1741" s="32" t="n">
        <f aca="false">Demand_History!D1741</f>
        <v>56</v>
      </c>
      <c r="D1741" s="33" t="n">
        <f aca="false">IF(B1741&gt;=2,C1740,"")</f>
        <v>53</v>
      </c>
      <c r="E1741" s="33" t="n">
        <f aca="false">IF(B1741&gt;=5,AVERAGE(C1737:C1740),"")</f>
        <v>59.75</v>
      </c>
      <c r="F1741" s="33" t="n">
        <f aca="false">IF(B1741&gt;=9,AVERAGE(C1733:C1740),"")</f>
        <v>59.5</v>
      </c>
      <c r="G1741" s="33" t="n">
        <f aca="false">IF(B1741=1,"",IF(B1741=2,C1740,SES_Alpha*C1740+(1-SES_Alpha)*G1740))</f>
        <v>58.0303422935996</v>
      </c>
      <c r="H1741" s="33" t="n">
        <f aca="false">IF(D1741="","",D1741-C1741)</f>
        <v>-3</v>
      </c>
      <c r="I1741" s="33" t="n">
        <f aca="false">IF(E1741="","",E1741-C1741)</f>
        <v>3.75</v>
      </c>
      <c r="J1741" s="33" t="n">
        <f aca="false">IF(F1741="","",F1741-C1741)</f>
        <v>3.5</v>
      </c>
      <c r="K1741" s="33" t="n">
        <f aca="false">IF(G1741="","",G1741-C1741)</f>
        <v>2.03034229359963</v>
      </c>
      <c r="L1741" s="33" t="n">
        <f aca="false">IF(H1741="","",ABS(H1741))</f>
        <v>3</v>
      </c>
      <c r="M1741" s="33" t="n">
        <f aca="false">IF(I1741="","",ABS(I1741))</f>
        <v>3.75</v>
      </c>
      <c r="N1741" s="33" t="n">
        <f aca="false">IF(J1741="","",ABS(J1741))</f>
        <v>3.5</v>
      </c>
      <c r="O1741" s="33" t="n">
        <f aca="false">IF(K1741="","",ABS(K1741))</f>
        <v>2.03034229359963</v>
      </c>
      <c r="P1741" s="34" t="str">
        <f aca="false">IF(B1741&gt;=Eval_Start_Week,"YES","")</f>
        <v>YES</v>
      </c>
      <c r="Q1741" s="34" t="str">
        <f aca="false">IF(AND(B1741&gt;=Cal_Start_Week,B1741&lt;=Cal_End_Week),"YES","")</f>
        <v>YES</v>
      </c>
    </row>
    <row r="1742" customFormat="false" ht="15" hidden="false" customHeight="false" outlineLevel="0" collapsed="false">
      <c r="A1742" s="31" t="str">
        <f aca="false">Demand_History!C1742</f>
        <v>BTH-007</v>
      </c>
      <c r="B1742" s="31" t="n">
        <f aca="false">Demand_History!A1742</f>
        <v>77</v>
      </c>
      <c r="C1742" s="32" t="n">
        <f aca="false">Demand_History!D1742</f>
        <v>56</v>
      </c>
      <c r="D1742" s="33" t="n">
        <f aca="false">IF(B1742&gt;=2,C1741,"")</f>
        <v>56</v>
      </c>
      <c r="E1742" s="33" t="n">
        <f aca="false">IF(B1742&gt;=5,AVERAGE(C1738:C1741),"")</f>
        <v>58.75</v>
      </c>
      <c r="F1742" s="33" t="n">
        <f aca="false">IF(B1742&gt;=9,AVERAGE(C1734:C1741),"")</f>
        <v>58.375</v>
      </c>
      <c r="G1742" s="33" t="n">
        <f aca="false">IF(B1742=1,"",IF(B1742=2,C1741,SES_Alpha*C1741+(1-SES_Alpha)*G1741))</f>
        <v>57.4212396055197</v>
      </c>
      <c r="H1742" s="33" t="n">
        <f aca="false">IF(D1742="","",D1742-C1742)</f>
        <v>0</v>
      </c>
      <c r="I1742" s="33" t="n">
        <f aca="false">IF(E1742="","",E1742-C1742)</f>
        <v>2.75</v>
      </c>
      <c r="J1742" s="33" t="n">
        <f aca="false">IF(F1742="","",F1742-C1742)</f>
        <v>2.375</v>
      </c>
      <c r="K1742" s="33" t="n">
        <f aca="false">IF(G1742="","",G1742-C1742)</f>
        <v>1.42123960551974</v>
      </c>
      <c r="L1742" s="33" t="n">
        <f aca="false">IF(H1742="","",ABS(H1742))</f>
        <v>0</v>
      </c>
      <c r="M1742" s="33" t="n">
        <f aca="false">IF(I1742="","",ABS(I1742))</f>
        <v>2.75</v>
      </c>
      <c r="N1742" s="33" t="n">
        <f aca="false">IF(J1742="","",ABS(J1742))</f>
        <v>2.375</v>
      </c>
      <c r="O1742" s="33" t="n">
        <f aca="false">IF(K1742="","",ABS(K1742))</f>
        <v>1.42123960551974</v>
      </c>
      <c r="P1742" s="34" t="str">
        <f aca="false">IF(B1742&gt;=Eval_Start_Week,"YES","")</f>
        <v>YES</v>
      </c>
      <c r="Q1742" s="34" t="str">
        <f aca="false">IF(AND(B1742&gt;=Cal_Start_Week,B1742&lt;=Cal_End_Week),"YES","")</f>
        <v>YES</v>
      </c>
    </row>
    <row r="1743" customFormat="false" ht="15" hidden="false" customHeight="false" outlineLevel="0" collapsed="false">
      <c r="A1743" s="31" t="str">
        <f aca="false">Demand_History!C1743</f>
        <v>BTH-007</v>
      </c>
      <c r="B1743" s="31" t="n">
        <f aca="false">Demand_History!A1743</f>
        <v>78</v>
      </c>
      <c r="C1743" s="32" t="n">
        <f aca="false">Demand_History!D1743</f>
        <v>57</v>
      </c>
      <c r="D1743" s="33" t="n">
        <f aca="false">IF(B1743&gt;=2,C1742,"")</f>
        <v>56</v>
      </c>
      <c r="E1743" s="33" t="n">
        <f aca="false">IF(B1743&gt;=5,AVERAGE(C1739:C1742),"")</f>
        <v>56.5</v>
      </c>
      <c r="F1743" s="33" t="n">
        <f aca="false">IF(B1743&gt;=9,AVERAGE(C1735:C1742),"")</f>
        <v>58.25</v>
      </c>
      <c r="G1743" s="33" t="n">
        <f aca="false">IF(B1743=1,"",IF(B1743=2,C1742,SES_Alpha*C1742+(1-SES_Alpha)*G1742))</f>
        <v>56.9948677238638</v>
      </c>
      <c r="H1743" s="33" t="n">
        <f aca="false">IF(D1743="","",D1743-C1743)</f>
        <v>-1</v>
      </c>
      <c r="I1743" s="33" t="n">
        <f aca="false">IF(E1743="","",E1743-C1743)</f>
        <v>-0.5</v>
      </c>
      <c r="J1743" s="33" t="n">
        <f aca="false">IF(F1743="","",F1743-C1743)</f>
        <v>1.25</v>
      </c>
      <c r="K1743" s="33" t="n">
        <f aca="false">IF(G1743="","",G1743-C1743)</f>
        <v>-0.00513227613618028</v>
      </c>
      <c r="L1743" s="33" t="n">
        <f aca="false">IF(H1743="","",ABS(H1743))</f>
        <v>1</v>
      </c>
      <c r="M1743" s="33" t="n">
        <f aca="false">IF(I1743="","",ABS(I1743))</f>
        <v>0.5</v>
      </c>
      <c r="N1743" s="33" t="n">
        <f aca="false">IF(J1743="","",ABS(J1743))</f>
        <v>1.25</v>
      </c>
      <c r="O1743" s="33" t="n">
        <f aca="false">IF(K1743="","",ABS(K1743))</f>
        <v>0.00513227613618028</v>
      </c>
      <c r="P1743" s="34" t="str">
        <f aca="false">IF(B1743&gt;=Eval_Start_Week,"YES","")</f>
        <v>YES</v>
      </c>
      <c r="Q1743" s="34" t="str">
        <f aca="false">IF(AND(B1743&gt;=Cal_Start_Week,B1743&lt;=Cal_End_Week),"YES","")</f>
        <v>YES</v>
      </c>
    </row>
    <row r="1744" customFormat="false" ht="15" hidden="false" customHeight="false" outlineLevel="0" collapsed="false">
      <c r="A1744" s="31" t="str">
        <f aca="false">Demand_History!C1744</f>
        <v>BTH-007</v>
      </c>
      <c r="B1744" s="31" t="n">
        <f aca="false">Demand_History!A1744</f>
        <v>79</v>
      </c>
      <c r="C1744" s="32" t="n">
        <f aca="false">Demand_History!D1744</f>
        <v>56</v>
      </c>
      <c r="D1744" s="33" t="n">
        <f aca="false">IF(B1744&gt;=2,C1743,"")</f>
        <v>57</v>
      </c>
      <c r="E1744" s="33" t="n">
        <f aca="false">IF(B1744&gt;=5,AVERAGE(C1740:C1743),"")</f>
        <v>55.5</v>
      </c>
      <c r="F1744" s="33" t="n">
        <f aca="false">IF(B1744&gt;=9,AVERAGE(C1736:C1743),"")</f>
        <v>58.625</v>
      </c>
      <c r="G1744" s="33" t="n">
        <f aca="false">IF(B1744=1,"",IF(B1744=2,C1743,SES_Alpha*C1743+(1-SES_Alpha)*G1743))</f>
        <v>56.9964074067047</v>
      </c>
      <c r="H1744" s="33" t="n">
        <f aca="false">IF(D1744="","",D1744-C1744)</f>
        <v>1</v>
      </c>
      <c r="I1744" s="33" t="n">
        <f aca="false">IF(E1744="","",E1744-C1744)</f>
        <v>-0.5</v>
      </c>
      <c r="J1744" s="33" t="n">
        <f aca="false">IF(F1744="","",F1744-C1744)</f>
        <v>2.625</v>
      </c>
      <c r="K1744" s="33" t="n">
        <f aca="false">IF(G1744="","",G1744-C1744)</f>
        <v>0.996407406704662</v>
      </c>
      <c r="L1744" s="33" t="n">
        <f aca="false">IF(H1744="","",ABS(H1744))</f>
        <v>1</v>
      </c>
      <c r="M1744" s="33" t="n">
        <f aca="false">IF(I1744="","",ABS(I1744))</f>
        <v>0.5</v>
      </c>
      <c r="N1744" s="33" t="n">
        <f aca="false">IF(J1744="","",ABS(J1744))</f>
        <v>2.625</v>
      </c>
      <c r="O1744" s="33" t="n">
        <f aca="false">IF(K1744="","",ABS(K1744))</f>
        <v>0.996407406704662</v>
      </c>
      <c r="P1744" s="34" t="str">
        <f aca="false">IF(B1744&gt;=Eval_Start_Week,"YES","")</f>
        <v>YES</v>
      </c>
      <c r="Q1744" s="34" t="str">
        <f aca="false">IF(AND(B1744&gt;=Cal_Start_Week,B1744&lt;=Cal_End_Week),"YES","")</f>
        <v>YES</v>
      </c>
    </row>
    <row r="1745" customFormat="false" ht="15" hidden="false" customHeight="false" outlineLevel="0" collapsed="false">
      <c r="A1745" s="31" t="str">
        <f aca="false">Demand_History!C1745</f>
        <v>BTH-007</v>
      </c>
      <c r="B1745" s="31" t="n">
        <f aca="false">Demand_History!A1745</f>
        <v>80</v>
      </c>
      <c r="C1745" s="32" t="n">
        <f aca="false">Demand_History!D1745</f>
        <v>49</v>
      </c>
      <c r="D1745" s="33" t="n">
        <f aca="false">IF(B1745&gt;=2,C1744,"")</f>
        <v>56</v>
      </c>
      <c r="E1745" s="33" t="n">
        <f aca="false">IF(B1745&gt;=5,AVERAGE(C1741:C1744),"")</f>
        <v>56.25</v>
      </c>
      <c r="F1745" s="33" t="n">
        <f aca="false">IF(B1745&gt;=9,AVERAGE(C1737:C1744),"")</f>
        <v>58</v>
      </c>
      <c r="G1745" s="33" t="n">
        <f aca="false">IF(B1745=1,"",IF(B1745=2,C1744,SES_Alpha*C1744+(1-SES_Alpha)*G1744))</f>
        <v>56.6974851846933</v>
      </c>
      <c r="H1745" s="33" t="n">
        <f aca="false">IF(D1745="","",D1745-C1745)</f>
        <v>7</v>
      </c>
      <c r="I1745" s="33" t="n">
        <f aca="false">IF(E1745="","",E1745-C1745)</f>
        <v>7.25</v>
      </c>
      <c r="J1745" s="33" t="n">
        <f aca="false">IF(F1745="","",F1745-C1745)</f>
        <v>9</v>
      </c>
      <c r="K1745" s="33" t="n">
        <f aca="false">IF(G1745="","",G1745-C1745)</f>
        <v>7.69748518469326</v>
      </c>
      <c r="L1745" s="33" t="n">
        <f aca="false">IF(H1745="","",ABS(H1745))</f>
        <v>7</v>
      </c>
      <c r="M1745" s="33" t="n">
        <f aca="false">IF(I1745="","",ABS(I1745))</f>
        <v>7.25</v>
      </c>
      <c r="N1745" s="33" t="n">
        <f aca="false">IF(J1745="","",ABS(J1745))</f>
        <v>9</v>
      </c>
      <c r="O1745" s="33" t="n">
        <f aca="false">IF(K1745="","",ABS(K1745))</f>
        <v>7.69748518469326</v>
      </c>
      <c r="P1745" s="34" t="str">
        <f aca="false">IF(B1745&gt;=Eval_Start_Week,"YES","")</f>
        <v>YES</v>
      </c>
      <c r="Q1745" s="34" t="str">
        <f aca="false">IF(AND(B1745&gt;=Cal_Start_Week,B1745&lt;=Cal_End_Week),"YES","")</f>
        <v>YES</v>
      </c>
    </row>
    <row r="1746" customFormat="false" ht="15" hidden="false" customHeight="false" outlineLevel="0" collapsed="false">
      <c r="A1746" s="31" t="str">
        <f aca="false">Demand_History!C1746</f>
        <v>BTH-007</v>
      </c>
      <c r="B1746" s="31" t="n">
        <f aca="false">Demand_History!A1746</f>
        <v>81</v>
      </c>
      <c r="C1746" s="32" t="n">
        <f aca="false">Demand_History!D1746</f>
        <v>39</v>
      </c>
      <c r="D1746" s="33" t="n">
        <f aca="false">IF(B1746&gt;=2,C1745,"")</f>
        <v>49</v>
      </c>
      <c r="E1746" s="33" t="n">
        <f aca="false">IF(B1746&gt;=5,AVERAGE(C1742:C1745),"")</f>
        <v>54.5</v>
      </c>
      <c r="F1746" s="33" t="n">
        <f aca="false">IF(B1746&gt;=9,AVERAGE(C1738:C1745),"")</f>
        <v>56.625</v>
      </c>
      <c r="G1746" s="33" t="n">
        <f aca="false">IF(B1746=1,"",IF(B1746=2,C1745,SES_Alpha*C1745+(1-SES_Alpha)*G1745))</f>
        <v>54.3882396292853</v>
      </c>
      <c r="H1746" s="33" t="n">
        <f aca="false">IF(D1746="","",D1746-C1746)</f>
        <v>10</v>
      </c>
      <c r="I1746" s="33" t="n">
        <f aca="false">IF(E1746="","",E1746-C1746)</f>
        <v>15.5</v>
      </c>
      <c r="J1746" s="33" t="n">
        <f aca="false">IF(F1746="","",F1746-C1746)</f>
        <v>17.625</v>
      </c>
      <c r="K1746" s="33" t="n">
        <f aca="false">IF(G1746="","",G1746-C1746)</f>
        <v>15.3882396292853</v>
      </c>
      <c r="L1746" s="33" t="n">
        <f aca="false">IF(H1746="","",ABS(H1746))</f>
        <v>10</v>
      </c>
      <c r="M1746" s="33" t="n">
        <f aca="false">IF(I1746="","",ABS(I1746))</f>
        <v>15.5</v>
      </c>
      <c r="N1746" s="33" t="n">
        <f aca="false">IF(J1746="","",ABS(J1746))</f>
        <v>17.625</v>
      </c>
      <c r="O1746" s="33" t="n">
        <f aca="false">IF(K1746="","",ABS(K1746))</f>
        <v>15.3882396292853</v>
      </c>
      <c r="P1746" s="34" t="str">
        <f aca="false">IF(B1746&gt;=Eval_Start_Week,"YES","")</f>
        <v>YES</v>
      </c>
      <c r="Q1746" s="34" t="str">
        <f aca="false">IF(AND(B1746&gt;=Cal_Start_Week,B1746&lt;=Cal_End_Week),"YES","")</f>
        <v>YES</v>
      </c>
    </row>
    <row r="1747" customFormat="false" ht="15" hidden="false" customHeight="false" outlineLevel="0" collapsed="false">
      <c r="A1747" s="31" t="str">
        <f aca="false">Demand_History!C1747</f>
        <v>BTH-007</v>
      </c>
      <c r="B1747" s="31" t="n">
        <f aca="false">Demand_History!A1747</f>
        <v>82</v>
      </c>
      <c r="C1747" s="32" t="n">
        <f aca="false">Demand_History!D1747</f>
        <v>51</v>
      </c>
      <c r="D1747" s="33" t="n">
        <f aca="false">IF(B1747&gt;=2,C1746,"")</f>
        <v>39</v>
      </c>
      <c r="E1747" s="33" t="n">
        <f aca="false">IF(B1747&gt;=5,AVERAGE(C1743:C1746),"")</f>
        <v>50.25</v>
      </c>
      <c r="F1747" s="33" t="n">
        <f aca="false">IF(B1747&gt;=9,AVERAGE(C1739:C1746),"")</f>
        <v>53.375</v>
      </c>
      <c r="G1747" s="33" t="n">
        <f aca="false">IF(B1747=1,"",IF(B1747=2,C1746,SES_Alpha*C1746+(1-SES_Alpha)*G1746))</f>
        <v>49.7717677404997</v>
      </c>
      <c r="H1747" s="33" t="n">
        <f aca="false">IF(D1747="","",D1747-C1747)</f>
        <v>-12</v>
      </c>
      <c r="I1747" s="33" t="n">
        <f aca="false">IF(E1747="","",E1747-C1747)</f>
        <v>-0.75</v>
      </c>
      <c r="J1747" s="33" t="n">
        <f aca="false">IF(F1747="","",F1747-C1747)</f>
        <v>2.375</v>
      </c>
      <c r="K1747" s="33" t="n">
        <f aca="false">IF(G1747="","",G1747-C1747)</f>
        <v>-1.2282322595003</v>
      </c>
      <c r="L1747" s="33" t="n">
        <f aca="false">IF(H1747="","",ABS(H1747))</f>
        <v>12</v>
      </c>
      <c r="M1747" s="33" t="n">
        <f aca="false">IF(I1747="","",ABS(I1747))</f>
        <v>0.75</v>
      </c>
      <c r="N1747" s="33" t="n">
        <f aca="false">IF(J1747="","",ABS(J1747))</f>
        <v>2.375</v>
      </c>
      <c r="O1747" s="33" t="n">
        <f aca="false">IF(K1747="","",ABS(K1747))</f>
        <v>1.2282322595003</v>
      </c>
      <c r="P1747" s="34" t="str">
        <f aca="false">IF(B1747&gt;=Eval_Start_Week,"YES","")</f>
        <v>YES</v>
      </c>
      <c r="Q1747" s="34" t="str">
        <f aca="false">IF(AND(B1747&gt;=Cal_Start_Week,B1747&lt;=Cal_End_Week),"YES","")</f>
        <v>YES</v>
      </c>
    </row>
    <row r="1748" customFormat="false" ht="15" hidden="false" customHeight="false" outlineLevel="0" collapsed="false">
      <c r="A1748" s="31" t="str">
        <f aca="false">Demand_History!C1748</f>
        <v>BTH-007</v>
      </c>
      <c r="B1748" s="31" t="n">
        <f aca="false">Demand_History!A1748</f>
        <v>83</v>
      </c>
      <c r="C1748" s="32" t="n">
        <f aca="false">Demand_History!D1748</f>
        <v>40</v>
      </c>
      <c r="D1748" s="33" t="n">
        <f aca="false">IF(B1748&gt;=2,C1747,"")</f>
        <v>51</v>
      </c>
      <c r="E1748" s="33" t="n">
        <f aca="false">IF(B1748&gt;=5,AVERAGE(C1744:C1747),"")</f>
        <v>48.75</v>
      </c>
      <c r="F1748" s="33" t="n">
        <f aca="false">IF(B1748&gt;=9,AVERAGE(C1740:C1747),"")</f>
        <v>52.125</v>
      </c>
      <c r="G1748" s="33" t="n">
        <f aca="false">IF(B1748=1,"",IF(B1748=2,C1747,SES_Alpha*C1747+(1-SES_Alpha)*G1747))</f>
        <v>50.1402374183498</v>
      </c>
      <c r="H1748" s="33" t="n">
        <f aca="false">IF(D1748="","",D1748-C1748)</f>
        <v>11</v>
      </c>
      <c r="I1748" s="33" t="n">
        <f aca="false">IF(E1748="","",E1748-C1748)</f>
        <v>8.75</v>
      </c>
      <c r="J1748" s="33" t="n">
        <f aca="false">IF(F1748="","",F1748-C1748)</f>
        <v>12.125</v>
      </c>
      <c r="K1748" s="33" t="n">
        <f aca="false">IF(G1748="","",G1748-C1748)</f>
        <v>10.1402374183498</v>
      </c>
      <c r="L1748" s="33" t="n">
        <f aca="false">IF(H1748="","",ABS(H1748))</f>
        <v>11</v>
      </c>
      <c r="M1748" s="33" t="n">
        <f aca="false">IF(I1748="","",ABS(I1748))</f>
        <v>8.75</v>
      </c>
      <c r="N1748" s="33" t="n">
        <f aca="false">IF(J1748="","",ABS(J1748))</f>
        <v>12.125</v>
      </c>
      <c r="O1748" s="33" t="n">
        <f aca="false">IF(K1748="","",ABS(K1748))</f>
        <v>10.1402374183498</v>
      </c>
      <c r="P1748" s="34" t="str">
        <f aca="false">IF(B1748&gt;=Eval_Start_Week,"YES","")</f>
        <v>YES</v>
      </c>
      <c r="Q1748" s="34" t="str">
        <f aca="false">IF(AND(B1748&gt;=Cal_Start_Week,B1748&lt;=Cal_End_Week),"YES","")</f>
        <v>YES</v>
      </c>
    </row>
    <row r="1749" customFormat="false" ht="15" hidden="false" customHeight="false" outlineLevel="0" collapsed="false">
      <c r="A1749" s="31" t="str">
        <f aca="false">Demand_History!C1749</f>
        <v>BTH-007</v>
      </c>
      <c r="B1749" s="31" t="n">
        <f aca="false">Demand_History!A1749</f>
        <v>84</v>
      </c>
      <c r="C1749" s="32" t="n">
        <f aca="false">Demand_History!D1749</f>
        <v>57</v>
      </c>
      <c r="D1749" s="33" t="n">
        <f aca="false">IF(B1749&gt;=2,C1748,"")</f>
        <v>40</v>
      </c>
      <c r="E1749" s="33" t="n">
        <f aca="false">IF(B1749&gt;=5,AVERAGE(C1745:C1748),"")</f>
        <v>44.75</v>
      </c>
      <c r="F1749" s="33" t="n">
        <f aca="false">IF(B1749&gt;=9,AVERAGE(C1741:C1748),"")</f>
        <v>50.5</v>
      </c>
      <c r="G1749" s="33" t="n">
        <f aca="false">IF(B1749=1,"",IF(B1749=2,C1748,SES_Alpha*C1748+(1-SES_Alpha)*G1748))</f>
        <v>47.0981661928448</v>
      </c>
      <c r="H1749" s="33" t="n">
        <f aca="false">IF(D1749="","",D1749-C1749)</f>
        <v>-17</v>
      </c>
      <c r="I1749" s="33" t="n">
        <f aca="false">IF(E1749="","",E1749-C1749)</f>
        <v>-12.25</v>
      </c>
      <c r="J1749" s="33" t="n">
        <f aca="false">IF(F1749="","",F1749-C1749)</f>
        <v>-6.5</v>
      </c>
      <c r="K1749" s="33" t="n">
        <f aca="false">IF(G1749="","",G1749-C1749)</f>
        <v>-9.90183380715516</v>
      </c>
      <c r="L1749" s="33" t="n">
        <f aca="false">IF(H1749="","",ABS(H1749))</f>
        <v>17</v>
      </c>
      <c r="M1749" s="33" t="n">
        <f aca="false">IF(I1749="","",ABS(I1749))</f>
        <v>12.25</v>
      </c>
      <c r="N1749" s="33" t="n">
        <f aca="false">IF(J1749="","",ABS(J1749))</f>
        <v>6.5</v>
      </c>
      <c r="O1749" s="33" t="n">
        <f aca="false">IF(K1749="","",ABS(K1749))</f>
        <v>9.90183380715516</v>
      </c>
      <c r="P1749" s="34" t="str">
        <f aca="false">IF(B1749&gt;=Eval_Start_Week,"YES","")</f>
        <v>YES</v>
      </c>
      <c r="Q1749" s="34" t="str">
        <f aca="false">IF(AND(B1749&gt;=Cal_Start_Week,B1749&lt;=Cal_End_Week),"YES","")</f>
        <v>YES</v>
      </c>
    </row>
    <row r="1750" customFormat="false" ht="15" hidden="false" customHeight="false" outlineLevel="0" collapsed="false">
      <c r="A1750" s="31" t="str">
        <f aca="false">Demand_History!C1750</f>
        <v>BTH-007</v>
      </c>
      <c r="B1750" s="31" t="n">
        <f aca="false">Demand_History!A1750</f>
        <v>85</v>
      </c>
      <c r="C1750" s="32" t="n">
        <f aca="false">Demand_History!D1750</f>
        <v>57</v>
      </c>
      <c r="D1750" s="33" t="n">
        <f aca="false">IF(B1750&gt;=2,C1749,"")</f>
        <v>57</v>
      </c>
      <c r="E1750" s="33" t="n">
        <f aca="false">IF(B1750&gt;=5,AVERAGE(C1746:C1749),"")</f>
        <v>46.75</v>
      </c>
      <c r="F1750" s="33" t="n">
        <f aca="false">IF(B1750&gt;=9,AVERAGE(C1742:C1749),"")</f>
        <v>50.625</v>
      </c>
      <c r="G1750" s="33" t="n">
        <f aca="false">IF(B1750=1,"",IF(B1750=2,C1749,SES_Alpha*C1749+(1-SES_Alpha)*G1749))</f>
        <v>50.0687163349914</v>
      </c>
      <c r="H1750" s="33" t="n">
        <f aca="false">IF(D1750="","",D1750-C1750)</f>
        <v>0</v>
      </c>
      <c r="I1750" s="33" t="n">
        <f aca="false">IF(E1750="","",E1750-C1750)</f>
        <v>-10.25</v>
      </c>
      <c r="J1750" s="33" t="n">
        <f aca="false">IF(F1750="","",F1750-C1750)</f>
        <v>-6.375</v>
      </c>
      <c r="K1750" s="33" t="n">
        <f aca="false">IF(G1750="","",G1750-C1750)</f>
        <v>-6.93128366500861</v>
      </c>
      <c r="L1750" s="33" t="n">
        <f aca="false">IF(H1750="","",ABS(H1750))</f>
        <v>0</v>
      </c>
      <c r="M1750" s="33" t="n">
        <f aca="false">IF(I1750="","",ABS(I1750))</f>
        <v>10.25</v>
      </c>
      <c r="N1750" s="33" t="n">
        <f aca="false">IF(J1750="","",ABS(J1750))</f>
        <v>6.375</v>
      </c>
      <c r="O1750" s="33" t="n">
        <f aca="false">IF(K1750="","",ABS(K1750))</f>
        <v>6.93128366500861</v>
      </c>
      <c r="P1750" s="34" t="str">
        <f aca="false">IF(B1750&gt;=Eval_Start_Week,"YES","")</f>
        <v>YES</v>
      </c>
      <c r="Q1750" s="34" t="str">
        <f aca="false">IF(AND(B1750&gt;=Cal_Start_Week,B1750&lt;=Cal_End_Week),"YES","")</f>
        <v>YES</v>
      </c>
    </row>
    <row r="1751" customFormat="false" ht="15" hidden="false" customHeight="false" outlineLevel="0" collapsed="false">
      <c r="A1751" s="31" t="str">
        <f aca="false">Demand_History!C1751</f>
        <v>BTH-007</v>
      </c>
      <c r="B1751" s="31" t="n">
        <f aca="false">Demand_History!A1751</f>
        <v>86</v>
      </c>
      <c r="C1751" s="32" t="n">
        <f aca="false">Demand_History!D1751</f>
        <v>44</v>
      </c>
      <c r="D1751" s="33" t="n">
        <f aca="false">IF(B1751&gt;=2,C1750,"")</f>
        <v>57</v>
      </c>
      <c r="E1751" s="33" t="n">
        <f aca="false">IF(B1751&gt;=5,AVERAGE(C1747:C1750),"")</f>
        <v>51.25</v>
      </c>
      <c r="F1751" s="33" t="n">
        <f aca="false">IF(B1751&gt;=9,AVERAGE(C1743:C1750),"")</f>
        <v>50.75</v>
      </c>
      <c r="G1751" s="33" t="n">
        <f aca="false">IF(B1751=1,"",IF(B1751=2,C1750,SES_Alpha*C1750+(1-SES_Alpha)*G1750))</f>
        <v>52.148101434494</v>
      </c>
      <c r="H1751" s="33" t="n">
        <f aca="false">IF(D1751="","",D1751-C1751)</f>
        <v>13</v>
      </c>
      <c r="I1751" s="33" t="n">
        <f aca="false">IF(E1751="","",E1751-C1751)</f>
        <v>7.25</v>
      </c>
      <c r="J1751" s="33" t="n">
        <f aca="false">IF(F1751="","",F1751-C1751)</f>
        <v>6.75</v>
      </c>
      <c r="K1751" s="33" t="n">
        <f aca="false">IF(G1751="","",G1751-C1751)</f>
        <v>8.14810143449397</v>
      </c>
      <c r="L1751" s="33" t="n">
        <f aca="false">IF(H1751="","",ABS(H1751))</f>
        <v>13</v>
      </c>
      <c r="M1751" s="33" t="n">
        <f aca="false">IF(I1751="","",ABS(I1751))</f>
        <v>7.25</v>
      </c>
      <c r="N1751" s="33" t="n">
        <f aca="false">IF(J1751="","",ABS(J1751))</f>
        <v>6.75</v>
      </c>
      <c r="O1751" s="33" t="n">
        <f aca="false">IF(K1751="","",ABS(K1751))</f>
        <v>8.14810143449397</v>
      </c>
      <c r="P1751" s="34" t="str">
        <f aca="false">IF(B1751&gt;=Eval_Start_Week,"YES","")</f>
        <v>YES</v>
      </c>
      <c r="Q1751" s="34" t="str">
        <f aca="false">IF(AND(B1751&gt;=Cal_Start_Week,B1751&lt;=Cal_End_Week),"YES","")</f>
        <v>YES</v>
      </c>
    </row>
    <row r="1752" customFormat="false" ht="15" hidden="false" customHeight="false" outlineLevel="0" collapsed="false">
      <c r="A1752" s="31" t="str">
        <f aca="false">Demand_History!C1752</f>
        <v>BTH-007</v>
      </c>
      <c r="B1752" s="31" t="n">
        <f aca="false">Demand_History!A1752</f>
        <v>87</v>
      </c>
      <c r="C1752" s="32" t="n">
        <f aca="false">Demand_History!D1752</f>
        <v>63</v>
      </c>
      <c r="D1752" s="33" t="n">
        <f aca="false">IF(B1752&gt;=2,C1751,"")</f>
        <v>44</v>
      </c>
      <c r="E1752" s="33" t="n">
        <f aca="false">IF(B1752&gt;=5,AVERAGE(C1748:C1751),"")</f>
        <v>49.5</v>
      </c>
      <c r="F1752" s="33" t="n">
        <f aca="false">IF(B1752&gt;=9,AVERAGE(C1744:C1751),"")</f>
        <v>49.125</v>
      </c>
      <c r="G1752" s="33" t="n">
        <f aca="false">IF(B1752=1,"",IF(B1752=2,C1751,SES_Alpha*C1751+(1-SES_Alpha)*G1751))</f>
        <v>49.7036710041458</v>
      </c>
      <c r="H1752" s="33" t="n">
        <f aca="false">IF(D1752="","",D1752-C1752)</f>
        <v>-19</v>
      </c>
      <c r="I1752" s="33" t="n">
        <f aca="false">IF(E1752="","",E1752-C1752)</f>
        <v>-13.5</v>
      </c>
      <c r="J1752" s="33" t="n">
        <f aca="false">IF(F1752="","",F1752-C1752)</f>
        <v>-13.875</v>
      </c>
      <c r="K1752" s="33" t="n">
        <f aca="false">IF(G1752="","",G1752-C1752)</f>
        <v>-13.2963289958542</v>
      </c>
      <c r="L1752" s="33" t="n">
        <f aca="false">IF(H1752="","",ABS(H1752))</f>
        <v>19</v>
      </c>
      <c r="M1752" s="33" t="n">
        <f aca="false">IF(I1752="","",ABS(I1752))</f>
        <v>13.5</v>
      </c>
      <c r="N1752" s="33" t="n">
        <f aca="false">IF(J1752="","",ABS(J1752))</f>
        <v>13.875</v>
      </c>
      <c r="O1752" s="33" t="n">
        <f aca="false">IF(K1752="","",ABS(K1752))</f>
        <v>13.2963289958542</v>
      </c>
      <c r="P1752" s="34" t="str">
        <f aca="false">IF(B1752&gt;=Eval_Start_Week,"YES","")</f>
        <v>YES</v>
      </c>
      <c r="Q1752" s="34" t="str">
        <f aca="false">IF(AND(B1752&gt;=Cal_Start_Week,B1752&lt;=Cal_End_Week),"YES","")</f>
        <v>YES</v>
      </c>
    </row>
    <row r="1753" customFormat="false" ht="15" hidden="false" customHeight="false" outlineLevel="0" collapsed="false">
      <c r="A1753" s="31" t="str">
        <f aca="false">Demand_History!C1753</f>
        <v>BTH-007</v>
      </c>
      <c r="B1753" s="31" t="n">
        <f aca="false">Demand_History!A1753</f>
        <v>88</v>
      </c>
      <c r="C1753" s="32" t="n">
        <f aca="false">Demand_History!D1753</f>
        <v>65</v>
      </c>
      <c r="D1753" s="33" t="n">
        <f aca="false">IF(B1753&gt;=2,C1752,"")</f>
        <v>63</v>
      </c>
      <c r="E1753" s="33" t="n">
        <f aca="false">IF(B1753&gt;=5,AVERAGE(C1749:C1752),"")</f>
        <v>55.25</v>
      </c>
      <c r="F1753" s="33" t="n">
        <f aca="false">IF(B1753&gt;=9,AVERAGE(C1745:C1752),"")</f>
        <v>50</v>
      </c>
      <c r="G1753" s="33" t="n">
        <f aca="false">IF(B1753=1,"",IF(B1753=2,C1752,SES_Alpha*C1752+(1-SES_Alpha)*G1752))</f>
        <v>53.692569702902</v>
      </c>
      <c r="H1753" s="33" t="n">
        <f aca="false">IF(D1753="","",D1753-C1753)</f>
        <v>-2</v>
      </c>
      <c r="I1753" s="33" t="n">
        <f aca="false">IF(E1753="","",E1753-C1753)</f>
        <v>-9.75</v>
      </c>
      <c r="J1753" s="33" t="n">
        <f aca="false">IF(F1753="","",F1753-C1753)</f>
        <v>-15</v>
      </c>
      <c r="K1753" s="33" t="n">
        <f aca="false">IF(G1753="","",G1753-C1753)</f>
        <v>-11.307430297098</v>
      </c>
      <c r="L1753" s="33" t="n">
        <f aca="false">IF(H1753="","",ABS(H1753))</f>
        <v>2</v>
      </c>
      <c r="M1753" s="33" t="n">
        <f aca="false">IF(I1753="","",ABS(I1753))</f>
        <v>9.75</v>
      </c>
      <c r="N1753" s="33" t="n">
        <f aca="false">IF(J1753="","",ABS(J1753))</f>
        <v>15</v>
      </c>
      <c r="O1753" s="33" t="n">
        <f aca="false">IF(K1753="","",ABS(K1753))</f>
        <v>11.307430297098</v>
      </c>
      <c r="P1753" s="34" t="str">
        <f aca="false">IF(B1753&gt;=Eval_Start_Week,"YES","")</f>
        <v>YES</v>
      </c>
      <c r="Q1753" s="34" t="str">
        <f aca="false">IF(AND(B1753&gt;=Cal_Start_Week,B1753&lt;=Cal_End_Week),"YES","")</f>
        <v>YES</v>
      </c>
    </row>
    <row r="1754" customFormat="false" ht="15" hidden="false" customHeight="false" outlineLevel="0" collapsed="false">
      <c r="A1754" s="31" t="str">
        <f aca="false">Demand_History!C1754</f>
        <v>BTH-007</v>
      </c>
      <c r="B1754" s="31" t="n">
        <f aca="false">Demand_History!A1754</f>
        <v>89</v>
      </c>
      <c r="C1754" s="32" t="n">
        <f aca="false">Demand_History!D1754</f>
        <v>59</v>
      </c>
      <c r="D1754" s="33" t="n">
        <f aca="false">IF(B1754&gt;=2,C1753,"")</f>
        <v>65</v>
      </c>
      <c r="E1754" s="33" t="n">
        <f aca="false">IF(B1754&gt;=5,AVERAGE(C1750:C1753),"")</f>
        <v>57.25</v>
      </c>
      <c r="F1754" s="33" t="n">
        <f aca="false">IF(B1754&gt;=9,AVERAGE(C1746:C1753),"")</f>
        <v>52</v>
      </c>
      <c r="G1754" s="33" t="n">
        <f aca="false">IF(B1754=1,"",IF(B1754=2,C1753,SES_Alpha*C1753+(1-SES_Alpha)*G1753))</f>
        <v>57.0847987920314</v>
      </c>
      <c r="H1754" s="33" t="n">
        <f aca="false">IF(D1754="","",D1754-C1754)</f>
        <v>6</v>
      </c>
      <c r="I1754" s="33" t="n">
        <f aca="false">IF(E1754="","",E1754-C1754)</f>
        <v>-1.75</v>
      </c>
      <c r="J1754" s="33" t="n">
        <f aca="false">IF(F1754="","",F1754-C1754)</f>
        <v>-7</v>
      </c>
      <c r="K1754" s="33" t="n">
        <f aca="false">IF(G1754="","",G1754-C1754)</f>
        <v>-1.91520120796857</v>
      </c>
      <c r="L1754" s="33" t="n">
        <f aca="false">IF(H1754="","",ABS(H1754))</f>
        <v>6</v>
      </c>
      <c r="M1754" s="33" t="n">
        <f aca="false">IF(I1754="","",ABS(I1754))</f>
        <v>1.75</v>
      </c>
      <c r="N1754" s="33" t="n">
        <f aca="false">IF(J1754="","",ABS(J1754))</f>
        <v>7</v>
      </c>
      <c r="O1754" s="33" t="n">
        <f aca="false">IF(K1754="","",ABS(K1754))</f>
        <v>1.91520120796857</v>
      </c>
      <c r="P1754" s="34" t="str">
        <f aca="false">IF(B1754&gt;=Eval_Start_Week,"YES","")</f>
        <v>YES</v>
      </c>
      <c r="Q1754" s="34" t="str">
        <f aca="false">IF(AND(B1754&gt;=Cal_Start_Week,B1754&lt;=Cal_End_Week),"YES","")</f>
        <v/>
      </c>
    </row>
    <row r="1755" customFormat="false" ht="15" hidden="false" customHeight="false" outlineLevel="0" collapsed="false">
      <c r="A1755" s="31" t="str">
        <f aca="false">Demand_History!C1755</f>
        <v>BTH-007</v>
      </c>
      <c r="B1755" s="31" t="n">
        <f aca="false">Demand_History!A1755</f>
        <v>90</v>
      </c>
      <c r="C1755" s="32" t="n">
        <f aca="false">Demand_History!D1755</f>
        <v>72</v>
      </c>
      <c r="D1755" s="33" t="n">
        <f aca="false">IF(B1755&gt;=2,C1754,"")</f>
        <v>59</v>
      </c>
      <c r="E1755" s="33" t="n">
        <f aca="false">IF(B1755&gt;=5,AVERAGE(C1751:C1754),"")</f>
        <v>57.75</v>
      </c>
      <c r="F1755" s="33" t="n">
        <f aca="false">IF(B1755&gt;=9,AVERAGE(C1747:C1754),"")</f>
        <v>54.5</v>
      </c>
      <c r="G1755" s="33" t="n">
        <f aca="false">IF(B1755=1,"",IF(B1755=2,C1754,SES_Alpha*C1754+(1-SES_Alpha)*G1754))</f>
        <v>57.659359154422</v>
      </c>
      <c r="H1755" s="33" t="n">
        <f aca="false">IF(D1755="","",D1755-C1755)</f>
        <v>-13</v>
      </c>
      <c r="I1755" s="33" t="n">
        <f aca="false">IF(E1755="","",E1755-C1755)</f>
        <v>-14.25</v>
      </c>
      <c r="J1755" s="33" t="n">
        <f aca="false">IF(F1755="","",F1755-C1755)</f>
        <v>-17.5</v>
      </c>
      <c r="K1755" s="33" t="n">
        <f aca="false">IF(G1755="","",G1755-C1755)</f>
        <v>-14.340640845578</v>
      </c>
      <c r="L1755" s="33" t="n">
        <f aca="false">IF(H1755="","",ABS(H1755))</f>
        <v>13</v>
      </c>
      <c r="M1755" s="33" t="n">
        <f aca="false">IF(I1755="","",ABS(I1755))</f>
        <v>14.25</v>
      </c>
      <c r="N1755" s="33" t="n">
        <f aca="false">IF(J1755="","",ABS(J1755))</f>
        <v>17.5</v>
      </c>
      <c r="O1755" s="33" t="n">
        <f aca="false">IF(K1755="","",ABS(K1755))</f>
        <v>14.340640845578</v>
      </c>
      <c r="P1755" s="34" t="str">
        <f aca="false">IF(B1755&gt;=Eval_Start_Week,"YES","")</f>
        <v>YES</v>
      </c>
      <c r="Q1755" s="34" t="str">
        <f aca="false">IF(AND(B1755&gt;=Cal_Start_Week,B1755&lt;=Cal_End_Week),"YES","")</f>
        <v/>
      </c>
    </row>
    <row r="1756" customFormat="false" ht="15" hidden="false" customHeight="false" outlineLevel="0" collapsed="false">
      <c r="A1756" s="31" t="str">
        <f aca="false">Demand_History!C1756</f>
        <v>BTH-007</v>
      </c>
      <c r="B1756" s="31" t="n">
        <f aca="false">Demand_History!A1756</f>
        <v>91</v>
      </c>
      <c r="C1756" s="32" t="n">
        <f aca="false">Demand_History!D1756</f>
        <v>74</v>
      </c>
      <c r="D1756" s="33" t="n">
        <f aca="false">IF(B1756&gt;=2,C1755,"")</f>
        <v>72</v>
      </c>
      <c r="E1756" s="33" t="n">
        <f aca="false">IF(B1756&gt;=5,AVERAGE(C1752:C1755),"")</f>
        <v>64.75</v>
      </c>
      <c r="F1756" s="33" t="n">
        <f aca="false">IF(B1756&gt;=9,AVERAGE(C1748:C1755),"")</f>
        <v>57.125</v>
      </c>
      <c r="G1756" s="33" t="n">
        <f aca="false">IF(B1756=1,"",IF(B1756=2,C1755,SES_Alpha*C1755+(1-SES_Alpha)*G1755))</f>
        <v>61.9615514080954</v>
      </c>
      <c r="H1756" s="33" t="n">
        <f aca="false">IF(D1756="","",D1756-C1756)</f>
        <v>-2</v>
      </c>
      <c r="I1756" s="33" t="n">
        <f aca="false">IF(E1756="","",E1756-C1756)</f>
        <v>-9.25</v>
      </c>
      <c r="J1756" s="33" t="n">
        <f aca="false">IF(F1756="","",F1756-C1756)</f>
        <v>-16.875</v>
      </c>
      <c r="K1756" s="33" t="n">
        <f aca="false">IF(G1756="","",G1756-C1756)</f>
        <v>-12.0384485919046</v>
      </c>
      <c r="L1756" s="33" t="n">
        <f aca="false">IF(H1756="","",ABS(H1756))</f>
        <v>2</v>
      </c>
      <c r="M1756" s="33" t="n">
        <f aca="false">IF(I1756="","",ABS(I1756))</f>
        <v>9.25</v>
      </c>
      <c r="N1756" s="33" t="n">
        <f aca="false">IF(J1756="","",ABS(J1756))</f>
        <v>16.875</v>
      </c>
      <c r="O1756" s="33" t="n">
        <f aca="false">IF(K1756="","",ABS(K1756))</f>
        <v>12.0384485919046</v>
      </c>
      <c r="P1756" s="34" t="str">
        <f aca="false">IF(B1756&gt;=Eval_Start_Week,"YES","")</f>
        <v>YES</v>
      </c>
      <c r="Q1756" s="34" t="str">
        <f aca="false">IF(AND(B1756&gt;=Cal_Start_Week,B1756&lt;=Cal_End_Week),"YES","")</f>
        <v/>
      </c>
    </row>
    <row r="1757" customFormat="false" ht="15" hidden="false" customHeight="false" outlineLevel="0" collapsed="false">
      <c r="A1757" s="31" t="str">
        <f aca="false">Demand_History!C1757</f>
        <v>BTH-007</v>
      </c>
      <c r="B1757" s="31" t="n">
        <f aca="false">Demand_History!A1757</f>
        <v>92</v>
      </c>
      <c r="C1757" s="32" t="n">
        <f aca="false">Demand_History!D1757</f>
        <v>49</v>
      </c>
      <c r="D1757" s="33" t="n">
        <f aca="false">IF(B1757&gt;=2,C1756,"")</f>
        <v>74</v>
      </c>
      <c r="E1757" s="33" t="n">
        <f aca="false">IF(B1757&gt;=5,AVERAGE(C1753:C1756),"")</f>
        <v>67.5</v>
      </c>
      <c r="F1757" s="33" t="n">
        <f aca="false">IF(B1757&gt;=9,AVERAGE(C1749:C1756),"")</f>
        <v>61.375</v>
      </c>
      <c r="G1757" s="33" t="n">
        <f aca="false">IF(B1757=1,"",IF(B1757=2,C1756,SES_Alpha*C1756+(1-SES_Alpha)*G1756))</f>
        <v>65.5730859856668</v>
      </c>
      <c r="H1757" s="33" t="n">
        <f aca="false">IF(D1757="","",D1757-C1757)</f>
        <v>25</v>
      </c>
      <c r="I1757" s="33" t="n">
        <f aca="false">IF(E1757="","",E1757-C1757)</f>
        <v>18.5</v>
      </c>
      <c r="J1757" s="33" t="n">
        <f aca="false">IF(F1757="","",F1757-C1757)</f>
        <v>12.375</v>
      </c>
      <c r="K1757" s="33" t="n">
        <f aca="false">IF(G1757="","",G1757-C1757)</f>
        <v>16.5730859856668</v>
      </c>
      <c r="L1757" s="33" t="n">
        <f aca="false">IF(H1757="","",ABS(H1757))</f>
        <v>25</v>
      </c>
      <c r="M1757" s="33" t="n">
        <f aca="false">IF(I1757="","",ABS(I1757))</f>
        <v>18.5</v>
      </c>
      <c r="N1757" s="33" t="n">
        <f aca="false">IF(J1757="","",ABS(J1757))</f>
        <v>12.375</v>
      </c>
      <c r="O1757" s="33" t="n">
        <f aca="false">IF(K1757="","",ABS(K1757))</f>
        <v>16.5730859856668</v>
      </c>
      <c r="P1757" s="34" t="str">
        <f aca="false">IF(B1757&gt;=Eval_Start_Week,"YES","")</f>
        <v>YES</v>
      </c>
      <c r="Q1757" s="34" t="str">
        <f aca="false">IF(AND(B1757&gt;=Cal_Start_Week,B1757&lt;=Cal_End_Week),"YES","")</f>
        <v/>
      </c>
    </row>
    <row r="1758" customFormat="false" ht="15" hidden="false" customHeight="false" outlineLevel="0" collapsed="false">
      <c r="A1758" s="31" t="str">
        <f aca="false">Demand_History!C1758</f>
        <v>BTH-007</v>
      </c>
      <c r="B1758" s="31" t="n">
        <f aca="false">Demand_History!A1758</f>
        <v>93</v>
      </c>
      <c r="C1758" s="32" t="n">
        <f aca="false">Demand_History!D1758</f>
        <v>68</v>
      </c>
      <c r="D1758" s="33" t="n">
        <f aca="false">IF(B1758&gt;=2,C1757,"")</f>
        <v>49</v>
      </c>
      <c r="E1758" s="33" t="n">
        <f aca="false">IF(B1758&gt;=5,AVERAGE(C1754:C1757),"")</f>
        <v>63.5</v>
      </c>
      <c r="F1758" s="33" t="n">
        <f aca="false">IF(B1758&gt;=9,AVERAGE(C1750:C1757),"")</f>
        <v>60.375</v>
      </c>
      <c r="G1758" s="33" t="n">
        <f aca="false">IF(B1758=1,"",IF(B1758=2,C1757,SES_Alpha*C1757+(1-SES_Alpha)*G1757))</f>
        <v>60.6011601899667</v>
      </c>
      <c r="H1758" s="33" t="n">
        <f aca="false">IF(D1758="","",D1758-C1758)</f>
        <v>-19</v>
      </c>
      <c r="I1758" s="33" t="n">
        <f aca="false">IF(E1758="","",E1758-C1758)</f>
        <v>-4.5</v>
      </c>
      <c r="J1758" s="33" t="n">
        <f aca="false">IF(F1758="","",F1758-C1758)</f>
        <v>-7.625</v>
      </c>
      <c r="K1758" s="33" t="n">
        <f aca="false">IF(G1758="","",G1758-C1758)</f>
        <v>-7.39883981003327</v>
      </c>
      <c r="L1758" s="33" t="n">
        <f aca="false">IF(H1758="","",ABS(H1758))</f>
        <v>19</v>
      </c>
      <c r="M1758" s="33" t="n">
        <f aca="false">IF(I1758="","",ABS(I1758))</f>
        <v>4.5</v>
      </c>
      <c r="N1758" s="33" t="n">
        <f aca="false">IF(J1758="","",ABS(J1758))</f>
        <v>7.625</v>
      </c>
      <c r="O1758" s="33" t="n">
        <f aca="false">IF(K1758="","",ABS(K1758))</f>
        <v>7.39883981003327</v>
      </c>
      <c r="P1758" s="34" t="str">
        <f aca="false">IF(B1758&gt;=Eval_Start_Week,"YES","")</f>
        <v>YES</v>
      </c>
      <c r="Q1758" s="34" t="str">
        <f aca="false">IF(AND(B1758&gt;=Cal_Start_Week,B1758&lt;=Cal_End_Week),"YES","")</f>
        <v/>
      </c>
    </row>
    <row r="1759" customFormat="false" ht="15" hidden="false" customHeight="false" outlineLevel="0" collapsed="false">
      <c r="A1759" s="31" t="str">
        <f aca="false">Demand_History!C1759</f>
        <v>BTH-007</v>
      </c>
      <c r="B1759" s="31" t="n">
        <f aca="false">Demand_History!A1759</f>
        <v>94</v>
      </c>
      <c r="C1759" s="32" t="n">
        <f aca="false">Demand_History!D1759</f>
        <v>63</v>
      </c>
      <c r="D1759" s="33" t="n">
        <f aca="false">IF(B1759&gt;=2,C1758,"")</f>
        <v>68</v>
      </c>
      <c r="E1759" s="33" t="n">
        <f aca="false">IF(B1759&gt;=5,AVERAGE(C1755:C1758),"")</f>
        <v>65.75</v>
      </c>
      <c r="F1759" s="33" t="n">
        <f aca="false">IF(B1759&gt;=9,AVERAGE(C1751:C1758),"")</f>
        <v>61.75</v>
      </c>
      <c r="G1759" s="33" t="n">
        <f aca="false">IF(B1759=1,"",IF(B1759=2,C1758,SES_Alpha*C1758+(1-SES_Alpha)*G1758))</f>
        <v>62.8208121329767</v>
      </c>
      <c r="H1759" s="33" t="n">
        <f aca="false">IF(D1759="","",D1759-C1759)</f>
        <v>5</v>
      </c>
      <c r="I1759" s="33" t="n">
        <f aca="false">IF(E1759="","",E1759-C1759)</f>
        <v>2.75</v>
      </c>
      <c r="J1759" s="33" t="n">
        <f aca="false">IF(F1759="","",F1759-C1759)</f>
        <v>-1.25</v>
      </c>
      <c r="K1759" s="33" t="n">
        <f aca="false">IF(G1759="","",G1759-C1759)</f>
        <v>-0.179187867023288</v>
      </c>
      <c r="L1759" s="33" t="n">
        <f aca="false">IF(H1759="","",ABS(H1759))</f>
        <v>5</v>
      </c>
      <c r="M1759" s="33" t="n">
        <f aca="false">IF(I1759="","",ABS(I1759))</f>
        <v>2.75</v>
      </c>
      <c r="N1759" s="33" t="n">
        <f aca="false">IF(J1759="","",ABS(J1759))</f>
        <v>1.25</v>
      </c>
      <c r="O1759" s="33" t="n">
        <f aca="false">IF(K1759="","",ABS(K1759))</f>
        <v>0.179187867023288</v>
      </c>
      <c r="P1759" s="34" t="str">
        <f aca="false">IF(B1759&gt;=Eval_Start_Week,"YES","")</f>
        <v>YES</v>
      </c>
      <c r="Q1759" s="34" t="str">
        <f aca="false">IF(AND(B1759&gt;=Cal_Start_Week,B1759&lt;=Cal_End_Week),"YES","")</f>
        <v/>
      </c>
    </row>
    <row r="1760" customFormat="false" ht="15" hidden="false" customHeight="false" outlineLevel="0" collapsed="false">
      <c r="A1760" s="31" t="str">
        <f aca="false">Demand_History!C1760</f>
        <v>BTH-007</v>
      </c>
      <c r="B1760" s="31" t="n">
        <f aca="false">Demand_History!A1760</f>
        <v>95</v>
      </c>
      <c r="C1760" s="32" t="n">
        <f aca="false">Demand_History!D1760</f>
        <v>64</v>
      </c>
      <c r="D1760" s="33" t="n">
        <f aca="false">IF(B1760&gt;=2,C1759,"")</f>
        <v>63</v>
      </c>
      <c r="E1760" s="33" t="n">
        <f aca="false">IF(B1760&gt;=5,AVERAGE(C1756:C1759),"")</f>
        <v>63.5</v>
      </c>
      <c r="F1760" s="33" t="n">
        <f aca="false">IF(B1760&gt;=9,AVERAGE(C1752:C1759),"")</f>
        <v>64.125</v>
      </c>
      <c r="G1760" s="33" t="n">
        <f aca="false">IF(B1760=1,"",IF(B1760=2,C1759,SES_Alpha*C1759+(1-SES_Alpha)*G1759))</f>
        <v>62.8745684930837</v>
      </c>
      <c r="H1760" s="33" t="n">
        <f aca="false">IF(D1760="","",D1760-C1760)</f>
        <v>-1</v>
      </c>
      <c r="I1760" s="33" t="n">
        <f aca="false">IF(E1760="","",E1760-C1760)</f>
        <v>-0.5</v>
      </c>
      <c r="J1760" s="33" t="n">
        <f aca="false">IF(F1760="","",F1760-C1760)</f>
        <v>0.125</v>
      </c>
      <c r="K1760" s="33" t="n">
        <f aca="false">IF(G1760="","",G1760-C1760)</f>
        <v>-1.12543150691631</v>
      </c>
      <c r="L1760" s="33" t="n">
        <f aca="false">IF(H1760="","",ABS(H1760))</f>
        <v>1</v>
      </c>
      <c r="M1760" s="33" t="n">
        <f aca="false">IF(I1760="","",ABS(I1760))</f>
        <v>0.5</v>
      </c>
      <c r="N1760" s="33" t="n">
        <f aca="false">IF(J1760="","",ABS(J1760))</f>
        <v>0.125</v>
      </c>
      <c r="O1760" s="33" t="n">
        <f aca="false">IF(K1760="","",ABS(K1760))</f>
        <v>1.12543150691631</v>
      </c>
      <c r="P1760" s="34" t="str">
        <f aca="false">IF(B1760&gt;=Eval_Start_Week,"YES","")</f>
        <v>YES</v>
      </c>
      <c r="Q1760" s="34" t="str">
        <f aca="false">IF(AND(B1760&gt;=Cal_Start_Week,B1760&lt;=Cal_End_Week),"YES","")</f>
        <v/>
      </c>
    </row>
    <row r="1761" customFormat="false" ht="15" hidden="false" customHeight="false" outlineLevel="0" collapsed="false">
      <c r="A1761" s="31" t="str">
        <f aca="false">Demand_History!C1761</f>
        <v>BTH-007</v>
      </c>
      <c r="B1761" s="31" t="n">
        <f aca="false">Demand_History!A1761</f>
        <v>96</v>
      </c>
      <c r="C1761" s="32" t="n">
        <f aca="false">Demand_History!D1761</f>
        <v>68</v>
      </c>
      <c r="D1761" s="33" t="n">
        <f aca="false">IF(B1761&gt;=2,C1760,"")</f>
        <v>64</v>
      </c>
      <c r="E1761" s="33" t="n">
        <f aca="false">IF(B1761&gt;=5,AVERAGE(C1757:C1760),"")</f>
        <v>61</v>
      </c>
      <c r="F1761" s="33" t="n">
        <f aca="false">IF(B1761&gt;=9,AVERAGE(C1753:C1760),"")</f>
        <v>64.25</v>
      </c>
      <c r="G1761" s="33" t="n">
        <f aca="false">IF(B1761=1,"",IF(B1761=2,C1760,SES_Alpha*C1760+(1-SES_Alpha)*G1760))</f>
        <v>63.2121979451586</v>
      </c>
      <c r="H1761" s="33" t="n">
        <f aca="false">IF(D1761="","",D1761-C1761)</f>
        <v>-4</v>
      </c>
      <c r="I1761" s="33" t="n">
        <f aca="false">IF(E1761="","",E1761-C1761)</f>
        <v>-7</v>
      </c>
      <c r="J1761" s="33" t="n">
        <f aca="false">IF(F1761="","",F1761-C1761)</f>
        <v>-3.75</v>
      </c>
      <c r="K1761" s="33" t="n">
        <f aca="false">IF(G1761="","",G1761-C1761)</f>
        <v>-4.78780205484142</v>
      </c>
      <c r="L1761" s="33" t="n">
        <f aca="false">IF(H1761="","",ABS(H1761))</f>
        <v>4</v>
      </c>
      <c r="M1761" s="33" t="n">
        <f aca="false">IF(I1761="","",ABS(I1761))</f>
        <v>7</v>
      </c>
      <c r="N1761" s="33" t="n">
        <f aca="false">IF(J1761="","",ABS(J1761))</f>
        <v>3.75</v>
      </c>
      <c r="O1761" s="33" t="n">
        <f aca="false">IF(K1761="","",ABS(K1761))</f>
        <v>4.78780205484142</v>
      </c>
      <c r="P1761" s="34" t="str">
        <f aca="false">IF(B1761&gt;=Eval_Start_Week,"YES","")</f>
        <v>YES</v>
      </c>
      <c r="Q1761" s="34" t="str">
        <f aca="false">IF(AND(B1761&gt;=Cal_Start_Week,B1761&lt;=Cal_End_Week),"YES","")</f>
        <v/>
      </c>
    </row>
    <row r="1762" customFormat="false" ht="15" hidden="false" customHeight="false" outlineLevel="0" collapsed="false">
      <c r="A1762" s="31" t="str">
        <f aca="false">Demand_History!C1762</f>
        <v>BTH-007</v>
      </c>
      <c r="B1762" s="31" t="n">
        <f aca="false">Demand_History!A1762</f>
        <v>97</v>
      </c>
      <c r="C1762" s="32" t="n">
        <f aca="false">Demand_History!D1762</f>
        <v>55</v>
      </c>
      <c r="D1762" s="33" t="n">
        <f aca="false">IF(B1762&gt;=2,C1761,"")</f>
        <v>68</v>
      </c>
      <c r="E1762" s="33" t="n">
        <f aca="false">IF(B1762&gt;=5,AVERAGE(C1758:C1761),"")</f>
        <v>65.75</v>
      </c>
      <c r="F1762" s="33" t="n">
        <f aca="false">IF(B1762&gt;=9,AVERAGE(C1754:C1761),"")</f>
        <v>64.625</v>
      </c>
      <c r="G1762" s="33" t="n">
        <f aca="false">IF(B1762=1,"",IF(B1762=2,C1761,SES_Alpha*C1761+(1-SES_Alpha)*G1761))</f>
        <v>64.648538561611</v>
      </c>
      <c r="H1762" s="33" t="n">
        <f aca="false">IF(D1762="","",D1762-C1762)</f>
        <v>13</v>
      </c>
      <c r="I1762" s="33" t="n">
        <f aca="false">IF(E1762="","",E1762-C1762)</f>
        <v>10.75</v>
      </c>
      <c r="J1762" s="33" t="n">
        <f aca="false">IF(F1762="","",F1762-C1762)</f>
        <v>9.625</v>
      </c>
      <c r="K1762" s="33" t="n">
        <f aca="false">IF(G1762="","",G1762-C1762)</f>
        <v>9.64853856161099</v>
      </c>
      <c r="L1762" s="33" t="n">
        <f aca="false">IF(H1762="","",ABS(H1762))</f>
        <v>13</v>
      </c>
      <c r="M1762" s="33" t="n">
        <f aca="false">IF(I1762="","",ABS(I1762))</f>
        <v>10.75</v>
      </c>
      <c r="N1762" s="33" t="n">
        <f aca="false">IF(J1762="","",ABS(J1762))</f>
        <v>9.625</v>
      </c>
      <c r="O1762" s="33" t="n">
        <f aca="false">IF(K1762="","",ABS(K1762))</f>
        <v>9.64853856161099</v>
      </c>
      <c r="P1762" s="34" t="str">
        <f aca="false">IF(B1762&gt;=Eval_Start_Week,"YES","")</f>
        <v>YES</v>
      </c>
      <c r="Q1762" s="34" t="str">
        <f aca="false">IF(AND(B1762&gt;=Cal_Start_Week,B1762&lt;=Cal_End_Week),"YES","")</f>
        <v/>
      </c>
    </row>
    <row r="1763" customFormat="false" ht="15" hidden="false" customHeight="false" outlineLevel="0" collapsed="false">
      <c r="A1763" s="31" t="str">
        <f aca="false">Demand_History!C1763</f>
        <v>BTH-007</v>
      </c>
      <c r="B1763" s="31" t="n">
        <f aca="false">Demand_History!A1763</f>
        <v>98</v>
      </c>
      <c r="C1763" s="32" t="n">
        <f aca="false">Demand_History!D1763</f>
        <v>56</v>
      </c>
      <c r="D1763" s="33" t="n">
        <f aca="false">IF(B1763&gt;=2,C1762,"")</f>
        <v>55</v>
      </c>
      <c r="E1763" s="33" t="n">
        <f aca="false">IF(B1763&gt;=5,AVERAGE(C1759:C1762),"")</f>
        <v>62.5</v>
      </c>
      <c r="F1763" s="33" t="n">
        <f aca="false">IF(B1763&gt;=9,AVERAGE(C1755:C1762),"")</f>
        <v>64.125</v>
      </c>
      <c r="G1763" s="33" t="n">
        <f aca="false">IF(B1763=1,"",IF(B1763=2,C1762,SES_Alpha*C1762+(1-SES_Alpha)*G1762))</f>
        <v>61.7539769931277</v>
      </c>
      <c r="H1763" s="33" t="n">
        <f aca="false">IF(D1763="","",D1763-C1763)</f>
        <v>-1</v>
      </c>
      <c r="I1763" s="33" t="n">
        <f aca="false">IF(E1763="","",E1763-C1763)</f>
        <v>6.5</v>
      </c>
      <c r="J1763" s="33" t="n">
        <f aca="false">IF(F1763="","",F1763-C1763)</f>
        <v>8.125</v>
      </c>
      <c r="K1763" s="33" t="n">
        <f aca="false">IF(G1763="","",G1763-C1763)</f>
        <v>5.75397699312769</v>
      </c>
      <c r="L1763" s="33" t="n">
        <f aca="false">IF(H1763="","",ABS(H1763))</f>
        <v>1</v>
      </c>
      <c r="M1763" s="33" t="n">
        <f aca="false">IF(I1763="","",ABS(I1763))</f>
        <v>6.5</v>
      </c>
      <c r="N1763" s="33" t="n">
        <f aca="false">IF(J1763="","",ABS(J1763))</f>
        <v>8.125</v>
      </c>
      <c r="O1763" s="33" t="n">
        <f aca="false">IF(K1763="","",ABS(K1763))</f>
        <v>5.75397699312769</v>
      </c>
      <c r="P1763" s="34" t="str">
        <f aca="false">IF(B1763&gt;=Eval_Start_Week,"YES","")</f>
        <v>YES</v>
      </c>
      <c r="Q1763" s="34" t="str">
        <f aca="false">IF(AND(B1763&gt;=Cal_Start_Week,B1763&lt;=Cal_End_Week),"YES","")</f>
        <v/>
      </c>
    </row>
    <row r="1764" customFormat="false" ht="15" hidden="false" customHeight="false" outlineLevel="0" collapsed="false">
      <c r="A1764" s="31" t="str">
        <f aca="false">Demand_History!C1764</f>
        <v>BTH-007</v>
      </c>
      <c r="B1764" s="31" t="n">
        <f aca="false">Demand_History!A1764</f>
        <v>99</v>
      </c>
      <c r="C1764" s="32" t="n">
        <f aca="false">Demand_History!D1764</f>
        <v>54</v>
      </c>
      <c r="D1764" s="33" t="n">
        <f aca="false">IF(B1764&gt;=2,C1763,"")</f>
        <v>56</v>
      </c>
      <c r="E1764" s="33" t="n">
        <f aca="false">IF(B1764&gt;=5,AVERAGE(C1760:C1763),"")</f>
        <v>60.75</v>
      </c>
      <c r="F1764" s="33" t="n">
        <f aca="false">IF(B1764&gt;=9,AVERAGE(C1756:C1763),"")</f>
        <v>62.125</v>
      </c>
      <c r="G1764" s="33" t="n">
        <f aca="false">IF(B1764=1,"",IF(B1764=2,C1763,SES_Alpha*C1763+(1-SES_Alpha)*G1763))</f>
        <v>60.0277838951894</v>
      </c>
      <c r="H1764" s="33" t="n">
        <f aca="false">IF(D1764="","",D1764-C1764)</f>
        <v>2</v>
      </c>
      <c r="I1764" s="33" t="n">
        <f aca="false">IF(E1764="","",E1764-C1764)</f>
        <v>6.75</v>
      </c>
      <c r="J1764" s="33" t="n">
        <f aca="false">IF(F1764="","",F1764-C1764)</f>
        <v>8.125</v>
      </c>
      <c r="K1764" s="33" t="n">
        <f aca="false">IF(G1764="","",G1764-C1764)</f>
        <v>6.02778389518939</v>
      </c>
      <c r="L1764" s="33" t="n">
        <f aca="false">IF(H1764="","",ABS(H1764))</f>
        <v>2</v>
      </c>
      <c r="M1764" s="33" t="n">
        <f aca="false">IF(I1764="","",ABS(I1764))</f>
        <v>6.75</v>
      </c>
      <c r="N1764" s="33" t="n">
        <f aca="false">IF(J1764="","",ABS(J1764))</f>
        <v>8.125</v>
      </c>
      <c r="O1764" s="33" t="n">
        <f aca="false">IF(K1764="","",ABS(K1764))</f>
        <v>6.02778389518939</v>
      </c>
      <c r="P1764" s="34" t="str">
        <f aca="false">IF(B1764&gt;=Eval_Start_Week,"YES","")</f>
        <v>YES</v>
      </c>
      <c r="Q1764" s="34" t="str">
        <f aca="false">IF(AND(B1764&gt;=Cal_Start_Week,B1764&lt;=Cal_End_Week),"YES","")</f>
        <v/>
      </c>
    </row>
    <row r="1765" customFormat="false" ht="15" hidden="false" customHeight="false" outlineLevel="0" collapsed="false">
      <c r="A1765" s="31" t="str">
        <f aca="false">Demand_History!C1765</f>
        <v>BTH-007</v>
      </c>
      <c r="B1765" s="31" t="n">
        <f aca="false">Demand_History!A1765</f>
        <v>100</v>
      </c>
      <c r="C1765" s="32" t="n">
        <f aca="false">Demand_History!D1765</f>
        <v>55</v>
      </c>
      <c r="D1765" s="33" t="n">
        <f aca="false">IF(B1765&gt;=2,C1764,"")</f>
        <v>54</v>
      </c>
      <c r="E1765" s="33" t="n">
        <f aca="false">IF(B1765&gt;=5,AVERAGE(C1761:C1764),"")</f>
        <v>58.25</v>
      </c>
      <c r="F1765" s="33" t="n">
        <f aca="false">IF(B1765&gt;=9,AVERAGE(C1757:C1764),"")</f>
        <v>59.625</v>
      </c>
      <c r="G1765" s="33" t="n">
        <f aca="false">IF(B1765=1,"",IF(B1765=2,C1764,SES_Alpha*C1764+(1-SES_Alpha)*G1764))</f>
        <v>58.2194487266326</v>
      </c>
      <c r="H1765" s="33" t="n">
        <f aca="false">IF(D1765="","",D1765-C1765)</f>
        <v>-1</v>
      </c>
      <c r="I1765" s="33" t="n">
        <f aca="false">IF(E1765="","",E1765-C1765)</f>
        <v>3.25</v>
      </c>
      <c r="J1765" s="33" t="n">
        <f aca="false">IF(F1765="","",F1765-C1765)</f>
        <v>4.625</v>
      </c>
      <c r="K1765" s="33" t="n">
        <f aca="false">IF(G1765="","",G1765-C1765)</f>
        <v>3.21944872663256</v>
      </c>
      <c r="L1765" s="33" t="n">
        <f aca="false">IF(H1765="","",ABS(H1765))</f>
        <v>1</v>
      </c>
      <c r="M1765" s="33" t="n">
        <f aca="false">IF(I1765="","",ABS(I1765))</f>
        <v>3.25</v>
      </c>
      <c r="N1765" s="33" t="n">
        <f aca="false">IF(J1765="","",ABS(J1765))</f>
        <v>4.625</v>
      </c>
      <c r="O1765" s="33" t="n">
        <f aca="false">IF(K1765="","",ABS(K1765))</f>
        <v>3.21944872663256</v>
      </c>
      <c r="P1765" s="34" t="str">
        <f aca="false">IF(B1765&gt;=Eval_Start_Week,"YES","")</f>
        <v>YES</v>
      </c>
      <c r="Q1765" s="34" t="str">
        <f aca="false">IF(AND(B1765&gt;=Cal_Start_Week,B1765&lt;=Cal_End_Week),"YES","")</f>
        <v/>
      </c>
    </row>
    <row r="1766" customFormat="false" ht="15" hidden="false" customHeight="false" outlineLevel="0" collapsed="false">
      <c r="A1766" s="31" t="str">
        <f aca="false">Demand_History!C1766</f>
        <v>BTH-007</v>
      </c>
      <c r="B1766" s="31" t="n">
        <f aca="false">Demand_History!A1766</f>
        <v>101</v>
      </c>
      <c r="C1766" s="32" t="n">
        <f aca="false">Demand_History!D1766</f>
        <v>61</v>
      </c>
      <c r="D1766" s="33" t="n">
        <f aca="false">IF(B1766&gt;=2,C1765,"")</f>
        <v>55</v>
      </c>
      <c r="E1766" s="33" t="n">
        <f aca="false">IF(B1766&gt;=5,AVERAGE(C1762:C1765),"")</f>
        <v>55</v>
      </c>
      <c r="F1766" s="33" t="n">
        <f aca="false">IF(B1766&gt;=9,AVERAGE(C1758:C1765),"")</f>
        <v>60.375</v>
      </c>
      <c r="G1766" s="33" t="n">
        <f aca="false">IF(B1766=1,"",IF(B1766=2,C1765,SES_Alpha*C1765+(1-SES_Alpha)*G1765))</f>
        <v>57.2536141086428</v>
      </c>
      <c r="H1766" s="33" t="n">
        <f aca="false">IF(D1766="","",D1766-C1766)</f>
        <v>-6</v>
      </c>
      <c r="I1766" s="33" t="n">
        <f aca="false">IF(E1766="","",E1766-C1766)</f>
        <v>-6</v>
      </c>
      <c r="J1766" s="33" t="n">
        <f aca="false">IF(F1766="","",F1766-C1766)</f>
        <v>-0.625</v>
      </c>
      <c r="K1766" s="33" t="n">
        <f aca="false">IF(G1766="","",G1766-C1766)</f>
        <v>-3.74638589135721</v>
      </c>
      <c r="L1766" s="33" t="n">
        <f aca="false">IF(H1766="","",ABS(H1766))</f>
        <v>6</v>
      </c>
      <c r="M1766" s="33" t="n">
        <f aca="false">IF(I1766="","",ABS(I1766))</f>
        <v>6</v>
      </c>
      <c r="N1766" s="33" t="n">
        <f aca="false">IF(J1766="","",ABS(J1766))</f>
        <v>0.625</v>
      </c>
      <c r="O1766" s="33" t="n">
        <f aca="false">IF(K1766="","",ABS(K1766))</f>
        <v>3.74638589135721</v>
      </c>
      <c r="P1766" s="34" t="str">
        <f aca="false">IF(B1766&gt;=Eval_Start_Week,"YES","")</f>
        <v>YES</v>
      </c>
      <c r="Q1766" s="34" t="str">
        <f aca="false">IF(AND(B1766&gt;=Cal_Start_Week,B1766&lt;=Cal_End_Week),"YES","")</f>
        <v/>
      </c>
    </row>
    <row r="1767" customFormat="false" ht="15" hidden="false" customHeight="false" outlineLevel="0" collapsed="false">
      <c r="A1767" s="31" t="str">
        <f aca="false">Demand_History!C1767</f>
        <v>BTH-007</v>
      </c>
      <c r="B1767" s="31" t="n">
        <f aca="false">Demand_History!A1767</f>
        <v>102</v>
      </c>
      <c r="C1767" s="32" t="n">
        <f aca="false">Demand_History!D1767</f>
        <v>50</v>
      </c>
      <c r="D1767" s="33" t="n">
        <f aca="false">IF(B1767&gt;=2,C1766,"")</f>
        <v>61</v>
      </c>
      <c r="E1767" s="33" t="n">
        <f aca="false">IF(B1767&gt;=5,AVERAGE(C1763:C1766),"")</f>
        <v>56.5</v>
      </c>
      <c r="F1767" s="33" t="n">
        <f aca="false">IF(B1767&gt;=9,AVERAGE(C1759:C1766),"")</f>
        <v>59.5</v>
      </c>
      <c r="G1767" s="33" t="n">
        <f aca="false">IF(B1767=1,"",IF(B1767=2,C1766,SES_Alpha*C1766+(1-SES_Alpha)*G1766))</f>
        <v>58.37752987605</v>
      </c>
      <c r="H1767" s="33" t="n">
        <f aca="false">IF(D1767="","",D1767-C1767)</f>
        <v>11</v>
      </c>
      <c r="I1767" s="33" t="n">
        <f aca="false">IF(E1767="","",E1767-C1767)</f>
        <v>6.5</v>
      </c>
      <c r="J1767" s="33" t="n">
        <f aca="false">IF(F1767="","",F1767-C1767)</f>
        <v>9.5</v>
      </c>
      <c r="K1767" s="33" t="n">
        <f aca="false">IF(G1767="","",G1767-C1767)</f>
        <v>8.37752987604995</v>
      </c>
      <c r="L1767" s="33" t="n">
        <f aca="false">IF(H1767="","",ABS(H1767))</f>
        <v>11</v>
      </c>
      <c r="M1767" s="33" t="n">
        <f aca="false">IF(I1767="","",ABS(I1767))</f>
        <v>6.5</v>
      </c>
      <c r="N1767" s="33" t="n">
        <f aca="false">IF(J1767="","",ABS(J1767))</f>
        <v>9.5</v>
      </c>
      <c r="O1767" s="33" t="n">
        <f aca="false">IF(K1767="","",ABS(K1767))</f>
        <v>8.37752987604995</v>
      </c>
      <c r="P1767" s="34" t="str">
        <f aca="false">IF(B1767&gt;=Eval_Start_Week,"YES","")</f>
        <v>YES</v>
      </c>
      <c r="Q1767" s="34" t="str">
        <f aca="false">IF(AND(B1767&gt;=Cal_Start_Week,B1767&lt;=Cal_End_Week),"YES","")</f>
        <v/>
      </c>
    </row>
    <row r="1768" customFormat="false" ht="15" hidden="false" customHeight="false" outlineLevel="0" collapsed="false">
      <c r="A1768" s="31" t="str">
        <f aca="false">Demand_History!C1768</f>
        <v>BTH-007</v>
      </c>
      <c r="B1768" s="31" t="n">
        <f aca="false">Demand_History!A1768</f>
        <v>103</v>
      </c>
      <c r="C1768" s="32" t="n">
        <f aca="false">Demand_History!D1768</f>
        <v>53</v>
      </c>
      <c r="D1768" s="33" t="n">
        <f aca="false">IF(B1768&gt;=2,C1767,"")</f>
        <v>50</v>
      </c>
      <c r="E1768" s="33" t="n">
        <f aca="false">IF(B1768&gt;=5,AVERAGE(C1764:C1767),"")</f>
        <v>55</v>
      </c>
      <c r="F1768" s="33" t="n">
        <f aca="false">IF(B1768&gt;=9,AVERAGE(C1760:C1767),"")</f>
        <v>57.875</v>
      </c>
      <c r="G1768" s="33" t="n">
        <f aca="false">IF(B1768=1,"",IF(B1768=2,C1767,SES_Alpha*C1767+(1-SES_Alpha)*G1767))</f>
        <v>55.864270913235</v>
      </c>
      <c r="H1768" s="33" t="n">
        <f aca="false">IF(D1768="","",D1768-C1768)</f>
        <v>-3</v>
      </c>
      <c r="I1768" s="33" t="n">
        <f aca="false">IF(E1768="","",E1768-C1768)</f>
        <v>2</v>
      </c>
      <c r="J1768" s="33" t="n">
        <f aca="false">IF(F1768="","",F1768-C1768)</f>
        <v>4.875</v>
      </c>
      <c r="K1768" s="33" t="n">
        <f aca="false">IF(G1768="","",G1768-C1768)</f>
        <v>2.86427091323496</v>
      </c>
      <c r="L1768" s="33" t="n">
        <f aca="false">IF(H1768="","",ABS(H1768))</f>
        <v>3</v>
      </c>
      <c r="M1768" s="33" t="n">
        <f aca="false">IF(I1768="","",ABS(I1768))</f>
        <v>2</v>
      </c>
      <c r="N1768" s="33" t="n">
        <f aca="false">IF(J1768="","",ABS(J1768))</f>
        <v>4.875</v>
      </c>
      <c r="O1768" s="33" t="n">
        <f aca="false">IF(K1768="","",ABS(K1768))</f>
        <v>2.86427091323496</v>
      </c>
      <c r="P1768" s="34" t="str">
        <f aca="false">IF(B1768&gt;=Eval_Start_Week,"YES","")</f>
        <v>YES</v>
      </c>
      <c r="Q1768" s="34" t="str">
        <f aca="false">IF(AND(B1768&gt;=Cal_Start_Week,B1768&lt;=Cal_End_Week),"YES","")</f>
        <v/>
      </c>
    </row>
    <row r="1769" customFormat="false" ht="15" hidden="false" customHeight="false" outlineLevel="0" collapsed="false">
      <c r="A1769" s="31" t="str">
        <f aca="false">Demand_History!C1769</f>
        <v>BTH-007</v>
      </c>
      <c r="B1769" s="31" t="n">
        <f aca="false">Demand_History!A1769</f>
        <v>104</v>
      </c>
      <c r="C1769" s="32" t="n">
        <f aca="false">Demand_History!D1769</f>
        <v>68</v>
      </c>
      <c r="D1769" s="33" t="n">
        <f aca="false">IF(B1769&gt;=2,C1768,"")</f>
        <v>53</v>
      </c>
      <c r="E1769" s="33" t="n">
        <f aca="false">IF(B1769&gt;=5,AVERAGE(C1765:C1768),"")</f>
        <v>54.75</v>
      </c>
      <c r="F1769" s="33" t="n">
        <f aca="false">IF(B1769&gt;=9,AVERAGE(C1761:C1768),"")</f>
        <v>56.5</v>
      </c>
      <c r="G1769" s="33" t="n">
        <f aca="false">IF(B1769=1,"",IF(B1769=2,C1768,SES_Alpha*C1768+(1-SES_Alpha)*G1768))</f>
        <v>55.0049896392645</v>
      </c>
      <c r="H1769" s="33" t="n">
        <f aca="false">IF(D1769="","",D1769-C1769)</f>
        <v>-15</v>
      </c>
      <c r="I1769" s="33" t="n">
        <f aca="false">IF(E1769="","",E1769-C1769)</f>
        <v>-13.25</v>
      </c>
      <c r="J1769" s="33" t="n">
        <f aca="false">IF(F1769="","",F1769-C1769)</f>
        <v>-11.5</v>
      </c>
      <c r="K1769" s="33" t="n">
        <f aca="false">IF(G1769="","",G1769-C1769)</f>
        <v>-12.9950103607355</v>
      </c>
      <c r="L1769" s="33" t="n">
        <f aca="false">IF(H1769="","",ABS(H1769))</f>
        <v>15</v>
      </c>
      <c r="M1769" s="33" t="n">
        <f aca="false">IF(I1769="","",ABS(I1769))</f>
        <v>13.25</v>
      </c>
      <c r="N1769" s="33" t="n">
        <f aca="false">IF(J1769="","",ABS(J1769))</f>
        <v>11.5</v>
      </c>
      <c r="O1769" s="33" t="n">
        <f aca="false">IF(K1769="","",ABS(K1769))</f>
        <v>12.9950103607355</v>
      </c>
      <c r="P1769" s="34" t="str">
        <f aca="false">IF(B1769&gt;=Eval_Start_Week,"YES","")</f>
        <v>YES</v>
      </c>
      <c r="Q1769" s="34" t="str">
        <f aca="false">IF(AND(B1769&gt;=Cal_Start_Week,B1769&lt;=Cal_End_Week),"YES","")</f>
        <v/>
      </c>
    </row>
    <row r="1770" customFormat="false" ht="15" hidden="false" customHeight="false" outlineLevel="0" collapsed="false">
      <c r="A1770" s="31" t="str">
        <f aca="false">Demand_History!C1770</f>
        <v>BTH-008</v>
      </c>
      <c r="B1770" s="31" t="n">
        <f aca="false">Demand_History!A1770</f>
        <v>1</v>
      </c>
      <c r="C1770" s="32" t="n">
        <f aca="false">Demand_History!D1770</f>
        <v>4</v>
      </c>
      <c r="D1770" s="33" t="str">
        <f aca="false">IF(B1770&gt;=2,C1769,"")</f>
        <v/>
      </c>
      <c r="E1770" s="33" t="str">
        <f aca="false">IF(B1770&gt;=5,AVERAGE(C1766:C1769),"")</f>
        <v/>
      </c>
      <c r="F1770" s="33" t="str">
        <f aca="false">IF(B1770&gt;=9,AVERAGE(C1762:C1769),"")</f>
        <v/>
      </c>
      <c r="G1770" s="33" t="str">
        <f aca="false">IF(B1770=1,"",IF(B1770=2,C1769,SES_Alpha*C1769+(1-SES_Alpha)*G1769))</f>
        <v/>
      </c>
      <c r="H1770" s="33" t="str">
        <f aca="false">IF(D1770="","",D1770-C1770)</f>
        <v/>
      </c>
      <c r="I1770" s="33" t="str">
        <f aca="false">IF(E1770="","",E1770-C1770)</f>
        <v/>
      </c>
      <c r="J1770" s="33" t="str">
        <f aca="false">IF(F1770="","",F1770-C1770)</f>
        <v/>
      </c>
      <c r="K1770" s="33" t="str">
        <f aca="false">IF(G1770="","",G1770-C1770)</f>
        <v/>
      </c>
      <c r="L1770" s="33" t="str">
        <f aca="false">IF(H1770="","",ABS(H1770))</f>
        <v/>
      </c>
      <c r="M1770" s="33" t="str">
        <f aca="false">IF(I1770="","",ABS(I1770))</f>
        <v/>
      </c>
      <c r="N1770" s="33" t="str">
        <f aca="false">IF(J1770="","",ABS(J1770))</f>
        <v/>
      </c>
      <c r="O1770" s="33" t="str">
        <f aca="false">IF(K1770="","",ABS(K1770))</f>
        <v/>
      </c>
      <c r="P1770" s="34" t="str">
        <f aca="false">IF(B1770&gt;=Eval_Start_Week,"YES","")</f>
        <v/>
      </c>
      <c r="Q1770" s="34" t="str">
        <f aca="false">IF(AND(B1770&gt;=Cal_Start_Week,B1770&lt;=Cal_End_Week),"YES","")</f>
        <v/>
      </c>
    </row>
    <row r="1771" customFormat="false" ht="15" hidden="false" customHeight="false" outlineLevel="0" collapsed="false">
      <c r="A1771" s="31" t="str">
        <f aca="false">Demand_History!C1771</f>
        <v>BTH-008</v>
      </c>
      <c r="B1771" s="31" t="n">
        <f aca="false">Demand_History!A1771</f>
        <v>2</v>
      </c>
      <c r="C1771" s="32" t="n">
        <f aca="false">Demand_History!D1771</f>
        <v>10</v>
      </c>
      <c r="D1771" s="33" t="n">
        <f aca="false">IF(B1771&gt;=2,C1770,"")</f>
        <v>4</v>
      </c>
      <c r="E1771" s="33" t="str">
        <f aca="false">IF(B1771&gt;=5,AVERAGE(C1767:C1770),"")</f>
        <v/>
      </c>
      <c r="F1771" s="33" t="str">
        <f aca="false">IF(B1771&gt;=9,AVERAGE(C1763:C1770),"")</f>
        <v/>
      </c>
      <c r="G1771" s="33" t="n">
        <f aca="false">IF(B1771=1,"",IF(B1771=2,C1770,SES_Alpha*C1770+(1-SES_Alpha)*G1770))</f>
        <v>4</v>
      </c>
      <c r="H1771" s="33" t="n">
        <f aca="false">IF(D1771="","",D1771-C1771)</f>
        <v>-6</v>
      </c>
      <c r="I1771" s="33" t="str">
        <f aca="false">IF(E1771="","",E1771-C1771)</f>
        <v/>
      </c>
      <c r="J1771" s="33" t="str">
        <f aca="false">IF(F1771="","",F1771-C1771)</f>
        <v/>
      </c>
      <c r="K1771" s="33" t="n">
        <f aca="false">IF(G1771="","",G1771-C1771)</f>
        <v>-6</v>
      </c>
      <c r="L1771" s="33" t="n">
        <f aca="false">IF(H1771="","",ABS(H1771))</f>
        <v>6</v>
      </c>
      <c r="M1771" s="33" t="str">
        <f aca="false">IF(I1771="","",ABS(I1771))</f>
        <v/>
      </c>
      <c r="N1771" s="33" t="str">
        <f aca="false">IF(J1771="","",ABS(J1771))</f>
        <v/>
      </c>
      <c r="O1771" s="33" t="n">
        <f aca="false">IF(K1771="","",ABS(K1771))</f>
        <v>6</v>
      </c>
      <c r="P1771" s="34" t="str">
        <f aca="false">IF(B1771&gt;=Eval_Start_Week,"YES","")</f>
        <v/>
      </c>
      <c r="Q1771" s="34" t="str">
        <f aca="false">IF(AND(B1771&gt;=Cal_Start_Week,B1771&lt;=Cal_End_Week),"YES","")</f>
        <v/>
      </c>
    </row>
    <row r="1772" customFormat="false" ht="15" hidden="false" customHeight="false" outlineLevel="0" collapsed="false">
      <c r="A1772" s="31" t="str">
        <f aca="false">Demand_History!C1772</f>
        <v>BTH-008</v>
      </c>
      <c r="B1772" s="31" t="n">
        <f aca="false">Demand_History!A1772</f>
        <v>3</v>
      </c>
      <c r="C1772" s="32" t="n">
        <f aca="false">Demand_History!D1772</f>
        <v>4</v>
      </c>
      <c r="D1772" s="33" t="n">
        <f aca="false">IF(B1772&gt;=2,C1771,"")</f>
        <v>10</v>
      </c>
      <c r="E1772" s="33" t="str">
        <f aca="false">IF(B1772&gt;=5,AVERAGE(C1768:C1771),"")</f>
        <v/>
      </c>
      <c r="F1772" s="33" t="str">
        <f aca="false">IF(B1772&gt;=9,AVERAGE(C1764:C1771),"")</f>
        <v/>
      </c>
      <c r="G1772" s="33" t="n">
        <f aca="false">IF(B1772=1,"",IF(B1772=2,C1771,SES_Alpha*C1771+(1-SES_Alpha)*G1771))</f>
        <v>5.8</v>
      </c>
      <c r="H1772" s="33" t="n">
        <f aca="false">IF(D1772="","",D1772-C1772)</f>
        <v>6</v>
      </c>
      <c r="I1772" s="33" t="str">
        <f aca="false">IF(E1772="","",E1772-C1772)</f>
        <v/>
      </c>
      <c r="J1772" s="33" t="str">
        <f aca="false">IF(F1772="","",F1772-C1772)</f>
        <v/>
      </c>
      <c r="K1772" s="33" t="n">
        <f aca="false">IF(G1772="","",G1772-C1772)</f>
        <v>1.8</v>
      </c>
      <c r="L1772" s="33" t="n">
        <f aca="false">IF(H1772="","",ABS(H1772))</f>
        <v>6</v>
      </c>
      <c r="M1772" s="33" t="str">
        <f aca="false">IF(I1772="","",ABS(I1772))</f>
        <v/>
      </c>
      <c r="N1772" s="33" t="str">
        <f aca="false">IF(J1772="","",ABS(J1772))</f>
        <v/>
      </c>
      <c r="O1772" s="33" t="n">
        <f aca="false">IF(K1772="","",ABS(K1772))</f>
        <v>1.8</v>
      </c>
      <c r="P1772" s="34" t="str">
        <f aca="false">IF(B1772&gt;=Eval_Start_Week,"YES","")</f>
        <v/>
      </c>
      <c r="Q1772" s="34" t="str">
        <f aca="false">IF(AND(B1772&gt;=Cal_Start_Week,B1772&lt;=Cal_End_Week),"YES","")</f>
        <v/>
      </c>
    </row>
    <row r="1773" customFormat="false" ht="15" hidden="false" customHeight="false" outlineLevel="0" collapsed="false">
      <c r="A1773" s="31" t="str">
        <f aca="false">Demand_History!C1773</f>
        <v>BTH-008</v>
      </c>
      <c r="B1773" s="31" t="n">
        <f aca="false">Demand_History!A1773</f>
        <v>4</v>
      </c>
      <c r="C1773" s="32" t="n">
        <f aca="false">Demand_History!D1773</f>
        <v>4</v>
      </c>
      <c r="D1773" s="33" t="n">
        <f aca="false">IF(B1773&gt;=2,C1772,"")</f>
        <v>4</v>
      </c>
      <c r="E1773" s="33" t="str">
        <f aca="false">IF(B1773&gt;=5,AVERAGE(C1769:C1772),"")</f>
        <v/>
      </c>
      <c r="F1773" s="33" t="str">
        <f aca="false">IF(B1773&gt;=9,AVERAGE(C1765:C1772),"")</f>
        <v/>
      </c>
      <c r="G1773" s="33" t="n">
        <f aca="false">IF(B1773=1,"",IF(B1773=2,C1772,SES_Alpha*C1772+(1-SES_Alpha)*G1772))</f>
        <v>5.26</v>
      </c>
      <c r="H1773" s="33" t="n">
        <f aca="false">IF(D1773="","",D1773-C1773)</f>
        <v>0</v>
      </c>
      <c r="I1773" s="33" t="str">
        <f aca="false">IF(E1773="","",E1773-C1773)</f>
        <v/>
      </c>
      <c r="J1773" s="33" t="str">
        <f aca="false">IF(F1773="","",F1773-C1773)</f>
        <v/>
      </c>
      <c r="K1773" s="33" t="n">
        <f aca="false">IF(G1773="","",G1773-C1773)</f>
        <v>1.26</v>
      </c>
      <c r="L1773" s="33" t="n">
        <f aca="false">IF(H1773="","",ABS(H1773))</f>
        <v>0</v>
      </c>
      <c r="M1773" s="33" t="str">
        <f aca="false">IF(I1773="","",ABS(I1773))</f>
        <v/>
      </c>
      <c r="N1773" s="33" t="str">
        <f aca="false">IF(J1773="","",ABS(J1773))</f>
        <v/>
      </c>
      <c r="O1773" s="33" t="n">
        <f aca="false">IF(K1773="","",ABS(K1773))</f>
        <v>1.26</v>
      </c>
      <c r="P1773" s="34" t="str">
        <f aca="false">IF(B1773&gt;=Eval_Start_Week,"YES","")</f>
        <v/>
      </c>
      <c r="Q1773" s="34" t="str">
        <f aca="false">IF(AND(B1773&gt;=Cal_Start_Week,B1773&lt;=Cal_End_Week),"YES","")</f>
        <v/>
      </c>
    </row>
    <row r="1774" customFormat="false" ht="15" hidden="false" customHeight="false" outlineLevel="0" collapsed="false">
      <c r="A1774" s="31" t="str">
        <f aca="false">Demand_History!C1774</f>
        <v>BTH-008</v>
      </c>
      <c r="B1774" s="31" t="n">
        <f aca="false">Demand_History!A1774</f>
        <v>5</v>
      </c>
      <c r="C1774" s="32" t="n">
        <f aca="false">Demand_History!D1774</f>
        <v>10</v>
      </c>
      <c r="D1774" s="33" t="n">
        <f aca="false">IF(B1774&gt;=2,C1773,"")</f>
        <v>4</v>
      </c>
      <c r="E1774" s="33" t="n">
        <f aca="false">IF(B1774&gt;=5,AVERAGE(C1770:C1773),"")</f>
        <v>5.5</v>
      </c>
      <c r="F1774" s="33" t="str">
        <f aca="false">IF(B1774&gt;=9,AVERAGE(C1766:C1773),"")</f>
        <v/>
      </c>
      <c r="G1774" s="33" t="n">
        <f aca="false">IF(B1774=1,"",IF(B1774=2,C1773,SES_Alpha*C1773+(1-SES_Alpha)*G1773))</f>
        <v>4.882</v>
      </c>
      <c r="H1774" s="33" t="n">
        <f aca="false">IF(D1774="","",D1774-C1774)</f>
        <v>-6</v>
      </c>
      <c r="I1774" s="33" t="n">
        <f aca="false">IF(E1774="","",E1774-C1774)</f>
        <v>-4.5</v>
      </c>
      <c r="J1774" s="33" t="str">
        <f aca="false">IF(F1774="","",F1774-C1774)</f>
        <v/>
      </c>
      <c r="K1774" s="33" t="n">
        <f aca="false">IF(G1774="","",G1774-C1774)</f>
        <v>-5.118</v>
      </c>
      <c r="L1774" s="33" t="n">
        <f aca="false">IF(H1774="","",ABS(H1774))</f>
        <v>6</v>
      </c>
      <c r="M1774" s="33" t="n">
        <f aca="false">IF(I1774="","",ABS(I1774))</f>
        <v>4.5</v>
      </c>
      <c r="N1774" s="33" t="str">
        <f aca="false">IF(J1774="","",ABS(J1774))</f>
        <v/>
      </c>
      <c r="O1774" s="33" t="n">
        <f aca="false">IF(K1774="","",ABS(K1774))</f>
        <v>5.118</v>
      </c>
      <c r="P1774" s="34" t="str">
        <f aca="false">IF(B1774&gt;=Eval_Start_Week,"YES","")</f>
        <v/>
      </c>
      <c r="Q1774" s="34" t="str">
        <f aca="false">IF(AND(B1774&gt;=Cal_Start_Week,B1774&lt;=Cal_End_Week),"YES","")</f>
        <v/>
      </c>
    </row>
    <row r="1775" customFormat="false" ht="15" hidden="false" customHeight="false" outlineLevel="0" collapsed="false">
      <c r="A1775" s="31" t="str">
        <f aca="false">Demand_History!C1775</f>
        <v>BTH-008</v>
      </c>
      <c r="B1775" s="31" t="n">
        <f aca="false">Demand_History!A1775</f>
        <v>6</v>
      </c>
      <c r="C1775" s="32" t="n">
        <f aca="false">Demand_History!D1775</f>
        <v>6</v>
      </c>
      <c r="D1775" s="33" t="n">
        <f aca="false">IF(B1775&gt;=2,C1774,"")</f>
        <v>10</v>
      </c>
      <c r="E1775" s="33" t="n">
        <f aca="false">IF(B1775&gt;=5,AVERAGE(C1771:C1774),"")</f>
        <v>7</v>
      </c>
      <c r="F1775" s="33" t="str">
        <f aca="false">IF(B1775&gt;=9,AVERAGE(C1767:C1774),"")</f>
        <v/>
      </c>
      <c r="G1775" s="33" t="n">
        <f aca="false">IF(B1775=1,"",IF(B1775=2,C1774,SES_Alpha*C1774+(1-SES_Alpha)*G1774))</f>
        <v>6.4174</v>
      </c>
      <c r="H1775" s="33" t="n">
        <f aca="false">IF(D1775="","",D1775-C1775)</f>
        <v>4</v>
      </c>
      <c r="I1775" s="33" t="n">
        <f aca="false">IF(E1775="","",E1775-C1775)</f>
        <v>1</v>
      </c>
      <c r="J1775" s="33" t="str">
        <f aca="false">IF(F1775="","",F1775-C1775)</f>
        <v/>
      </c>
      <c r="K1775" s="33" t="n">
        <f aca="false">IF(G1775="","",G1775-C1775)</f>
        <v>0.4174</v>
      </c>
      <c r="L1775" s="33" t="n">
        <f aca="false">IF(H1775="","",ABS(H1775))</f>
        <v>4</v>
      </c>
      <c r="M1775" s="33" t="n">
        <f aca="false">IF(I1775="","",ABS(I1775))</f>
        <v>1</v>
      </c>
      <c r="N1775" s="33" t="str">
        <f aca="false">IF(J1775="","",ABS(J1775))</f>
        <v/>
      </c>
      <c r="O1775" s="33" t="n">
        <f aca="false">IF(K1775="","",ABS(K1775))</f>
        <v>0.4174</v>
      </c>
      <c r="P1775" s="34" t="str">
        <f aca="false">IF(B1775&gt;=Eval_Start_Week,"YES","")</f>
        <v/>
      </c>
      <c r="Q1775" s="34" t="str">
        <f aca="false">IF(AND(B1775&gt;=Cal_Start_Week,B1775&lt;=Cal_End_Week),"YES","")</f>
        <v/>
      </c>
    </row>
    <row r="1776" customFormat="false" ht="15" hidden="false" customHeight="false" outlineLevel="0" collapsed="false">
      <c r="A1776" s="31" t="str">
        <f aca="false">Demand_History!C1776</f>
        <v>BTH-008</v>
      </c>
      <c r="B1776" s="31" t="n">
        <f aca="false">Demand_History!A1776</f>
        <v>7</v>
      </c>
      <c r="C1776" s="32" t="n">
        <f aca="false">Demand_History!D1776</f>
        <v>8</v>
      </c>
      <c r="D1776" s="33" t="n">
        <f aca="false">IF(B1776&gt;=2,C1775,"")</f>
        <v>6</v>
      </c>
      <c r="E1776" s="33" t="n">
        <f aca="false">IF(B1776&gt;=5,AVERAGE(C1772:C1775),"")</f>
        <v>6</v>
      </c>
      <c r="F1776" s="33" t="str">
        <f aca="false">IF(B1776&gt;=9,AVERAGE(C1768:C1775),"")</f>
        <v/>
      </c>
      <c r="G1776" s="33" t="n">
        <f aca="false">IF(B1776=1,"",IF(B1776=2,C1775,SES_Alpha*C1775+(1-SES_Alpha)*G1775))</f>
        <v>6.29218</v>
      </c>
      <c r="H1776" s="33" t="n">
        <f aca="false">IF(D1776="","",D1776-C1776)</f>
        <v>-2</v>
      </c>
      <c r="I1776" s="33" t="n">
        <f aca="false">IF(E1776="","",E1776-C1776)</f>
        <v>-2</v>
      </c>
      <c r="J1776" s="33" t="str">
        <f aca="false">IF(F1776="","",F1776-C1776)</f>
        <v/>
      </c>
      <c r="K1776" s="33" t="n">
        <f aca="false">IF(G1776="","",G1776-C1776)</f>
        <v>-1.70782</v>
      </c>
      <c r="L1776" s="33" t="n">
        <f aca="false">IF(H1776="","",ABS(H1776))</f>
        <v>2</v>
      </c>
      <c r="M1776" s="33" t="n">
        <f aca="false">IF(I1776="","",ABS(I1776))</f>
        <v>2</v>
      </c>
      <c r="N1776" s="33" t="str">
        <f aca="false">IF(J1776="","",ABS(J1776))</f>
        <v/>
      </c>
      <c r="O1776" s="33" t="n">
        <f aca="false">IF(K1776="","",ABS(K1776))</f>
        <v>1.70782</v>
      </c>
      <c r="P1776" s="34" t="str">
        <f aca="false">IF(B1776&gt;=Eval_Start_Week,"YES","")</f>
        <v/>
      </c>
      <c r="Q1776" s="34" t="str">
        <f aca="false">IF(AND(B1776&gt;=Cal_Start_Week,B1776&lt;=Cal_End_Week),"YES","")</f>
        <v/>
      </c>
    </row>
    <row r="1777" customFormat="false" ht="15" hidden="false" customHeight="false" outlineLevel="0" collapsed="false">
      <c r="A1777" s="31" t="str">
        <f aca="false">Demand_History!C1777</f>
        <v>BTH-008</v>
      </c>
      <c r="B1777" s="31" t="n">
        <f aca="false">Demand_History!A1777</f>
        <v>8</v>
      </c>
      <c r="C1777" s="32" t="n">
        <f aca="false">Demand_History!D1777</f>
        <v>11</v>
      </c>
      <c r="D1777" s="33" t="n">
        <f aca="false">IF(B1777&gt;=2,C1776,"")</f>
        <v>8</v>
      </c>
      <c r="E1777" s="33" t="n">
        <f aca="false">IF(B1777&gt;=5,AVERAGE(C1773:C1776),"")</f>
        <v>7</v>
      </c>
      <c r="F1777" s="33" t="str">
        <f aca="false">IF(B1777&gt;=9,AVERAGE(C1769:C1776),"")</f>
        <v/>
      </c>
      <c r="G1777" s="33" t="n">
        <f aca="false">IF(B1777=1,"",IF(B1777=2,C1776,SES_Alpha*C1776+(1-SES_Alpha)*G1776))</f>
        <v>6.804526</v>
      </c>
      <c r="H1777" s="33" t="n">
        <f aca="false">IF(D1777="","",D1777-C1777)</f>
        <v>-3</v>
      </c>
      <c r="I1777" s="33" t="n">
        <f aca="false">IF(E1777="","",E1777-C1777)</f>
        <v>-4</v>
      </c>
      <c r="J1777" s="33" t="str">
        <f aca="false">IF(F1777="","",F1777-C1777)</f>
        <v/>
      </c>
      <c r="K1777" s="33" t="n">
        <f aca="false">IF(G1777="","",G1777-C1777)</f>
        <v>-4.195474</v>
      </c>
      <c r="L1777" s="33" t="n">
        <f aca="false">IF(H1777="","",ABS(H1777))</f>
        <v>3</v>
      </c>
      <c r="M1777" s="33" t="n">
        <f aca="false">IF(I1777="","",ABS(I1777))</f>
        <v>4</v>
      </c>
      <c r="N1777" s="33" t="str">
        <f aca="false">IF(J1777="","",ABS(J1777))</f>
        <v/>
      </c>
      <c r="O1777" s="33" t="n">
        <f aca="false">IF(K1777="","",ABS(K1777))</f>
        <v>4.195474</v>
      </c>
      <c r="P1777" s="34" t="str">
        <f aca="false">IF(B1777&gt;=Eval_Start_Week,"YES","")</f>
        <v/>
      </c>
      <c r="Q1777" s="34" t="str">
        <f aca="false">IF(AND(B1777&gt;=Cal_Start_Week,B1777&lt;=Cal_End_Week),"YES","")</f>
        <v/>
      </c>
    </row>
    <row r="1778" customFormat="false" ht="15" hidden="false" customHeight="false" outlineLevel="0" collapsed="false">
      <c r="A1778" s="31" t="str">
        <f aca="false">Demand_History!C1778</f>
        <v>BTH-008</v>
      </c>
      <c r="B1778" s="31" t="n">
        <f aca="false">Demand_History!A1778</f>
        <v>9</v>
      </c>
      <c r="C1778" s="32" t="n">
        <f aca="false">Demand_History!D1778</f>
        <v>6</v>
      </c>
      <c r="D1778" s="33" t="n">
        <f aca="false">IF(B1778&gt;=2,C1777,"")</f>
        <v>11</v>
      </c>
      <c r="E1778" s="33" t="n">
        <f aca="false">IF(B1778&gt;=5,AVERAGE(C1774:C1777),"")</f>
        <v>8.75</v>
      </c>
      <c r="F1778" s="33" t="n">
        <f aca="false">IF(B1778&gt;=9,AVERAGE(C1770:C1777),"")</f>
        <v>7.125</v>
      </c>
      <c r="G1778" s="33" t="n">
        <f aca="false">IF(B1778=1,"",IF(B1778=2,C1777,SES_Alpha*C1777+(1-SES_Alpha)*G1777))</f>
        <v>8.0631682</v>
      </c>
      <c r="H1778" s="33" t="n">
        <f aca="false">IF(D1778="","",D1778-C1778)</f>
        <v>5</v>
      </c>
      <c r="I1778" s="33" t="n">
        <f aca="false">IF(E1778="","",E1778-C1778)</f>
        <v>2.75</v>
      </c>
      <c r="J1778" s="33" t="n">
        <f aca="false">IF(F1778="","",F1778-C1778)</f>
        <v>1.125</v>
      </c>
      <c r="K1778" s="33" t="n">
        <f aca="false">IF(G1778="","",G1778-C1778)</f>
        <v>2.0631682</v>
      </c>
      <c r="L1778" s="33" t="n">
        <f aca="false">IF(H1778="","",ABS(H1778))</f>
        <v>5</v>
      </c>
      <c r="M1778" s="33" t="n">
        <f aca="false">IF(I1778="","",ABS(I1778))</f>
        <v>2.75</v>
      </c>
      <c r="N1778" s="33" t="n">
        <f aca="false">IF(J1778="","",ABS(J1778))</f>
        <v>1.125</v>
      </c>
      <c r="O1778" s="33" t="n">
        <f aca="false">IF(K1778="","",ABS(K1778))</f>
        <v>2.0631682</v>
      </c>
      <c r="P1778" s="34" t="str">
        <f aca="false">IF(B1778&gt;=Eval_Start_Week,"YES","")</f>
        <v/>
      </c>
      <c r="Q1778" s="34" t="str">
        <f aca="false">IF(AND(B1778&gt;=Cal_Start_Week,B1778&lt;=Cal_End_Week),"YES","")</f>
        <v/>
      </c>
    </row>
    <row r="1779" customFormat="false" ht="15" hidden="false" customHeight="false" outlineLevel="0" collapsed="false">
      <c r="A1779" s="31" t="str">
        <f aca="false">Demand_History!C1779</f>
        <v>BTH-008</v>
      </c>
      <c r="B1779" s="31" t="n">
        <f aca="false">Demand_History!A1779</f>
        <v>10</v>
      </c>
      <c r="C1779" s="32" t="n">
        <f aca="false">Demand_History!D1779</f>
        <v>3</v>
      </c>
      <c r="D1779" s="33" t="n">
        <f aca="false">IF(B1779&gt;=2,C1778,"")</f>
        <v>6</v>
      </c>
      <c r="E1779" s="33" t="n">
        <f aca="false">IF(B1779&gt;=5,AVERAGE(C1775:C1778),"")</f>
        <v>7.75</v>
      </c>
      <c r="F1779" s="33" t="n">
        <f aca="false">IF(B1779&gt;=9,AVERAGE(C1771:C1778),"")</f>
        <v>7.375</v>
      </c>
      <c r="G1779" s="33" t="n">
        <f aca="false">IF(B1779=1,"",IF(B1779=2,C1778,SES_Alpha*C1778+(1-SES_Alpha)*G1778))</f>
        <v>7.44421774</v>
      </c>
      <c r="H1779" s="33" t="n">
        <f aca="false">IF(D1779="","",D1779-C1779)</f>
        <v>3</v>
      </c>
      <c r="I1779" s="33" t="n">
        <f aca="false">IF(E1779="","",E1779-C1779)</f>
        <v>4.75</v>
      </c>
      <c r="J1779" s="33" t="n">
        <f aca="false">IF(F1779="","",F1779-C1779)</f>
        <v>4.375</v>
      </c>
      <c r="K1779" s="33" t="n">
        <f aca="false">IF(G1779="","",G1779-C1779)</f>
        <v>4.44421774</v>
      </c>
      <c r="L1779" s="33" t="n">
        <f aca="false">IF(H1779="","",ABS(H1779))</f>
        <v>3</v>
      </c>
      <c r="M1779" s="33" t="n">
        <f aca="false">IF(I1779="","",ABS(I1779))</f>
        <v>4.75</v>
      </c>
      <c r="N1779" s="33" t="n">
        <f aca="false">IF(J1779="","",ABS(J1779))</f>
        <v>4.375</v>
      </c>
      <c r="O1779" s="33" t="n">
        <f aca="false">IF(K1779="","",ABS(K1779))</f>
        <v>4.44421774</v>
      </c>
      <c r="P1779" s="34" t="str">
        <f aca="false">IF(B1779&gt;=Eval_Start_Week,"YES","")</f>
        <v/>
      </c>
      <c r="Q1779" s="34" t="str">
        <f aca="false">IF(AND(B1779&gt;=Cal_Start_Week,B1779&lt;=Cal_End_Week),"YES","")</f>
        <v/>
      </c>
    </row>
    <row r="1780" customFormat="false" ht="15" hidden="false" customHeight="false" outlineLevel="0" collapsed="false">
      <c r="A1780" s="31" t="str">
        <f aca="false">Demand_History!C1780</f>
        <v>BTH-008</v>
      </c>
      <c r="B1780" s="31" t="n">
        <f aca="false">Demand_History!A1780</f>
        <v>11</v>
      </c>
      <c r="C1780" s="32" t="n">
        <f aca="false">Demand_History!D1780</f>
        <v>8</v>
      </c>
      <c r="D1780" s="33" t="n">
        <f aca="false">IF(B1780&gt;=2,C1779,"")</f>
        <v>3</v>
      </c>
      <c r="E1780" s="33" t="n">
        <f aca="false">IF(B1780&gt;=5,AVERAGE(C1776:C1779),"")</f>
        <v>7</v>
      </c>
      <c r="F1780" s="33" t="n">
        <f aca="false">IF(B1780&gt;=9,AVERAGE(C1772:C1779),"")</f>
        <v>6.5</v>
      </c>
      <c r="G1780" s="33" t="n">
        <f aca="false">IF(B1780=1,"",IF(B1780=2,C1779,SES_Alpha*C1779+(1-SES_Alpha)*G1779))</f>
        <v>6.110952418</v>
      </c>
      <c r="H1780" s="33" t="n">
        <f aca="false">IF(D1780="","",D1780-C1780)</f>
        <v>-5</v>
      </c>
      <c r="I1780" s="33" t="n">
        <f aca="false">IF(E1780="","",E1780-C1780)</f>
        <v>-1</v>
      </c>
      <c r="J1780" s="33" t="n">
        <f aca="false">IF(F1780="","",F1780-C1780)</f>
        <v>-1.5</v>
      </c>
      <c r="K1780" s="33" t="n">
        <f aca="false">IF(G1780="","",G1780-C1780)</f>
        <v>-1.889047582</v>
      </c>
      <c r="L1780" s="33" t="n">
        <f aca="false">IF(H1780="","",ABS(H1780))</f>
        <v>5</v>
      </c>
      <c r="M1780" s="33" t="n">
        <f aca="false">IF(I1780="","",ABS(I1780))</f>
        <v>1</v>
      </c>
      <c r="N1780" s="33" t="n">
        <f aca="false">IF(J1780="","",ABS(J1780))</f>
        <v>1.5</v>
      </c>
      <c r="O1780" s="33" t="n">
        <f aca="false">IF(K1780="","",ABS(K1780))</f>
        <v>1.889047582</v>
      </c>
      <c r="P1780" s="34" t="str">
        <f aca="false">IF(B1780&gt;=Eval_Start_Week,"YES","")</f>
        <v/>
      </c>
      <c r="Q1780" s="34" t="str">
        <f aca="false">IF(AND(B1780&gt;=Cal_Start_Week,B1780&lt;=Cal_End_Week),"YES","")</f>
        <v/>
      </c>
    </row>
    <row r="1781" customFormat="false" ht="15" hidden="false" customHeight="false" outlineLevel="0" collapsed="false">
      <c r="A1781" s="31" t="str">
        <f aca="false">Demand_History!C1781</f>
        <v>BTH-008</v>
      </c>
      <c r="B1781" s="31" t="n">
        <f aca="false">Demand_History!A1781</f>
        <v>12</v>
      </c>
      <c r="C1781" s="32" t="n">
        <f aca="false">Demand_History!D1781</f>
        <v>5</v>
      </c>
      <c r="D1781" s="33" t="n">
        <f aca="false">IF(B1781&gt;=2,C1780,"")</f>
        <v>8</v>
      </c>
      <c r="E1781" s="33" t="n">
        <f aca="false">IF(B1781&gt;=5,AVERAGE(C1777:C1780),"")</f>
        <v>7</v>
      </c>
      <c r="F1781" s="33" t="n">
        <f aca="false">IF(B1781&gt;=9,AVERAGE(C1773:C1780),"")</f>
        <v>7</v>
      </c>
      <c r="G1781" s="33" t="n">
        <f aca="false">IF(B1781=1,"",IF(B1781=2,C1780,SES_Alpha*C1780+(1-SES_Alpha)*G1780))</f>
        <v>6.6776666926</v>
      </c>
      <c r="H1781" s="33" t="n">
        <f aca="false">IF(D1781="","",D1781-C1781)</f>
        <v>3</v>
      </c>
      <c r="I1781" s="33" t="n">
        <f aca="false">IF(E1781="","",E1781-C1781)</f>
        <v>2</v>
      </c>
      <c r="J1781" s="33" t="n">
        <f aca="false">IF(F1781="","",F1781-C1781)</f>
        <v>2</v>
      </c>
      <c r="K1781" s="33" t="n">
        <f aca="false">IF(G1781="","",G1781-C1781)</f>
        <v>1.6776666926</v>
      </c>
      <c r="L1781" s="33" t="n">
        <f aca="false">IF(H1781="","",ABS(H1781))</f>
        <v>3</v>
      </c>
      <c r="M1781" s="33" t="n">
        <f aca="false">IF(I1781="","",ABS(I1781))</f>
        <v>2</v>
      </c>
      <c r="N1781" s="33" t="n">
        <f aca="false">IF(J1781="","",ABS(J1781))</f>
        <v>2</v>
      </c>
      <c r="O1781" s="33" t="n">
        <f aca="false">IF(K1781="","",ABS(K1781))</f>
        <v>1.6776666926</v>
      </c>
      <c r="P1781" s="34" t="str">
        <f aca="false">IF(B1781&gt;=Eval_Start_Week,"YES","")</f>
        <v/>
      </c>
      <c r="Q1781" s="34" t="str">
        <f aca="false">IF(AND(B1781&gt;=Cal_Start_Week,B1781&lt;=Cal_End_Week),"YES","")</f>
        <v/>
      </c>
    </row>
    <row r="1782" customFormat="false" ht="15" hidden="false" customHeight="false" outlineLevel="0" collapsed="false">
      <c r="A1782" s="31" t="str">
        <f aca="false">Demand_History!C1782</f>
        <v>BTH-008</v>
      </c>
      <c r="B1782" s="31" t="n">
        <f aca="false">Demand_History!A1782</f>
        <v>13</v>
      </c>
      <c r="C1782" s="32" t="n">
        <f aca="false">Demand_History!D1782</f>
        <v>8</v>
      </c>
      <c r="D1782" s="33" t="n">
        <f aca="false">IF(B1782&gt;=2,C1781,"")</f>
        <v>5</v>
      </c>
      <c r="E1782" s="33" t="n">
        <f aca="false">IF(B1782&gt;=5,AVERAGE(C1778:C1781),"")</f>
        <v>5.5</v>
      </c>
      <c r="F1782" s="33" t="n">
        <f aca="false">IF(B1782&gt;=9,AVERAGE(C1774:C1781),"")</f>
        <v>7.125</v>
      </c>
      <c r="G1782" s="33" t="n">
        <f aca="false">IF(B1782=1,"",IF(B1782=2,C1781,SES_Alpha*C1781+(1-SES_Alpha)*G1781))</f>
        <v>6.17436668482</v>
      </c>
      <c r="H1782" s="33" t="n">
        <f aca="false">IF(D1782="","",D1782-C1782)</f>
        <v>-3</v>
      </c>
      <c r="I1782" s="33" t="n">
        <f aca="false">IF(E1782="","",E1782-C1782)</f>
        <v>-2.5</v>
      </c>
      <c r="J1782" s="33" t="n">
        <f aca="false">IF(F1782="","",F1782-C1782)</f>
        <v>-0.875</v>
      </c>
      <c r="K1782" s="33" t="n">
        <f aca="false">IF(G1782="","",G1782-C1782)</f>
        <v>-1.82563331518</v>
      </c>
      <c r="L1782" s="33" t="n">
        <f aca="false">IF(H1782="","",ABS(H1782))</f>
        <v>3</v>
      </c>
      <c r="M1782" s="33" t="n">
        <f aca="false">IF(I1782="","",ABS(I1782))</f>
        <v>2.5</v>
      </c>
      <c r="N1782" s="33" t="n">
        <f aca="false">IF(J1782="","",ABS(J1782))</f>
        <v>0.875</v>
      </c>
      <c r="O1782" s="33" t="n">
        <f aca="false">IF(K1782="","",ABS(K1782))</f>
        <v>1.82563331518</v>
      </c>
      <c r="P1782" s="34" t="str">
        <f aca="false">IF(B1782&gt;=Eval_Start_Week,"YES","")</f>
        <v/>
      </c>
      <c r="Q1782" s="34" t="str">
        <f aca="false">IF(AND(B1782&gt;=Cal_Start_Week,B1782&lt;=Cal_End_Week),"YES","")</f>
        <v/>
      </c>
    </row>
    <row r="1783" customFormat="false" ht="15" hidden="false" customHeight="false" outlineLevel="0" collapsed="false">
      <c r="A1783" s="31" t="str">
        <f aca="false">Demand_History!C1783</f>
        <v>BTH-008</v>
      </c>
      <c r="B1783" s="31" t="n">
        <f aca="false">Demand_History!A1783</f>
        <v>14</v>
      </c>
      <c r="C1783" s="32" t="n">
        <f aca="false">Demand_History!D1783</f>
        <v>4</v>
      </c>
      <c r="D1783" s="33" t="n">
        <f aca="false">IF(B1783&gt;=2,C1782,"")</f>
        <v>8</v>
      </c>
      <c r="E1783" s="33" t="n">
        <f aca="false">IF(B1783&gt;=5,AVERAGE(C1779:C1782),"")</f>
        <v>6</v>
      </c>
      <c r="F1783" s="33" t="n">
        <f aca="false">IF(B1783&gt;=9,AVERAGE(C1775:C1782),"")</f>
        <v>6.875</v>
      </c>
      <c r="G1783" s="33" t="n">
        <f aca="false">IF(B1783=1,"",IF(B1783=2,C1782,SES_Alpha*C1782+(1-SES_Alpha)*G1782))</f>
        <v>6.722056679374</v>
      </c>
      <c r="H1783" s="33" t="n">
        <f aca="false">IF(D1783="","",D1783-C1783)</f>
        <v>4</v>
      </c>
      <c r="I1783" s="33" t="n">
        <f aca="false">IF(E1783="","",E1783-C1783)</f>
        <v>2</v>
      </c>
      <c r="J1783" s="33" t="n">
        <f aca="false">IF(F1783="","",F1783-C1783)</f>
        <v>2.875</v>
      </c>
      <c r="K1783" s="33" t="n">
        <f aca="false">IF(G1783="","",G1783-C1783)</f>
        <v>2.722056679374</v>
      </c>
      <c r="L1783" s="33" t="n">
        <f aca="false">IF(H1783="","",ABS(H1783))</f>
        <v>4</v>
      </c>
      <c r="M1783" s="33" t="n">
        <f aca="false">IF(I1783="","",ABS(I1783))</f>
        <v>2</v>
      </c>
      <c r="N1783" s="33" t="n">
        <f aca="false">IF(J1783="","",ABS(J1783))</f>
        <v>2.875</v>
      </c>
      <c r="O1783" s="33" t="n">
        <f aca="false">IF(K1783="","",ABS(K1783))</f>
        <v>2.722056679374</v>
      </c>
      <c r="P1783" s="34" t="str">
        <f aca="false">IF(B1783&gt;=Eval_Start_Week,"YES","")</f>
        <v/>
      </c>
      <c r="Q1783" s="34" t="str">
        <f aca="false">IF(AND(B1783&gt;=Cal_Start_Week,B1783&lt;=Cal_End_Week),"YES","")</f>
        <v/>
      </c>
    </row>
    <row r="1784" customFormat="false" ht="15" hidden="false" customHeight="false" outlineLevel="0" collapsed="false">
      <c r="A1784" s="31" t="str">
        <f aca="false">Demand_History!C1784</f>
        <v>BTH-008</v>
      </c>
      <c r="B1784" s="31" t="n">
        <f aca="false">Demand_History!A1784</f>
        <v>15</v>
      </c>
      <c r="C1784" s="32" t="n">
        <f aca="false">Demand_History!D1784</f>
        <v>6</v>
      </c>
      <c r="D1784" s="33" t="n">
        <f aca="false">IF(B1784&gt;=2,C1783,"")</f>
        <v>4</v>
      </c>
      <c r="E1784" s="33" t="n">
        <f aca="false">IF(B1784&gt;=5,AVERAGE(C1780:C1783),"")</f>
        <v>6.25</v>
      </c>
      <c r="F1784" s="33" t="n">
        <f aca="false">IF(B1784&gt;=9,AVERAGE(C1776:C1783),"")</f>
        <v>6.625</v>
      </c>
      <c r="G1784" s="33" t="n">
        <f aca="false">IF(B1784=1,"",IF(B1784=2,C1783,SES_Alpha*C1783+(1-SES_Alpha)*G1783))</f>
        <v>5.9054396755618</v>
      </c>
      <c r="H1784" s="33" t="n">
        <f aca="false">IF(D1784="","",D1784-C1784)</f>
        <v>-2</v>
      </c>
      <c r="I1784" s="33" t="n">
        <f aca="false">IF(E1784="","",E1784-C1784)</f>
        <v>0.25</v>
      </c>
      <c r="J1784" s="33" t="n">
        <f aca="false">IF(F1784="","",F1784-C1784)</f>
        <v>0.625</v>
      </c>
      <c r="K1784" s="33" t="n">
        <f aca="false">IF(G1784="","",G1784-C1784)</f>
        <v>-0.0945603244382012</v>
      </c>
      <c r="L1784" s="33" t="n">
        <f aca="false">IF(H1784="","",ABS(H1784))</f>
        <v>2</v>
      </c>
      <c r="M1784" s="33" t="n">
        <f aca="false">IF(I1784="","",ABS(I1784))</f>
        <v>0.25</v>
      </c>
      <c r="N1784" s="33" t="n">
        <f aca="false">IF(J1784="","",ABS(J1784))</f>
        <v>0.625</v>
      </c>
      <c r="O1784" s="33" t="n">
        <f aca="false">IF(K1784="","",ABS(K1784))</f>
        <v>0.0945603244382012</v>
      </c>
      <c r="P1784" s="34" t="str">
        <f aca="false">IF(B1784&gt;=Eval_Start_Week,"YES","")</f>
        <v/>
      </c>
      <c r="Q1784" s="34" t="str">
        <f aca="false">IF(AND(B1784&gt;=Cal_Start_Week,B1784&lt;=Cal_End_Week),"YES","")</f>
        <v/>
      </c>
    </row>
    <row r="1785" customFormat="false" ht="15" hidden="false" customHeight="false" outlineLevel="0" collapsed="false">
      <c r="A1785" s="31" t="str">
        <f aca="false">Demand_History!C1785</f>
        <v>BTH-008</v>
      </c>
      <c r="B1785" s="31" t="n">
        <f aca="false">Demand_History!A1785</f>
        <v>16</v>
      </c>
      <c r="C1785" s="32" t="n">
        <f aca="false">Demand_History!D1785</f>
        <v>6</v>
      </c>
      <c r="D1785" s="33" t="n">
        <f aca="false">IF(B1785&gt;=2,C1784,"")</f>
        <v>6</v>
      </c>
      <c r="E1785" s="33" t="n">
        <f aca="false">IF(B1785&gt;=5,AVERAGE(C1781:C1784),"")</f>
        <v>5.75</v>
      </c>
      <c r="F1785" s="33" t="n">
        <f aca="false">IF(B1785&gt;=9,AVERAGE(C1777:C1784),"")</f>
        <v>6.375</v>
      </c>
      <c r="G1785" s="33" t="n">
        <f aca="false">IF(B1785=1,"",IF(B1785=2,C1784,SES_Alpha*C1784+(1-SES_Alpha)*G1784))</f>
        <v>5.93380777289326</v>
      </c>
      <c r="H1785" s="33" t="n">
        <f aca="false">IF(D1785="","",D1785-C1785)</f>
        <v>0</v>
      </c>
      <c r="I1785" s="33" t="n">
        <f aca="false">IF(E1785="","",E1785-C1785)</f>
        <v>-0.25</v>
      </c>
      <c r="J1785" s="33" t="n">
        <f aca="false">IF(F1785="","",F1785-C1785)</f>
        <v>0.375</v>
      </c>
      <c r="K1785" s="33" t="n">
        <f aca="false">IF(G1785="","",G1785-C1785)</f>
        <v>-0.0661922271067414</v>
      </c>
      <c r="L1785" s="33" t="n">
        <f aca="false">IF(H1785="","",ABS(H1785))</f>
        <v>0</v>
      </c>
      <c r="M1785" s="33" t="n">
        <f aca="false">IF(I1785="","",ABS(I1785))</f>
        <v>0.25</v>
      </c>
      <c r="N1785" s="33" t="n">
        <f aca="false">IF(J1785="","",ABS(J1785))</f>
        <v>0.375</v>
      </c>
      <c r="O1785" s="33" t="n">
        <f aca="false">IF(K1785="","",ABS(K1785))</f>
        <v>0.0661922271067414</v>
      </c>
      <c r="P1785" s="34" t="str">
        <f aca="false">IF(B1785&gt;=Eval_Start_Week,"YES","")</f>
        <v/>
      </c>
      <c r="Q1785" s="34" t="str">
        <f aca="false">IF(AND(B1785&gt;=Cal_Start_Week,B1785&lt;=Cal_End_Week),"YES","")</f>
        <v/>
      </c>
    </row>
    <row r="1786" customFormat="false" ht="15" hidden="false" customHeight="false" outlineLevel="0" collapsed="false">
      <c r="A1786" s="31" t="str">
        <f aca="false">Demand_History!C1786</f>
        <v>BTH-008</v>
      </c>
      <c r="B1786" s="31" t="n">
        <f aca="false">Demand_History!A1786</f>
        <v>17</v>
      </c>
      <c r="C1786" s="32" t="n">
        <f aca="false">Demand_History!D1786</f>
        <v>6</v>
      </c>
      <c r="D1786" s="33" t="n">
        <f aca="false">IF(B1786&gt;=2,C1785,"")</f>
        <v>6</v>
      </c>
      <c r="E1786" s="33" t="n">
        <f aca="false">IF(B1786&gt;=5,AVERAGE(C1782:C1785),"")</f>
        <v>6</v>
      </c>
      <c r="F1786" s="33" t="n">
        <f aca="false">IF(B1786&gt;=9,AVERAGE(C1778:C1785),"")</f>
        <v>5.75</v>
      </c>
      <c r="G1786" s="33" t="n">
        <f aca="false">IF(B1786=1,"",IF(B1786=2,C1785,SES_Alpha*C1785+(1-SES_Alpha)*G1785))</f>
        <v>5.95366544102528</v>
      </c>
      <c r="H1786" s="33" t="n">
        <f aca="false">IF(D1786="","",D1786-C1786)</f>
        <v>0</v>
      </c>
      <c r="I1786" s="33" t="n">
        <f aca="false">IF(E1786="","",E1786-C1786)</f>
        <v>0</v>
      </c>
      <c r="J1786" s="33" t="n">
        <f aca="false">IF(F1786="","",F1786-C1786)</f>
        <v>-0.25</v>
      </c>
      <c r="K1786" s="33" t="n">
        <f aca="false">IF(G1786="","",G1786-C1786)</f>
        <v>-0.0463345589747197</v>
      </c>
      <c r="L1786" s="33" t="n">
        <f aca="false">IF(H1786="","",ABS(H1786))</f>
        <v>0</v>
      </c>
      <c r="M1786" s="33" t="n">
        <f aca="false">IF(I1786="","",ABS(I1786))</f>
        <v>0</v>
      </c>
      <c r="N1786" s="33" t="n">
        <f aca="false">IF(J1786="","",ABS(J1786))</f>
        <v>0.25</v>
      </c>
      <c r="O1786" s="33" t="n">
        <f aca="false">IF(K1786="","",ABS(K1786))</f>
        <v>0.0463345589747197</v>
      </c>
      <c r="P1786" s="34" t="str">
        <f aca="false">IF(B1786&gt;=Eval_Start_Week,"YES","")</f>
        <v/>
      </c>
      <c r="Q1786" s="34" t="str">
        <f aca="false">IF(AND(B1786&gt;=Cal_Start_Week,B1786&lt;=Cal_End_Week),"YES","")</f>
        <v/>
      </c>
    </row>
    <row r="1787" customFormat="false" ht="15" hidden="false" customHeight="false" outlineLevel="0" collapsed="false">
      <c r="A1787" s="31" t="str">
        <f aca="false">Demand_History!C1787</f>
        <v>BTH-008</v>
      </c>
      <c r="B1787" s="31" t="n">
        <f aca="false">Demand_History!A1787</f>
        <v>18</v>
      </c>
      <c r="C1787" s="32" t="n">
        <f aca="false">Demand_History!D1787</f>
        <v>4</v>
      </c>
      <c r="D1787" s="33" t="n">
        <f aca="false">IF(B1787&gt;=2,C1786,"")</f>
        <v>6</v>
      </c>
      <c r="E1787" s="33" t="n">
        <f aca="false">IF(B1787&gt;=5,AVERAGE(C1783:C1786),"")</f>
        <v>5.5</v>
      </c>
      <c r="F1787" s="33" t="n">
        <f aca="false">IF(B1787&gt;=9,AVERAGE(C1779:C1786),"")</f>
        <v>5.75</v>
      </c>
      <c r="G1787" s="33" t="n">
        <f aca="false">IF(B1787=1,"",IF(B1787=2,C1786,SES_Alpha*C1786+(1-SES_Alpha)*G1786))</f>
        <v>5.9675658087177</v>
      </c>
      <c r="H1787" s="33" t="n">
        <f aca="false">IF(D1787="","",D1787-C1787)</f>
        <v>2</v>
      </c>
      <c r="I1787" s="33" t="n">
        <f aca="false">IF(E1787="","",E1787-C1787)</f>
        <v>1.5</v>
      </c>
      <c r="J1787" s="33" t="n">
        <f aca="false">IF(F1787="","",F1787-C1787)</f>
        <v>1.75</v>
      </c>
      <c r="K1787" s="33" t="n">
        <f aca="false">IF(G1787="","",G1787-C1787)</f>
        <v>1.9675658087177</v>
      </c>
      <c r="L1787" s="33" t="n">
        <f aca="false">IF(H1787="","",ABS(H1787))</f>
        <v>2</v>
      </c>
      <c r="M1787" s="33" t="n">
        <f aca="false">IF(I1787="","",ABS(I1787))</f>
        <v>1.5</v>
      </c>
      <c r="N1787" s="33" t="n">
        <f aca="false">IF(J1787="","",ABS(J1787))</f>
        <v>1.75</v>
      </c>
      <c r="O1787" s="33" t="n">
        <f aca="false">IF(K1787="","",ABS(K1787))</f>
        <v>1.9675658087177</v>
      </c>
      <c r="P1787" s="34" t="str">
        <f aca="false">IF(B1787&gt;=Eval_Start_Week,"YES","")</f>
        <v/>
      </c>
      <c r="Q1787" s="34" t="str">
        <f aca="false">IF(AND(B1787&gt;=Cal_Start_Week,B1787&lt;=Cal_End_Week),"YES","")</f>
        <v/>
      </c>
    </row>
    <row r="1788" customFormat="false" ht="15" hidden="false" customHeight="false" outlineLevel="0" collapsed="false">
      <c r="A1788" s="31" t="str">
        <f aca="false">Demand_History!C1788</f>
        <v>BTH-008</v>
      </c>
      <c r="B1788" s="31" t="n">
        <f aca="false">Demand_History!A1788</f>
        <v>19</v>
      </c>
      <c r="C1788" s="32" t="n">
        <f aca="false">Demand_History!D1788</f>
        <v>6</v>
      </c>
      <c r="D1788" s="33" t="n">
        <f aca="false">IF(B1788&gt;=2,C1787,"")</f>
        <v>4</v>
      </c>
      <c r="E1788" s="33" t="n">
        <f aca="false">IF(B1788&gt;=5,AVERAGE(C1784:C1787),"")</f>
        <v>5.5</v>
      </c>
      <c r="F1788" s="33" t="n">
        <f aca="false">IF(B1788&gt;=9,AVERAGE(C1780:C1787),"")</f>
        <v>5.875</v>
      </c>
      <c r="G1788" s="33" t="n">
        <f aca="false">IF(B1788=1,"",IF(B1788=2,C1787,SES_Alpha*C1787+(1-SES_Alpha)*G1787))</f>
        <v>5.37729606610239</v>
      </c>
      <c r="H1788" s="33" t="n">
        <f aca="false">IF(D1788="","",D1788-C1788)</f>
        <v>-2</v>
      </c>
      <c r="I1788" s="33" t="n">
        <f aca="false">IF(E1788="","",E1788-C1788)</f>
        <v>-0.5</v>
      </c>
      <c r="J1788" s="33" t="n">
        <f aca="false">IF(F1788="","",F1788-C1788)</f>
        <v>-0.125</v>
      </c>
      <c r="K1788" s="33" t="n">
        <f aca="false">IF(G1788="","",G1788-C1788)</f>
        <v>-0.622703933897613</v>
      </c>
      <c r="L1788" s="33" t="n">
        <f aca="false">IF(H1788="","",ABS(H1788))</f>
        <v>2</v>
      </c>
      <c r="M1788" s="33" t="n">
        <f aca="false">IF(I1788="","",ABS(I1788))</f>
        <v>0.5</v>
      </c>
      <c r="N1788" s="33" t="n">
        <f aca="false">IF(J1788="","",ABS(J1788))</f>
        <v>0.125</v>
      </c>
      <c r="O1788" s="33" t="n">
        <f aca="false">IF(K1788="","",ABS(K1788))</f>
        <v>0.622703933897613</v>
      </c>
      <c r="P1788" s="34" t="str">
        <f aca="false">IF(B1788&gt;=Eval_Start_Week,"YES","")</f>
        <v/>
      </c>
      <c r="Q1788" s="34" t="str">
        <f aca="false">IF(AND(B1788&gt;=Cal_Start_Week,B1788&lt;=Cal_End_Week),"YES","")</f>
        <v/>
      </c>
    </row>
    <row r="1789" customFormat="false" ht="15" hidden="false" customHeight="false" outlineLevel="0" collapsed="false">
      <c r="A1789" s="31" t="str">
        <f aca="false">Demand_History!C1789</f>
        <v>BTH-008</v>
      </c>
      <c r="B1789" s="31" t="n">
        <f aca="false">Demand_History!A1789</f>
        <v>20</v>
      </c>
      <c r="C1789" s="32" t="n">
        <f aca="false">Demand_History!D1789</f>
        <v>3</v>
      </c>
      <c r="D1789" s="33" t="n">
        <f aca="false">IF(B1789&gt;=2,C1788,"")</f>
        <v>6</v>
      </c>
      <c r="E1789" s="33" t="n">
        <f aca="false">IF(B1789&gt;=5,AVERAGE(C1785:C1788),"")</f>
        <v>5.5</v>
      </c>
      <c r="F1789" s="33" t="n">
        <f aca="false">IF(B1789&gt;=9,AVERAGE(C1781:C1788),"")</f>
        <v>5.625</v>
      </c>
      <c r="G1789" s="33" t="n">
        <f aca="false">IF(B1789=1,"",IF(B1789=2,C1788,SES_Alpha*C1788+(1-SES_Alpha)*G1788))</f>
        <v>5.56410724627167</v>
      </c>
      <c r="H1789" s="33" t="n">
        <f aca="false">IF(D1789="","",D1789-C1789)</f>
        <v>3</v>
      </c>
      <c r="I1789" s="33" t="n">
        <f aca="false">IF(E1789="","",E1789-C1789)</f>
        <v>2.5</v>
      </c>
      <c r="J1789" s="33" t="n">
        <f aca="false">IF(F1789="","",F1789-C1789)</f>
        <v>2.625</v>
      </c>
      <c r="K1789" s="33" t="n">
        <f aca="false">IF(G1789="","",G1789-C1789)</f>
        <v>2.56410724627167</v>
      </c>
      <c r="L1789" s="33" t="n">
        <f aca="false">IF(H1789="","",ABS(H1789))</f>
        <v>3</v>
      </c>
      <c r="M1789" s="33" t="n">
        <f aca="false">IF(I1789="","",ABS(I1789))</f>
        <v>2.5</v>
      </c>
      <c r="N1789" s="33" t="n">
        <f aca="false">IF(J1789="","",ABS(J1789))</f>
        <v>2.625</v>
      </c>
      <c r="O1789" s="33" t="n">
        <f aca="false">IF(K1789="","",ABS(K1789))</f>
        <v>2.56410724627167</v>
      </c>
      <c r="P1789" s="34" t="str">
        <f aca="false">IF(B1789&gt;=Eval_Start_Week,"YES","")</f>
        <v/>
      </c>
      <c r="Q1789" s="34" t="str">
        <f aca="false">IF(AND(B1789&gt;=Cal_Start_Week,B1789&lt;=Cal_End_Week),"YES","")</f>
        <v/>
      </c>
    </row>
    <row r="1790" customFormat="false" ht="15" hidden="false" customHeight="false" outlineLevel="0" collapsed="false">
      <c r="A1790" s="31" t="str">
        <f aca="false">Demand_History!C1790</f>
        <v>BTH-008</v>
      </c>
      <c r="B1790" s="31" t="n">
        <f aca="false">Demand_History!A1790</f>
        <v>21</v>
      </c>
      <c r="C1790" s="32" t="n">
        <f aca="false">Demand_History!D1790</f>
        <v>6</v>
      </c>
      <c r="D1790" s="33" t="n">
        <f aca="false">IF(B1790&gt;=2,C1789,"")</f>
        <v>3</v>
      </c>
      <c r="E1790" s="33" t="n">
        <f aca="false">IF(B1790&gt;=5,AVERAGE(C1786:C1789),"")</f>
        <v>4.75</v>
      </c>
      <c r="F1790" s="33" t="n">
        <f aca="false">IF(B1790&gt;=9,AVERAGE(C1782:C1789),"")</f>
        <v>5.375</v>
      </c>
      <c r="G1790" s="33" t="n">
        <f aca="false">IF(B1790=1,"",IF(B1790=2,C1789,SES_Alpha*C1789+(1-SES_Alpha)*G1789))</f>
        <v>4.79487507239017</v>
      </c>
      <c r="H1790" s="33" t="n">
        <f aca="false">IF(D1790="","",D1790-C1790)</f>
        <v>-3</v>
      </c>
      <c r="I1790" s="33" t="n">
        <f aca="false">IF(E1790="","",E1790-C1790)</f>
        <v>-1.25</v>
      </c>
      <c r="J1790" s="33" t="n">
        <f aca="false">IF(F1790="","",F1790-C1790)</f>
        <v>-0.625</v>
      </c>
      <c r="K1790" s="33" t="n">
        <f aca="false">IF(G1790="","",G1790-C1790)</f>
        <v>-1.20512492760983</v>
      </c>
      <c r="L1790" s="33" t="n">
        <f aca="false">IF(H1790="","",ABS(H1790))</f>
        <v>3</v>
      </c>
      <c r="M1790" s="33" t="n">
        <f aca="false">IF(I1790="","",ABS(I1790))</f>
        <v>1.25</v>
      </c>
      <c r="N1790" s="33" t="n">
        <f aca="false">IF(J1790="","",ABS(J1790))</f>
        <v>0.625</v>
      </c>
      <c r="O1790" s="33" t="n">
        <f aca="false">IF(K1790="","",ABS(K1790))</f>
        <v>1.20512492760983</v>
      </c>
      <c r="P1790" s="34" t="str">
        <f aca="false">IF(B1790&gt;=Eval_Start_Week,"YES","")</f>
        <v/>
      </c>
      <c r="Q1790" s="34" t="str">
        <f aca="false">IF(AND(B1790&gt;=Cal_Start_Week,B1790&lt;=Cal_End_Week),"YES","")</f>
        <v/>
      </c>
    </row>
    <row r="1791" customFormat="false" ht="15" hidden="false" customHeight="false" outlineLevel="0" collapsed="false">
      <c r="A1791" s="31" t="str">
        <f aca="false">Demand_History!C1791</f>
        <v>BTH-008</v>
      </c>
      <c r="B1791" s="31" t="n">
        <f aca="false">Demand_History!A1791</f>
        <v>22</v>
      </c>
      <c r="C1791" s="32" t="n">
        <f aca="false">Demand_History!D1791</f>
        <v>7</v>
      </c>
      <c r="D1791" s="33" t="n">
        <f aca="false">IF(B1791&gt;=2,C1790,"")</f>
        <v>6</v>
      </c>
      <c r="E1791" s="33" t="n">
        <f aca="false">IF(B1791&gt;=5,AVERAGE(C1787:C1790),"")</f>
        <v>4.75</v>
      </c>
      <c r="F1791" s="33" t="n">
        <f aca="false">IF(B1791&gt;=9,AVERAGE(C1783:C1790),"")</f>
        <v>5.125</v>
      </c>
      <c r="G1791" s="33" t="n">
        <f aca="false">IF(B1791=1,"",IF(B1791=2,C1790,SES_Alpha*C1790+(1-SES_Alpha)*G1790))</f>
        <v>5.15641255067312</v>
      </c>
      <c r="H1791" s="33" t="n">
        <f aca="false">IF(D1791="","",D1791-C1791)</f>
        <v>-1</v>
      </c>
      <c r="I1791" s="33" t="n">
        <f aca="false">IF(E1791="","",E1791-C1791)</f>
        <v>-2.25</v>
      </c>
      <c r="J1791" s="33" t="n">
        <f aca="false">IF(F1791="","",F1791-C1791)</f>
        <v>-1.875</v>
      </c>
      <c r="K1791" s="33" t="n">
        <f aca="false">IF(G1791="","",G1791-C1791)</f>
        <v>-1.84358744932688</v>
      </c>
      <c r="L1791" s="33" t="n">
        <f aca="false">IF(H1791="","",ABS(H1791))</f>
        <v>1</v>
      </c>
      <c r="M1791" s="33" t="n">
        <f aca="false">IF(I1791="","",ABS(I1791))</f>
        <v>2.25</v>
      </c>
      <c r="N1791" s="33" t="n">
        <f aca="false">IF(J1791="","",ABS(J1791))</f>
        <v>1.875</v>
      </c>
      <c r="O1791" s="33" t="n">
        <f aca="false">IF(K1791="","",ABS(K1791))</f>
        <v>1.84358744932688</v>
      </c>
      <c r="P1791" s="34" t="str">
        <f aca="false">IF(B1791&gt;=Eval_Start_Week,"YES","")</f>
        <v/>
      </c>
      <c r="Q1791" s="34" t="str">
        <f aca="false">IF(AND(B1791&gt;=Cal_Start_Week,B1791&lt;=Cal_End_Week),"YES","")</f>
        <v/>
      </c>
    </row>
    <row r="1792" customFormat="false" ht="15" hidden="false" customHeight="false" outlineLevel="0" collapsed="false">
      <c r="A1792" s="31" t="str">
        <f aca="false">Demand_History!C1792</f>
        <v>BTH-008</v>
      </c>
      <c r="B1792" s="31" t="n">
        <f aca="false">Demand_History!A1792</f>
        <v>23</v>
      </c>
      <c r="C1792" s="32" t="n">
        <f aca="false">Demand_History!D1792</f>
        <v>9</v>
      </c>
      <c r="D1792" s="33" t="n">
        <f aca="false">IF(B1792&gt;=2,C1791,"")</f>
        <v>7</v>
      </c>
      <c r="E1792" s="33" t="n">
        <f aca="false">IF(B1792&gt;=5,AVERAGE(C1788:C1791),"")</f>
        <v>5.5</v>
      </c>
      <c r="F1792" s="33" t="n">
        <f aca="false">IF(B1792&gt;=9,AVERAGE(C1784:C1791),"")</f>
        <v>5.5</v>
      </c>
      <c r="G1792" s="33" t="n">
        <f aca="false">IF(B1792=1,"",IF(B1792=2,C1791,SES_Alpha*C1791+(1-SES_Alpha)*G1791))</f>
        <v>5.70948878547118</v>
      </c>
      <c r="H1792" s="33" t="n">
        <f aca="false">IF(D1792="","",D1792-C1792)</f>
        <v>-2</v>
      </c>
      <c r="I1792" s="33" t="n">
        <f aca="false">IF(E1792="","",E1792-C1792)</f>
        <v>-3.5</v>
      </c>
      <c r="J1792" s="33" t="n">
        <f aca="false">IF(F1792="","",F1792-C1792)</f>
        <v>-3.5</v>
      </c>
      <c r="K1792" s="33" t="n">
        <f aca="false">IF(G1792="","",G1792-C1792)</f>
        <v>-3.29051121452882</v>
      </c>
      <c r="L1792" s="33" t="n">
        <f aca="false">IF(H1792="","",ABS(H1792))</f>
        <v>2</v>
      </c>
      <c r="M1792" s="33" t="n">
        <f aca="false">IF(I1792="","",ABS(I1792))</f>
        <v>3.5</v>
      </c>
      <c r="N1792" s="33" t="n">
        <f aca="false">IF(J1792="","",ABS(J1792))</f>
        <v>3.5</v>
      </c>
      <c r="O1792" s="33" t="n">
        <f aca="false">IF(K1792="","",ABS(K1792))</f>
        <v>3.29051121452882</v>
      </c>
      <c r="P1792" s="34" t="str">
        <f aca="false">IF(B1792&gt;=Eval_Start_Week,"YES","")</f>
        <v/>
      </c>
      <c r="Q1792" s="34" t="str">
        <f aca="false">IF(AND(B1792&gt;=Cal_Start_Week,B1792&lt;=Cal_End_Week),"YES","")</f>
        <v/>
      </c>
    </row>
    <row r="1793" customFormat="false" ht="15" hidden="false" customHeight="false" outlineLevel="0" collapsed="false">
      <c r="A1793" s="31" t="str">
        <f aca="false">Demand_History!C1793</f>
        <v>BTH-008</v>
      </c>
      <c r="B1793" s="31" t="n">
        <f aca="false">Demand_History!A1793</f>
        <v>24</v>
      </c>
      <c r="C1793" s="32" t="n">
        <f aca="false">Demand_History!D1793</f>
        <v>3</v>
      </c>
      <c r="D1793" s="33" t="n">
        <f aca="false">IF(B1793&gt;=2,C1792,"")</f>
        <v>9</v>
      </c>
      <c r="E1793" s="33" t="n">
        <f aca="false">IF(B1793&gt;=5,AVERAGE(C1789:C1792),"")</f>
        <v>6.25</v>
      </c>
      <c r="F1793" s="33" t="n">
        <f aca="false">IF(B1793&gt;=9,AVERAGE(C1785:C1792),"")</f>
        <v>5.875</v>
      </c>
      <c r="G1793" s="33" t="n">
        <f aca="false">IF(B1793=1,"",IF(B1793=2,C1792,SES_Alpha*C1792+(1-SES_Alpha)*G1792))</f>
        <v>6.69664214982983</v>
      </c>
      <c r="H1793" s="33" t="n">
        <f aca="false">IF(D1793="","",D1793-C1793)</f>
        <v>6</v>
      </c>
      <c r="I1793" s="33" t="n">
        <f aca="false">IF(E1793="","",E1793-C1793)</f>
        <v>3.25</v>
      </c>
      <c r="J1793" s="33" t="n">
        <f aca="false">IF(F1793="","",F1793-C1793)</f>
        <v>2.875</v>
      </c>
      <c r="K1793" s="33" t="n">
        <f aca="false">IF(G1793="","",G1793-C1793)</f>
        <v>3.69664214982983</v>
      </c>
      <c r="L1793" s="33" t="n">
        <f aca="false">IF(H1793="","",ABS(H1793))</f>
        <v>6</v>
      </c>
      <c r="M1793" s="33" t="n">
        <f aca="false">IF(I1793="","",ABS(I1793))</f>
        <v>3.25</v>
      </c>
      <c r="N1793" s="33" t="n">
        <f aca="false">IF(J1793="","",ABS(J1793))</f>
        <v>2.875</v>
      </c>
      <c r="O1793" s="33" t="n">
        <f aca="false">IF(K1793="","",ABS(K1793))</f>
        <v>3.69664214982983</v>
      </c>
      <c r="P1793" s="34" t="str">
        <f aca="false">IF(B1793&gt;=Eval_Start_Week,"YES","")</f>
        <v/>
      </c>
      <c r="Q1793" s="34" t="str">
        <f aca="false">IF(AND(B1793&gt;=Cal_Start_Week,B1793&lt;=Cal_End_Week),"YES","")</f>
        <v/>
      </c>
    </row>
    <row r="1794" customFormat="false" ht="15" hidden="false" customHeight="false" outlineLevel="0" collapsed="false">
      <c r="A1794" s="31" t="str">
        <f aca="false">Demand_History!C1794</f>
        <v>BTH-008</v>
      </c>
      <c r="B1794" s="31" t="n">
        <f aca="false">Demand_History!A1794</f>
        <v>25</v>
      </c>
      <c r="C1794" s="32" t="n">
        <f aca="false">Demand_History!D1794</f>
        <v>5</v>
      </c>
      <c r="D1794" s="33" t="n">
        <f aca="false">IF(B1794&gt;=2,C1793,"")</f>
        <v>3</v>
      </c>
      <c r="E1794" s="33" t="n">
        <f aca="false">IF(B1794&gt;=5,AVERAGE(C1790:C1793),"")</f>
        <v>6.25</v>
      </c>
      <c r="F1794" s="33" t="n">
        <f aca="false">IF(B1794&gt;=9,AVERAGE(C1786:C1793),"")</f>
        <v>5.5</v>
      </c>
      <c r="G1794" s="33" t="n">
        <f aca="false">IF(B1794=1,"",IF(B1794=2,C1793,SES_Alpha*C1793+(1-SES_Alpha)*G1793))</f>
        <v>5.58764950488088</v>
      </c>
      <c r="H1794" s="33" t="n">
        <f aca="false">IF(D1794="","",D1794-C1794)</f>
        <v>-2</v>
      </c>
      <c r="I1794" s="33" t="n">
        <f aca="false">IF(E1794="","",E1794-C1794)</f>
        <v>1.25</v>
      </c>
      <c r="J1794" s="33" t="n">
        <f aca="false">IF(F1794="","",F1794-C1794)</f>
        <v>0.5</v>
      </c>
      <c r="K1794" s="33" t="n">
        <f aca="false">IF(G1794="","",G1794-C1794)</f>
        <v>0.587649504880879</v>
      </c>
      <c r="L1794" s="33" t="n">
        <f aca="false">IF(H1794="","",ABS(H1794))</f>
        <v>2</v>
      </c>
      <c r="M1794" s="33" t="n">
        <f aca="false">IF(I1794="","",ABS(I1794))</f>
        <v>1.25</v>
      </c>
      <c r="N1794" s="33" t="n">
        <f aca="false">IF(J1794="","",ABS(J1794))</f>
        <v>0.5</v>
      </c>
      <c r="O1794" s="33" t="n">
        <f aca="false">IF(K1794="","",ABS(K1794))</f>
        <v>0.587649504880879</v>
      </c>
      <c r="P1794" s="34" t="str">
        <f aca="false">IF(B1794&gt;=Eval_Start_Week,"YES","")</f>
        <v/>
      </c>
      <c r="Q1794" s="34" t="str">
        <f aca="false">IF(AND(B1794&gt;=Cal_Start_Week,B1794&lt;=Cal_End_Week),"YES","")</f>
        <v/>
      </c>
    </row>
    <row r="1795" customFormat="false" ht="15" hidden="false" customHeight="false" outlineLevel="0" collapsed="false">
      <c r="A1795" s="31" t="str">
        <f aca="false">Demand_History!C1795</f>
        <v>BTH-008</v>
      </c>
      <c r="B1795" s="31" t="n">
        <f aca="false">Demand_History!A1795</f>
        <v>26</v>
      </c>
      <c r="C1795" s="32" t="n">
        <f aca="false">Demand_History!D1795</f>
        <v>7</v>
      </c>
      <c r="D1795" s="33" t="n">
        <f aca="false">IF(B1795&gt;=2,C1794,"")</f>
        <v>5</v>
      </c>
      <c r="E1795" s="33" t="n">
        <f aca="false">IF(B1795&gt;=5,AVERAGE(C1791:C1794),"")</f>
        <v>6</v>
      </c>
      <c r="F1795" s="33" t="n">
        <f aca="false">IF(B1795&gt;=9,AVERAGE(C1787:C1794),"")</f>
        <v>5.375</v>
      </c>
      <c r="G1795" s="33" t="n">
        <f aca="false">IF(B1795=1,"",IF(B1795=2,C1794,SES_Alpha*C1794+(1-SES_Alpha)*G1794))</f>
        <v>5.41135465341662</v>
      </c>
      <c r="H1795" s="33" t="n">
        <f aca="false">IF(D1795="","",D1795-C1795)</f>
        <v>-2</v>
      </c>
      <c r="I1795" s="33" t="n">
        <f aca="false">IF(E1795="","",E1795-C1795)</f>
        <v>-1</v>
      </c>
      <c r="J1795" s="33" t="n">
        <f aca="false">IF(F1795="","",F1795-C1795)</f>
        <v>-1.625</v>
      </c>
      <c r="K1795" s="33" t="n">
        <f aca="false">IF(G1795="","",G1795-C1795)</f>
        <v>-1.58864534658338</v>
      </c>
      <c r="L1795" s="33" t="n">
        <f aca="false">IF(H1795="","",ABS(H1795))</f>
        <v>2</v>
      </c>
      <c r="M1795" s="33" t="n">
        <f aca="false">IF(I1795="","",ABS(I1795))</f>
        <v>1</v>
      </c>
      <c r="N1795" s="33" t="n">
        <f aca="false">IF(J1795="","",ABS(J1795))</f>
        <v>1.625</v>
      </c>
      <c r="O1795" s="33" t="n">
        <f aca="false">IF(K1795="","",ABS(K1795))</f>
        <v>1.58864534658338</v>
      </c>
      <c r="P1795" s="34" t="str">
        <f aca="false">IF(B1795&gt;=Eval_Start_Week,"YES","")</f>
        <v/>
      </c>
      <c r="Q1795" s="34" t="str">
        <f aca="false">IF(AND(B1795&gt;=Cal_Start_Week,B1795&lt;=Cal_End_Week),"YES","")</f>
        <v/>
      </c>
    </row>
    <row r="1796" customFormat="false" ht="15" hidden="false" customHeight="false" outlineLevel="0" collapsed="false">
      <c r="A1796" s="31" t="str">
        <f aca="false">Demand_History!C1796</f>
        <v>BTH-008</v>
      </c>
      <c r="B1796" s="31" t="n">
        <f aca="false">Demand_History!A1796</f>
        <v>27</v>
      </c>
      <c r="C1796" s="32" t="n">
        <f aca="false">Demand_History!D1796</f>
        <v>8</v>
      </c>
      <c r="D1796" s="33" t="n">
        <f aca="false">IF(B1796&gt;=2,C1795,"")</f>
        <v>7</v>
      </c>
      <c r="E1796" s="33" t="n">
        <f aca="false">IF(B1796&gt;=5,AVERAGE(C1792:C1795),"")</f>
        <v>6</v>
      </c>
      <c r="F1796" s="33" t="n">
        <f aca="false">IF(B1796&gt;=9,AVERAGE(C1788:C1795),"")</f>
        <v>5.75</v>
      </c>
      <c r="G1796" s="33" t="n">
        <f aca="false">IF(B1796=1,"",IF(B1796=2,C1795,SES_Alpha*C1795+(1-SES_Alpha)*G1795))</f>
        <v>5.88794825739163</v>
      </c>
      <c r="H1796" s="33" t="n">
        <f aca="false">IF(D1796="","",D1796-C1796)</f>
        <v>-1</v>
      </c>
      <c r="I1796" s="33" t="n">
        <f aca="false">IF(E1796="","",E1796-C1796)</f>
        <v>-2</v>
      </c>
      <c r="J1796" s="33" t="n">
        <f aca="false">IF(F1796="","",F1796-C1796)</f>
        <v>-2.25</v>
      </c>
      <c r="K1796" s="33" t="n">
        <f aca="false">IF(G1796="","",G1796-C1796)</f>
        <v>-2.11205174260837</v>
      </c>
      <c r="L1796" s="33" t="n">
        <f aca="false">IF(H1796="","",ABS(H1796))</f>
        <v>1</v>
      </c>
      <c r="M1796" s="33" t="n">
        <f aca="false">IF(I1796="","",ABS(I1796))</f>
        <v>2</v>
      </c>
      <c r="N1796" s="33" t="n">
        <f aca="false">IF(J1796="","",ABS(J1796))</f>
        <v>2.25</v>
      </c>
      <c r="O1796" s="33" t="n">
        <f aca="false">IF(K1796="","",ABS(K1796))</f>
        <v>2.11205174260837</v>
      </c>
      <c r="P1796" s="34" t="str">
        <f aca="false">IF(B1796&gt;=Eval_Start_Week,"YES","")</f>
        <v/>
      </c>
      <c r="Q1796" s="34" t="str">
        <f aca="false">IF(AND(B1796&gt;=Cal_Start_Week,B1796&lt;=Cal_End_Week),"YES","")</f>
        <v/>
      </c>
    </row>
    <row r="1797" customFormat="false" ht="15" hidden="false" customHeight="false" outlineLevel="0" collapsed="false">
      <c r="A1797" s="31" t="str">
        <f aca="false">Demand_History!C1797</f>
        <v>BTH-008</v>
      </c>
      <c r="B1797" s="31" t="n">
        <f aca="false">Demand_History!A1797</f>
        <v>28</v>
      </c>
      <c r="C1797" s="32" t="n">
        <f aca="false">Demand_History!D1797</f>
        <v>10</v>
      </c>
      <c r="D1797" s="33" t="n">
        <f aca="false">IF(B1797&gt;=2,C1796,"")</f>
        <v>8</v>
      </c>
      <c r="E1797" s="33" t="n">
        <f aca="false">IF(B1797&gt;=5,AVERAGE(C1793:C1796),"")</f>
        <v>5.75</v>
      </c>
      <c r="F1797" s="33" t="n">
        <f aca="false">IF(B1797&gt;=9,AVERAGE(C1789:C1796),"")</f>
        <v>6</v>
      </c>
      <c r="G1797" s="33" t="n">
        <f aca="false">IF(B1797=1,"",IF(B1797=2,C1796,SES_Alpha*C1796+(1-SES_Alpha)*G1796))</f>
        <v>6.52156378017414</v>
      </c>
      <c r="H1797" s="33" t="n">
        <f aca="false">IF(D1797="","",D1797-C1797)</f>
        <v>-2</v>
      </c>
      <c r="I1797" s="33" t="n">
        <f aca="false">IF(E1797="","",E1797-C1797)</f>
        <v>-4.25</v>
      </c>
      <c r="J1797" s="33" t="n">
        <f aca="false">IF(F1797="","",F1797-C1797)</f>
        <v>-4</v>
      </c>
      <c r="K1797" s="33" t="n">
        <f aca="false">IF(G1797="","",G1797-C1797)</f>
        <v>-3.47843621982586</v>
      </c>
      <c r="L1797" s="33" t="n">
        <f aca="false">IF(H1797="","",ABS(H1797))</f>
        <v>2</v>
      </c>
      <c r="M1797" s="33" t="n">
        <f aca="false">IF(I1797="","",ABS(I1797))</f>
        <v>4.25</v>
      </c>
      <c r="N1797" s="33" t="n">
        <f aca="false">IF(J1797="","",ABS(J1797))</f>
        <v>4</v>
      </c>
      <c r="O1797" s="33" t="n">
        <f aca="false">IF(K1797="","",ABS(K1797))</f>
        <v>3.47843621982586</v>
      </c>
      <c r="P1797" s="34" t="str">
        <f aca="false">IF(B1797&gt;=Eval_Start_Week,"YES","")</f>
        <v/>
      </c>
      <c r="Q1797" s="34" t="str">
        <f aca="false">IF(AND(B1797&gt;=Cal_Start_Week,B1797&lt;=Cal_End_Week),"YES","")</f>
        <v/>
      </c>
    </row>
    <row r="1798" customFormat="false" ht="15" hidden="false" customHeight="false" outlineLevel="0" collapsed="false">
      <c r="A1798" s="31" t="str">
        <f aca="false">Demand_History!C1798</f>
        <v>BTH-008</v>
      </c>
      <c r="B1798" s="31" t="n">
        <f aca="false">Demand_History!A1798</f>
        <v>29</v>
      </c>
      <c r="C1798" s="32" t="n">
        <f aca="false">Demand_History!D1798</f>
        <v>8</v>
      </c>
      <c r="D1798" s="33" t="n">
        <f aca="false">IF(B1798&gt;=2,C1797,"")</f>
        <v>10</v>
      </c>
      <c r="E1798" s="33" t="n">
        <f aca="false">IF(B1798&gt;=5,AVERAGE(C1794:C1797),"")</f>
        <v>7.5</v>
      </c>
      <c r="F1798" s="33" t="n">
        <f aca="false">IF(B1798&gt;=9,AVERAGE(C1790:C1797),"")</f>
        <v>6.875</v>
      </c>
      <c r="G1798" s="33" t="n">
        <f aca="false">IF(B1798=1,"",IF(B1798=2,C1797,SES_Alpha*C1797+(1-SES_Alpha)*G1797))</f>
        <v>7.5650946461219</v>
      </c>
      <c r="H1798" s="33" t="n">
        <f aca="false">IF(D1798="","",D1798-C1798)</f>
        <v>2</v>
      </c>
      <c r="I1798" s="33" t="n">
        <f aca="false">IF(E1798="","",E1798-C1798)</f>
        <v>-0.5</v>
      </c>
      <c r="J1798" s="33" t="n">
        <f aca="false">IF(F1798="","",F1798-C1798)</f>
        <v>-1.125</v>
      </c>
      <c r="K1798" s="33" t="n">
        <f aca="false">IF(G1798="","",G1798-C1798)</f>
        <v>-0.434905353878102</v>
      </c>
      <c r="L1798" s="33" t="n">
        <f aca="false">IF(H1798="","",ABS(H1798))</f>
        <v>2</v>
      </c>
      <c r="M1798" s="33" t="n">
        <f aca="false">IF(I1798="","",ABS(I1798))</f>
        <v>0.5</v>
      </c>
      <c r="N1798" s="33" t="n">
        <f aca="false">IF(J1798="","",ABS(J1798))</f>
        <v>1.125</v>
      </c>
      <c r="O1798" s="33" t="n">
        <f aca="false">IF(K1798="","",ABS(K1798))</f>
        <v>0.434905353878102</v>
      </c>
      <c r="P1798" s="34" t="str">
        <f aca="false">IF(B1798&gt;=Eval_Start_Week,"YES","")</f>
        <v/>
      </c>
      <c r="Q1798" s="34" t="str">
        <f aca="false">IF(AND(B1798&gt;=Cal_Start_Week,B1798&lt;=Cal_End_Week),"YES","")</f>
        <v/>
      </c>
    </row>
    <row r="1799" customFormat="false" ht="15" hidden="false" customHeight="false" outlineLevel="0" collapsed="false">
      <c r="A1799" s="31" t="str">
        <f aca="false">Demand_History!C1799</f>
        <v>BTH-008</v>
      </c>
      <c r="B1799" s="31" t="n">
        <f aca="false">Demand_History!A1799</f>
        <v>30</v>
      </c>
      <c r="C1799" s="32" t="n">
        <f aca="false">Demand_History!D1799</f>
        <v>6</v>
      </c>
      <c r="D1799" s="33" t="n">
        <f aca="false">IF(B1799&gt;=2,C1798,"")</f>
        <v>8</v>
      </c>
      <c r="E1799" s="33" t="n">
        <f aca="false">IF(B1799&gt;=5,AVERAGE(C1795:C1798),"")</f>
        <v>8.25</v>
      </c>
      <c r="F1799" s="33" t="n">
        <f aca="false">IF(B1799&gt;=9,AVERAGE(C1791:C1798),"")</f>
        <v>7.125</v>
      </c>
      <c r="G1799" s="33" t="n">
        <f aca="false">IF(B1799=1,"",IF(B1799=2,C1798,SES_Alpha*C1798+(1-SES_Alpha)*G1798))</f>
        <v>7.69556625228533</v>
      </c>
      <c r="H1799" s="33" t="n">
        <f aca="false">IF(D1799="","",D1799-C1799)</f>
        <v>2</v>
      </c>
      <c r="I1799" s="33" t="n">
        <f aca="false">IF(E1799="","",E1799-C1799)</f>
        <v>2.25</v>
      </c>
      <c r="J1799" s="33" t="n">
        <f aca="false">IF(F1799="","",F1799-C1799)</f>
        <v>1.125</v>
      </c>
      <c r="K1799" s="33" t="n">
        <f aca="false">IF(G1799="","",G1799-C1799)</f>
        <v>1.69556625228533</v>
      </c>
      <c r="L1799" s="33" t="n">
        <f aca="false">IF(H1799="","",ABS(H1799))</f>
        <v>2</v>
      </c>
      <c r="M1799" s="33" t="n">
        <f aca="false">IF(I1799="","",ABS(I1799))</f>
        <v>2.25</v>
      </c>
      <c r="N1799" s="33" t="n">
        <f aca="false">IF(J1799="","",ABS(J1799))</f>
        <v>1.125</v>
      </c>
      <c r="O1799" s="33" t="n">
        <f aca="false">IF(K1799="","",ABS(K1799))</f>
        <v>1.69556625228533</v>
      </c>
      <c r="P1799" s="34" t="str">
        <f aca="false">IF(B1799&gt;=Eval_Start_Week,"YES","")</f>
        <v/>
      </c>
      <c r="Q1799" s="34" t="str">
        <f aca="false">IF(AND(B1799&gt;=Cal_Start_Week,B1799&lt;=Cal_End_Week),"YES","")</f>
        <v/>
      </c>
    </row>
    <row r="1800" customFormat="false" ht="15" hidden="false" customHeight="false" outlineLevel="0" collapsed="false">
      <c r="A1800" s="31" t="str">
        <f aca="false">Demand_History!C1800</f>
        <v>BTH-008</v>
      </c>
      <c r="B1800" s="31" t="n">
        <f aca="false">Demand_History!A1800</f>
        <v>31</v>
      </c>
      <c r="C1800" s="32" t="n">
        <f aca="false">Demand_History!D1800</f>
        <v>4</v>
      </c>
      <c r="D1800" s="33" t="n">
        <f aca="false">IF(B1800&gt;=2,C1799,"")</f>
        <v>6</v>
      </c>
      <c r="E1800" s="33" t="n">
        <f aca="false">IF(B1800&gt;=5,AVERAGE(C1796:C1799),"")</f>
        <v>8</v>
      </c>
      <c r="F1800" s="33" t="n">
        <f aca="false">IF(B1800&gt;=9,AVERAGE(C1792:C1799),"")</f>
        <v>7</v>
      </c>
      <c r="G1800" s="33" t="n">
        <f aca="false">IF(B1800=1,"",IF(B1800=2,C1799,SES_Alpha*C1799+(1-SES_Alpha)*G1799))</f>
        <v>7.18689637659973</v>
      </c>
      <c r="H1800" s="33" t="n">
        <f aca="false">IF(D1800="","",D1800-C1800)</f>
        <v>2</v>
      </c>
      <c r="I1800" s="33" t="n">
        <f aca="false">IF(E1800="","",E1800-C1800)</f>
        <v>4</v>
      </c>
      <c r="J1800" s="33" t="n">
        <f aca="false">IF(F1800="","",F1800-C1800)</f>
        <v>3</v>
      </c>
      <c r="K1800" s="33" t="n">
        <f aca="false">IF(G1800="","",G1800-C1800)</f>
        <v>3.18689637659973</v>
      </c>
      <c r="L1800" s="33" t="n">
        <f aca="false">IF(H1800="","",ABS(H1800))</f>
        <v>2</v>
      </c>
      <c r="M1800" s="33" t="n">
        <f aca="false">IF(I1800="","",ABS(I1800))</f>
        <v>4</v>
      </c>
      <c r="N1800" s="33" t="n">
        <f aca="false">IF(J1800="","",ABS(J1800))</f>
        <v>3</v>
      </c>
      <c r="O1800" s="33" t="n">
        <f aca="false">IF(K1800="","",ABS(K1800))</f>
        <v>3.18689637659973</v>
      </c>
      <c r="P1800" s="34" t="str">
        <f aca="false">IF(B1800&gt;=Eval_Start_Week,"YES","")</f>
        <v/>
      </c>
      <c r="Q1800" s="34" t="str">
        <f aca="false">IF(AND(B1800&gt;=Cal_Start_Week,B1800&lt;=Cal_End_Week),"YES","")</f>
        <v/>
      </c>
    </row>
    <row r="1801" customFormat="false" ht="15" hidden="false" customHeight="false" outlineLevel="0" collapsed="false">
      <c r="A1801" s="31" t="str">
        <f aca="false">Demand_History!C1801</f>
        <v>BTH-008</v>
      </c>
      <c r="B1801" s="31" t="n">
        <f aca="false">Demand_History!A1801</f>
        <v>32</v>
      </c>
      <c r="C1801" s="32" t="n">
        <f aca="false">Demand_History!D1801</f>
        <v>5</v>
      </c>
      <c r="D1801" s="33" t="n">
        <f aca="false">IF(B1801&gt;=2,C1800,"")</f>
        <v>4</v>
      </c>
      <c r="E1801" s="33" t="n">
        <f aca="false">IF(B1801&gt;=5,AVERAGE(C1797:C1800),"")</f>
        <v>7</v>
      </c>
      <c r="F1801" s="33" t="n">
        <f aca="false">IF(B1801&gt;=9,AVERAGE(C1793:C1800),"")</f>
        <v>6.375</v>
      </c>
      <c r="G1801" s="33" t="n">
        <f aca="false">IF(B1801=1,"",IF(B1801=2,C1800,SES_Alpha*C1800+(1-SES_Alpha)*G1800))</f>
        <v>6.23082746361981</v>
      </c>
      <c r="H1801" s="33" t="n">
        <f aca="false">IF(D1801="","",D1801-C1801)</f>
        <v>-1</v>
      </c>
      <c r="I1801" s="33" t="n">
        <f aca="false">IF(E1801="","",E1801-C1801)</f>
        <v>2</v>
      </c>
      <c r="J1801" s="33" t="n">
        <f aca="false">IF(F1801="","",F1801-C1801)</f>
        <v>1.375</v>
      </c>
      <c r="K1801" s="33" t="n">
        <f aca="false">IF(G1801="","",G1801-C1801)</f>
        <v>1.23082746361981</v>
      </c>
      <c r="L1801" s="33" t="n">
        <f aca="false">IF(H1801="","",ABS(H1801))</f>
        <v>1</v>
      </c>
      <c r="M1801" s="33" t="n">
        <f aca="false">IF(I1801="","",ABS(I1801))</f>
        <v>2</v>
      </c>
      <c r="N1801" s="33" t="n">
        <f aca="false">IF(J1801="","",ABS(J1801))</f>
        <v>1.375</v>
      </c>
      <c r="O1801" s="33" t="n">
        <f aca="false">IF(K1801="","",ABS(K1801))</f>
        <v>1.23082746361981</v>
      </c>
      <c r="P1801" s="34" t="str">
        <f aca="false">IF(B1801&gt;=Eval_Start_Week,"YES","")</f>
        <v/>
      </c>
      <c r="Q1801" s="34" t="str">
        <f aca="false">IF(AND(B1801&gt;=Cal_Start_Week,B1801&lt;=Cal_End_Week),"YES","")</f>
        <v/>
      </c>
    </row>
    <row r="1802" customFormat="false" ht="15" hidden="false" customHeight="false" outlineLevel="0" collapsed="false">
      <c r="A1802" s="31" t="str">
        <f aca="false">Demand_History!C1802</f>
        <v>BTH-008</v>
      </c>
      <c r="B1802" s="31" t="n">
        <f aca="false">Demand_History!A1802</f>
        <v>33</v>
      </c>
      <c r="C1802" s="32" t="n">
        <f aca="false">Demand_History!D1802</f>
        <v>4</v>
      </c>
      <c r="D1802" s="33" t="n">
        <f aca="false">IF(B1802&gt;=2,C1801,"")</f>
        <v>5</v>
      </c>
      <c r="E1802" s="33" t="n">
        <f aca="false">IF(B1802&gt;=5,AVERAGE(C1798:C1801),"")</f>
        <v>5.75</v>
      </c>
      <c r="F1802" s="33" t="n">
        <f aca="false">IF(B1802&gt;=9,AVERAGE(C1794:C1801),"")</f>
        <v>6.625</v>
      </c>
      <c r="G1802" s="33" t="n">
        <f aca="false">IF(B1802=1,"",IF(B1802=2,C1801,SES_Alpha*C1801+(1-SES_Alpha)*G1801))</f>
        <v>5.86157922453387</v>
      </c>
      <c r="H1802" s="33" t="n">
        <f aca="false">IF(D1802="","",D1802-C1802)</f>
        <v>1</v>
      </c>
      <c r="I1802" s="33" t="n">
        <f aca="false">IF(E1802="","",E1802-C1802)</f>
        <v>1.75</v>
      </c>
      <c r="J1802" s="33" t="n">
        <f aca="false">IF(F1802="","",F1802-C1802)</f>
        <v>2.625</v>
      </c>
      <c r="K1802" s="33" t="n">
        <f aca="false">IF(G1802="","",G1802-C1802)</f>
        <v>1.86157922453387</v>
      </c>
      <c r="L1802" s="33" t="n">
        <f aca="false">IF(H1802="","",ABS(H1802))</f>
        <v>1</v>
      </c>
      <c r="M1802" s="33" t="n">
        <f aca="false">IF(I1802="","",ABS(I1802))</f>
        <v>1.75</v>
      </c>
      <c r="N1802" s="33" t="n">
        <f aca="false">IF(J1802="","",ABS(J1802))</f>
        <v>2.625</v>
      </c>
      <c r="O1802" s="33" t="n">
        <f aca="false">IF(K1802="","",ABS(K1802))</f>
        <v>1.86157922453387</v>
      </c>
      <c r="P1802" s="34" t="str">
        <f aca="false">IF(B1802&gt;=Eval_Start_Week,"YES","")</f>
        <v/>
      </c>
      <c r="Q1802" s="34" t="str">
        <f aca="false">IF(AND(B1802&gt;=Cal_Start_Week,B1802&lt;=Cal_End_Week),"YES","")</f>
        <v/>
      </c>
    </row>
    <row r="1803" customFormat="false" ht="15" hidden="false" customHeight="false" outlineLevel="0" collapsed="false">
      <c r="A1803" s="31" t="str">
        <f aca="false">Demand_History!C1803</f>
        <v>BTH-008</v>
      </c>
      <c r="B1803" s="31" t="n">
        <f aca="false">Demand_History!A1803</f>
        <v>34</v>
      </c>
      <c r="C1803" s="32" t="n">
        <f aca="false">Demand_History!D1803</f>
        <v>7</v>
      </c>
      <c r="D1803" s="33" t="n">
        <f aca="false">IF(B1803&gt;=2,C1802,"")</f>
        <v>4</v>
      </c>
      <c r="E1803" s="33" t="n">
        <f aca="false">IF(B1803&gt;=5,AVERAGE(C1799:C1802),"")</f>
        <v>4.75</v>
      </c>
      <c r="F1803" s="33" t="n">
        <f aca="false">IF(B1803&gt;=9,AVERAGE(C1795:C1802),"")</f>
        <v>6.5</v>
      </c>
      <c r="G1803" s="33" t="n">
        <f aca="false">IF(B1803=1,"",IF(B1803=2,C1802,SES_Alpha*C1802+(1-SES_Alpha)*G1802))</f>
        <v>5.30310545717371</v>
      </c>
      <c r="H1803" s="33" t="n">
        <f aca="false">IF(D1803="","",D1803-C1803)</f>
        <v>-3</v>
      </c>
      <c r="I1803" s="33" t="n">
        <f aca="false">IF(E1803="","",E1803-C1803)</f>
        <v>-2.25</v>
      </c>
      <c r="J1803" s="33" t="n">
        <f aca="false">IF(F1803="","",F1803-C1803)</f>
        <v>-0.5</v>
      </c>
      <c r="K1803" s="33" t="n">
        <f aca="false">IF(G1803="","",G1803-C1803)</f>
        <v>-1.69689454282629</v>
      </c>
      <c r="L1803" s="33" t="n">
        <f aca="false">IF(H1803="","",ABS(H1803))</f>
        <v>3</v>
      </c>
      <c r="M1803" s="33" t="n">
        <f aca="false">IF(I1803="","",ABS(I1803))</f>
        <v>2.25</v>
      </c>
      <c r="N1803" s="33" t="n">
        <f aca="false">IF(J1803="","",ABS(J1803))</f>
        <v>0.5</v>
      </c>
      <c r="O1803" s="33" t="n">
        <f aca="false">IF(K1803="","",ABS(K1803))</f>
        <v>1.69689454282629</v>
      </c>
      <c r="P1803" s="34" t="str">
        <f aca="false">IF(B1803&gt;=Eval_Start_Week,"YES","")</f>
        <v/>
      </c>
      <c r="Q1803" s="34" t="str">
        <f aca="false">IF(AND(B1803&gt;=Cal_Start_Week,B1803&lt;=Cal_End_Week),"YES","")</f>
        <v/>
      </c>
    </row>
    <row r="1804" customFormat="false" ht="15" hidden="false" customHeight="false" outlineLevel="0" collapsed="false">
      <c r="A1804" s="31" t="str">
        <f aca="false">Demand_History!C1804</f>
        <v>BTH-008</v>
      </c>
      <c r="B1804" s="31" t="n">
        <f aca="false">Demand_History!A1804</f>
        <v>35</v>
      </c>
      <c r="C1804" s="32" t="n">
        <f aca="false">Demand_History!D1804</f>
        <v>8</v>
      </c>
      <c r="D1804" s="33" t="n">
        <f aca="false">IF(B1804&gt;=2,C1803,"")</f>
        <v>7</v>
      </c>
      <c r="E1804" s="33" t="n">
        <f aca="false">IF(B1804&gt;=5,AVERAGE(C1800:C1803),"")</f>
        <v>5</v>
      </c>
      <c r="F1804" s="33" t="n">
        <f aca="false">IF(B1804&gt;=9,AVERAGE(C1796:C1803),"")</f>
        <v>6.5</v>
      </c>
      <c r="G1804" s="33" t="n">
        <f aca="false">IF(B1804=1,"",IF(B1804=2,C1803,SES_Alpha*C1803+(1-SES_Alpha)*G1803))</f>
        <v>5.81217382002159</v>
      </c>
      <c r="H1804" s="33" t="n">
        <f aca="false">IF(D1804="","",D1804-C1804)</f>
        <v>-1</v>
      </c>
      <c r="I1804" s="33" t="n">
        <f aca="false">IF(E1804="","",E1804-C1804)</f>
        <v>-3</v>
      </c>
      <c r="J1804" s="33" t="n">
        <f aca="false">IF(F1804="","",F1804-C1804)</f>
        <v>-1.5</v>
      </c>
      <c r="K1804" s="33" t="n">
        <f aca="false">IF(G1804="","",G1804-C1804)</f>
        <v>-2.18782617997841</v>
      </c>
      <c r="L1804" s="33" t="n">
        <f aca="false">IF(H1804="","",ABS(H1804))</f>
        <v>1</v>
      </c>
      <c r="M1804" s="33" t="n">
        <f aca="false">IF(I1804="","",ABS(I1804))</f>
        <v>3</v>
      </c>
      <c r="N1804" s="33" t="n">
        <f aca="false">IF(J1804="","",ABS(J1804))</f>
        <v>1.5</v>
      </c>
      <c r="O1804" s="33" t="n">
        <f aca="false">IF(K1804="","",ABS(K1804))</f>
        <v>2.18782617997841</v>
      </c>
      <c r="P1804" s="34" t="str">
        <f aca="false">IF(B1804&gt;=Eval_Start_Week,"YES","")</f>
        <v/>
      </c>
      <c r="Q1804" s="34" t="str">
        <f aca="false">IF(AND(B1804&gt;=Cal_Start_Week,B1804&lt;=Cal_End_Week),"YES","")</f>
        <v/>
      </c>
    </row>
    <row r="1805" customFormat="false" ht="15" hidden="false" customHeight="false" outlineLevel="0" collapsed="false">
      <c r="A1805" s="31" t="str">
        <f aca="false">Demand_History!C1805</f>
        <v>BTH-008</v>
      </c>
      <c r="B1805" s="31" t="n">
        <f aca="false">Demand_History!A1805</f>
        <v>36</v>
      </c>
      <c r="C1805" s="32" t="n">
        <f aca="false">Demand_History!D1805</f>
        <v>8</v>
      </c>
      <c r="D1805" s="33" t="n">
        <f aca="false">IF(B1805&gt;=2,C1804,"")</f>
        <v>8</v>
      </c>
      <c r="E1805" s="33" t="n">
        <f aca="false">IF(B1805&gt;=5,AVERAGE(C1801:C1804),"")</f>
        <v>6</v>
      </c>
      <c r="F1805" s="33" t="n">
        <f aca="false">IF(B1805&gt;=9,AVERAGE(C1797:C1804),"")</f>
        <v>6.5</v>
      </c>
      <c r="G1805" s="33" t="n">
        <f aca="false">IF(B1805=1,"",IF(B1805=2,C1804,SES_Alpha*C1804+(1-SES_Alpha)*G1804))</f>
        <v>6.46852167401512</v>
      </c>
      <c r="H1805" s="33" t="n">
        <f aca="false">IF(D1805="","",D1805-C1805)</f>
        <v>0</v>
      </c>
      <c r="I1805" s="33" t="n">
        <f aca="false">IF(E1805="","",E1805-C1805)</f>
        <v>-2</v>
      </c>
      <c r="J1805" s="33" t="n">
        <f aca="false">IF(F1805="","",F1805-C1805)</f>
        <v>-1.5</v>
      </c>
      <c r="K1805" s="33" t="n">
        <f aca="false">IF(G1805="","",G1805-C1805)</f>
        <v>-1.53147832598489</v>
      </c>
      <c r="L1805" s="33" t="n">
        <f aca="false">IF(H1805="","",ABS(H1805))</f>
        <v>0</v>
      </c>
      <c r="M1805" s="33" t="n">
        <f aca="false">IF(I1805="","",ABS(I1805))</f>
        <v>2</v>
      </c>
      <c r="N1805" s="33" t="n">
        <f aca="false">IF(J1805="","",ABS(J1805))</f>
        <v>1.5</v>
      </c>
      <c r="O1805" s="33" t="n">
        <f aca="false">IF(K1805="","",ABS(K1805))</f>
        <v>1.53147832598489</v>
      </c>
      <c r="P1805" s="34" t="str">
        <f aca="false">IF(B1805&gt;=Eval_Start_Week,"YES","")</f>
        <v/>
      </c>
      <c r="Q1805" s="34" t="str">
        <f aca="false">IF(AND(B1805&gt;=Cal_Start_Week,B1805&lt;=Cal_End_Week),"YES","")</f>
        <v/>
      </c>
    </row>
    <row r="1806" customFormat="false" ht="15" hidden="false" customHeight="false" outlineLevel="0" collapsed="false">
      <c r="A1806" s="31" t="str">
        <f aca="false">Demand_History!C1806</f>
        <v>BTH-008</v>
      </c>
      <c r="B1806" s="31" t="n">
        <f aca="false">Demand_History!A1806</f>
        <v>37</v>
      </c>
      <c r="C1806" s="32" t="n">
        <f aca="false">Demand_History!D1806</f>
        <v>3</v>
      </c>
      <c r="D1806" s="33" t="n">
        <f aca="false">IF(B1806&gt;=2,C1805,"")</f>
        <v>8</v>
      </c>
      <c r="E1806" s="33" t="n">
        <f aca="false">IF(B1806&gt;=5,AVERAGE(C1802:C1805),"")</f>
        <v>6.75</v>
      </c>
      <c r="F1806" s="33" t="n">
        <f aca="false">IF(B1806&gt;=9,AVERAGE(C1798:C1805),"")</f>
        <v>6.25</v>
      </c>
      <c r="G1806" s="33" t="n">
        <f aca="false">IF(B1806=1,"",IF(B1806=2,C1805,SES_Alpha*C1805+(1-SES_Alpha)*G1805))</f>
        <v>6.92796517181058</v>
      </c>
      <c r="H1806" s="33" t="n">
        <f aca="false">IF(D1806="","",D1806-C1806)</f>
        <v>5</v>
      </c>
      <c r="I1806" s="33" t="n">
        <f aca="false">IF(E1806="","",E1806-C1806)</f>
        <v>3.75</v>
      </c>
      <c r="J1806" s="33" t="n">
        <f aca="false">IF(F1806="","",F1806-C1806)</f>
        <v>3.25</v>
      </c>
      <c r="K1806" s="33" t="n">
        <f aca="false">IF(G1806="","",G1806-C1806)</f>
        <v>3.92796517181058</v>
      </c>
      <c r="L1806" s="33" t="n">
        <f aca="false">IF(H1806="","",ABS(H1806))</f>
        <v>5</v>
      </c>
      <c r="M1806" s="33" t="n">
        <f aca="false">IF(I1806="","",ABS(I1806))</f>
        <v>3.75</v>
      </c>
      <c r="N1806" s="33" t="n">
        <f aca="false">IF(J1806="","",ABS(J1806))</f>
        <v>3.25</v>
      </c>
      <c r="O1806" s="33" t="n">
        <f aca="false">IF(K1806="","",ABS(K1806))</f>
        <v>3.92796517181058</v>
      </c>
      <c r="P1806" s="34" t="str">
        <f aca="false">IF(B1806&gt;=Eval_Start_Week,"YES","")</f>
        <v/>
      </c>
      <c r="Q1806" s="34" t="str">
        <f aca="false">IF(AND(B1806&gt;=Cal_Start_Week,B1806&lt;=Cal_End_Week),"YES","")</f>
        <v>YES</v>
      </c>
    </row>
    <row r="1807" customFormat="false" ht="15" hidden="false" customHeight="false" outlineLevel="0" collapsed="false">
      <c r="A1807" s="31" t="str">
        <f aca="false">Demand_History!C1807</f>
        <v>BTH-008</v>
      </c>
      <c r="B1807" s="31" t="n">
        <f aca="false">Demand_History!A1807</f>
        <v>38</v>
      </c>
      <c r="C1807" s="32" t="n">
        <f aca="false">Demand_History!D1807</f>
        <v>4</v>
      </c>
      <c r="D1807" s="33" t="n">
        <f aca="false">IF(B1807&gt;=2,C1806,"")</f>
        <v>3</v>
      </c>
      <c r="E1807" s="33" t="n">
        <f aca="false">IF(B1807&gt;=5,AVERAGE(C1803:C1806),"")</f>
        <v>6.5</v>
      </c>
      <c r="F1807" s="33" t="n">
        <f aca="false">IF(B1807&gt;=9,AVERAGE(C1799:C1806),"")</f>
        <v>5.625</v>
      </c>
      <c r="G1807" s="33" t="n">
        <f aca="false">IF(B1807=1,"",IF(B1807=2,C1806,SES_Alpha*C1806+(1-SES_Alpha)*G1806))</f>
        <v>5.74957562026741</v>
      </c>
      <c r="H1807" s="33" t="n">
        <f aca="false">IF(D1807="","",D1807-C1807)</f>
        <v>-1</v>
      </c>
      <c r="I1807" s="33" t="n">
        <f aca="false">IF(E1807="","",E1807-C1807)</f>
        <v>2.5</v>
      </c>
      <c r="J1807" s="33" t="n">
        <f aca="false">IF(F1807="","",F1807-C1807)</f>
        <v>1.625</v>
      </c>
      <c r="K1807" s="33" t="n">
        <f aca="false">IF(G1807="","",G1807-C1807)</f>
        <v>1.74957562026741</v>
      </c>
      <c r="L1807" s="33" t="n">
        <f aca="false">IF(H1807="","",ABS(H1807))</f>
        <v>1</v>
      </c>
      <c r="M1807" s="33" t="n">
        <f aca="false">IF(I1807="","",ABS(I1807))</f>
        <v>2.5</v>
      </c>
      <c r="N1807" s="33" t="n">
        <f aca="false">IF(J1807="","",ABS(J1807))</f>
        <v>1.625</v>
      </c>
      <c r="O1807" s="33" t="n">
        <f aca="false">IF(K1807="","",ABS(K1807))</f>
        <v>1.74957562026741</v>
      </c>
      <c r="P1807" s="34" t="str">
        <f aca="false">IF(B1807&gt;=Eval_Start_Week,"YES","")</f>
        <v/>
      </c>
      <c r="Q1807" s="34" t="str">
        <f aca="false">IF(AND(B1807&gt;=Cal_Start_Week,B1807&lt;=Cal_End_Week),"YES","")</f>
        <v>YES</v>
      </c>
    </row>
    <row r="1808" customFormat="false" ht="15" hidden="false" customHeight="false" outlineLevel="0" collapsed="false">
      <c r="A1808" s="31" t="str">
        <f aca="false">Demand_History!C1808</f>
        <v>BTH-008</v>
      </c>
      <c r="B1808" s="31" t="n">
        <f aca="false">Demand_History!A1808</f>
        <v>39</v>
      </c>
      <c r="C1808" s="32" t="n">
        <f aca="false">Demand_History!D1808</f>
        <v>7</v>
      </c>
      <c r="D1808" s="33" t="n">
        <f aca="false">IF(B1808&gt;=2,C1807,"")</f>
        <v>4</v>
      </c>
      <c r="E1808" s="33" t="n">
        <f aca="false">IF(B1808&gt;=5,AVERAGE(C1804:C1807),"")</f>
        <v>5.75</v>
      </c>
      <c r="F1808" s="33" t="n">
        <f aca="false">IF(B1808&gt;=9,AVERAGE(C1800:C1807),"")</f>
        <v>5.375</v>
      </c>
      <c r="G1808" s="33" t="n">
        <f aca="false">IF(B1808=1,"",IF(B1808=2,C1807,SES_Alpha*C1807+(1-SES_Alpha)*G1807))</f>
        <v>5.22470293418718</v>
      </c>
      <c r="H1808" s="33" t="n">
        <f aca="false">IF(D1808="","",D1808-C1808)</f>
        <v>-3</v>
      </c>
      <c r="I1808" s="33" t="n">
        <f aca="false">IF(E1808="","",E1808-C1808)</f>
        <v>-1.25</v>
      </c>
      <c r="J1808" s="33" t="n">
        <f aca="false">IF(F1808="","",F1808-C1808)</f>
        <v>-1.625</v>
      </c>
      <c r="K1808" s="33" t="n">
        <f aca="false">IF(G1808="","",G1808-C1808)</f>
        <v>-1.77529706581282</v>
      </c>
      <c r="L1808" s="33" t="n">
        <f aca="false">IF(H1808="","",ABS(H1808))</f>
        <v>3</v>
      </c>
      <c r="M1808" s="33" t="n">
        <f aca="false">IF(I1808="","",ABS(I1808))</f>
        <v>1.25</v>
      </c>
      <c r="N1808" s="33" t="n">
        <f aca="false">IF(J1808="","",ABS(J1808))</f>
        <v>1.625</v>
      </c>
      <c r="O1808" s="33" t="n">
        <f aca="false">IF(K1808="","",ABS(K1808))</f>
        <v>1.77529706581282</v>
      </c>
      <c r="P1808" s="34" t="str">
        <f aca="false">IF(B1808&gt;=Eval_Start_Week,"YES","")</f>
        <v/>
      </c>
      <c r="Q1808" s="34" t="str">
        <f aca="false">IF(AND(B1808&gt;=Cal_Start_Week,B1808&lt;=Cal_End_Week),"YES","")</f>
        <v>YES</v>
      </c>
    </row>
    <row r="1809" customFormat="false" ht="15" hidden="false" customHeight="false" outlineLevel="0" collapsed="false">
      <c r="A1809" s="31" t="str">
        <f aca="false">Demand_History!C1809</f>
        <v>BTH-008</v>
      </c>
      <c r="B1809" s="31" t="n">
        <f aca="false">Demand_History!A1809</f>
        <v>40</v>
      </c>
      <c r="C1809" s="32" t="n">
        <f aca="false">Demand_History!D1809</f>
        <v>5</v>
      </c>
      <c r="D1809" s="33" t="n">
        <f aca="false">IF(B1809&gt;=2,C1808,"")</f>
        <v>7</v>
      </c>
      <c r="E1809" s="33" t="n">
        <f aca="false">IF(B1809&gt;=5,AVERAGE(C1805:C1808),"")</f>
        <v>5.5</v>
      </c>
      <c r="F1809" s="33" t="n">
        <f aca="false">IF(B1809&gt;=9,AVERAGE(C1801:C1808),"")</f>
        <v>5.75</v>
      </c>
      <c r="G1809" s="33" t="n">
        <f aca="false">IF(B1809=1,"",IF(B1809=2,C1808,SES_Alpha*C1808+(1-SES_Alpha)*G1808))</f>
        <v>5.75729205393103</v>
      </c>
      <c r="H1809" s="33" t="n">
        <f aca="false">IF(D1809="","",D1809-C1809)</f>
        <v>2</v>
      </c>
      <c r="I1809" s="33" t="n">
        <f aca="false">IF(E1809="","",E1809-C1809)</f>
        <v>0.5</v>
      </c>
      <c r="J1809" s="33" t="n">
        <f aca="false">IF(F1809="","",F1809-C1809)</f>
        <v>0.75</v>
      </c>
      <c r="K1809" s="33" t="n">
        <f aca="false">IF(G1809="","",G1809-C1809)</f>
        <v>0.757292053931028</v>
      </c>
      <c r="L1809" s="33" t="n">
        <f aca="false">IF(H1809="","",ABS(H1809))</f>
        <v>2</v>
      </c>
      <c r="M1809" s="33" t="n">
        <f aca="false">IF(I1809="","",ABS(I1809))</f>
        <v>0.5</v>
      </c>
      <c r="N1809" s="33" t="n">
        <f aca="false">IF(J1809="","",ABS(J1809))</f>
        <v>0.75</v>
      </c>
      <c r="O1809" s="33" t="n">
        <f aca="false">IF(K1809="","",ABS(K1809))</f>
        <v>0.757292053931028</v>
      </c>
      <c r="P1809" s="34" t="str">
        <f aca="false">IF(B1809&gt;=Eval_Start_Week,"YES","")</f>
        <v/>
      </c>
      <c r="Q1809" s="34" t="str">
        <f aca="false">IF(AND(B1809&gt;=Cal_Start_Week,B1809&lt;=Cal_End_Week),"YES","")</f>
        <v>YES</v>
      </c>
    </row>
    <row r="1810" customFormat="false" ht="15" hidden="false" customHeight="false" outlineLevel="0" collapsed="false">
      <c r="A1810" s="31" t="str">
        <f aca="false">Demand_History!C1810</f>
        <v>BTH-008</v>
      </c>
      <c r="B1810" s="31" t="n">
        <f aca="false">Demand_History!A1810</f>
        <v>41</v>
      </c>
      <c r="C1810" s="32" t="n">
        <f aca="false">Demand_History!D1810</f>
        <v>4</v>
      </c>
      <c r="D1810" s="33" t="n">
        <f aca="false">IF(B1810&gt;=2,C1809,"")</f>
        <v>5</v>
      </c>
      <c r="E1810" s="33" t="n">
        <f aca="false">IF(B1810&gt;=5,AVERAGE(C1806:C1809),"")</f>
        <v>4.75</v>
      </c>
      <c r="F1810" s="33" t="n">
        <f aca="false">IF(B1810&gt;=9,AVERAGE(C1802:C1809),"")</f>
        <v>5.75</v>
      </c>
      <c r="G1810" s="33" t="n">
        <f aca="false">IF(B1810=1,"",IF(B1810=2,C1809,SES_Alpha*C1809+(1-SES_Alpha)*G1809))</f>
        <v>5.53010443775172</v>
      </c>
      <c r="H1810" s="33" t="n">
        <f aca="false">IF(D1810="","",D1810-C1810)</f>
        <v>1</v>
      </c>
      <c r="I1810" s="33" t="n">
        <f aca="false">IF(E1810="","",E1810-C1810)</f>
        <v>0.75</v>
      </c>
      <c r="J1810" s="33" t="n">
        <f aca="false">IF(F1810="","",F1810-C1810)</f>
        <v>1.75</v>
      </c>
      <c r="K1810" s="33" t="n">
        <f aca="false">IF(G1810="","",G1810-C1810)</f>
        <v>1.53010443775172</v>
      </c>
      <c r="L1810" s="33" t="n">
        <f aca="false">IF(H1810="","",ABS(H1810))</f>
        <v>1</v>
      </c>
      <c r="M1810" s="33" t="n">
        <f aca="false">IF(I1810="","",ABS(I1810))</f>
        <v>0.75</v>
      </c>
      <c r="N1810" s="33" t="n">
        <f aca="false">IF(J1810="","",ABS(J1810))</f>
        <v>1.75</v>
      </c>
      <c r="O1810" s="33" t="n">
        <f aca="false">IF(K1810="","",ABS(K1810))</f>
        <v>1.53010443775172</v>
      </c>
      <c r="P1810" s="34" t="str">
        <f aca="false">IF(B1810&gt;=Eval_Start_Week,"YES","")</f>
        <v/>
      </c>
      <c r="Q1810" s="34" t="str">
        <f aca="false">IF(AND(B1810&gt;=Cal_Start_Week,B1810&lt;=Cal_End_Week),"YES","")</f>
        <v>YES</v>
      </c>
    </row>
    <row r="1811" customFormat="false" ht="15" hidden="false" customHeight="false" outlineLevel="0" collapsed="false">
      <c r="A1811" s="31" t="str">
        <f aca="false">Demand_History!C1811</f>
        <v>BTH-008</v>
      </c>
      <c r="B1811" s="31" t="n">
        <f aca="false">Demand_History!A1811</f>
        <v>42</v>
      </c>
      <c r="C1811" s="32" t="n">
        <f aca="false">Demand_History!D1811</f>
        <v>11</v>
      </c>
      <c r="D1811" s="33" t="n">
        <f aca="false">IF(B1811&gt;=2,C1810,"")</f>
        <v>4</v>
      </c>
      <c r="E1811" s="33" t="n">
        <f aca="false">IF(B1811&gt;=5,AVERAGE(C1807:C1810),"")</f>
        <v>5</v>
      </c>
      <c r="F1811" s="33" t="n">
        <f aca="false">IF(B1811&gt;=9,AVERAGE(C1803:C1810),"")</f>
        <v>5.75</v>
      </c>
      <c r="G1811" s="33" t="n">
        <f aca="false">IF(B1811=1,"",IF(B1811=2,C1810,SES_Alpha*C1810+(1-SES_Alpha)*G1810))</f>
        <v>5.0710731064262</v>
      </c>
      <c r="H1811" s="33" t="n">
        <f aca="false">IF(D1811="","",D1811-C1811)</f>
        <v>-7</v>
      </c>
      <c r="I1811" s="33" t="n">
        <f aca="false">IF(E1811="","",E1811-C1811)</f>
        <v>-6</v>
      </c>
      <c r="J1811" s="33" t="n">
        <f aca="false">IF(F1811="","",F1811-C1811)</f>
        <v>-5.25</v>
      </c>
      <c r="K1811" s="33" t="n">
        <f aca="false">IF(G1811="","",G1811-C1811)</f>
        <v>-5.9289268935738</v>
      </c>
      <c r="L1811" s="33" t="n">
        <f aca="false">IF(H1811="","",ABS(H1811))</f>
        <v>7</v>
      </c>
      <c r="M1811" s="33" t="n">
        <f aca="false">IF(I1811="","",ABS(I1811))</f>
        <v>6</v>
      </c>
      <c r="N1811" s="33" t="n">
        <f aca="false">IF(J1811="","",ABS(J1811))</f>
        <v>5.25</v>
      </c>
      <c r="O1811" s="33" t="n">
        <f aca="false">IF(K1811="","",ABS(K1811))</f>
        <v>5.9289268935738</v>
      </c>
      <c r="P1811" s="34" t="str">
        <f aca="false">IF(B1811&gt;=Eval_Start_Week,"YES","")</f>
        <v/>
      </c>
      <c r="Q1811" s="34" t="str">
        <f aca="false">IF(AND(B1811&gt;=Cal_Start_Week,B1811&lt;=Cal_End_Week),"YES","")</f>
        <v>YES</v>
      </c>
    </row>
    <row r="1812" customFormat="false" ht="15" hidden="false" customHeight="false" outlineLevel="0" collapsed="false">
      <c r="A1812" s="31" t="str">
        <f aca="false">Demand_History!C1812</f>
        <v>BTH-008</v>
      </c>
      <c r="B1812" s="31" t="n">
        <f aca="false">Demand_History!A1812</f>
        <v>43</v>
      </c>
      <c r="C1812" s="32" t="n">
        <f aca="false">Demand_History!D1812</f>
        <v>4</v>
      </c>
      <c r="D1812" s="33" t="n">
        <f aca="false">IF(B1812&gt;=2,C1811,"")</f>
        <v>11</v>
      </c>
      <c r="E1812" s="33" t="n">
        <f aca="false">IF(B1812&gt;=5,AVERAGE(C1808:C1811),"")</f>
        <v>6.75</v>
      </c>
      <c r="F1812" s="33" t="n">
        <f aca="false">IF(B1812&gt;=9,AVERAGE(C1804:C1811),"")</f>
        <v>6.25</v>
      </c>
      <c r="G1812" s="33" t="n">
        <f aca="false">IF(B1812=1,"",IF(B1812=2,C1811,SES_Alpha*C1811+(1-SES_Alpha)*G1811))</f>
        <v>6.84975117449834</v>
      </c>
      <c r="H1812" s="33" t="n">
        <f aca="false">IF(D1812="","",D1812-C1812)</f>
        <v>7</v>
      </c>
      <c r="I1812" s="33" t="n">
        <f aca="false">IF(E1812="","",E1812-C1812)</f>
        <v>2.75</v>
      </c>
      <c r="J1812" s="33" t="n">
        <f aca="false">IF(F1812="","",F1812-C1812)</f>
        <v>2.25</v>
      </c>
      <c r="K1812" s="33" t="n">
        <f aca="false">IF(G1812="","",G1812-C1812)</f>
        <v>2.84975117449834</v>
      </c>
      <c r="L1812" s="33" t="n">
        <f aca="false">IF(H1812="","",ABS(H1812))</f>
        <v>7</v>
      </c>
      <c r="M1812" s="33" t="n">
        <f aca="false">IF(I1812="","",ABS(I1812))</f>
        <v>2.75</v>
      </c>
      <c r="N1812" s="33" t="n">
        <f aca="false">IF(J1812="","",ABS(J1812))</f>
        <v>2.25</v>
      </c>
      <c r="O1812" s="33" t="n">
        <f aca="false">IF(K1812="","",ABS(K1812))</f>
        <v>2.84975117449834</v>
      </c>
      <c r="P1812" s="34" t="str">
        <f aca="false">IF(B1812&gt;=Eval_Start_Week,"YES","")</f>
        <v/>
      </c>
      <c r="Q1812" s="34" t="str">
        <f aca="false">IF(AND(B1812&gt;=Cal_Start_Week,B1812&lt;=Cal_End_Week),"YES","")</f>
        <v>YES</v>
      </c>
    </row>
    <row r="1813" customFormat="false" ht="15" hidden="false" customHeight="false" outlineLevel="0" collapsed="false">
      <c r="A1813" s="31" t="str">
        <f aca="false">Demand_History!C1813</f>
        <v>BTH-008</v>
      </c>
      <c r="B1813" s="31" t="n">
        <f aca="false">Demand_History!A1813</f>
        <v>44</v>
      </c>
      <c r="C1813" s="32" t="n">
        <f aca="false">Demand_History!D1813</f>
        <v>7</v>
      </c>
      <c r="D1813" s="33" t="n">
        <f aca="false">IF(B1813&gt;=2,C1812,"")</f>
        <v>4</v>
      </c>
      <c r="E1813" s="33" t="n">
        <f aca="false">IF(B1813&gt;=5,AVERAGE(C1809:C1812),"")</f>
        <v>6</v>
      </c>
      <c r="F1813" s="33" t="n">
        <f aca="false">IF(B1813&gt;=9,AVERAGE(C1805:C1812),"")</f>
        <v>5.75</v>
      </c>
      <c r="G1813" s="33" t="n">
        <f aca="false">IF(B1813=1,"",IF(B1813=2,C1812,SES_Alpha*C1812+(1-SES_Alpha)*G1812))</f>
        <v>5.99482582214884</v>
      </c>
      <c r="H1813" s="33" t="n">
        <f aca="false">IF(D1813="","",D1813-C1813)</f>
        <v>-3</v>
      </c>
      <c r="I1813" s="33" t="n">
        <f aca="false">IF(E1813="","",E1813-C1813)</f>
        <v>-1</v>
      </c>
      <c r="J1813" s="33" t="n">
        <f aca="false">IF(F1813="","",F1813-C1813)</f>
        <v>-1.25</v>
      </c>
      <c r="K1813" s="33" t="n">
        <f aca="false">IF(G1813="","",G1813-C1813)</f>
        <v>-1.00517417785116</v>
      </c>
      <c r="L1813" s="33" t="n">
        <f aca="false">IF(H1813="","",ABS(H1813))</f>
        <v>3</v>
      </c>
      <c r="M1813" s="33" t="n">
        <f aca="false">IF(I1813="","",ABS(I1813))</f>
        <v>1</v>
      </c>
      <c r="N1813" s="33" t="n">
        <f aca="false">IF(J1813="","",ABS(J1813))</f>
        <v>1.25</v>
      </c>
      <c r="O1813" s="33" t="n">
        <f aca="false">IF(K1813="","",ABS(K1813))</f>
        <v>1.00517417785116</v>
      </c>
      <c r="P1813" s="34" t="str">
        <f aca="false">IF(B1813&gt;=Eval_Start_Week,"YES","")</f>
        <v/>
      </c>
      <c r="Q1813" s="34" t="str">
        <f aca="false">IF(AND(B1813&gt;=Cal_Start_Week,B1813&lt;=Cal_End_Week),"YES","")</f>
        <v>YES</v>
      </c>
    </row>
    <row r="1814" customFormat="false" ht="15" hidden="false" customHeight="false" outlineLevel="0" collapsed="false">
      <c r="A1814" s="31" t="str">
        <f aca="false">Demand_History!C1814</f>
        <v>BTH-008</v>
      </c>
      <c r="B1814" s="31" t="n">
        <f aca="false">Demand_History!A1814</f>
        <v>45</v>
      </c>
      <c r="C1814" s="32" t="n">
        <f aca="false">Demand_History!D1814</f>
        <v>12</v>
      </c>
      <c r="D1814" s="33" t="n">
        <f aca="false">IF(B1814&gt;=2,C1813,"")</f>
        <v>7</v>
      </c>
      <c r="E1814" s="33" t="n">
        <f aca="false">IF(B1814&gt;=5,AVERAGE(C1810:C1813),"")</f>
        <v>6.5</v>
      </c>
      <c r="F1814" s="33" t="n">
        <f aca="false">IF(B1814&gt;=9,AVERAGE(C1806:C1813),"")</f>
        <v>5.625</v>
      </c>
      <c r="G1814" s="33" t="n">
        <f aca="false">IF(B1814=1,"",IF(B1814=2,C1813,SES_Alpha*C1813+(1-SES_Alpha)*G1813))</f>
        <v>6.29637807550419</v>
      </c>
      <c r="H1814" s="33" t="n">
        <f aca="false">IF(D1814="","",D1814-C1814)</f>
        <v>-5</v>
      </c>
      <c r="I1814" s="33" t="n">
        <f aca="false">IF(E1814="","",E1814-C1814)</f>
        <v>-5.5</v>
      </c>
      <c r="J1814" s="33" t="n">
        <f aca="false">IF(F1814="","",F1814-C1814)</f>
        <v>-6.375</v>
      </c>
      <c r="K1814" s="33" t="n">
        <f aca="false">IF(G1814="","",G1814-C1814)</f>
        <v>-5.70362192449581</v>
      </c>
      <c r="L1814" s="33" t="n">
        <f aca="false">IF(H1814="","",ABS(H1814))</f>
        <v>5</v>
      </c>
      <c r="M1814" s="33" t="n">
        <f aca="false">IF(I1814="","",ABS(I1814))</f>
        <v>5.5</v>
      </c>
      <c r="N1814" s="33" t="n">
        <f aca="false">IF(J1814="","",ABS(J1814))</f>
        <v>6.375</v>
      </c>
      <c r="O1814" s="33" t="n">
        <f aca="false">IF(K1814="","",ABS(K1814))</f>
        <v>5.70362192449581</v>
      </c>
      <c r="P1814" s="34" t="str">
        <f aca="false">IF(B1814&gt;=Eval_Start_Week,"YES","")</f>
        <v/>
      </c>
      <c r="Q1814" s="34" t="str">
        <f aca="false">IF(AND(B1814&gt;=Cal_Start_Week,B1814&lt;=Cal_End_Week),"YES","")</f>
        <v>YES</v>
      </c>
    </row>
    <row r="1815" customFormat="false" ht="15" hidden="false" customHeight="false" outlineLevel="0" collapsed="false">
      <c r="A1815" s="31" t="str">
        <f aca="false">Demand_History!C1815</f>
        <v>BTH-008</v>
      </c>
      <c r="B1815" s="31" t="n">
        <f aca="false">Demand_History!A1815</f>
        <v>46</v>
      </c>
      <c r="C1815" s="32" t="n">
        <f aca="false">Demand_History!D1815</f>
        <v>3</v>
      </c>
      <c r="D1815" s="33" t="n">
        <f aca="false">IF(B1815&gt;=2,C1814,"")</f>
        <v>12</v>
      </c>
      <c r="E1815" s="33" t="n">
        <f aca="false">IF(B1815&gt;=5,AVERAGE(C1811:C1814),"")</f>
        <v>8.5</v>
      </c>
      <c r="F1815" s="33" t="n">
        <f aca="false">IF(B1815&gt;=9,AVERAGE(C1807:C1814),"")</f>
        <v>6.75</v>
      </c>
      <c r="G1815" s="33" t="n">
        <f aca="false">IF(B1815=1,"",IF(B1815=2,C1814,SES_Alpha*C1814+(1-SES_Alpha)*G1814))</f>
        <v>8.00746465285293</v>
      </c>
      <c r="H1815" s="33" t="n">
        <f aca="false">IF(D1815="","",D1815-C1815)</f>
        <v>9</v>
      </c>
      <c r="I1815" s="33" t="n">
        <f aca="false">IF(E1815="","",E1815-C1815)</f>
        <v>5.5</v>
      </c>
      <c r="J1815" s="33" t="n">
        <f aca="false">IF(F1815="","",F1815-C1815)</f>
        <v>3.75</v>
      </c>
      <c r="K1815" s="33" t="n">
        <f aca="false">IF(G1815="","",G1815-C1815)</f>
        <v>5.00746465285293</v>
      </c>
      <c r="L1815" s="33" t="n">
        <f aca="false">IF(H1815="","",ABS(H1815))</f>
        <v>9</v>
      </c>
      <c r="M1815" s="33" t="n">
        <f aca="false">IF(I1815="","",ABS(I1815))</f>
        <v>5.5</v>
      </c>
      <c r="N1815" s="33" t="n">
        <f aca="false">IF(J1815="","",ABS(J1815))</f>
        <v>3.75</v>
      </c>
      <c r="O1815" s="33" t="n">
        <f aca="false">IF(K1815="","",ABS(K1815))</f>
        <v>5.00746465285293</v>
      </c>
      <c r="P1815" s="34" t="str">
        <f aca="false">IF(B1815&gt;=Eval_Start_Week,"YES","")</f>
        <v/>
      </c>
      <c r="Q1815" s="34" t="str">
        <f aca="false">IF(AND(B1815&gt;=Cal_Start_Week,B1815&lt;=Cal_End_Week),"YES","")</f>
        <v>YES</v>
      </c>
    </row>
    <row r="1816" customFormat="false" ht="15" hidden="false" customHeight="false" outlineLevel="0" collapsed="false">
      <c r="A1816" s="31" t="str">
        <f aca="false">Demand_History!C1816</f>
        <v>BTH-008</v>
      </c>
      <c r="B1816" s="31" t="n">
        <f aca="false">Demand_History!A1816</f>
        <v>47</v>
      </c>
      <c r="C1816" s="32" t="n">
        <f aca="false">Demand_History!D1816</f>
        <v>4</v>
      </c>
      <c r="D1816" s="33" t="n">
        <f aca="false">IF(B1816&gt;=2,C1815,"")</f>
        <v>3</v>
      </c>
      <c r="E1816" s="33" t="n">
        <f aca="false">IF(B1816&gt;=5,AVERAGE(C1812:C1815),"")</f>
        <v>6.5</v>
      </c>
      <c r="F1816" s="33" t="n">
        <f aca="false">IF(B1816&gt;=9,AVERAGE(C1808:C1815),"")</f>
        <v>6.625</v>
      </c>
      <c r="G1816" s="33" t="n">
        <f aca="false">IF(B1816=1,"",IF(B1816=2,C1815,SES_Alpha*C1815+(1-SES_Alpha)*G1815))</f>
        <v>6.50522525699705</v>
      </c>
      <c r="H1816" s="33" t="n">
        <f aca="false">IF(D1816="","",D1816-C1816)</f>
        <v>-1</v>
      </c>
      <c r="I1816" s="33" t="n">
        <f aca="false">IF(E1816="","",E1816-C1816)</f>
        <v>2.5</v>
      </c>
      <c r="J1816" s="33" t="n">
        <f aca="false">IF(F1816="","",F1816-C1816)</f>
        <v>2.625</v>
      </c>
      <c r="K1816" s="33" t="n">
        <f aca="false">IF(G1816="","",G1816-C1816)</f>
        <v>2.50522525699705</v>
      </c>
      <c r="L1816" s="33" t="n">
        <f aca="false">IF(H1816="","",ABS(H1816))</f>
        <v>1</v>
      </c>
      <c r="M1816" s="33" t="n">
        <f aca="false">IF(I1816="","",ABS(I1816))</f>
        <v>2.5</v>
      </c>
      <c r="N1816" s="33" t="n">
        <f aca="false">IF(J1816="","",ABS(J1816))</f>
        <v>2.625</v>
      </c>
      <c r="O1816" s="33" t="n">
        <f aca="false">IF(K1816="","",ABS(K1816))</f>
        <v>2.50522525699705</v>
      </c>
      <c r="P1816" s="34" t="str">
        <f aca="false">IF(B1816&gt;=Eval_Start_Week,"YES","")</f>
        <v/>
      </c>
      <c r="Q1816" s="34" t="str">
        <f aca="false">IF(AND(B1816&gt;=Cal_Start_Week,B1816&lt;=Cal_End_Week),"YES","")</f>
        <v>YES</v>
      </c>
    </row>
    <row r="1817" customFormat="false" ht="15" hidden="false" customHeight="false" outlineLevel="0" collapsed="false">
      <c r="A1817" s="31" t="str">
        <f aca="false">Demand_History!C1817</f>
        <v>BTH-008</v>
      </c>
      <c r="B1817" s="31" t="n">
        <f aca="false">Demand_History!A1817</f>
        <v>48</v>
      </c>
      <c r="C1817" s="32" t="n">
        <f aca="false">Demand_History!D1817</f>
        <v>5</v>
      </c>
      <c r="D1817" s="33" t="n">
        <f aca="false">IF(B1817&gt;=2,C1816,"")</f>
        <v>4</v>
      </c>
      <c r="E1817" s="33" t="n">
        <f aca="false">IF(B1817&gt;=5,AVERAGE(C1813:C1816),"")</f>
        <v>6.5</v>
      </c>
      <c r="F1817" s="33" t="n">
        <f aca="false">IF(B1817&gt;=9,AVERAGE(C1809:C1816),"")</f>
        <v>6.25</v>
      </c>
      <c r="G1817" s="33" t="n">
        <f aca="false">IF(B1817=1,"",IF(B1817=2,C1816,SES_Alpha*C1816+(1-SES_Alpha)*G1816))</f>
        <v>5.75365767989794</v>
      </c>
      <c r="H1817" s="33" t="n">
        <f aca="false">IF(D1817="","",D1817-C1817)</f>
        <v>-1</v>
      </c>
      <c r="I1817" s="33" t="n">
        <f aca="false">IF(E1817="","",E1817-C1817)</f>
        <v>1.5</v>
      </c>
      <c r="J1817" s="33" t="n">
        <f aca="false">IF(F1817="","",F1817-C1817)</f>
        <v>1.25</v>
      </c>
      <c r="K1817" s="33" t="n">
        <f aca="false">IF(G1817="","",G1817-C1817)</f>
        <v>0.753657679897935</v>
      </c>
      <c r="L1817" s="33" t="n">
        <f aca="false">IF(H1817="","",ABS(H1817))</f>
        <v>1</v>
      </c>
      <c r="M1817" s="33" t="n">
        <f aca="false">IF(I1817="","",ABS(I1817))</f>
        <v>1.5</v>
      </c>
      <c r="N1817" s="33" t="n">
        <f aca="false">IF(J1817="","",ABS(J1817))</f>
        <v>1.25</v>
      </c>
      <c r="O1817" s="33" t="n">
        <f aca="false">IF(K1817="","",ABS(K1817))</f>
        <v>0.753657679897935</v>
      </c>
      <c r="P1817" s="34" t="str">
        <f aca="false">IF(B1817&gt;=Eval_Start_Week,"YES","")</f>
        <v/>
      </c>
      <c r="Q1817" s="34" t="str">
        <f aca="false">IF(AND(B1817&gt;=Cal_Start_Week,B1817&lt;=Cal_End_Week),"YES","")</f>
        <v>YES</v>
      </c>
    </row>
    <row r="1818" customFormat="false" ht="15" hidden="false" customHeight="false" outlineLevel="0" collapsed="false">
      <c r="A1818" s="31" t="str">
        <f aca="false">Demand_History!C1818</f>
        <v>BTH-008</v>
      </c>
      <c r="B1818" s="31" t="n">
        <f aca="false">Demand_History!A1818</f>
        <v>49</v>
      </c>
      <c r="C1818" s="32" t="n">
        <f aca="false">Demand_History!D1818</f>
        <v>6</v>
      </c>
      <c r="D1818" s="33" t="n">
        <f aca="false">IF(B1818&gt;=2,C1817,"")</f>
        <v>5</v>
      </c>
      <c r="E1818" s="33" t="n">
        <f aca="false">IF(B1818&gt;=5,AVERAGE(C1814:C1817),"")</f>
        <v>6</v>
      </c>
      <c r="F1818" s="33" t="n">
        <f aca="false">IF(B1818&gt;=9,AVERAGE(C1810:C1817),"")</f>
        <v>6.25</v>
      </c>
      <c r="G1818" s="33" t="n">
        <f aca="false">IF(B1818=1,"",IF(B1818=2,C1817,SES_Alpha*C1817+(1-SES_Alpha)*G1817))</f>
        <v>5.52756037592855</v>
      </c>
      <c r="H1818" s="33" t="n">
        <f aca="false">IF(D1818="","",D1818-C1818)</f>
        <v>-1</v>
      </c>
      <c r="I1818" s="33" t="n">
        <f aca="false">IF(E1818="","",E1818-C1818)</f>
        <v>0</v>
      </c>
      <c r="J1818" s="33" t="n">
        <f aca="false">IF(F1818="","",F1818-C1818)</f>
        <v>0.25</v>
      </c>
      <c r="K1818" s="33" t="n">
        <f aca="false">IF(G1818="","",G1818-C1818)</f>
        <v>-0.472439624071446</v>
      </c>
      <c r="L1818" s="33" t="n">
        <f aca="false">IF(H1818="","",ABS(H1818))</f>
        <v>1</v>
      </c>
      <c r="M1818" s="33" t="n">
        <f aca="false">IF(I1818="","",ABS(I1818))</f>
        <v>0</v>
      </c>
      <c r="N1818" s="33" t="n">
        <f aca="false">IF(J1818="","",ABS(J1818))</f>
        <v>0.25</v>
      </c>
      <c r="O1818" s="33" t="n">
        <f aca="false">IF(K1818="","",ABS(K1818))</f>
        <v>0.472439624071446</v>
      </c>
      <c r="P1818" s="34" t="str">
        <f aca="false">IF(B1818&gt;=Eval_Start_Week,"YES","")</f>
        <v/>
      </c>
      <c r="Q1818" s="34" t="str">
        <f aca="false">IF(AND(B1818&gt;=Cal_Start_Week,B1818&lt;=Cal_End_Week),"YES","")</f>
        <v>YES</v>
      </c>
    </row>
    <row r="1819" customFormat="false" ht="15" hidden="false" customHeight="false" outlineLevel="0" collapsed="false">
      <c r="A1819" s="31" t="str">
        <f aca="false">Demand_History!C1819</f>
        <v>BTH-008</v>
      </c>
      <c r="B1819" s="31" t="n">
        <f aca="false">Demand_History!A1819</f>
        <v>50</v>
      </c>
      <c r="C1819" s="32" t="n">
        <f aca="false">Demand_History!D1819</f>
        <v>3</v>
      </c>
      <c r="D1819" s="33" t="n">
        <f aca="false">IF(B1819&gt;=2,C1818,"")</f>
        <v>6</v>
      </c>
      <c r="E1819" s="33" t="n">
        <f aca="false">IF(B1819&gt;=5,AVERAGE(C1815:C1818),"")</f>
        <v>4.5</v>
      </c>
      <c r="F1819" s="33" t="n">
        <f aca="false">IF(B1819&gt;=9,AVERAGE(C1811:C1818),"")</f>
        <v>6.5</v>
      </c>
      <c r="G1819" s="33" t="n">
        <f aca="false">IF(B1819=1,"",IF(B1819=2,C1818,SES_Alpha*C1818+(1-SES_Alpha)*G1818))</f>
        <v>5.66929226314999</v>
      </c>
      <c r="H1819" s="33" t="n">
        <f aca="false">IF(D1819="","",D1819-C1819)</f>
        <v>3</v>
      </c>
      <c r="I1819" s="33" t="n">
        <f aca="false">IF(E1819="","",E1819-C1819)</f>
        <v>1.5</v>
      </c>
      <c r="J1819" s="33" t="n">
        <f aca="false">IF(F1819="","",F1819-C1819)</f>
        <v>3.5</v>
      </c>
      <c r="K1819" s="33" t="n">
        <f aca="false">IF(G1819="","",G1819-C1819)</f>
        <v>2.66929226314999</v>
      </c>
      <c r="L1819" s="33" t="n">
        <f aca="false">IF(H1819="","",ABS(H1819))</f>
        <v>3</v>
      </c>
      <c r="M1819" s="33" t="n">
        <f aca="false">IF(I1819="","",ABS(I1819))</f>
        <v>1.5</v>
      </c>
      <c r="N1819" s="33" t="n">
        <f aca="false">IF(J1819="","",ABS(J1819))</f>
        <v>3.5</v>
      </c>
      <c r="O1819" s="33" t="n">
        <f aca="false">IF(K1819="","",ABS(K1819))</f>
        <v>2.66929226314999</v>
      </c>
      <c r="P1819" s="34" t="str">
        <f aca="false">IF(B1819&gt;=Eval_Start_Week,"YES","")</f>
        <v/>
      </c>
      <c r="Q1819" s="34" t="str">
        <f aca="false">IF(AND(B1819&gt;=Cal_Start_Week,B1819&lt;=Cal_End_Week),"YES","")</f>
        <v>YES</v>
      </c>
    </row>
    <row r="1820" customFormat="false" ht="15" hidden="false" customHeight="false" outlineLevel="0" collapsed="false">
      <c r="A1820" s="31" t="str">
        <f aca="false">Demand_History!C1820</f>
        <v>BTH-008</v>
      </c>
      <c r="B1820" s="31" t="n">
        <f aca="false">Demand_History!A1820</f>
        <v>51</v>
      </c>
      <c r="C1820" s="32" t="n">
        <f aca="false">Demand_History!D1820</f>
        <v>4</v>
      </c>
      <c r="D1820" s="33" t="n">
        <f aca="false">IF(B1820&gt;=2,C1819,"")</f>
        <v>3</v>
      </c>
      <c r="E1820" s="33" t="n">
        <f aca="false">IF(B1820&gt;=5,AVERAGE(C1816:C1819),"")</f>
        <v>4.5</v>
      </c>
      <c r="F1820" s="33" t="n">
        <f aca="false">IF(B1820&gt;=9,AVERAGE(C1812:C1819),"")</f>
        <v>5.5</v>
      </c>
      <c r="G1820" s="33" t="n">
        <f aca="false">IF(B1820=1,"",IF(B1820=2,C1819,SES_Alpha*C1819+(1-SES_Alpha)*G1819))</f>
        <v>4.86850458420499</v>
      </c>
      <c r="H1820" s="33" t="n">
        <f aca="false">IF(D1820="","",D1820-C1820)</f>
        <v>-1</v>
      </c>
      <c r="I1820" s="33" t="n">
        <f aca="false">IF(E1820="","",E1820-C1820)</f>
        <v>0.5</v>
      </c>
      <c r="J1820" s="33" t="n">
        <f aca="false">IF(F1820="","",F1820-C1820)</f>
        <v>1.5</v>
      </c>
      <c r="K1820" s="33" t="n">
        <f aca="false">IF(G1820="","",G1820-C1820)</f>
        <v>0.868504584204991</v>
      </c>
      <c r="L1820" s="33" t="n">
        <f aca="false">IF(H1820="","",ABS(H1820))</f>
        <v>1</v>
      </c>
      <c r="M1820" s="33" t="n">
        <f aca="false">IF(I1820="","",ABS(I1820))</f>
        <v>0.5</v>
      </c>
      <c r="N1820" s="33" t="n">
        <f aca="false">IF(J1820="","",ABS(J1820))</f>
        <v>1.5</v>
      </c>
      <c r="O1820" s="33" t="n">
        <f aca="false">IF(K1820="","",ABS(K1820))</f>
        <v>0.868504584204991</v>
      </c>
      <c r="P1820" s="34" t="str">
        <f aca="false">IF(B1820&gt;=Eval_Start_Week,"YES","")</f>
        <v/>
      </c>
      <c r="Q1820" s="34" t="str">
        <f aca="false">IF(AND(B1820&gt;=Cal_Start_Week,B1820&lt;=Cal_End_Week),"YES","")</f>
        <v>YES</v>
      </c>
    </row>
    <row r="1821" customFormat="false" ht="15" hidden="false" customHeight="false" outlineLevel="0" collapsed="false">
      <c r="A1821" s="31" t="str">
        <f aca="false">Demand_History!C1821</f>
        <v>BTH-008</v>
      </c>
      <c r="B1821" s="31" t="n">
        <f aca="false">Demand_History!A1821</f>
        <v>52</v>
      </c>
      <c r="C1821" s="32" t="n">
        <f aca="false">Demand_History!D1821</f>
        <v>6</v>
      </c>
      <c r="D1821" s="33" t="n">
        <f aca="false">IF(B1821&gt;=2,C1820,"")</f>
        <v>4</v>
      </c>
      <c r="E1821" s="33" t="n">
        <f aca="false">IF(B1821&gt;=5,AVERAGE(C1817:C1820),"")</f>
        <v>4.5</v>
      </c>
      <c r="F1821" s="33" t="n">
        <f aca="false">IF(B1821&gt;=9,AVERAGE(C1813:C1820),"")</f>
        <v>5.5</v>
      </c>
      <c r="G1821" s="33" t="n">
        <f aca="false">IF(B1821=1,"",IF(B1821=2,C1820,SES_Alpha*C1820+(1-SES_Alpha)*G1820))</f>
        <v>4.60795320894349</v>
      </c>
      <c r="H1821" s="33" t="n">
        <f aca="false">IF(D1821="","",D1821-C1821)</f>
        <v>-2</v>
      </c>
      <c r="I1821" s="33" t="n">
        <f aca="false">IF(E1821="","",E1821-C1821)</f>
        <v>-1.5</v>
      </c>
      <c r="J1821" s="33" t="n">
        <f aca="false">IF(F1821="","",F1821-C1821)</f>
        <v>-0.5</v>
      </c>
      <c r="K1821" s="33" t="n">
        <f aca="false">IF(G1821="","",G1821-C1821)</f>
        <v>-1.39204679105651</v>
      </c>
      <c r="L1821" s="33" t="n">
        <f aca="false">IF(H1821="","",ABS(H1821))</f>
        <v>2</v>
      </c>
      <c r="M1821" s="33" t="n">
        <f aca="false">IF(I1821="","",ABS(I1821))</f>
        <v>1.5</v>
      </c>
      <c r="N1821" s="33" t="n">
        <f aca="false">IF(J1821="","",ABS(J1821))</f>
        <v>0.5</v>
      </c>
      <c r="O1821" s="33" t="n">
        <f aca="false">IF(K1821="","",ABS(K1821))</f>
        <v>1.39204679105651</v>
      </c>
      <c r="P1821" s="34" t="str">
        <f aca="false">IF(B1821&gt;=Eval_Start_Week,"YES","")</f>
        <v/>
      </c>
      <c r="Q1821" s="34" t="str">
        <f aca="false">IF(AND(B1821&gt;=Cal_Start_Week,B1821&lt;=Cal_End_Week),"YES","")</f>
        <v>YES</v>
      </c>
    </row>
    <row r="1822" customFormat="false" ht="15" hidden="false" customHeight="false" outlineLevel="0" collapsed="false">
      <c r="A1822" s="31" t="str">
        <f aca="false">Demand_History!C1822</f>
        <v>BTH-008</v>
      </c>
      <c r="B1822" s="31" t="n">
        <f aca="false">Demand_History!A1822</f>
        <v>53</v>
      </c>
      <c r="C1822" s="32" t="n">
        <f aca="false">Demand_History!D1822</f>
        <v>7</v>
      </c>
      <c r="D1822" s="33" t="n">
        <f aca="false">IF(B1822&gt;=2,C1821,"")</f>
        <v>6</v>
      </c>
      <c r="E1822" s="33" t="n">
        <f aca="false">IF(B1822&gt;=5,AVERAGE(C1818:C1821),"")</f>
        <v>4.75</v>
      </c>
      <c r="F1822" s="33" t="n">
        <f aca="false">IF(B1822&gt;=9,AVERAGE(C1814:C1821),"")</f>
        <v>5.375</v>
      </c>
      <c r="G1822" s="33" t="n">
        <f aca="false">IF(B1822=1,"",IF(B1822=2,C1821,SES_Alpha*C1821+(1-SES_Alpha)*G1821))</f>
        <v>5.02556724626045</v>
      </c>
      <c r="H1822" s="33" t="n">
        <f aca="false">IF(D1822="","",D1822-C1822)</f>
        <v>-1</v>
      </c>
      <c r="I1822" s="33" t="n">
        <f aca="false">IF(E1822="","",E1822-C1822)</f>
        <v>-2.25</v>
      </c>
      <c r="J1822" s="33" t="n">
        <f aca="false">IF(F1822="","",F1822-C1822)</f>
        <v>-1.625</v>
      </c>
      <c r="K1822" s="33" t="n">
        <f aca="false">IF(G1822="","",G1822-C1822)</f>
        <v>-1.97443275373956</v>
      </c>
      <c r="L1822" s="33" t="n">
        <f aca="false">IF(H1822="","",ABS(H1822))</f>
        <v>1</v>
      </c>
      <c r="M1822" s="33" t="n">
        <f aca="false">IF(I1822="","",ABS(I1822))</f>
        <v>2.25</v>
      </c>
      <c r="N1822" s="33" t="n">
        <f aca="false">IF(J1822="","",ABS(J1822))</f>
        <v>1.625</v>
      </c>
      <c r="O1822" s="33" t="n">
        <f aca="false">IF(K1822="","",ABS(K1822))</f>
        <v>1.97443275373956</v>
      </c>
      <c r="P1822" s="34" t="str">
        <f aca="false">IF(B1822&gt;=Eval_Start_Week,"YES","")</f>
        <v>YES</v>
      </c>
      <c r="Q1822" s="34" t="str">
        <f aca="false">IF(AND(B1822&gt;=Cal_Start_Week,B1822&lt;=Cal_End_Week),"YES","")</f>
        <v>YES</v>
      </c>
    </row>
    <row r="1823" customFormat="false" ht="15" hidden="false" customHeight="false" outlineLevel="0" collapsed="false">
      <c r="A1823" s="31" t="str">
        <f aca="false">Demand_History!C1823</f>
        <v>BTH-008</v>
      </c>
      <c r="B1823" s="31" t="n">
        <f aca="false">Demand_History!A1823</f>
        <v>54</v>
      </c>
      <c r="C1823" s="32" t="n">
        <f aca="false">Demand_History!D1823</f>
        <v>7</v>
      </c>
      <c r="D1823" s="33" t="n">
        <f aca="false">IF(B1823&gt;=2,C1822,"")</f>
        <v>7</v>
      </c>
      <c r="E1823" s="33" t="n">
        <f aca="false">IF(B1823&gt;=5,AVERAGE(C1819:C1822),"")</f>
        <v>5</v>
      </c>
      <c r="F1823" s="33" t="n">
        <f aca="false">IF(B1823&gt;=9,AVERAGE(C1815:C1822),"")</f>
        <v>4.75</v>
      </c>
      <c r="G1823" s="33" t="n">
        <f aca="false">IF(B1823=1,"",IF(B1823=2,C1822,SES_Alpha*C1822+(1-SES_Alpha)*G1822))</f>
        <v>5.61789707238231</v>
      </c>
      <c r="H1823" s="33" t="n">
        <f aca="false">IF(D1823="","",D1823-C1823)</f>
        <v>0</v>
      </c>
      <c r="I1823" s="33" t="n">
        <f aca="false">IF(E1823="","",E1823-C1823)</f>
        <v>-2</v>
      </c>
      <c r="J1823" s="33" t="n">
        <f aca="false">IF(F1823="","",F1823-C1823)</f>
        <v>-2.25</v>
      </c>
      <c r="K1823" s="33" t="n">
        <f aca="false">IF(G1823="","",G1823-C1823)</f>
        <v>-1.38210292761769</v>
      </c>
      <c r="L1823" s="33" t="n">
        <f aca="false">IF(H1823="","",ABS(H1823))</f>
        <v>0</v>
      </c>
      <c r="M1823" s="33" t="n">
        <f aca="false">IF(I1823="","",ABS(I1823))</f>
        <v>2</v>
      </c>
      <c r="N1823" s="33" t="n">
        <f aca="false">IF(J1823="","",ABS(J1823))</f>
        <v>2.25</v>
      </c>
      <c r="O1823" s="33" t="n">
        <f aca="false">IF(K1823="","",ABS(K1823))</f>
        <v>1.38210292761769</v>
      </c>
      <c r="P1823" s="34" t="str">
        <f aca="false">IF(B1823&gt;=Eval_Start_Week,"YES","")</f>
        <v>YES</v>
      </c>
      <c r="Q1823" s="34" t="str">
        <f aca="false">IF(AND(B1823&gt;=Cal_Start_Week,B1823&lt;=Cal_End_Week),"YES","")</f>
        <v>YES</v>
      </c>
    </row>
    <row r="1824" customFormat="false" ht="15" hidden="false" customHeight="false" outlineLevel="0" collapsed="false">
      <c r="A1824" s="31" t="str">
        <f aca="false">Demand_History!C1824</f>
        <v>BTH-008</v>
      </c>
      <c r="B1824" s="31" t="n">
        <f aca="false">Demand_History!A1824</f>
        <v>55</v>
      </c>
      <c r="C1824" s="32" t="n">
        <f aca="false">Demand_History!D1824</f>
        <v>7</v>
      </c>
      <c r="D1824" s="33" t="n">
        <f aca="false">IF(B1824&gt;=2,C1823,"")</f>
        <v>7</v>
      </c>
      <c r="E1824" s="33" t="n">
        <f aca="false">IF(B1824&gt;=5,AVERAGE(C1820:C1823),"")</f>
        <v>6</v>
      </c>
      <c r="F1824" s="33" t="n">
        <f aca="false">IF(B1824&gt;=9,AVERAGE(C1816:C1823),"")</f>
        <v>5.25</v>
      </c>
      <c r="G1824" s="33" t="n">
        <f aca="false">IF(B1824=1,"",IF(B1824=2,C1823,SES_Alpha*C1823+(1-SES_Alpha)*G1823))</f>
        <v>6.03252795066762</v>
      </c>
      <c r="H1824" s="33" t="n">
        <f aca="false">IF(D1824="","",D1824-C1824)</f>
        <v>0</v>
      </c>
      <c r="I1824" s="33" t="n">
        <f aca="false">IF(E1824="","",E1824-C1824)</f>
        <v>-1</v>
      </c>
      <c r="J1824" s="33" t="n">
        <f aca="false">IF(F1824="","",F1824-C1824)</f>
        <v>-1.75</v>
      </c>
      <c r="K1824" s="33" t="n">
        <f aca="false">IF(G1824="","",G1824-C1824)</f>
        <v>-0.967472049332383</v>
      </c>
      <c r="L1824" s="33" t="n">
        <f aca="false">IF(H1824="","",ABS(H1824))</f>
        <v>0</v>
      </c>
      <c r="M1824" s="33" t="n">
        <f aca="false">IF(I1824="","",ABS(I1824))</f>
        <v>1</v>
      </c>
      <c r="N1824" s="33" t="n">
        <f aca="false">IF(J1824="","",ABS(J1824))</f>
        <v>1.75</v>
      </c>
      <c r="O1824" s="33" t="n">
        <f aca="false">IF(K1824="","",ABS(K1824))</f>
        <v>0.967472049332383</v>
      </c>
      <c r="P1824" s="34" t="str">
        <f aca="false">IF(B1824&gt;=Eval_Start_Week,"YES","")</f>
        <v>YES</v>
      </c>
      <c r="Q1824" s="34" t="str">
        <f aca="false">IF(AND(B1824&gt;=Cal_Start_Week,B1824&lt;=Cal_End_Week),"YES","")</f>
        <v>YES</v>
      </c>
    </row>
    <row r="1825" customFormat="false" ht="15" hidden="false" customHeight="false" outlineLevel="0" collapsed="false">
      <c r="A1825" s="31" t="str">
        <f aca="false">Demand_History!C1825</f>
        <v>BTH-008</v>
      </c>
      <c r="B1825" s="31" t="n">
        <f aca="false">Demand_History!A1825</f>
        <v>56</v>
      </c>
      <c r="C1825" s="32" t="n">
        <f aca="false">Demand_History!D1825</f>
        <v>7</v>
      </c>
      <c r="D1825" s="33" t="n">
        <f aca="false">IF(B1825&gt;=2,C1824,"")</f>
        <v>7</v>
      </c>
      <c r="E1825" s="33" t="n">
        <f aca="false">IF(B1825&gt;=5,AVERAGE(C1821:C1824),"")</f>
        <v>6.75</v>
      </c>
      <c r="F1825" s="33" t="n">
        <f aca="false">IF(B1825&gt;=9,AVERAGE(C1817:C1824),"")</f>
        <v>5.625</v>
      </c>
      <c r="G1825" s="33" t="n">
        <f aca="false">IF(B1825=1,"",IF(B1825=2,C1824,SES_Alpha*C1824+(1-SES_Alpha)*G1824))</f>
        <v>6.32276956546733</v>
      </c>
      <c r="H1825" s="33" t="n">
        <f aca="false">IF(D1825="","",D1825-C1825)</f>
        <v>0</v>
      </c>
      <c r="I1825" s="33" t="n">
        <f aca="false">IF(E1825="","",E1825-C1825)</f>
        <v>-0.25</v>
      </c>
      <c r="J1825" s="33" t="n">
        <f aca="false">IF(F1825="","",F1825-C1825)</f>
        <v>-1.375</v>
      </c>
      <c r="K1825" s="33" t="n">
        <f aca="false">IF(G1825="","",G1825-C1825)</f>
        <v>-0.677230434532667</v>
      </c>
      <c r="L1825" s="33" t="n">
        <f aca="false">IF(H1825="","",ABS(H1825))</f>
        <v>0</v>
      </c>
      <c r="M1825" s="33" t="n">
        <f aca="false">IF(I1825="","",ABS(I1825))</f>
        <v>0.25</v>
      </c>
      <c r="N1825" s="33" t="n">
        <f aca="false">IF(J1825="","",ABS(J1825))</f>
        <v>1.375</v>
      </c>
      <c r="O1825" s="33" t="n">
        <f aca="false">IF(K1825="","",ABS(K1825))</f>
        <v>0.677230434532667</v>
      </c>
      <c r="P1825" s="34" t="str">
        <f aca="false">IF(B1825&gt;=Eval_Start_Week,"YES","")</f>
        <v>YES</v>
      </c>
      <c r="Q1825" s="34" t="str">
        <f aca="false">IF(AND(B1825&gt;=Cal_Start_Week,B1825&lt;=Cal_End_Week),"YES","")</f>
        <v>YES</v>
      </c>
    </row>
    <row r="1826" customFormat="false" ht="15" hidden="false" customHeight="false" outlineLevel="0" collapsed="false">
      <c r="A1826" s="31" t="str">
        <f aca="false">Demand_History!C1826</f>
        <v>BTH-008</v>
      </c>
      <c r="B1826" s="31" t="n">
        <f aca="false">Demand_History!A1826</f>
        <v>57</v>
      </c>
      <c r="C1826" s="32" t="n">
        <f aca="false">Demand_History!D1826</f>
        <v>7</v>
      </c>
      <c r="D1826" s="33" t="n">
        <f aca="false">IF(B1826&gt;=2,C1825,"")</f>
        <v>7</v>
      </c>
      <c r="E1826" s="33" t="n">
        <f aca="false">IF(B1826&gt;=5,AVERAGE(C1822:C1825),"")</f>
        <v>7</v>
      </c>
      <c r="F1826" s="33" t="n">
        <f aca="false">IF(B1826&gt;=9,AVERAGE(C1818:C1825),"")</f>
        <v>5.875</v>
      </c>
      <c r="G1826" s="33" t="n">
        <f aca="false">IF(B1826=1,"",IF(B1826=2,C1825,SES_Alpha*C1825+(1-SES_Alpha)*G1825))</f>
        <v>6.52593869582713</v>
      </c>
      <c r="H1826" s="33" t="n">
        <f aca="false">IF(D1826="","",D1826-C1826)</f>
        <v>0</v>
      </c>
      <c r="I1826" s="33" t="n">
        <f aca="false">IF(E1826="","",E1826-C1826)</f>
        <v>0</v>
      </c>
      <c r="J1826" s="33" t="n">
        <f aca="false">IF(F1826="","",F1826-C1826)</f>
        <v>-1.125</v>
      </c>
      <c r="K1826" s="33" t="n">
        <f aca="false">IF(G1826="","",G1826-C1826)</f>
        <v>-0.474061304172867</v>
      </c>
      <c r="L1826" s="33" t="n">
        <f aca="false">IF(H1826="","",ABS(H1826))</f>
        <v>0</v>
      </c>
      <c r="M1826" s="33" t="n">
        <f aca="false">IF(I1826="","",ABS(I1826))</f>
        <v>0</v>
      </c>
      <c r="N1826" s="33" t="n">
        <f aca="false">IF(J1826="","",ABS(J1826))</f>
        <v>1.125</v>
      </c>
      <c r="O1826" s="33" t="n">
        <f aca="false">IF(K1826="","",ABS(K1826))</f>
        <v>0.474061304172867</v>
      </c>
      <c r="P1826" s="34" t="str">
        <f aca="false">IF(B1826&gt;=Eval_Start_Week,"YES","")</f>
        <v>YES</v>
      </c>
      <c r="Q1826" s="34" t="str">
        <f aca="false">IF(AND(B1826&gt;=Cal_Start_Week,B1826&lt;=Cal_End_Week),"YES","")</f>
        <v>YES</v>
      </c>
    </row>
    <row r="1827" customFormat="false" ht="15" hidden="false" customHeight="false" outlineLevel="0" collapsed="false">
      <c r="A1827" s="31" t="str">
        <f aca="false">Demand_History!C1827</f>
        <v>BTH-008</v>
      </c>
      <c r="B1827" s="31" t="n">
        <f aca="false">Demand_History!A1827</f>
        <v>58</v>
      </c>
      <c r="C1827" s="32" t="n">
        <f aca="false">Demand_History!D1827</f>
        <v>5</v>
      </c>
      <c r="D1827" s="33" t="n">
        <f aca="false">IF(B1827&gt;=2,C1826,"")</f>
        <v>7</v>
      </c>
      <c r="E1827" s="33" t="n">
        <f aca="false">IF(B1827&gt;=5,AVERAGE(C1823:C1826),"")</f>
        <v>7</v>
      </c>
      <c r="F1827" s="33" t="n">
        <f aca="false">IF(B1827&gt;=9,AVERAGE(C1819:C1826),"")</f>
        <v>6</v>
      </c>
      <c r="G1827" s="33" t="n">
        <f aca="false">IF(B1827=1,"",IF(B1827=2,C1826,SES_Alpha*C1826+(1-SES_Alpha)*G1826))</f>
        <v>6.66815708707899</v>
      </c>
      <c r="H1827" s="33" t="n">
        <f aca="false">IF(D1827="","",D1827-C1827)</f>
        <v>2</v>
      </c>
      <c r="I1827" s="33" t="n">
        <f aca="false">IF(E1827="","",E1827-C1827)</f>
        <v>2</v>
      </c>
      <c r="J1827" s="33" t="n">
        <f aca="false">IF(F1827="","",F1827-C1827)</f>
        <v>1</v>
      </c>
      <c r="K1827" s="33" t="n">
        <f aca="false">IF(G1827="","",G1827-C1827)</f>
        <v>1.66815708707899</v>
      </c>
      <c r="L1827" s="33" t="n">
        <f aca="false">IF(H1827="","",ABS(H1827))</f>
        <v>2</v>
      </c>
      <c r="M1827" s="33" t="n">
        <f aca="false">IF(I1827="","",ABS(I1827))</f>
        <v>2</v>
      </c>
      <c r="N1827" s="33" t="n">
        <f aca="false">IF(J1827="","",ABS(J1827))</f>
        <v>1</v>
      </c>
      <c r="O1827" s="33" t="n">
        <f aca="false">IF(K1827="","",ABS(K1827))</f>
        <v>1.66815708707899</v>
      </c>
      <c r="P1827" s="34" t="str">
        <f aca="false">IF(B1827&gt;=Eval_Start_Week,"YES","")</f>
        <v>YES</v>
      </c>
      <c r="Q1827" s="34" t="str">
        <f aca="false">IF(AND(B1827&gt;=Cal_Start_Week,B1827&lt;=Cal_End_Week),"YES","")</f>
        <v>YES</v>
      </c>
    </row>
    <row r="1828" customFormat="false" ht="15" hidden="false" customHeight="false" outlineLevel="0" collapsed="false">
      <c r="A1828" s="31" t="str">
        <f aca="false">Demand_History!C1828</f>
        <v>BTH-008</v>
      </c>
      <c r="B1828" s="31" t="n">
        <f aca="false">Demand_History!A1828</f>
        <v>59</v>
      </c>
      <c r="C1828" s="32" t="n">
        <f aca="false">Demand_History!D1828</f>
        <v>5</v>
      </c>
      <c r="D1828" s="33" t="n">
        <f aca="false">IF(B1828&gt;=2,C1827,"")</f>
        <v>5</v>
      </c>
      <c r="E1828" s="33" t="n">
        <f aca="false">IF(B1828&gt;=5,AVERAGE(C1824:C1827),"")</f>
        <v>6.5</v>
      </c>
      <c r="F1828" s="33" t="n">
        <f aca="false">IF(B1828&gt;=9,AVERAGE(C1820:C1827),"")</f>
        <v>6.25</v>
      </c>
      <c r="G1828" s="33" t="n">
        <f aca="false">IF(B1828=1,"",IF(B1828=2,C1827,SES_Alpha*C1827+(1-SES_Alpha)*G1827))</f>
        <v>6.16770996095529</v>
      </c>
      <c r="H1828" s="33" t="n">
        <f aca="false">IF(D1828="","",D1828-C1828)</f>
        <v>0</v>
      </c>
      <c r="I1828" s="33" t="n">
        <f aca="false">IF(E1828="","",E1828-C1828)</f>
        <v>1.5</v>
      </c>
      <c r="J1828" s="33" t="n">
        <f aca="false">IF(F1828="","",F1828-C1828)</f>
        <v>1.25</v>
      </c>
      <c r="K1828" s="33" t="n">
        <f aca="false">IF(G1828="","",G1828-C1828)</f>
        <v>1.16770996095529</v>
      </c>
      <c r="L1828" s="33" t="n">
        <f aca="false">IF(H1828="","",ABS(H1828))</f>
        <v>0</v>
      </c>
      <c r="M1828" s="33" t="n">
        <f aca="false">IF(I1828="","",ABS(I1828))</f>
        <v>1.5</v>
      </c>
      <c r="N1828" s="33" t="n">
        <f aca="false">IF(J1828="","",ABS(J1828))</f>
        <v>1.25</v>
      </c>
      <c r="O1828" s="33" t="n">
        <f aca="false">IF(K1828="","",ABS(K1828))</f>
        <v>1.16770996095529</v>
      </c>
      <c r="P1828" s="34" t="str">
        <f aca="false">IF(B1828&gt;=Eval_Start_Week,"YES","")</f>
        <v>YES</v>
      </c>
      <c r="Q1828" s="34" t="str">
        <f aca="false">IF(AND(B1828&gt;=Cal_Start_Week,B1828&lt;=Cal_End_Week),"YES","")</f>
        <v>YES</v>
      </c>
    </row>
    <row r="1829" customFormat="false" ht="15" hidden="false" customHeight="false" outlineLevel="0" collapsed="false">
      <c r="A1829" s="31" t="str">
        <f aca="false">Demand_History!C1829</f>
        <v>BTH-008</v>
      </c>
      <c r="B1829" s="31" t="n">
        <f aca="false">Demand_History!A1829</f>
        <v>60</v>
      </c>
      <c r="C1829" s="32" t="n">
        <f aca="false">Demand_History!D1829</f>
        <v>2</v>
      </c>
      <c r="D1829" s="33" t="n">
        <f aca="false">IF(B1829&gt;=2,C1828,"")</f>
        <v>5</v>
      </c>
      <c r="E1829" s="33" t="n">
        <f aca="false">IF(B1829&gt;=5,AVERAGE(C1825:C1828),"")</f>
        <v>6</v>
      </c>
      <c r="F1829" s="33" t="n">
        <f aca="false">IF(B1829&gt;=9,AVERAGE(C1821:C1828),"")</f>
        <v>6.375</v>
      </c>
      <c r="G1829" s="33" t="n">
        <f aca="false">IF(B1829=1,"",IF(B1829=2,C1828,SES_Alpha*C1828+(1-SES_Alpha)*G1828))</f>
        <v>5.81739697266871</v>
      </c>
      <c r="H1829" s="33" t="n">
        <f aca="false">IF(D1829="","",D1829-C1829)</f>
        <v>3</v>
      </c>
      <c r="I1829" s="33" t="n">
        <f aca="false">IF(E1829="","",E1829-C1829)</f>
        <v>4</v>
      </c>
      <c r="J1829" s="33" t="n">
        <f aca="false">IF(F1829="","",F1829-C1829)</f>
        <v>4.375</v>
      </c>
      <c r="K1829" s="33" t="n">
        <f aca="false">IF(G1829="","",G1829-C1829)</f>
        <v>3.81739697266871</v>
      </c>
      <c r="L1829" s="33" t="n">
        <f aca="false">IF(H1829="","",ABS(H1829))</f>
        <v>3</v>
      </c>
      <c r="M1829" s="33" t="n">
        <f aca="false">IF(I1829="","",ABS(I1829))</f>
        <v>4</v>
      </c>
      <c r="N1829" s="33" t="n">
        <f aca="false">IF(J1829="","",ABS(J1829))</f>
        <v>4.375</v>
      </c>
      <c r="O1829" s="33" t="n">
        <f aca="false">IF(K1829="","",ABS(K1829))</f>
        <v>3.81739697266871</v>
      </c>
      <c r="P1829" s="34" t="str">
        <f aca="false">IF(B1829&gt;=Eval_Start_Week,"YES","")</f>
        <v>YES</v>
      </c>
      <c r="Q1829" s="34" t="str">
        <f aca="false">IF(AND(B1829&gt;=Cal_Start_Week,B1829&lt;=Cal_End_Week),"YES","")</f>
        <v>YES</v>
      </c>
    </row>
    <row r="1830" customFormat="false" ht="15" hidden="false" customHeight="false" outlineLevel="0" collapsed="false">
      <c r="A1830" s="31" t="str">
        <f aca="false">Demand_History!C1830</f>
        <v>BTH-008</v>
      </c>
      <c r="B1830" s="31" t="n">
        <f aca="false">Demand_History!A1830</f>
        <v>61</v>
      </c>
      <c r="C1830" s="32" t="n">
        <f aca="false">Demand_History!D1830</f>
        <v>5</v>
      </c>
      <c r="D1830" s="33" t="n">
        <f aca="false">IF(B1830&gt;=2,C1829,"")</f>
        <v>2</v>
      </c>
      <c r="E1830" s="33" t="n">
        <f aca="false">IF(B1830&gt;=5,AVERAGE(C1826:C1829),"")</f>
        <v>4.75</v>
      </c>
      <c r="F1830" s="33" t="n">
        <f aca="false">IF(B1830&gt;=9,AVERAGE(C1822:C1829),"")</f>
        <v>5.875</v>
      </c>
      <c r="G1830" s="33" t="n">
        <f aca="false">IF(B1830=1,"",IF(B1830=2,C1829,SES_Alpha*C1829+(1-SES_Alpha)*G1829))</f>
        <v>4.67217788086809</v>
      </c>
      <c r="H1830" s="33" t="n">
        <f aca="false">IF(D1830="","",D1830-C1830)</f>
        <v>-3</v>
      </c>
      <c r="I1830" s="33" t="n">
        <f aca="false">IF(E1830="","",E1830-C1830)</f>
        <v>-0.25</v>
      </c>
      <c r="J1830" s="33" t="n">
        <f aca="false">IF(F1830="","",F1830-C1830)</f>
        <v>0.875</v>
      </c>
      <c r="K1830" s="33" t="n">
        <f aca="false">IF(G1830="","",G1830-C1830)</f>
        <v>-0.327822119131906</v>
      </c>
      <c r="L1830" s="33" t="n">
        <f aca="false">IF(H1830="","",ABS(H1830))</f>
        <v>3</v>
      </c>
      <c r="M1830" s="33" t="n">
        <f aca="false">IF(I1830="","",ABS(I1830))</f>
        <v>0.25</v>
      </c>
      <c r="N1830" s="33" t="n">
        <f aca="false">IF(J1830="","",ABS(J1830))</f>
        <v>0.875</v>
      </c>
      <c r="O1830" s="33" t="n">
        <f aca="false">IF(K1830="","",ABS(K1830))</f>
        <v>0.327822119131906</v>
      </c>
      <c r="P1830" s="34" t="str">
        <f aca="false">IF(B1830&gt;=Eval_Start_Week,"YES","")</f>
        <v>YES</v>
      </c>
      <c r="Q1830" s="34" t="str">
        <f aca="false">IF(AND(B1830&gt;=Cal_Start_Week,B1830&lt;=Cal_End_Week),"YES","")</f>
        <v>YES</v>
      </c>
    </row>
    <row r="1831" customFormat="false" ht="15" hidden="false" customHeight="false" outlineLevel="0" collapsed="false">
      <c r="A1831" s="31" t="str">
        <f aca="false">Demand_History!C1831</f>
        <v>BTH-008</v>
      </c>
      <c r="B1831" s="31" t="n">
        <f aca="false">Demand_History!A1831</f>
        <v>62</v>
      </c>
      <c r="C1831" s="32" t="n">
        <f aca="false">Demand_History!D1831</f>
        <v>8</v>
      </c>
      <c r="D1831" s="33" t="n">
        <f aca="false">IF(B1831&gt;=2,C1830,"")</f>
        <v>5</v>
      </c>
      <c r="E1831" s="33" t="n">
        <f aca="false">IF(B1831&gt;=5,AVERAGE(C1827:C1830),"")</f>
        <v>4.25</v>
      </c>
      <c r="F1831" s="33" t="n">
        <f aca="false">IF(B1831&gt;=9,AVERAGE(C1823:C1830),"")</f>
        <v>5.625</v>
      </c>
      <c r="G1831" s="33" t="n">
        <f aca="false">IF(B1831=1,"",IF(B1831=2,C1830,SES_Alpha*C1830+(1-SES_Alpha)*G1830))</f>
        <v>4.77052451660767</v>
      </c>
      <c r="H1831" s="33" t="n">
        <f aca="false">IF(D1831="","",D1831-C1831)</f>
        <v>-3</v>
      </c>
      <c r="I1831" s="33" t="n">
        <f aca="false">IF(E1831="","",E1831-C1831)</f>
        <v>-3.75</v>
      </c>
      <c r="J1831" s="33" t="n">
        <f aca="false">IF(F1831="","",F1831-C1831)</f>
        <v>-2.375</v>
      </c>
      <c r="K1831" s="33" t="n">
        <f aca="false">IF(G1831="","",G1831-C1831)</f>
        <v>-3.22947548339234</v>
      </c>
      <c r="L1831" s="33" t="n">
        <f aca="false">IF(H1831="","",ABS(H1831))</f>
        <v>3</v>
      </c>
      <c r="M1831" s="33" t="n">
        <f aca="false">IF(I1831="","",ABS(I1831))</f>
        <v>3.75</v>
      </c>
      <c r="N1831" s="33" t="n">
        <f aca="false">IF(J1831="","",ABS(J1831))</f>
        <v>2.375</v>
      </c>
      <c r="O1831" s="33" t="n">
        <f aca="false">IF(K1831="","",ABS(K1831))</f>
        <v>3.22947548339234</v>
      </c>
      <c r="P1831" s="34" t="str">
        <f aca="false">IF(B1831&gt;=Eval_Start_Week,"YES","")</f>
        <v>YES</v>
      </c>
      <c r="Q1831" s="34" t="str">
        <f aca="false">IF(AND(B1831&gt;=Cal_Start_Week,B1831&lt;=Cal_End_Week),"YES","")</f>
        <v>YES</v>
      </c>
    </row>
    <row r="1832" customFormat="false" ht="15" hidden="false" customHeight="false" outlineLevel="0" collapsed="false">
      <c r="A1832" s="31" t="str">
        <f aca="false">Demand_History!C1832</f>
        <v>BTH-008</v>
      </c>
      <c r="B1832" s="31" t="n">
        <f aca="false">Demand_History!A1832</f>
        <v>63</v>
      </c>
      <c r="C1832" s="32" t="n">
        <f aca="false">Demand_History!D1832</f>
        <v>6</v>
      </c>
      <c r="D1832" s="33" t="n">
        <f aca="false">IF(B1832&gt;=2,C1831,"")</f>
        <v>8</v>
      </c>
      <c r="E1832" s="33" t="n">
        <f aca="false">IF(B1832&gt;=5,AVERAGE(C1828:C1831),"")</f>
        <v>5</v>
      </c>
      <c r="F1832" s="33" t="n">
        <f aca="false">IF(B1832&gt;=9,AVERAGE(C1824:C1831),"")</f>
        <v>5.75</v>
      </c>
      <c r="G1832" s="33" t="n">
        <f aca="false">IF(B1832=1,"",IF(B1832=2,C1831,SES_Alpha*C1831+(1-SES_Alpha)*G1831))</f>
        <v>5.73936716162537</v>
      </c>
      <c r="H1832" s="33" t="n">
        <f aca="false">IF(D1832="","",D1832-C1832)</f>
        <v>2</v>
      </c>
      <c r="I1832" s="33" t="n">
        <f aca="false">IF(E1832="","",E1832-C1832)</f>
        <v>-1</v>
      </c>
      <c r="J1832" s="33" t="n">
        <f aca="false">IF(F1832="","",F1832-C1832)</f>
        <v>-0.25</v>
      </c>
      <c r="K1832" s="33" t="n">
        <f aca="false">IF(G1832="","",G1832-C1832)</f>
        <v>-0.260632838374635</v>
      </c>
      <c r="L1832" s="33" t="n">
        <f aca="false">IF(H1832="","",ABS(H1832))</f>
        <v>2</v>
      </c>
      <c r="M1832" s="33" t="n">
        <f aca="false">IF(I1832="","",ABS(I1832))</f>
        <v>1</v>
      </c>
      <c r="N1832" s="33" t="n">
        <f aca="false">IF(J1832="","",ABS(J1832))</f>
        <v>0.25</v>
      </c>
      <c r="O1832" s="33" t="n">
        <f aca="false">IF(K1832="","",ABS(K1832))</f>
        <v>0.260632838374635</v>
      </c>
      <c r="P1832" s="34" t="str">
        <f aca="false">IF(B1832&gt;=Eval_Start_Week,"YES","")</f>
        <v>YES</v>
      </c>
      <c r="Q1832" s="34" t="str">
        <f aca="false">IF(AND(B1832&gt;=Cal_Start_Week,B1832&lt;=Cal_End_Week),"YES","")</f>
        <v>YES</v>
      </c>
    </row>
    <row r="1833" customFormat="false" ht="15" hidden="false" customHeight="false" outlineLevel="0" collapsed="false">
      <c r="A1833" s="31" t="str">
        <f aca="false">Demand_History!C1833</f>
        <v>BTH-008</v>
      </c>
      <c r="B1833" s="31" t="n">
        <f aca="false">Demand_History!A1833</f>
        <v>64</v>
      </c>
      <c r="C1833" s="32" t="n">
        <f aca="false">Demand_History!D1833</f>
        <v>4</v>
      </c>
      <c r="D1833" s="33" t="n">
        <f aca="false">IF(B1833&gt;=2,C1832,"")</f>
        <v>6</v>
      </c>
      <c r="E1833" s="33" t="n">
        <f aca="false">IF(B1833&gt;=5,AVERAGE(C1829:C1832),"")</f>
        <v>5.25</v>
      </c>
      <c r="F1833" s="33" t="n">
        <f aca="false">IF(B1833&gt;=9,AVERAGE(C1825:C1832),"")</f>
        <v>5.625</v>
      </c>
      <c r="G1833" s="33" t="n">
        <f aca="false">IF(B1833=1,"",IF(B1833=2,C1832,SES_Alpha*C1832+(1-SES_Alpha)*G1832))</f>
        <v>5.81755701313776</v>
      </c>
      <c r="H1833" s="33" t="n">
        <f aca="false">IF(D1833="","",D1833-C1833)</f>
        <v>2</v>
      </c>
      <c r="I1833" s="33" t="n">
        <f aca="false">IF(E1833="","",E1833-C1833)</f>
        <v>1.25</v>
      </c>
      <c r="J1833" s="33" t="n">
        <f aca="false">IF(F1833="","",F1833-C1833)</f>
        <v>1.625</v>
      </c>
      <c r="K1833" s="33" t="n">
        <f aca="false">IF(G1833="","",G1833-C1833)</f>
        <v>1.81755701313776</v>
      </c>
      <c r="L1833" s="33" t="n">
        <f aca="false">IF(H1833="","",ABS(H1833))</f>
        <v>2</v>
      </c>
      <c r="M1833" s="33" t="n">
        <f aca="false">IF(I1833="","",ABS(I1833))</f>
        <v>1.25</v>
      </c>
      <c r="N1833" s="33" t="n">
        <f aca="false">IF(J1833="","",ABS(J1833))</f>
        <v>1.625</v>
      </c>
      <c r="O1833" s="33" t="n">
        <f aca="false">IF(K1833="","",ABS(K1833))</f>
        <v>1.81755701313776</v>
      </c>
      <c r="P1833" s="34" t="str">
        <f aca="false">IF(B1833&gt;=Eval_Start_Week,"YES","")</f>
        <v>YES</v>
      </c>
      <c r="Q1833" s="34" t="str">
        <f aca="false">IF(AND(B1833&gt;=Cal_Start_Week,B1833&lt;=Cal_End_Week),"YES","")</f>
        <v>YES</v>
      </c>
    </row>
    <row r="1834" customFormat="false" ht="15" hidden="false" customHeight="false" outlineLevel="0" collapsed="false">
      <c r="A1834" s="31" t="str">
        <f aca="false">Demand_History!C1834</f>
        <v>BTH-008</v>
      </c>
      <c r="B1834" s="31" t="n">
        <f aca="false">Demand_History!A1834</f>
        <v>65</v>
      </c>
      <c r="C1834" s="32" t="n">
        <f aca="false">Demand_History!D1834</f>
        <v>4</v>
      </c>
      <c r="D1834" s="33" t="n">
        <f aca="false">IF(B1834&gt;=2,C1833,"")</f>
        <v>4</v>
      </c>
      <c r="E1834" s="33" t="n">
        <f aca="false">IF(B1834&gt;=5,AVERAGE(C1830:C1833),"")</f>
        <v>5.75</v>
      </c>
      <c r="F1834" s="33" t="n">
        <f aca="false">IF(B1834&gt;=9,AVERAGE(C1826:C1833),"")</f>
        <v>5.25</v>
      </c>
      <c r="G1834" s="33" t="n">
        <f aca="false">IF(B1834=1,"",IF(B1834=2,C1833,SES_Alpha*C1833+(1-SES_Alpha)*G1833))</f>
        <v>5.27228990919643</v>
      </c>
      <c r="H1834" s="33" t="n">
        <f aca="false">IF(D1834="","",D1834-C1834)</f>
        <v>0</v>
      </c>
      <c r="I1834" s="33" t="n">
        <f aca="false">IF(E1834="","",E1834-C1834)</f>
        <v>1.75</v>
      </c>
      <c r="J1834" s="33" t="n">
        <f aca="false">IF(F1834="","",F1834-C1834)</f>
        <v>1.25</v>
      </c>
      <c r="K1834" s="33" t="n">
        <f aca="false">IF(G1834="","",G1834-C1834)</f>
        <v>1.27228990919643</v>
      </c>
      <c r="L1834" s="33" t="n">
        <f aca="false">IF(H1834="","",ABS(H1834))</f>
        <v>0</v>
      </c>
      <c r="M1834" s="33" t="n">
        <f aca="false">IF(I1834="","",ABS(I1834))</f>
        <v>1.75</v>
      </c>
      <c r="N1834" s="33" t="n">
        <f aca="false">IF(J1834="","",ABS(J1834))</f>
        <v>1.25</v>
      </c>
      <c r="O1834" s="33" t="n">
        <f aca="false">IF(K1834="","",ABS(K1834))</f>
        <v>1.27228990919643</v>
      </c>
      <c r="P1834" s="34" t="str">
        <f aca="false">IF(B1834&gt;=Eval_Start_Week,"YES","")</f>
        <v>YES</v>
      </c>
      <c r="Q1834" s="34" t="str">
        <f aca="false">IF(AND(B1834&gt;=Cal_Start_Week,B1834&lt;=Cal_End_Week),"YES","")</f>
        <v>YES</v>
      </c>
    </row>
    <row r="1835" customFormat="false" ht="15" hidden="false" customHeight="false" outlineLevel="0" collapsed="false">
      <c r="A1835" s="31" t="str">
        <f aca="false">Demand_History!C1835</f>
        <v>BTH-008</v>
      </c>
      <c r="B1835" s="31" t="n">
        <f aca="false">Demand_History!A1835</f>
        <v>66</v>
      </c>
      <c r="C1835" s="32" t="n">
        <f aca="false">Demand_History!D1835</f>
        <v>6</v>
      </c>
      <c r="D1835" s="33" t="n">
        <f aca="false">IF(B1835&gt;=2,C1834,"")</f>
        <v>4</v>
      </c>
      <c r="E1835" s="33" t="n">
        <f aca="false">IF(B1835&gt;=5,AVERAGE(C1831:C1834),"")</f>
        <v>5.5</v>
      </c>
      <c r="F1835" s="33" t="n">
        <f aca="false">IF(B1835&gt;=9,AVERAGE(C1827:C1834),"")</f>
        <v>4.875</v>
      </c>
      <c r="G1835" s="33" t="n">
        <f aca="false">IF(B1835=1,"",IF(B1835=2,C1834,SES_Alpha*C1834+(1-SES_Alpha)*G1834))</f>
        <v>4.8906029364375</v>
      </c>
      <c r="H1835" s="33" t="n">
        <f aca="false">IF(D1835="","",D1835-C1835)</f>
        <v>-2</v>
      </c>
      <c r="I1835" s="33" t="n">
        <f aca="false">IF(E1835="","",E1835-C1835)</f>
        <v>-0.5</v>
      </c>
      <c r="J1835" s="33" t="n">
        <f aca="false">IF(F1835="","",F1835-C1835)</f>
        <v>-1.125</v>
      </c>
      <c r="K1835" s="33" t="n">
        <f aca="false">IF(G1835="","",G1835-C1835)</f>
        <v>-1.1093970635625</v>
      </c>
      <c r="L1835" s="33" t="n">
        <f aca="false">IF(H1835="","",ABS(H1835))</f>
        <v>2</v>
      </c>
      <c r="M1835" s="33" t="n">
        <f aca="false">IF(I1835="","",ABS(I1835))</f>
        <v>0.5</v>
      </c>
      <c r="N1835" s="33" t="n">
        <f aca="false">IF(J1835="","",ABS(J1835))</f>
        <v>1.125</v>
      </c>
      <c r="O1835" s="33" t="n">
        <f aca="false">IF(K1835="","",ABS(K1835))</f>
        <v>1.1093970635625</v>
      </c>
      <c r="P1835" s="34" t="str">
        <f aca="false">IF(B1835&gt;=Eval_Start_Week,"YES","")</f>
        <v>YES</v>
      </c>
      <c r="Q1835" s="34" t="str">
        <f aca="false">IF(AND(B1835&gt;=Cal_Start_Week,B1835&lt;=Cal_End_Week),"YES","")</f>
        <v>YES</v>
      </c>
    </row>
    <row r="1836" customFormat="false" ht="15" hidden="false" customHeight="false" outlineLevel="0" collapsed="false">
      <c r="A1836" s="31" t="str">
        <f aca="false">Demand_History!C1836</f>
        <v>BTH-008</v>
      </c>
      <c r="B1836" s="31" t="n">
        <f aca="false">Demand_History!A1836</f>
        <v>67</v>
      </c>
      <c r="C1836" s="32" t="n">
        <f aca="false">Demand_History!D1836</f>
        <v>4</v>
      </c>
      <c r="D1836" s="33" t="n">
        <f aca="false">IF(B1836&gt;=2,C1835,"")</f>
        <v>6</v>
      </c>
      <c r="E1836" s="33" t="n">
        <f aca="false">IF(B1836&gt;=5,AVERAGE(C1832:C1835),"")</f>
        <v>5</v>
      </c>
      <c r="F1836" s="33" t="n">
        <f aca="false">IF(B1836&gt;=9,AVERAGE(C1828:C1835),"")</f>
        <v>5</v>
      </c>
      <c r="G1836" s="33" t="n">
        <f aca="false">IF(B1836=1,"",IF(B1836=2,C1835,SES_Alpha*C1835+(1-SES_Alpha)*G1835))</f>
        <v>5.22342205550625</v>
      </c>
      <c r="H1836" s="33" t="n">
        <f aca="false">IF(D1836="","",D1836-C1836)</f>
        <v>2</v>
      </c>
      <c r="I1836" s="33" t="n">
        <f aca="false">IF(E1836="","",E1836-C1836)</f>
        <v>1</v>
      </c>
      <c r="J1836" s="33" t="n">
        <f aca="false">IF(F1836="","",F1836-C1836)</f>
        <v>1</v>
      </c>
      <c r="K1836" s="33" t="n">
        <f aca="false">IF(G1836="","",G1836-C1836)</f>
        <v>1.22342205550625</v>
      </c>
      <c r="L1836" s="33" t="n">
        <f aca="false">IF(H1836="","",ABS(H1836))</f>
        <v>2</v>
      </c>
      <c r="M1836" s="33" t="n">
        <f aca="false">IF(I1836="","",ABS(I1836))</f>
        <v>1</v>
      </c>
      <c r="N1836" s="33" t="n">
        <f aca="false">IF(J1836="","",ABS(J1836))</f>
        <v>1</v>
      </c>
      <c r="O1836" s="33" t="n">
        <f aca="false">IF(K1836="","",ABS(K1836))</f>
        <v>1.22342205550625</v>
      </c>
      <c r="P1836" s="34" t="str">
        <f aca="false">IF(B1836&gt;=Eval_Start_Week,"YES","")</f>
        <v>YES</v>
      </c>
      <c r="Q1836" s="34" t="str">
        <f aca="false">IF(AND(B1836&gt;=Cal_Start_Week,B1836&lt;=Cal_End_Week),"YES","")</f>
        <v>YES</v>
      </c>
    </row>
    <row r="1837" customFormat="false" ht="15" hidden="false" customHeight="false" outlineLevel="0" collapsed="false">
      <c r="A1837" s="31" t="str">
        <f aca="false">Demand_History!C1837</f>
        <v>BTH-008</v>
      </c>
      <c r="B1837" s="31" t="n">
        <f aca="false">Demand_History!A1837</f>
        <v>68</v>
      </c>
      <c r="C1837" s="32" t="n">
        <f aca="false">Demand_History!D1837</f>
        <v>5</v>
      </c>
      <c r="D1837" s="33" t="n">
        <f aca="false">IF(B1837&gt;=2,C1836,"")</f>
        <v>4</v>
      </c>
      <c r="E1837" s="33" t="n">
        <f aca="false">IF(B1837&gt;=5,AVERAGE(C1833:C1836),"")</f>
        <v>4.5</v>
      </c>
      <c r="F1837" s="33" t="n">
        <f aca="false">IF(B1837&gt;=9,AVERAGE(C1829:C1836),"")</f>
        <v>4.875</v>
      </c>
      <c r="G1837" s="33" t="n">
        <f aca="false">IF(B1837=1,"",IF(B1837=2,C1836,SES_Alpha*C1836+(1-SES_Alpha)*G1836))</f>
        <v>4.85639543885437</v>
      </c>
      <c r="H1837" s="33" t="n">
        <f aca="false">IF(D1837="","",D1837-C1837)</f>
        <v>-1</v>
      </c>
      <c r="I1837" s="33" t="n">
        <f aca="false">IF(E1837="","",E1837-C1837)</f>
        <v>-0.5</v>
      </c>
      <c r="J1837" s="33" t="n">
        <f aca="false">IF(F1837="","",F1837-C1837)</f>
        <v>-0.125</v>
      </c>
      <c r="K1837" s="33" t="n">
        <f aca="false">IF(G1837="","",G1837-C1837)</f>
        <v>-0.143604561145626</v>
      </c>
      <c r="L1837" s="33" t="n">
        <f aca="false">IF(H1837="","",ABS(H1837))</f>
        <v>1</v>
      </c>
      <c r="M1837" s="33" t="n">
        <f aca="false">IF(I1837="","",ABS(I1837))</f>
        <v>0.5</v>
      </c>
      <c r="N1837" s="33" t="n">
        <f aca="false">IF(J1837="","",ABS(J1837))</f>
        <v>0.125</v>
      </c>
      <c r="O1837" s="33" t="n">
        <f aca="false">IF(K1837="","",ABS(K1837))</f>
        <v>0.143604561145626</v>
      </c>
      <c r="P1837" s="34" t="str">
        <f aca="false">IF(B1837&gt;=Eval_Start_Week,"YES","")</f>
        <v>YES</v>
      </c>
      <c r="Q1837" s="34" t="str">
        <f aca="false">IF(AND(B1837&gt;=Cal_Start_Week,B1837&lt;=Cal_End_Week),"YES","")</f>
        <v>YES</v>
      </c>
    </row>
    <row r="1838" customFormat="false" ht="15" hidden="false" customHeight="false" outlineLevel="0" collapsed="false">
      <c r="A1838" s="31" t="str">
        <f aca="false">Demand_History!C1838</f>
        <v>BTH-008</v>
      </c>
      <c r="B1838" s="31" t="n">
        <f aca="false">Demand_History!A1838</f>
        <v>69</v>
      </c>
      <c r="C1838" s="32" t="n">
        <f aca="false">Demand_History!D1838</f>
        <v>11</v>
      </c>
      <c r="D1838" s="33" t="n">
        <f aca="false">IF(B1838&gt;=2,C1837,"")</f>
        <v>5</v>
      </c>
      <c r="E1838" s="33" t="n">
        <f aca="false">IF(B1838&gt;=5,AVERAGE(C1834:C1837),"")</f>
        <v>4.75</v>
      </c>
      <c r="F1838" s="33" t="n">
        <f aca="false">IF(B1838&gt;=9,AVERAGE(C1830:C1837),"")</f>
        <v>5.25</v>
      </c>
      <c r="G1838" s="33" t="n">
        <f aca="false">IF(B1838=1,"",IF(B1838=2,C1837,SES_Alpha*C1837+(1-SES_Alpha)*G1837))</f>
        <v>4.89947680719806</v>
      </c>
      <c r="H1838" s="33" t="n">
        <f aca="false">IF(D1838="","",D1838-C1838)</f>
        <v>-6</v>
      </c>
      <c r="I1838" s="33" t="n">
        <f aca="false">IF(E1838="","",E1838-C1838)</f>
        <v>-6.25</v>
      </c>
      <c r="J1838" s="33" t="n">
        <f aca="false">IF(F1838="","",F1838-C1838)</f>
        <v>-5.75</v>
      </c>
      <c r="K1838" s="33" t="n">
        <f aca="false">IF(G1838="","",G1838-C1838)</f>
        <v>-6.10052319280194</v>
      </c>
      <c r="L1838" s="33" t="n">
        <f aca="false">IF(H1838="","",ABS(H1838))</f>
        <v>6</v>
      </c>
      <c r="M1838" s="33" t="n">
        <f aca="false">IF(I1838="","",ABS(I1838))</f>
        <v>6.25</v>
      </c>
      <c r="N1838" s="33" t="n">
        <f aca="false">IF(J1838="","",ABS(J1838))</f>
        <v>5.75</v>
      </c>
      <c r="O1838" s="33" t="n">
        <f aca="false">IF(K1838="","",ABS(K1838))</f>
        <v>6.10052319280194</v>
      </c>
      <c r="P1838" s="34" t="str">
        <f aca="false">IF(B1838&gt;=Eval_Start_Week,"YES","")</f>
        <v>YES</v>
      </c>
      <c r="Q1838" s="34" t="str">
        <f aca="false">IF(AND(B1838&gt;=Cal_Start_Week,B1838&lt;=Cal_End_Week),"YES","")</f>
        <v>YES</v>
      </c>
    </row>
    <row r="1839" customFormat="false" ht="15" hidden="false" customHeight="false" outlineLevel="0" collapsed="false">
      <c r="A1839" s="31" t="str">
        <f aca="false">Demand_History!C1839</f>
        <v>BTH-008</v>
      </c>
      <c r="B1839" s="31" t="n">
        <f aca="false">Demand_History!A1839</f>
        <v>70</v>
      </c>
      <c r="C1839" s="32" t="n">
        <f aca="false">Demand_History!D1839</f>
        <v>6</v>
      </c>
      <c r="D1839" s="33" t="n">
        <f aca="false">IF(B1839&gt;=2,C1838,"")</f>
        <v>11</v>
      </c>
      <c r="E1839" s="33" t="n">
        <f aca="false">IF(B1839&gt;=5,AVERAGE(C1835:C1838),"")</f>
        <v>6.5</v>
      </c>
      <c r="F1839" s="33" t="n">
        <f aca="false">IF(B1839&gt;=9,AVERAGE(C1831:C1838),"")</f>
        <v>6</v>
      </c>
      <c r="G1839" s="33" t="n">
        <f aca="false">IF(B1839=1,"",IF(B1839=2,C1838,SES_Alpha*C1838+(1-SES_Alpha)*G1838))</f>
        <v>6.72963376503864</v>
      </c>
      <c r="H1839" s="33" t="n">
        <f aca="false">IF(D1839="","",D1839-C1839)</f>
        <v>5</v>
      </c>
      <c r="I1839" s="33" t="n">
        <f aca="false">IF(E1839="","",E1839-C1839)</f>
        <v>0.5</v>
      </c>
      <c r="J1839" s="33" t="n">
        <f aca="false">IF(F1839="","",F1839-C1839)</f>
        <v>0</v>
      </c>
      <c r="K1839" s="33" t="n">
        <f aca="false">IF(G1839="","",G1839-C1839)</f>
        <v>0.729633765038642</v>
      </c>
      <c r="L1839" s="33" t="n">
        <f aca="false">IF(H1839="","",ABS(H1839))</f>
        <v>5</v>
      </c>
      <c r="M1839" s="33" t="n">
        <f aca="false">IF(I1839="","",ABS(I1839))</f>
        <v>0.5</v>
      </c>
      <c r="N1839" s="33" t="n">
        <f aca="false">IF(J1839="","",ABS(J1839))</f>
        <v>0</v>
      </c>
      <c r="O1839" s="33" t="n">
        <f aca="false">IF(K1839="","",ABS(K1839))</f>
        <v>0.729633765038642</v>
      </c>
      <c r="P1839" s="34" t="str">
        <f aca="false">IF(B1839&gt;=Eval_Start_Week,"YES","")</f>
        <v>YES</v>
      </c>
      <c r="Q1839" s="34" t="str">
        <f aca="false">IF(AND(B1839&gt;=Cal_Start_Week,B1839&lt;=Cal_End_Week),"YES","")</f>
        <v>YES</v>
      </c>
    </row>
    <row r="1840" customFormat="false" ht="15" hidden="false" customHeight="false" outlineLevel="0" collapsed="false">
      <c r="A1840" s="31" t="str">
        <f aca="false">Demand_History!C1840</f>
        <v>BTH-008</v>
      </c>
      <c r="B1840" s="31" t="n">
        <f aca="false">Demand_History!A1840</f>
        <v>71</v>
      </c>
      <c r="C1840" s="32" t="n">
        <f aca="false">Demand_History!D1840</f>
        <v>8</v>
      </c>
      <c r="D1840" s="33" t="n">
        <f aca="false">IF(B1840&gt;=2,C1839,"")</f>
        <v>6</v>
      </c>
      <c r="E1840" s="33" t="n">
        <f aca="false">IF(B1840&gt;=5,AVERAGE(C1836:C1839),"")</f>
        <v>6.5</v>
      </c>
      <c r="F1840" s="33" t="n">
        <f aca="false">IF(B1840&gt;=9,AVERAGE(C1832:C1839),"")</f>
        <v>5.75</v>
      </c>
      <c r="G1840" s="33" t="n">
        <f aca="false">IF(B1840=1,"",IF(B1840=2,C1839,SES_Alpha*C1839+(1-SES_Alpha)*G1839))</f>
        <v>6.51074363552705</v>
      </c>
      <c r="H1840" s="33" t="n">
        <f aca="false">IF(D1840="","",D1840-C1840)</f>
        <v>-2</v>
      </c>
      <c r="I1840" s="33" t="n">
        <f aca="false">IF(E1840="","",E1840-C1840)</f>
        <v>-1.5</v>
      </c>
      <c r="J1840" s="33" t="n">
        <f aca="false">IF(F1840="","",F1840-C1840)</f>
        <v>-2.25</v>
      </c>
      <c r="K1840" s="33" t="n">
        <f aca="false">IF(G1840="","",G1840-C1840)</f>
        <v>-1.48925636447295</v>
      </c>
      <c r="L1840" s="33" t="n">
        <f aca="false">IF(H1840="","",ABS(H1840))</f>
        <v>2</v>
      </c>
      <c r="M1840" s="33" t="n">
        <f aca="false">IF(I1840="","",ABS(I1840))</f>
        <v>1.5</v>
      </c>
      <c r="N1840" s="33" t="n">
        <f aca="false">IF(J1840="","",ABS(J1840))</f>
        <v>2.25</v>
      </c>
      <c r="O1840" s="33" t="n">
        <f aca="false">IF(K1840="","",ABS(K1840))</f>
        <v>1.48925636447295</v>
      </c>
      <c r="P1840" s="34" t="str">
        <f aca="false">IF(B1840&gt;=Eval_Start_Week,"YES","")</f>
        <v>YES</v>
      </c>
      <c r="Q1840" s="34" t="str">
        <f aca="false">IF(AND(B1840&gt;=Cal_Start_Week,B1840&lt;=Cal_End_Week),"YES","")</f>
        <v>YES</v>
      </c>
    </row>
    <row r="1841" customFormat="false" ht="15" hidden="false" customHeight="false" outlineLevel="0" collapsed="false">
      <c r="A1841" s="31" t="str">
        <f aca="false">Demand_History!C1841</f>
        <v>BTH-008</v>
      </c>
      <c r="B1841" s="31" t="n">
        <f aca="false">Demand_History!A1841</f>
        <v>72</v>
      </c>
      <c r="C1841" s="32" t="n">
        <f aca="false">Demand_History!D1841</f>
        <v>8</v>
      </c>
      <c r="D1841" s="33" t="n">
        <f aca="false">IF(B1841&gt;=2,C1840,"")</f>
        <v>8</v>
      </c>
      <c r="E1841" s="33" t="n">
        <f aca="false">IF(B1841&gt;=5,AVERAGE(C1837:C1840),"")</f>
        <v>7.5</v>
      </c>
      <c r="F1841" s="33" t="n">
        <f aca="false">IF(B1841&gt;=9,AVERAGE(C1833:C1840),"")</f>
        <v>6</v>
      </c>
      <c r="G1841" s="33" t="n">
        <f aca="false">IF(B1841=1,"",IF(B1841=2,C1840,SES_Alpha*C1840+(1-SES_Alpha)*G1840))</f>
        <v>6.95752054486893</v>
      </c>
      <c r="H1841" s="33" t="n">
        <f aca="false">IF(D1841="","",D1841-C1841)</f>
        <v>0</v>
      </c>
      <c r="I1841" s="33" t="n">
        <f aca="false">IF(E1841="","",E1841-C1841)</f>
        <v>-0.5</v>
      </c>
      <c r="J1841" s="33" t="n">
        <f aca="false">IF(F1841="","",F1841-C1841)</f>
        <v>-2</v>
      </c>
      <c r="K1841" s="33" t="n">
        <f aca="false">IF(G1841="","",G1841-C1841)</f>
        <v>-1.04247945513107</v>
      </c>
      <c r="L1841" s="33" t="n">
        <f aca="false">IF(H1841="","",ABS(H1841))</f>
        <v>0</v>
      </c>
      <c r="M1841" s="33" t="n">
        <f aca="false">IF(I1841="","",ABS(I1841))</f>
        <v>0.5</v>
      </c>
      <c r="N1841" s="33" t="n">
        <f aca="false">IF(J1841="","",ABS(J1841))</f>
        <v>2</v>
      </c>
      <c r="O1841" s="33" t="n">
        <f aca="false">IF(K1841="","",ABS(K1841))</f>
        <v>1.04247945513107</v>
      </c>
      <c r="P1841" s="34" t="str">
        <f aca="false">IF(B1841&gt;=Eval_Start_Week,"YES","")</f>
        <v>YES</v>
      </c>
      <c r="Q1841" s="34" t="str">
        <f aca="false">IF(AND(B1841&gt;=Cal_Start_Week,B1841&lt;=Cal_End_Week),"YES","")</f>
        <v>YES</v>
      </c>
    </row>
    <row r="1842" customFormat="false" ht="15" hidden="false" customHeight="false" outlineLevel="0" collapsed="false">
      <c r="A1842" s="31" t="str">
        <f aca="false">Demand_History!C1842</f>
        <v>BTH-008</v>
      </c>
      <c r="B1842" s="31" t="n">
        <f aca="false">Demand_History!A1842</f>
        <v>73</v>
      </c>
      <c r="C1842" s="32" t="n">
        <f aca="false">Demand_History!D1842</f>
        <v>4</v>
      </c>
      <c r="D1842" s="33" t="n">
        <f aca="false">IF(B1842&gt;=2,C1841,"")</f>
        <v>8</v>
      </c>
      <c r="E1842" s="33" t="n">
        <f aca="false">IF(B1842&gt;=5,AVERAGE(C1838:C1841),"")</f>
        <v>8.25</v>
      </c>
      <c r="F1842" s="33" t="n">
        <f aca="false">IF(B1842&gt;=9,AVERAGE(C1834:C1841),"")</f>
        <v>6.5</v>
      </c>
      <c r="G1842" s="33" t="n">
        <f aca="false">IF(B1842=1,"",IF(B1842=2,C1841,SES_Alpha*C1841+(1-SES_Alpha)*G1841))</f>
        <v>7.27026438140825</v>
      </c>
      <c r="H1842" s="33" t="n">
        <f aca="false">IF(D1842="","",D1842-C1842)</f>
        <v>4</v>
      </c>
      <c r="I1842" s="33" t="n">
        <f aca="false">IF(E1842="","",E1842-C1842)</f>
        <v>4.25</v>
      </c>
      <c r="J1842" s="33" t="n">
        <f aca="false">IF(F1842="","",F1842-C1842)</f>
        <v>2.5</v>
      </c>
      <c r="K1842" s="33" t="n">
        <f aca="false">IF(G1842="","",G1842-C1842)</f>
        <v>3.27026438140825</v>
      </c>
      <c r="L1842" s="33" t="n">
        <f aca="false">IF(H1842="","",ABS(H1842))</f>
        <v>4</v>
      </c>
      <c r="M1842" s="33" t="n">
        <f aca="false">IF(I1842="","",ABS(I1842))</f>
        <v>4.25</v>
      </c>
      <c r="N1842" s="33" t="n">
        <f aca="false">IF(J1842="","",ABS(J1842))</f>
        <v>2.5</v>
      </c>
      <c r="O1842" s="33" t="n">
        <f aca="false">IF(K1842="","",ABS(K1842))</f>
        <v>3.27026438140825</v>
      </c>
      <c r="P1842" s="34" t="str">
        <f aca="false">IF(B1842&gt;=Eval_Start_Week,"YES","")</f>
        <v>YES</v>
      </c>
      <c r="Q1842" s="34" t="str">
        <f aca="false">IF(AND(B1842&gt;=Cal_Start_Week,B1842&lt;=Cal_End_Week),"YES","")</f>
        <v>YES</v>
      </c>
    </row>
    <row r="1843" customFormat="false" ht="15" hidden="false" customHeight="false" outlineLevel="0" collapsed="false">
      <c r="A1843" s="31" t="str">
        <f aca="false">Demand_History!C1843</f>
        <v>BTH-008</v>
      </c>
      <c r="B1843" s="31" t="n">
        <f aca="false">Demand_History!A1843</f>
        <v>74</v>
      </c>
      <c r="C1843" s="32" t="n">
        <f aca="false">Demand_History!D1843</f>
        <v>7</v>
      </c>
      <c r="D1843" s="33" t="n">
        <f aca="false">IF(B1843&gt;=2,C1842,"")</f>
        <v>4</v>
      </c>
      <c r="E1843" s="33" t="n">
        <f aca="false">IF(B1843&gt;=5,AVERAGE(C1839:C1842),"")</f>
        <v>6.5</v>
      </c>
      <c r="F1843" s="33" t="n">
        <f aca="false">IF(B1843&gt;=9,AVERAGE(C1835:C1842),"")</f>
        <v>6.5</v>
      </c>
      <c r="G1843" s="33" t="n">
        <f aca="false">IF(B1843=1,"",IF(B1843=2,C1842,SES_Alpha*C1842+(1-SES_Alpha)*G1842))</f>
        <v>6.28918506698578</v>
      </c>
      <c r="H1843" s="33" t="n">
        <f aca="false">IF(D1843="","",D1843-C1843)</f>
        <v>-3</v>
      </c>
      <c r="I1843" s="33" t="n">
        <f aca="false">IF(E1843="","",E1843-C1843)</f>
        <v>-0.5</v>
      </c>
      <c r="J1843" s="33" t="n">
        <f aca="false">IF(F1843="","",F1843-C1843)</f>
        <v>-0.5</v>
      </c>
      <c r="K1843" s="33" t="n">
        <f aca="false">IF(G1843="","",G1843-C1843)</f>
        <v>-0.710814933014224</v>
      </c>
      <c r="L1843" s="33" t="n">
        <f aca="false">IF(H1843="","",ABS(H1843))</f>
        <v>3</v>
      </c>
      <c r="M1843" s="33" t="n">
        <f aca="false">IF(I1843="","",ABS(I1843))</f>
        <v>0.5</v>
      </c>
      <c r="N1843" s="33" t="n">
        <f aca="false">IF(J1843="","",ABS(J1843))</f>
        <v>0.5</v>
      </c>
      <c r="O1843" s="33" t="n">
        <f aca="false">IF(K1843="","",ABS(K1843))</f>
        <v>0.710814933014224</v>
      </c>
      <c r="P1843" s="34" t="str">
        <f aca="false">IF(B1843&gt;=Eval_Start_Week,"YES","")</f>
        <v>YES</v>
      </c>
      <c r="Q1843" s="34" t="str">
        <f aca="false">IF(AND(B1843&gt;=Cal_Start_Week,B1843&lt;=Cal_End_Week),"YES","")</f>
        <v>YES</v>
      </c>
    </row>
    <row r="1844" customFormat="false" ht="15" hidden="false" customHeight="false" outlineLevel="0" collapsed="false">
      <c r="A1844" s="31" t="str">
        <f aca="false">Demand_History!C1844</f>
        <v>BTH-008</v>
      </c>
      <c r="B1844" s="31" t="n">
        <f aca="false">Demand_History!A1844</f>
        <v>75</v>
      </c>
      <c r="C1844" s="32" t="n">
        <f aca="false">Demand_History!D1844</f>
        <v>9</v>
      </c>
      <c r="D1844" s="33" t="n">
        <f aca="false">IF(B1844&gt;=2,C1843,"")</f>
        <v>7</v>
      </c>
      <c r="E1844" s="33" t="n">
        <f aca="false">IF(B1844&gt;=5,AVERAGE(C1840:C1843),"")</f>
        <v>6.75</v>
      </c>
      <c r="F1844" s="33" t="n">
        <f aca="false">IF(B1844&gt;=9,AVERAGE(C1836:C1843),"")</f>
        <v>6.625</v>
      </c>
      <c r="G1844" s="33" t="n">
        <f aca="false">IF(B1844=1,"",IF(B1844=2,C1843,SES_Alpha*C1843+(1-SES_Alpha)*G1843))</f>
        <v>6.50242954689004</v>
      </c>
      <c r="H1844" s="33" t="n">
        <f aca="false">IF(D1844="","",D1844-C1844)</f>
        <v>-2</v>
      </c>
      <c r="I1844" s="33" t="n">
        <f aca="false">IF(E1844="","",E1844-C1844)</f>
        <v>-2.25</v>
      </c>
      <c r="J1844" s="33" t="n">
        <f aca="false">IF(F1844="","",F1844-C1844)</f>
        <v>-2.375</v>
      </c>
      <c r="K1844" s="33" t="n">
        <f aca="false">IF(G1844="","",G1844-C1844)</f>
        <v>-2.49757045310996</v>
      </c>
      <c r="L1844" s="33" t="n">
        <f aca="false">IF(H1844="","",ABS(H1844))</f>
        <v>2</v>
      </c>
      <c r="M1844" s="33" t="n">
        <f aca="false">IF(I1844="","",ABS(I1844))</f>
        <v>2.25</v>
      </c>
      <c r="N1844" s="33" t="n">
        <f aca="false">IF(J1844="","",ABS(J1844))</f>
        <v>2.375</v>
      </c>
      <c r="O1844" s="33" t="n">
        <f aca="false">IF(K1844="","",ABS(K1844))</f>
        <v>2.49757045310996</v>
      </c>
      <c r="P1844" s="34" t="str">
        <f aca="false">IF(B1844&gt;=Eval_Start_Week,"YES","")</f>
        <v>YES</v>
      </c>
      <c r="Q1844" s="34" t="str">
        <f aca="false">IF(AND(B1844&gt;=Cal_Start_Week,B1844&lt;=Cal_End_Week),"YES","")</f>
        <v>YES</v>
      </c>
    </row>
    <row r="1845" customFormat="false" ht="15" hidden="false" customHeight="false" outlineLevel="0" collapsed="false">
      <c r="A1845" s="31" t="str">
        <f aca="false">Demand_History!C1845</f>
        <v>BTH-008</v>
      </c>
      <c r="B1845" s="31" t="n">
        <f aca="false">Demand_History!A1845</f>
        <v>76</v>
      </c>
      <c r="C1845" s="32" t="n">
        <f aca="false">Demand_History!D1845</f>
        <v>7</v>
      </c>
      <c r="D1845" s="33" t="n">
        <f aca="false">IF(B1845&gt;=2,C1844,"")</f>
        <v>9</v>
      </c>
      <c r="E1845" s="33" t="n">
        <f aca="false">IF(B1845&gt;=5,AVERAGE(C1841:C1844),"")</f>
        <v>7</v>
      </c>
      <c r="F1845" s="33" t="n">
        <f aca="false">IF(B1845&gt;=9,AVERAGE(C1837:C1844),"")</f>
        <v>7.25</v>
      </c>
      <c r="G1845" s="33" t="n">
        <f aca="false">IF(B1845=1,"",IF(B1845=2,C1844,SES_Alpha*C1844+(1-SES_Alpha)*G1844))</f>
        <v>7.25170068282303</v>
      </c>
      <c r="H1845" s="33" t="n">
        <f aca="false">IF(D1845="","",D1845-C1845)</f>
        <v>2</v>
      </c>
      <c r="I1845" s="33" t="n">
        <f aca="false">IF(E1845="","",E1845-C1845)</f>
        <v>0</v>
      </c>
      <c r="J1845" s="33" t="n">
        <f aca="false">IF(F1845="","",F1845-C1845)</f>
        <v>0.25</v>
      </c>
      <c r="K1845" s="33" t="n">
        <f aca="false">IF(G1845="","",G1845-C1845)</f>
        <v>0.25170068282303</v>
      </c>
      <c r="L1845" s="33" t="n">
        <f aca="false">IF(H1845="","",ABS(H1845))</f>
        <v>2</v>
      </c>
      <c r="M1845" s="33" t="n">
        <f aca="false">IF(I1845="","",ABS(I1845))</f>
        <v>0</v>
      </c>
      <c r="N1845" s="33" t="n">
        <f aca="false">IF(J1845="","",ABS(J1845))</f>
        <v>0.25</v>
      </c>
      <c r="O1845" s="33" t="n">
        <f aca="false">IF(K1845="","",ABS(K1845))</f>
        <v>0.25170068282303</v>
      </c>
      <c r="P1845" s="34" t="str">
        <f aca="false">IF(B1845&gt;=Eval_Start_Week,"YES","")</f>
        <v>YES</v>
      </c>
      <c r="Q1845" s="34" t="str">
        <f aca="false">IF(AND(B1845&gt;=Cal_Start_Week,B1845&lt;=Cal_End_Week),"YES","")</f>
        <v>YES</v>
      </c>
    </row>
    <row r="1846" customFormat="false" ht="15" hidden="false" customHeight="false" outlineLevel="0" collapsed="false">
      <c r="A1846" s="31" t="str">
        <f aca="false">Demand_History!C1846</f>
        <v>BTH-008</v>
      </c>
      <c r="B1846" s="31" t="n">
        <f aca="false">Demand_History!A1846</f>
        <v>77</v>
      </c>
      <c r="C1846" s="32" t="n">
        <f aca="false">Demand_History!D1846</f>
        <v>6</v>
      </c>
      <c r="D1846" s="33" t="n">
        <f aca="false">IF(B1846&gt;=2,C1845,"")</f>
        <v>7</v>
      </c>
      <c r="E1846" s="33" t="n">
        <f aca="false">IF(B1846&gt;=5,AVERAGE(C1842:C1845),"")</f>
        <v>6.75</v>
      </c>
      <c r="F1846" s="33" t="n">
        <f aca="false">IF(B1846&gt;=9,AVERAGE(C1838:C1845),"")</f>
        <v>7.5</v>
      </c>
      <c r="G1846" s="33" t="n">
        <f aca="false">IF(B1846=1,"",IF(B1846=2,C1845,SES_Alpha*C1845+(1-SES_Alpha)*G1845))</f>
        <v>7.17619047797612</v>
      </c>
      <c r="H1846" s="33" t="n">
        <f aca="false">IF(D1846="","",D1846-C1846)</f>
        <v>1</v>
      </c>
      <c r="I1846" s="33" t="n">
        <f aca="false">IF(E1846="","",E1846-C1846)</f>
        <v>0.75</v>
      </c>
      <c r="J1846" s="33" t="n">
        <f aca="false">IF(F1846="","",F1846-C1846)</f>
        <v>1.5</v>
      </c>
      <c r="K1846" s="33" t="n">
        <f aca="false">IF(G1846="","",G1846-C1846)</f>
        <v>1.17619047797612</v>
      </c>
      <c r="L1846" s="33" t="n">
        <f aca="false">IF(H1846="","",ABS(H1846))</f>
        <v>1</v>
      </c>
      <c r="M1846" s="33" t="n">
        <f aca="false">IF(I1846="","",ABS(I1846))</f>
        <v>0.75</v>
      </c>
      <c r="N1846" s="33" t="n">
        <f aca="false">IF(J1846="","",ABS(J1846))</f>
        <v>1.5</v>
      </c>
      <c r="O1846" s="33" t="n">
        <f aca="false">IF(K1846="","",ABS(K1846))</f>
        <v>1.17619047797612</v>
      </c>
      <c r="P1846" s="34" t="str">
        <f aca="false">IF(B1846&gt;=Eval_Start_Week,"YES","")</f>
        <v>YES</v>
      </c>
      <c r="Q1846" s="34" t="str">
        <f aca="false">IF(AND(B1846&gt;=Cal_Start_Week,B1846&lt;=Cal_End_Week),"YES","")</f>
        <v>YES</v>
      </c>
    </row>
    <row r="1847" customFormat="false" ht="15" hidden="false" customHeight="false" outlineLevel="0" collapsed="false">
      <c r="A1847" s="31" t="str">
        <f aca="false">Demand_History!C1847</f>
        <v>BTH-008</v>
      </c>
      <c r="B1847" s="31" t="n">
        <f aca="false">Demand_History!A1847</f>
        <v>78</v>
      </c>
      <c r="C1847" s="32" t="n">
        <f aca="false">Demand_History!D1847</f>
        <v>6</v>
      </c>
      <c r="D1847" s="33" t="n">
        <f aca="false">IF(B1847&gt;=2,C1846,"")</f>
        <v>6</v>
      </c>
      <c r="E1847" s="33" t="n">
        <f aca="false">IF(B1847&gt;=5,AVERAGE(C1843:C1846),"")</f>
        <v>7.25</v>
      </c>
      <c r="F1847" s="33" t="n">
        <f aca="false">IF(B1847&gt;=9,AVERAGE(C1839:C1846),"")</f>
        <v>6.875</v>
      </c>
      <c r="G1847" s="33" t="n">
        <f aca="false">IF(B1847=1,"",IF(B1847=2,C1846,SES_Alpha*C1846+(1-SES_Alpha)*G1846))</f>
        <v>6.82333333458328</v>
      </c>
      <c r="H1847" s="33" t="n">
        <f aca="false">IF(D1847="","",D1847-C1847)</f>
        <v>0</v>
      </c>
      <c r="I1847" s="33" t="n">
        <f aca="false">IF(E1847="","",E1847-C1847)</f>
        <v>1.25</v>
      </c>
      <c r="J1847" s="33" t="n">
        <f aca="false">IF(F1847="","",F1847-C1847)</f>
        <v>0.875</v>
      </c>
      <c r="K1847" s="33" t="n">
        <f aca="false">IF(G1847="","",G1847-C1847)</f>
        <v>0.823333334583285</v>
      </c>
      <c r="L1847" s="33" t="n">
        <f aca="false">IF(H1847="","",ABS(H1847))</f>
        <v>0</v>
      </c>
      <c r="M1847" s="33" t="n">
        <f aca="false">IF(I1847="","",ABS(I1847))</f>
        <v>1.25</v>
      </c>
      <c r="N1847" s="33" t="n">
        <f aca="false">IF(J1847="","",ABS(J1847))</f>
        <v>0.875</v>
      </c>
      <c r="O1847" s="33" t="n">
        <f aca="false">IF(K1847="","",ABS(K1847))</f>
        <v>0.823333334583285</v>
      </c>
      <c r="P1847" s="34" t="str">
        <f aca="false">IF(B1847&gt;=Eval_Start_Week,"YES","")</f>
        <v>YES</v>
      </c>
      <c r="Q1847" s="34" t="str">
        <f aca="false">IF(AND(B1847&gt;=Cal_Start_Week,B1847&lt;=Cal_End_Week),"YES","")</f>
        <v>YES</v>
      </c>
    </row>
    <row r="1848" customFormat="false" ht="15" hidden="false" customHeight="false" outlineLevel="0" collapsed="false">
      <c r="A1848" s="31" t="str">
        <f aca="false">Demand_History!C1848</f>
        <v>BTH-008</v>
      </c>
      <c r="B1848" s="31" t="n">
        <f aca="false">Demand_History!A1848</f>
        <v>79</v>
      </c>
      <c r="C1848" s="32" t="n">
        <f aca="false">Demand_History!D1848</f>
        <v>8</v>
      </c>
      <c r="D1848" s="33" t="n">
        <f aca="false">IF(B1848&gt;=2,C1847,"")</f>
        <v>6</v>
      </c>
      <c r="E1848" s="33" t="n">
        <f aca="false">IF(B1848&gt;=5,AVERAGE(C1844:C1847),"")</f>
        <v>7</v>
      </c>
      <c r="F1848" s="33" t="n">
        <f aca="false">IF(B1848&gt;=9,AVERAGE(C1840:C1847),"")</f>
        <v>6.875</v>
      </c>
      <c r="G1848" s="33" t="n">
        <f aca="false">IF(B1848=1,"",IF(B1848=2,C1847,SES_Alpha*C1847+(1-SES_Alpha)*G1847))</f>
        <v>6.5763333342083</v>
      </c>
      <c r="H1848" s="33" t="n">
        <f aca="false">IF(D1848="","",D1848-C1848)</f>
        <v>-2</v>
      </c>
      <c r="I1848" s="33" t="n">
        <f aca="false">IF(E1848="","",E1848-C1848)</f>
        <v>-1</v>
      </c>
      <c r="J1848" s="33" t="n">
        <f aca="false">IF(F1848="","",F1848-C1848)</f>
        <v>-1.125</v>
      </c>
      <c r="K1848" s="33" t="n">
        <f aca="false">IF(G1848="","",G1848-C1848)</f>
        <v>-1.4236666657917</v>
      </c>
      <c r="L1848" s="33" t="n">
        <f aca="false">IF(H1848="","",ABS(H1848))</f>
        <v>2</v>
      </c>
      <c r="M1848" s="33" t="n">
        <f aca="false">IF(I1848="","",ABS(I1848))</f>
        <v>1</v>
      </c>
      <c r="N1848" s="33" t="n">
        <f aca="false">IF(J1848="","",ABS(J1848))</f>
        <v>1.125</v>
      </c>
      <c r="O1848" s="33" t="n">
        <f aca="false">IF(K1848="","",ABS(K1848))</f>
        <v>1.4236666657917</v>
      </c>
      <c r="P1848" s="34" t="str">
        <f aca="false">IF(B1848&gt;=Eval_Start_Week,"YES","")</f>
        <v>YES</v>
      </c>
      <c r="Q1848" s="34" t="str">
        <f aca="false">IF(AND(B1848&gt;=Cal_Start_Week,B1848&lt;=Cal_End_Week),"YES","")</f>
        <v>YES</v>
      </c>
    </row>
    <row r="1849" customFormat="false" ht="15" hidden="false" customHeight="false" outlineLevel="0" collapsed="false">
      <c r="A1849" s="31" t="str">
        <f aca="false">Demand_History!C1849</f>
        <v>BTH-008</v>
      </c>
      <c r="B1849" s="31" t="n">
        <f aca="false">Demand_History!A1849</f>
        <v>80</v>
      </c>
      <c r="C1849" s="32" t="n">
        <f aca="false">Demand_History!D1849</f>
        <v>9</v>
      </c>
      <c r="D1849" s="33" t="n">
        <f aca="false">IF(B1849&gt;=2,C1848,"")</f>
        <v>8</v>
      </c>
      <c r="E1849" s="33" t="n">
        <f aca="false">IF(B1849&gt;=5,AVERAGE(C1845:C1848),"")</f>
        <v>6.75</v>
      </c>
      <c r="F1849" s="33" t="n">
        <f aca="false">IF(B1849&gt;=9,AVERAGE(C1841:C1848),"")</f>
        <v>6.875</v>
      </c>
      <c r="G1849" s="33" t="n">
        <f aca="false">IF(B1849=1,"",IF(B1849=2,C1848,SES_Alpha*C1848+(1-SES_Alpha)*G1848))</f>
        <v>7.00343333394581</v>
      </c>
      <c r="H1849" s="33" t="n">
        <f aca="false">IF(D1849="","",D1849-C1849)</f>
        <v>-1</v>
      </c>
      <c r="I1849" s="33" t="n">
        <f aca="false">IF(E1849="","",E1849-C1849)</f>
        <v>-2.25</v>
      </c>
      <c r="J1849" s="33" t="n">
        <f aca="false">IF(F1849="","",F1849-C1849)</f>
        <v>-2.125</v>
      </c>
      <c r="K1849" s="33" t="n">
        <f aca="false">IF(G1849="","",G1849-C1849)</f>
        <v>-1.99656666605419</v>
      </c>
      <c r="L1849" s="33" t="n">
        <f aca="false">IF(H1849="","",ABS(H1849))</f>
        <v>1</v>
      </c>
      <c r="M1849" s="33" t="n">
        <f aca="false">IF(I1849="","",ABS(I1849))</f>
        <v>2.25</v>
      </c>
      <c r="N1849" s="33" t="n">
        <f aca="false">IF(J1849="","",ABS(J1849))</f>
        <v>2.125</v>
      </c>
      <c r="O1849" s="33" t="n">
        <f aca="false">IF(K1849="","",ABS(K1849))</f>
        <v>1.99656666605419</v>
      </c>
      <c r="P1849" s="34" t="str">
        <f aca="false">IF(B1849&gt;=Eval_Start_Week,"YES","")</f>
        <v>YES</v>
      </c>
      <c r="Q1849" s="34" t="str">
        <f aca="false">IF(AND(B1849&gt;=Cal_Start_Week,B1849&lt;=Cal_End_Week),"YES","")</f>
        <v>YES</v>
      </c>
    </row>
    <row r="1850" customFormat="false" ht="15" hidden="false" customHeight="false" outlineLevel="0" collapsed="false">
      <c r="A1850" s="31" t="str">
        <f aca="false">Demand_History!C1850</f>
        <v>BTH-008</v>
      </c>
      <c r="B1850" s="31" t="n">
        <f aca="false">Demand_History!A1850</f>
        <v>81</v>
      </c>
      <c r="C1850" s="32" t="n">
        <f aca="false">Demand_History!D1850</f>
        <v>3</v>
      </c>
      <c r="D1850" s="33" t="n">
        <f aca="false">IF(B1850&gt;=2,C1849,"")</f>
        <v>9</v>
      </c>
      <c r="E1850" s="33" t="n">
        <f aca="false">IF(B1850&gt;=5,AVERAGE(C1846:C1849),"")</f>
        <v>7.25</v>
      </c>
      <c r="F1850" s="33" t="n">
        <f aca="false">IF(B1850&gt;=9,AVERAGE(C1842:C1849),"")</f>
        <v>7</v>
      </c>
      <c r="G1850" s="33" t="n">
        <f aca="false">IF(B1850=1,"",IF(B1850=2,C1849,SES_Alpha*C1849+(1-SES_Alpha)*G1849))</f>
        <v>7.60240333376207</v>
      </c>
      <c r="H1850" s="33" t="n">
        <f aca="false">IF(D1850="","",D1850-C1850)</f>
        <v>6</v>
      </c>
      <c r="I1850" s="33" t="n">
        <f aca="false">IF(E1850="","",E1850-C1850)</f>
        <v>4.25</v>
      </c>
      <c r="J1850" s="33" t="n">
        <f aca="false">IF(F1850="","",F1850-C1850)</f>
        <v>4</v>
      </c>
      <c r="K1850" s="33" t="n">
        <f aca="false">IF(G1850="","",G1850-C1850)</f>
        <v>4.60240333376207</v>
      </c>
      <c r="L1850" s="33" t="n">
        <f aca="false">IF(H1850="","",ABS(H1850))</f>
        <v>6</v>
      </c>
      <c r="M1850" s="33" t="n">
        <f aca="false">IF(I1850="","",ABS(I1850))</f>
        <v>4.25</v>
      </c>
      <c r="N1850" s="33" t="n">
        <f aca="false">IF(J1850="","",ABS(J1850))</f>
        <v>4</v>
      </c>
      <c r="O1850" s="33" t="n">
        <f aca="false">IF(K1850="","",ABS(K1850))</f>
        <v>4.60240333376207</v>
      </c>
      <c r="P1850" s="34" t="str">
        <f aca="false">IF(B1850&gt;=Eval_Start_Week,"YES","")</f>
        <v>YES</v>
      </c>
      <c r="Q1850" s="34" t="str">
        <f aca="false">IF(AND(B1850&gt;=Cal_Start_Week,B1850&lt;=Cal_End_Week),"YES","")</f>
        <v>YES</v>
      </c>
    </row>
    <row r="1851" customFormat="false" ht="15" hidden="false" customHeight="false" outlineLevel="0" collapsed="false">
      <c r="A1851" s="31" t="str">
        <f aca="false">Demand_History!C1851</f>
        <v>BTH-008</v>
      </c>
      <c r="B1851" s="31" t="n">
        <f aca="false">Demand_History!A1851</f>
        <v>82</v>
      </c>
      <c r="C1851" s="32" t="n">
        <f aca="false">Demand_History!D1851</f>
        <v>3</v>
      </c>
      <c r="D1851" s="33" t="n">
        <f aca="false">IF(B1851&gt;=2,C1850,"")</f>
        <v>3</v>
      </c>
      <c r="E1851" s="33" t="n">
        <f aca="false">IF(B1851&gt;=5,AVERAGE(C1847:C1850),"")</f>
        <v>6.5</v>
      </c>
      <c r="F1851" s="33" t="n">
        <f aca="false">IF(B1851&gt;=9,AVERAGE(C1843:C1850),"")</f>
        <v>6.875</v>
      </c>
      <c r="G1851" s="33" t="n">
        <f aca="false">IF(B1851=1,"",IF(B1851=2,C1850,SES_Alpha*C1850+(1-SES_Alpha)*G1850))</f>
        <v>6.22168233363345</v>
      </c>
      <c r="H1851" s="33" t="n">
        <f aca="false">IF(D1851="","",D1851-C1851)</f>
        <v>0</v>
      </c>
      <c r="I1851" s="33" t="n">
        <f aca="false">IF(E1851="","",E1851-C1851)</f>
        <v>3.5</v>
      </c>
      <c r="J1851" s="33" t="n">
        <f aca="false">IF(F1851="","",F1851-C1851)</f>
        <v>3.875</v>
      </c>
      <c r="K1851" s="33" t="n">
        <f aca="false">IF(G1851="","",G1851-C1851)</f>
        <v>3.22168233363345</v>
      </c>
      <c r="L1851" s="33" t="n">
        <f aca="false">IF(H1851="","",ABS(H1851))</f>
        <v>0</v>
      </c>
      <c r="M1851" s="33" t="n">
        <f aca="false">IF(I1851="","",ABS(I1851))</f>
        <v>3.5</v>
      </c>
      <c r="N1851" s="33" t="n">
        <f aca="false">IF(J1851="","",ABS(J1851))</f>
        <v>3.875</v>
      </c>
      <c r="O1851" s="33" t="n">
        <f aca="false">IF(K1851="","",ABS(K1851))</f>
        <v>3.22168233363345</v>
      </c>
      <c r="P1851" s="34" t="str">
        <f aca="false">IF(B1851&gt;=Eval_Start_Week,"YES","")</f>
        <v>YES</v>
      </c>
      <c r="Q1851" s="34" t="str">
        <f aca="false">IF(AND(B1851&gt;=Cal_Start_Week,B1851&lt;=Cal_End_Week),"YES","")</f>
        <v>YES</v>
      </c>
    </row>
    <row r="1852" customFormat="false" ht="15" hidden="false" customHeight="false" outlineLevel="0" collapsed="false">
      <c r="A1852" s="31" t="str">
        <f aca="false">Demand_History!C1852</f>
        <v>BTH-008</v>
      </c>
      <c r="B1852" s="31" t="n">
        <f aca="false">Demand_History!A1852</f>
        <v>83</v>
      </c>
      <c r="C1852" s="32" t="n">
        <f aca="false">Demand_History!D1852</f>
        <v>7</v>
      </c>
      <c r="D1852" s="33" t="n">
        <f aca="false">IF(B1852&gt;=2,C1851,"")</f>
        <v>3</v>
      </c>
      <c r="E1852" s="33" t="n">
        <f aca="false">IF(B1852&gt;=5,AVERAGE(C1848:C1851),"")</f>
        <v>5.75</v>
      </c>
      <c r="F1852" s="33" t="n">
        <f aca="false">IF(B1852&gt;=9,AVERAGE(C1844:C1851),"")</f>
        <v>6.375</v>
      </c>
      <c r="G1852" s="33" t="n">
        <f aca="false">IF(B1852=1,"",IF(B1852=2,C1851,SES_Alpha*C1851+(1-SES_Alpha)*G1851))</f>
        <v>5.25517763354341</v>
      </c>
      <c r="H1852" s="33" t="n">
        <f aca="false">IF(D1852="","",D1852-C1852)</f>
        <v>-4</v>
      </c>
      <c r="I1852" s="33" t="n">
        <f aca="false">IF(E1852="","",E1852-C1852)</f>
        <v>-1.25</v>
      </c>
      <c r="J1852" s="33" t="n">
        <f aca="false">IF(F1852="","",F1852-C1852)</f>
        <v>-0.625</v>
      </c>
      <c r="K1852" s="33" t="n">
        <f aca="false">IF(G1852="","",G1852-C1852)</f>
        <v>-1.74482236645659</v>
      </c>
      <c r="L1852" s="33" t="n">
        <f aca="false">IF(H1852="","",ABS(H1852))</f>
        <v>4</v>
      </c>
      <c r="M1852" s="33" t="n">
        <f aca="false">IF(I1852="","",ABS(I1852))</f>
        <v>1.25</v>
      </c>
      <c r="N1852" s="33" t="n">
        <f aca="false">IF(J1852="","",ABS(J1852))</f>
        <v>0.625</v>
      </c>
      <c r="O1852" s="33" t="n">
        <f aca="false">IF(K1852="","",ABS(K1852))</f>
        <v>1.74482236645659</v>
      </c>
      <c r="P1852" s="34" t="str">
        <f aca="false">IF(B1852&gt;=Eval_Start_Week,"YES","")</f>
        <v>YES</v>
      </c>
      <c r="Q1852" s="34" t="str">
        <f aca="false">IF(AND(B1852&gt;=Cal_Start_Week,B1852&lt;=Cal_End_Week),"YES","")</f>
        <v>YES</v>
      </c>
    </row>
    <row r="1853" customFormat="false" ht="15" hidden="false" customHeight="false" outlineLevel="0" collapsed="false">
      <c r="A1853" s="31" t="str">
        <f aca="false">Demand_History!C1853</f>
        <v>BTH-008</v>
      </c>
      <c r="B1853" s="31" t="n">
        <f aca="false">Demand_History!A1853</f>
        <v>84</v>
      </c>
      <c r="C1853" s="32" t="n">
        <f aca="false">Demand_History!D1853</f>
        <v>5</v>
      </c>
      <c r="D1853" s="33" t="n">
        <f aca="false">IF(B1853&gt;=2,C1852,"")</f>
        <v>7</v>
      </c>
      <c r="E1853" s="33" t="n">
        <f aca="false">IF(B1853&gt;=5,AVERAGE(C1849:C1852),"")</f>
        <v>5.5</v>
      </c>
      <c r="F1853" s="33" t="n">
        <f aca="false">IF(B1853&gt;=9,AVERAGE(C1845:C1852),"")</f>
        <v>6.125</v>
      </c>
      <c r="G1853" s="33" t="n">
        <f aca="false">IF(B1853=1,"",IF(B1853=2,C1852,SES_Alpha*C1852+(1-SES_Alpha)*G1852))</f>
        <v>5.77862434348039</v>
      </c>
      <c r="H1853" s="33" t="n">
        <f aca="false">IF(D1853="","",D1853-C1853)</f>
        <v>2</v>
      </c>
      <c r="I1853" s="33" t="n">
        <f aca="false">IF(E1853="","",E1853-C1853)</f>
        <v>0.5</v>
      </c>
      <c r="J1853" s="33" t="n">
        <f aca="false">IF(F1853="","",F1853-C1853)</f>
        <v>1.125</v>
      </c>
      <c r="K1853" s="33" t="n">
        <f aca="false">IF(G1853="","",G1853-C1853)</f>
        <v>0.778624343480388</v>
      </c>
      <c r="L1853" s="33" t="n">
        <f aca="false">IF(H1853="","",ABS(H1853))</f>
        <v>2</v>
      </c>
      <c r="M1853" s="33" t="n">
        <f aca="false">IF(I1853="","",ABS(I1853))</f>
        <v>0.5</v>
      </c>
      <c r="N1853" s="33" t="n">
        <f aca="false">IF(J1853="","",ABS(J1853))</f>
        <v>1.125</v>
      </c>
      <c r="O1853" s="33" t="n">
        <f aca="false">IF(K1853="","",ABS(K1853))</f>
        <v>0.778624343480388</v>
      </c>
      <c r="P1853" s="34" t="str">
        <f aca="false">IF(B1853&gt;=Eval_Start_Week,"YES","")</f>
        <v>YES</v>
      </c>
      <c r="Q1853" s="34" t="str">
        <f aca="false">IF(AND(B1853&gt;=Cal_Start_Week,B1853&lt;=Cal_End_Week),"YES","")</f>
        <v>YES</v>
      </c>
    </row>
    <row r="1854" customFormat="false" ht="15" hidden="false" customHeight="false" outlineLevel="0" collapsed="false">
      <c r="A1854" s="31" t="str">
        <f aca="false">Demand_History!C1854</f>
        <v>BTH-008</v>
      </c>
      <c r="B1854" s="31" t="n">
        <f aca="false">Demand_History!A1854</f>
        <v>85</v>
      </c>
      <c r="C1854" s="32" t="n">
        <f aca="false">Demand_History!D1854</f>
        <v>5</v>
      </c>
      <c r="D1854" s="33" t="n">
        <f aca="false">IF(B1854&gt;=2,C1853,"")</f>
        <v>5</v>
      </c>
      <c r="E1854" s="33" t="n">
        <f aca="false">IF(B1854&gt;=5,AVERAGE(C1850:C1853),"")</f>
        <v>4.5</v>
      </c>
      <c r="F1854" s="33" t="n">
        <f aca="false">IF(B1854&gt;=9,AVERAGE(C1846:C1853),"")</f>
        <v>5.875</v>
      </c>
      <c r="G1854" s="33" t="n">
        <f aca="false">IF(B1854=1,"",IF(B1854=2,C1853,SES_Alpha*C1853+(1-SES_Alpha)*G1853))</f>
        <v>5.54503704043627</v>
      </c>
      <c r="H1854" s="33" t="n">
        <f aca="false">IF(D1854="","",D1854-C1854)</f>
        <v>0</v>
      </c>
      <c r="I1854" s="33" t="n">
        <f aca="false">IF(E1854="","",E1854-C1854)</f>
        <v>-0.5</v>
      </c>
      <c r="J1854" s="33" t="n">
        <f aca="false">IF(F1854="","",F1854-C1854)</f>
        <v>0.875</v>
      </c>
      <c r="K1854" s="33" t="n">
        <f aca="false">IF(G1854="","",G1854-C1854)</f>
        <v>0.545037040436271</v>
      </c>
      <c r="L1854" s="33" t="n">
        <f aca="false">IF(H1854="","",ABS(H1854))</f>
        <v>0</v>
      </c>
      <c r="M1854" s="33" t="n">
        <f aca="false">IF(I1854="","",ABS(I1854))</f>
        <v>0.5</v>
      </c>
      <c r="N1854" s="33" t="n">
        <f aca="false">IF(J1854="","",ABS(J1854))</f>
        <v>0.875</v>
      </c>
      <c r="O1854" s="33" t="n">
        <f aca="false">IF(K1854="","",ABS(K1854))</f>
        <v>0.545037040436271</v>
      </c>
      <c r="P1854" s="34" t="str">
        <f aca="false">IF(B1854&gt;=Eval_Start_Week,"YES","")</f>
        <v>YES</v>
      </c>
      <c r="Q1854" s="34" t="str">
        <f aca="false">IF(AND(B1854&gt;=Cal_Start_Week,B1854&lt;=Cal_End_Week),"YES","")</f>
        <v>YES</v>
      </c>
    </row>
    <row r="1855" customFormat="false" ht="15" hidden="false" customHeight="false" outlineLevel="0" collapsed="false">
      <c r="A1855" s="31" t="str">
        <f aca="false">Demand_History!C1855</f>
        <v>BTH-008</v>
      </c>
      <c r="B1855" s="31" t="n">
        <f aca="false">Demand_History!A1855</f>
        <v>86</v>
      </c>
      <c r="C1855" s="32" t="n">
        <f aca="false">Demand_History!D1855</f>
        <v>7</v>
      </c>
      <c r="D1855" s="33" t="n">
        <f aca="false">IF(B1855&gt;=2,C1854,"")</f>
        <v>5</v>
      </c>
      <c r="E1855" s="33" t="n">
        <f aca="false">IF(B1855&gt;=5,AVERAGE(C1851:C1854),"")</f>
        <v>5</v>
      </c>
      <c r="F1855" s="33" t="n">
        <f aca="false">IF(B1855&gt;=9,AVERAGE(C1847:C1854),"")</f>
        <v>5.75</v>
      </c>
      <c r="G1855" s="33" t="n">
        <f aca="false">IF(B1855=1,"",IF(B1855=2,C1854,SES_Alpha*C1854+(1-SES_Alpha)*G1854))</f>
        <v>5.38152592830539</v>
      </c>
      <c r="H1855" s="33" t="n">
        <f aca="false">IF(D1855="","",D1855-C1855)</f>
        <v>-2</v>
      </c>
      <c r="I1855" s="33" t="n">
        <f aca="false">IF(E1855="","",E1855-C1855)</f>
        <v>-2</v>
      </c>
      <c r="J1855" s="33" t="n">
        <f aca="false">IF(F1855="","",F1855-C1855)</f>
        <v>-1.25</v>
      </c>
      <c r="K1855" s="33" t="n">
        <f aca="false">IF(G1855="","",G1855-C1855)</f>
        <v>-1.61847407169461</v>
      </c>
      <c r="L1855" s="33" t="n">
        <f aca="false">IF(H1855="","",ABS(H1855))</f>
        <v>2</v>
      </c>
      <c r="M1855" s="33" t="n">
        <f aca="false">IF(I1855="","",ABS(I1855))</f>
        <v>2</v>
      </c>
      <c r="N1855" s="33" t="n">
        <f aca="false">IF(J1855="","",ABS(J1855))</f>
        <v>1.25</v>
      </c>
      <c r="O1855" s="33" t="n">
        <f aca="false">IF(K1855="","",ABS(K1855))</f>
        <v>1.61847407169461</v>
      </c>
      <c r="P1855" s="34" t="str">
        <f aca="false">IF(B1855&gt;=Eval_Start_Week,"YES","")</f>
        <v>YES</v>
      </c>
      <c r="Q1855" s="34" t="str">
        <f aca="false">IF(AND(B1855&gt;=Cal_Start_Week,B1855&lt;=Cal_End_Week),"YES","")</f>
        <v>YES</v>
      </c>
    </row>
    <row r="1856" customFormat="false" ht="15" hidden="false" customHeight="false" outlineLevel="0" collapsed="false">
      <c r="A1856" s="31" t="str">
        <f aca="false">Demand_History!C1856</f>
        <v>BTH-008</v>
      </c>
      <c r="B1856" s="31" t="n">
        <f aca="false">Demand_History!A1856</f>
        <v>87</v>
      </c>
      <c r="C1856" s="32" t="n">
        <f aca="false">Demand_History!D1856</f>
        <v>4</v>
      </c>
      <c r="D1856" s="33" t="n">
        <f aca="false">IF(B1856&gt;=2,C1855,"")</f>
        <v>7</v>
      </c>
      <c r="E1856" s="33" t="n">
        <f aca="false">IF(B1856&gt;=5,AVERAGE(C1852:C1855),"")</f>
        <v>6</v>
      </c>
      <c r="F1856" s="33" t="n">
        <f aca="false">IF(B1856&gt;=9,AVERAGE(C1848:C1855),"")</f>
        <v>5.875</v>
      </c>
      <c r="G1856" s="33" t="n">
        <f aca="false">IF(B1856=1,"",IF(B1856=2,C1855,SES_Alpha*C1855+(1-SES_Alpha)*G1855))</f>
        <v>5.86706814981377</v>
      </c>
      <c r="H1856" s="33" t="n">
        <f aca="false">IF(D1856="","",D1856-C1856)</f>
        <v>3</v>
      </c>
      <c r="I1856" s="33" t="n">
        <f aca="false">IF(E1856="","",E1856-C1856)</f>
        <v>2</v>
      </c>
      <c r="J1856" s="33" t="n">
        <f aca="false">IF(F1856="","",F1856-C1856)</f>
        <v>1.875</v>
      </c>
      <c r="K1856" s="33" t="n">
        <f aca="false">IF(G1856="","",G1856-C1856)</f>
        <v>1.86706814981377</v>
      </c>
      <c r="L1856" s="33" t="n">
        <f aca="false">IF(H1856="","",ABS(H1856))</f>
        <v>3</v>
      </c>
      <c r="M1856" s="33" t="n">
        <f aca="false">IF(I1856="","",ABS(I1856))</f>
        <v>2</v>
      </c>
      <c r="N1856" s="33" t="n">
        <f aca="false">IF(J1856="","",ABS(J1856))</f>
        <v>1.875</v>
      </c>
      <c r="O1856" s="33" t="n">
        <f aca="false">IF(K1856="","",ABS(K1856))</f>
        <v>1.86706814981377</v>
      </c>
      <c r="P1856" s="34" t="str">
        <f aca="false">IF(B1856&gt;=Eval_Start_Week,"YES","")</f>
        <v>YES</v>
      </c>
      <c r="Q1856" s="34" t="str">
        <f aca="false">IF(AND(B1856&gt;=Cal_Start_Week,B1856&lt;=Cal_End_Week),"YES","")</f>
        <v>YES</v>
      </c>
    </row>
    <row r="1857" customFormat="false" ht="15" hidden="false" customHeight="false" outlineLevel="0" collapsed="false">
      <c r="A1857" s="31" t="str">
        <f aca="false">Demand_History!C1857</f>
        <v>BTH-008</v>
      </c>
      <c r="B1857" s="31" t="n">
        <f aca="false">Demand_History!A1857</f>
        <v>88</v>
      </c>
      <c r="C1857" s="32" t="n">
        <f aca="false">Demand_History!D1857</f>
        <v>2</v>
      </c>
      <c r="D1857" s="33" t="n">
        <f aca="false">IF(B1857&gt;=2,C1856,"")</f>
        <v>4</v>
      </c>
      <c r="E1857" s="33" t="n">
        <f aca="false">IF(B1857&gt;=5,AVERAGE(C1853:C1856),"")</f>
        <v>5.25</v>
      </c>
      <c r="F1857" s="33" t="n">
        <f aca="false">IF(B1857&gt;=9,AVERAGE(C1849:C1856),"")</f>
        <v>5.375</v>
      </c>
      <c r="G1857" s="33" t="n">
        <f aca="false">IF(B1857=1,"",IF(B1857=2,C1856,SES_Alpha*C1856+(1-SES_Alpha)*G1856))</f>
        <v>5.30694770486964</v>
      </c>
      <c r="H1857" s="33" t="n">
        <f aca="false">IF(D1857="","",D1857-C1857)</f>
        <v>2</v>
      </c>
      <c r="I1857" s="33" t="n">
        <f aca="false">IF(E1857="","",E1857-C1857)</f>
        <v>3.25</v>
      </c>
      <c r="J1857" s="33" t="n">
        <f aca="false">IF(F1857="","",F1857-C1857)</f>
        <v>3.375</v>
      </c>
      <c r="K1857" s="33" t="n">
        <f aca="false">IF(G1857="","",G1857-C1857)</f>
        <v>3.30694770486964</v>
      </c>
      <c r="L1857" s="33" t="n">
        <f aca="false">IF(H1857="","",ABS(H1857))</f>
        <v>2</v>
      </c>
      <c r="M1857" s="33" t="n">
        <f aca="false">IF(I1857="","",ABS(I1857))</f>
        <v>3.25</v>
      </c>
      <c r="N1857" s="33" t="n">
        <f aca="false">IF(J1857="","",ABS(J1857))</f>
        <v>3.375</v>
      </c>
      <c r="O1857" s="33" t="n">
        <f aca="false">IF(K1857="","",ABS(K1857))</f>
        <v>3.30694770486964</v>
      </c>
      <c r="P1857" s="34" t="str">
        <f aca="false">IF(B1857&gt;=Eval_Start_Week,"YES","")</f>
        <v>YES</v>
      </c>
      <c r="Q1857" s="34" t="str">
        <f aca="false">IF(AND(B1857&gt;=Cal_Start_Week,B1857&lt;=Cal_End_Week),"YES","")</f>
        <v>YES</v>
      </c>
    </row>
    <row r="1858" customFormat="false" ht="15" hidden="false" customHeight="false" outlineLevel="0" collapsed="false">
      <c r="A1858" s="31" t="str">
        <f aca="false">Demand_History!C1858</f>
        <v>BTH-008</v>
      </c>
      <c r="B1858" s="31" t="n">
        <f aca="false">Demand_History!A1858</f>
        <v>89</v>
      </c>
      <c r="C1858" s="32" t="n">
        <f aca="false">Demand_History!D1858</f>
        <v>3</v>
      </c>
      <c r="D1858" s="33" t="n">
        <f aca="false">IF(B1858&gt;=2,C1857,"")</f>
        <v>2</v>
      </c>
      <c r="E1858" s="33" t="n">
        <f aca="false">IF(B1858&gt;=5,AVERAGE(C1854:C1857),"")</f>
        <v>4.5</v>
      </c>
      <c r="F1858" s="33" t="n">
        <f aca="false">IF(B1858&gt;=9,AVERAGE(C1850:C1857),"")</f>
        <v>4.5</v>
      </c>
      <c r="G1858" s="33" t="n">
        <f aca="false">IF(B1858=1,"",IF(B1858=2,C1857,SES_Alpha*C1857+(1-SES_Alpha)*G1857))</f>
        <v>4.31486339340875</v>
      </c>
      <c r="H1858" s="33" t="n">
        <f aca="false">IF(D1858="","",D1858-C1858)</f>
        <v>-1</v>
      </c>
      <c r="I1858" s="33" t="n">
        <f aca="false">IF(E1858="","",E1858-C1858)</f>
        <v>1.5</v>
      </c>
      <c r="J1858" s="33" t="n">
        <f aca="false">IF(F1858="","",F1858-C1858)</f>
        <v>1.5</v>
      </c>
      <c r="K1858" s="33" t="n">
        <f aca="false">IF(G1858="","",G1858-C1858)</f>
        <v>1.31486339340875</v>
      </c>
      <c r="L1858" s="33" t="n">
        <f aca="false">IF(H1858="","",ABS(H1858))</f>
        <v>1</v>
      </c>
      <c r="M1858" s="33" t="n">
        <f aca="false">IF(I1858="","",ABS(I1858))</f>
        <v>1.5</v>
      </c>
      <c r="N1858" s="33" t="n">
        <f aca="false">IF(J1858="","",ABS(J1858))</f>
        <v>1.5</v>
      </c>
      <c r="O1858" s="33" t="n">
        <f aca="false">IF(K1858="","",ABS(K1858))</f>
        <v>1.31486339340875</v>
      </c>
      <c r="P1858" s="34" t="str">
        <f aca="false">IF(B1858&gt;=Eval_Start_Week,"YES","")</f>
        <v>YES</v>
      </c>
      <c r="Q1858" s="34" t="str">
        <f aca="false">IF(AND(B1858&gt;=Cal_Start_Week,B1858&lt;=Cal_End_Week),"YES","")</f>
        <v/>
      </c>
    </row>
    <row r="1859" customFormat="false" ht="15" hidden="false" customHeight="false" outlineLevel="0" collapsed="false">
      <c r="A1859" s="31" t="str">
        <f aca="false">Demand_History!C1859</f>
        <v>BTH-008</v>
      </c>
      <c r="B1859" s="31" t="n">
        <f aca="false">Demand_History!A1859</f>
        <v>90</v>
      </c>
      <c r="C1859" s="32" t="n">
        <f aca="false">Demand_History!D1859</f>
        <v>8</v>
      </c>
      <c r="D1859" s="33" t="n">
        <f aca="false">IF(B1859&gt;=2,C1858,"")</f>
        <v>3</v>
      </c>
      <c r="E1859" s="33" t="n">
        <f aca="false">IF(B1859&gt;=5,AVERAGE(C1855:C1858),"")</f>
        <v>4</v>
      </c>
      <c r="F1859" s="33" t="n">
        <f aca="false">IF(B1859&gt;=9,AVERAGE(C1851:C1858),"")</f>
        <v>4.5</v>
      </c>
      <c r="G1859" s="33" t="n">
        <f aca="false">IF(B1859=1,"",IF(B1859=2,C1858,SES_Alpha*C1858+(1-SES_Alpha)*G1858))</f>
        <v>3.92040437538612</v>
      </c>
      <c r="H1859" s="33" t="n">
        <f aca="false">IF(D1859="","",D1859-C1859)</f>
        <v>-5</v>
      </c>
      <c r="I1859" s="33" t="n">
        <f aca="false">IF(E1859="","",E1859-C1859)</f>
        <v>-4</v>
      </c>
      <c r="J1859" s="33" t="n">
        <f aca="false">IF(F1859="","",F1859-C1859)</f>
        <v>-3.5</v>
      </c>
      <c r="K1859" s="33" t="n">
        <f aca="false">IF(G1859="","",G1859-C1859)</f>
        <v>-4.07959562461388</v>
      </c>
      <c r="L1859" s="33" t="n">
        <f aca="false">IF(H1859="","",ABS(H1859))</f>
        <v>5</v>
      </c>
      <c r="M1859" s="33" t="n">
        <f aca="false">IF(I1859="","",ABS(I1859))</f>
        <v>4</v>
      </c>
      <c r="N1859" s="33" t="n">
        <f aca="false">IF(J1859="","",ABS(J1859))</f>
        <v>3.5</v>
      </c>
      <c r="O1859" s="33" t="n">
        <f aca="false">IF(K1859="","",ABS(K1859))</f>
        <v>4.07959562461388</v>
      </c>
      <c r="P1859" s="34" t="str">
        <f aca="false">IF(B1859&gt;=Eval_Start_Week,"YES","")</f>
        <v>YES</v>
      </c>
      <c r="Q1859" s="34" t="str">
        <f aca="false">IF(AND(B1859&gt;=Cal_Start_Week,B1859&lt;=Cal_End_Week),"YES","")</f>
        <v/>
      </c>
    </row>
    <row r="1860" customFormat="false" ht="15" hidden="false" customHeight="false" outlineLevel="0" collapsed="false">
      <c r="A1860" s="31" t="str">
        <f aca="false">Demand_History!C1860</f>
        <v>BTH-008</v>
      </c>
      <c r="B1860" s="31" t="n">
        <f aca="false">Demand_History!A1860</f>
        <v>91</v>
      </c>
      <c r="C1860" s="32" t="n">
        <f aca="false">Demand_History!D1860</f>
        <v>7</v>
      </c>
      <c r="D1860" s="33" t="n">
        <f aca="false">IF(B1860&gt;=2,C1859,"")</f>
        <v>8</v>
      </c>
      <c r="E1860" s="33" t="n">
        <f aca="false">IF(B1860&gt;=5,AVERAGE(C1856:C1859),"")</f>
        <v>4.25</v>
      </c>
      <c r="F1860" s="33" t="n">
        <f aca="false">IF(B1860&gt;=9,AVERAGE(C1852:C1859),"")</f>
        <v>5.125</v>
      </c>
      <c r="G1860" s="33" t="n">
        <f aca="false">IF(B1860=1,"",IF(B1860=2,C1859,SES_Alpha*C1859+(1-SES_Alpha)*G1859))</f>
        <v>5.14428306277029</v>
      </c>
      <c r="H1860" s="33" t="n">
        <f aca="false">IF(D1860="","",D1860-C1860)</f>
        <v>1</v>
      </c>
      <c r="I1860" s="33" t="n">
        <f aca="false">IF(E1860="","",E1860-C1860)</f>
        <v>-2.75</v>
      </c>
      <c r="J1860" s="33" t="n">
        <f aca="false">IF(F1860="","",F1860-C1860)</f>
        <v>-1.875</v>
      </c>
      <c r="K1860" s="33" t="n">
        <f aca="false">IF(G1860="","",G1860-C1860)</f>
        <v>-1.85571693722971</v>
      </c>
      <c r="L1860" s="33" t="n">
        <f aca="false">IF(H1860="","",ABS(H1860))</f>
        <v>1</v>
      </c>
      <c r="M1860" s="33" t="n">
        <f aca="false">IF(I1860="","",ABS(I1860))</f>
        <v>2.75</v>
      </c>
      <c r="N1860" s="33" t="n">
        <f aca="false">IF(J1860="","",ABS(J1860))</f>
        <v>1.875</v>
      </c>
      <c r="O1860" s="33" t="n">
        <f aca="false">IF(K1860="","",ABS(K1860))</f>
        <v>1.85571693722971</v>
      </c>
      <c r="P1860" s="34" t="str">
        <f aca="false">IF(B1860&gt;=Eval_Start_Week,"YES","")</f>
        <v>YES</v>
      </c>
      <c r="Q1860" s="34" t="str">
        <f aca="false">IF(AND(B1860&gt;=Cal_Start_Week,B1860&lt;=Cal_End_Week),"YES","")</f>
        <v/>
      </c>
    </row>
    <row r="1861" customFormat="false" ht="15" hidden="false" customHeight="false" outlineLevel="0" collapsed="false">
      <c r="A1861" s="31" t="str">
        <f aca="false">Demand_History!C1861</f>
        <v>BTH-008</v>
      </c>
      <c r="B1861" s="31" t="n">
        <f aca="false">Demand_History!A1861</f>
        <v>92</v>
      </c>
      <c r="C1861" s="32" t="n">
        <f aca="false">Demand_History!D1861</f>
        <v>9</v>
      </c>
      <c r="D1861" s="33" t="n">
        <f aca="false">IF(B1861&gt;=2,C1860,"")</f>
        <v>7</v>
      </c>
      <c r="E1861" s="33" t="n">
        <f aca="false">IF(B1861&gt;=5,AVERAGE(C1857:C1860),"")</f>
        <v>5</v>
      </c>
      <c r="F1861" s="33" t="n">
        <f aca="false">IF(B1861&gt;=9,AVERAGE(C1853:C1860),"")</f>
        <v>5.125</v>
      </c>
      <c r="G1861" s="33" t="n">
        <f aca="false">IF(B1861=1,"",IF(B1861=2,C1860,SES_Alpha*C1860+(1-SES_Alpha)*G1860))</f>
        <v>5.7009981439392</v>
      </c>
      <c r="H1861" s="33" t="n">
        <f aca="false">IF(D1861="","",D1861-C1861)</f>
        <v>-2</v>
      </c>
      <c r="I1861" s="33" t="n">
        <f aca="false">IF(E1861="","",E1861-C1861)</f>
        <v>-4</v>
      </c>
      <c r="J1861" s="33" t="n">
        <f aca="false">IF(F1861="","",F1861-C1861)</f>
        <v>-3.875</v>
      </c>
      <c r="K1861" s="33" t="n">
        <f aca="false">IF(G1861="","",G1861-C1861)</f>
        <v>-3.2990018560608</v>
      </c>
      <c r="L1861" s="33" t="n">
        <f aca="false">IF(H1861="","",ABS(H1861))</f>
        <v>2</v>
      </c>
      <c r="M1861" s="33" t="n">
        <f aca="false">IF(I1861="","",ABS(I1861))</f>
        <v>4</v>
      </c>
      <c r="N1861" s="33" t="n">
        <f aca="false">IF(J1861="","",ABS(J1861))</f>
        <v>3.875</v>
      </c>
      <c r="O1861" s="33" t="n">
        <f aca="false">IF(K1861="","",ABS(K1861))</f>
        <v>3.2990018560608</v>
      </c>
      <c r="P1861" s="34" t="str">
        <f aca="false">IF(B1861&gt;=Eval_Start_Week,"YES","")</f>
        <v>YES</v>
      </c>
      <c r="Q1861" s="34" t="str">
        <f aca="false">IF(AND(B1861&gt;=Cal_Start_Week,B1861&lt;=Cal_End_Week),"YES","")</f>
        <v/>
      </c>
    </row>
    <row r="1862" customFormat="false" ht="15" hidden="false" customHeight="false" outlineLevel="0" collapsed="false">
      <c r="A1862" s="31" t="str">
        <f aca="false">Demand_History!C1862</f>
        <v>BTH-008</v>
      </c>
      <c r="B1862" s="31" t="n">
        <f aca="false">Demand_History!A1862</f>
        <v>93</v>
      </c>
      <c r="C1862" s="32" t="n">
        <f aca="false">Demand_History!D1862</f>
        <v>5</v>
      </c>
      <c r="D1862" s="33" t="n">
        <f aca="false">IF(B1862&gt;=2,C1861,"")</f>
        <v>9</v>
      </c>
      <c r="E1862" s="33" t="n">
        <f aca="false">IF(B1862&gt;=5,AVERAGE(C1858:C1861),"")</f>
        <v>6.75</v>
      </c>
      <c r="F1862" s="33" t="n">
        <f aca="false">IF(B1862&gt;=9,AVERAGE(C1854:C1861),"")</f>
        <v>5.625</v>
      </c>
      <c r="G1862" s="33" t="n">
        <f aca="false">IF(B1862=1,"",IF(B1862=2,C1861,SES_Alpha*C1861+(1-SES_Alpha)*G1861))</f>
        <v>6.69069870075744</v>
      </c>
      <c r="H1862" s="33" t="n">
        <f aca="false">IF(D1862="","",D1862-C1862)</f>
        <v>4</v>
      </c>
      <c r="I1862" s="33" t="n">
        <f aca="false">IF(E1862="","",E1862-C1862)</f>
        <v>1.75</v>
      </c>
      <c r="J1862" s="33" t="n">
        <f aca="false">IF(F1862="","",F1862-C1862)</f>
        <v>0.625</v>
      </c>
      <c r="K1862" s="33" t="n">
        <f aca="false">IF(G1862="","",G1862-C1862)</f>
        <v>1.69069870075744</v>
      </c>
      <c r="L1862" s="33" t="n">
        <f aca="false">IF(H1862="","",ABS(H1862))</f>
        <v>4</v>
      </c>
      <c r="M1862" s="33" t="n">
        <f aca="false">IF(I1862="","",ABS(I1862))</f>
        <v>1.75</v>
      </c>
      <c r="N1862" s="33" t="n">
        <f aca="false">IF(J1862="","",ABS(J1862))</f>
        <v>0.625</v>
      </c>
      <c r="O1862" s="33" t="n">
        <f aca="false">IF(K1862="","",ABS(K1862))</f>
        <v>1.69069870075744</v>
      </c>
      <c r="P1862" s="34" t="str">
        <f aca="false">IF(B1862&gt;=Eval_Start_Week,"YES","")</f>
        <v>YES</v>
      </c>
      <c r="Q1862" s="34" t="str">
        <f aca="false">IF(AND(B1862&gt;=Cal_Start_Week,B1862&lt;=Cal_End_Week),"YES","")</f>
        <v/>
      </c>
    </row>
    <row r="1863" customFormat="false" ht="15" hidden="false" customHeight="false" outlineLevel="0" collapsed="false">
      <c r="A1863" s="31" t="str">
        <f aca="false">Demand_History!C1863</f>
        <v>BTH-008</v>
      </c>
      <c r="B1863" s="31" t="n">
        <f aca="false">Demand_History!A1863</f>
        <v>94</v>
      </c>
      <c r="C1863" s="32" t="n">
        <f aca="false">Demand_History!D1863</f>
        <v>4</v>
      </c>
      <c r="D1863" s="33" t="n">
        <f aca="false">IF(B1863&gt;=2,C1862,"")</f>
        <v>5</v>
      </c>
      <c r="E1863" s="33" t="n">
        <f aca="false">IF(B1863&gt;=5,AVERAGE(C1859:C1862),"")</f>
        <v>7.25</v>
      </c>
      <c r="F1863" s="33" t="n">
        <f aca="false">IF(B1863&gt;=9,AVERAGE(C1855:C1862),"")</f>
        <v>5.625</v>
      </c>
      <c r="G1863" s="33" t="n">
        <f aca="false">IF(B1863=1,"",IF(B1863=2,C1862,SES_Alpha*C1862+(1-SES_Alpha)*G1862))</f>
        <v>6.18348909053021</v>
      </c>
      <c r="H1863" s="33" t="n">
        <f aca="false">IF(D1863="","",D1863-C1863)</f>
        <v>1</v>
      </c>
      <c r="I1863" s="33" t="n">
        <f aca="false">IF(E1863="","",E1863-C1863)</f>
        <v>3.25</v>
      </c>
      <c r="J1863" s="33" t="n">
        <f aca="false">IF(F1863="","",F1863-C1863)</f>
        <v>1.625</v>
      </c>
      <c r="K1863" s="33" t="n">
        <f aca="false">IF(G1863="","",G1863-C1863)</f>
        <v>2.18348909053021</v>
      </c>
      <c r="L1863" s="33" t="n">
        <f aca="false">IF(H1863="","",ABS(H1863))</f>
        <v>1</v>
      </c>
      <c r="M1863" s="33" t="n">
        <f aca="false">IF(I1863="","",ABS(I1863))</f>
        <v>3.25</v>
      </c>
      <c r="N1863" s="33" t="n">
        <f aca="false">IF(J1863="","",ABS(J1863))</f>
        <v>1.625</v>
      </c>
      <c r="O1863" s="33" t="n">
        <f aca="false">IF(K1863="","",ABS(K1863))</f>
        <v>2.18348909053021</v>
      </c>
      <c r="P1863" s="34" t="str">
        <f aca="false">IF(B1863&gt;=Eval_Start_Week,"YES","")</f>
        <v>YES</v>
      </c>
      <c r="Q1863" s="34" t="str">
        <f aca="false">IF(AND(B1863&gt;=Cal_Start_Week,B1863&lt;=Cal_End_Week),"YES","")</f>
        <v/>
      </c>
    </row>
    <row r="1864" customFormat="false" ht="15" hidden="false" customHeight="false" outlineLevel="0" collapsed="false">
      <c r="A1864" s="31" t="str">
        <f aca="false">Demand_History!C1864</f>
        <v>BTH-008</v>
      </c>
      <c r="B1864" s="31" t="n">
        <f aca="false">Demand_History!A1864</f>
        <v>95</v>
      </c>
      <c r="C1864" s="32" t="n">
        <f aca="false">Demand_History!D1864</f>
        <v>3</v>
      </c>
      <c r="D1864" s="33" t="n">
        <f aca="false">IF(B1864&gt;=2,C1863,"")</f>
        <v>4</v>
      </c>
      <c r="E1864" s="33" t="n">
        <f aca="false">IF(B1864&gt;=5,AVERAGE(C1860:C1863),"")</f>
        <v>6.25</v>
      </c>
      <c r="F1864" s="33" t="n">
        <f aca="false">IF(B1864&gt;=9,AVERAGE(C1856:C1863),"")</f>
        <v>5.25</v>
      </c>
      <c r="G1864" s="33" t="n">
        <f aca="false">IF(B1864=1,"",IF(B1864=2,C1863,SES_Alpha*C1863+(1-SES_Alpha)*G1863))</f>
        <v>5.52844236337115</v>
      </c>
      <c r="H1864" s="33" t="n">
        <f aca="false">IF(D1864="","",D1864-C1864)</f>
        <v>1</v>
      </c>
      <c r="I1864" s="33" t="n">
        <f aca="false">IF(E1864="","",E1864-C1864)</f>
        <v>3.25</v>
      </c>
      <c r="J1864" s="33" t="n">
        <f aca="false">IF(F1864="","",F1864-C1864)</f>
        <v>2.25</v>
      </c>
      <c r="K1864" s="33" t="n">
        <f aca="false">IF(G1864="","",G1864-C1864)</f>
        <v>2.52844236337115</v>
      </c>
      <c r="L1864" s="33" t="n">
        <f aca="false">IF(H1864="","",ABS(H1864))</f>
        <v>1</v>
      </c>
      <c r="M1864" s="33" t="n">
        <f aca="false">IF(I1864="","",ABS(I1864))</f>
        <v>3.25</v>
      </c>
      <c r="N1864" s="33" t="n">
        <f aca="false">IF(J1864="","",ABS(J1864))</f>
        <v>2.25</v>
      </c>
      <c r="O1864" s="33" t="n">
        <f aca="false">IF(K1864="","",ABS(K1864))</f>
        <v>2.52844236337115</v>
      </c>
      <c r="P1864" s="34" t="str">
        <f aca="false">IF(B1864&gt;=Eval_Start_Week,"YES","")</f>
        <v>YES</v>
      </c>
      <c r="Q1864" s="34" t="str">
        <f aca="false">IF(AND(B1864&gt;=Cal_Start_Week,B1864&lt;=Cal_End_Week),"YES","")</f>
        <v/>
      </c>
    </row>
    <row r="1865" customFormat="false" ht="15" hidden="false" customHeight="false" outlineLevel="0" collapsed="false">
      <c r="A1865" s="31" t="str">
        <f aca="false">Demand_History!C1865</f>
        <v>BTH-008</v>
      </c>
      <c r="B1865" s="31" t="n">
        <f aca="false">Demand_History!A1865</f>
        <v>96</v>
      </c>
      <c r="C1865" s="32" t="n">
        <f aca="false">Demand_History!D1865</f>
        <v>8</v>
      </c>
      <c r="D1865" s="33" t="n">
        <f aca="false">IF(B1865&gt;=2,C1864,"")</f>
        <v>3</v>
      </c>
      <c r="E1865" s="33" t="n">
        <f aca="false">IF(B1865&gt;=5,AVERAGE(C1861:C1864),"")</f>
        <v>5.25</v>
      </c>
      <c r="F1865" s="33" t="n">
        <f aca="false">IF(B1865&gt;=9,AVERAGE(C1857:C1864),"")</f>
        <v>5.125</v>
      </c>
      <c r="G1865" s="33" t="n">
        <f aca="false">IF(B1865=1,"",IF(B1865=2,C1864,SES_Alpha*C1864+(1-SES_Alpha)*G1864))</f>
        <v>4.7699096543598</v>
      </c>
      <c r="H1865" s="33" t="n">
        <f aca="false">IF(D1865="","",D1865-C1865)</f>
        <v>-5</v>
      </c>
      <c r="I1865" s="33" t="n">
        <f aca="false">IF(E1865="","",E1865-C1865)</f>
        <v>-2.75</v>
      </c>
      <c r="J1865" s="33" t="n">
        <f aca="false">IF(F1865="","",F1865-C1865)</f>
        <v>-2.875</v>
      </c>
      <c r="K1865" s="33" t="n">
        <f aca="false">IF(G1865="","",G1865-C1865)</f>
        <v>-3.2300903456402</v>
      </c>
      <c r="L1865" s="33" t="n">
        <f aca="false">IF(H1865="","",ABS(H1865))</f>
        <v>5</v>
      </c>
      <c r="M1865" s="33" t="n">
        <f aca="false">IF(I1865="","",ABS(I1865))</f>
        <v>2.75</v>
      </c>
      <c r="N1865" s="33" t="n">
        <f aca="false">IF(J1865="","",ABS(J1865))</f>
        <v>2.875</v>
      </c>
      <c r="O1865" s="33" t="n">
        <f aca="false">IF(K1865="","",ABS(K1865))</f>
        <v>3.2300903456402</v>
      </c>
      <c r="P1865" s="34" t="str">
        <f aca="false">IF(B1865&gt;=Eval_Start_Week,"YES","")</f>
        <v>YES</v>
      </c>
      <c r="Q1865" s="34" t="str">
        <f aca="false">IF(AND(B1865&gt;=Cal_Start_Week,B1865&lt;=Cal_End_Week),"YES","")</f>
        <v/>
      </c>
    </row>
    <row r="1866" customFormat="false" ht="15" hidden="false" customHeight="false" outlineLevel="0" collapsed="false">
      <c r="A1866" s="31" t="str">
        <f aca="false">Demand_History!C1866</f>
        <v>BTH-008</v>
      </c>
      <c r="B1866" s="31" t="n">
        <f aca="false">Demand_History!A1866</f>
        <v>97</v>
      </c>
      <c r="C1866" s="32" t="n">
        <f aca="false">Demand_History!D1866</f>
        <v>8</v>
      </c>
      <c r="D1866" s="33" t="n">
        <f aca="false">IF(B1866&gt;=2,C1865,"")</f>
        <v>8</v>
      </c>
      <c r="E1866" s="33" t="n">
        <f aca="false">IF(B1866&gt;=5,AVERAGE(C1862:C1865),"")</f>
        <v>5</v>
      </c>
      <c r="F1866" s="33" t="n">
        <f aca="false">IF(B1866&gt;=9,AVERAGE(C1858:C1865),"")</f>
        <v>5.875</v>
      </c>
      <c r="G1866" s="33" t="n">
        <f aca="false">IF(B1866=1,"",IF(B1866=2,C1865,SES_Alpha*C1865+(1-SES_Alpha)*G1865))</f>
        <v>5.73893675805186</v>
      </c>
      <c r="H1866" s="33" t="n">
        <f aca="false">IF(D1866="","",D1866-C1866)</f>
        <v>0</v>
      </c>
      <c r="I1866" s="33" t="n">
        <f aca="false">IF(E1866="","",E1866-C1866)</f>
        <v>-3</v>
      </c>
      <c r="J1866" s="33" t="n">
        <f aca="false">IF(F1866="","",F1866-C1866)</f>
        <v>-2.125</v>
      </c>
      <c r="K1866" s="33" t="n">
        <f aca="false">IF(G1866="","",G1866-C1866)</f>
        <v>-2.26106324194814</v>
      </c>
      <c r="L1866" s="33" t="n">
        <f aca="false">IF(H1866="","",ABS(H1866))</f>
        <v>0</v>
      </c>
      <c r="M1866" s="33" t="n">
        <f aca="false">IF(I1866="","",ABS(I1866))</f>
        <v>3</v>
      </c>
      <c r="N1866" s="33" t="n">
        <f aca="false">IF(J1866="","",ABS(J1866))</f>
        <v>2.125</v>
      </c>
      <c r="O1866" s="33" t="n">
        <f aca="false">IF(K1866="","",ABS(K1866))</f>
        <v>2.26106324194814</v>
      </c>
      <c r="P1866" s="34" t="str">
        <f aca="false">IF(B1866&gt;=Eval_Start_Week,"YES","")</f>
        <v>YES</v>
      </c>
      <c r="Q1866" s="34" t="str">
        <f aca="false">IF(AND(B1866&gt;=Cal_Start_Week,B1866&lt;=Cal_End_Week),"YES","")</f>
        <v/>
      </c>
    </row>
    <row r="1867" customFormat="false" ht="15" hidden="false" customHeight="false" outlineLevel="0" collapsed="false">
      <c r="A1867" s="31" t="str">
        <f aca="false">Demand_History!C1867</f>
        <v>BTH-008</v>
      </c>
      <c r="B1867" s="31" t="n">
        <f aca="false">Demand_History!A1867</f>
        <v>98</v>
      </c>
      <c r="C1867" s="32" t="n">
        <f aca="false">Demand_History!D1867</f>
        <v>10</v>
      </c>
      <c r="D1867" s="33" t="n">
        <f aca="false">IF(B1867&gt;=2,C1866,"")</f>
        <v>8</v>
      </c>
      <c r="E1867" s="33" t="n">
        <f aca="false">IF(B1867&gt;=5,AVERAGE(C1863:C1866),"")</f>
        <v>5.75</v>
      </c>
      <c r="F1867" s="33" t="n">
        <f aca="false">IF(B1867&gt;=9,AVERAGE(C1859:C1866),"")</f>
        <v>6.5</v>
      </c>
      <c r="G1867" s="33" t="n">
        <f aca="false">IF(B1867=1,"",IF(B1867=2,C1866,SES_Alpha*C1866+(1-SES_Alpha)*G1866))</f>
        <v>6.4172557306363</v>
      </c>
      <c r="H1867" s="33" t="n">
        <f aca="false">IF(D1867="","",D1867-C1867)</f>
        <v>-2</v>
      </c>
      <c r="I1867" s="33" t="n">
        <f aca="false">IF(E1867="","",E1867-C1867)</f>
        <v>-4.25</v>
      </c>
      <c r="J1867" s="33" t="n">
        <f aca="false">IF(F1867="","",F1867-C1867)</f>
        <v>-3.5</v>
      </c>
      <c r="K1867" s="33" t="n">
        <f aca="false">IF(G1867="","",G1867-C1867)</f>
        <v>-3.5827442693637</v>
      </c>
      <c r="L1867" s="33" t="n">
        <f aca="false">IF(H1867="","",ABS(H1867))</f>
        <v>2</v>
      </c>
      <c r="M1867" s="33" t="n">
        <f aca="false">IF(I1867="","",ABS(I1867))</f>
        <v>4.25</v>
      </c>
      <c r="N1867" s="33" t="n">
        <f aca="false">IF(J1867="","",ABS(J1867))</f>
        <v>3.5</v>
      </c>
      <c r="O1867" s="33" t="n">
        <f aca="false">IF(K1867="","",ABS(K1867))</f>
        <v>3.5827442693637</v>
      </c>
      <c r="P1867" s="34" t="str">
        <f aca="false">IF(B1867&gt;=Eval_Start_Week,"YES","")</f>
        <v>YES</v>
      </c>
      <c r="Q1867" s="34" t="str">
        <f aca="false">IF(AND(B1867&gt;=Cal_Start_Week,B1867&lt;=Cal_End_Week),"YES","")</f>
        <v/>
      </c>
    </row>
    <row r="1868" customFormat="false" ht="15" hidden="false" customHeight="false" outlineLevel="0" collapsed="false">
      <c r="A1868" s="31" t="str">
        <f aca="false">Demand_History!C1868</f>
        <v>BTH-008</v>
      </c>
      <c r="B1868" s="31" t="n">
        <f aca="false">Demand_History!A1868</f>
        <v>99</v>
      </c>
      <c r="C1868" s="32" t="n">
        <f aca="false">Demand_History!D1868</f>
        <v>6</v>
      </c>
      <c r="D1868" s="33" t="n">
        <f aca="false">IF(B1868&gt;=2,C1867,"")</f>
        <v>10</v>
      </c>
      <c r="E1868" s="33" t="n">
        <f aca="false">IF(B1868&gt;=5,AVERAGE(C1864:C1867),"")</f>
        <v>7.25</v>
      </c>
      <c r="F1868" s="33" t="n">
        <f aca="false">IF(B1868&gt;=9,AVERAGE(C1860:C1867),"")</f>
        <v>6.75</v>
      </c>
      <c r="G1868" s="33" t="n">
        <f aca="false">IF(B1868=1,"",IF(B1868=2,C1867,SES_Alpha*C1867+(1-SES_Alpha)*G1867))</f>
        <v>7.49207901144541</v>
      </c>
      <c r="H1868" s="33" t="n">
        <f aca="false">IF(D1868="","",D1868-C1868)</f>
        <v>4</v>
      </c>
      <c r="I1868" s="33" t="n">
        <f aca="false">IF(E1868="","",E1868-C1868)</f>
        <v>1.25</v>
      </c>
      <c r="J1868" s="33" t="n">
        <f aca="false">IF(F1868="","",F1868-C1868)</f>
        <v>0.75</v>
      </c>
      <c r="K1868" s="33" t="n">
        <f aca="false">IF(G1868="","",G1868-C1868)</f>
        <v>1.49207901144541</v>
      </c>
      <c r="L1868" s="33" t="n">
        <f aca="false">IF(H1868="","",ABS(H1868))</f>
        <v>4</v>
      </c>
      <c r="M1868" s="33" t="n">
        <f aca="false">IF(I1868="","",ABS(I1868))</f>
        <v>1.25</v>
      </c>
      <c r="N1868" s="33" t="n">
        <f aca="false">IF(J1868="","",ABS(J1868))</f>
        <v>0.75</v>
      </c>
      <c r="O1868" s="33" t="n">
        <f aca="false">IF(K1868="","",ABS(K1868))</f>
        <v>1.49207901144541</v>
      </c>
      <c r="P1868" s="34" t="str">
        <f aca="false">IF(B1868&gt;=Eval_Start_Week,"YES","")</f>
        <v>YES</v>
      </c>
      <c r="Q1868" s="34" t="str">
        <f aca="false">IF(AND(B1868&gt;=Cal_Start_Week,B1868&lt;=Cal_End_Week),"YES","")</f>
        <v/>
      </c>
    </row>
    <row r="1869" customFormat="false" ht="15" hidden="false" customHeight="false" outlineLevel="0" collapsed="false">
      <c r="A1869" s="31" t="str">
        <f aca="false">Demand_History!C1869</f>
        <v>BTH-008</v>
      </c>
      <c r="B1869" s="31" t="n">
        <f aca="false">Demand_History!A1869</f>
        <v>100</v>
      </c>
      <c r="C1869" s="32" t="n">
        <f aca="false">Demand_History!D1869</f>
        <v>7</v>
      </c>
      <c r="D1869" s="33" t="n">
        <f aca="false">IF(B1869&gt;=2,C1868,"")</f>
        <v>6</v>
      </c>
      <c r="E1869" s="33" t="n">
        <f aca="false">IF(B1869&gt;=5,AVERAGE(C1865:C1868),"")</f>
        <v>8</v>
      </c>
      <c r="F1869" s="33" t="n">
        <f aca="false">IF(B1869&gt;=9,AVERAGE(C1861:C1868),"")</f>
        <v>6.625</v>
      </c>
      <c r="G1869" s="33" t="n">
        <f aca="false">IF(B1869=1,"",IF(B1869=2,C1868,SES_Alpha*C1868+(1-SES_Alpha)*G1868))</f>
        <v>7.04445530801179</v>
      </c>
      <c r="H1869" s="33" t="n">
        <f aca="false">IF(D1869="","",D1869-C1869)</f>
        <v>-1</v>
      </c>
      <c r="I1869" s="33" t="n">
        <f aca="false">IF(E1869="","",E1869-C1869)</f>
        <v>1</v>
      </c>
      <c r="J1869" s="33" t="n">
        <f aca="false">IF(F1869="","",F1869-C1869)</f>
        <v>-0.375</v>
      </c>
      <c r="K1869" s="33" t="n">
        <f aca="false">IF(G1869="","",G1869-C1869)</f>
        <v>0.0444553080117878</v>
      </c>
      <c r="L1869" s="33" t="n">
        <f aca="false">IF(H1869="","",ABS(H1869))</f>
        <v>1</v>
      </c>
      <c r="M1869" s="33" t="n">
        <f aca="false">IF(I1869="","",ABS(I1869))</f>
        <v>1</v>
      </c>
      <c r="N1869" s="33" t="n">
        <f aca="false">IF(J1869="","",ABS(J1869))</f>
        <v>0.375</v>
      </c>
      <c r="O1869" s="33" t="n">
        <f aca="false">IF(K1869="","",ABS(K1869))</f>
        <v>0.0444553080117878</v>
      </c>
      <c r="P1869" s="34" t="str">
        <f aca="false">IF(B1869&gt;=Eval_Start_Week,"YES","")</f>
        <v>YES</v>
      </c>
      <c r="Q1869" s="34" t="str">
        <f aca="false">IF(AND(B1869&gt;=Cal_Start_Week,B1869&lt;=Cal_End_Week),"YES","")</f>
        <v/>
      </c>
    </row>
    <row r="1870" customFormat="false" ht="15" hidden="false" customHeight="false" outlineLevel="0" collapsed="false">
      <c r="A1870" s="31" t="str">
        <f aca="false">Demand_History!C1870</f>
        <v>BTH-008</v>
      </c>
      <c r="B1870" s="31" t="n">
        <f aca="false">Demand_History!A1870</f>
        <v>101</v>
      </c>
      <c r="C1870" s="32" t="n">
        <f aca="false">Demand_History!D1870</f>
        <v>3</v>
      </c>
      <c r="D1870" s="33" t="n">
        <f aca="false">IF(B1870&gt;=2,C1869,"")</f>
        <v>7</v>
      </c>
      <c r="E1870" s="33" t="n">
        <f aca="false">IF(B1870&gt;=5,AVERAGE(C1866:C1869),"")</f>
        <v>7.75</v>
      </c>
      <c r="F1870" s="33" t="n">
        <f aca="false">IF(B1870&gt;=9,AVERAGE(C1862:C1869),"")</f>
        <v>6.375</v>
      </c>
      <c r="G1870" s="33" t="n">
        <f aca="false">IF(B1870=1,"",IF(B1870=2,C1869,SES_Alpha*C1869+(1-SES_Alpha)*G1869))</f>
        <v>7.03111871560825</v>
      </c>
      <c r="H1870" s="33" t="n">
        <f aca="false">IF(D1870="","",D1870-C1870)</f>
        <v>4</v>
      </c>
      <c r="I1870" s="33" t="n">
        <f aca="false">IF(E1870="","",E1870-C1870)</f>
        <v>4.75</v>
      </c>
      <c r="J1870" s="33" t="n">
        <f aca="false">IF(F1870="","",F1870-C1870)</f>
        <v>3.375</v>
      </c>
      <c r="K1870" s="33" t="n">
        <f aca="false">IF(G1870="","",G1870-C1870)</f>
        <v>4.03111871560825</v>
      </c>
      <c r="L1870" s="33" t="n">
        <f aca="false">IF(H1870="","",ABS(H1870))</f>
        <v>4</v>
      </c>
      <c r="M1870" s="33" t="n">
        <f aca="false">IF(I1870="","",ABS(I1870))</f>
        <v>4.75</v>
      </c>
      <c r="N1870" s="33" t="n">
        <f aca="false">IF(J1870="","",ABS(J1870))</f>
        <v>3.375</v>
      </c>
      <c r="O1870" s="33" t="n">
        <f aca="false">IF(K1870="","",ABS(K1870))</f>
        <v>4.03111871560825</v>
      </c>
      <c r="P1870" s="34" t="str">
        <f aca="false">IF(B1870&gt;=Eval_Start_Week,"YES","")</f>
        <v>YES</v>
      </c>
      <c r="Q1870" s="34" t="str">
        <f aca="false">IF(AND(B1870&gt;=Cal_Start_Week,B1870&lt;=Cal_End_Week),"YES","")</f>
        <v/>
      </c>
    </row>
    <row r="1871" customFormat="false" ht="15" hidden="false" customHeight="false" outlineLevel="0" collapsed="false">
      <c r="A1871" s="31" t="str">
        <f aca="false">Demand_History!C1871</f>
        <v>BTH-008</v>
      </c>
      <c r="B1871" s="31" t="n">
        <f aca="false">Demand_History!A1871</f>
        <v>102</v>
      </c>
      <c r="C1871" s="32" t="n">
        <f aca="false">Demand_History!D1871</f>
        <v>7</v>
      </c>
      <c r="D1871" s="33" t="n">
        <f aca="false">IF(B1871&gt;=2,C1870,"")</f>
        <v>3</v>
      </c>
      <c r="E1871" s="33" t="n">
        <f aca="false">IF(B1871&gt;=5,AVERAGE(C1867:C1870),"")</f>
        <v>6.5</v>
      </c>
      <c r="F1871" s="33" t="n">
        <f aca="false">IF(B1871&gt;=9,AVERAGE(C1863:C1870),"")</f>
        <v>6.125</v>
      </c>
      <c r="G1871" s="33" t="n">
        <f aca="false">IF(B1871=1,"",IF(B1871=2,C1870,SES_Alpha*C1870+(1-SES_Alpha)*G1870))</f>
        <v>5.82178310092578</v>
      </c>
      <c r="H1871" s="33" t="n">
        <f aca="false">IF(D1871="","",D1871-C1871)</f>
        <v>-4</v>
      </c>
      <c r="I1871" s="33" t="n">
        <f aca="false">IF(E1871="","",E1871-C1871)</f>
        <v>-0.5</v>
      </c>
      <c r="J1871" s="33" t="n">
        <f aca="false">IF(F1871="","",F1871-C1871)</f>
        <v>-0.875</v>
      </c>
      <c r="K1871" s="33" t="n">
        <f aca="false">IF(G1871="","",G1871-C1871)</f>
        <v>-1.17821689907422</v>
      </c>
      <c r="L1871" s="33" t="n">
        <f aca="false">IF(H1871="","",ABS(H1871))</f>
        <v>4</v>
      </c>
      <c r="M1871" s="33" t="n">
        <f aca="false">IF(I1871="","",ABS(I1871))</f>
        <v>0.5</v>
      </c>
      <c r="N1871" s="33" t="n">
        <f aca="false">IF(J1871="","",ABS(J1871))</f>
        <v>0.875</v>
      </c>
      <c r="O1871" s="33" t="n">
        <f aca="false">IF(K1871="","",ABS(K1871))</f>
        <v>1.17821689907422</v>
      </c>
      <c r="P1871" s="34" t="str">
        <f aca="false">IF(B1871&gt;=Eval_Start_Week,"YES","")</f>
        <v>YES</v>
      </c>
      <c r="Q1871" s="34" t="str">
        <f aca="false">IF(AND(B1871&gt;=Cal_Start_Week,B1871&lt;=Cal_End_Week),"YES","")</f>
        <v/>
      </c>
    </row>
    <row r="1872" customFormat="false" ht="15" hidden="false" customHeight="false" outlineLevel="0" collapsed="false">
      <c r="A1872" s="31" t="str">
        <f aca="false">Demand_History!C1872</f>
        <v>BTH-008</v>
      </c>
      <c r="B1872" s="31" t="n">
        <f aca="false">Demand_History!A1872</f>
        <v>103</v>
      </c>
      <c r="C1872" s="32" t="n">
        <f aca="false">Demand_History!D1872</f>
        <v>6</v>
      </c>
      <c r="D1872" s="33" t="n">
        <f aca="false">IF(B1872&gt;=2,C1871,"")</f>
        <v>7</v>
      </c>
      <c r="E1872" s="33" t="n">
        <f aca="false">IF(B1872&gt;=5,AVERAGE(C1868:C1871),"")</f>
        <v>5.75</v>
      </c>
      <c r="F1872" s="33" t="n">
        <f aca="false">IF(B1872&gt;=9,AVERAGE(C1864:C1871),"")</f>
        <v>6.5</v>
      </c>
      <c r="G1872" s="33" t="n">
        <f aca="false">IF(B1872=1,"",IF(B1872=2,C1871,SES_Alpha*C1871+(1-SES_Alpha)*G1871))</f>
        <v>6.17524817064804</v>
      </c>
      <c r="H1872" s="33" t="n">
        <f aca="false">IF(D1872="","",D1872-C1872)</f>
        <v>1</v>
      </c>
      <c r="I1872" s="33" t="n">
        <f aca="false">IF(E1872="","",E1872-C1872)</f>
        <v>-0.25</v>
      </c>
      <c r="J1872" s="33" t="n">
        <f aca="false">IF(F1872="","",F1872-C1872)</f>
        <v>0.5</v>
      </c>
      <c r="K1872" s="33" t="n">
        <f aca="false">IF(G1872="","",G1872-C1872)</f>
        <v>0.175248170648043</v>
      </c>
      <c r="L1872" s="33" t="n">
        <f aca="false">IF(H1872="","",ABS(H1872))</f>
        <v>1</v>
      </c>
      <c r="M1872" s="33" t="n">
        <f aca="false">IF(I1872="","",ABS(I1872))</f>
        <v>0.25</v>
      </c>
      <c r="N1872" s="33" t="n">
        <f aca="false">IF(J1872="","",ABS(J1872))</f>
        <v>0.5</v>
      </c>
      <c r="O1872" s="33" t="n">
        <f aca="false">IF(K1872="","",ABS(K1872))</f>
        <v>0.175248170648043</v>
      </c>
      <c r="P1872" s="34" t="str">
        <f aca="false">IF(B1872&gt;=Eval_Start_Week,"YES","")</f>
        <v>YES</v>
      </c>
      <c r="Q1872" s="34" t="str">
        <f aca="false">IF(AND(B1872&gt;=Cal_Start_Week,B1872&lt;=Cal_End_Week),"YES","")</f>
        <v/>
      </c>
    </row>
    <row r="1873" customFormat="false" ht="15" hidden="false" customHeight="false" outlineLevel="0" collapsed="false">
      <c r="A1873" s="31" t="str">
        <f aca="false">Demand_History!C1873</f>
        <v>BTH-008</v>
      </c>
      <c r="B1873" s="31" t="n">
        <f aca="false">Demand_History!A1873</f>
        <v>104</v>
      </c>
      <c r="C1873" s="32" t="n">
        <f aca="false">Demand_History!D1873</f>
        <v>5</v>
      </c>
      <c r="D1873" s="33" t="n">
        <f aca="false">IF(B1873&gt;=2,C1872,"")</f>
        <v>6</v>
      </c>
      <c r="E1873" s="33" t="n">
        <f aca="false">IF(B1873&gt;=5,AVERAGE(C1869:C1872),"")</f>
        <v>5.75</v>
      </c>
      <c r="F1873" s="33" t="n">
        <f aca="false">IF(B1873&gt;=9,AVERAGE(C1865:C1872),"")</f>
        <v>6.875</v>
      </c>
      <c r="G1873" s="33" t="n">
        <f aca="false">IF(B1873=1,"",IF(B1873=2,C1872,SES_Alpha*C1872+(1-SES_Alpha)*G1872))</f>
        <v>6.12267371945363</v>
      </c>
      <c r="H1873" s="33" t="n">
        <f aca="false">IF(D1873="","",D1873-C1873)</f>
        <v>1</v>
      </c>
      <c r="I1873" s="33" t="n">
        <f aca="false">IF(E1873="","",E1873-C1873)</f>
        <v>0.75</v>
      </c>
      <c r="J1873" s="33" t="n">
        <f aca="false">IF(F1873="","",F1873-C1873)</f>
        <v>1.875</v>
      </c>
      <c r="K1873" s="33" t="n">
        <f aca="false">IF(G1873="","",G1873-C1873)</f>
        <v>1.12267371945363</v>
      </c>
      <c r="L1873" s="33" t="n">
        <f aca="false">IF(H1873="","",ABS(H1873))</f>
        <v>1</v>
      </c>
      <c r="M1873" s="33" t="n">
        <f aca="false">IF(I1873="","",ABS(I1873))</f>
        <v>0.75</v>
      </c>
      <c r="N1873" s="33" t="n">
        <f aca="false">IF(J1873="","",ABS(J1873))</f>
        <v>1.875</v>
      </c>
      <c r="O1873" s="33" t="n">
        <f aca="false">IF(K1873="","",ABS(K1873))</f>
        <v>1.12267371945363</v>
      </c>
      <c r="P1873" s="34" t="str">
        <f aca="false">IF(B1873&gt;=Eval_Start_Week,"YES","")</f>
        <v>YES</v>
      </c>
      <c r="Q1873" s="34" t="str">
        <f aca="false">IF(AND(B1873&gt;=Cal_Start_Week,B1873&lt;=Cal_End_Week),"YES","")</f>
        <v/>
      </c>
    </row>
    <row r="1874" customFormat="false" ht="15" hidden="false" customHeight="false" outlineLevel="0" collapsed="false">
      <c r="A1874" s="31" t="str">
        <f aca="false">Demand_History!C1874</f>
        <v>BTH-009</v>
      </c>
      <c r="B1874" s="31" t="n">
        <f aca="false">Demand_History!A1874</f>
        <v>1</v>
      </c>
      <c r="C1874" s="32" t="n">
        <f aca="false">Demand_History!D1874</f>
        <v>37</v>
      </c>
      <c r="D1874" s="33" t="str">
        <f aca="false">IF(B1874&gt;=2,C1873,"")</f>
        <v/>
      </c>
      <c r="E1874" s="33" t="str">
        <f aca="false">IF(B1874&gt;=5,AVERAGE(C1870:C1873),"")</f>
        <v/>
      </c>
      <c r="F1874" s="33" t="str">
        <f aca="false">IF(B1874&gt;=9,AVERAGE(C1866:C1873),"")</f>
        <v/>
      </c>
      <c r="G1874" s="33" t="str">
        <f aca="false">IF(B1874=1,"",IF(B1874=2,C1873,SES_Alpha*C1873+(1-SES_Alpha)*G1873))</f>
        <v/>
      </c>
      <c r="H1874" s="33" t="str">
        <f aca="false">IF(D1874="","",D1874-C1874)</f>
        <v/>
      </c>
      <c r="I1874" s="33" t="str">
        <f aca="false">IF(E1874="","",E1874-C1874)</f>
        <v/>
      </c>
      <c r="J1874" s="33" t="str">
        <f aca="false">IF(F1874="","",F1874-C1874)</f>
        <v/>
      </c>
      <c r="K1874" s="33" t="str">
        <f aca="false">IF(G1874="","",G1874-C1874)</f>
        <v/>
      </c>
      <c r="L1874" s="33" t="str">
        <f aca="false">IF(H1874="","",ABS(H1874))</f>
        <v/>
      </c>
      <c r="M1874" s="33" t="str">
        <f aca="false">IF(I1874="","",ABS(I1874))</f>
        <v/>
      </c>
      <c r="N1874" s="33" t="str">
        <f aca="false">IF(J1874="","",ABS(J1874))</f>
        <v/>
      </c>
      <c r="O1874" s="33" t="str">
        <f aca="false">IF(K1874="","",ABS(K1874))</f>
        <v/>
      </c>
      <c r="P1874" s="34" t="str">
        <f aca="false">IF(B1874&gt;=Eval_Start_Week,"YES","")</f>
        <v/>
      </c>
      <c r="Q1874" s="34" t="str">
        <f aca="false">IF(AND(B1874&gt;=Cal_Start_Week,B1874&lt;=Cal_End_Week),"YES","")</f>
        <v/>
      </c>
    </row>
    <row r="1875" customFormat="false" ht="15" hidden="false" customHeight="false" outlineLevel="0" collapsed="false">
      <c r="A1875" s="31" t="str">
        <f aca="false">Demand_History!C1875</f>
        <v>BTH-009</v>
      </c>
      <c r="B1875" s="31" t="n">
        <f aca="false">Demand_History!A1875</f>
        <v>2</v>
      </c>
      <c r="C1875" s="32" t="n">
        <f aca="false">Demand_History!D1875</f>
        <v>40</v>
      </c>
      <c r="D1875" s="33" t="n">
        <f aca="false">IF(B1875&gt;=2,C1874,"")</f>
        <v>37</v>
      </c>
      <c r="E1875" s="33" t="str">
        <f aca="false">IF(B1875&gt;=5,AVERAGE(C1871:C1874),"")</f>
        <v/>
      </c>
      <c r="F1875" s="33" t="str">
        <f aca="false">IF(B1875&gt;=9,AVERAGE(C1867:C1874),"")</f>
        <v/>
      </c>
      <c r="G1875" s="33" t="n">
        <f aca="false">IF(B1875=1,"",IF(B1875=2,C1874,SES_Alpha*C1874+(1-SES_Alpha)*G1874))</f>
        <v>37</v>
      </c>
      <c r="H1875" s="33" t="n">
        <f aca="false">IF(D1875="","",D1875-C1875)</f>
        <v>-3</v>
      </c>
      <c r="I1875" s="33" t="str">
        <f aca="false">IF(E1875="","",E1875-C1875)</f>
        <v/>
      </c>
      <c r="J1875" s="33" t="str">
        <f aca="false">IF(F1875="","",F1875-C1875)</f>
        <v/>
      </c>
      <c r="K1875" s="33" t="n">
        <f aca="false">IF(G1875="","",G1875-C1875)</f>
        <v>-3</v>
      </c>
      <c r="L1875" s="33" t="n">
        <f aca="false">IF(H1875="","",ABS(H1875))</f>
        <v>3</v>
      </c>
      <c r="M1875" s="33" t="str">
        <f aca="false">IF(I1875="","",ABS(I1875))</f>
        <v/>
      </c>
      <c r="N1875" s="33" t="str">
        <f aca="false">IF(J1875="","",ABS(J1875))</f>
        <v/>
      </c>
      <c r="O1875" s="33" t="n">
        <f aca="false">IF(K1875="","",ABS(K1875))</f>
        <v>3</v>
      </c>
      <c r="P1875" s="34" t="str">
        <f aca="false">IF(B1875&gt;=Eval_Start_Week,"YES","")</f>
        <v/>
      </c>
      <c r="Q1875" s="34" t="str">
        <f aca="false">IF(AND(B1875&gt;=Cal_Start_Week,B1875&lt;=Cal_End_Week),"YES","")</f>
        <v/>
      </c>
    </row>
    <row r="1876" customFormat="false" ht="15" hidden="false" customHeight="false" outlineLevel="0" collapsed="false">
      <c r="A1876" s="31" t="str">
        <f aca="false">Demand_History!C1876</f>
        <v>BTH-009</v>
      </c>
      <c r="B1876" s="31" t="n">
        <f aca="false">Demand_History!A1876</f>
        <v>3</v>
      </c>
      <c r="C1876" s="32" t="n">
        <f aca="false">Demand_History!D1876</f>
        <v>23</v>
      </c>
      <c r="D1876" s="33" t="n">
        <f aca="false">IF(B1876&gt;=2,C1875,"")</f>
        <v>40</v>
      </c>
      <c r="E1876" s="33" t="str">
        <f aca="false">IF(B1876&gt;=5,AVERAGE(C1872:C1875),"")</f>
        <v/>
      </c>
      <c r="F1876" s="33" t="str">
        <f aca="false">IF(B1876&gt;=9,AVERAGE(C1868:C1875),"")</f>
        <v/>
      </c>
      <c r="G1876" s="33" t="n">
        <f aca="false">IF(B1876=1,"",IF(B1876=2,C1875,SES_Alpha*C1875+(1-SES_Alpha)*G1875))</f>
        <v>37.9</v>
      </c>
      <c r="H1876" s="33" t="n">
        <f aca="false">IF(D1876="","",D1876-C1876)</f>
        <v>17</v>
      </c>
      <c r="I1876" s="33" t="str">
        <f aca="false">IF(E1876="","",E1876-C1876)</f>
        <v/>
      </c>
      <c r="J1876" s="33" t="str">
        <f aca="false">IF(F1876="","",F1876-C1876)</f>
        <v/>
      </c>
      <c r="K1876" s="33" t="n">
        <f aca="false">IF(G1876="","",G1876-C1876)</f>
        <v>14.9</v>
      </c>
      <c r="L1876" s="33" t="n">
        <f aca="false">IF(H1876="","",ABS(H1876))</f>
        <v>17</v>
      </c>
      <c r="M1876" s="33" t="str">
        <f aca="false">IF(I1876="","",ABS(I1876))</f>
        <v/>
      </c>
      <c r="N1876" s="33" t="str">
        <f aca="false">IF(J1876="","",ABS(J1876))</f>
        <v/>
      </c>
      <c r="O1876" s="33" t="n">
        <f aca="false">IF(K1876="","",ABS(K1876))</f>
        <v>14.9</v>
      </c>
      <c r="P1876" s="34" t="str">
        <f aca="false">IF(B1876&gt;=Eval_Start_Week,"YES","")</f>
        <v/>
      </c>
      <c r="Q1876" s="34" t="str">
        <f aca="false">IF(AND(B1876&gt;=Cal_Start_Week,B1876&lt;=Cal_End_Week),"YES","")</f>
        <v/>
      </c>
    </row>
    <row r="1877" customFormat="false" ht="15" hidden="false" customHeight="false" outlineLevel="0" collapsed="false">
      <c r="A1877" s="31" t="str">
        <f aca="false">Demand_History!C1877</f>
        <v>BTH-009</v>
      </c>
      <c r="B1877" s="31" t="n">
        <f aca="false">Demand_History!A1877</f>
        <v>4</v>
      </c>
      <c r="C1877" s="32" t="n">
        <f aca="false">Demand_History!D1877</f>
        <v>35</v>
      </c>
      <c r="D1877" s="33" t="n">
        <f aca="false">IF(B1877&gt;=2,C1876,"")</f>
        <v>23</v>
      </c>
      <c r="E1877" s="33" t="str">
        <f aca="false">IF(B1877&gt;=5,AVERAGE(C1873:C1876),"")</f>
        <v/>
      </c>
      <c r="F1877" s="33" t="str">
        <f aca="false">IF(B1877&gt;=9,AVERAGE(C1869:C1876),"")</f>
        <v/>
      </c>
      <c r="G1877" s="33" t="n">
        <f aca="false">IF(B1877=1,"",IF(B1877=2,C1876,SES_Alpha*C1876+(1-SES_Alpha)*G1876))</f>
        <v>33.43</v>
      </c>
      <c r="H1877" s="33" t="n">
        <f aca="false">IF(D1877="","",D1877-C1877)</f>
        <v>-12</v>
      </c>
      <c r="I1877" s="33" t="str">
        <f aca="false">IF(E1877="","",E1877-C1877)</f>
        <v/>
      </c>
      <c r="J1877" s="33" t="str">
        <f aca="false">IF(F1877="","",F1877-C1877)</f>
        <v/>
      </c>
      <c r="K1877" s="33" t="n">
        <f aca="false">IF(G1877="","",G1877-C1877)</f>
        <v>-1.57</v>
      </c>
      <c r="L1877" s="33" t="n">
        <f aca="false">IF(H1877="","",ABS(H1877))</f>
        <v>12</v>
      </c>
      <c r="M1877" s="33" t="str">
        <f aca="false">IF(I1877="","",ABS(I1877))</f>
        <v/>
      </c>
      <c r="N1877" s="33" t="str">
        <f aca="false">IF(J1877="","",ABS(J1877))</f>
        <v/>
      </c>
      <c r="O1877" s="33" t="n">
        <f aca="false">IF(K1877="","",ABS(K1877))</f>
        <v>1.57</v>
      </c>
      <c r="P1877" s="34" t="str">
        <f aca="false">IF(B1877&gt;=Eval_Start_Week,"YES","")</f>
        <v/>
      </c>
      <c r="Q1877" s="34" t="str">
        <f aca="false">IF(AND(B1877&gt;=Cal_Start_Week,B1877&lt;=Cal_End_Week),"YES","")</f>
        <v/>
      </c>
    </row>
    <row r="1878" customFormat="false" ht="15" hidden="false" customHeight="false" outlineLevel="0" collapsed="false">
      <c r="A1878" s="31" t="str">
        <f aca="false">Demand_History!C1878</f>
        <v>BTH-009</v>
      </c>
      <c r="B1878" s="31" t="n">
        <f aca="false">Demand_History!A1878</f>
        <v>5</v>
      </c>
      <c r="C1878" s="32" t="n">
        <f aca="false">Demand_History!D1878</f>
        <v>57</v>
      </c>
      <c r="D1878" s="33" t="n">
        <f aca="false">IF(B1878&gt;=2,C1877,"")</f>
        <v>35</v>
      </c>
      <c r="E1878" s="33" t="n">
        <f aca="false">IF(B1878&gt;=5,AVERAGE(C1874:C1877),"")</f>
        <v>33.75</v>
      </c>
      <c r="F1878" s="33" t="str">
        <f aca="false">IF(B1878&gt;=9,AVERAGE(C1870:C1877),"")</f>
        <v/>
      </c>
      <c r="G1878" s="33" t="n">
        <f aca="false">IF(B1878=1,"",IF(B1878=2,C1877,SES_Alpha*C1877+(1-SES_Alpha)*G1877))</f>
        <v>33.901</v>
      </c>
      <c r="H1878" s="33" t="n">
        <f aca="false">IF(D1878="","",D1878-C1878)</f>
        <v>-22</v>
      </c>
      <c r="I1878" s="33" t="n">
        <f aca="false">IF(E1878="","",E1878-C1878)</f>
        <v>-23.25</v>
      </c>
      <c r="J1878" s="33" t="str">
        <f aca="false">IF(F1878="","",F1878-C1878)</f>
        <v/>
      </c>
      <c r="K1878" s="33" t="n">
        <f aca="false">IF(G1878="","",G1878-C1878)</f>
        <v>-23.099</v>
      </c>
      <c r="L1878" s="33" t="n">
        <f aca="false">IF(H1878="","",ABS(H1878))</f>
        <v>22</v>
      </c>
      <c r="M1878" s="33" t="n">
        <f aca="false">IF(I1878="","",ABS(I1878))</f>
        <v>23.25</v>
      </c>
      <c r="N1878" s="33" t="str">
        <f aca="false">IF(J1878="","",ABS(J1878))</f>
        <v/>
      </c>
      <c r="O1878" s="33" t="n">
        <f aca="false">IF(K1878="","",ABS(K1878))</f>
        <v>23.099</v>
      </c>
      <c r="P1878" s="34" t="str">
        <f aca="false">IF(B1878&gt;=Eval_Start_Week,"YES","")</f>
        <v/>
      </c>
      <c r="Q1878" s="34" t="str">
        <f aca="false">IF(AND(B1878&gt;=Cal_Start_Week,B1878&lt;=Cal_End_Week),"YES","")</f>
        <v/>
      </c>
    </row>
    <row r="1879" customFormat="false" ht="15" hidden="false" customHeight="false" outlineLevel="0" collapsed="false">
      <c r="A1879" s="31" t="str">
        <f aca="false">Demand_History!C1879</f>
        <v>BTH-009</v>
      </c>
      <c r="B1879" s="31" t="n">
        <f aca="false">Demand_History!A1879</f>
        <v>6</v>
      </c>
      <c r="C1879" s="32" t="n">
        <f aca="false">Demand_History!D1879</f>
        <v>29</v>
      </c>
      <c r="D1879" s="33" t="n">
        <f aca="false">IF(B1879&gt;=2,C1878,"")</f>
        <v>57</v>
      </c>
      <c r="E1879" s="33" t="n">
        <f aca="false">IF(B1879&gt;=5,AVERAGE(C1875:C1878),"")</f>
        <v>38.75</v>
      </c>
      <c r="F1879" s="33" t="str">
        <f aca="false">IF(B1879&gt;=9,AVERAGE(C1871:C1878),"")</f>
        <v/>
      </c>
      <c r="G1879" s="33" t="n">
        <f aca="false">IF(B1879=1,"",IF(B1879=2,C1878,SES_Alpha*C1878+(1-SES_Alpha)*G1878))</f>
        <v>40.8307</v>
      </c>
      <c r="H1879" s="33" t="n">
        <f aca="false">IF(D1879="","",D1879-C1879)</f>
        <v>28</v>
      </c>
      <c r="I1879" s="33" t="n">
        <f aca="false">IF(E1879="","",E1879-C1879)</f>
        <v>9.75</v>
      </c>
      <c r="J1879" s="33" t="str">
        <f aca="false">IF(F1879="","",F1879-C1879)</f>
        <v/>
      </c>
      <c r="K1879" s="33" t="n">
        <f aca="false">IF(G1879="","",G1879-C1879)</f>
        <v>11.8307</v>
      </c>
      <c r="L1879" s="33" t="n">
        <f aca="false">IF(H1879="","",ABS(H1879))</f>
        <v>28</v>
      </c>
      <c r="M1879" s="33" t="n">
        <f aca="false">IF(I1879="","",ABS(I1879))</f>
        <v>9.75</v>
      </c>
      <c r="N1879" s="33" t="str">
        <f aca="false">IF(J1879="","",ABS(J1879))</f>
        <v/>
      </c>
      <c r="O1879" s="33" t="n">
        <f aca="false">IF(K1879="","",ABS(K1879))</f>
        <v>11.8307</v>
      </c>
      <c r="P1879" s="34" t="str">
        <f aca="false">IF(B1879&gt;=Eval_Start_Week,"YES","")</f>
        <v/>
      </c>
      <c r="Q1879" s="34" t="str">
        <f aca="false">IF(AND(B1879&gt;=Cal_Start_Week,B1879&lt;=Cal_End_Week),"YES","")</f>
        <v/>
      </c>
    </row>
    <row r="1880" customFormat="false" ht="15" hidden="false" customHeight="false" outlineLevel="0" collapsed="false">
      <c r="A1880" s="31" t="str">
        <f aca="false">Demand_History!C1880</f>
        <v>BTH-009</v>
      </c>
      <c r="B1880" s="31" t="n">
        <f aca="false">Demand_History!A1880</f>
        <v>7</v>
      </c>
      <c r="C1880" s="32" t="n">
        <f aca="false">Demand_History!D1880</f>
        <v>27</v>
      </c>
      <c r="D1880" s="33" t="n">
        <f aca="false">IF(B1880&gt;=2,C1879,"")</f>
        <v>29</v>
      </c>
      <c r="E1880" s="33" t="n">
        <f aca="false">IF(B1880&gt;=5,AVERAGE(C1876:C1879),"")</f>
        <v>36</v>
      </c>
      <c r="F1880" s="33" t="str">
        <f aca="false">IF(B1880&gt;=9,AVERAGE(C1872:C1879),"")</f>
        <v/>
      </c>
      <c r="G1880" s="33" t="n">
        <f aca="false">IF(B1880=1,"",IF(B1880=2,C1879,SES_Alpha*C1879+(1-SES_Alpha)*G1879))</f>
        <v>37.28149</v>
      </c>
      <c r="H1880" s="33" t="n">
        <f aca="false">IF(D1880="","",D1880-C1880)</f>
        <v>2</v>
      </c>
      <c r="I1880" s="33" t="n">
        <f aca="false">IF(E1880="","",E1880-C1880)</f>
        <v>9</v>
      </c>
      <c r="J1880" s="33" t="str">
        <f aca="false">IF(F1880="","",F1880-C1880)</f>
        <v/>
      </c>
      <c r="K1880" s="33" t="n">
        <f aca="false">IF(G1880="","",G1880-C1880)</f>
        <v>10.28149</v>
      </c>
      <c r="L1880" s="33" t="n">
        <f aca="false">IF(H1880="","",ABS(H1880))</f>
        <v>2</v>
      </c>
      <c r="M1880" s="33" t="n">
        <f aca="false">IF(I1880="","",ABS(I1880))</f>
        <v>9</v>
      </c>
      <c r="N1880" s="33" t="str">
        <f aca="false">IF(J1880="","",ABS(J1880))</f>
        <v/>
      </c>
      <c r="O1880" s="33" t="n">
        <f aca="false">IF(K1880="","",ABS(K1880))</f>
        <v>10.28149</v>
      </c>
      <c r="P1880" s="34" t="str">
        <f aca="false">IF(B1880&gt;=Eval_Start_Week,"YES","")</f>
        <v/>
      </c>
      <c r="Q1880" s="34" t="str">
        <f aca="false">IF(AND(B1880&gt;=Cal_Start_Week,B1880&lt;=Cal_End_Week),"YES","")</f>
        <v/>
      </c>
    </row>
    <row r="1881" customFormat="false" ht="15" hidden="false" customHeight="false" outlineLevel="0" collapsed="false">
      <c r="A1881" s="31" t="str">
        <f aca="false">Demand_History!C1881</f>
        <v>BTH-009</v>
      </c>
      <c r="B1881" s="31" t="n">
        <f aca="false">Demand_History!A1881</f>
        <v>8</v>
      </c>
      <c r="C1881" s="32" t="n">
        <f aca="false">Demand_History!D1881</f>
        <v>23</v>
      </c>
      <c r="D1881" s="33" t="n">
        <f aca="false">IF(B1881&gt;=2,C1880,"")</f>
        <v>27</v>
      </c>
      <c r="E1881" s="33" t="n">
        <f aca="false">IF(B1881&gt;=5,AVERAGE(C1877:C1880),"")</f>
        <v>37</v>
      </c>
      <c r="F1881" s="33" t="str">
        <f aca="false">IF(B1881&gt;=9,AVERAGE(C1873:C1880),"")</f>
        <v/>
      </c>
      <c r="G1881" s="33" t="n">
        <f aca="false">IF(B1881=1,"",IF(B1881=2,C1880,SES_Alpha*C1880+(1-SES_Alpha)*G1880))</f>
        <v>34.197043</v>
      </c>
      <c r="H1881" s="33" t="n">
        <f aca="false">IF(D1881="","",D1881-C1881)</f>
        <v>4</v>
      </c>
      <c r="I1881" s="33" t="n">
        <f aca="false">IF(E1881="","",E1881-C1881)</f>
        <v>14</v>
      </c>
      <c r="J1881" s="33" t="str">
        <f aca="false">IF(F1881="","",F1881-C1881)</f>
        <v/>
      </c>
      <c r="K1881" s="33" t="n">
        <f aca="false">IF(G1881="","",G1881-C1881)</f>
        <v>11.197043</v>
      </c>
      <c r="L1881" s="33" t="n">
        <f aca="false">IF(H1881="","",ABS(H1881))</f>
        <v>4</v>
      </c>
      <c r="M1881" s="33" t="n">
        <f aca="false">IF(I1881="","",ABS(I1881))</f>
        <v>14</v>
      </c>
      <c r="N1881" s="33" t="str">
        <f aca="false">IF(J1881="","",ABS(J1881))</f>
        <v/>
      </c>
      <c r="O1881" s="33" t="n">
        <f aca="false">IF(K1881="","",ABS(K1881))</f>
        <v>11.197043</v>
      </c>
      <c r="P1881" s="34" t="str">
        <f aca="false">IF(B1881&gt;=Eval_Start_Week,"YES","")</f>
        <v/>
      </c>
      <c r="Q1881" s="34" t="str">
        <f aca="false">IF(AND(B1881&gt;=Cal_Start_Week,B1881&lt;=Cal_End_Week),"YES","")</f>
        <v/>
      </c>
    </row>
    <row r="1882" customFormat="false" ht="15" hidden="false" customHeight="false" outlineLevel="0" collapsed="false">
      <c r="A1882" s="31" t="str">
        <f aca="false">Demand_History!C1882</f>
        <v>BTH-009</v>
      </c>
      <c r="B1882" s="31" t="n">
        <f aca="false">Demand_History!A1882</f>
        <v>9</v>
      </c>
      <c r="C1882" s="32" t="n">
        <f aca="false">Demand_History!D1882</f>
        <v>15</v>
      </c>
      <c r="D1882" s="33" t="n">
        <f aca="false">IF(B1882&gt;=2,C1881,"")</f>
        <v>23</v>
      </c>
      <c r="E1882" s="33" t="n">
        <f aca="false">IF(B1882&gt;=5,AVERAGE(C1878:C1881),"")</f>
        <v>34</v>
      </c>
      <c r="F1882" s="33" t="n">
        <f aca="false">IF(B1882&gt;=9,AVERAGE(C1874:C1881),"")</f>
        <v>33.875</v>
      </c>
      <c r="G1882" s="33" t="n">
        <f aca="false">IF(B1882=1,"",IF(B1882=2,C1881,SES_Alpha*C1881+(1-SES_Alpha)*G1881))</f>
        <v>30.8379301</v>
      </c>
      <c r="H1882" s="33" t="n">
        <f aca="false">IF(D1882="","",D1882-C1882)</f>
        <v>8</v>
      </c>
      <c r="I1882" s="33" t="n">
        <f aca="false">IF(E1882="","",E1882-C1882)</f>
        <v>19</v>
      </c>
      <c r="J1882" s="33" t="n">
        <f aca="false">IF(F1882="","",F1882-C1882)</f>
        <v>18.875</v>
      </c>
      <c r="K1882" s="33" t="n">
        <f aca="false">IF(G1882="","",G1882-C1882)</f>
        <v>15.8379301</v>
      </c>
      <c r="L1882" s="33" t="n">
        <f aca="false">IF(H1882="","",ABS(H1882))</f>
        <v>8</v>
      </c>
      <c r="M1882" s="33" t="n">
        <f aca="false">IF(I1882="","",ABS(I1882))</f>
        <v>19</v>
      </c>
      <c r="N1882" s="33" t="n">
        <f aca="false">IF(J1882="","",ABS(J1882))</f>
        <v>18.875</v>
      </c>
      <c r="O1882" s="33" t="n">
        <f aca="false">IF(K1882="","",ABS(K1882))</f>
        <v>15.8379301</v>
      </c>
      <c r="P1882" s="34" t="str">
        <f aca="false">IF(B1882&gt;=Eval_Start_Week,"YES","")</f>
        <v/>
      </c>
      <c r="Q1882" s="34" t="str">
        <f aca="false">IF(AND(B1882&gt;=Cal_Start_Week,B1882&lt;=Cal_End_Week),"YES","")</f>
        <v/>
      </c>
    </row>
    <row r="1883" customFormat="false" ht="15" hidden="false" customHeight="false" outlineLevel="0" collapsed="false">
      <c r="A1883" s="31" t="str">
        <f aca="false">Demand_History!C1883</f>
        <v>BTH-009</v>
      </c>
      <c r="B1883" s="31" t="n">
        <f aca="false">Demand_History!A1883</f>
        <v>10</v>
      </c>
      <c r="C1883" s="32" t="n">
        <f aca="false">Demand_History!D1883</f>
        <v>42</v>
      </c>
      <c r="D1883" s="33" t="n">
        <f aca="false">IF(B1883&gt;=2,C1882,"")</f>
        <v>15</v>
      </c>
      <c r="E1883" s="33" t="n">
        <f aca="false">IF(B1883&gt;=5,AVERAGE(C1879:C1882),"")</f>
        <v>23.5</v>
      </c>
      <c r="F1883" s="33" t="n">
        <f aca="false">IF(B1883&gt;=9,AVERAGE(C1875:C1882),"")</f>
        <v>31.125</v>
      </c>
      <c r="G1883" s="33" t="n">
        <f aca="false">IF(B1883=1,"",IF(B1883=2,C1882,SES_Alpha*C1882+(1-SES_Alpha)*G1882))</f>
        <v>26.08655107</v>
      </c>
      <c r="H1883" s="33" t="n">
        <f aca="false">IF(D1883="","",D1883-C1883)</f>
        <v>-27</v>
      </c>
      <c r="I1883" s="33" t="n">
        <f aca="false">IF(E1883="","",E1883-C1883)</f>
        <v>-18.5</v>
      </c>
      <c r="J1883" s="33" t="n">
        <f aca="false">IF(F1883="","",F1883-C1883)</f>
        <v>-10.875</v>
      </c>
      <c r="K1883" s="33" t="n">
        <f aca="false">IF(G1883="","",G1883-C1883)</f>
        <v>-15.91344893</v>
      </c>
      <c r="L1883" s="33" t="n">
        <f aca="false">IF(H1883="","",ABS(H1883))</f>
        <v>27</v>
      </c>
      <c r="M1883" s="33" t="n">
        <f aca="false">IF(I1883="","",ABS(I1883))</f>
        <v>18.5</v>
      </c>
      <c r="N1883" s="33" t="n">
        <f aca="false">IF(J1883="","",ABS(J1883))</f>
        <v>10.875</v>
      </c>
      <c r="O1883" s="33" t="n">
        <f aca="false">IF(K1883="","",ABS(K1883))</f>
        <v>15.91344893</v>
      </c>
      <c r="P1883" s="34" t="str">
        <f aca="false">IF(B1883&gt;=Eval_Start_Week,"YES","")</f>
        <v/>
      </c>
      <c r="Q1883" s="34" t="str">
        <f aca="false">IF(AND(B1883&gt;=Cal_Start_Week,B1883&lt;=Cal_End_Week),"YES","")</f>
        <v/>
      </c>
    </row>
    <row r="1884" customFormat="false" ht="15" hidden="false" customHeight="false" outlineLevel="0" collapsed="false">
      <c r="A1884" s="31" t="str">
        <f aca="false">Demand_History!C1884</f>
        <v>BTH-009</v>
      </c>
      <c r="B1884" s="31" t="n">
        <f aca="false">Demand_History!A1884</f>
        <v>11</v>
      </c>
      <c r="C1884" s="32" t="n">
        <f aca="false">Demand_History!D1884</f>
        <v>31</v>
      </c>
      <c r="D1884" s="33" t="n">
        <f aca="false">IF(B1884&gt;=2,C1883,"")</f>
        <v>42</v>
      </c>
      <c r="E1884" s="33" t="n">
        <f aca="false">IF(B1884&gt;=5,AVERAGE(C1880:C1883),"")</f>
        <v>26.75</v>
      </c>
      <c r="F1884" s="33" t="n">
        <f aca="false">IF(B1884&gt;=9,AVERAGE(C1876:C1883),"")</f>
        <v>31.375</v>
      </c>
      <c r="G1884" s="33" t="n">
        <f aca="false">IF(B1884=1,"",IF(B1884=2,C1883,SES_Alpha*C1883+(1-SES_Alpha)*G1883))</f>
        <v>30.860585749</v>
      </c>
      <c r="H1884" s="33" t="n">
        <f aca="false">IF(D1884="","",D1884-C1884)</f>
        <v>11</v>
      </c>
      <c r="I1884" s="33" t="n">
        <f aca="false">IF(E1884="","",E1884-C1884)</f>
        <v>-4.25</v>
      </c>
      <c r="J1884" s="33" t="n">
        <f aca="false">IF(F1884="","",F1884-C1884)</f>
        <v>0.375</v>
      </c>
      <c r="K1884" s="33" t="n">
        <f aca="false">IF(G1884="","",G1884-C1884)</f>
        <v>-0.139414251000005</v>
      </c>
      <c r="L1884" s="33" t="n">
        <f aca="false">IF(H1884="","",ABS(H1884))</f>
        <v>11</v>
      </c>
      <c r="M1884" s="33" t="n">
        <f aca="false">IF(I1884="","",ABS(I1884))</f>
        <v>4.25</v>
      </c>
      <c r="N1884" s="33" t="n">
        <f aca="false">IF(J1884="","",ABS(J1884))</f>
        <v>0.375</v>
      </c>
      <c r="O1884" s="33" t="n">
        <f aca="false">IF(K1884="","",ABS(K1884))</f>
        <v>0.139414251000005</v>
      </c>
      <c r="P1884" s="34" t="str">
        <f aca="false">IF(B1884&gt;=Eval_Start_Week,"YES","")</f>
        <v/>
      </c>
      <c r="Q1884" s="34" t="str">
        <f aca="false">IF(AND(B1884&gt;=Cal_Start_Week,B1884&lt;=Cal_End_Week),"YES","")</f>
        <v/>
      </c>
    </row>
    <row r="1885" customFormat="false" ht="15" hidden="false" customHeight="false" outlineLevel="0" collapsed="false">
      <c r="A1885" s="31" t="str">
        <f aca="false">Demand_History!C1885</f>
        <v>BTH-009</v>
      </c>
      <c r="B1885" s="31" t="n">
        <f aca="false">Demand_History!A1885</f>
        <v>12</v>
      </c>
      <c r="C1885" s="32" t="n">
        <f aca="false">Demand_History!D1885</f>
        <v>33</v>
      </c>
      <c r="D1885" s="33" t="n">
        <f aca="false">IF(B1885&gt;=2,C1884,"")</f>
        <v>31</v>
      </c>
      <c r="E1885" s="33" t="n">
        <f aca="false">IF(B1885&gt;=5,AVERAGE(C1881:C1884),"")</f>
        <v>27.75</v>
      </c>
      <c r="F1885" s="33" t="n">
        <f aca="false">IF(B1885&gt;=9,AVERAGE(C1877:C1884),"")</f>
        <v>32.375</v>
      </c>
      <c r="G1885" s="33" t="n">
        <f aca="false">IF(B1885=1,"",IF(B1885=2,C1884,SES_Alpha*C1884+(1-SES_Alpha)*G1884))</f>
        <v>30.9024100243</v>
      </c>
      <c r="H1885" s="33" t="n">
        <f aca="false">IF(D1885="","",D1885-C1885)</f>
        <v>-2</v>
      </c>
      <c r="I1885" s="33" t="n">
        <f aca="false">IF(E1885="","",E1885-C1885)</f>
        <v>-5.25</v>
      </c>
      <c r="J1885" s="33" t="n">
        <f aca="false">IF(F1885="","",F1885-C1885)</f>
        <v>-0.625</v>
      </c>
      <c r="K1885" s="33" t="n">
        <f aca="false">IF(G1885="","",G1885-C1885)</f>
        <v>-2.0975899757</v>
      </c>
      <c r="L1885" s="33" t="n">
        <f aca="false">IF(H1885="","",ABS(H1885))</f>
        <v>2</v>
      </c>
      <c r="M1885" s="33" t="n">
        <f aca="false">IF(I1885="","",ABS(I1885))</f>
        <v>5.25</v>
      </c>
      <c r="N1885" s="33" t="n">
        <f aca="false">IF(J1885="","",ABS(J1885))</f>
        <v>0.625</v>
      </c>
      <c r="O1885" s="33" t="n">
        <f aca="false">IF(K1885="","",ABS(K1885))</f>
        <v>2.0975899757</v>
      </c>
      <c r="P1885" s="34" t="str">
        <f aca="false">IF(B1885&gt;=Eval_Start_Week,"YES","")</f>
        <v/>
      </c>
      <c r="Q1885" s="34" t="str">
        <f aca="false">IF(AND(B1885&gt;=Cal_Start_Week,B1885&lt;=Cal_End_Week),"YES","")</f>
        <v/>
      </c>
    </row>
    <row r="1886" customFormat="false" ht="15" hidden="false" customHeight="false" outlineLevel="0" collapsed="false">
      <c r="A1886" s="31" t="str">
        <f aca="false">Demand_History!C1886</f>
        <v>BTH-009</v>
      </c>
      <c r="B1886" s="31" t="n">
        <f aca="false">Demand_History!A1886</f>
        <v>13</v>
      </c>
      <c r="C1886" s="32" t="n">
        <f aca="false">Demand_History!D1886</f>
        <v>49</v>
      </c>
      <c r="D1886" s="33" t="n">
        <f aca="false">IF(B1886&gt;=2,C1885,"")</f>
        <v>33</v>
      </c>
      <c r="E1886" s="33" t="n">
        <f aca="false">IF(B1886&gt;=5,AVERAGE(C1882:C1885),"")</f>
        <v>30.25</v>
      </c>
      <c r="F1886" s="33" t="n">
        <f aca="false">IF(B1886&gt;=9,AVERAGE(C1878:C1885),"")</f>
        <v>32.125</v>
      </c>
      <c r="G1886" s="33" t="n">
        <f aca="false">IF(B1886=1,"",IF(B1886=2,C1885,SES_Alpha*C1885+(1-SES_Alpha)*G1885))</f>
        <v>31.53168701701</v>
      </c>
      <c r="H1886" s="33" t="n">
        <f aca="false">IF(D1886="","",D1886-C1886)</f>
        <v>-16</v>
      </c>
      <c r="I1886" s="33" t="n">
        <f aca="false">IF(E1886="","",E1886-C1886)</f>
        <v>-18.75</v>
      </c>
      <c r="J1886" s="33" t="n">
        <f aca="false">IF(F1886="","",F1886-C1886)</f>
        <v>-16.875</v>
      </c>
      <c r="K1886" s="33" t="n">
        <f aca="false">IF(G1886="","",G1886-C1886)</f>
        <v>-17.46831298299</v>
      </c>
      <c r="L1886" s="33" t="n">
        <f aca="false">IF(H1886="","",ABS(H1886))</f>
        <v>16</v>
      </c>
      <c r="M1886" s="33" t="n">
        <f aca="false">IF(I1886="","",ABS(I1886))</f>
        <v>18.75</v>
      </c>
      <c r="N1886" s="33" t="n">
        <f aca="false">IF(J1886="","",ABS(J1886))</f>
        <v>16.875</v>
      </c>
      <c r="O1886" s="33" t="n">
        <f aca="false">IF(K1886="","",ABS(K1886))</f>
        <v>17.46831298299</v>
      </c>
      <c r="P1886" s="34" t="str">
        <f aca="false">IF(B1886&gt;=Eval_Start_Week,"YES","")</f>
        <v/>
      </c>
      <c r="Q1886" s="34" t="str">
        <f aca="false">IF(AND(B1886&gt;=Cal_Start_Week,B1886&lt;=Cal_End_Week),"YES","")</f>
        <v/>
      </c>
    </row>
    <row r="1887" customFormat="false" ht="15" hidden="false" customHeight="false" outlineLevel="0" collapsed="false">
      <c r="A1887" s="31" t="str">
        <f aca="false">Demand_History!C1887</f>
        <v>BTH-009</v>
      </c>
      <c r="B1887" s="31" t="n">
        <f aca="false">Demand_History!A1887</f>
        <v>14</v>
      </c>
      <c r="C1887" s="32" t="n">
        <f aca="false">Demand_History!D1887</f>
        <v>56</v>
      </c>
      <c r="D1887" s="33" t="n">
        <f aca="false">IF(B1887&gt;=2,C1886,"")</f>
        <v>49</v>
      </c>
      <c r="E1887" s="33" t="n">
        <f aca="false">IF(B1887&gt;=5,AVERAGE(C1883:C1886),"")</f>
        <v>38.75</v>
      </c>
      <c r="F1887" s="33" t="n">
        <f aca="false">IF(B1887&gt;=9,AVERAGE(C1879:C1886),"")</f>
        <v>31.125</v>
      </c>
      <c r="G1887" s="33" t="n">
        <f aca="false">IF(B1887=1,"",IF(B1887=2,C1886,SES_Alpha*C1886+(1-SES_Alpha)*G1886))</f>
        <v>36.772180911907</v>
      </c>
      <c r="H1887" s="33" t="n">
        <f aca="false">IF(D1887="","",D1887-C1887)</f>
        <v>-7</v>
      </c>
      <c r="I1887" s="33" t="n">
        <f aca="false">IF(E1887="","",E1887-C1887)</f>
        <v>-17.25</v>
      </c>
      <c r="J1887" s="33" t="n">
        <f aca="false">IF(F1887="","",F1887-C1887)</f>
        <v>-24.875</v>
      </c>
      <c r="K1887" s="33" t="n">
        <f aca="false">IF(G1887="","",G1887-C1887)</f>
        <v>-19.227819088093</v>
      </c>
      <c r="L1887" s="33" t="n">
        <f aca="false">IF(H1887="","",ABS(H1887))</f>
        <v>7</v>
      </c>
      <c r="M1887" s="33" t="n">
        <f aca="false">IF(I1887="","",ABS(I1887))</f>
        <v>17.25</v>
      </c>
      <c r="N1887" s="33" t="n">
        <f aca="false">IF(J1887="","",ABS(J1887))</f>
        <v>24.875</v>
      </c>
      <c r="O1887" s="33" t="n">
        <f aca="false">IF(K1887="","",ABS(K1887))</f>
        <v>19.227819088093</v>
      </c>
      <c r="P1887" s="34" t="str">
        <f aca="false">IF(B1887&gt;=Eval_Start_Week,"YES","")</f>
        <v/>
      </c>
      <c r="Q1887" s="34" t="str">
        <f aca="false">IF(AND(B1887&gt;=Cal_Start_Week,B1887&lt;=Cal_End_Week),"YES","")</f>
        <v/>
      </c>
    </row>
    <row r="1888" customFormat="false" ht="15" hidden="false" customHeight="false" outlineLevel="0" collapsed="false">
      <c r="A1888" s="31" t="str">
        <f aca="false">Demand_History!C1888</f>
        <v>BTH-009</v>
      </c>
      <c r="B1888" s="31" t="n">
        <f aca="false">Demand_History!A1888</f>
        <v>15</v>
      </c>
      <c r="C1888" s="32" t="n">
        <f aca="false">Demand_History!D1888</f>
        <v>21</v>
      </c>
      <c r="D1888" s="33" t="n">
        <f aca="false">IF(B1888&gt;=2,C1887,"")</f>
        <v>56</v>
      </c>
      <c r="E1888" s="33" t="n">
        <f aca="false">IF(B1888&gt;=5,AVERAGE(C1884:C1887),"")</f>
        <v>42.25</v>
      </c>
      <c r="F1888" s="33" t="n">
        <f aca="false">IF(B1888&gt;=9,AVERAGE(C1880:C1887),"")</f>
        <v>34.5</v>
      </c>
      <c r="G1888" s="33" t="n">
        <f aca="false">IF(B1888=1,"",IF(B1888=2,C1887,SES_Alpha*C1887+(1-SES_Alpha)*G1887))</f>
        <v>42.5405266383349</v>
      </c>
      <c r="H1888" s="33" t="n">
        <f aca="false">IF(D1888="","",D1888-C1888)</f>
        <v>35</v>
      </c>
      <c r="I1888" s="33" t="n">
        <f aca="false">IF(E1888="","",E1888-C1888)</f>
        <v>21.25</v>
      </c>
      <c r="J1888" s="33" t="n">
        <f aca="false">IF(F1888="","",F1888-C1888)</f>
        <v>13.5</v>
      </c>
      <c r="K1888" s="33" t="n">
        <f aca="false">IF(G1888="","",G1888-C1888)</f>
        <v>21.5405266383349</v>
      </c>
      <c r="L1888" s="33" t="n">
        <f aca="false">IF(H1888="","",ABS(H1888))</f>
        <v>35</v>
      </c>
      <c r="M1888" s="33" t="n">
        <f aca="false">IF(I1888="","",ABS(I1888))</f>
        <v>21.25</v>
      </c>
      <c r="N1888" s="33" t="n">
        <f aca="false">IF(J1888="","",ABS(J1888))</f>
        <v>13.5</v>
      </c>
      <c r="O1888" s="33" t="n">
        <f aca="false">IF(K1888="","",ABS(K1888))</f>
        <v>21.5405266383349</v>
      </c>
      <c r="P1888" s="34" t="str">
        <f aca="false">IF(B1888&gt;=Eval_Start_Week,"YES","")</f>
        <v/>
      </c>
      <c r="Q1888" s="34" t="str">
        <f aca="false">IF(AND(B1888&gt;=Cal_Start_Week,B1888&lt;=Cal_End_Week),"YES","")</f>
        <v/>
      </c>
    </row>
    <row r="1889" customFormat="false" ht="15" hidden="false" customHeight="false" outlineLevel="0" collapsed="false">
      <c r="A1889" s="31" t="str">
        <f aca="false">Demand_History!C1889</f>
        <v>BTH-009</v>
      </c>
      <c r="B1889" s="31" t="n">
        <f aca="false">Demand_History!A1889</f>
        <v>16</v>
      </c>
      <c r="C1889" s="32" t="n">
        <f aca="false">Demand_History!D1889</f>
        <v>41</v>
      </c>
      <c r="D1889" s="33" t="n">
        <f aca="false">IF(B1889&gt;=2,C1888,"")</f>
        <v>21</v>
      </c>
      <c r="E1889" s="33" t="n">
        <f aca="false">IF(B1889&gt;=5,AVERAGE(C1885:C1888),"")</f>
        <v>39.75</v>
      </c>
      <c r="F1889" s="33" t="n">
        <f aca="false">IF(B1889&gt;=9,AVERAGE(C1881:C1888),"")</f>
        <v>33.75</v>
      </c>
      <c r="G1889" s="33" t="n">
        <f aca="false">IF(B1889=1,"",IF(B1889=2,C1888,SES_Alpha*C1888+(1-SES_Alpha)*G1888))</f>
        <v>36.0783686468344</v>
      </c>
      <c r="H1889" s="33" t="n">
        <f aca="false">IF(D1889="","",D1889-C1889)</f>
        <v>-20</v>
      </c>
      <c r="I1889" s="33" t="n">
        <f aca="false">IF(E1889="","",E1889-C1889)</f>
        <v>-1.25</v>
      </c>
      <c r="J1889" s="33" t="n">
        <f aca="false">IF(F1889="","",F1889-C1889)</f>
        <v>-7.25</v>
      </c>
      <c r="K1889" s="33" t="n">
        <f aca="false">IF(G1889="","",G1889-C1889)</f>
        <v>-4.92163135316557</v>
      </c>
      <c r="L1889" s="33" t="n">
        <f aca="false">IF(H1889="","",ABS(H1889))</f>
        <v>20</v>
      </c>
      <c r="M1889" s="33" t="n">
        <f aca="false">IF(I1889="","",ABS(I1889))</f>
        <v>1.25</v>
      </c>
      <c r="N1889" s="33" t="n">
        <f aca="false">IF(J1889="","",ABS(J1889))</f>
        <v>7.25</v>
      </c>
      <c r="O1889" s="33" t="n">
        <f aca="false">IF(K1889="","",ABS(K1889))</f>
        <v>4.92163135316557</v>
      </c>
      <c r="P1889" s="34" t="str">
        <f aca="false">IF(B1889&gt;=Eval_Start_Week,"YES","")</f>
        <v/>
      </c>
      <c r="Q1889" s="34" t="str">
        <f aca="false">IF(AND(B1889&gt;=Cal_Start_Week,B1889&lt;=Cal_End_Week),"YES","")</f>
        <v/>
      </c>
    </row>
    <row r="1890" customFormat="false" ht="15" hidden="false" customHeight="false" outlineLevel="0" collapsed="false">
      <c r="A1890" s="31" t="str">
        <f aca="false">Demand_History!C1890</f>
        <v>BTH-009</v>
      </c>
      <c r="B1890" s="31" t="n">
        <f aca="false">Demand_History!A1890</f>
        <v>17</v>
      </c>
      <c r="C1890" s="32" t="n">
        <f aca="false">Demand_History!D1890</f>
        <v>36</v>
      </c>
      <c r="D1890" s="33" t="n">
        <f aca="false">IF(B1890&gt;=2,C1889,"")</f>
        <v>41</v>
      </c>
      <c r="E1890" s="33" t="n">
        <f aca="false">IF(B1890&gt;=5,AVERAGE(C1886:C1889),"")</f>
        <v>41.75</v>
      </c>
      <c r="F1890" s="33" t="n">
        <f aca="false">IF(B1890&gt;=9,AVERAGE(C1882:C1889),"")</f>
        <v>36</v>
      </c>
      <c r="G1890" s="33" t="n">
        <f aca="false">IF(B1890=1,"",IF(B1890=2,C1889,SES_Alpha*C1889+(1-SES_Alpha)*G1889))</f>
        <v>37.5548580527841</v>
      </c>
      <c r="H1890" s="33" t="n">
        <f aca="false">IF(D1890="","",D1890-C1890)</f>
        <v>5</v>
      </c>
      <c r="I1890" s="33" t="n">
        <f aca="false">IF(E1890="","",E1890-C1890)</f>
        <v>5.75</v>
      </c>
      <c r="J1890" s="33" t="n">
        <f aca="false">IF(F1890="","",F1890-C1890)</f>
        <v>0</v>
      </c>
      <c r="K1890" s="33" t="n">
        <f aca="false">IF(G1890="","",G1890-C1890)</f>
        <v>1.5548580527841</v>
      </c>
      <c r="L1890" s="33" t="n">
        <f aca="false">IF(H1890="","",ABS(H1890))</f>
        <v>5</v>
      </c>
      <c r="M1890" s="33" t="n">
        <f aca="false">IF(I1890="","",ABS(I1890))</f>
        <v>5.75</v>
      </c>
      <c r="N1890" s="33" t="n">
        <f aca="false">IF(J1890="","",ABS(J1890))</f>
        <v>0</v>
      </c>
      <c r="O1890" s="33" t="n">
        <f aca="false">IF(K1890="","",ABS(K1890))</f>
        <v>1.5548580527841</v>
      </c>
      <c r="P1890" s="34" t="str">
        <f aca="false">IF(B1890&gt;=Eval_Start_Week,"YES","")</f>
        <v/>
      </c>
      <c r="Q1890" s="34" t="str">
        <f aca="false">IF(AND(B1890&gt;=Cal_Start_Week,B1890&lt;=Cal_End_Week),"YES","")</f>
        <v/>
      </c>
    </row>
    <row r="1891" customFormat="false" ht="15" hidden="false" customHeight="false" outlineLevel="0" collapsed="false">
      <c r="A1891" s="31" t="str">
        <f aca="false">Demand_History!C1891</f>
        <v>BTH-009</v>
      </c>
      <c r="B1891" s="31" t="n">
        <f aca="false">Demand_History!A1891</f>
        <v>18</v>
      </c>
      <c r="C1891" s="32" t="n">
        <f aca="false">Demand_History!D1891</f>
        <v>34</v>
      </c>
      <c r="D1891" s="33" t="n">
        <f aca="false">IF(B1891&gt;=2,C1890,"")</f>
        <v>36</v>
      </c>
      <c r="E1891" s="33" t="n">
        <f aca="false">IF(B1891&gt;=5,AVERAGE(C1887:C1890),"")</f>
        <v>38.5</v>
      </c>
      <c r="F1891" s="33" t="n">
        <f aca="false">IF(B1891&gt;=9,AVERAGE(C1883:C1890),"")</f>
        <v>38.625</v>
      </c>
      <c r="G1891" s="33" t="n">
        <f aca="false">IF(B1891=1,"",IF(B1891=2,C1890,SES_Alpha*C1890+(1-SES_Alpha)*G1890))</f>
        <v>37.0884006369489</v>
      </c>
      <c r="H1891" s="33" t="n">
        <f aca="false">IF(D1891="","",D1891-C1891)</f>
        <v>2</v>
      </c>
      <c r="I1891" s="33" t="n">
        <f aca="false">IF(E1891="","",E1891-C1891)</f>
        <v>4.5</v>
      </c>
      <c r="J1891" s="33" t="n">
        <f aca="false">IF(F1891="","",F1891-C1891)</f>
        <v>4.625</v>
      </c>
      <c r="K1891" s="33" t="n">
        <f aca="false">IF(G1891="","",G1891-C1891)</f>
        <v>3.08840063694887</v>
      </c>
      <c r="L1891" s="33" t="n">
        <f aca="false">IF(H1891="","",ABS(H1891))</f>
        <v>2</v>
      </c>
      <c r="M1891" s="33" t="n">
        <f aca="false">IF(I1891="","",ABS(I1891))</f>
        <v>4.5</v>
      </c>
      <c r="N1891" s="33" t="n">
        <f aca="false">IF(J1891="","",ABS(J1891))</f>
        <v>4.625</v>
      </c>
      <c r="O1891" s="33" t="n">
        <f aca="false">IF(K1891="","",ABS(K1891))</f>
        <v>3.08840063694887</v>
      </c>
      <c r="P1891" s="34" t="str">
        <f aca="false">IF(B1891&gt;=Eval_Start_Week,"YES","")</f>
        <v/>
      </c>
      <c r="Q1891" s="34" t="str">
        <f aca="false">IF(AND(B1891&gt;=Cal_Start_Week,B1891&lt;=Cal_End_Week),"YES","")</f>
        <v/>
      </c>
    </row>
    <row r="1892" customFormat="false" ht="15" hidden="false" customHeight="false" outlineLevel="0" collapsed="false">
      <c r="A1892" s="31" t="str">
        <f aca="false">Demand_History!C1892</f>
        <v>BTH-009</v>
      </c>
      <c r="B1892" s="31" t="n">
        <f aca="false">Demand_History!A1892</f>
        <v>19</v>
      </c>
      <c r="C1892" s="32" t="n">
        <f aca="false">Demand_History!D1892</f>
        <v>35</v>
      </c>
      <c r="D1892" s="33" t="n">
        <f aca="false">IF(B1892&gt;=2,C1891,"")</f>
        <v>34</v>
      </c>
      <c r="E1892" s="33" t="n">
        <f aca="false">IF(B1892&gt;=5,AVERAGE(C1888:C1891),"")</f>
        <v>33</v>
      </c>
      <c r="F1892" s="33" t="n">
        <f aca="false">IF(B1892&gt;=9,AVERAGE(C1884:C1891),"")</f>
        <v>37.625</v>
      </c>
      <c r="G1892" s="33" t="n">
        <f aca="false">IF(B1892=1,"",IF(B1892=2,C1891,SES_Alpha*C1891+(1-SES_Alpha)*G1891))</f>
        <v>36.1618804458642</v>
      </c>
      <c r="H1892" s="33" t="n">
        <f aca="false">IF(D1892="","",D1892-C1892)</f>
        <v>-1</v>
      </c>
      <c r="I1892" s="33" t="n">
        <f aca="false">IF(E1892="","",E1892-C1892)</f>
        <v>-2</v>
      </c>
      <c r="J1892" s="33" t="n">
        <f aca="false">IF(F1892="","",F1892-C1892)</f>
        <v>2.625</v>
      </c>
      <c r="K1892" s="33" t="n">
        <f aca="false">IF(G1892="","",G1892-C1892)</f>
        <v>1.16188044586421</v>
      </c>
      <c r="L1892" s="33" t="n">
        <f aca="false">IF(H1892="","",ABS(H1892))</f>
        <v>1</v>
      </c>
      <c r="M1892" s="33" t="n">
        <f aca="false">IF(I1892="","",ABS(I1892))</f>
        <v>2</v>
      </c>
      <c r="N1892" s="33" t="n">
        <f aca="false">IF(J1892="","",ABS(J1892))</f>
        <v>2.625</v>
      </c>
      <c r="O1892" s="33" t="n">
        <f aca="false">IF(K1892="","",ABS(K1892))</f>
        <v>1.16188044586421</v>
      </c>
      <c r="P1892" s="34" t="str">
        <f aca="false">IF(B1892&gt;=Eval_Start_Week,"YES","")</f>
        <v/>
      </c>
      <c r="Q1892" s="34" t="str">
        <f aca="false">IF(AND(B1892&gt;=Cal_Start_Week,B1892&lt;=Cal_End_Week),"YES","")</f>
        <v/>
      </c>
    </row>
    <row r="1893" customFormat="false" ht="15" hidden="false" customHeight="false" outlineLevel="0" collapsed="false">
      <c r="A1893" s="31" t="str">
        <f aca="false">Demand_History!C1893</f>
        <v>BTH-009</v>
      </c>
      <c r="B1893" s="31" t="n">
        <f aca="false">Demand_History!A1893</f>
        <v>20</v>
      </c>
      <c r="C1893" s="32" t="n">
        <f aca="false">Demand_History!D1893</f>
        <v>30</v>
      </c>
      <c r="D1893" s="33" t="n">
        <f aca="false">IF(B1893&gt;=2,C1892,"")</f>
        <v>35</v>
      </c>
      <c r="E1893" s="33" t="n">
        <f aca="false">IF(B1893&gt;=5,AVERAGE(C1889:C1892),"")</f>
        <v>36.5</v>
      </c>
      <c r="F1893" s="33" t="n">
        <f aca="false">IF(B1893&gt;=9,AVERAGE(C1885:C1892),"")</f>
        <v>38.125</v>
      </c>
      <c r="G1893" s="33" t="n">
        <f aca="false">IF(B1893=1,"",IF(B1893=2,C1892,SES_Alpha*C1892+(1-SES_Alpha)*G1892))</f>
        <v>35.8133163121049</v>
      </c>
      <c r="H1893" s="33" t="n">
        <f aca="false">IF(D1893="","",D1893-C1893)</f>
        <v>5</v>
      </c>
      <c r="I1893" s="33" t="n">
        <f aca="false">IF(E1893="","",E1893-C1893)</f>
        <v>6.5</v>
      </c>
      <c r="J1893" s="33" t="n">
        <f aca="false">IF(F1893="","",F1893-C1893)</f>
        <v>8.125</v>
      </c>
      <c r="K1893" s="33" t="n">
        <f aca="false">IF(G1893="","",G1893-C1893)</f>
        <v>5.81331631210495</v>
      </c>
      <c r="L1893" s="33" t="n">
        <f aca="false">IF(H1893="","",ABS(H1893))</f>
        <v>5</v>
      </c>
      <c r="M1893" s="33" t="n">
        <f aca="false">IF(I1893="","",ABS(I1893))</f>
        <v>6.5</v>
      </c>
      <c r="N1893" s="33" t="n">
        <f aca="false">IF(J1893="","",ABS(J1893))</f>
        <v>8.125</v>
      </c>
      <c r="O1893" s="33" t="n">
        <f aca="false">IF(K1893="","",ABS(K1893))</f>
        <v>5.81331631210495</v>
      </c>
      <c r="P1893" s="34" t="str">
        <f aca="false">IF(B1893&gt;=Eval_Start_Week,"YES","")</f>
        <v/>
      </c>
      <c r="Q1893" s="34" t="str">
        <f aca="false">IF(AND(B1893&gt;=Cal_Start_Week,B1893&lt;=Cal_End_Week),"YES","")</f>
        <v/>
      </c>
    </row>
    <row r="1894" customFormat="false" ht="15" hidden="false" customHeight="false" outlineLevel="0" collapsed="false">
      <c r="A1894" s="31" t="str">
        <f aca="false">Demand_History!C1894</f>
        <v>BTH-009</v>
      </c>
      <c r="B1894" s="31" t="n">
        <f aca="false">Demand_History!A1894</f>
        <v>21</v>
      </c>
      <c r="C1894" s="32" t="n">
        <f aca="false">Demand_History!D1894</f>
        <v>46</v>
      </c>
      <c r="D1894" s="33" t="n">
        <f aca="false">IF(B1894&gt;=2,C1893,"")</f>
        <v>30</v>
      </c>
      <c r="E1894" s="33" t="n">
        <f aca="false">IF(B1894&gt;=5,AVERAGE(C1890:C1893),"")</f>
        <v>33.75</v>
      </c>
      <c r="F1894" s="33" t="n">
        <f aca="false">IF(B1894&gt;=9,AVERAGE(C1886:C1893),"")</f>
        <v>37.75</v>
      </c>
      <c r="G1894" s="33" t="n">
        <f aca="false">IF(B1894=1,"",IF(B1894=2,C1893,SES_Alpha*C1893+(1-SES_Alpha)*G1893))</f>
        <v>34.0693214184735</v>
      </c>
      <c r="H1894" s="33" t="n">
        <f aca="false">IF(D1894="","",D1894-C1894)</f>
        <v>-16</v>
      </c>
      <c r="I1894" s="33" t="n">
        <f aca="false">IF(E1894="","",E1894-C1894)</f>
        <v>-12.25</v>
      </c>
      <c r="J1894" s="33" t="n">
        <f aca="false">IF(F1894="","",F1894-C1894)</f>
        <v>-8.25</v>
      </c>
      <c r="K1894" s="33" t="n">
        <f aca="false">IF(G1894="","",G1894-C1894)</f>
        <v>-11.9306785815265</v>
      </c>
      <c r="L1894" s="33" t="n">
        <f aca="false">IF(H1894="","",ABS(H1894))</f>
        <v>16</v>
      </c>
      <c r="M1894" s="33" t="n">
        <f aca="false">IF(I1894="","",ABS(I1894))</f>
        <v>12.25</v>
      </c>
      <c r="N1894" s="33" t="n">
        <f aca="false">IF(J1894="","",ABS(J1894))</f>
        <v>8.25</v>
      </c>
      <c r="O1894" s="33" t="n">
        <f aca="false">IF(K1894="","",ABS(K1894))</f>
        <v>11.9306785815265</v>
      </c>
      <c r="P1894" s="34" t="str">
        <f aca="false">IF(B1894&gt;=Eval_Start_Week,"YES","")</f>
        <v/>
      </c>
      <c r="Q1894" s="34" t="str">
        <f aca="false">IF(AND(B1894&gt;=Cal_Start_Week,B1894&lt;=Cal_End_Week),"YES","")</f>
        <v/>
      </c>
    </row>
    <row r="1895" customFormat="false" ht="15" hidden="false" customHeight="false" outlineLevel="0" collapsed="false">
      <c r="A1895" s="31" t="str">
        <f aca="false">Demand_History!C1895</f>
        <v>BTH-009</v>
      </c>
      <c r="B1895" s="31" t="n">
        <f aca="false">Demand_History!A1895</f>
        <v>22</v>
      </c>
      <c r="C1895" s="32" t="n">
        <f aca="false">Demand_History!D1895</f>
        <v>36</v>
      </c>
      <c r="D1895" s="33" t="n">
        <f aca="false">IF(B1895&gt;=2,C1894,"")</f>
        <v>46</v>
      </c>
      <c r="E1895" s="33" t="n">
        <f aca="false">IF(B1895&gt;=5,AVERAGE(C1891:C1894),"")</f>
        <v>36.25</v>
      </c>
      <c r="F1895" s="33" t="n">
        <f aca="false">IF(B1895&gt;=9,AVERAGE(C1887:C1894),"")</f>
        <v>37.375</v>
      </c>
      <c r="G1895" s="33" t="n">
        <f aca="false">IF(B1895=1,"",IF(B1895=2,C1894,SES_Alpha*C1894+(1-SES_Alpha)*G1894))</f>
        <v>37.6485249929314</v>
      </c>
      <c r="H1895" s="33" t="n">
        <f aca="false">IF(D1895="","",D1895-C1895)</f>
        <v>10</v>
      </c>
      <c r="I1895" s="33" t="n">
        <f aca="false">IF(E1895="","",E1895-C1895)</f>
        <v>0.25</v>
      </c>
      <c r="J1895" s="33" t="n">
        <f aca="false">IF(F1895="","",F1895-C1895)</f>
        <v>1.375</v>
      </c>
      <c r="K1895" s="33" t="n">
        <f aca="false">IF(G1895="","",G1895-C1895)</f>
        <v>1.64852499293142</v>
      </c>
      <c r="L1895" s="33" t="n">
        <f aca="false">IF(H1895="","",ABS(H1895))</f>
        <v>10</v>
      </c>
      <c r="M1895" s="33" t="n">
        <f aca="false">IF(I1895="","",ABS(I1895))</f>
        <v>0.25</v>
      </c>
      <c r="N1895" s="33" t="n">
        <f aca="false">IF(J1895="","",ABS(J1895))</f>
        <v>1.375</v>
      </c>
      <c r="O1895" s="33" t="n">
        <f aca="false">IF(K1895="","",ABS(K1895))</f>
        <v>1.64852499293142</v>
      </c>
      <c r="P1895" s="34" t="str">
        <f aca="false">IF(B1895&gt;=Eval_Start_Week,"YES","")</f>
        <v/>
      </c>
      <c r="Q1895" s="34" t="str">
        <f aca="false">IF(AND(B1895&gt;=Cal_Start_Week,B1895&lt;=Cal_End_Week),"YES","")</f>
        <v/>
      </c>
    </row>
    <row r="1896" customFormat="false" ht="15" hidden="false" customHeight="false" outlineLevel="0" collapsed="false">
      <c r="A1896" s="31" t="str">
        <f aca="false">Demand_History!C1896</f>
        <v>BTH-009</v>
      </c>
      <c r="B1896" s="31" t="n">
        <f aca="false">Demand_History!A1896</f>
        <v>23</v>
      </c>
      <c r="C1896" s="32" t="n">
        <f aca="false">Demand_History!D1896</f>
        <v>34</v>
      </c>
      <c r="D1896" s="33" t="n">
        <f aca="false">IF(B1896&gt;=2,C1895,"")</f>
        <v>36</v>
      </c>
      <c r="E1896" s="33" t="n">
        <f aca="false">IF(B1896&gt;=5,AVERAGE(C1892:C1895),"")</f>
        <v>36.75</v>
      </c>
      <c r="F1896" s="33" t="n">
        <f aca="false">IF(B1896&gt;=9,AVERAGE(C1888:C1895),"")</f>
        <v>34.875</v>
      </c>
      <c r="G1896" s="33" t="n">
        <f aca="false">IF(B1896=1,"",IF(B1896=2,C1895,SES_Alpha*C1895+(1-SES_Alpha)*G1895))</f>
        <v>37.153967495052</v>
      </c>
      <c r="H1896" s="33" t="n">
        <f aca="false">IF(D1896="","",D1896-C1896)</f>
        <v>2</v>
      </c>
      <c r="I1896" s="33" t="n">
        <f aca="false">IF(E1896="","",E1896-C1896)</f>
        <v>2.75</v>
      </c>
      <c r="J1896" s="33" t="n">
        <f aca="false">IF(F1896="","",F1896-C1896)</f>
        <v>0.875</v>
      </c>
      <c r="K1896" s="33" t="n">
        <f aca="false">IF(G1896="","",G1896-C1896)</f>
        <v>3.15396749505199</v>
      </c>
      <c r="L1896" s="33" t="n">
        <f aca="false">IF(H1896="","",ABS(H1896))</f>
        <v>2</v>
      </c>
      <c r="M1896" s="33" t="n">
        <f aca="false">IF(I1896="","",ABS(I1896))</f>
        <v>2.75</v>
      </c>
      <c r="N1896" s="33" t="n">
        <f aca="false">IF(J1896="","",ABS(J1896))</f>
        <v>0.875</v>
      </c>
      <c r="O1896" s="33" t="n">
        <f aca="false">IF(K1896="","",ABS(K1896))</f>
        <v>3.15396749505199</v>
      </c>
      <c r="P1896" s="34" t="str">
        <f aca="false">IF(B1896&gt;=Eval_Start_Week,"YES","")</f>
        <v/>
      </c>
      <c r="Q1896" s="34" t="str">
        <f aca="false">IF(AND(B1896&gt;=Cal_Start_Week,B1896&lt;=Cal_End_Week),"YES","")</f>
        <v/>
      </c>
    </row>
    <row r="1897" customFormat="false" ht="15" hidden="false" customHeight="false" outlineLevel="0" collapsed="false">
      <c r="A1897" s="31" t="str">
        <f aca="false">Demand_History!C1897</f>
        <v>BTH-009</v>
      </c>
      <c r="B1897" s="31" t="n">
        <f aca="false">Demand_History!A1897</f>
        <v>24</v>
      </c>
      <c r="C1897" s="32" t="n">
        <f aca="false">Demand_History!D1897</f>
        <v>43</v>
      </c>
      <c r="D1897" s="33" t="n">
        <f aca="false">IF(B1897&gt;=2,C1896,"")</f>
        <v>34</v>
      </c>
      <c r="E1897" s="33" t="n">
        <f aca="false">IF(B1897&gt;=5,AVERAGE(C1893:C1896),"")</f>
        <v>36.5</v>
      </c>
      <c r="F1897" s="33" t="n">
        <f aca="false">IF(B1897&gt;=9,AVERAGE(C1889:C1896),"")</f>
        <v>36.5</v>
      </c>
      <c r="G1897" s="33" t="n">
        <f aca="false">IF(B1897=1,"",IF(B1897=2,C1896,SES_Alpha*C1896+(1-SES_Alpha)*G1896))</f>
        <v>36.2077772465364</v>
      </c>
      <c r="H1897" s="33" t="n">
        <f aca="false">IF(D1897="","",D1897-C1897)</f>
        <v>-9</v>
      </c>
      <c r="I1897" s="33" t="n">
        <f aca="false">IF(E1897="","",E1897-C1897)</f>
        <v>-6.5</v>
      </c>
      <c r="J1897" s="33" t="n">
        <f aca="false">IF(F1897="","",F1897-C1897)</f>
        <v>-6.5</v>
      </c>
      <c r="K1897" s="33" t="n">
        <f aca="false">IF(G1897="","",G1897-C1897)</f>
        <v>-6.79222275346361</v>
      </c>
      <c r="L1897" s="33" t="n">
        <f aca="false">IF(H1897="","",ABS(H1897))</f>
        <v>9</v>
      </c>
      <c r="M1897" s="33" t="n">
        <f aca="false">IF(I1897="","",ABS(I1897))</f>
        <v>6.5</v>
      </c>
      <c r="N1897" s="33" t="n">
        <f aca="false">IF(J1897="","",ABS(J1897))</f>
        <v>6.5</v>
      </c>
      <c r="O1897" s="33" t="n">
        <f aca="false">IF(K1897="","",ABS(K1897))</f>
        <v>6.79222275346361</v>
      </c>
      <c r="P1897" s="34" t="str">
        <f aca="false">IF(B1897&gt;=Eval_Start_Week,"YES","")</f>
        <v/>
      </c>
      <c r="Q1897" s="34" t="str">
        <f aca="false">IF(AND(B1897&gt;=Cal_Start_Week,B1897&lt;=Cal_End_Week),"YES","")</f>
        <v/>
      </c>
    </row>
    <row r="1898" customFormat="false" ht="15" hidden="false" customHeight="false" outlineLevel="0" collapsed="false">
      <c r="A1898" s="31" t="str">
        <f aca="false">Demand_History!C1898</f>
        <v>BTH-009</v>
      </c>
      <c r="B1898" s="31" t="n">
        <f aca="false">Demand_History!A1898</f>
        <v>25</v>
      </c>
      <c r="C1898" s="32" t="n">
        <f aca="false">Demand_History!D1898</f>
        <v>39</v>
      </c>
      <c r="D1898" s="33" t="n">
        <f aca="false">IF(B1898&gt;=2,C1897,"")</f>
        <v>43</v>
      </c>
      <c r="E1898" s="33" t="n">
        <f aca="false">IF(B1898&gt;=5,AVERAGE(C1894:C1897),"")</f>
        <v>39.75</v>
      </c>
      <c r="F1898" s="33" t="n">
        <f aca="false">IF(B1898&gt;=9,AVERAGE(C1890:C1897),"")</f>
        <v>36.75</v>
      </c>
      <c r="G1898" s="33" t="n">
        <f aca="false">IF(B1898=1,"",IF(B1898=2,C1897,SES_Alpha*C1897+(1-SES_Alpha)*G1897))</f>
        <v>38.2454440725755</v>
      </c>
      <c r="H1898" s="33" t="n">
        <f aca="false">IF(D1898="","",D1898-C1898)</f>
        <v>4</v>
      </c>
      <c r="I1898" s="33" t="n">
        <f aca="false">IF(E1898="","",E1898-C1898)</f>
        <v>0.75</v>
      </c>
      <c r="J1898" s="33" t="n">
        <f aca="false">IF(F1898="","",F1898-C1898)</f>
        <v>-2.25</v>
      </c>
      <c r="K1898" s="33" t="n">
        <f aca="false">IF(G1898="","",G1898-C1898)</f>
        <v>-0.754555927424526</v>
      </c>
      <c r="L1898" s="33" t="n">
        <f aca="false">IF(H1898="","",ABS(H1898))</f>
        <v>4</v>
      </c>
      <c r="M1898" s="33" t="n">
        <f aca="false">IF(I1898="","",ABS(I1898))</f>
        <v>0.75</v>
      </c>
      <c r="N1898" s="33" t="n">
        <f aca="false">IF(J1898="","",ABS(J1898))</f>
        <v>2.25</v>
      </c>
      <c r="O1898" s="33" t="n">
        <f aca="false">IF(K1898="","",ABS(K1898))</f>
        <v>0.754555927424526</v>
      </c>
      <c r="P1898" s="34" t="str">
        <f aca="false">IF(B1898&gt;=Eval_Start_Week,"YES","")</f>
        <v/>
      </c>
      <c r="Q1898" s="34" t="str">
        <f aca="false">IF(AND(B1898&gt;=Cal_Start_Week,B1898&lt;=Cal_End_Week),"YES","")</f>
        <v/>
      </c>
    </row>
    <row r="1899" customFormat="false" ht="15" hidden="false" customHeight="false" outlineLevel="0" collapsed="false">
      <c r="A1899" s="31" t="str">
        <f aca="false">Demand_History!C1899</f>
        <v>BTH-009</v>
      </c>
      <c r="B1899" s="31" t="n">
        <f aca="false">Demand_History!A1899</f>
        <v>26</v>
      </c>
      <c r="C1899" s="32" t="n">
        <f aca="false">Demand_History!D1899</f>
        <v>35</v>
      </c>
      <c r="D1899" s="33" t="n">
        <f aca="false">IF(B1899&gt;=2,C1898,"")</f>
        <v>39</v>
      </c>
      <c r="E1899" s="33" t="n">
        <f aca="false">IF(B1899&gt;=5,AVERAGE(C1895:C1898),"")</f>
        <v>38</v>
      </c>
      <c r="F1899" s="33" t="n">
        <f aca="false">IF(B1899&gt;=9,AVERAGE(C1891:C1898),"")</f>
        <v>37.125</v>
      </c>
      <c r="G1899" s="33" t="n">
        <f aca="false">IF(B1899=1,"",IF(B1899=2,C1898,SES_Alpha*C1898+(1-SES_Alpha)*G1898))</f>
        <v>38.4718108508028</v>
      </c>
      <c r="H1899" s="33" t="n">
        <f aca="false">IF(D1899="","",D1899-C1899)</f>
        <v>4</v>
      </c>
      <c r="I1899" s="33" t="n">
        <f aca="false">IF(E1899="","",E1899-C1899)</f>
        <v>3</v>
      </c>
      <c r="J1899" s="33" t="n">
        <f aca="false">IF(F1899="","",F1899-C1899)</f>
        <v>2.125</v>
      </c>
      <c r="K1899" s="33" t="n">
        <f aca="false">IF(G1899="","",G1899-C1899)</f>
        <v>3.47181085080283</v>
      </c>
      <c r="L1899" s="33" t="n">
        <f aca="false">IF(H1899="","",ABS(H1899))</f>
        <v>4</v>
      </c>
      <c r="M1899" s="33" t="n">
        <f aca="false">IF(I1899="","",ABS(I1899))</f>
        <v>3</v>
      </c>
      <c r="N1899" s="33" t="n">
        <f aca="false">IF(J1899="","",ABS(J1899))</f>
        <v>2.125</v>
      </c>
      <c r="O1899" s="33" t="n">
        <f aca="false">IF(K1899="","",ABS(K1899))</f>
        <v>3.47181085080283</v>
      </c>
      <c r="P1899" s="34" t="str">
        <f aca="false">IF(B1899&gt;=Eval_Start_Week,"YES","")</f>
        <v/>
      </c>
      <c r="Q1899" s="34" t="str">
        <f aca="false">IF(AND(B1899&gt;=Cal_Start_Week,B1899&lt;=Cal_End_Week),"YES","")</f>
        <v/>
      </c>
    </row>
    <row r="1900" customFormat="false" ht="15" hidden="false" customHeight="false" outlineLevel="0" collapsed="false">
      <c r="A1900" s="31" t="str">
        <f aca="false">Demand_History!C1900</f>
        <v>BTH-009</v>
      </c>
      <c r="B1900" s="31" t="n">
        <f aca="false">Demand_History!A1900</f>
        <v>27</v>
      </c>
      <c r="C1900" s="32" t="n">
        <f aca="false">Demand_History!D1900</f>
        <v>33</v>
      </c>
      <c r="D1900" s="33" t="n">
        <f aca="false">IF(B1900&gt;=2,C1899,"")</f>
        <v>35</v>
      </c>
      <c r="E1900" s="33" t="n">
        <f aca="false">IF(B1900&gt;=5,AVERAGE(C1896:C1899),"")</f>
        <v>37.75</v>
      </c>
      <c r="F1900" s="33" t="n">
        <f aca="false">IF(B1900&gt;=9,AVERAGE(C1892:C1899),"")</f>
        <v>37.25</v>
      </c>
      <c r="G1900" s="33" t="n">
        <f aca="false">IF(B1900=1,"",IF(B1900=2,C1899,SES_Alpha*C1899+(1-SES_Alpha)*G1899))</f>
        <v>37.430267595562</v>
      </c>
      <c r="H1900" s="33" t="n">
        <f aca="false">IF(D1900="","",D1900-C1900)</f>
        <v>2</v>
      </c>
      <c r="I1900" s="33" t="n">
        <f aca="false">IF(E1900="","",E1900-C1900)</f>
        <v>4.75</v>
      </c>
      <c r="J1900" s="33" t="n">
        <f aca="false">IF(F1900="","",F1900-C1900)</f>
        <v>4.25</v>
      </c>
      <c r="K1900" s="33" t="n">
        <f aca="false">IF(G1900="","",G1900-C1900)</f>
        <v>4.43026759556197</v>
      </c>
      <c r="L1900" s="33" t="n">
        <f aca="false">IF(H1900="","",ABS(H1900))</f>
        <v>2</v>
      </c>
      <c r="M1900" s="33" t="n">
        <f aca="false">IF(I1900="","",ABS(I1900))</f>
        <v>4.75</v>
      </c>
      <c r="N1900" s="33" t="n">
        <f aca="false">IF(J1900="","",ABS(J1900))</f>
        <v>4.25</v>
      </c>
      <c r="O1900" s="33" t="n">
        <f aca="false">IF(K1900="","",ABS(K1900))</f>
        <v>4.43026759556197</v>
      </c>
      <c r="P1900" s="34" t="str">
        <f aca="false">IF(B1900&gt;=Eval_Start_Week,"YES","")</f>
        <v/>
      </c>
      <c r="Q1900" s="34" t="str">
        <f aca="false">IF(AND(B1900&gt;=Cal_Start_Week,B1900&lt;=Cal_End_Week),"YES","")</f>
        <v/>
      </c>
    </row>
    <row r="1901" customFormat="false" ht="15" hidden="false" customHeight="false" outlineLevel="0" collapsed="false">
      <c r="A1901" s="31" t="str">
        <f aca="false">Demand_History!C1901</f>
        <v>BTH-009</v>
      </c>
      <c r="B1901" s="31" t="n">
        <f aca="false">Demand_History!A1901</f>
        <v>28</v>
      </c>
      <c r="C1901" s="32" t="n">
        <f aca="false">Demand_History!D1901</f>
        <v>48</v>
      </c>
      <c r="D1901" s="33" t="n">
        <f aca="false">IF(B1901&gt;=2,C1900,"")</f>
        <v>33</v>
      </c>
      <c r="E1901" s="33" t="n">
        <f aca="false">IF(B1901&gt;=5,AVERAGE(C1897:C1900),"")</f>
        <v>37.5</v>
      </c>
      <c r="F1901" s="33" t="n">
        <f aca="false">IF(B1901&gt;=9,AVERAGE(C1893:C1900),"")</f>
        <v>37</v>
      </c>
      <c r="G1901" s="33" t="n">
        <f aca="false">IF(B1901=1,"",IF(B1901=2,C1900,SES_Alpha*C1900+(1-SES_Alpha)*G1900))</f>
        <v>36.1011873168934</v>
      </c>
      <c r="H1901" s="33" t="n">
        <f aca="false">IF(D1901="","",D1901-C1901)</f>
        <v>-15</v>
      </c>
      <c r="I1901" s="33" t="n">
        <f aca="false">IF(E1901="","",E1901-C1901)</f>
        <v>-10.5</v>
      </c>
      <c r="J1901" s="33" t="n">
        <f aca="false">IF(F1901="","",F1901-C1901)</f>
        <v>-11</v>
      </c>
      <c r="K1901" s="33" t="n">
        <f aca="false">IF(G1901="","",G1901-C1901)</f>
        <v>-11.8988126831066</v>
      </c>
      <c r="L1901" s="33" t="n">
        <f aca="false">IF(H1901="","",ABS(H1901))</f>
        <v>15</v>
      </c>
      <c r="M1901" s="33" t="n">
        <f aca="false">IF(I1901="","",ABS(I1901))</f>
        <v>10.5</v>
      </c>
      <c r="N1901" s="33" t="n">
        <f aca="false">IF(J1901="","",ABS(J1901))</f>
        <v>11</v>
      </c>
      <c r="O1901" s="33" t="n">
        <f aca="false">IF(K1901="","",ABS(K1901))</f>
        <v>11.8988126831066</v>
      </c>
      <c r="P1901" s="34" t="str">
        <f aca="false">IF(B1901&gt;=Eval_Start_Week,"YES","")</f>
        <v/>
      </c>
      <c r="Q1901" s="34" t="str">
        <f aca="false">IF(AND(B1901&gt;=Cal_Start_Week,B1901&lt;=Cal_End_Week),"YES","")</f>
        <v/>
      </c>
    </row>
    <row r="1902" customFormat="false" ht="15" hidden="false" customHeight="false" outlineLevel="0" collapsed="false">
      <c r="A1902" s="31" t="str">
        <f aca="false">Demand_History!C1902</f>
        <v>BTH-009</v>
      </c>
      <c r="B1902" s="31" t="n">
        <f aca="false">Demand_History!A1902</f>
        <v>29</v>
      </c>
      <c r="C1902" s="32" t="n">
        <f aca="false">Demand_History!D1902</f>
        <v>35</v>
      </c>
      <c r="D1902" s="33" t="n">
        <f aca="false">IF(B1902&gt;=2,C1901,"")</f>
        <v>48</v>
      </c>
      <c r="E1902" s="33" t="n">
        <f aca="false">IF(B1902&gt;=5,AVERAGE(C1898:C1901),"")</f>
        <v>38.75</v>
      </c>
      <c r="F1902" s="33" t="n">
        <f aca="false">IF(B1902&gt;=9,AVERAGE(C1894:C1901),"")</f>
        <v>39.25</v>
      </c>
      <c r="G1902" s="33" t="n">
        <f aca="false">IF(B1902=1,"",IF(B1902=2,C1901,SES_Alpha*C1901+(1-SES_Alpha)*G1901))</f>
        <v>39.6708311218254</v>
      </c>
      <c r="H1902" s="33" t="n">
        <f aca="false">IF(D1902="","",D1902-C1902)</f>
        <v>13</v>
      </c>
      <c r="I1902" s="33" t="n">
        <f aca="false">IF(E1902="","",E1902-C1902)</f>
        <v>3.75</v>
      </c>
      <c r="J1902" s="33" t="n">
        <f aca="false">IF(F1902="","",F1902-C1902)</f>
        <v>4.25</v>
      </c>
      <c r="K1902" s="33" t="n">
        <f aca="false">IF(G1902="","",G1902-C1902)</f>
        <v>4.67083112182536</v>
      </c>
      <c r="L1902" s="33" t="n">
        <f aca="false">IF(H1902="","",ABS(H1902))</f>
        <v>13</v>
      </c>
      <c r="M1902" s="33" t="n">
        <f aca="false">IF(I1902="","",ABS(I1902))</f>
        <v>3.75</v>
      </c>
      <c r="N1902" s="33" t="n">
        <f aca="false">IF(J1902="","",ABS(J1902))</f>
        <v>4.25</v>
      </c>
      <c r="O1902" s="33" t="n">
        <f aca="false">IF(K1902="","",ABS(K1902))</f>
        <v>4.67083112182536</v>
      </c>
      <c r="P1902" s="34" t="str">
        <f aca="false">IF(B1902&gt;=Eval_Start_Week,"YES","")</f>
        <v/>
      </c>
      <c r="Q1902" s="34" t="str">
        <f aca="false">IF(AND(B1902&gt;=Cal_Start_Week,B1902&lt;=Cal_End_Week),"YES","")</f>
        <v/>
      </c>
    </row>
    <row r="1903" customFormat="false" ht="15" hidden="false" customHeight="false" outlineLevel="0" collapsed="false">
      <c r="A1903" s="31" t="str">
        <f aca="false">Demand_History!C1903</f>
        <v>BTH-009</v>
      </c>
      <c r="B1903" s="31" t="n">
        <f aca="false">Demand_History!A1903</f>
        <v>30</v>
      </c>
      <c r="C1903" s="32" t="n">
        <f aca="false">Demand_History!D1903</f>
        <v>29</v>
      </c>
      <c r="D1903" s="33" t="n">
        <f aca="false">IF(B1903&gt;=2,C1902,"")</f>
        <v>35</v>
      </c>
      <c r="E1903" s="33" t="n">
        <f aca="false">IF(B1903&gt;=5,AVERAGE(C1899:C1902),"")</f>
        <v>37.75</v>
      </c>
      <c r="F1903" s="33" t="n">
        <f aca="false">IF(B1903&gt;=9,AVERAGE(C1895:C1902),"")</f>
        <v>37.875</v>
      </c>
      <c r="G1903" s="33" t="n">
        <f aca="false">IF(B1903=1,"",IF(B1903=2,C1902,SES_Alpha*C1902+(1-SES_Alpha)*G1902))</f>
        <v>38.2695817852778</v>
      </c>
      <c r="H1903" s="33" t="n">
        <f aca="false">IF(D1903="","",D1903-C1903)</f>
        <v>6</v>
      </c>
      <c r="I1903" s="33" t="n">
        <f aca="false">IF(E1903="","",E1903-C1903)</f>
        <v>8.75</v>
      </c>
      <c r="J1903" s="33" t="n">
        <f aca="false">IF(F1903="","",F1903-C1903)</f>
        <v>8.875</v>
      </c>
      <c r="K1903" s="33" t="n">
        <f aca="false">IF(G1903="","",G1903-C1903)</f>
        <v>9.26958178527775</v>
      </c>
      <c r="L1903" s="33" t="n">
        <f aca="false">IF(H1903="","",ABS(H1903))</f>
        <v>6</v>
      </c>
      <c r="M1903" s="33" t="n">
        <f aca="false">IF(I1903="","",ABS(I1903))</f>
        <v>8.75</v>
      </c>
      <c r="N1903" s="33" t="n">
        <f aca="false">IF(J1903="","",ABS(J1903))</f>
        <v>8.875</v>
      </c>
      <c r="O1903" s="33" t="n">
        <f aca="false">IF(K1903="","",ABS(K1903))</f>
        <v>9.26958178527775</v>
      </c>
      <c r="P1903" s="34" t="str">
        <f aca="false">IF(B1903&gt;=Eval_Start_Week,"YES","")</f>
        <v/>
      </c>
      <c r="Q1903" s="34" t="str">
        <f aca="false">IF(AND(B1903&gt;=Cal_Start_Week,B1903&lt;=Cal_End_Week),"YES","")</f>
        <v/>
      </c>
    </row>
    <row r="1904" customFormat="false" ht="15" hidden="false" customHeight="false" outlineLevel="0" collapsed="false">
      <c r="A1904" s="31" t="str">
        <f aca="false">Demand_History!C1904</f>
        <v>BTH-009</v>
      </c>
      <c r="B1904" s="31" t="n">
        <f aca="false">Demand_History!A1904</f>
        <v>31</v>
      </c>
      <c r="C1904" s="32" t="n">
        <f aca="false">Demand_History!D1904</f>
        <v>21</v>
      </c>
      <c r="D1904" s="33" t="n">
        <f aca="false">IF(B1904&gt;=2,C1903,"")</f>
        <v>29</v>
      </c>
      <c r="E1904" s="33" t="n">
        <f aca="false">IF(B1904&gt;=5,AVERAGE(C1900:C1903),"")</f>
        <v>36.25</v>
      </c>
      <c r="F1904" s="33" t="n">
        <f aca="false">IF(B1904&gt;=9,AVERAGE(C1896:C1903),"")</f>
        <v>37</v>
      </c>
      <c r="G1904" s="33" t="n">
        <f aca="false">IF(B1904=1,"",IF(B1904=2,C1903,SES_Alpha*C1903+(1-SES_Alpha)*G1903))</f>
        <v>35.4887072496944</v>
      </c>
      <c r="H1904" s="33" t="n">
        <f aca="false">IF(D1904="","",D1904-C1904)</f>
        <v>8</v>
      </c>
      <c r="I1904" s="33" t="n">
        <f aca="false">IF(E1904="","",E1904-C1904)</f>
        <v>15.25</v>
      </c>
      <c r="J1904" s="33" t="n">
        <f aca="false">IF(F1904="","",F1904-C1904)</f>
        <v>16</v>
      </c>
      <c r="K1904" s="33" t="n">
        <f aca="false">IF(G1904="","",G1904-C1904)</f>
        <v>14.4887072496944</v>
      </c>
      <c r="L1904" s="33" t="n">
        <f aca="false">IF(H1904="","",ABS(H1904))</f>
        <v>8</v>
      </c>
      <c r="M1904" s="33" t="n">
        <f aca="false">IF(I1904="","",ABS(I1904))</f>
        <v>15.25</v>
      </c>
      <c r="N1904" s="33" t="n">
        <f aca="false">IF(J1904="","",ABS(J1904))</f>
        <v>16</v>
      </c>
      <c r="O1904" s="33" t="n">
        <f aca="false">IF(K1904="","",ABS(K1904))</f>
        <v>14.4887072496944</v>
      </c>
      <c r="P1904" s="34" t="str">
        <f aca="false">IF(B1904&gt;=Eval_Start_Week,"YES","")</f>
        <v/>
      </c>
      <c r="Q1904" s="34" t="str">
        <f aca="false">IF(AND(B1904&gt;=Cal_Start_Week,B1904&lt;=Cal_End_Week),"YES","")</f>
        <v/>
      </c>
    </row>
    <row r="1905" customFormat="false" ht="15" hidden="false" customHeight="false" outlineLevel="0" collapsed="false">
      <c r="A1905" s="31" t="str">
        <f aca="false">Demand_History!C1905</f>
        <v>BTH-009</v>
      </c>
      <c r="B1905" s="31" t="n">
        <f aca="false">Demand_History!A1905</f>
        <v>32</v>
      </c>
      <c r="C1905" s="32" t="n">
        <f aca="false">Demand_History!D1905</f>
        <v>26</v>
      </c>
      <c r="D1905" s="33" t="n">
        <f aca="false">IF(B1905&gt;=2,C1904,"")</f>
        <v>21</v>
      </c>
      <c r="E1905" s="33" t="n">
        <f aca="false">IF(B1905&gt;=5,AVERAGE(C1901:C1904),"")</f>
        <v>33.25</v>
      </c>
      <c r="F1905" s="33" t="n">
        <f aca="false">IF(B1905&gt;=9,AVERAGE(C1897:C1904),"")</f>
        <v>35.375</v>
      </c>
      <c r="G1905" s="33" t="n">
        <f aca="false">IF(B1905=1,"",IF(B1905=2,C1904,SES_Alpha*C1904+(1-SES_Alpha)*G1904))</f>
        <v>31.1420950747861</v>
      </c>
      <c r="H1905" s="33" t="n">
        <f aca="false">IF(D1905="","",D1905-C1905)</f>
        <v>-5</v>
      </c>
      <c r="I1905" s="33" t="n">
        <f aca="false">IF(E1905="","",E1905-C1905)</f>
        <v>7.25</v>
      </c>
      <c r="J1905" s="33" t="n">
        <f aca="false">IF(F1905="","",F1905-C1905)</f>
        <v>9.375</v>
      </c>
      <c r="K1905" s="33" t="n">
        <f aca="false">IF(G1905="","",G1905-C1905)</f>
        <v>5.1420950747861</v>
      </c>
      <c r="L1905" s="33" t="n">
        <f aca="false">IF(H1905="","",ABS(H1905))</f>
        <v>5</v>
      </c>
      <c r="M1905" s="33" t="n">
        <f aca="false">IF(I1905="","",ABS(I1905))</f>
        <v>7.25</v>
      </c>
      <c r="N1905" s="33" t="n">
        <f aca="false">IF(J1905="","",ABS(J1905))</f>
        <v>9.375</v>
      </c>
      <c r="O1905" s="33" t="n">
        <f aca="false">IF(K1905="","",ABS(K1905))</f>
        <v>5.1420950747861</v>
      </c>
      <c r="P1905" s="34" t="str">
        <f aca="false">IF(B1905&gt;=Eval_Start_Week,"YES","")</f>
        <v/>
      </c>
      <c r="Q1905" s="34" t="str">
        <f aca="false">IF(AND(B1905&gt;=Cal_Start_Week,B1905&lt;=Cal_End_Week),"YES","")</f>
        <v/>
      </c>
    </row>
    <row r="1906" customFormat="false" ht="15" hidden="false" customHeight="false" outlineLevel="0" collapsed="false">
      <c r="A1906" s="31" t="str">
        <f aca="false">Demand_History!C1906</f>
        <v>BTH-009</v>
      </c>
      <c r="B1906" s="31" t="n">
        <f aca="false">Demand_History!A1906</f>
        <v>33</v>
      </c>
      <c r="C1906" s="32" t="n">
        <f aca="false">Demand_History!D1906</f>
        <v>19</v>
      </c>
      <c r="D1906" s="33" t="n">
        <f aca="false">IF(B1906&gt;=2,C1905,"")</f>
        <v>26</v>
      </c>
      <c r="E1906" s="33" t="n">
        <f aca="false">IF(B1906&gt;=5,AVERAGE(C1902:C1905),"")</f>
        <v>27.75</v>
      </c>
      <c r="F1906" s="33" t="n">
        <f aca="false">IF(B1906&gt;=9,AVERAGE(C1898:C1905),"")</f>
        <v>33.25</v>
      </c>
      <c r="G1906" s="33" t="n">
        <f aca="false">IF(B1906=1,"",IF(B1906=2,C1905,SES_Alpha*C1905+(1-SES_Alpha)*G1905))</f>
        <v>29.5994665523503</v>
      </c>
      <c r="H1906" s="33" t="n">
        <f aca="false">IF(D1906="","",D1906-C1906)</f>
        <v>7</v>
      </c>
      <c r="I1906" s="33" t="n">
        <f aca="false">IF(E1906="","",E1906-C1906)</f>
        <v>8.75</v>
      </c>
      <c r="J1906" s="33" t="n">
        <f aca="false">IF(F1906="","",F1906-C1906)</f>
        <v>14.25</v>
      </c>
      <c r="K1906" s="33" t="n">
        <f aca="false">IF(G1906="","",G1906-C1906)</f>
        <v>10.5994665523503</v>
      </c>
      <c r="L1906" s="33" t="n">
        <f aca="false">IF(H1906="","",ABS(H1906))</f>
        <v>7</v>
      </c>
      <c r="M1906" s="33" t="n">
        <f aca="false">IF(I1906="","",ABS(I1906))</f>
        <v>8.75</v>
      </c>
      <c r="N1906" s="33" t="n">
        <f aca="false">IF(J1906="","",ABS(J1906))</f>
        <v>14.25</v>
      </c>
      <c r="O1906" s="33" t="n">
        <f aca="false">IF(K1906="","",ABS(K1906))</f>
        <v>10.5994665523503</v>
      </c>
      <c r="P1906" s="34" t="str">
        <f aca="false">IF(B1906&gt;=Eval_Start_Week,"YES","")</f>
        <v/>
      </c>
      <c r="Q1906" s="34" t="str">
        <f aca="false">IF(AND(B1906&gt;=Cal_Start_Week,B1906&lt;=Cal_End_Week),"YES","")</f>
        <v/>
      </c>
    </row>
    <row r="1907" customFormat="false" ht="15" hidden="false" customHeight="false" outlineLevel="0" collapsed="false">
      <c r="A1907" s="31" t="str">
        <f aca="false">Demand_History!C1907</f>
        <v>BTH-009</v>
      </c>
      <c r="B1907" s="31" t="n">
        <f aca="false">Demand_History!A1907</f>
        <v>34</v>
      </c>
      <c r="C1907" s="32" t="n">
        <f aca="false">Demand_History!D1907</f>
        <v>31</v>
      </c>
      <c r="D1907" s="33" t="n">
        <f aca="false">IF(B1907&gt;=2,C1906,"")</f>
        <v>19</v>
      </c>
      <c r="E1907" s="33" t="n">
        <f aca="false">IF(B1907&gt;=5,AVERAGE(C1903:C1906),"")</f>
        <v>23.75</v>
      </c>
      <c r="F1907" s="33" t="n">
        <f aca="false">IF(B1907&gt;=9,AVERAGE(C1899:C1906),"")</f>
        <v>30.75</v>
      </c>
      <c r="G1907" s="33" t="n">
        <f aca="false">IF(B1907=1,"",IF(B1907=2,C1906,SES_Alpha*C1906+(1-SES_Alpha)*G1906))</f>
        <v>26.4196265866452</v>
      </c>
      <c r="H1907" s="33" t="n">
        <f aca="false">IF(D1907="","",D1907-C1907)</f>
        <v>-12</v>
      </c>
      <c r="I1907" s="33" t="n">
        <f aca="false">IF(E1907="","",E1907-C1907)</f>
        <v>-7.25</v>
      </c>
      <c r="J1907" s="33" t="n">
        <f aca="false">IF(F1907="","",F1907-C1907)</f>
        <v>-0.25</v>
      </c>
      <c r="K1907" s="33" t="n">
        <f aca="false">IF(G1907="","",G1907-C1907)</f>
        <v>-4.58037341335481</v>
      </c>
      <c r="L1907" s="33" t="n">
        <f aca="false">IF(H1907="","",ABS(H1907))</f>
        <v>12</v>
      </c>
      <c r="M1907" s="33" t="n">
        <f aca="false">IF(I1907="","",ABS(I1907))</f>
        <v>7.25</v>
      </c>
      <c r="N1907" s="33" t="n">
        <f aca="false">IF(J1907="","",ABS(J1907))</f>
        <v>0.25</v>
      </c>
      <c r="O1907" s="33" t="n">
        <f aca="false">IF(K1907="","",ABS(K1907))</f>
        <v>4.58037341335481</v>
      </c>
      <c r="P1907" s="34" t="str">
        <f aca="false">IF(B1907&gt;=Eval_Start_Week,"YES","")</f>
        <v/>
      </c>
      <c r="Q1907" s="34" t="str">
        <f aca="false">IF(AND(B1907&gt;=Cal_Start_Week,B1907&lt;=Cal_End_Week),"YES","")</f>
        <v/>
      </c>
    </row>
    <row r="1908" customFormat="false" ht="15" hidden="false" customHeight="false" outlineLevel="0" collapsed="false">
      <c r="A1908" s="31" t="str">
        <f aca="false">Demand_History!C1908</f>
        <v>BTH-009</v>
      </c>
      <c r="B1908" s="31" t="n">
        <f aca="false">Demand_History!A1908</f>
        <v>35</v>
      </c>
      <c r="C1908" s="32" t="n">
        <f aca="false">Demand_History!D1908</f>
        <v>33</v>
      </c>
      <c r="D1908" s="33" t="n">
        <f aca="false">IF(B1908&gt;=2,C1907,"")</f>
        <v>31</v>
      </c>
      <c r="E1908" s="33" t="n">
        <f aca="false">IF(B1908&gt;=5,AVERAGE(C1904:C1907),"")</f>
        <v>24.25</v>
      </c>
      <c r="F1908" s="33" t="n">
        <f aca="false">IF(B1908&gt;=9,AVERAGE(C1900:C1907),"")</f>
        <v>30.25</v>
      </c>
      <c r="G1908" s="33" t="n">
        <f aca="false">IF(B1908=1,"",IF(B1908=2,C1907,SES_Alpha*C1907+(1-SES_Alpha)*G1907))</f>
        <v>27.7937386106516</v>
      </c>
      <c r="H1908" s="33" t="n">
        <f aca="false">IF(D1908="","",D1908-C1908)</f>
        <v>-2</v>
      </c>
      <c r="I1908" s="33" t="n">
        <f aca="false">IF(E1908="","",E1908-C1908)</f>
        <v>-8.75</v>
      </c>
      <c r="J1908" s="33" t="n">
        <f aca="false">IF(F1908="","",F1908-C1908)</f>
        <v>-2.75</v>
      </c>
      <c r="K1908" s="33" t="n">
        <f aca="false">IF(G1908="","",G1908-C1908)</f>
        <v>-5.20626138934837</v>
      </c>
      <c r="L1908" s="33" t="n">
        <f aca="false">IF(H1908="","",ABS(H1908))</f>
        <v>2</v>
      </c>
      <c r="M1908" s="33" t="n">
        <f aca="false">IF(I1908="","",ABS(I1908))</f>
        <v>8.75</v>
      </c>
      <c r="N1908" s="33" t="n">
        <f aca="false">IF(J1908="","",ABS(J1908))</f>
        <v>2.75</v>
      </c>
      <c r="O1908" s="33" t="n">
        <f aca="false">IF(K1908="","",ABS(K1908))</f>
        <v>5.20626138934837</v>
      </c>
      <c r="P1908" s="34" t="str">
        <f aca="false">IF(B1908&gt;=Eval_Start_Week,"YES","")</f>
        <v/>
      </c>
      <c r="Q1908" s="34" t="str">
        <f aca="false">IF(AND(B1908&gt;=Cal_Start_Week,B1908&lt;=Cal_End_Week),"YES","")</f>
        <v/>
      </c>
    </row>
    <row r="1909" customFormat="false" ht="15" hidden="false" customHeight="false" outlineLevel="0" collapsed="false">
      <c r="A1909" s="31" t="str">
        <f aca="false">Demand_History!C1909</f>
        <v>BTH-009</v>
      </c>
      <c r="B1909" s="31" t="n">
        <f aca="false">Demand_History!A1909</f>
        <v>36</v>
      </c>
      <c r="C1909" s="32" t="n">
        <f aca="false">Demand_History!D1909</f>
        <v>9</v>
      </c>
      <c r="D1909" s="33" t="n">
        <f aca="false">IF(B1909&gt;=2,C1908,"")</f>
        <v>33</v>
      </c>
      <c r="E1909" s="33" t="n">
        <f aca="false">IF(B1909&gt;=5,AVERAGE(C1905:C1908),"")</f>
        <v>27.25</v>
      </c>
      <c r="F1909" s="33" t="n">
        <f aca="false">IF(B1909&gt;=9,AVERAGE(C1901:C1908),"")</f>
        <v>30.25</v>
      </c>
      <c r="G1909" s="33" t="n">
        <f aca="false">IF(B1909=1,"",IF(B1909=2,C1908,SES_Alpha*C1908+(1-SES_Alpha)*G1908))</f>
        <v>29.3556170274561</v>
      </c>
      <c r="H1909" s="33" t="n">
        <f aca="false">IF(D1909="","",D1909-C1909)</f>
        <v>24</v>
      </c>
      <c r="I1909" s="33" t="n">
        <f aca="false">IF(E1909="","",E1909-C1909)</f>
        <v>18.25</v>
      </c>
      <c r="J1909" s="33" t="n">
        <f aca="false">IF(F1909="","",F1909-C1909)</f>
        <v>21.25</v>
      </c>
      <c r="K1909" s="33" t="n">
        <f aca="false">IF(G1909="","",G1909-C1909)</f>
        <v>20.3556170274561</v>
      </c>
      <c r="L1909" s="33" t="n">
        <f aca="false">IF(H1909="","",ABS(H1909))</f>
        <v>24</v>
      </c>
      <c r="M1909" s="33" t="n">
        <f aca="false">IF(I1909="","",ABS(I1909))</f>
        <v>18.25</v>
      </c>
      <c r="N1909" s="33" t="n">
        <f aca="false">IF(J1909="","",ABS(J1909))</f>
        <v>21.25</v>
      </c>
      <c r="O1909" s="33" t="n">
        <f aca="false">IF(K1909="","",ABS(K1909))</f>
        <v>20.3556170274561</v>
      </c>
      <c r="P1909" s="34" t="str">
        <f aca="false">IF(B1909&gt;=Eval_Start_Week,"YES","")</f>
        <v/>
      </c>
      <c r="Q1909" s="34" t="str">
        <f aca="false">IF(AND(B1909&gt;=Cal_Start_Week,B1909&lt;=Cal_End_Week),"YES","")</f>
        <v/>
      </c>
    </row>
    <row r="1910" customFormat="false" ht="15" hidden="false" customHeight="false" outlineLevel="0" collapsed="false">
      <c r="A1910" s="31" t="str">
        <f aca="false">Demand_History!C1910</f>
        <v>BTH-009</v>
      </c>
      <c r="B1910" s="31" t="n">
        <f aca="false">Demand_History!A1910</f>
        <v>37</v>
      </c>
      <c r="C1910" s="32" t="n">
        <f aca="false">Demand_History!D1910</f>
        <v>30</v>
      </c>
      <c r="D1910" s="33" t="n">
        <f aca="false">IF(B1910&gt;=2,C1909,"")</f>
        <v>9</v>
      </c>
      <c r="E1910" s="33" t="n">
        <f aca="false">IF(B1910&gt;=5,AVERAGE(C1906:C1909),"")</f>
        <v>23</v>
      </c>
      <c r="F1910" s="33" t="n">
        <f aca="false">IF(B1910&gt;=9,AVERAGE(C1902:C1909),"")</f>
        <v>25.375</v>
      </c>
      <c r="G1910" s="33" t="n">
        <f aca="false">IF(B1910=1,"",IF(B1910=2,C1909,SES_Alpha*C1909+(1-SES_Alpha)*G1909))</f>
        <v>23.2489319192193</v>
      </c>
      <c r="H1910" s="33" t="n">
        <f aca="false">IF(D1910="","",D1910-C1910)</f>
        <v>-21</v>
      </c>
      <c r="I1910" s="33" t="n">
        <f aca="false">IF(E1910="","",E1910-C1910)</f>
        <v>-7</v>
      </c>
      <c r="J1910" s="33" t="n">
        <f aca="false">IF(F1910="","",F1910-C1910)</f>
        <v>-4.625</v>
      </c>
      <c r="K1910" s="33" t="n">
        <f aca="false">IF(G1910="","",G1910-C1910)</f>
        <v>-6.75106808078071</v>
      </c>
      <c r="L1910" s="33" t="n">
        <f aca="false">IF(H1910="","",ABS(H1910))</f>
        <v>21</v>
      </c>
      <c r="M1910" s="33" t="n">
        <f aca="false">IF(I1910="","",ABS(I1910))</f>
        <v>7</v>
      </c>
      <c r="N1910" s="33" t="n">
        <f aca="false">IF(J1910="","",ABS(J1910))</f>
        <v>4.625</v>
      </c>
      <c r="O1910" s="33" t="n">
        <f aca="false">IF(K1910="","",ABS(K1910))</f>
        <v>6.75106808078071</v>
      </c>
      <c r="P1910" s="34" t="str">
        <f aca="false">IF(B1910&gt;=Eval_Start_Week,"YES","")</f>
        <v/>
      </c>
      <c r="Q1910" s="34" t="str">
        <f aca="false">IF(AND(B1910&gt;=Cal_Start_Week,B1910&lt;=Cal_End_Week),"YES","")</f>
        <v>YES</v>
      </c>
    </row>
    <row r="1911" customFormat="false" ht="15" hidden="false" customHeight="false" outlineLevel="0" collapsed="false">
      <c r="A1911" s="31" t="str">
        <f aca="false">Demand_History!C1911</f>
        <v>BTH-009</v>
      </c>
      <c r="B1911" s="31" t="n">
        <f aca="false">Demand_History!A1911</f>
        <v>38</v>
      </c>
      <c r="C1911" s="32" t="n">
        <f aca="false">Demand_History!D1911</f>
        <v>37</v>
      </c>
      <c r="D1911" s="33" t="n">
        <f aca="false">IF(B1911&gt;=2,C1910,"")</f>
        <v>30</v>
      </c>
      <c r="E1911" s="33" t="n">
        <f aca="false">IF(B1911&gt;=5,AVERAGE(C1907:C1910),"")</f>
        <v>25.75</v>
      </c>
      <c r="F1911" s="33" t="n">
        <f aca="false">IF(B1911&gt;=9,AVERAGE(C1903:C1910),"")</f>
        <v>24.75</v>
      </c>
      <c r="G1911" s="33" t="n">
        <f aca="false">IF(B1911=1,"",IF(B1911=2,C1910,SES_Alpha*C1910+(1-SES_Alpha)*G1910))</f>
        <v>25.2742523434535</v>
      </c>
      <c r="H1911" s="33" t="n">
        <f aca="false">IF(D1911="","",D1911-C1911)</f>
        <v>-7</v>
      </c>
      <c r="I1911" s="33" t="n">
        <f aca="false">IF(E1911="","",E1911-C1911)</f>
        <v>-11.25</v>
      </c>
      <c r="J1911" s="33" t="n">
        <f aca="false">IF(F1911="","",F1911-C1911)</f>
        <v>-12.25</v>
      </c>
      <c r="K1911" s="33" t="n">
        <f aca="false">IF(G1911="","",G1911-C1911)</f>
        <v>-11.7257476565465</v>
      </c>
      <c r="L1911" s="33" t="n">
        <f aca="false">IF(H1911="","",ABS(H1911))</f>
        <v>7</v>
      </c>
      <c r="M1911" s="33" t="n">
        <f aca="false">IF(I1911="","",ABS(I1911))</f>
        <v>11.25</v>
      </c>
      <c r="N1911" s="33" t="n">
        <f aca="false">IF(J1911="","",ABS(J1911))</f>
        <v>12.25</v>
      </c>
      <c r="O1911" s="33" t="n">
        <f aca="false">IF(K1911="","",ABS(K1911))</f>
        <v>11.7257476565465</v>
      </c>
      <c r="P1911" s="34" t="str">
        <f aca="false">IF(B1911&gt;=Eval_Start_Week,"YES","")</f>
        <v/>
      </c>
      <c r="Q1911" s="34" t="str">
        <f aca="false">IF(AND(B1911&gt;=Cal_Start_Week,B1911&lt;=Cal_End_Week),"YES","")</f>
        <v>YES</v>
      </c>
    </row>
    <row r="1912" customFormat="false" ht="15" hidden="false" customHeight="false" outlineLevel="0" collapsed="false">
      <c r="A1912" s="31" t="str">
        <f aca="false">Demand_History!C1912</f>
        <v>BTH-009</v>
      </c>
      <c r="B1912" s="31" t="n">
        <f aca="false">Demand_History!A1912</f>
        <v>39</v>
      </c>
      <c r="C1912" s="32" t="n">
        <f aca="false">Demand_History!D1912</f>
        <v>32</v>
      </c>
      <c r="D1912" s="33" t="n">
        <f aca="false">IF(B1912&gt;=2,C1911,"")</f>
        <v>37</v>
      </c>
      <c r="E1912" s="33" t="n">
        <f aca="false">IF(B1912&gt;=5,AVERAGE(C1908:C1911),"")</f>
        <v>27.25</v>
      </c>
      <c r="F1912" s="33" t="n">
        <f aca="false">IF(B1912&gt;=9,AVERAGE(C1904:C1911),"")</f>
        <v>25.75</v>
      </c>
      <c r="G1912" s="33" t="n">
        <f aca="false">IF(B1912=1,"",IF(B1912=2,C1911,SES_Alpha*C1911+(1-SES_Alpha)*G1911))</f>
        <v>28.7919766404175</v>
      </c>
      <c r="H1912" s="33" t="n">
        <f aca="false">IF(D1912="","",D1912-C1912)</f>
        <v>5</v>
      </c>
      <c r="I1912" s="33" t="n">
        <f aca="false">IF(E1912="","",E1912-C1912)</f>
        <v>-4.75</v>
      </c>
      <c r="J1912" s="33" t="n">
        <f aca="false">IF(F1912="","",F1912-C1912)</f>
        <v>-6.25</v>
      </c>
      <c r="K1912" s="33" t="n">
        <f aca="false">IF(G1912="","",G1912-C1912)</f>
        <v>-3.20802335958255</v>
      </c>
      <c r="L1912" s="33" t="n">
        <f aca="false">IF(H1912="","",ABS(H1912))</f>
        <v>5</v>
      </c>
      <c r="M1912" s="33" t="n">
        <f aca="false">IF(I1912="","",ABS(I1912))</f>
        <v>4.75</v>
      </c>
      <c r="N1912" s="33" t="n">
        <f aca="false">IF(J1912="","",ABS(J1912))</f>
        <v>6.25</v>
      </c>
      <c r="O1912" s="33" t="n">
        <f aca="false">IF(K1912="","",ABS(K1912))</f>
        <v>3.20802335958255</v>
      </c>
      <c r="P1912" s="34" t="str">
        <f aca="false">IF(B1912&gt;=Eval_Start_Week,"YES","")</f>
        <v/>
      </c>
      <c r="Q1912" s="34" t="str">
        <f aca="false">IF(AND(B1912&gt;=Cal_Start_Week,B1912&lt;=Cal_End_Week),"YES","")</f>
        <v>YES</v>
      </c>
    </row>
    <row r="1913" customFormat="false" ht="15" hidden="false" customHeight="false" outlineLevel="0" collapsed="false">
      <c r="A1913" s="31" t="str">
        <f aca="false">Demand_History!C1913</f>
        <v>BTH-009</v>
      </c>
      <c r="B1913" s="31" t="n">
        <f aca="false">Demand_History!A1913</f>
        <v>40</v>
      </c>
      <c r="C1913" s="32" t="n">
        <f aca="false">Demand_History!D1913</f>
        <v>20</v>
      </c>
      <c r="D1913" s="33" t="n">
        <f aca="false">IF(B1913&gt;=2,C1912,"")</f>
        <v>32</v>
      </c>
      <c r="E1913" s="33" t="n">
        <f aca="false">IF(B1913&gt;=5,AVERAGE(C1909:C1912),"")</f>
        <v>27</v>
      </c>
      <c r="F1913" s="33" t="n">
        <f aca="false">IF(B1913&gt;=9,AVERAGE(C1905:C1912),"")</f>
        <v>27.125</v>
      </c>
      <c r="G1913" s="33" t="n">
        <f aca="false">IF(B1913=1,"",IF(B1913=2,C1912,SES_Alpha*C1912+(1-SES_Alpha)*G1912))</f>
        <v>29.7543836482922</v>
      </c>
      <c r="H1913" s="33" t="n">
        <f aca="false">IF(D1913="","",D1913-C1913)</f>
        <v>12</v>
      </c>
      <c r="I1913" s="33" t="n">
        <f aca="false">IF(E1913="","",E1913-C1913)</f>
        <v>7</v>
      </c>
      <c r="J1913" s="33" t="n">
        <f aca="false">IF(F1913="","",F1913-C1913)</f>
        <v>7.125</v>
      </c>
      <c r="K1913" s="33" t="n">
        <f aca="false">IF(G1913="","",G1913-C1913)</f>
        <v>9.75438364829221</v>
      </c>
      <c r="L1913" s="33" t="n">
        <f aca="false">IF(H1913="","",ABS(H1913))</f>
        <v>12</v>
      </c>
      <c r="M1913" s="33" t="n">
        <f aca="false">IF(I1913="","",ABS(I1913))</f>
        <v>7</v>
      </c>
      <c r="N1913" s="33" t="n">
        <f aca="false">IF(J1913="","",ABS(J1913))</f>
        <v>7.125</v>
      </c>
      <c r="O1913" s="33" t="n">
        <f aca="false">IF(K1913="","",ABS(K1913))</f>
        <v>9.75438364829221</v>
      </c>
      <c r="P1913" s="34" t="str">
        <f aca="false">IF(B1913&gt;=Eval_Start_Week,"YES","")</f>
        <v/>
      </c>
      <c r="Q1913" s="34" t="str">
        <f aca="false">IF(AND(B1913&gt;=Cal_Start_Week,B1913&lt;=Cal_End_Week),"YES","")</f>
        <v>YES</v>
      </c>
    </row>
    <row r="1914" customFormat="false" ht="15" hidden="false" customHeight="false" outlineLevel="0" collapsed="false">
      <c r="A1914" s="31" t="str">
        <f aca="false">Demand_History!C1914</f>
        <v>BTH-009</v>
      </c>
      <c r="B1914" s="31" t="n">
        <f aca="false">Demand_History!A1914</f>
        <v>41</v>
      </c>
      <c r="C1914" s="32" t="n">
        <f aca="false">Demand_History!D1914</f>
        <v>43</v>
      </c>
      <c r="D1914" s="33" t="n">
        <f aca="false">IF(B1914&gt;=2,C1913,"")</f>
        <v>20</v>
      </c>
      <c r="E1914" s="33" t="n">
        <f aca="false">IF(B1914&gt;=5,AVERAGE(C1910:C1913),"")</f>
        <v>29.75</v>
      </c>
      <c r="F1914" s="33" t="n">
        <f aca="false">IF(B1914&gt;=9,AVERAGE(C1906:C1913),"")</f>
        <v>26.375</v>
      </c>
      <c r="G1914" s="33" t="n">
        <f aca="false">IF(B1914=1,"",IF(B1914=2,C1913,SES_Alpha*C1913+(1-SES_Alpha)*G1913))</f>
        <v>26.8280685538045</v>
      </c>
      <c r="H1914" s="33" t="n">
        <f aca="false">IF(D1914="","",D1914-C1914)</f>
        <v>-23</v>
      </c>
      <c r="I1914" s="33" t="n">
        <f aca="false">IF(E1914="","",E1914-C1914)</f>
        <v>-13.25</v>
      </c>
      <c r="J1914" s="33" t="n">
        <f aca="false">IF(F1914="","",F1914-C1914)</f>
        <v>-16.625</v>
      </c>
      <c r="K1914" s="33" t="n">
        <f aca="false">IF(G1914="","",G1914-C1914)</f>
        <v>-16.1719314461955</v>
      </c>
      <c r="L1914" s="33" t="n">
        <f aca="false">IF(H1914="","",ABS(H1914))</f>
        <v>23</v>
      </c>
      <c r="M1914" s="33" t="n">
        <f aca="false">IF(I1914="","",ABS(I1914))</f>
        <v>13.25</v>
      </c>
      <c r="N1914" s="33" t="n">
        <f aca="false">IF(J1914="","",ABS(J1914))</f>
        <v>16.625</v>
      </c>
      <c r="O1914" s="33" t="n">
        <f aca="false">IF(K1914="","",ABS(K1914))</f>
        <v>16.1719314461955</v>
      </c>
      <c r="P1914" s="34" t="str">
        <f aca="false">IF(B1914&gt;=Eval_Start_Week,"YES","")</f>
        <v/>
      </c>
      <c r="Q1914" s="34" t="str">
        <f aca="false">IF(AND(B1914&gt;=Cal_Start_Week,B1914&lt;=Cal_End_Week),"YES","")</f>
        <v>YES</v>
      </c>
    </row>
    <row r="1915" customFormat="false" ht="15" hidden="false" customHeight="false" outlineLevel="0" collapsed="false">
      <c r="A1915" s="31" t="str">
        <f aca="false">Demand_History!C1915</f>
        <v>BTH-009</v>
      </c>
      <c r="B1915" s="31" t="n">
        <f aca="false">Demand_History!A1915</f>
        <v>42</v>
      </c>
      <c r="C1915" s="32" t="n">
        <f aca="false">Demand_History!D1915</f>
        <v>23</v>
      </c>
      <c r="D1915" s="33" t="n">
        <f aca="false">IF(B1915&gt;=2,C1914,"")</f>
        <v>43</v>
      </c>
      <c r="E1915" s="33" t="n">
        <f aca="false">IF(B1915&gt;=5,AVERAGE(C1911:C1914),"")</f>
        <v>33</v>
      </c>
      <c r="F1915" s="33" t="n">
        <f aca="false">IF(B1915&gt;=9,AVERAGE(C1907:C1914),"")</f>
        <v>29.375</v>
      </c>
      <c r="G1915" s="33" t="n">
        <f aca="false">IF(B1915=1,"",IF(B1915=2,C1914,SES_Alpha*C1914+(1-SES_Alpha)*G1914))</f>
        <v>31.6796479876632</v>
      </c>
      <c r="H1915" s="33" t="n">
        <f aca="false">IF(D1915="","",D1915-C1915)</f>
        <v>20</v>
      </c>
      <c r="I1915" s="33" t="n">
        <f aca="false">IF(E1915="","",E1915-C1915)</f>
        <v>10</v>
      </c>
      <c r="J1915" s="33" t="n">
        <f aca="false">IF(F1915="","",F1915-C1915)</f>
        <v>6.375</v>
      </c>
      <c r="K1915" s="33" t="n">
        <f aca="false">IF(G1915="","",G1915-C1915)</f>
        <v>8.67964798766318</v>
      </c>
      <c r="L1915" s="33" t="n">
        <f aca="false">IF(H1915="","",ABS(H1915))</f>
        <v>20</v>
      </c>
      <c r="M1915" s="33" t="n">
        <f aca="false">IF(I1915="","",ABS(I1915))</f>
        <v>10</v>
      </c>
      <c r="N1915" s="33" t="n">
        <f aca="false">IF(J1915="","",ABS(J1915))</f>
        <v>6.375</v>
      </c>
      <c r="O1915" s="33" t="n">
        <f aca="false">IF(K1915="","",ABS(K1915))</f>
        <v>8.67964798766318</v>
      </c>
      <c r="P1915" s="34" t="str">
        <f aca="false">IF(B1915&gt;=Eval_Start_Week,"YES","")</f>
        <v/>
      </c>
      <c r="Q1915" s="34" t="str">
        <f aca="false">IF(AND(B1915&gt;=Cal_Start_Week,B1915&lt;=Cal_End_Week),"YES","")</f>
        <v>YES</v>
      </c>
    </row>
    <row r="1916" customFormat="false" ht="15" hidden="false" customHeight="false" outlineLevel="0" collapsed="false">
      <c r="A1916" s="31" t="str">
        <f aca="false">Demand_History!C1916</f>
        <v>BTH-009</v>
      </c>
      <c r="B1916" s="31" t="n">
        <f aca="false">Demand_History!A1916</f>
        <v>43</v>
      </c>
      <c r="C1916" s="32" t="n">
        <f aca="false">Demand_History!D1916</f>
        <v>17</v>
      </c>
      <c r="D1916" s="33" t="n">
        <f aca="false">IF(B1916&gt;=2,C1915,"")</f>
        <v>23</v>
      </c>
      <c r="E1916" s="33" t="n">
        <f aca="false">IF(B1916&gt;=5,AVERAGE(C1912:C1915),"")</f>
        <v>29.5</v>
      </c>
      <c r="F1916" s="33" t="n">
        <f aca="false">IF(B1916&gt;=9,AVERAGE(C1908:C1915),"")</f>
        <v>28.375</v>
      </c>
      <c r="G1916" s="33" t="n">
        <f aca="false">IF(B1916=1,"",IF(B1916=2,C1915,SES_Alpha*C1915+(1-SES_Alpha)*G1915))</f>
        <v>29.0757535913642</v>
      </c>
      <c r="H1916" s="33" t="n">
        <f aca="false">IF(D1916="","",D1916-C1916)</f>
        <v>6</v>
      </c>
      <c r="I1916" s="33" t="n">
        <f aca="false">IF(E1916="","",E1916-C1916)</f>
        <v>12.5</v>
      </c>
      <c r="J1916" s="33" t="n">
        <f aca="false">IF(F1916="","",F1916-C1916)</f>
        <v>11.375</v>
      </c>
      <c r="K1916" s="33" t="n">
        <f aca="false">IF(G1916="","",G1916-C1916)</f>
        <v>12.0757535913642</v>
      </c>
      <c r="L1916" s="33" t="n">
        <f aca="false">IF(H1916="","",ABS(H1916))</f>
        <v>6</v>
      </c>
      <c r="M1916" s="33" t="n">
        <f aca="false">IF(I1916="","",ABS(I1916))</f>
        <v>12.5</v>
      </c>
      <c r="N1916" s="33" t="n">
        <f aca="false">IF(J1916="","",ABS(J1916))</f>
        <v>11.375</v>
      </c>
      <c r="O1916" s="33" t="n">
        <f aca="false">IF(K1916="","",ABS(K1916))</f>
        <v>12.0757535913642</v>
      </c>
      <c r="P1916" s="34" t="str">
        <f aca="false">IF(B1916&gt;=Eval_Start_Week,"YES","")</f>
        <v/>
      </c>
      <c r="Q1916" s="34" t="str">
        <f aca="false">IF(AND(B1916&gt;=Cal_Start_Week,B1916&lt;=Cal_End_Week),"YES","")</f>
        <v>YES</v>
      </c>
    </row>
    <row r="1917" customFormat="false" ht="15" hidden="false" customHeight="false" outlineLevel="0" collapsed="false">
      <c r="A1917" s="31" t="str">
        <f aca="false">Demand_History!C1917</f>
        <v>BTH-009</v>
      </c>
      <c r="B1917" s="31" t="n">
        <f aca="false">Demand_History!A1917</f>
        <v>44</v>
      </c>
      <c r="C1917" s="32" t="n">
        <f aca="false">Demand_History!D1917</f>
        <v>19</v>
      </c>
      <c r="D1917" s="33" t="n">
        <f aca="false">IF(B1917&gt;=2,C1916,"")</f>
        <v>17</v>
      </c>
      <c r="E1917" s="33" t="n">
        <f aca="false">IF(B1917&gt;=5,AVERAGE(C1913:C1916),"")</f>
        <v>25.75</v>
      </c>
      <c r="F1917" s="33" t="n">
        <f aca="false">IF(B1917&gt;=9,AVERAGE(C1909:C1916),"")</f>
        <v>26.375</v>
      </c>
      <c r="G1917" s="33" t="n">
        <f aca="false">IF(B1917=1,"",IF(B1917=2,C1916,SES_Alpha*C1916+(1-SES_Alpha)*G1916))</f>
        <v>25.453027513955</v>
      </c>
      <c r="H1917" s="33" t="n">
        <f aca="false">IF(D1917="","",D1917-C1917)</f>
        <v>-2</v>
      </c>
      <c r="I1917" s="33" t="n">
        <f aca="false">IF(E1917="","",E1917-C1917)</f>
        <v>6.75</v>
      </c>
      <c r="J1917" s="33" t="n">
        <f aca="false">IF(F1917="","",F1917-C1917)</f>
        <v>7.375</v>
      </c>
      <c r="K1917" s="33" t="n">
        <f aca="false">IF(G1917="","",G1917-C1917)</f>
        <v>6.45302751395496</v>
      </c>
      <c r="L1917" s="33" t="n">
        <f aca="false">IF(H1917="","",ABS(H1917))</f>
        <v>2</v>
      </c>
      <c r="M1917" s="33" t="n">
        <f aca="false">IF(I1917="","",ABS(I1917))</f>
        <v>6.75</v>
      </c>
      <c r="N1917" s="33" t="n">
        <f aca="false">IF(J1917="","",ABS(J1917))</f>
        <v>7.375</v>
      </c>
      <c r="O1917" s="33" t="n">
        <f aca="false">IF(K1917="","",ABS(K1917))</f>
        <v>6.45302751395496</v>
      </c>
      <c r="P1917" s="34" t="str">
        <f aca="false">IF(B1917&gt;=Eval_Start_Week,"YES","")</f>
        <v/>
      </c>
      <c r="Q1917" s="34" t="str">
        <f aca="false">IF(AND(B1917&gt;=Cal_Start_Week,B1917&lt;=Cal_End_Week),"YES","")</f>
        <v>YES</v>
      </c>
    </row>
    <row r="1918" customFormat="false" ht="15" hidden="false" customHeight="false" outlineLevel="0" collapsed="false">
      <c r="A1918" s="31" t="str">
        <f aca="false">Demand_History!C1918</f>
        <v>BTH-009</v>
      </c>
      <c r="B1918" s="31" t="n">
        <f aca="false">Demand_History!A1918</f>
        <v>45</v>
      </c>
      <c r="C1918" s="32" t="n">
        <f aca="false">Demand_History!D1918</f>
        <v>30</v>
      </c>
      <c r="D1918" s="33" t="n">
        <f aca="false">IF(B1918&gt;=2,C1917,"")</f>
        <v>19</v>
      </c>
      <c r="E1918" s="33" t="n">
        <f aca="false">IF(B1918&gt;=5,AVERAGE(C1914:C1917),"")</f>
        <v>25.5</v>
      </c>
      <c r="F1918" s="33" t="n">
        <f aca="false">IF(B1918&gt;=9,AVERAGE(C1910:C1917),"")</f>
        <v>27.625</v>
      </c>
      <c r="G1918" s="33" t="n">
        <f aca="false">IF(B1918=1,"",IF(B1918=2,C1917,SES_Alpha*C1917+(1-SES_Alpha)*G1917))</f>
        <v>23.5171192597685</v>
      </c>
      <c r="H1918" s="33" t="n">
        <f aca="false">IF(D1918="","",D1918-C1918)</f>
        <v>-11</v>
      </c>
      <c r="I1918" s="33" t="n">
        <f aca="false">IF(E1918="","",E1918-C1918)</f>
        <v>-4.5</v>
      </c>
      <c r="J1918" s="33" t="n">
        <f aca="false">IF(F1918="","",F1918-C1918)</f>
        <v>-2.375</v>
      </c>
      <c r="K1918" s="33" t="n">
        <f aca="false">IF(G1918="","",G1918-C1918)</f>
        <v>-6.48288074023153</v>
      </c>
      <c r="L1918" s="33" t="n">
        <f aca="false">IF(H1918="","",ABS(H1918))</f>
        <v>11</v>
      </c>
      <c r="M1918" s="33" t="n">
        <f aca="false">IF(I1918="","",ABS(I1918))</f>
        <v>4.5</v>
      </c>
      <c r="N1918" s="33" t="n">
        <f aca="false">IF(J1918="","",ABS(J1918))</f>
        <v>2.375</v>
      </c>
      <c r="O1918" s="33" t="n">
        <f aca="false">IF(K1918="","",ABS(K1918))</f>
        <v>6.48288074023153</v>
      </c>
      <c r="P1918" s="34" t="str">
        <f aca="false">IF(B1918&gt;=Eval_Start_Week,"YES","")</f>
        <v/>
      </c>
      <c r="Q1918" s="34" t="str">
        <f aca="false">IF(AND(B1918&gt;=Cal_Start_Week,B1918&lt;=Cal_End_Week),"YES","")</f>
        <v>YES</v>
      </c>
    </row>
    <row r="1919" customFormat="false" ht="15" hidden="false" customHeight="false" outlineLevel="0" collapsed="false">
      <c r="A1919" s="31" t="str">
        <f aca="false">Demand_History!C1919</f>
        <v>BTH-009</v>
      </c>
      <c r="B1919" s="31" t="n">
        <f aca="false">Demand_History!A1919</f>
        <v>46</v>
      </c>
      <c r="C1919" s="32" t="n">
        <f aca="false">Demand_History!D1919</f>
        <v>40</v>
      </c>
      <c r="D1919" s="33" t="n">
        <f aca="false">IF(B1919&gt;=2,C1918,"")</f>
        <v>30</v>
      </c>
      <c r="E1919" s="33" t="n">
        <f aca="false">IF(B1919&gt;=5,AVERAGE(C1915:C1918),"")</f>
        <v>22.25</v>
      </c>
      <c r="F1919" s="33" t="n">
        <f aca="false">IF(B1919&gt;=9,AVERAGE(C1911:C1918),"")</f>
        <v>27.625</v>
      </c>
      <c r="G1919" s="33" t="n">
        <f aca="false">IF(B1919=1,"",IF(B1919=2,C1918,SES_Alpha*C1918+(1-SES_Alpha)*G1918))</f>
        <v>25.4619834818379</v>
      </c>
      <c r="H1919" s="33" t="n">
        <f aca="false">IF(D1919="","",D1919-C1919)</f>
        <v>-10</v>
      </c>
      <c r="I1919" s="33" t="n">
        <f aca="false">IF(E1919="","",E1919-C1919)</f>
        <v>-17.75</v>
      </c>
      <c r="J1919" s="33" t="n">
        <f aca="false">IF(F1919="","",F1919-C1919)</f>
        <v>-12.375</v>
      </c>
      <c r="K1919" s="33" t="n">
        <f aca="false">IF(G1919="","",G1919-C1919)</f>
        <v>-14.5380165181621</v>
      </c>
      <c r="L1919" s="33" t="n">
        <f aca="false">IF(H1919="","",ABS(H1919))</f>
        <v>10</v>
      </c>
      <c r="M1919" s="33" t="n">
        <f aca="false">IF(I1919="","",ABS(I1919))</f>
        <v>17.75</v>
      </c>
      <c r="N1919" s="33" t="n">
        <f aca="false">IF(J1919="","",ABS(J1919))</f>
        <v>12.375</v>
      </c>
      <c r="O1919" s="33" t="n">
        <f aca="false">IF(K1919="","",ABS(K1919))</f>
        <v>14.5380165181621</v>
      </c>
      <c r="P1919" s="34" t="str">
        <f aca="false">IF(B1919&gt;=Eval_Start_Week,"YES","")</f>
        <v/>
      </c>
      <c r="Q1919" s="34" t="str">
        <f aca="false">IF(AND(B1919&gt;=Cal_Start_Week,B1919&lt;=Cal_End_Week),"YES","")</f>
        <v>YES</v>
      </c>
    </row>
    <row r="1920" customFormat="false" ht="15" hidden="false" customHeight="false" outlineLevel="0" collapsed="false">
      <c r="A1920" s="31" t="str">
        <f aca="false">Demand_History!C1920</f>
        <v>BTH-009</v>
      </c>
      <c r="B1920" s="31" t="n">
        <f aca="false">Demand_History!A1920</f>
        <v>47</v>
      </c>
      <c r="C1920" s="32" t="n">
        <f aca="false">Demand_History!D1920</f>
        <v>42</v>
      </c>
      <c r="D1920" s="33" t="n">
        <f aca="false">IF(B1920&gt;=2,C1919,"")</f>
        <v>40</v>
      </c>
      <c r="E1920" s="33" t="n">
        <f aca="false">IF(B1920&gt;=5,AVERAGE(C1916:C1919),"")</f>
        <v>26.5</v>
      </c>
      <c r="F1920" s="33" t="n">
        <f aca="false">IF(B1920&gt;=9,AVERAGE(C1912:C1919),"")</f>
        <v>28</v>
      </c>
      <c r="G1920" s="33" t="n">
        <f aca="false">IF(B1920=1,"",IF(B1920=2,C1919,SES_Alpha*C1919+(1-SES_Alpha)*G1919))</f>
        <v>29.8233884372865</v>
      </c>
      <c r="H1920" s="33" t="n">
        <f aca="false">IF(D1920="","",D1920-C1920)</f>
        <v>-2</v>
      </c>
      <c r="I1920" s="33" t="n">
        <f aca="false">IF(E1920="","",E1920-C1920)</f>
        <v>-15.5</v>
      </c>
      <c r="J1920" s="33" t="n">
        <f aca="false">IF(F1920="","",F1920-C1920)</f>
        <v>-14</v>
      </c>
      <c r="K1920" s="33" t="n">
        <f aca="false">IF(G1920="","",G1920-C1920)</f>
        <v>-12.1766115627135</v>
      </c>
      <c r="L1920" s="33" t="n">
        <f aca="false">IF(H1920="","",ABS(H1920))</f>
        <v>2</v>
      </c>
      <c r="M1920" s="33" t="n">
        <f aca="false">IF(I1920="","",ABS(I1920))</f>
        <v>15.5</v>
      </c>
      <c r="N1920" s="33" t="n">
        <f aca="false">IF(J1920="","",ABS(J1920))</f>
        <v>14</v>
      </c>
      <c r="O1920" s="33" t="n">
        <f aca="false">IF(K1920="","",ABS(K1920))</f>
        <v>12.1766115627135</v>
      </c>
      <c r="P1920" s="34" t="str">
        <f aca="false">IF(B1920&gt;=Eval_Start_Week,"YES","")</f>
        <v/>
      </c>
      <c r="Q1920" s="34" t="str">
        <f aca="false">IF(AND(B1920&gt;=Cal_Start_Week,B1920&lt;=Cal_End_Week),"YES","")</f>
        <v>YES</v>
      </c>
    </row>
    <row r="1921" customFormat="false" ht="15" hidden="false" customHeight="false" outlineLevel="0" collapsed="false">
      <c r="A1921" s="31" t="str">
        <f aca="false">Demand_History!C1921</f>
        <v>BTH-009</v>
      </c>
      <c r="B1921" s="31" t="n">
        <f aca="false">Demand_History!A1921</f>
        <v>48</v>
      </c>
      <c r="C1921" s="32" t="n">
        <f aca="false">Demand_History!D1921</f>
        <v>32</v>
      </c>
      <c r="D1921" s="33" t="n">
        <f aca="false">IF(B1921&gt;=2,C1920,"")</f>
        <v>42</v>
      </c>
      <c r="E1921" s="33" t="n">
        <f aca="false">IF(B1921&gt;=5,AVERAGE(C1917:C1920),"")</f>
        <v>32.75</v>
      </c>
      <c r="F1921" s="33" t="n">
        <f aca="false">IF(B1921&gt;=9,AVERAGE(C1913:C1920),"")</f>
        <v>29.25</v>
      </c>
      <c r="G1921" s="33" t="n">
        <f aca="false">IF(B1921=1,"",IF(B1921=2,C1920,SES_Alpha*C1920+(1-SES_Alpha)*G1920))</f>
        <v>33.4763719061006</v>
      </c>
      <c r="H1921" s="33" t="n">
        <f aca="false">IF(D1921="","",D1921-C1921)</f>
        <v>10</v>
      </c>
      <c r="I1921" s="33" t="n">
        <f aca="false">IF(E1921="","",E1921-C1921)</f>
        <v>0.75</v>
      </c>
      <c r="J1921" s="33" t="n">
        <f aca="false">IF(F1921="","",F1921-C1921)</f>
        <v>-2.75</v>
      </c>
      <c r="K1921" s="33" t="n">
        <f aca="false">IF(G1921="","",G1921-C1921)</f>
        <v>1.47637190610058</v>
      </c>
      <c r="L1921" s="33" t="n">
        <f aca="false">IF(H1921="","",ABS(H1921))</f>
        <v>10</v>
      </c>
      <c r="M1921" s="33" t="n">
        <f aca="false">IF(I1921="","",ABS(I1921))</f>
        <v>0.75</v>
      </c>
      <c r="N1921" s="33" t="n">
        <f aca="false">IF(J1921="","",ABS(J1921))</f>
        <v>2.75</v>
      </c>
      <c r="O1921" s="33" t="n">
        <f aca="false">IF(K1921="","",ABS(K1921))</f>
        <v>1.47637190610058</v>
      </c>
      <c r="P1921" s="34" t="str">
        <f aca="false">IF(B1921&gt;=Eval_Start_Week,"YES","")</f>
        <v/>
      </c>
      <c r="Q1921" s="34" t="str">
        <f aca="false">IF(AND(B1921&gt;=Cal_Start_Week,B1921&lt;=Cal_End_Week),"YES","")</f>
        <v>YES</v>
      </c>
    </row>
    <row r="1922" customFormat="false" ht="15" hidden="false" customHeight="false" outlineLevel="0" collapsed="false">
      <c r="A1922" s="31" t="str">
        <f aca="false">Demand_History!C1922</f>
        <v>BTH-009</v>
      </c>
      <c r="B1922" s="31" t="n">
        <f aca="false">Demand_History!A1922</f>
        <v>49</v>
      </c>
      <c r="C1922" s="32" t="n">
        <f aca="false">Demand_History!D1922</f>
        <v>18</v>
      </c>
      <c r="D1922" s="33" t="n">
        <f aca="false">IF(B1922&gt;=2,C1921,"")</f>
        <v>32</v>
      </c>
      <c r="E1922" s="33" t="n">
        <f aca="false">IF(B1922&gt;=5,AVERAGE(C1918:C1921),"")</f>
        <v>36</v>
      </c>
      <c r="F1922" s="33" t="n">
        <f aca="false">IF(B1922&gt;=9,AVERAGE(C1914:C1921),"")</f>
        <v>30.75</v>
      </c>
      <c r="G1922" s="33" t="n">
        <f aca="false">IF(B1922=1,"",IF(B1922=2,C1921,SES_Alpha*C1921+(1-SES_Alpha)*G1921))</f>
        <v>33.0334603342704</v>
      </c>
      <c r="H1922" s="33" t="n">
        <f aca="false">IF(D1922="","",D1922-C1922)</f>
        <v>14</v>
      </c>
      <c r="I1922" s="33" t="n">
        <f aca="false">IF(E1922="","",E1922-C1922)</f>
        <v>18</v>
      </c>
      <c r="J1922" s="33" t="n">
        <f aca="false">IF(F1922="","",F1922-C1922)</f>
        <v>12.75</v>
      </c>
      <c r="K1922" s="33" t="n">
        <f aca="false">IF(G1922="","",G1922-C1922)</f>
        <v>15.0334603342704</v>
      </c>
      <c r="L1922" s="33" t="n">
        <f aca="false">IF(H1922="","",ABS(H1922))</f>
        <v>14</v>
      </c>
      <c r="M1922" s="33" t="n">
        <f aca="false">IF(I1922="","",ABS(I1922))</f>
        <v>18</v>
      </c>
      <c r="N1922" s="33" t="n">
        <f aca="false">IF(J1922="","",ABS(J1922))</f>
        <v>12.75</v>
      </c>
      <c r="O1922" s="33" t="n">
        <f aca="false">IF(K1922="","",ABS(K1922))</f>
        <v>15.0334603342704</v>
      </c>
      <c r="P1922" s="34" t="str">
        <f aca="false">IF(B1922&gt;=Eval_Start_Week,"YES","")</f>
        <v/>
      </c>
      <c r="Q1922" s="34" t="str">
        <f aca="false">IF(AND(B1922&gt;=Cal_Start_Week,B1922&lt;=Cal_End_Week),"YES","")</f>
        <v>YES</v>
      </c>
    </row>
    <row r="1923" customFormat="false" ht="15" hidden="false" customHeight="false" outlineLevel="0" collapsed="false">
      <c r="A1923" s="31" t="str">
        <f aca="false">Demand_History!C1923</f>
        <v>BTH-009</v>
      </c>
      <c r="B1923" s="31" t="n">
        <f aca="false">Demand_History!A1923</f>
        <v>50</v>
      </c>
      <c r="C1923" s="32" t="n">
        <f aca="false">Demand_History!D1923</f>
        <v>23</v>
      </c>
      <c r="D1923" s="33" t="n">
        <f aca="false">IF(B1923&gt;=2,C1922,"")</f>
        <v>18</v>
      </c>
      <c r="E1923" s="33" t="n">
        <f aca="false">IF(B1923&gt;=5,AVERAGE(C1919:C1922),"")</f>
        <v>33</v>
      </c>
      <c r="F1923" s="33" t="n">
        <f aca="false">IF(B1923&gt;=9,AVERAGE(C1915:C1922),"")</f>
        <v>27.625</v>
      </c>
      <c r="G1923" s="33" t="n">
        <f aca="false">IF(B1923=1,"",IF(B1923=2,C1922,SES_Alpha*C1922+(1-SES_Alpha)*G1922))</f>
        <v>28.5234222339893</v>
      </c>
      <c r="H1923" s="33" t="n">
        <f aca="false">IF(D1923="","",D1923-C1923)</f>
        <v>-5</v>
      </c>
      <c r="I1923" s="33" t="n">
        <f aca="false">IF(E1923="","",E1923-C1923)</f>
        <v>10</v>
      </c>
      <c r="J1923" s="33" t="n">
        <f aca="false">IF(F1923="","",F1923-C1923)</f>
        <v>4.625</v>
      </c>
      <c r="K1923" s="33" t="n">
        <f aca="false">IF(G1923="","",G1923-C1923)</f>
        <v>5.52342223398928</v>
      </c>
      <c r="L1923" s="33" t="n">
        <f aca="false">IF(H1923="","",ABS(H1923))</f>
        <v>5</v>
      </c>
      <c r="M1923" s="33" t="n">
        <f aca="false">IF(I1923="","",ABS(I1923))</f>
        <v>10</v>
      </c>
      <c r="N1923" s="33" t="n">
        <f aca="false">IF(J1923="","",ABS(J1923))</f>
        <v>4.625</v>
      </c>
      <c r="O1923" s="33" t="n">
        <f aca="false">IF(K1923="","",ABS(K1923))</f>
        <v>5.52342223398928</v>
      </c>
      <c r="P1923" s="34" t="str">
        <f aca="false">IF(B1923&gt;=Eval_Start_Week,"YES","")</f>
        <v/>
      </c>
      <c r="Q1923" s="34" t="str">
        <f aca="false">IF(AND(B1923&gt;=Cal_Start_Week,B1923&lt;=Cal_End_Week),"YES","")</f>
        <v>YES</v>
      </c>
    </row>
    <row r="1924" customFormat="false" ht="15" hidden="false" customHeight="false" outlineLevel="0" collapsed="false">
      <c r="A1924" s="31" t="str">
        <f aca="false">Demand_History!C1924</f>
        <v>BTH-009</v>
      </c>
      <c r="B1924" s="31" t="n">
        <f aca="false">Demand_History!A1924</f>
        <v>51</v>
      </c>
      <c r="C1924" s="32" t="n">
        <f aca="false">Demand_History!D1924</f>
        <v>21</v>
      </c>
      <c r="D1924" s="33" t="n">
        <f aca="false">IF(B1924&gt;=2,C1923,"")</f>
        <v>23</v>
      </c>
      <c r="E1924" s="33" t="n">
        <f aca="false">IF(B1924&gt;=5,AVERAGE(C1920:C1923),"")</f>
        <v>28.75</v>
      </c>
      <c r="F1924" s="33" t="n">
        <f aca="false">IF(B1924&gt;=9,AVERAGE(C1916:C1923),"")</f>
        <v>27.625</v>
      </c>
      <c r="G1924" s="33" t="n">
        <f aca="false">IF(B1924=1,"",IF(B1924=2,C1923,SES_Alpha*C1923+(1-SES_Alpha)*G1923))</f>
        <v>26.8663955637925</v>
      </c>
      <c r="H1924" s="33" t="n">
        <f aca="false">IF(D1924="","",D1924-C1924)</f>
        <v>2</v>
      </c>
      <c r="I1924" s="33" t="n">
        <f aca="false">IF(E1924="","",E1924-C1924)</f>
        <v>7.75</v>
      </c>
      <c r="J1924" s="33" t="n">
        <f aca="false">IF(F1924="","",F1924-C1924)</f>
        <v>6.625</v>
      </c>
      <c r="K1924" s="33" t="n">
        <f aca="false">IF(G1924="","",G1924-C1924)</f>
        <v>5.86639556379249</v>
      </c>
      <c r="L1924" s="33" t="n">
        <f aca="false">IF(H1924="","",ABS(H1924))</f>
        <v>2</v>
      </c>
      <c r="M1924" s="33" t="n">
        <f aca="false">IF(I1924="","",ABS(I1924))</f>
        <v>7.75</v>
      </c>
      <c r="N1924" s="33" t="n">
        <f aca="false">IF(J1924="","",ABS(J1924))</f>
        <v>6.625</v>
      </c>
      <c r="O1924" s="33" t="n">
        <f aca="false">IF(K1924="","",ABS(K1924))</f>
        <v>5.86639556379249</v>
      </c>
      <c r="P1924" s="34" t="str">
        <f aca="false">IF(B1924&gt;=Eval_Start_Week,"YES","")</f>
        <v/>
      </c>
      <c r="Q1924" s="34" t="str">
        <f aca="false">IF(AND(B1924&gt;=Cal_Start_Week,B1924&lt;=Cal_End_Week),"YES","")</f>
        <v>YES</v>
      </c>
    </row>
    <row r="1925" customFormat="false" ht="15" hidden="false" customHeight="false" outlineLevel="0" collapsed="false">
      <c r="A1925" s="31" t="str">
        <f aca="false">Demand_History!C1925</f>
        <v>BTH-009</v>
      </c>
      <c r="B1925" s="31" t="n">
        <f aca="false">Demand_History!A1925</f>
        <v>52</v>
      </c>
      <c r="C1925" s="32" t="n">
        <f aca="false">Demand_History!D1925</f>
        <v>28</v>
      </c>
      <c r="D1925" s="33" t="n">
        <f aca="false">IF(B1925&gt;=2,C1924,"")</f>
        <v>21</v>
      </c>
      <c r="E1925" s="33" t="n">
        <f aca="false">IF(B1925&gt;=5,AVERAGE(C1921:C1924),"")</f>
        <v>23.5</v>
      </c>
      <c r="F1925" s="33" t="n">
        <f aca="false">IF(B1925&gt;=9,AVERAGE(C1917:C1924),"")</f>
        <v>28.125</v>
      </c>
      <c r="G1925" s="33" t="n">
        <f aca="false">IF(B1925=1,"",IF(B1925=2,C1924,SES_Alpha*C1924+(1-SES_Alpha)*G1924))</f>
        <v>25.1064768946547</v>
      </c>
      <c r="H1925" s="33" t="n">
        <f aca="false">IF(D1925="","",D1925-C1925)</f>
        <v>-7</v>
      </c>
      <c r="I1925" s="33" t="n">
        <f aca="false">IF(E1925="","",E1925-C1925)</f>
        <v>-4.5</v>
      </c>
      <c r="J1925" s="33" t="n">
        <f aca="false">IF(F1925="","",F1925-C1925)</f>
        <v>0.125</v>
      </c>
      <c r="K1925" s="33" t="n">
        <f aca="false">IF(G1925="","",G1925-C1925)</f>
        <v>-2.89352310534526</v>
      </c>
      <c r="L1925" s="33" t="n">
        <f aca="false">IF(H1925="","",ABS(H1925))</f>
        <v>7</v>
      </c>
      <c r="M1925" s="33" t="n">
        <f aca="false">IF(I1925="","",ABS(I1925))</f>
        <v>4.5</v>
      </c>
      <c r="N1925" s="33" t="n">
        <f aca="false">IF(J1925="","",ABS(J1925))</f>
        <v>0.125</v>
      </c>
      <c r="O1925" s="33" t="n">
        <f aca="false">IF(K1925="","",ABS(K1925))</f>
        <v>2.89352310534526</v>
      </c>
      <c r="P1925" s="34" t="str">
        <f aca="false">IF(B1925&gt;=Eval_Start_Week,"YES","")</f>
        <v/>
      </c>
      <c r="Q1925" s="34" t="str">
        <f aca="false">IF(AND(B1925&gt;=Cal_Start_Week,B1925&lt;=Cal_End_Week),"YES","")</f>
        <v>YES</v>
      </c>
    </row>
    <row r="1926" customFormat="false" ht="15" hidden="false" customHeight="false" outlineLevel="0" collapsed="false">
      <c r="A1926" s="31" t="str">
        <f aca="false">Demand_History!C1926</f>
        <v>BTH-009</v>
      </c>
      <c r="B1926" s="31" t="n">
        <f aca="false">Demand_History!A1926</f>
        <v>53</v>
      </c>
      <c r="C1926" s="32" t="n">
        <f aca="false">Demand_History!D1926</f>
        <v>12</v>
      </c>
      <c r="D1926" s="33" t="n">
        <f aca="false">IF(B1926&gt;=2,C1925,"")</f>
        <v>28</v>
      </c>
      <c r="E1926" s="33" t="n">
        <f aca="false">IF(B1926&gt;=5,AVERAGE(C1922:C1925),"")</f>
        <v>22.5</v>
      </c>
      <c r="F1926" s="33" t="n">
        <f aca="false">IF(B1926&gt;=9,AVERAGE(C1918:C1925),"")</f>
        <v>29.25</v>
      </c>
      <c r="G1926" s="33" t="n">
        <f aca="false">IF(B1926=1,"",IF(B1926=2,C1925,SES_Alpha*C1925+(1-SES_Alpha)*G1925))</f>
        <v>25.9745338262583</v>
      </c>
      <c r="H1926" s="33" t="n">
        <f aca="false">IF(D1926="","",D1926-C1926)</f>
        <v>16</v>
      </c>
      <c r="I1926" s="33" t="n">
        <f aca="false">IF(E1926="","",E1926-C1926)</f>
        <v>10.5</v>
      </c>
      <c r="J1926" s="33" t="n">
        <f aca="false">IF(F1926="","",F1926-C1926)</f>
        <v>17.25</v>
      </c>
      <c r="K1926" s="33" t="n">
        <f aca="false">IF(G1926="","",G1926-C1926)</f>
        <v>13.9745338262583</v>
      </c>
      <c r="L1926" s="33" t="n">
        <f aca="false">IF(H1926="","",ABS(H1926))</f>
        <v>16</v>
      </c>
      <c r="M1926" s="33" t="n">
        <f aca="false">IF(I1926="","",ABS(I1926))</f>
        <v>10.5</v>
      </c>
      <c r="N1926" s="33" t="n">
        <f aca="false">IF(J1926="","",ABS(J1926))</f>
        <v>17.25</v>
      </c>
      <c r="O1926" s="33" t="n">
        <f aca="false">IF(K1926="","",ABS(K1926))</f>
        <v>13.9745338262583</v>
      </c>
      <c r="P1926" s="34" t="str">
        <f aca="false">IF(B1926&gt;=Eval_Start_Week,"YES","")</f>
        <v>YES</v>
      </c>
      <c r="Q1926" s="34" t="str">
        <f aca="false">IF(AND(B1926&gt;=Cal_Start_Week,B1926&lt;=Cal_End_Week),"YES","")</f>
        <v>YES</v>
      </c>
    </row>
    <row r="1927" customFormat="false" ht="15" hidden="false" customHeight="false" outlineLevel="0" collapsed="false">
      <c r="A1927" s="31" t="str">
        <f aca="false">Demand_History!C1927</f>
        <v>BTH-009</v>
      </c>
      <c r="B1927" s="31" t="n">
        <f aca="false">Demand_History!A1927</f>
        <v>54</v>
      </c>
      <c r="C1927" s="32" t="n">
        <f aca="false">Demand_History!D1927</f>
        <v>31</v>
      </c>
      <c r="D1927" s="33" t="n">
        <f aca="false">IF(B1927&gt;=2,C1926,"")</f>
        <v>12</v>
      </c>
      <c r="E1927" s="33" t="n">
        <f aca="false">IF(B1927&gt;=5,AVERAGE(C1923:C1926),"")</f>
        <v>21</v>
      </c>
      <c r="F1927" s="33" t="n">
        <f aca="false">IF(B1927&gt;=9,AVERAGE(C1919:C1926),"")</f>
        <v>27</v>
      </c>
      <c r="G1927" s="33" t="n">
        <f aca="false">IF(B1927=1,"",IF(B1927=2,C1926,SES_Alpha*C1926+(1-SES_Alpha)*G1926))</f>
        <v>21.7821736783808</v>
      </c>
      <c r="H1927" s="33" t="n">
        <f aca="false">IF(D1927="","",D1927-C1927)</f>
        <v>-19</v>
      </c>
      <c r="I1927" s="33" t="n">
        <f aca="false">IF(E1927="","",E1927-C1927)</f>
        <v>-10</v>
      </c>
      <c r="J1927" s="33" t="n">
        <f aca="false">IF(F1927="","",F1927-C1927)</f>
        <v>-4</v>
      </c>
      <c r="K1927" s="33" t="n">
        <f aca="false">IF(G1927="","",G1927-C1927)</f>
        <v>-9.21782632161918</v>
      </c>
      <c r="L1927" s="33" t="n">
        <f aca="false">IF(H1927="","",ABS(H1927))</f>
        <v>19</v>
      </c>
      <c r="M1927" s="33" t="n">
        <f aca="false">IF(I1927="","",ABS(I1927))</f>
        <v>10</v>
      </c>
      <c r="N1927" s="33" t="n">
        <f aca="false">IF(J1927="","",ABS(J1927))</f>
        <v>4</v>
      </c>
      <c r="O1927" s="33" t="n">
        <f aca="false">IF(K1927="","",ABS(K1927))</f>
        <v>9.21782632161918</v>
      </c>
      <c r="P1927" s="34" t="str">
        <f aca="false">IF(B1927&gt;=Eval_Start_Week,"YES","")</f>
        <v>YES</v>
      </c>
      <c r="Q1927" s="34" t="str">
        <f aca="false">IF(AND(B1927&gt;=Cal_Start_Week,B1927&lt;=Cal_End_Week),"YES","")</f>
        <v>YES</v>
      </c>
    </row>
    <row r="1928" customFormat="false" ht="15" hidden="false" customHeight="false" outlineLevel="0" collapsed="false">
      <c r="A1928" s="31" t="str">
        <f aca="false">Demand_History!C1928</f>
        <v>BTH-009</v>
      </c>
      <c r="B1928" s="31" t="n">
        <f aca="false">Demand_History!A1928</f>
        <v>55</v>
      </c>
      <c r="C1928" s="32" t="n">
        <f aca="false">Demand_History!D1928</f>
        <v>37</v>
      </c>
      <c r="D1928" s="33" t="n">
        <f aca="false">IF(B1928&gt;=2,C1927,"")</f>
        <v>31</v>
      </c>
      <c r="E1928" s="33" t="n">
        <f aca="false">IF(B1928&gt;=5,AVERAGE(C1924:C1927),"")</f>
        <v>23</v>
      </c>
      <c r="F1928" s="33" t="n">
        <f aca="false">IF(B1928&gt;=9,AVERAGE(C1920:C1927),"")</f>
        <v>25.875</v>
      </c>
      <c r="G1928" s="33" t="n">
        <f aca="false">IF(B1928=1,"",IF(B1928=2,C1927,SES_Alpha*C1927+(1-SES_Alpha)*G1927))</f>
        <v>24.5475215748666</v>
      </c>
      <c r="H1928" s="33" t="n">
        <f aca="false">IF(D1928="","",D1928-C1928)</f>
        <v>-6</v>
      </c>
      <c r="I1928" s="33" t="n">
        <f aca="false">IF(E1928="","",E1928-C1928)</f>
        <v>-14</v>
      </c>
      <c r="J1928" s="33" t="n">
        <f aca="false">IF(F1928="","",F1928-C1928)</f>
        <v>-11.125</v>
      </c>
      <c r="K1928" s="33" t="n">
        <f aca="false">IF(G1928="","",G1928-C1928)</f>
        <v>-12.4524784251334</v>
      </c>
      <c r="L1928" s="33" t="n">
        <f aca="false">IF(H1928="","",ABS(H1928))</f>
        <v>6</v>
      </c>
      <c r="M1928" s="33" t="n">
        <f aca="false">IF(I1928="","",ABS(I1928))</f>
        <v>14</v>
      </c>
      <c r="N1928" s="33" t="n">
        <f aca="false">IF(J1928="","",ABS(J1928))</f>
        <v>11.125</v>
      </c>
      <c r="O1928" s="33" t="n">
        <f aca="false">IF(K1928="","",ABS(K1928))</f>
        <v>12.4524784251334</v>
      </c>
      <c r="P1928" s="34" t="str">
        <f aca="false">IF(B1928&gt;=Eval_Start_Week,"YES","")</f>
        <v>YES</v>
      </c>
      <c r="Q1928" s="34" t="str">
        <f aca="false">IF(AND(B1928&gt;=Cal_Start_Week,B1928&lt;=Cal_End_Week),"YES","")</f>
        <v>YES</v>
      </c>
    </row>
    <row r="1929" customFormat="false" ht="15" hidden="false" customHeight="false" outlineLevel="0" collapsed="false">
      <c r="A1929" s="31" t="str">
        <f aca="false">Demand_History!C1929</f>
        <v>BTH-009</v>
      </c>
      <c r="B1929" s="31" t="n">
        <f aca="false">Demand_History!A1929</f>
        <v>56</v>
      </c>
      <c r="C1929" s="32" t="n">
        <f aca="false">Demand_History!D1929</f>
        <v>28</v>
      </c>
      <c r="D1929" s="33" t="n">
        <f aca="false">IF(B1929&gt;=2,C1928,"")</f>
        <v>37</v>
      </c>
      <c r="E1929" s="33" t="n">
        <f aca="false">IF(B1929&gt;=5,AVERAGE(C1925:C1928),"")</f>
        <v>27</v>
      </c>
      <c r="F1929" s="33" t="n">
        <f aca="false">IF(B1929&gt;=9,AVERAGE(C1921:C1928),"")</f>
        <v>25.25</v>
      </c>
      <c r="G1929" s="33" t="n">
        <f aca="false">IF(B1929=1,"",IF(B1929=2,C1928,SES_Alpha*C1928+(1-SES_Alpha)*G1928))</f>
        <v>28.2832651024066</v>
      </c>
      <c r="H1929" s="33" t="n">
        <f aca="false">IF(D1929="","",D1929-C1929)</f>
        <v>9</v>
      </c>
      <c r="I1929" s="33" t="n">
        <f aca="false">IF(E1929="","",E1929-C1929)</f>
        <v>-1</v>
      </c>
      <c r="J1929" s="33" t="n">
        <f aca="false">IF(F1929="","",F1929-C1929)</f>
        <v>-2.75</v>
      </c>
      <c r="K1929" s="33" t="n">
        <f aca="false">IF(G1929="","",G1929-C1929)</f>
        <v>0.283265102406595</v>
      </c>
      <c r="L1929" s="33" t="n">
        <f aca="false">IF(H1929="","",ABS(H1929))</f>
        <v>9</v>
      </c>
      <c r="M1929" s="33" t="n">
        <f aca="false">IF(I1929="","",ABS(I1929))</f>
        <v>1</v>
      </c>
      <c r="N1929" s="33" t="n">
        <f aca="false">IF(J1929="","",ABS(J1929))</f>
        <v>2.75</v>
      </c>
      <c r="O1929" s="33" t="n">
        <f aca="false">IF(K1929="","",ABS(K1929))</f>
        <v>0.283265102406595</v>
      </c>
      <c r="P1929" s="34" t="str">
        <f aca="false">IF(B1929&gt;=Eval_Start_Week,"YES","")</f>
        <v>YES</v>
      </c>
      <c r="Q1929" s="34" t="str">
        <f aca="false">IF(AND(B1929&gt;=Cal_Start_Week,B1929&lt;=Cal_End_Week),"YES","")</f>
        <v>YES</v>
      </c>
    </row>
    <row r="1930" customFormat="false" ht="15" hidden="false" customHeight="false" outlineLevel="0" collapsed="false">
      <c r="A1930" s="31" t="str">
        <f aca="false">Demand_History!C1930</f>
        <v>BTH-009</v>
      </c>
      <c r="B1930" s="31" t="n">
        <f aca="false">Demand_History!A1930</f>
        <v>57</v>
      </c>
      <c r="C1930" s="32" t="n">
        <f aca="false">Demand_History!D1930</f>
        <v>35</v>
      </c>
      <c r="D1930" s="33" t="n">
        <f aca="false">IF(B1930&gt;=2,C1929,"")</f>
        <v>28</v>
      </c>
      <c r="E1930" s="33" t="n">
        <f aca="false">IF(B1930&gt;=5,AVERAGE(C1926:C1929),"")</f>
        <v>27</v>
      </c>
      <c r="F1930" s="33" t="n">
        <f aca="false">IF(B1930&gt;=9,AVERAGE(C1922:C1929),"")</f>
        <v>24.75</v>
      </c>
      <c r="G1930" s="33" t="n">
        <f aca="false">IF(B1930=1,"",IF(B1930=2,C1929,SES_Alpha*C1929+(1-SES_Alpha)*G1929))</f>
        <v>28.1982855716846</v>
      </c>
      <c r="H1930" s="33" t="n">
        <f aca="false">IF(D1930="","",D1930-C1930)</f>
        <v>-7</v>
      </c>
      <c r="I1930" s="33" t="n">
        <f aca="false">IF(E1930="","",E1930-C1930)</f>
        <v>-8</v>
      </c>
      <c r="J1930" s="33" t="n">
        <f aca="false">IF(F1930="","",F1930-C1930)</f>
        <v>-10.25</v>
      </c>
      <c r="K1930" s="33" t="n">
        <f aca="false">IF(G1930="","",G1930-C1930)</f>
        <v>-6.80171442831539</v>
      </c>
      <c r="L1930" s="33" t="n">
        <f aca="false">IF(H1930="","",ABS(H1930))</f>
        <v>7</v>
      </c>
      <c r="M1930" s="33" t="n">
        <f aca="false">IF(I1930="","",ABS(I1930))</f>
        <v>8</v>
      </c>
      <c r="N1930" s="33" t="n">
        <f aca="false">IF(J1930="","",ABS(J1930))</f>
        <v>10.25</v>
      </c>
      <c r="O1930" s="33" t="n">
        <f aca="false">IF(K1930="","",ABS(K1930))</f>
        <v>6.80171442831539</v>
      </c>
      <c r="P1930" s="34" t="str">
        <f aca="false">IF(B1930&gt;=Eval_Start_Week,"YES","")</f>
        <v>YES</v>
      </c>
      <c r="Q1930" s="34" t="str">
        <f aca="false">IF(AND(B1930&gt;=Cal_Start_Week,B1930&lt;=Cal_End_Week),"YES","")</f>
        <v>YES</v>
      </c>
    </row>
    <row r="1931" customFormat="false" ht="15" hidden="false" customHeight="false" outlineLevel="0" collapsed="false">
      <c r="A1931" s="31" t="str">
        <f aca="false">Demand_History!C1931</f>
        <v>BTH-009</v>
      </c>
      <c r="B1931" s="31" t="n">
        <f aca="false">Demand_History!A1931</f>
        <v>58</v>
      </c>
      <c r="C1931" s="32" t="n">
        <f aca="false">Demand_History!D1931</f>
        <v>20</v>
      </c>
      <c r="D1931" s="33" t="n">
        <f aca="false">IF(B1931&gt;=2,C1930,"")</f>
        <v>35</v>
      </c>
      <c r="E1931" s="33" t="n">
        <f aca="false">IF(B1931&gt;=5,AVERAGE(C1927:C1930),"")</f>
        <v>32.75</v>
      </c>
      <c r="F1931" s="33" t="n">
        <f aca="false">IF(B1931&gt;=9,AVERAGE(C1923:C1930),"")</f>
        <v>26.875</v>
      </c>
      <c r="G1931" s="33" t="n">
        <f aca="false">IF(B1931=1,"",IF(B1931=2,C1930,SES_Alpha*C1930+(1-SES_Alpha)*G1930))</f>
        <v>30.2387999001792</v>
      </c>
      <c r="H1931" s="33" t="n">
        <f aca="false">IF(D1931="","",D1931-C1931)</f>
        <v>15</v>
      </c>
      <c r="I1931" s="33" t="n">
        <f aca="false">IF(E1931="","",E1931-C1931)</f>
        <v>12.75</v>
      </c>
      <c r="J1931" s="33" t="n">
        <f aca="false">IF(F1931="","",F1931-C1931)</f>
        <v>6.875</v>
      </c>
      <c r="K1931" s="33" t="n">
        <f aca="false">IF(G1931="","",G1931-C1931)</f>
        <v>10.2387999001792</v>
      </c>
      <c r="L1931" s="33" t="n">
        <f aca="false">IF(H1931="","",ABS(H1931))</f>
        <v>15</v>
      </c>
      <c r="M1931" s="33" t="n">
        <f aca="false">IF(I1931="","",ABS(I1931))</f>
        <v>12.75</v>
      </c>
      <c r="N1931" s="33" t="n">
        <f aca="false">IF(J1931="","",ABS(J1931))</f>
        <v>6.875</v>
      </c>
      <c r="O1931" s="33" t="n">
        <f aca="false">IF(K1931="","",ABS(K1931))</f>
        <v>10.2387999001792</v>
      </c>
      <c r="P1931" s="34" t="str">
        <f aca="false">IF(B1931&gt;=Eval_Start_Week,"YES","")</f>
        <v>YES</v>
      </c>
      <c r="Q1931" s="34" t="str">
        <f aca="false">IF(AND(B1931&gt;=Cal_Start_Week,B1931&lt;=Cal_End_Week),"YES","")</f>
        <v>YES</v>
      </c>
    </row>
    <row r="1932" customFormat="false" ht="15" hidden="false" customHeight="false" outlineLevel="0" collapsed="false">
      <c r="A1932" s="31" t="str">
        <f aca="false">Demand_History!C1932</f>
        <v>BTH-009</v>
      </c>
      <c r="B1932" s="31" t="n">
        <f aca="false">Demand_History!A1932</f>
        <v>59</v>
      </c>
      <c r="C1932" s="32" t="n">
        <f aca="false">Demand_History!D1932</f>
        <v>15</v>
      </c>
      <c r="D1932" s="33" t="n">
        <f aca="false">IF(B1932&gt;=2,C1931,"")</f>
        <v>20</v>
      </c>
      <c r="E1932" s="33" t="n">
        <f aca="false">IF(B1932&gt;=5,AVERAGE(C1928:C1931),"")</f>
        <v>30</v>
      </c>
      <c r="F1932" s="33" t="n">
        <f aca="false">IF(B1932&gt;=9,AVERAGE(C1924:C1931),"")</f>
        <v>26.5</v>
      </c>
      <c r="G1932" s="33" t="n">
        <f aca="false">IF(B1932=1,"",IF(B1932=2,C1931,SES_Alpha*C1931+(1-SES_Alpha)*G1931))</f>
        <v>27.1671599301255</v>
      </c>
      <c r="H1932" s="33" t="n">
        <f aca="false">IF(D1932="","",D1932-C1932)</f>
        <v>5</v>
      </c>
      <c r="I1932" s="33" t="n">
        <f aca="false">IF(E1932="","",E1932-C1932)</f>
        <v>15</v>
      </c>
      <c r="J1932" s="33" t="n">
        <f aca="false">IF(F1932="","",F1932-C1932)</f>
        <v>11.5</v>
      </c>
      <c r="K1932" s="33" t="n">
        <f aca="false">IF(G1932="","",G1932-C1932)</f>
        <v>12.1671599301255</v>
      </c>
      <c r="L1932" s="33" t="n">
        <f aca="false">IF(H1932="","",ABS(H1932))</f>
        <v>5</v>
      </c>
      <c r="M1932" s="33" t="n">
        <f aca="false">IF(I1932="","",ABS(I1932))</f>
        <v>15</v>
      </c>
      <c r="N1932" s="33" t="n">
        <f aca="false">IF(J1932="","",ABS(J1932))</f>
        <v>11.5</v>
      </c>
      <c r="O1932" s="33" t="n">
        <f aca="false">IF(K1932="","",ABS(K1932))</f>
        <v>12.1671599301255</v>
      </c>
      <c r="P1932" s="34" t="str">
        <f aca="false">IF(B1932&gt;=Eval_Start_Week,"YES","")</f>
        <v>YES</v>
      </c>
      <c r="Q1932" s="34" t="str">
        <f aca="false">IF(AND(B1932&gt;=Cal_Start_Week,B1932&lt;=Cal_End_Week),"YES","")</f>
        <v>YES</v>
      </c>
    </row>
    <row r="1933" customFormat="false" ht="15" hidden="false" customHeight="false" outlineLevel="0" collapsed="false">
      <c r="A1933" s="31" t="str">
        <f aca="false">Demand_History!C1933</f>
        <v>BTH-009</v>
      </c>
      <c r="B1933" s="31" t="n">
        <f aca="false">Demand_History!A1933</f>
        <v>60</v>
      </c>
      <c r="C1933" s="32" t="n">
        <f aca="false">Demand_History!D1933</f>
        <v>23</v>
      </c>
      <c r="D1933" s="33" t="n">
        <f aca="false">IF(B1933&gt;=2,C1932,"")</f>
        <v>15</v>
      </c>
      <c r="E1933" s="33" t="n">
        <f aca="false">IF(B1933&gt;=5,AVERAGE(C1929:C1932),"")</f>
        <v>24.5</v>
      </c>
      <c r="F1933" s="33" t="n">
        <f aca="false">IF(B1933&gt;=9,AVERAGE(C1925:C1932),"")</f>
        <v>25.75</v>
      </c>
      <c r="G1933" s="33" t="n">
        <f aca="false">IF(B1933=1,"",IF(B1933=2,C1932,SES_Alpha*C1932+(1-SES_Alpha)*G1932))</f>
        <v>23.5170119510878</v>
      </c>
      <c r="H1933" s="33" t="n">
        <f aca="false">IF(D1933="","",D1933-C1933)</f>
        <v>-8</v>
      </c>
      <c r="I1933" s="33" t="n">
        <f aca="false">IF(E1933="","",E1933-C1933)</f>
        <v>1.5</v>
      </c>
      <c r="J1933" s="33" t="n">
        <f aca="false">IF(F1933="","",F1933-C1933)</f>
        <v>2.75</v>
      </c>
      <c r="K1933" s="33" t="n">
        <f aca="false">IF(G1933="","",G1933-C1933)</f>
        <v>0.51701195108782</v>
      </c>
      <c r="L1933" s="33" t="n">
        <f aca="false">IF(H1933="","",ABS(H1933))</f>
        <v>8</v>
      </c>
      <c r="M1933" s="33" t="n">
        <f aca="false">IF(I1933="","",ABS(I1933))</f>
        <v>1.5</v>
      </c>
      <c r="N1933" s="33" t="n">
        <f aca="false">IF(J1933="","",ABS(J1933))</f>
        <v>2.75</v>
      </c>
      <c r="O1933" s="33" t="n">
        <f aca="false">IF(K1933="","",ABS(K1933))</f>
        <v>0.51701195108782</v>
      </c>
      <c r="P1933" s="34" t="str">
        <f aca="false">IF(B1933&gt;=Eval_Start_Week,"YES","")</f>
        <v>YES</v>
      </c>
      <c r="Q1933" s="34" t="str">
        <f aca="false">IF(AND(B1933&gt;=Cal_Start_Week,B1933&lt;=Cal_End_Week),"YES","")</f>
        <v>YES</v>
      </c>
    </row>
    <row r="1934" customFormat="false" ht="15" hidden="false" customHeight="false" outlineLevel="0" collapsed="false">
      <c r="A1934" s="31" t="str">
        <f aca="false">Demand_History!C1934</f>
        <v>BTH-009</v>
      </c>
      <c r="B1934" s="31" t="n">
        <f aca="false">Demand_History!A1934</f>
        <v>61</v>
      </c>
      <c r="C1934" s="32" t="n">
        <f aca="false">Demand_History!D1934</f>
        <v>42</v>
      </c>
      <c r="D1934" s="33" t="n">
        <f aca="false">IF(B1934&gt;=2,C1933,"")</f>
        <v>23</v>
      </c>
      <c r="E1934" s="33" t="n">
        <f aca="false">IF(B1934&gt;=5,AVERAGE(C1930:C1933),"")</f>
        <v>23.25</v>
      </c>
      <c r="F1934" s="33" t="n">
        <f aca="false">IF(B1934&gt;=9,AVERAGE(C1926:C1933),"")</f>
        <v>25.125</v>
      </c>
      <c r="G1934" s="33" t="n">
        <f aca="false">IF(B1934=1,"",IF(B1934=2,C1933,SES_Alpha*C1933+(1-SES_Alpha)*G1933))</f>
        <v>23.3619083657615</v>
      </c>
      <c r="H1934" s="33" t="n">
        <f aca="false">IF(D1934="","",D1934-C1934)</f>
        <v>-19</v>
      </c>
      <c r="I1934" s="33" t="n">
        <f aca="false">IF(E1934="","",E1934-C1934)</f>
        <v>-18.75</v>
      </c>
      <c r="J1934" s="33" t="n">
        <f aca="false">IF(F1934="","",F1934-C1934)</f>
        <v>-16.875</v>
      </c>
      <c r="K1934" s="33" t="n">
        <f aca="false">IF(G1934="","",G1934-C1934)</f>
        <v>-18.6380916342385</v>
      </c>
      <c r="L1934" s="33" t="n">
        <f aca="false">IF(H1934="","",ABS(H1934))</f>
        <v>19</v>
      </c>
      <c r="M1934" s="33" t="n">
        <f aca="false">IF(I1934="","",ABS(I1934))</f>
        <v>18.75</v>
      </c>
      <c r="N1934" s="33" t="n">
        <f aca="false">IF(J1934="","",ABS(J1934))</f>
        <v>16.875</v>
      </c>
      <c r="O1934" s="33" t="n">
        <f aca="false">IF(K1934="","",ABS(K1934))</f>
        <v>18.6380916342385</v>
      </c>
      <c r="P1934" s="34" t="str">
        <f aca="false">IF(B1934&gt;=Eval_Start_Week,"YES","")</f>
        <v>YES</v>
      </c>
      <c r="Q1934" s="34" t="str">
        <f aca="false">IF(AND(B1934&gt;=Cal_Start_Week,B1934&lt;=Cal_End_Week),"YES","")</f>
        <v>YES</v>
      </c>
    </row>
    <row r="1935" customFormat="false" ht="15" hidden="false" customHeight="false" outlineLevel="0" collapsed="false">
      <c r="A1935" s="31" t="str">
        <f aca="false">Demand_History!C1935</f>
        <v>BTH-009</v>
      </c>
      <c r="B1935" s="31" t="n">
        <f aca="false">Demand_History!A1935</f>
        <v>62</v>
      </c>
      <c r="C1935" s="32" t="n">
        <f aca="false">Demand_History!D1935</f>
        <v>41</v>
      </c>
      <c r="D1935" s="33" t="n">
        <f aca="false">IF(B1935&gt;=2,C1934,"")</f>
        <v>42</v>
      </c>
      <c r="E1935" s="33" t="n">
        <f aca="false">IF(B1935&gt;=5,AVERAGE(C1931:C1934),"")</f>
        <v>25</v>
      </c>
      <c r="F1935" s="33" t="n">
        <f aca="false">IF(B1935&gt;=9,AVERAGE(C1927:C1934),"")</f>
        <v>28.875</v>
      </c>
      <c r="G1935" s="33" t="n">
        <f aca="false">IF(B1935=1,"",IF(B1935=2,C1934,SES_Alpha*C1934+(1-SES_Alpha)*G1934))</f>
        <v>28.953335856033</v>
      </c>
      <c r="H1935" s="33" t="n">
        <f aca="false">IF(D1935="","",D1935-C1935)</f>
        <v>1</v>
      </c>
      <c r="I1935" s="33" t="n">
        <f aca="false">IF(E1935="","",E1935-C1935)</f>
        <v>-16</v>
      </c>
      <c r="J1935" s="33" t="n">
        <f aca="false">IF(F1935="","",F1935-C1935)</f>
        <v>-12.125</v>
      </c>
      <c r="K1935" s="33" t="n">
        <f aca="false">IF(G1935="","",G1935-C1935)</f>
        <v>-12.046664143967</v>
      </c>
      <c r="L1935" s="33" t="n">
        <f aca="false">IF(H1935="","",ABS(H1935))</f>
        <v>1</v>
      </c>
      <c r="M1935" s="33" t="n">
        <f aca="false">IF(I1935="","",ABS(I1935))</f>
        <v>16</v>
      </c>
      <c r="N1935" s="33" t="n">
        <f aca="false">IF(J1935="","",ABS(J1935))</f>
        <v>12.125</v>
      </c>
      <c r="O1935" s="33" t="n">
        <f aca="false">IF(K1935="","",ABS(K1935))</f>
        <v>12.046664143967</v>
      </c>
      <c r="P1935" s="34" t="str">
        <f aca="false">IF(B1935&gt;=Eval_Start_Week,"YES","")</f>
        <v>YES</v>
      </c>
      <c r="Q1935" s="34" t="str">
        <f aca="false">IF(AND(B1935&gt;=Cal_Start_Week,B1935&lt;=Cal_End_Week),"YES","")</f>
        <v>YES</v>
      </c>
    </row>
    <row r="1936" customFormat="false" ht="15" hidden="false" customHeight="false" outlineLevel="0" collapsed="false">
      <c r="A1936" s="31" t="str">
        <f aca="false">Demand_History!C1936</f>
        <v>BTH-009</v>
      </c>
      <c r="B1936" s="31" t="n">
        <f aca="false">Demand_History!A1936</f>
        <v>63</v>
      </c>
      <c r="C1936" s="32" t="n">
        <f aca="false">Demand_History!D1936</f>
        <v>25</v>
      </c>
      <c r="D1936" s="33" t="n">
        <f aca="false">IF(B1936&gt;=2,C1935,"")</f>
        <v>41</v>
      </c>
      <c r="E1936" s="33" t="n">
        <f aca="false">IF(B1936&gt;=5,AVERAGE(C1932:C1935),"")</f>
        <v>30.25</v>
      </c>
      <c r="F1936" s="33" t="n">
        <f aca="false">IF(B1936&gt;=9,AVERAGE(C1928:C1935),"")</f>
        <v>30.125</v>
      </c>
      <c r="G1936" s="33" t="n">
        <f aca="false">IF(B1936=1,"",IF(B1936=2,C1935,SES_Alpha*C1935+(1-SES_Alpha)*G1935))</f>
        <v>32.5673350992231</v>
      </c>
      <c r="H1936" s="33" t="n">
        <f aca="false">IF(D1936="","",D1936-C1936)</f>
        <v>16</v>
      </c>
      <c r="I1936" s="33" t="n">
        <f aca="false">IF(E1936="","",E1936-C1936)</f>
        <v>5.25</v>
      </c>
      <c r="J1936" s="33" t="n">
        <f aca="false">IF(F1936="","",F1936-C1936)</f>
        <v>5.125</v>
      </c>
      <c r="K1936" s="33" t="n">
        <f aca="false">IF(G1936="","",G1936-C1936)</f>
        <v>7.56733509922312</v>
      </c>
      <c r="L1936" s="33" t="n">
        <f aca="false">IF(H1936="","",ABS(H1936))</f>
        <v>16</v>
      </c>
      <c r="M1936" s="33" t="n">
        <f aca="false">IF(I1936="","",ABS(I1936))</f>
        <v>5.25</v>
      </c>
      <c r="N1936" s="33" t="n">
        <f aca="false">IF(J1936="","",ABS(J1936))</f>
        <v>5.125</v>
      </c>
      <c r="O1936" s="33" t="n">
        <f aca="false">IF(K1936="","",ABS(K1936))</f>
        <v>7.56733509922312</v>
      </c>
      <c r="P1936" s="34" t="str">
        <f aca="false">IF(B1936&gt;=Eval_Start_Week,"YES","")</f>
        <v>YES</v>
      </c>
      <c r="Q1936" s="34" t="str">
        <f aca="false">IF(AND(B1936&gt;=Cal_Start_Week,B1936&lt;=Cal_End_Week),"YES","")</f>
        <v>YES</v>
      </c>
    </row>
    <row r="1937" customFormat="false" ht="15" hidden="false" customHeight="false" outlineLevel="0" collapsed="false">
      <c r="A1937" s="31" t="str">
        <f aca="false">Demand_History!C1937</f>
        <v>BTH-009</v>
      </c>
      <c r="B1937" s="31" t="n">
        <f aca="false">Demand_History!A1937</f>
        <v>64</v>
      </c>
      <c r="C1937" s="32" t="n">
        <f aca="false">Demand_History!D1937</f>
        <v>42</v>
      </c>
      <c r="D1937" s="33" t="n">
        <f aca="false">IF(B1937&gt;=2,C1936,"")</f>
        <v>25</v>
      </c>
      <c r="E1937" s="33" t="n">
        <f aca="false">IF(B1937&gt;=5,AVERAGE(C1933:C1936),"")</f>
        <v>32.75</v>
      </c>
      <c r="F1937" s="33" t="n">
        <f aca="false">IF(B1937&gt;=9,AVERAGE(C1929:C1936),"")</f>
        <v>28.625</v>
      </c>
      <c r="G1937" s="33" t="n">
        <f aca="false">IF(B1937=1,"",IF(B1937=2,C1936,SES_Alpha*C1936+(1-SES_Alpha)*G1936))</f>
        <v>30.2971345694562</v>
      </c>
      <c r="H1937" s="33" t="n">
        <f aca="false">IF(D1937="","",D1937-C1937)</f>
        <v>-17</v>
      </c>
      <c r="I1937" s="33" t="n">
        <f aca="false">IF(E1937="","",E1937-C1937)</f>
        <v>-9.25</v>
      </c>
      <c r="J1937" s="33" t="n">
        <f aca="false">IF(F1937="","",F1937-C1937)</f>
        <v>-13.375</v>
      </c>
      <c r="K1937" s="33" t="n">
        <f aca="false">IF(G1937="","",G1937-C1937)</f>
        <v>-11.7028654305438</v>
      </c>
      <c r="L1937" s="33" t="n">
        <f aca="false">IF(H1937="","",ABS(H1937))</f>
        <v>17</v>
      </c>
      <c r="M1937" s="33" t="n">
        <f aca="false">IF(I1937="","",ABS(I1937))</f>
        <v>9.25</v>
      </c>
      <c r="N1937" s="33" t="n">
        <f aca="false">IF(J1937="","",ABS(J1937))</f>
        <v>13.375</v>
      </c>
      <c r="O1937" s="33" t="n">
        <f aca="false">IF(K1937="","",ABS(K1937))</f>
        <v>11.7028654305438</v>
      </c>
      <c r="P1937" s="34" t="str">
        <f aca="false">IF(B1937&gt;=Eval_Start_Week,"YES","")</f>
        <v>YES</v>
      </c>
      <c r="Q1937" s="34" t="str">
        <f aca="false">IF(AND(B1937&gt;=Cal_Start_Week,B1937&lt;=Cal_End_Week),"YES","")</f>
        <v>YES</v>
      </c>
    </row>
    <row r="1938" customFormat="false" ht="15" hidden="false" customHeight="false" outlineLevel="0" collapsed="false">
      <c r="A1938" s="31" t="str">
        <f aca="false">Demand_History!C1938</f>
        <v>BTH-009</v>
      </c>
      <c r="B1938" s="31" t="n">
        <f aca="false">Demand_History!A1938</f>
        <v>65</v>
      </c>
      <c r="C1938" s="32" t="n">
        <f aca="false">Demand_History!D1938</f>
        <v>27</v>
      </c>
      <c r="D1938" s="33" t="n">
        <f aca="false">IF(B1938&gt;=2,C1937,"")</f>
        <v>42</v>
      </c>
      <c r="E1938" s="33" t="n">
        <f aca="false">IF(B1938&gt;=5,AVERAGE(C1934:C1937),"")</f>
        <v>37.5</v>
      </c>
      <c r="F1938" s="33" t="n">
        <f aca="false">IF(B1938&gt;=9,AVERAGE(C1930:C1937),"")</f>
        <v>30.375</v>
      </c>
      <c r="G1938" s="33" t="n">
        <f aca="false">IF(B1938=1,"",IF(B1938=2,C1937,SES_Alpha*C1937+(1-SES_Alpha)*G1937))</f>
        <v>33.8079941986193</v>
      </c>
      <c r="H1938" s="33" t="n">
        <f aca="false">IF(D1938="","",D1938-C1938)</f>
        <v>15</v>
      </c>
      <c r="I1938" s="33" t="n">
        <f aca="false">IF(E1938="","",E1938-C1938)</f>
        <v>10.5</v>
      </c>
      <c r="J1938" s="33" t="n">
        <f aca="false">IF(F1938="","",F1938-C1938)</f>
        <v>3.375</v>
      </c>
      <c r="K1938" s="33" t="n">
        <f aca="false">IF(G1938="","",G1938-C1938)</f>
        <v>6.80799419861933</v>
      </c>
      <c r="L1938" s="33" t="n">
        <f aca="false">IF(H1938="","",ABS(H1938))</f>
        <v>15</v>
      </c>
      <c r="M1938" s="33" t="n">
        <f aca="false">IF(I1938="","",ABS(I1938))</f>
        <v>10.5</v>
      </c>
      <c r="N1938" s="33" t="n">
        <f aca="false">IF(J1938="","",ABS(J1938))</f>
        <v>3.375</v>
      </c>
      <c r="O1938" s="33" t="n">
        <f aca="false">IF(K1938="","",ABS(K1938))</f>
        <v>6.80799419861933</v>
      </c>
      <c r="P1938" s="34" t="str">
        <f aca="false">IF(B1938&gt;=Eval_Start_Week,"YES","")</f>
        <v>YES</v>
      </c>
      <c r="Q1938" s="34" t="str">
        <f aca="false">IF(AND(B1938&gt;=Cal_Start_Week,B1938&lt;=Cal_End_Week),"YES","")</f>
        <v>YES</v>
      </c>
    </row>
    <row r="1939" customFormat="false" ht="15" hidden="false" customHeight="false" outlineLevel="0" collapsed="false">
      <c r="A1939" s="31" t="str">
        <f aca="false">Demand_History!C1939</f>
        <v>BTH-009</v>
      </c>
      <c r="B1939" s="31" t="n">
        <f aca="false">Demand_History!A1939</f>
        <v>66</v>
      </c>
      <c r="C1939" s="32" t="n">
        <f aca="false">Demand_History!D1939</f>
        <v>46</v>
      </c>
      <c r="D1939" s="33" t="n">
        <f aca="false">IF(B1939&gt;=2,C1938,"")</f>
        <v>27</v>
      </c>
      <c r="E1939" s="33" t="n">
        <f aca="false">IF(B1939&gt;=5,AVERAGE(C1935:C1938),"")</f>
        <v>33.75</v>
      </c>
      <c r="F1939" s="33" t="n">
        <f aca="false">IF(B1939&gt;=9,AVERAGE(C1931:C1938),"")</f>
        <v>29.375</v>
      </c>
      <c r="G1939" s="33" t="n">
        <f aca="false">IF(B1939=1,"",IF(B1939=2,C1938,SES_Alpha*C1938+(1-SES_Alpha)*G1938))</f>
        <v>31.7655959390335</v>
      </c>
      <c r="H1939" s="33" t="n">
        <f aca="false">IF(D1939="","",D1939-C1939)</f>
        <v>-19</v>
      </c>
      <c r="I1939" s="33" t="n">
        <f aca="false">IF(E1939="","",E1939-C1939)</f>
        <v>-12.25</v>
      </c>
      <c r="J1939" s="33" t="n">
        <f aca="false">IF(F1939="","",F1939-C1939)</f>
        <v>-16.625</v>
      </c>
      <c r="K1939" s="33" t="n">
        <f aca="false">IF(G1939="","",G1939-C1939)</f>
        <v>-14.2344040609665</v>
      </c>
      <c r="L1939" s="33" t="n">
        <f aca="false">IF(H1939="","",ABS(H1939))</f>
        <v>19</v>
      </c>
      <c r="M1939" s="33" t="n">
        <f aca="false">IF(I1939="","",ABS(I1939))</f>
        <v>12.25</v>
      </c>
      <c r="N1939" s="33" t="n">
        <f aca="false">IF(J1939="","",ABS(J1939))</f>
        <v>16.625</v>
      </c>
      <c r="O1939" s="33" t="n">
        <f aca="false">IF(K1939="","",ABS(K1939))</f>
        <v>14.2344040609665</v>
      </c>
      <c r="P1939" s="34" t="str">
        <f aca="false">IF(B1939&gt;=Eval_Start_Week,"YES","")</f>
        <v>YES</v>
      </c>
      <c r="Q1939" s="34" t="str">
        <f aca="false">IF(AND(B1939&gt;=Cal_Start_Week,B1939&lt;=Cal_End_Week),"YES","")</f>
        <v>YES</v>
      </c>
    </row>
    <row r="1940" customFormat="false" ht="15" hidden="false" customHeight="false" outlineLevel="0" collapsed="false">
      <c r="A1940" s="31" t="str">
        <f aca="false">Demand_History!C1940</f>
        <v>BTH-009</v>
      </c>
      <c r="B1940" s="31" t="n">
        <f aca="false">Demand_History!A1940</f>
        <v>67</v>
      </c>
      <c r="C1940" s="32" t="n">
        <f aca="false">Demand_History!D1940</f>
        <v>35</v>
      </c>
      <c r="D1940" s="33" t="n">
        <f aca="false">IF(B1940&gt;=2,C1939,"")</f>
        <v>46</v>
      </c>
      <c r="E1940" s="33" t="n">
        <f aca="false">IF(B1940&gt;=5,AVERAGE(C1936:C1939),"")</f>
        <v>35</v>
      </c>
      <c r="F1940" s="33" t="n">
        <f aca="false">IF(B1940&gt;=9,AVERAGE(C1932:C1939),"")</f>
        <v>32.625</v>
      </c>
      <c r="G1940" s="33" t="n">
        <f aca="false">IF(B1940=1,"",IF(B1940=2,C1939,SES_Alpha*C1939+(1-SES_Alpha)*G1939))</f>
        <v>36.0359171573235</v>
      </c>
      <c r="H1940" s="33" t="n">
        <f aca="false">IF(D1940="","",D1940-C1940)</f>
        <v>11</v>
      </c>
      <c r="I1940" s="33" t="n">
        <f aca="false">IF(E1940="","",E1940-C1940)</f>
        <v>0</v>
      </c>
      <c r="J1940" s="33" t="n">
        <f aca="false">IF(F1940="","",F1940-C1940)</f>
        <v>-2.375</v>
      </c>
      <c r="K1940" s="33" t="n">
        <f aca="false">IF(G1940="","",G1940-C1940)</f>
        <v>1.03591715732347</v>
      </c>
      <c r="L1940" s="33" t="n">
        <f aca="false">IF(H1940="","",ABS(H1940))</f>
        <v>11</v>
      </c>
      <c r="M1940" s="33" t="n">
        <f aca="false">IF(I1940="","",ABS(I1940))</f>
        <v>0</v>
      </c>
      <c r="N1940" s="33" t="n">
        <f aca="false">IF(J1940="","",ABS(J1940))</f>
        <v>2.375</v>
      </c>
      <c r="O1940" s="33" t="n">
        <f aca="false">IF(K1940="","",ABS(K1940))</f>
        <v>1.03591715732347</v>
      </c>
      <c r="P1940" s="34" t="str">
        <f aca="false">IF(B1940&gt;=Eval_Start_Week,"YES","")</f>
        <v>YES</v>
      </c>
      <c r="Q1940" s="34" t="str">
        <f aca="false">IF(AND(B1940&gt;=Cal_Start_Week,B1940&lt;=Cal_End_Week),"YES","")</f>
        <v>YES</v>
      </c>
    </row>
    <row r="1941" customFormat="false" ht="15" hidden="false" customHeight="false" outlineLevel="0" collapsed="false">
      <c r="A1941" s="31" t="str">
        <f aca="false">Demand_History!C1941</f>
        <v>BTH-009</v>
      </c>
      <c r="B1941" s="31" t="n">
        <f aca="false">Demand_History!A1941</f>
        <v>68</v>
      </c>
      <c r="C1941" s="32" t="n">
        <f aca="false">Demand_History!D1941</f>
        <v>25</v>
      </c>
      <c r="D1941" s="33" t="n">
        <f aca="false">IF(B1941&gt;=2,C1940,"")</f>
        <v>35</v>
      </c>
      <c r="E1941" s="33" t="n">
        <f aca="false">IF(B1941&gt;=5,AVERAGE(C1937:C1940),"")</f>
        <v>37.5</v>
      </c>
      <c r="F1941" s="33" t="n">
        <f aca="false">IF(B1941&gt;=9,AVERAGE(C1933:C1940),"")</f>
        <v>35.125</v>
      </c>
      <c r="G1941" s="33" t="n">
        <f aca="false">IF(B1941=1,"",IF(B1941=2,C1940,SES_Alpha*C1940+(1-SES_Alpha)*G1940))</f>
        <v>35.7251420101264</v>
      </c>
      <c r="H1941" s="33" t="n">
        <f aca="false">IF(D1941="","",D1941-C1941)</f>
        <v>10</v>
      </c>
      <c r="I1941" s="33" t="n">
        <f aca="false">IF(E1941="","",E1941-C1941)</f>
        <v>12.5</v>
      </c>
      <c r="J1941" s="33" t="n">
        <f aca="false">IF(F1941="","",F1941-C1941)</f>
        <v>10.125</v>
      </c>
      <c r="K1941" s="33" t="n">
        <f aca="false">IF(G1941="","",G1941-C1941)</f>
        <v>10.7251420101264</v>
      </c>
      <c r="L1941" s="33" t="n">
        <f aca="false">IF(H1941="","",ABS(H1941))</f>
        <v>10</v>
      </c>
      <c r="M1941" s="33" t="n">
        <f aca="false">IF(I1941="","",ABS(I1941))</f>
        <v>12.5</v>
      </c>
      <c r="N1941" s="33" t="n">
        <f aca="false">IF(J1941="","",ABS(J1941))</f>
        <v>10.125</v>
      </c>
      <c r="O1941" s="33" t="n">
        <f aca="false">IF(K1941="","",ABS(K1941))</f>
        <v>10.7251420101264</v>
      </c>
      <c r="P1941" s="34" t="str">
        <f aca="false">IF(B1941&gt;=Eval_Start_Week,"YES","")</f>
        <v>YES</v>
      </c>
      <c r="Q1941" s="34" t="str">
        <f aca="false">IF(AND(B1941&gt;=Cal_Start_Week,B1941&lt;=Cal_End_Week),"YES","")</f>
        <v>YES</v>
      </c>
    </row>
    <row r="1942" customFormat="false" ht="15" hidden="false" customHeight="false" outlineLevel="0" collapsed="false">
      <c r="A1942" s="31" t="str">
        <f aca="false">Demand_History!C1942</f>
        <v>BTH-009</v>
      </c>
      <c r="B1942" s="31" t="n">
        <f aca="false">Demand_History!A1942</f>
        <v>69</v>
      </c>
      <c r="C1942" s="32" t="n">
        <f aca="false">Demand_History!D1942</f>
        <v>38</v>
      </c>
      <c r="D1942" s="33" t="n">
        <f aca="false">IF(B1942&gt;=2,C1941,"")</f>
        <v>25</v>
      </c>
      <c r="E1942" s="33" t="n">
        <f aca="false">IF(B1942&gt;=5,AVERAGE(C1938:C1941),"")</f>
        <v>33.25</v>
      </c>
      <c r="F1942" s="33" t="n">
        <f aca="false">IF(B1942&gt;=9,AVERAGE(C1934:C1941),"")</f>
        <v>35.375</v>
      </c>
      <c r="G1942" s="33" t="n">
        <f aca="false">IF(B1942=1,"",IF(B1942=2,C1941,SES_Alpha*C1941+(1-SES_Alpha)*G1941))</f>
        <v>32.5075994070885</v>
      </c>
      <c r="H1942" s="33" t="n">
        <f aca="false">IF(D1942="","",D1942-C1942)</f>
        <v>-13</v>
      </c>
      <c r="I1942" s="33" t="n">
        <f aca="false">IF(E1942="","",E1942-C1942)</f>
        <v>-4.75</v>
      </c>
      <c r="J1942" s="33" t="n">
        <f aca="false">IF(F1942="","",F1942-C1942)</f>
        <v>-2.625</v>
      </c>
      <c r="K1942" s="33" t="n">
        <f aca="false">IF(G1942="","",G1942-C1942)</f>
        <v>-5.49240059291151</v>
      </c>
      <c r="L1942" s="33" t="n">
        <f aca="false">IF(H1942="","",ABS(H1942))</f>
        <v>13</v>
      </c>
      <c r="M1942" s="33" t="n">
        <f aca="false">IF(I1942="","",ABS(I1942))</f>
        <v>4.75</v>
      </c>
      <c r="N1942" s="33" t="n">
        <f aca="false">IF(J1942="","",ABS(J1942))</f>
        <v>2.625</v>
      </c>
      <c r="O1942" s="33" t="n">
        <f aca="false">IF(K1942="","",ABS(K1942))</f>
        <v>5.49240059291151</v>
      </c>
      <c r="P1942" s="34" t="str">
        <f aca="false">IF(B1942&gt;=Eval_Start_Week,"YES","")</f>
        <v>YES</v>
      </c>
      <c r="Q1942" s="34" t="str">
        <f aca="false">IF(AND(B1942&gt;=Cal_Start_Week,B1942&lt;=Cal_End_Week),"YES","")</f>
        <v>YES</v>
      </c>
    </row>
    <row r="1943" customFormat="false" ht="15" hidden="false" customHeight="false" outlineLevel="0" collapsed="false">
      <c r="A1943" s="31" t="str">
        <f aca="false">Demand_History!C1943</f>
        <v>BTH-009</v>
      </c>
      <c r="B1943" s="31" t="n">
        <f aca="false">Demand_History!A1943</f>
        <v>70</v>
      </c>
      <c r="C1943" s="32" t="n">
        <f aca="false">Demand_History!D1943</f>
        <v>22</v>
      </c>
      <c r="D1943" s="33" t="n">
        <f aca="false">IF(B1943&gt;=2,C1942,"")</f>
        <v>38</v>
      </c>
      <c r="E1943" s="33" t="n">
        <f aca="false">IF(B1943&gt;=5,AVERAGE(C1939:C1942),"")</f>
        <v>36</v>
      </c>
      <c r="F1943" s="33" t="n">
        <f aca="false">IF(B1943&gt;=9,AVERAGE(C1935:C1942),"")</f>
        <v>34.875</v>
      </c>
      <c r="G1943" s="33" t="n">
        <f aca="false">IF(B1943=1,"",IF(B1943=2,C1942,SES_Alpha*C1942+(1-SES_Alpha)*G1942))</f>
        <v>34.1553195849619</v>
      </c>
      <c r="H1943" s="33" t="n">
        <f aca="false">IF(D1943="","",D1943-C1943)</f>
        <v>16</v>
      </c>
      <c r="I1943" s="33" t="n">
        <f aca="false">IF(E1943="","",E1943-C1943)</f>
        <v>14</v>
      </c>
      <c r="J1943" s="33" t="n">
        <f aca="false">IF(F1943="","",F1943-C1943)</f>
        <v>12.875</v>
      </c>
      <c r="K1943" s="33" t="n">
        <f aca="false">IF(G1943="","",G1943-C1943)</f>
        <v>12.1553195849619</v>
      </c>
      <c r="L1943" s="33" t="n">
        <f aca="false">IF(H1943="","",ABS(H1943))</f>
        <v>16</v>
      </c>
      <c r="M1943" s="33" t="n">
        <f aca="false">IF(I1943="","",ABS(I1943))</f>
        <v>14</v>
      </c>
      <c r="N1943" s="33" t="n">
        <f aca="false">IF(J1943="","",ABS(J1943))</f>
        <v>12.875</v>
      </c>
      <c r="O1943" s="33" t="n">
        <f aca="false">IF(K1943="","",ABS(K1943))</f>
        <v>12.1553195849619</v>
      </c>
      <c r="P1943" s="34" t="str">
        <f aca="false">IF(B1943&gt;=Eval_Start_Week,"YES","")</f>
        <v>YES</v>
      </c>
      <c r="Q1943" s="34" t="str">
        <f aca="false">IF(AND(B1943&gt;=Cal_Start_Week,B1943&lt;=Cal_End_Week),"YES","")</f>
        <v>YES</v>
      </c>
    </row>
    <row r="1944" customFormat="false" ht="15" hidden="false" customHeight="false" outlineLevel="0" collapsed="false">
      <c r="A1944" s="31" t="str">
        <f aca="false">Demand_History!C1944</f>
        <v>BTH-009</v>
      </c>
      <c r="B1944" s="31" t="n">
        <f aca="false">Demand_History!A1944</f>
        <v>71</v>
      </c>
      <c r="C1944" s="32" t="n">
        <f aca="false">Demand_History!D1944</f>
        <v>20</v>
      </c>
      <c r="D1944" s="33" t="n">
        <f aca="false">IF(B1944&gt;=2,C1943,"")</f>
        <v>22</v>
      </c>
      <c r="E1944" s="33" t="n">
        <f aca="false">IF(B1944&gt;=5,AVERAGE(C1940:C1943),"")</f>
        <v>30</v>
      </c>
      <c r="F1944" s="33" t="n">
        <f aca="false">IF(B1944&gt;=9,AVERAGE(C1936:C1943),"")</f>
        <v>32.5</v>
      </c>
      <c r="G1944" s="33" t="n">
        <f aca="false">IF(B1944=1,"",IF(B1944=2,C1943,SES_Alpha*C1943+(1-SES_Alpha)*G1943))</f>
        <v>30.5087237094734</v>
      </c>
      <c r="H1944" s="33" t="n">
        <f aca="false">IF(D1944="","",D1944-C1944)</f>
        <v>2</v>
      </c>
      <c r="I1944" s="33" t="n">
        <f aca="false">IF(E1944="","",E1944-C1944)</f>
        <v>10</v>
      </c>
      <c r="J1944" s="33" t="n">
        <f aca="false">IF(F1944="","",F1944-C1944)</f>
        <v>12.5</v>
      </c>
      <c r="K1944" s="33" t="n">
        <f aca="false">IF(G1944="","",G1944-C1944)</f>
        <v>10.5087237094734</v>
      </c>
      <c r="L1944" s="33" t="n">
        <f aca="false">IF(H1944="","",ABS(H1944))</f>
        <v>2</v>
      </c>
      <c r="M1944" s="33" t="n">
        <f aca="false">IF(I1944="","",ABS(I1944))</f>
        <v>10</v>
      </c>
      <c r="N1944" s="33" t="n">
        <f aca="false">IF(J1944="","",ABS(J1944))</f>
        <v>12.5</v>
      </c>
      <c r="O1944" s="33" t="n">
        <f aca="false">IF(K1944="","",ABS(K1944))</f>
        <v>10.5087237094734</v>
      </c>
      <c r="P1944" s="34" t="str">
        <f aca="false">IF(B1944&gt;=Eval_Start_Week,"YES","")</f>
        <v>YES</v>
      </c>
      <c r="Q1944" s="34" t="str">
        <f aca="false">IF(AND(B1944&gt;=Cal_Start_Week,B1944&lt;=Cal_End_Week),"YES","")</f>
        <v>YES</v>
      </c>
    </row>
    <row r="1945" customFormat="false" ht="15" hidden="false" customHeight="false" outlineLevel="0" collapsed="false">
      <c r="A1945" s="31" t="str">
        <f aca="false">Demand_History!C1945</f>
        <v>BTH-009</v>
      </c>
      <c r="B1945" s="31" t="n">
        <f aca="false">Demand_History!A1945</f>
        <v>72</v>
      </c>
      <c r="C1945" s="32" t="n">
        <f aca="false">Demand_History!D1945</f>
        <v>15</v>
      </c>
      <c r="D1945" s="33" t="n">
        <f aca="false">IF(B1945&gt;=2,C1944,"")</f>
        <v>20</v>
      </c>
      <c r="E1945" s="33" t="n">
        <f aca="false">IF(B1945&gt;=5,AVERAGE(C1941:C1944),"")</f>
        <v>26.25</v>
      </c>
      <c r="F1945" s="33" t="n">
        <f aca="false">IF(B1945&gt;=9,AVERAGE(C1937:C1944),"")</f>
        <v>31.875</v>
      </c>
      <c r="G1945" s="33" t="n">
        <f aca="false">IF(B1945=1,"",IF(B1945=2,C1944,SES_Alpha*C1944+(1-SES_Alpha)*G1944))</f>
        <v>27.3561065966314</v>
      </c>
      <c r="H1945" s="33" t="n">
        <f aca="false">IF(D1945="","",D1945-C1945)</f>
        <v>5</v>
      </c>
      <c r="I1945" s="33" t="n">
        <f aca="false">IF(E1945="","",E1945-C1945)</f>
        <v>11.25</v>
      </c>
      <c r="J1945" s="33" t="n">
        <f aca="false">IF(F1945="","",F1945-C1945)</f>
        <v>16.875</v>
      </c>
      <c r="K1945" s="33" t="n">
        <f aca="false">IF(G1945="","",G1945-C1945)</f>
        <v>12.3561065966314</v>
      </c>
      <c r="L1945" s="33" t="n">
        <f aca="false">IF(H1945="","",ABS(H1945))</f>
        <v>5</v>
      </c>
      <c r="M1945" s="33" t="n">
        <f aca="false">IF(I1945="","",ABS(I1945))</f>
        <v>11.25</v>
      </c>
      <c r="N1945" s="33" t="n">
        <f aca="false">IF(J1945="","",ABS(J1945))</f>
        <v>16.875</v>
      </c>
      <c r="O1945" s="33" t="n">
        <f aca="false">IF(K1945="","",ABS(K1945))</f>
        <v>12.3561065966314</v>
      </c>
      <c r="P1945" s="34" t="str">
        <f aca="false">IF(B1945&gt;=Eval_Start_Week,"YES","")</f>
        <v>YES</v>
      </c>
      <c r="Q1945" s="34" t="str">
        <f aca="false">IF(AND(B1945&gt;=Cal_Start_Week,B1945&lt;=Cal_End_Week),"YES","")</f>
        <v>YES</v>
      </c>
    </row>
    <row r="1946" customFormat="false" ht="15" hidden="false" customHeight="false" outlineLevel="0" collapsed="false">
      <c r="A1946" s="31" t="str">
        <f aca="false">Demand_History!C1946</f>
        <v>BTH-009</v>
      </c>
      <c r="B1946" s="31" t="n">
        <f aca="false">Demand_History!A1946</f>
        <v>73</v>
      </c>
      <c r="C1946" s="32" t="n">
        <f aca="false">Demand_History!D1946</f>
        <v>33</v>
      </c>
      <c r="D1946" s="33" t="n">
        <f aca="false">IF(B1946&gt;=2,C1945,"")</f>
        <v>15</v>
      </c>
      <c r="E1946" s="33" t="n">
        <f aca="false">IF(B1946&gt;=5,AVERAGE(C1942:C1945),"")</f>
        <v>23.75</v>
      </c>
      <c r="F1946" s="33" t="n">
        <f aca="false">IF(B1946&gt;=9,AVERAGE(C1938:C1945),"")</f>
        <v>28.5</v>
      </c>
      <c r="G1946" s="33" t="n">
        <f aca="false">IF(B1946=1,"",IF(B1946=2,C1945,SES_Alpha*C1945+(1-SES_Alpha)*G1945))</f>
        <v>23.6492746176419</v>
      </c>
      <c r="H1946" s="33" t="n">
        <f aca="false">IF(D1946="","",D1946-C1946)</f>
        <v>-18</v>
      </c>
      <c r="I1946" s="33" t="n">
        <f aca="false">IF(E1946="","",E1946-C1946)</f>
        <v>-9.25</v>
      </c>
      <c r="J1946" s="33" t="n">
        <f aca="false">IF(F1946="","",F1946-C1946)</f>
        <v>-4.5</v>
      </c>
      <c r="K1946" s="33" t="n">
        <f aca="false">IF(G1946="","",G1946-C1946)</f>
        <v>-9.35072538235806</v>
      </c>
      <c r="L1946" s="33" t="n">
        <f aca="false">IF(H1946="","",ABS(H1946))</f>
        <v>18</v>
      </c>
      <c r="M1946" s="33" t="n">
        <f aca="false">IF(I1946="","",ABS(I1946))</f>
        <v>9.25</v>
      </c>
      <c r="N1946" s="33" t="n">
        <f aca="false">IF(J1946="","",ABS(J1946))</f>
        <v>4.5</v>
      </c>
      <c r="O1946" s="33" t="n">
        <f aca="false">IF(K1946="","",ABS(K1946))</f>
        <v>9.35072538235806</v>
      </c>
      <c r="P1946" s="34" t="str">
        <f aca="false">IF(B1946&gt;=Eval_Start_Week,"YES","")</f>
        <v>YES</v>
      </c>
      <c r="Q1946" s="34" t="str">
        <f aca="false">IF(AND(B1946&gt;=Cal_Start_Week,B1946&lt;=Cal_End_Week),"YES","")</f>
        <v>YES</v>
      </c>
    </row>
    <row r="1947" customFormat="false" ht="15" hidden="false" customHeight="false" outlineLevel="0" collapsed="false">
      <c r="A1947" s="31" t="str">
        <f aca="false">Demand_History!C1947</f>
        <v>BTH-009</v>
      </c>
      <c r="B1947" s="31" t="n">
        <f aca="false">Demand_History!A1947</f>
        <v>74</v>
      </c>
      <c r="C1947" s="32" t="n">
        <f aca="false">Demand_History!D1947</f>
        <v>29</v>
      </c>
      <c r="D1947" s="33" t="n">
        <f aca="false">IF(B1947&gt;=2,C1946,"")</f>
        <v>33</v>
      </c>
      <c r="E1947" s="33" t="n">
        <f aca="false">IF(B1947&gt;=5,AVERAGE(C1943:C1946),"")</f>
        <v>22.5</v>
      </c>
      <c r="F1947" s="33" t="n">
        <f aca="false">IF(B1947&gt;=9,AVERAGE(C1939:C1946),"")</f>
        <v>29.25</v>
      </c>
      <c r="G1947" s="33" t="n">
        <f aca="false">IF(B1947=1,"",IF(B1947=2,C1946,SES_Alpha*C1946+(1-SES_Alpha)*G1946))</f>
        <v>26.4544922323494</v>
      </c>
      <c r="H1947" s="33" t="n">
        <f aca="false">IF(D1947="","",D1947-C1947)</f>
        <v>4</v>
      </c>
      <c r="I1947" s="33" t="n">
        <f aca="false">IF(E1947="","",E1947-C1947)</f>
        <v>-6.5</v>
      </c>
      <c r="J1947" s="33" t="n">
        <f aca="false">IF(F1947="","",F1947-C1947)</f>
        <v>0.25</v>
      </c>
      <c r="K1947" s="33" t="n">
        <f aca="false">IF(G1947="","",G1947-C1947)</f>
        <v>-2.54550776765064</v>
      </c>
      <c r="L1947" s="33" t="n">
        <f aca="false">IF(H1947="","",ABS(H1947))</f>
        <v>4</v>
      </c>
      <c r="M1947" s="33" t="n">
        <f aca="false">IF(I1947="","",ABS(I1947))</f>
        <v>6.5</v>
      </c>
      <c r="N1947" s="33" t="n">
        <f aca="false">IF(J1947="","",ABS(J1947))</f>
        <v>0.25</v>
      </c>
      <c r="O1947" s="33" t="n">
        <f aca="false">IF(K1947="","",ABS(K1947))</f>
        <v>2.54550776765064</v>
      </c>
      <c r="P1947" s="34" t="str">
        <f aca="false">IF(B1947&gt;=Eval_Start_Week,"YES","")</f>
        <v>YES</v>
      </c>
      <c r="Q1947" s="34" t="str">
        <f aca="false">IF(AND(B1947&gt;=Cal_Start_Week,B1947&lt;=Cal_End_Week),"YES","")</f>
        <v>YES</v>
      </c>
    </row>
    <row r="1948" customFormat="false" ht="15" hidden="false" customHeight="false" outlineLevel="0" collapsed="false">
      <c r="A1948" s="31" t="str">
        <f aca="false">Demand_History!C1948</f>
        <v>BTH-009</v>
      </c>
      <c r="B1948" s="31" t="n">
        <f aca="false">Demand_History!A1948</f>
        <v>75</v>
      </c>
      <c r="C1948" s="32" t="n">
        <f aca="false">Demand_History!D1948</f>
        <v>29</v>
      </c>
      <c r="D1948" s="33" t="n">
        <f aca="false">IF(B1948&gt;=2,C1947,"")</f>
        <v>29</v>
      </c>
      <c r="E1948" s="33" t="n">
        <f aca="false">IF(B1948&gt;=5,AVERAGE(C1944:C1947),"")</f>
        <v>24.25</v>
      </c>
      <c r="F1948" s="33" t="n">
        <f aca="false">IF(B1948&gt;=9,AVERAGE(C1940:C1947),"")</f>
        <v>27.125</v>
      </c>
      <c r="G1948" s="33" t="n">
        <f aca="false">IF(B1948=1,"",IF(B1948=2,C1947,SES_Alpha*C1947+(1-SES_Alpha)*G1947))</f>
        <v>27.2181445626446</v>
      </c>
      <c r="H1948" s="33" t="n">
        <f aca="false">IF(D1948="","",D1948-C1948)</f>
        <v>0</v>
      </c>
      <c r="I1948" s="33" t="n">
        <f aca="false">IF(E1948="","",E1948-C1948)</f>
        <v>-4.75</v>
      </c>
      <c r="J1948" s="33" t="n">
        <f aca="false">IF(F1948="","",F1948-C1948)</f>
        <v>-1.875</v>
      </c>
      <c r="K1948" s="33" t="n">
        <f aca="false">IF(G1948="","",G1948-C1948)</f>
        <v>-1.78185543735545</v>
      </c>
      <c r="L1948" s="33" t="n">
        <f aca="false">IF(H1948="","",ABS(H1948))</f>
        <v>0</v>
      </c>
      <c r="M1948" s="33" t="n">
        <f aca="false">IF(I1948="","",ABS(I1948))</f>
        <v>4.75</v>
      </c>
      <c r="N1948" s="33" t="n">
        <f aca="false">IF(J1948="","",ABS(J1948))</f>
        <v>1.875</v>
      </c>
      <c r="O1948" s="33" t="n">
        <f aca="false">IF(K1948="","",ABS(K1948))</f>
        <v>1.78185543735545</v>
      </c>
      <c r="P1948" s="34" t="str">
        <f aca="false">IF(B1948&gt;=Eval_Start_Week,"YES","")</f>
        <v>YES</v>
      </c>
      <c r="Q1948" s="34" t="str">
        <f aca="false">IF(AND(B1948&gt;=Cal_Start_Week,B1948&lt;=Cal_End_Week),"YES","")</f>
        <v>YES</v>
      </c>
    </row>
    <row r="1949" customFormat="false" ht="15" hidden="false" customHeight="false" outlineLevel="0" collapsed="false">
      <c r="A1949" s="31" t="str">
        <f aca="false">Demand_History!C1949</f>
        <v>BTH-009</v>
      </c>
      <c r="B1949" s="31" t="n">
        <f aca="false">Demand_History!A1949</f>
        <v>76</v>
      </c>
      <c r="C1949" s="32" t="n">
        <f aca="false">Demand_History!D1949</f>
        <v>26</v>
      </c>
      <c r="D1949" s="33" t="n">
        <f aca="false">IF(B1949&gt;=2,C1948,"")</f>
        <v>29</v>
      </c>
      <c r="E1949" s="33" t="n">
        <f aca="false">IF(B1949&gt;=5,AVERAGE(C1945:C1948),"")</f>
        <v>26.5</v>
      </c>
      <c r="F1949" s="33" t="n">
        <f aca="false">IF(B1949&gt;=9,AVERAGE(C1941:C1948),"")</f>
        <v>26.375</v>
      </c>
      <c r="G1949" s="33" t="n">
        <f aca="false">IF(B1949=1,"",IF(B1949=2,C1948,SES_Alpha*C1948+(1-SES_Alpha)*G1948))</f>
        <v>27.7527011938512</v>
      </c>
      <c r="H1949" s="33" t="n">
        <f aca="false">IF(D1949="","",D1949-C1949)</f>
        <v>3</v>
      </c>
      <c r="I1949" s="33" t="n">
        <f aca="false">IF(E1949="","",E1949-C1949)</f>
        <v>0.5</v>
      </c>
      <c r="J1949" s="33" t="n">
        <f aca="false">IF(F1949="","",F1949-C1949)</f>
        <v>0.375</v>
      </c>
      <c r="K1949" s="33" t="n">
        <f aca="false">IF(G1949="","",G1949-C1949)</f>
        <v>1.75270119385118</v>
      </c>
      <c r="L1949" s="33" t="n">
        <f aca="false">IF(H1949="","",ABS(H1949))</f>
        <v>3</v>
      </c>
      <c r="M1949" s="33" t="n">
        <f aca="false">IF(I1949="","",ABS(I1949))</f>
        <v>0.5</v>
      </c>
      <c r="N1949" s="33" t="n">
        <f aca="false">IF(J1949="","",ABS(J1949))</f>
        <v>0.375</v>
      </c>
      <c r="O1949" s="33" t="n">
        <f aca="false">IF(K1949="","",ABS(K1949))</f>
        <v>1.75270119385118</v>
      </c>
      <c r="P1949" s="34" t="str">
        <f aca="false">IF(B1949&gt;=Eval_Start_Week,"YES","")</f>
        <v>YES</v>
      </c>
      <c r="Q1949" s="34" t="str">
        <f aca="false">IF(AND(B1949&gt;=Cal_Start_Week,B1949&lt;=Cal_End_Week),"YES","")</f>
        <v>YES</v>
      </c>
    </row>
    <row r="1950" customFormat="false" ht="15" hidden="false" customHeight="false" outlineLevel="0" collapsed="false">
      <c r="A1950" s="31" t="str">
        <f aca="false">Demand_History!C1950</f>
        <v>BTH-009</v>
      </c>
      <c r="B1950" s="31" t="n">
        <f aca="false">Demand_History!A1950</f>
        <v>77</v>
      </c>
      <c r="C1950" s="32" t="n">
        <f aca="false">Demand_History!D1950</f>
        <v>45</v>
      </c>
      <c r="D1950" s="33" t="n">
        <f aca="false">IF(B1950&gt;=2,C1949,"")</f>
        <v>26</v>
      </c>
      <c r="E1950" s="33" t="n">
        <f aca="false">IF(B1950&gt;=5,AVERAGE(C1946:C1949),"")</f>
        <v>29.25</v>
      </c>
      <c r="F1950" s="33" t="n">
        <f aca="false">IF(B1950&gt;=9,AVERAGE(C1942:C1949),"")</f>
        <v>26.5</v>
      </c>
      <c r="G1950" s="33" t="n">
        <f aca="false">IF(B1950=1,"",IF(B1950=2,C1949,SES_Alpha*C1949+(1-SES_Alpha)*G1949))</f>
        <v>27.2268908356958</v>
      </c>
      <c r="H1950" s="33" t="n">
        <f aca="false">IF(D1950="","",D1950-C1950)</f>
        <v>-19</v>
      </c>
      <c r="I1950" s="33" t="n">
        <f aca="false">IF(E1950="","",E1950-C1950)</f>
        <v>-15.75</v>
      </c>
      <c r="J1950" s="33" t="n">
        <f aca="false">IF(F1950="","",F1950-C1950)</f>
        <v>-18.5</v>
      </c>
      <c r="K1950" s="33" t="n">
        <f aca="false">IF(G1950="","",G1950-C1950)</f>
        <v>-17.7731091643042</v>
      </c>
      <c r="L1950" s="33" t="n">
        <f aca="false">IF(H1950="","",ABS(H1950))</f>
        <v>19</v>
      </c>
      <c r="M1950" s="33" t="n">
        <f aca="false">IF(I1950="","",ABS(I1950))</f>
        <v>15.75</v>
      </c>
      <c r="N1950" s="33" t="n">
        <f aca="false">IF(J1950="","",ABS(J1950))</f>
        <v>18.5</v>
      </c>
      <c r="O1950" s="33" t="n">
        <f aca="false">IF(K1950="","",ABS(K1950))</f>
        <v>17.7731091643042</v>
      </c>
      <c r="P1950" s="34" t="str">
        <f aca="false">IF(B1950&gt;=Eval_Start_Week,"YES","")</f>
        <v>YES</v>
      </c>
      <c r="Q1950" s="34" t="str">
        <f aca="false">IF(AND(B1950&gt;=Cal_Start_Week,B1950&lt;=Cal_End_Week),"YES","")</f>
        <v>YES</v>
      </c>
    </row>
    <row r="1951" customFormat="false" ht="15" hidden="false" customHeight="false" outlineLevel="0" collapsed="false">
      <c r="A1951" s="31" t="str">
        <f aca="false">Demand_History!C1951</f>
        <v>BTH-009</v>
      </c>
      <c r="B1951" s="31" t="n">
        <f aca="false">Demand_History!A1951</f>
        <v>78</v>
      </c>
      <c r="C1951" s="32" t="n">
        <f aca="false">Demand_History!D1951</f>
        <v>26</v>
      </c>
      <c r="D1951" s="33" t="n">
        <f aca="false">IF(B1951&gt;=2,C1950,"")</f>
        <v>45</v>
      </c>
      <c r="E1951" s="33" t="n">
        <f aca="false">IF(B1951&gt;=5,AVERAGE(C1947:C1950),"")</f>
        <v>32.25</v>
      </c>
      <c r="F1951" s="33" t="n">
        <f aca="false">IF(B1951&gt;=9,AVERAGE(C1943:C1950),"")</f>
        <v>27.375</v>
      </c>
      <c r="G1951" s="33" t="n">
        <f aca="false">IF(B1951=1,"",IF(B1951=2,C1950,SES_Alpha*C1950+(1-SES_Alpha)*G1950))</f>
        <v>32.5588235849871</v>
      </c>
      <c r="H1951" s="33" t="n">
        <f aca="false">IF(D1951="","",D1951-C1951)</f>
        <v>19</v>
      </c>
      <c r="I1951" s="33" t="n">
        <f aca="false">IF(E1951="","",E1951-C1951)</f>
        <v>6.25</v>
      </c>
      <c r="J1951" s="33" t="n">
        <f aca="false">IF(F1951="","",F1951-C1951)</f>
        <v>1.375</v>
      </c>
      <c r="K1951" s="33" t="n">
        <f aca="false">IF(G1951="","",G1951-C1951)</f>
        <v>6.55882358498708</v>
      </c>
      <c r="L1951" s="33" t="n">
        <f aca="false">IF(H1951="","",ABS(H1951))</f>
        <v>19</v>
      </c>
      <c r="M1951" s="33" t="n">
        <f aca="false">IF(I1951="","",ABS(I1951))</f>
        <v>6.25</v>
      </c>
      <c r="N1951" s="33" t="n">
        <f aca="false">IF(J1951="","",ABS(J1951))</f>
        <v>1.375</v>
      </c>
      <c r="O1951" s="33" t="n">
        <f aca="false">IF(K1951="","",ABS(K1951))</f>
        <v>6.55882358498708</v>
      </c>
      <c r="P1951" s="34" t="str">
        <f aca="false">IF(B1951&gt;=Eval_Start_Week,"YES","")</f>
        <v>YES</v>
      </c>
      <c r="Q1951" s="34" t="str">
        <f aca="false">IF(AND(B1951&gt;=Cal_Start_Week,B1951&lt;=Cal_End_Week),"YES","")</f>
        <v>YES</v>
      </c>
    </row>
    <row r="1952" customFormat="false" ht="15" hidden="false" customHeight="false" outlineLevel="0" collapsed="false">
      <c r="A1952" s="31" t="str">
        <f aca="false">Demand_History!C1952</f>
        <v>BTH-009</v>
      </c>
      <c r="B1952" s="31" t="n">
        <f aca="false">Demand_History!A1952</f>
        <v>79</v>
      </c>
      <c r="C1952" s="32" t="n">
        <f aca="false">Demand_History!D1952</f>
        <v>23</v>
      </c>
      <c r="D1952" s="33" t="n">
        <f aca="false">IF(B1952&gt;=2,C1951,"")</f>
        <v>26</v>
      </c>
      <c r="E1952" s="33" t="n">
        <f aca="false">IF(B1952&gt;=5,AVERAGE(C1948:C1951),"")</f>
        <v>31.5</v>
      </c>
      <c r="F1952" s="33" t="n">
        <f aca="false">IF(B1952&gt;=9,AVERAGE(C1944:C1951),"")</f>
        <v>27.875</v>
      </c>
      <c r="G1952" s="33" t="n">
        <f aca="false">IF(B1952=1,"",IF(B1952=2,C1951,SES_Alpha*C1951+(1-SES_Alpha)*G1951))</f>
        <v>30.591176509491</v>
      </c>
      <c r="H1952" s="33" t="n">
        <f aca="false">IF(D1952="","",D1952-C1952)</f>
        <v>3</v>
      </c>
      <c r="I1952" s="33" t="n">
        <f aca="false">IF(E1952="","",E1952-C1952)</f>
        <v>8.5</v>
      </c>
      <c r="J1952" s="33" t="n">
        <f aca="false">IF(F1952="","",F1952-C1952)</f>
        <v>4.875</v>
      </c>
      <c r="K1952" s="33" t="n">
        <f aca="false">IF(G1952="","",G1952-C1952)</f>
        <v>7.59117650949096</v>
      </c>
      <c r="L1952" s="33" t="n">
        <f aca="false">IF(H1952="","",ABS(H1952))</f>
        <v>3</v>
      </c>
      <c r="M1952" s="33" t="n">
        <f aca="false">IF(I1952="","",ABS(I1952))</f>
        <v>8.5</v>
      </c>
      <c r="N1952" s="33" t="n">
        <f aca="false">IF(J1952="","",ABS(J1952))</f>
        <v>4.875</v>
      </c>
      <c r="O1952" s="33" t="n">
        <f aca="false">IF(K1952="","",ABS(K1952))</f>
        <v>7.59117650949096</v>
      </c>
      <c r="P1952" s="34" t="str">
        <f aca="false">IF(B1952&gt;=Eval_Start_Week,"YES","")</f>
        <v>YES</v>
      </c>
      <c r="Q1952" s="34" t="str">
        <f aca="false">IF(AND(B1952&gt;=Cal_Start_Week,B1952&lt;=Cal_End_Week),"YES","")</f>
        <v>YES</v>
      </c>
    </row>
    <row r="1953" customFormat="false" ht="15" hidden="false" customHeight="false" outlineLevel="0" collapsed="false">
      <c r="A1953" s="31" t="str">
        <f aca="false">Demand_History!C1953</f>
        <v>BTH-009</v>
      </c>
      <c r="B1953" s="31" t="n">
        <f aca="false">Demand_History!A1953</f>
        <v>80</v>
      </c>
      <c r="C1953" s="32" t="n">
        <f aca="false">Demand_History!D1953</f>
        <v>43</v>
      </c>
      <c r="D1953" s="33" t="n">
        <f aca="false">IF(B1953&gt;=2,C1952,"")</f>
        <v>23</v>
      </c>
      <c r="E1953" s="33" t="n">
        <f aca="false">IF(B1953&gt;=5,AVERAGE(C1949:C1952),"")</f>
        <v>30</v>
      </c>
      <c r="F1953" s="33" t="n">
        <f aca="false">IF(B1953&gt;=9,AVERAGE(C1945:C1952),"")</f>
        <v>28.25</v>
      </c>
      <c r="G1953" s="33" t="n">
        <f aca="false">IF(B1953=1,"",IF(B1953=2,C1952,SES_Alpha*C1952+(1-SES_Alpha)*G1952))</f>
        <v>28.3138235566437</v>
      </c>
      <c r="H1953" s="33" t="n">
        <f aca="false">IF(D1953="","",D1953-C1953)</f>
        <v>-20</v>
      </c>
      <c r="I1953" s="33" t="n">
        <f aca="false">IF(E1953="","",E1953-C1953)</f>
        <v>-13</v>
      </c>
      <c r="J1953" s="33" t="n">
        <f aca="false">IF(F1953="","",F1953-C1953)</f>
        <v>-14.75</v>
      </c>
      <c r="K1953" s="33" t="n">
        <f aca="false">IF(G1953="","",G1953-C1953)</f>
        <v>-14.6861764433563</v>
      </c>
      <c r="L1953" s="33" t="n">
        <f aca="false">IF(H1953="","",ABS(H1953))</f>
        <v>20</v>
      </c>
      <c r="M1953" s="33" t="n">
        <f aca="false">IF(I1953="","",ABS(I1953))</f>
        <v>13</v>
      </c>
      <c r="N1953" s="33" t="n">
        <f aca="false">IF(J1953="","",ABS(J1953))</f>
        <v>14.75</v>
      </c>
      <c r="O1953" s="33" t="n">
        <f aca="false">IF(K1953="","",ABS(K1953))</f>
        <v>14.6861764433563</v>
      </c>
      <c r="P1953" s="34" t="str">
        <f aca="false">IF(B1953&gt;=Eval_Start_Week,"YES","")</f>
        <v>YES</v>
      </c>
      <c r="Q1953" s="34" t="str">
        <f aca="false">IF(AND(B1953&gt;=Cal_Start_Week,B1953&lt;=Cal_End_Week),"YES","")</f>
        <v>YES</v>
      </c>
    </row>
    <row r="1954" customFormat="false" ht="15" hidden="false" customHeight="false" outlineLevel="0" collapsed="false">
      <c r="A1954" s="31" t="str">
        <f aca="false">Demand_History!C1954</f>
        <v>BTH-009</v>
      </c>
      <c r="B1954" s="31" t="n">
        <f aca="false">Demand_History!A1954</f>
        <v>81</v>
      </c>
      <c r="C1954" s="32" t="n">
        <f aca="false">Demand_History!D1954</f>
        <v>45</v>
      </c>
      <c r="D1954" s="33" t="n">
        <f aca="false">IF(B1954&gt;=2,C1953,"")</f>
        <v>43</v>
      </c>
      <c r="E1954" s="33" t="n">
        <f aca="false">IF(B1954&gt;=5,AVERAGE(C1950:C1953),"")</f>
        <v>34.25</v>
      </c>
      <c r="F1954" s="33" t="n">
        <f aca="false">IF(B1954&gt;=9,AVERAGE(C1946:C1953),"")</f>
        <v>31.75</v>
      </c>
      <c r="G1954" s="33" t="n">
        <f aca="false">IF(B1954=1,"",IF(B1954=2,C1953,SES_Alpha*C1953+(1-SES_Alpha)*G1953))</f>
        <v>32.7196764896506</v>
      </c>
      <c r="H1954" s="33" t="n">
        <f aca="false">IF(D1954="","",D1954-C1954)</f>
        <v>-2</v>
      </c>
      <c r="I1954" s="33" t="n">
        <f aca="false">IF(E1954="","",E1954-C1954)</f>
        <v>-10.75</v>
      </c>
      <c r="J1954" s="33" t="n">
        <f aca="false">IF(F1954="","",F1954-C1954)</f>
        <v>-13.25</v>
      </c>
      <c r="K1954" s="33" t="n">
        <f aca="false">IF(G1954="","",G1954-C1954)</f>
        <v>-12.2803235103494</v>
      </c>
      <c r="L1954" s="33" t="n">
        <f aca="false">IF(H1954="","",ABS(H1954))</f>
        <v>2</v>
      </c>
      <c r="M1954" s="33" t="n">
        <f aca="false">IF(I1954="","",ABS(I1954))</f>
        <v>10.75</v>
      </c>
      <c r="N1954" s="33" t="n">
        <f aca="false">IF(J1954="","",ABS(J1954))</f>
        <v>13.25</v>
      </c>
      <c r="O1954" s="33" t="n">
        <f aca="false">IF(K1954="","",ABS(K1954))</f>
        <v>12.2803235103494</v>
      </c>
      <c r="P1954" s="34" t="str">
        <f aca="false">IF(B1954&gt;=Eval_Start_Week,"YES","")</f>
        <v>YES</v>
      </c>
      <c r="Q1954" s="34" t="str">
        <f aca="false">IF(AND(B1954&gt;=Cal_Start_Week,B1954&lt;=Cal_End_Week),"YES","")</f>
        <v>YES</v>
      </c>
    </row>
    <row r="1955" customFormat="false" ht="15" hidden="false" customHeight="false" outlineLevel="0" collapsed="false">
      <c r="A1955" s="31" t="str">
        <f aca="false">Demand_History!C1955</f>
        <v>BTH-009</v>
      </c>
      <c r="B1955" s="31" t="n">
        <f aca="false">Demand_History!A1955</f>
        <v>82</v>
      </c>
      <c r="C1955" s="32" t="n">
        <f aca="false">Demand_History!D1955</f>
        <v>33</v>
      </c>
      <c r="D1955" s="33" t="n">
        <f aca="false">IF(B1955&gt;=2,C1954,"")</f>
        <v>45</v>
      </c>
      <c r="E1955" s="33" t="n">
        <f aca="false">IF(B1955&gt;=5,AVERAGE(C1951:C1954),"")</f>
        <v>34.25</v>
      </c>
      <c r="F1955" s="33" t="n">
        <f aca="false">IF(B1955&gt;=9,AVERAGE(C1947:C1954),"")</f>
        <v>33.25</v>
      </c>
      <c r="G1955" s="33" t="n">
        <f aca="false">IF(B1955=1,"",IF(B1955=2,C1954,SES_Alpha*C1954+(1-SES_Alpha)*G1954))</f>
        <v>36.4037735427554</v>
      </c>
      <c r="H1955" s="33" t="n">
        <f aca="false">IF(D1955="","",D1955-C1955)</f>
        <v>12</v>
      </c>
      <c r="I1955" s="33" t="n">
        <f aca="false">IF(E1955="","",E1955-C1955)</f>
        <v>1.25</v>
      </c>
      <c r="J1955" s="33" t="n">
        <f aca="false">IF(F1955="","",F1955-C1955)</f>
        <v>0.25</v>
      </c>
      <c r="K1955" s="33" t="n">
        <f aca="false">IF(G1955="","",G1955-C1955)</f>
        <v>3.4037735427554</v>
      </c>
      <c r="L1955" s="33" t="n">
        <f aca="false">IF(H1955="","",ABS(H1955))</f>
        <v>12</v>
      </c>
      <c r="M1955" s="33" t="n">
        <f aca="false">IF(I1955="","",ABS(I1955))</f>
        <v>1.25</v>
      </c>
      <c r="N1955" s="33" t="n">
        <f aca="false">IF(J1955="","",ABS(J1955))</f>
        <v>0.25</v>
      </c>
      <c r="O1955" s="33" t="n">
        <f aca="false">IF(K1955="","",ABS(K1955))</f>
        <v>3.4037735427554</v>
      </c>
      <c r="P1955" s="34" t="str">
        <f aca="false">IF(B1955&gt;=Eval_Start_Week,"YES","")</f>
        <v>YES</v>
      </c>
      <c r="Q1955" s="34" t="str">
        <f aca="false">IF(AND(B1955&gt;=Cal_Start_Week,B1955&lt;=Cal_End_Week),"YES","")</f>
        <v>YES</v>
      </c>
    </row>
    <row r="1956" customFormat="false" ht="15" hidden="false" customHeight="false" outlineLevel="0" collapsed="false">
      <c r="A1956" s="31" t="str">
        <f aca="false">Demand_History!C1956</f>
        <v>BTH-009</v>
      </c>
      <c r="B1956" s="31" t="n">
        <f aca="false">Demand_History!A1956</f>
        <v>83</v>
      </c>
      <c r="C1956" s="32" t="n">
        <f aca="false">Demand_History!D1956</f>
        <v>12</v>
      </c>
      <c r="D1956" s="33" t="n">
        <f aca="false">IF(B1956&gt;=2,C1955,"")</f>
        <v>33</v>
      </c>
      <c r="E1956" s="33" t="n">
        <f aca="false">IF(B1956&gt;=5,AVERAGE(C1952:C1955),"")</f>
        <v>36</v>
      </c>
      <c r="F1956" s="33" t="n">
        <f aca="false">IF(B1956&gt;=9,AVERAGE(C1948:C1955),"")</f>
        <v>33.75</v>
      </c>
      <c r="G1956" s="33" t="n">
        <f aca="false">IF(B1956=1,"",IF(B1956=2,C1955,SES_Alpha*C1955+(1-SES_Alpha)*G1955))</f>
        <v>35.3826414799288</v>
      </c>
      <c r="H1956" s="33" t="n">
        <f aca="false">IF(D1956="","",D1956-C1956)</f>
        <v>21</v>
      </c>
      <c r="I1956" s="33" t="n">
        <f aca="false">IF(E1956="","",E1956-C1956)</f>
        <v>24</v>
      </c>
      <c r="J1956" s="33" t="n">
        <f aca="false">IF(F1956="","",F1956-C1956)</f>
        <v>21.75</v>
      </c>
      <c r="K1956" s="33" t="n">
        <f aca="false">IF(G1956="","",G1956-C1956)</f>
        <v>23.3826414799288</v>
      </c>
      <c r="L1956" s="33" t="n">
        <f aca="false">IF(H1956="","",ABS(H1956))</f>
        <v>21</v>
      </c>
      <c r="M1956" s="33" t="n">
        <f aca="false">IF(I1956="","",ABS(I1956))</f>
        <v>24</v>
      </c>
      <c r="N1956" s="33" t="n">
        <f aca="false">IF(J1956="","",ABS(J1956))</f>
        <v>21.75</v>
      </c>
      <c r="O1956" s="33" t="n">
        <f aca="false">IF(K1956="","",ABS(K1956))</f>
        <v>23.3826414799288</v>
      </c>
      <c r="P1956" s="34" t="str">
        <f aca="false">IF(B1956&gt;=Eval_Start_Week,"YES","")</f>
        <v>YES</v>
      </c>
      <c r="Q1956" s="34" t="str">
        <f aca="false">IF(AND(B1956&gt;=Cal_Start_Week,B1956&lt;=Cal_End_Week),"YES","")</f>
        <v>YES</v>
      </c>
    </row>
    <row r="1957" customFormat="false" ht="15" hidden="false" customHeight="false" outlineLevel="0" collapsed="false">
      <c r="A1957" s="31" t="str">
        <f aca="false">Demand_History!C1957</f>
        <v>BTH-009</v>
      </c>
      <c r="B1957" s="31" t="n">
        <f aca="false">Demand_History!A1957</f>
        <v>84</v>
      </c>
      <c r="C1957" s="32" t="n">
        <f aca="false">Demand_History!D1957</f>
        <v>24</v>
      </c>
      <c r="D1957" s="33" t="n">
        <f aca="false">IF(B1957&gt;=2,C1956,"")</f>
        <v>12</v>
      </c>
      <c r="E1957" s="33" t="n">
        <f aca="false">IF(B1957&gt;=5,AVERAGE(C1953:C1956),"")</f>
        <v>33.25</v>
      </c>
      <c r="F1957" s="33" t="n">
        <f aca="false">IF(B1957&gt;=9,AVERAGE(C1949:C1956),"")</f>
        <v>31.625</v>
      </c>
      <c r="G1957" s="33" t="n">
        <f aca="false">IF(B1957=1,"",IF(B1957=2,C1956,SES_Alpha*C1956+(1-SES_Alpha)*G1956))</f>
        <v>28.3678490359501</v>
      </c>
      <c r="H1957" s="33" t="n">
        <f aca="false">IF(D1957="","",D1957-C1957)</f>
        <v>-12</v>
      </c>
      <c r="I1957" s="33" t="n">
        <f aca="false">IF(E1957="","",E1957-C1957)</f>
        <v>9.25</v>
      </c>
      <c r="J1957" s="33" t="n">
        <f aca="false">IF(F1957="","",F1957-C1957)</f>
        <v>7.625</v>
      </c>
      <c r="K1957" s="33" t="n">
        <f aca="false">IF(G1957="","",G1957-C1957)</f>
        <v>4.36784903595014</v>
      </c>
      <c r="L1957" s="33" t="n">
        <f aca="false">IF(H1957="","",ABS(H1957))</f>
        <v>12</v>
      </c>
      <c r="M1957" s="33" t="n">
        <f aca="false">IF(I1957="","",ABS(I1957))</f>
        <v>9.25</v>
      </c>
      <c r="N1957" s="33" t="n">
        <f aca="false">IF(J1957="","",ABS(J1957))</f>
        <v>7.625</v>
      </c>
      <c r="O1957" s="33" t="n">
        <f aca="false">IF(K1957="","",ABS(K1957))</f>
        <v>4.36784903595014</v>
      </c>
      <c r="P1957" s="34" t="str">
        <f aca="false">IF(B1957&gt;=Eval_Start_Week,"YES","")</f>
        <v>YES</v>
      </c>
      <c r="Q1957" s="34" t="str">
        <f aca="false">IF(AND(B1957&gt;=Cal_Start_Week,B1957&lt;=Cal_End_Week),"YES","")</f>
        <v>YES</v>
      </c>
    </row>
    <row r="1958" customFormat="false" ht="15" hidden="false" customHeight="false" outlineLevel="0" collapsed="false">
      <c r="A1958" s="31" t="str">
        <f aca="false">Demand_History!C1958</f>
        <v>BTH-009</v>
      </c>
      <c r="B1958" s="31" t="n">
        <f aca="false">Demand_History!A1958</f>
        <v>85</v>
      </c>
      <c r="C1958" s="32" t="n">
        <f aca="false">Demand_History!D1958</f>
        <v>36</v>
      </c>
      <c r="D1958" s="33" t="n">
        <f aca="false">IF(B1958&gt;=2,C1957,"")</f>
        <v>24</v>
      </c>
      <c r="E1958" s="33" t="n">
        <f aca="false">IF(B1958&gt;=5,AVERAGE(C1954:C1957),"")</f>
        <v>28.5</v>
      </c>
      <c r="F1958" s="33" t="n">
        <f aca="false">IF(B1958&gt;=9,AVERAGE(C1950:C1957),"")</f>
        <v>31.375</v>
      </c>
      <c r="G1958" s="33" t="n">
        <f aca="false">IF(B1958=1,"",IF(B1958=2,C1957,SES_Alpha*C1957+(1-SES_Alpha)*G1957))</f>
        <v>27.0574943251651</v>
      </c>
      <c r="H1958" s="33" t="n">
        <f aca="false">IF(D1958="","",D1958-C1958)</f>
        <v>-12</v>
      </c>
      <c r="I1958" s="33" t="n">
        <f aca="false">IF(E1958="","",E1958-C1958)</f>
        <v>-7.5</v>
      </c>
      <c r="J1958" s="33" t="n">
        <f aca="false">IF(F1958="","",F1958-C1958)</f>
        <v>-4.625</v>
      </c>
      <c r="K1958" s="33" t="n">
        <f aca="false">IF(G1958="","",G1958-C1958)</f>
        <v>-8.9425056748349</v>
      </c>
      <c r="L1958" s="33" t="n">
        <f aca="false">IF(H1958="","",ABS(H1958))</f>
        <v>12</v>
      </c>
      <c r="M1958" s="33" t="n">
        <f aca="false">IF(I1958="","",ABS(I1958))</f>
        <v>7.5</v>
      </c>
      <c r="N1958" s="33" t="n">
        <f aca="false">IF(J1958="","",ABS(J1958))</f>
        <v>4.625</v>
      </c>
      <c r="O1958" s="33" t="n">
        <f aca="false">IF(K1958="","",ABS(K1958))</f>
        <v>8.9425056748349</v>
      </c>
      <c r="P1958" s="34" t="str">
        <f aca="false">IF(B1958&gt;=Eval_Start_Week,"YES","")</f>
        <v>YES</v>
      </c>
      <c r="Q1958" s="34" t="str">
        <f aca="false">IF(AND(B1958&gt;=Cal_Start_Week,B1958&lt;=Cal_End_Week),"YES","")</f>
        <v>YES</v>
      </c>
    </row>
    <row r="1959" customFormat="false" ht="15" hidden="false" customHeight="false" outlineLevel="0" collapsed="false">
      <c r="A1959" s="31" t="str">
        <f aca="false">Demand_History!C1959</f>
        <v>BTH-009</v>
      </c>
      <c r="B1959" s="31" t="n">
        <f aca="false">Demand_History!A1959</f>
        <v>86</v>
      </c>
      <c r="C1959" s="32" t="n">
        <f aca="false">Demand_History!D1959</f>
        <v>30</v>
      </c>
      <c r="D1959" s="33" t="n">
        <f aca="false">IF(B1959&gt;=2,C1958,"")</f>
        <v>36</v>
      </c>
      <c r="E1959" s="33" t="n">
        <f aca="false">IF(B1959&gt;=5,AVERAGE(C1955:C1958),"")</f>
        <v>26.25</v>
      </c>
      <c r="F1959" s="33" t="n">
        <f aca="false">IF(B1959&gt;=9,AVERAGE(C1951:C1958),"")</f>
        <v>30.25</v>
      </c>
      <c r="G1959" s="33" t="n">
        <f aca="false">IF(B1959=1,"",IF(B1959=2,C1958,SES_Alpha*C1958+(1-SES_Alpha)*G1958))</f>
        <v>29.7402460276156</v>
      </c>
      <c r="H1959" s="33" t="n">
        <f aca="false">IF(D1959="","",D1959-C1959)</f>
        <v>6</v>
      </c>
      <c r="I1959" s="33" t="n">
        <f aca="false">IF(E1959="","",E1959-C1959)</f>
        <v>-3.75</v>
      </c>
      <c r="J1959" s="33" t="n">
        <f aca="false">IF(F1959="","",F1959-C1959)</f>
        <v>0.25</v>
      </c>
      <c r="K1959" s="33" t="n">
        <f aca="false">IF(G1959="","",G1959-C1959)</f>
        <v>-0.259753972384431</v>
      </c>
      <c r="L1959" s="33" t="n">
        <f aca="false">IF(H1959="","",ABS(H1959))</f>
        <v>6</v>
      </c>
      <c r="M1959" s="33" t="n">
        <f aca="false">IF(I1959="","",ABS(I1959))</f>
        <v>3.75</v>
      </c>
      <c r="N1959" s="33" t="n">
        <f aca="false">IF(J1959="","",ABS(J1959))</f>
        <v>0.25</v>
      </c>
      <c r="O1959" s="33" t="n">
        <f aca="false">IF(K1959="","",ABS(K1959))</f>
        <v>0.259753972384431</v>
      </c>
      <c r="P1959" s="34" t="str">
        <f aca="false">IF(B1959&gt;=Eval_Start_Week,"YES","")</f>
        <v>YES</v>
      </c>
      <c r="Q1959" s="34" t="str">
        <f aca="false">IF(AND(B1959&gt;=Cal_Start_Week,B1959&lt;=Cal_End_Week),"YES","")</f>
        <v>YES</v>
      </c>
    </row>
    <row r="1960" customFormat="false" ht="15" hidden="false" customHeight="false" outlineLevel="0" collapsed="false">
      <c r="A1960" s="31" t="str">
        <f aca="false">Demand_History!C1960</f>
        <v>BTH-009</v>
      </c>
      <c r="B1960" s="31" t="n">
        <f aca="false">Demand_History!A1960</f>
        <v>87</v>
      </c>
      <c r="C1960" s="32" t="n">
        <f aca="false">Demand_History!D1960</f>
        <v>46</v>
      </c>
      <c r="D1960" s="33" t="n">
        <f aca="false">IF(B1960&gt;=2,C1959,"")</f>
        <v>30</v>
      </c>
      <c r="E1960" s="33" t="n">
        <f aca="false">IF(B1960&gt;=5,AVERAGE(C1956:C1959),"")</f>
        <v>25.5</v>
      </c>
      <c r="F1960" s="33" t="n">
        <f aca="false">IF(B1960&gt;=9,AVERAGE(C1952:C1959),"")</f>
        <v>30.75</v>
      </c>
      <c r="G1960" s="33" t="n">
        <f aca="false">IF(B1960=1,"",IF(B1960=2,C1959,SES_Alpha*C1959+(1-SES_Alpha)*G1959))</f>
        <v>29.8181722193309</v>
      </c>
      <c r="H1960" s="33" t="n">
        <f aca="false">IF(D1960="","",D1960-C1960)</f>
        <v>-16</v>
      </c>
      <c r="I1960" s="33" t="n">
        <f aca="false">IF(E1960="","",E1960-C1960)</f>
        <v>-20.5</v>
      </c>
      <c r="J1960" s="33" t="n">
        <f aca="false">IF(F1960="","",F1960-C1960)</f>
        <v>-15.25</v>
      </c>
      <c r="K1960" s="33" t="n">
        <f aca="false">IF(G1960="","",G1960-C1960)</f>
        <v>-16.1818277806691</v>
      </c>
      <c r="L1960" s="33" t="n">
        <f aca="false">IF(H1960="","",ABS(H1960))</f>
        <v>16</v>
      </c>
      <c r="M1960" s="33" t="n">
        <f aca="false">IF(I1960="","",ABS(I1960))</f>
        <v>20.5</v>
      </c>
      <c r="N1960" s="33" t="n">
        <f aca="false">IF(J1960="","",ABS(J1960))</f>
        <v>15.25</v>
      </c>
      <c r="O1960" s="33" t="n">
        <f aca="false">IF(K1960="","",ABS(K1960))</f>
        <v>16.1818277806691</v>
      </c>
      <c r="P1960" s="34" t="str">
        <f aca="false">IF(B1960&gt;=Eval_Start_Week,"YES","")</f>
        <v>YES</v>
      </c>
      <c r="Q1960" s="34" t="str">
        <f aca="false">IF(AND(B1960&gt;=Cal_Start_Week,B1960&lt;=Cal_End_Week),"YES","")</f>
        <v>YES</v>
      </c>
    </row>
    <row r="1961" customFormat="false" ht="15" hidden="false" customHeight="false" outlineLevel="0" collapsed="false">
      <c r="A1961" s="31" t="str">
        <f aca="false">Demand_History!C1961</f>
        <v>BTH-009</v>
      </c>
      <c r="B1961" s="31" t="n">
        <f aca="false">Demand_History!A1961</f>
        <v>88</v>
      </c>
      <c r="C1961" s="32" t="n">
        <f aca="false">Demand_History!D1961</f>
        <v>16</v>
      </c>
      <c r="D1961" s="33" t="n">
        <f aca="false">IF(B1961&gt;=2,C1960,"")</f>
        <v>46</v>
      </c>
      <c r="E1961" s="33" t="n">
        <f aca="false">IF(B1961&gt;=5,AVERAGE(C1957:C1960),"")</f>
        <v>34</v>
      </c>
      <c r="F1961" s="33" t="n">
        <f aca="false">IF(B1961&gt;=9,AVERAGE(C1953:C1960),"")</f>
        <v>33.625</v>
      </c>
      <c r="G1961" s="33" t="n">
        <f aca="false">IF(B1961=1,"",IF(B1961=2,C1960,SES_Alpha*C1960+(1-SES_Alpha)*G1960))</f>
        <v>34.6727205535316</v>
      </c>
      <c r="H1961" s="33" t="n">
        <f aca="false">IF(D1961="","",D1961-C1961)</f>
        <v>30</v>
      </c>
      <c r="I1961" s="33" t="n">
        <f aca="false">IF(E1961="","",E1961-C1961)</f>
        <v>18</v>
      </c>
      <c r="J1961" s="33" t="n">
        <f aca="false">IF(F1961="","",F1961-C1961)</f>
        <v>17.625</v>
      </c>
      <c r="K1961" s="33" t="n">
        <f aca="false">IF(G1961="","",G1961-C1961)</f>
        <v>18.6727205535316</v>
      </c>
      <c r="L1961" s="33" t="n">
        <f aca="false">IF(H1961="","",ABS(H1961))</f>
        <v>30</v>
      </c>
      <c r="M1961" s="33" t="n">
        <f aca="false">IF(I1961="","",ABS(I1961))</f>
        <v>18</v>
      </c>
      <c r="N1961" s="33" t="n">
        <f aca="false">IF(J1961="","",ABS(J1961))</f>
        <v>17.625</v>
      </c>
      <c r="O1961" s="33" t="n">
        <f aca="false">IF(K1961="","",ABS(K1961))</f>
        <v>18.6727205535316</v>
      </c>
      <c r="P1961" s="34" t="str">
        <f aca="false">IF(B1961&gt;=Eval_Start_Week,"YES","")</f>
        <v>YES</v>
      </c>
      <c r="Q1961" s="34" t="str">
        <f aca="false">IF(AND(B1961&gt;=Cal_Start_Week,B1961&lt;=Cal_End_Week),"YES","")</f>
        <v>YES</v>
      </c>
    </row>
    <row r="1962" customFormat="false" ht="15" hidden="false" customHeight="false" outlineLevel="0" collapsed="false">
      <c r="A1962" s="31" t="str">
        <f aca="false">Demand_History!C1962</f>
        <v>BTH-009</v>
      </c>
      <c r="B1962" s="31" t="n">
        <f aca="false">Demand_History!A1962</f>
        <v>89</v>
      </c>
      <c r="C1962" s="32" t="n">
        <f aca="false">Demand_History!D1962</f>
        <v>37</v>
      </c>
      <c r="D1962" s="33" t="n">
        <f aca="false">IF(B1962&gt;=2,C1961,"")</f>
        <v>16</v>
      </c>
      <c r="E1962" s="33" t="n">
        <f aca="false">IF(B1962&gt;=5,AVERAGE(C1958:C1961),"")</f>
        <v>32</v>
      </c>
      <c r="F1962" s="33" t="n">
        <f aca="false">IF(B1962&gt;=9,AVERAGE(C1954:C1961),"")</f>
        <v>30.25</v>
      </c>
      <c r="G1962" s="33" t="n">
        <f aca="false">IF(B1962=1,"",IF(B1962=2,C1961,SES_Alpha*C1961+(1-SES_Alpha)*G1961))</f>
        <v>29.0709043874721</v>
      </c>
      <c r="H1962" s="33" t="n">
        <f aca="false">IF(D1962="","",D1962-C1962)</f>
        <v>-21</v>
      </c>
      <c r="I1962" s="33" t="n">
        <f aca="false">IF(E1962="","",E1962-C1962)</f>
        <v>-5</v>
      </c>
      <c r="J1962" s="33" t="n">
        <f aca="false">IF(F1962="","",F1962-C1962)</f>
        <v>-6.75</v>
      </c>
      <c r="K1962" s="33" t="n">
        <f aca="false">IF(G1962="","",G1962-C1962)</f>
        <v>-7.92909561252786</v>
      </c>
      <c r="L1962" s="33" t="n">
        <f aca="false">IF(H1962="","",ABS(H1962))</f>
        <v>21</v>
      </c>
      <c r="M1962" s="33" t="n">
        <f aca="false">IF(I1962="","",ABS(I1962))</f>
        <v>5</v>
      </c>
      <c r="N1962" s="33" t="n">
        <f aca="false">IF(J1962="","",ABS(J1962))</f>
        <v>6.75</v>
      </c>
      <c r="O1962" s="33" t="n">
        <f aca="false">IF(K1962="","",ABS(K1962))</f>
        <v>7.92909561252786</v>
      </c>
      <c r="P1962" s="34" t="str">
        <f aca="false">IF(B1962&gt;=Eval_Start_Week,"YES","")</f>
        <v>YES</v>
      </c>
      <c r="Q1962" s="34" t="str">
        <f aca="false">IF(AND(B1962&gt;=Cal_Start_Week,B1962&lt;=Cal_End_Week),"YES","")</f>
        <v/>
      </c>
    </row>
    <row r="1963" customFormat="false" ht="15" hidden="false" customHeight="false" outlineLevel="0" collapsed="false">
      <c r="A1963" s="31" t="str">
        <f aca="false">Demand_History!C1963</f>
        <v>BTH-009</v>
      </c>
      <c r="B1963" s="31" t="n">
        <f aca="false">Demand_History!A1963</f>
        <v>90</v>
      </c>
      <c r="C1963" s="32" t="n">
        <f aca="false">Demand_History!D1963</f>
        <v>24</v>
      </c>
      <c r="D1963" s="33" t="n">
        <f aca="false">IF(B1963&gt;=2,C1962,"")</f>
        <v>37</v>
      </c>
      <c r="E1963" s="33" t="n">
        <f aca="false">IF(B1963&gt;=5,AVERAGE(C1959:C1962),"")</f>
        <v>32.25</v>
      </c>
      <c r="F1963" s="33" t="n">
        <f aca="false">IF(B1963&gt;=9,AVERAGE(C1955:C1962),"")</f>
        <v>29.25</v>
      </c>
      <c r="G1963" s="33" t="n">
        <f aca="false">IF(B1963=1,"",IF(B1963=2,C1962,SES_Alpha*C1962+(1-SES_Alpha)*G1962))</f>
        <v>31.4496330712305</v>
      </c>
      <c r="H1963" s="33" t="n">
        <f aca="false">IF(D1963="","",D1963-C1963)</f>
        <v>13</v>
      </c>
      <c r="I1963" s="33" t="n">
        <f aca="false">IF(E1963="","",E1963-C1963)</f>
        <v>8.25</v>
      </c>
      <c r="J1963" s="33" t="n">
        <f aca="false">IF(F1963="","",F1963-C1963)</f>
        <v>5.25</v>
      </c>
      <c r="K1963" s="33" t="n">
        <f aca="false">IF(G1963="","",G1963-C1963)</f>
        <v>7.44963307123049</v>
      </c>
      <c r="L1963" s="33" t="n">
        <f aca="false">IF(H1963="","",ABS(H1963))</f>
        <v>13</v>
      </c>
      <c r="M1963" s="33" t="n">
        <f aca="false">IF(I1963="","",ABS(I1963))</f>
        <v>8.25</v>
      </c>
      <c r="N1963" s="33" t="n">
        <f aca="false">IF(J1963="","",ABS(J1963))</f>
        <v>5.25</v>
      </c>
      <c r="O1963" s="33" t="n">
        <f aca="false">IF(K1963="","",ABS(K1963))</f>
        <v>7.44963307123049</v>
      </c>
      <c r="P1963" s="34" t="str">
        <f aca="false">IF(B1963&gt;=Eval_Start_Week,"YES","")</f>
        <v>YES</v>
      </c>
      <c r="Q1963" s="34" t="str">
        <f aca="false">IF(AND(B1963&gt;=Cal_Start_Week,B1963&lt;=Cal_End_Week),"YES","")</f>
        <v/>
      </c>
    </row>
    <row r="1964" customFormat="false" ht="15" hidden="false" customHeight="false" outlineLevel="0" collapsed="false">
      <c r="A1964" s="31" t="str">
        <f aca="false">Demand_History!C1964</f>
        <v>BTH-009</v>
      </c>
      <c r="B1964" s="31" t="n">
        <f aca="false">Demand_History!A1964</f>
        <v>91</v>
      </c>
      <c r="C1964" s="32" t="n">
        <f aca="false">Demand_History!D1964</f>
        <v>44</v>
      </c>
      <c r="D1964" s="33" t="n">
        <f aca="false">IF(B1964&gt;=2,C1963,"")</f>
        <v>24</v>
      </c>
      <c r="E1964" s="33" t="n">
        <f aca="false">IF(B1964&gt;=5,AVERAGE(C1960:C1963),"")</f>
        <v>30.75</v>
      </c>
      <c r="F1964" s="33" t="n">
        <f aca="false">IF(B1964&gt;=9,AVERAGE(C1956:C1963),"")</f>
        <v>28.125</v>
      </c>
      <c r="G1964" s="33" t="n">
        <f aca="false">IF(B1964=1,"",IF(B1964=2,C1963,SES_Alpha*C1963+(1-SES_Alpha)*G1963))</f>
        <v>29.2147431498613</v>
      </c>
      <c r="H1964" s="33" t="n">
        <f aca="false">IF(D1964="","",D1964-C1964)</f>
        <v>-20</v>
      </c>
      <c r="I1964" s="33" t="n">
        <f aca="false">IF(E1964="","",E1964-C1964)</f>
        <v>-13.25</v>
      </c>
      <c r="J1964" s="33" t="n">
        <f aca="false">IF(F1964="","",F1964-C1964)</f>
        <v>-15.875</v>
      </c>
      <c r="K1964" s="33" t="n">
        <f aca="false">IF(G1964="","",G1964-C1964)</f>
        <v>-14.7852568501387</v>
      </c>
      <c r="L1964" s="33" t="n">
        <f aca="false">IF(H1964="","",ABS(H1964))</f>
        <v>20</v>
      </c>
      <c r="M1964" s="33" t="n">
        <f aca="false">IF(I1964="","",ABS(I1964))</f>
        <v>13.25</v>
      </c>
      <c r="N1964" s="33" t="n">
        <f aca="false">IF(J1964="","",ABS(J1964))</f>
        <v>15.875</v>
      </c>
      <c r="O1964" s="33" t="n">
        <f aca="false">IF(K1964="","",ABS(K1964))</f>
        <v>14.7852568501387</v>
      </c>
      <c r="P1964" s="34" t="str">
        <f aca="false">IF(B1964&gt;=Eval_Start_Week,"YES","")</f>
        <v>YES</v>
      </c>
      <c r="Q1964" s="34" t="str">
        <f aca="false">IF(AND(B1964&gt;=Cal_Start_Week,B1964&lt;=Cal_End_Week),"YES","")</f>
        <v/>
      </c>
    </row>
    <row r="1965" customFormat="false" ht="15" hidden="false" customHeight="false" outlineLevel="0" collapsed="false">
      <c r="A1965" s="31" t="str">
        <f aca="false">Demand_History!C1965</f>
        <v>BTH-009</v>
      </c>
      <c r="B1965" s="31" t="n">
        <f aca="false">Demand_History!A1965</f>
        <v>92</v>
      </c>
      <c r="C1965" s="32" t="n">
        <f aca="false">Demand_History!D1965</f>
        <v>29</v>
      </c>
      <c r="D1965" s="33" t="n">
        <f aca="false">IF(B1965&gt;=2,C1964,"")</f>
        <v>44</v>
      </c>
      <c r="E1965" s="33" t="n">
        <f aca="false">IF(B1965&gt;=5,AVERAGE(C1961:C1964),"")</f>
        <v>30.25</v>
      </c>
      <c r="F1965" s="33" t="n">
        <f aca="false">IF(B1965&gt;=9,AVERAGE(C1957:C1964),"")</f>
        <v>32.125</v>
      </c>
      <c r="G1965" s="33" t="n">
        <f aca="false">IF(B1965=1,"",IF(B1965=2,C1964,SES_Alpha*C1964+(1-SES_Alpha)*G1964))</f>
        <v>33.6503202049029</v>
      </c>
      <c r="H1965" s="33" t="n">
        <f aca="false">IF(D1965="","",D1965-C1965)</f>
        <v>15</v>
      </c>
      <c r="I1965" s="33" t="n">
        <f aca="false">IF(E1965="","",E1965-C1965)</f>
        <v>1.25</v>
      </c>
      <c r="J1965" s="33" t="n">
        <f aca="false">IF(F1965="","",F1965-C1965)</f>
        <v>3.125</v>
      </c>
      <c r="K1965" s="33" t="n">
        <f aca="false">IF(G1965="","",G1965-C1965)</f>
        <v>4.65032020490294</v>
      </c>
      <c r="L1965" s="33" t="n">
        <f aca="false">IF(H1965="","",ABS(H1965))</f>
        <v>15</v>
      </c>
      <c r="M1965" s="33" t="n">
        <f aca="false">IF(I1965="","",ABS(I1965))</f>
        <v>1.25</v>
      </c>
      <c r="N1965" s="33" t="n">
        <f aca="false">IF(J1965="","",ABS(J1965))</f>
        <v>3.125</v>
      </c>
      <c r="O1965" s="33" t="n">
        <f aca="false">IF(K1965="","",ABS(K1965))</f>
        <v>4.65032020490294</v>
      </c>
      <c r="P1965" s="34" t="str">
        <f aca="false">IF(B1965&gt;=Eval_Start_Week,"YES","")</f>
        <v>YES</v>
      </c>
      <c r="Q1965" s="34" t="str">
        <f aca="false">IF(AND(B1965&gt;=Cal_Start_Week,B1965&lt;=Cal_End_Week),"YES","")</f>
        <v/>
      </c>
    </row>
    <row r="1966" customFormat="false" ht="15" hidden="false" customHeight="false" outlineLevel="0" collapsed="false">
      <c r="A1966" s="31" t="str">
        <f aca="false">Demand_History!C1966</f>
        <v>BTH-009</v>
      </c>
      <c r="B1966" s="31" t="n">
        <f aca="false">Demand_History!A1966</f>
        <v>93</v>
      </c>
      <c r="C1966" s="32" t="n">
        <f aca="false">Demand_History!D1966</f>
        <v>41</v>
      </c>
      <c r="D1966" s="33" t="n">
        <f aca="false">IF(B1966&gt;=2,C1965,"")</f>
        <v>29</v>
      </c>
      <c r="E1966" s="33" t="n">
        <f aca="false">IF(B1966&gt;=5,AVERAGE(C1962:C1965),"")</f>
        <v>33.5</v>
      </c>
      <c r="F1966" s="33" t="n">
        <f aca="false">IF(B1966&gt;=9,AVERAGE(C1958:C1965),"")</f>
        <v>32.75</v>
      </c>
      <c r="G1966" s="33" t="n">
        <f aca="false">IF(B1966=1,"",IF(B1966=2,C1965,SES_Alpha*C1965+(1-SES_Alpha)*G1965))</f>
        <v>32.2552241434321</v>
      </c>
      <c r="H1966" s="33" t="n">
        <f aca="false">IF(D1966="","",D1966-C1966)</f>
        <v>-12</v>
      </c>
      <c r="I1966" s="33" t="n">
        <f aca="false">IF(E1966="","",E1966-C1966)</f>
        <v>-7.5</v>
      </c>
      <c r="J1966" s="33" t="n">
        <f aca="false">IF(F1966="","",F1966-C1966)</f>
        <v>-8.25</v>
      </c>
      <c r="K1966" s="33" t="n">
        <f aca="false">IF(G1966="","",G1966-C1966)</f>
        <v>-8.74477585656794</v>
      </c>
      <c r="L1966" s="33" t="n">
        <f aca="false">IF(H1966="","",ABS(H1966))</f>
        <v>12</v>
      </c>
      <c r="M1966" s="33" t="n">
        <f aca="false">IF(I1966="","",ABS(I1966))</f>
        <v>7.5</v>
      </c>
      <c r="N1966" s="33" t="n">
        <f aca="false">IF(J1966="","",ABS(J1966))</f>
        <v>8.25</v>
      </c>
      <c r="O1966" s="33" t="n">
        <f aca="false">IF(K1966="","",ABS(K1966))</f>
        <v>8.74477585656794</v>
      </c>
      <c r="P1966" s="34" t="str">
        <f aca="false">IF(B1966&gt;=Eval_Start_Week,"YES","")</f>
        <v>YES</v>
      </c>
      <c r="Q1966" s="34" t="str">
        <f aca="false">IF(AND(B1966&gt;=Cal_Start_Week,B1966&lt;=Cal_End_Week),"YES","")</f>
        <v/>
      </c>
    </row>
    <row r="1967" customFormat="false" ht="15" hidden="false" customHeight="false" outlineLevel="0" collapsed="false">
      <c r="A1967" s="31" t="str">
        <f aca="false">Demand_History!C1967</f>
        <v>BTH-009</v>
      </c>
      <c r="B1967" s="31" t="n">
        <f aca="false">Demand_History!A1967</f>
        <v>94</v>
      </c>
      <c r="C1967" s="32" t="n">
        <f aca="false">Demand_History!D1967</f>
        <v>23</v>
      </c>
      <c r="D1967" s="33" t="n">
        <f aca="false">IF(B1967&gt;=2,C1966,"")</f>
        <v>41</v>
      </c>
      <c r="E1967" s="33" t="n">
        <f aca="false">IF(B1967&gt;=5,AVERAGE(C1963:C1966),"")</f>
        <v>34.5</v>
      </c>
      <c r="F1967" s="33" t="n">
        <f aca="false">IF(B1967&gt;=9,AVERAGE(C1959:C1966),"")</f>
        <v>33.375</v>
      </c>
      <c r="G1967" s="33" t="n">
        <f aca="false">IF(B1967=1,"",IF(B1967=2,C1966,SES_Alpha*C1966+(1-SES_Alpha)*G1966))</f>
        <v>34.8786569004024</v>
      </c>
      <c r="H1967" s="33" t="n">
        <f aca="false">IF(D1967="","",D1967-C1967)</f>
        <v>18</v>
      </c>
      <c r="I1967" s="33" t="n">
        <f aca="false">IF(E1967="","",E1967-C1967)</f>
        <v>11.5</v>
      </c>
      <c r="J1967" s="33" t="n">
        <f aca="false">IF(F1967="","",F1967-C1967)</f>
        <v>10.375</v>
      </c>
      <c r="K1967" s="33" t="n">
        <f aca="false">IF(G1967="","",G1967-C1967)</f>
        <v>11.8786569004024</v>
      </c>
      <c r="L1967" s="33" t="n">
        <f aca="false">IF(H1967="","",ABS(H1967))</f>
        <v>18</v>
      </c>
      <c r="M1967" s="33" t="n">
        <f aca="false">IF(I1967="","",ABS(I1967))</f>
        <v>11.5</v>
      </c>
      <c r="N1967" s="33" t="n">
        <f aca="false">IF(J1967="","",ABS(J1967))</f>
        <v>10.375</v>
      </c>
      <c r="O1967" s="33" t="n">
        <f aca="false">IF(K1967="","",ABS(K1967))</f>
        <v>11.8786569004024</v>
      </c>
      <c r="P1967" s="34" t="str">
        <f aca="false">IF(B1967&gt;=Eval_Start_Week,"YES","")</f>
        <v>YES</v>
      </c>
      <c r="Q1967" s="34" t="str">
        <f aca="false">IF(AND(B1967&gt;=Cal_Start_Week,B1967&lt;=Cal_End_Week),"YES","")</f>
        <v/>
      </c>
    </row>
    <row r="1968" customFormat="false" ht="15" hidden="false" customHeight="false" outlineLevel="0" collapsed="false">
      <c r="A1968" s="31" t="str">
        <f aca="false">Demand_History!C1968</f>
        <v>BTH-009</v>
      </c>
      <c r="B1968" s="31" t="n">
        <f aca="false">Demand_History!A1968</f>
        <v>95</v>
      </c>
      <c r="C1968" s="32" t="n">
        <f aca="false">Demand_History!D1968</f>
        <v>15</v>
      </c>
      <c r="D1968" s="33" t="n">
        <f aca="false">IF(B1968&gt;=2,C1967,"")</f>
        <v>23</v>
      </c>
      <c r="E1968" s="33" t="n">
        <f aca="false">IF(B1968&gt;=5,AVERAGE(C1964:C1967),"")</f>
        <v>34.25</v>
      </c>
      <c r="F1968" s="33" t="n">
        <f aca="false">IF(B1968&gt;=9,AVERAGE(C1960:C1967),"")</f>
        <v>32.5</v>
      </c>
      <c r="G1968" s="33" t="n">
        <f aca="false">IF(B1968=1,"",IF(B1968=2,C1967,SES_Alpha*C1967+(1-SES_Alpha)*G1967))</f>
        <v>31.3150598302817</v>
      </c>
      <c r="H1968" s="33" t="n">
        <f aca="false">IF(D1968="","",D1968-C1968)</f>
        <v>8</v>
      </c>
      <c r="I1968" s="33" t="n">
        <f aca="false">IF(E1968="","",E1968-C1968)</f>
        <v>19.25</v>
      </c>
      <c r="J1968" s="33" t="n">
        <f aca="false">IF(F1968="","",F1968-C1968)</f>
        <v>17.5</v>
      </c>
      <c r="K1968" s="33" t="n">
        <f aca="false">IF(G1968="","",G1968-C1968)</f>
        <v>16.3150598302817</v>
      </c>
      <c r="L1968" s="33" t="n">
        <f aca="false">IF(H1968="","",ABS(H1968))</f>
        <v>8</v>
      </c>
      <c r="M1968" s="33" t="n">
        <f aca="false">IF(I1968="","",ABS(I1968))</f>
        <v>19.25</v>
      </c>
      <c r="N1968" s="33" t="n">
        <f aca="false">IF(J1968="","",ABS(J1968))</f>
        <v>17.5</v>
      </c>
      <c r="O1968" s="33" t="n">
        <f aca="false">IF(K1968="","",ABS(K1968))</f>
        <v>16.3150598302817</v>
      </c>
      <c r="P1968" s="34" t="str">
        <f aca="false">IF(B1968&gt;=Eval_Start_Week,"YES","")</f>
        <v>YES</v>
      </c>
      <c r="Q1968" s="34" t="str">
        <f aca="false">IF(AND(B1968&gt;=Cal_Start_Week,B1968&lt;=Cal_End_Week),"YES","")</f>
        <v/>
      </c>
    </row>
    <row r="1969" customFormat="false" ht="15" hidden="false" customHeight="false" outlineLevel="0" collapsed="false">
      <c r="A1969" s="31" t="str">
        <f aca="false">Demand_History!C1969</f>
        <v>BTH-009</v>
      </c>
      <c r="B1969" s="31" t="n">
        <f aca="false">Demand_History!A1969</f>
        <v>96</v>
      </c>
      <c r="C1969" s="32" t="n">
        <f aca="false">Demand_History!D1969</f>
        <v>19</v>
      </c>
      <c r="D1969" s="33" t="n">
        <f aca="false">IF(B1969&gt;=2,C1968,"")</f>
        <v>15</v>
      </c>
      <c r="E1969" s="33" t="n">
        <f aca="false">IF(B1969&gt;=5,AVERAGE(C1965:C1968),"")</f>
        <v>27</v>
      </c>
      <c r="F1969" s="33" t="n">
        <f aca="false">IF(B1969&gt;=9,AVERAGE(C1961:C1968),"")</f>
        <v>28.625</v>
      </c>
      <c r="G1969" s="33" t="n">
        <f aca="false">IF(B1969=1,"",IF(B1969=2,C1968,SES_Alpha*C1968+(1-SES_Alpha)*G1968))</f>
        <v>26.4205418811972</v>
      </c>
      <c r="H1969" s="33" t="n">
        <f aca="false">IF(D1969="","",D1969-C1969)</f>
        <v>-4</v>
      </c>
      <c r="I1969" s="33" t="n">
        <f aca="false">IF(E1969="","",E1969-C1969)</f>
        <v>8</v>
      </c>
      <c r="J1969" s="33" t="n">
        <f aca="false">IF(F1969="","",F1969-C1969)</f>
        <v>9.625</v>
      </c>
      <c r="K1969" s="33" t="n">
        <f aca="false">IF(G1969="","",G1969-C1969)</f>
        <v>7.42054188119719</v>
      </c>
      <c r="L1969" s="33" t="n">
        <f aca="false">IF(H1969="","",ABS(H1969))</f>
        <v>4</v>
      </c>
      <c r="M1969" s="33" t="n">
        <f aca="false">IF(I1969="","",ABS(I1969))</f>
        <v>8</v>
      </c>
      <c r="N1969" s="33" t="n">
        <f aca="false">IF(J1969="","",ABS(J1969))</f>
        <v>9.625</v>
      </c>
      <c r="O1969" s="33" t="n">
        <f aca="false">IF(K1969="","",ABS(K1969))</f>
        <v>7.42054188119719</v>
      </c>
      <c r="P1969" s="34" t="str">
        <f aca="false">IF(B1969&gt;=Eval_Start_Week,"YES","")</f>
        <v>YES</v>
      </c>
      <c r="Q1969" s="34" t="str">
        <f aca="false">IF(AND(B1969&gt;=Cal_Start_Week,B1969&lt;=Cal_End_Week),"YES","")</f>
        <v/>
      </c>
    </row>
    <row r="1970" customFormat="false" ht="15" hidden="false" customHeight="false" outlineLevel="0" collapsed="false">
      <c r="A1970" s="31" t="str">
        <f aca="false">Demand_History!C1970</f>
        <v>BTH-009</v>
      </c>
      <c r="B1970" s="31" t="n">
        <f aca="false">Demand_History!A1970</f>
        <v>97</v>
      </c>
      <c r="C1970" s="32" t="n">
        <f aca="false">Demand_History!D1970</f>
        <v>24</v>
      </c>
      <c r="D1970" s="33" t="n">
        <f aca="false">IF(B1970&gt;=2,C1969,"")</f>
        <v>19</v>
      </c>
      <c r="E1970" s="33" t="n">
        <f aca="false">IF(B1970&gt;=5,AVERAGE(C1966:C1969),"")</f>
        <v>24.5</v>
      </c>
      <c r="F1970" s="33" t="n">
        <f aca="false">IF(B1970&gt;=9,AVERAGE(C1962:C1969),"")</f>
        <v>29</v>
      </c>
      <c r="G1970" s="33" t="n">
        <f aca="false">IF(B1970=1,"",IF(B1970=2,C1969,SES_Alpha*C1969+(1-SES_Alpha)*G1969))</f>
        <v>24.194379316838</v>
      </c>
      <c r="H1970" s="33" t="n">
        <f aca="false">IF(D1970="","",D1970-C1970)</f>
        <v>-5</v>
      </c>
      <c r="I1970" s="33" t="n">
        <f aca="false">IF(E1970="","",E1970-C1970)</f>
        <v>0.5</v>
      </c>
      <c r="J1970" s="33" t="n">
        <f aca="false">IF(F1970="","",F1970-C1970)</f>
        <v>5</v>
      </c>
      <c r="K1970" s="33" t="n">
        <f aca="false">IF(G1970="","",G1970-C1970)</f>
        <v>0.194379316838031</v>
      </c>
      <c r="L1970" s="33" t="n">
        <f aca="false">IF(H1970="","",ABS(H1970))</f>
        <v>5</v>
      </c>
      <c r="M1970" s="33" t="n">
        <f aca="false">IF(I1970="","",ABS(I1970))</f>
        <v>0.5</v>
      </c>
      <c r="N1970" s="33" t="n">
        <f aca="false">IF(J1970="","",ABS(J1970))</f>
        <v>5</v>
      </c>
      <c r="O1970" s="33" t="n">
        <f aca="false">IF(K1970="","",ABS(K1970))</f>
        <v>0.194379316838031</v>
      </c>
      <c r="P1970" s="34" t="str">
        <f aca="false">IF(B1970&gt;=Eval_Start_Week,"YES","")</f>
        <v>YES</v>
      </c>
      <c r="Q1970" s="34" t="str">
        <f aca="false">IF(AND(B1970&gt;=Cal_Start_Week,B1970&lt;=Cal_End_Week),"YES","")</f>
        <v/>
      </c>
    </row>
    <row r="1971" customFormat="false" ht="15" hidden="false" customHeight="false" outlineLevel="0" collapsed="false">
      <c r="A1971" s="31" t="str">
        <f aca="false">Demand_History!C1971</f>
        <v>BTH-009</v>
      </c>
      <c r="B1971" s="31" t="n">
        <f aca="false">Demand_History!A1971</f>
        <v>98</v>
      </c>
      <c r="C1971" s="32" t="n">
        <f aca="false">Demand_History!D1971</f>
        <v>19</v>
      </c>
      <c r="D1971" s="33" t="n">
        <f aca="false">IF(B1971&gt;=2,C1970,"")</f>
        <v>24</v>
      </c>
      <c r="E1971" s="33" t="n">
        <f aca="false">IF(B1971&gt;=5,AVERAGE(C1967:C1970),"")</f>
        <v>20.25</v>
      </c>
      <c r="F1971" s="33" t="n">
        <f aca="false">IF(B1971&gt;=9,AVERAGE(C1963:C1970),"")</f>
        <v>27.375</v>
      </c>
      <c r="G1971" s="33" t="n">
        <f aca="false">IF(B1971=1,"",IF(B1971=2,C1970,SES_Alpha*C1970+(1-SES_Alpha)*G1970))</f>
        <v>24.1360655217866</v>
      </c>
      <c r="H1971" s="33" t="n">
        <f aca="false">IF(D1971="","",D1971-C1971)</f>
        <v>5</v>
      </c>
      <c r="I1971" s="33" t="n">
        <f aca="false">IF(E1971="","",E1971-C1971)</f>
        <v>1.25</v>
      </c>
      <c r="J1971" s="33" t="n">
        <f aca="false">IF(F1971="","",F1971-C1971)</f>
        <v>8.375</v>
      </c>
      <c r="K1971" s="33" t="n">
        <f aca="false">IF(G1971="","",G1971-C1971)</f>
        <v>5.13606552178662</v>
      </c>
      <c r="L1971" s="33" t="n">
        <f aca="false">IF(H1971="","",ABS(H1971))</f>
        <v>5</v>
      </c>
      <c r="M1971" s="33" t="n">
        <f aca="false">IF(I1971="","",ABS(I1971))</f>
        <v>1.25</v>
      </c>
      <c r="N1971" s="33" t="n">
        <f aca="false">IF(J1971="","",ABS(J1971))</f>
        <v>8.375</v>
      </c>
      <c r="O1971" s="33" t="n">
        <f aca="false">IF(K1971="","",ABS(K1971))</f>
        <v>5.13606552178662</v>
      </c>
      <c r="P1971" s="34" t="str">
        <f aca="false">IF(B1971&gt;=Eval_Start_Week,"YES","")</f>
        <v>YES</v>
      </c>
      <c r="Q1971" s="34" t="str">
        <f aca="false">IF(AND(B1971&gt;=Cal_Start_Week,B1971&lt;=Cal_End_Week),"YES","")</f>
        <v/>
      </c>
    </row>
    <row r="1972" customFormat="false" ht="15" hidden="false" customHeight="false" outlineLevel="0" collapsed="false">
      <c r="A1972" s="31" t="str">
        <f aca="false">Demand_History!C1972</f>
        <v>BTH-009</v>
      </c>
      <c r="B1972" s="31" t="n">
        <f aca="false">Demand_History!A1972</f>
        <v>99</v>
      </c>
      <c r="C1972" s="32" t="n">
        <f aca="false">Demand_History!D1972</f>
        <v>42</v>
      </c>
      <c r="D1972" s="33" t="n">
        <f aca="false">IF(B1972&gt;=2,C1971,"")</f>
        <v>19</v>
      </c>
      <c r="E1972" s="33" t="n">
        <f aca="false">IF(B1972&gt;=5,AVERAGE(C1968:C1971),"")</f>
        <v>19.25</v>
      </c>
      <c r="F1972" s="33" t="n">
        <f aca="false">IF(B1972&gt;=9,AVERAGE(C1964:C1971),"")</f>
        <v>26.75</v>
      </c>
      <c r="G1972" s="33" t="n">
        <f aca="false">IF(B1972=1,"",IF(B1972=2,C1971,SES_Alpha*C1971+(1-SES_Alpha)*G1971))</f>
        <v>22.5952458652506</v>
      </c>
      <c r="H1972" s="33" t="n">
        <f aca="false">IF(D1972="","",D1972-C1972)</f>
        <v>-23</v>
      </c>
      <c r="I1972" s="33" t="n">
        <f aca="false">IF(E1972="","",E1972-C1972)</f>
        <v>-22.75</v>
      </c>
      <c r="J1972" s="33" t="n">
        <f aca="false">IF(F1972="","",F1972-C1972)</f>
        <v>-15.25</v>
      </c>
      <c r="K1972" s="33" t="n">
        <f aca="false">IF(G1972="","",G1972-C1972)</f>
        <v>-19.4047541347494</v>
      </c>
      <c r="L1972" s="33" t="n">
        <f aca="false">IF(H1972="","",ABS(H1972))</f>
        <v>23</v>
      </c>
      <c r="M1972" s="33" t="n">
        <f aca="false">IF(I1972="","",ABS(I1972))</f>
        <v>22.75</v>
      </c>
      <c r="N1972" s="33" t="n">
        <f aca="false">IF(J1972="","",ABS(J1972))</f>
        <v>15.25</v>
      </c>
      <c r="O1972" s="33" t="n">
        <f aca="false">IF(K1972="","",ABS(K1972))</f>
        <v>19.4047541347494</v>
      </c>
      <c r="P1972" s="34" t="str">
        <f aca="false">IF(B1972&gt;=Eval_Start_Week,"YES","")</f>
        <v>YES</v>
      </c>
      <c r="Q1972" s="34" t="str">
        <f aca="false">IF(AND(B1972&gt;=Cal_Start_Week,B1972&lt;=Cal_End_Week),"YES","")</f>
        <v/>
      </c>
    </row>
    <row r="1973" customFormat="false" ht="15" hidden="false" customHeight="false" outlineLevel="0" collapsed="false">
      <c r="A1973" s="31" t="str">
        <f aca="false">Demand_History!C1973</f>
        <v>BTH-009</v>
      </c>
      <c r="B1973" s="31" t="n">
        <f aca="false">Demand_History!A1973</f>
        <v>100</v>
      </c>
      <c r="C1973" s="32" t="n">
        <f aca="false">Demand_History!D1973</f>
        <v>44</v>
      </c>
      <c r="D1973" s="33" t="n">
        <f aca="false">IF(B1973&gt;=2,C1972,"")</f>
        <v>42</v>
      </c>
      <c r="E1973" s="33" t="n">
        <f aca="false">IF(B1973&gt;=5,AVERAGE(C1969:C1972),"")</f>
        <v>26</v>
      </c>
      <c r="F1973" s="33" t="n">
        <f aca="false">IF(B1973&gt;=9,AVERAGE(C1965:C1972),"")</f>
        <v>26.5</v>
      </c>
      <c r="G1973" s="33" t="n">
        <f aca="false">IF(B1973=1,"",IF(B1973=2,C1972,SES_Alpha*C1972+(1-SES_Alpha)*G1972))</f>
        <v>28.4166721056754</v>
      </c>
      <c r="H1973" s="33" t="n">
        <f aca="false">IF(D1973="","",D1973-C1973)</f>
        <v>-2</v>
      </c>
      <c r="I1973" s="33" t="n">
        <f aca="false">IF(E1973="","",E1973-C1973)</f>
        <v>-18</v>
      </c>
      <c r="J1973" s="33" t="n">
        <f aca="false">IF(F1973="","",F1973-C1973)</f>
        <v>-17.5</v>
      </c>
      <c r="K1973" s="33" t="n">
        <f aca="false">IF(G1973="","",G1973-C1973)</f>
        <v>-15.5833278943246</v>
      </c>
      <c r="L1973" s="33" t="n">
        <f aca="false">IF(H1973="","",ABS(H1973))</f>
        <v>2</v>
      </c>
      <c r="M1973" s="33" t="n">
        <f aca="false">IF(I1973="","",ABS(I1973))</f>
        <v>18</v>
      </c>
      <c r="N1973" s="33" t="n">
        <f aca="false">IF(J1973="","",ABS(J1973))</f>
        <v>17.5</v>
      </c>
      <c r="O1973" s="33" t="n">
        <f aca="false">IF(K1973="","",ABS(K1973))</f>
        <v>15.5833278943246</v>
      </c>
      <c r="P1973" s="34" t="str">
        <f aca="false">IF(B1973&gt;=Eval_Start_Week,"YES","")</f>
        <v>YES</v>
      </c>
      <c r="Q1973" s="34" t="str">
        <f aca="false">IF(AND(B1973&gt;=Cal_Start_Week,B1973&lt;=Cal_End_Week),"YES","")</f>
        <v/>
      </c>
    </row>
    <row r="1974" customFormat="false" ht="15" hidden="false" customHeight="false" outlineLevel="0" collapsed="false">
      <c r="A1974" s="31" t="str">
        <f aca="false">Demand_History!C1974</f>
        <v>BTH-009</v>
      </c>
      <c r="B1974" s="31" t="n">
        <f aca="false">Demand_History!A1974</f>
        <v>101</v>
      </c>
      <c r="C1974" s="32" t="n">
        <f aca="false">Demand_History!D1974</f>
        <v>33</v>
      </c>
      <c r="D1974" s="33" t="n">
        <f aca="false">IF(B1974&gt;=2,C1973,"")</f>
        <v>44</v>
      </c>
      <c r="E1974" s="33" t="n">
        <f aca="false">IF(B1974&gt;=5,AVERAGE(C1970:C1973),"")</f>
        <v>32.25</v>
      </c>
      <c r="F1974" s="33" t="n">
        <f aca="false">IF(B1974&gt;=9,AVERAGE(C1966:C1973),"")</f>
        <v>28.375</v>
      </c>
      <c r="G1974" s="33" t="n">
        <f aca="false">IF(B1974=1,"",IF(B1974=2,C1973,SES_Alpha*C1973+(1-SES_Alpha)*G1973))</f>
        <v>33.0916704739728</v>
      </c>
      <c r="H1974" s="33" t="n">
        <f aca="false">IF(D1974="","",D1974-C1974)</f>
        <v>11</v>
      </c>
      <c r="I1974" s="33" t="n">
        <f aca="false">IF(E1974="","",E1974-C1974)</f>
        <v>-0.75</v>
      </c>
      <c r="J1974" s="33" t="n">
        <f aca="false">IF(F1974="","",F1974-C1974)</f>
        <v>-4.625</v>
      </c>
      <c r="K1974" s="33" t="n">
        <f aca="false">IF(G1974="","",G1974-C1974)</f>
        <v>0.0916704739728118</v>
      </c>
      <c r="L1974" s="33" t="n">
        <f aca="false">IF(H1974="","",ABS(H1974))</f>
        <v>11</v>
      </c>
      <c r="M1974" s="33" t="n">
        <f aca="false">IF(I1974="","",ABS(I1974))</f>
        <v>0.75</v>
      </c>
      <c r="N1974" s="33" t="n">
        <f aca="false">IF(J1974="","",ABS(J1974))</f>
        <v>4.625</v>
      </c>
      <c r="O1974" s="33" t="n">
        <f aca="false">IF(K1974="","",ABS(K1974))</f>
        <v>0.0916704739728118</v>
      </c>
      <c r="P1974" s="34" t="str">
        <f aca="false">IF(B1974&gt;=Eval_Start_Week,"YES","")</f>
        <v>YES</v>
      </c>
      <c r="Q1974" s="34" t="str">
        <f aca="false">IF(AND(B1974&gt;=Cal_Start_Week,B1974&lt;=Cal_End_Week),"YES","")</f>
        <v/>
      </c>
    </row>
    <row r="1975" customFormat="false" ht="15" hidden="false" customHeight="false" outlineLevel="0" collapsed="false">
      <c r="A1975" s="31" t="str">
        <f aca="false">Demand_History!C1975</f>
        <v>BTH-009</v>
      </c>
      <c r="B1975" s="31" t="n">
        <f aca="false">Demand_History!A1975</f>
        <v>102</v>
      </c>
      <c r="C1975" s="32" t="n">
        <f aca="false">Demand_History!D1975</f>
        <v>19</v>
      </c>
      <c r="D1975" s="33" t="n">
        <f aca="false">IF(B1975&gt;=2,C1974,"")</f>
        <v>33</v>
      </c>
      <c r="E1975" s="33" t="n">
        <f aca="false">IF(B1975&gt;=5,AVERAGE(C1971:C1974),"")</f>
        <v>34.5</v>
      </c>
      <c r="F1975" s="33" t="n">
        <f aca="false">IF(B1975&gt;=9,AVERAGE(C1967:C1974),"")</f>
        <v>27.375</v>
      </c>
      <c r="G1975" s="33" t="n">
        <f aca="false">IF(B1975=1,"",IF(B1975=2,C1974,SES_Alpha*C1974+(1-SES_Alpha)*G1974))</f>
        <v>33.064169331781</v>
      </c>
      <c r="H1975" s="33" t="n">
        <f aca="false">IF(D1975="","",D1975-C1975)</f>
        <v>14</v>
      </c>
      <c r="I1975" s="33" t="n">
        <f aca="false">IF(E1975="","",E1975-C1975)</f>
        <v>15.5</v>
      </c>
      <c r="J1975" s="33" t="n">
        <f aca="false">IF(F1975="","",F1975-C1975)</f>
        <v>8.375</v>
      </c>
      <c r="K1975" s="33" t="n">
        <f aca="false">IF(G1975="","",G1975-C1975)</f>
        <v>14.064169331781</v>
      </c>
      <c r="L1975" s="33" t="n">
        <f aca="false">IF(H1975="","",ABS(H1975))</f>
        <v>14</v>
      </c>
      <c r="M1975" s="33" t="n">
        <f aca="false">IF(I1975="","",ABS(I1975))</f>
        <v>15.5</v>
      </c>
      <c r="N1975" s="33" t="n">
        <f aca="false">IF(J1975="","",ABS(J1975))</f>
        <v>8.375</v>
      </c>
      <c r="O1975" s="33" t="n">
        <f aca="false">IF(K1975="","",ABS(K1975))</f>
        <v>14.064169331781</v>
      </c>
      <c r="P1975" s="34" t="str">
        <f aca="false">IF(B1975&gt;=Eval_Start_Week,"YES","")</f>
        <v>YES</v>
      </c>
      <c r="Q1975" s="34" t="str">
        <f aca="false">IF(AND(B1975&gt;=Cal_Start_Week,B1975&lt;=Cal_End_Week),"YES","")</f>
        <v/>
      </c>
    </row>
    <row r="1976" customFormat="false" ht="15" hidden="false" customHeight="false" outlineLevel="0" collapsed="false">
      <c r="A1976" s="31" t="str">
        <f aca="false">Demand_History!C1976</f>
        <v>BTH-009</v>
      </c>
      <c r="B1976" s="31" t="n">
        <f aca="false">Demand_History!A1976</f>
        <v>103</v>
      </c>
      <c r="C1976" s="32" t="n">
        <f aca="false">Demand_History!D1976</f>
        <v>29</v>
      </c>
      <c r="D1976" s="33" t="n">
        <f aca="false">IF(B1976&gt;=2,C1975,"")</f>
        <v>19</v>
      </c>
      <c r="E1976" s="33" t="n">
        <f aca="false">IF(B1976&gt;=5,AVERAGE(C1972:C1975),"")</f>
        <v>34.5</v>
      </c>
      <c r="F1976" s="33" t="n">
        <f aca="false">IF(B1976&gt;=9,AVERAGE(C1968:C1975),"")</f>
        <v>26.875</v>
      </c>
      <c r="G1976" s="33" t="n">
        <f aca="false">IF(B1976=1,"",IF(B1976=2,C1975,SES_Alpha*C1975+(1-SES_Alpha)*G1975))</f>
        <v>28.8449185322467</v>
      </c>
      <c r="H1976" s="33" t="n">
        <f aca="false">IF(D1976="","",D1976-C1976)</f>
        <v>-10</v>
      </c>
      <c r="I1976" s="33" t="n">
        <f aca="false">IF(E1976="","",E1976-C1976)</f>
        <v>5.5</v>
      </c>
      <c r="J1976" s="33" t="n">
        <f aca="false">IF(F1976="","",F1976-C1976)</f>
        <v>-2.125</v>
      </c>
      <c r="K1976" s="33" t="n">
        <f aca="false">IF(G1976="","",G1976-C1976)</f>
        <v>-0.155081467753327</v>
      </c>
      <c r="L1976" s="33" t="n">
        <f aca="false">IF(H1976="","",ABS(H1976))</f>
        <v>10</v>
      </c>
      <c r="M1976" s="33" t="n">
        <f aca="false">IF(I1976="","",ABS(I1976))</f>
        <v>5.5</v>
      </c>
      <c r="N1976" s="33" t="n">
        <f aca="false">IF(J1976="","",ABS(J1976))</f>
        <v>2.125</v>
      </c>
      <c r="O1976" s="33" t="n">
        <f aca="false">IF(K1976="","",ABS(K1976))</f>
        <v>0.155081467753327</v>
      </c>
      <c r="P1976" s="34" t="str">
        <f aca="false">IF(B1976&gt;=Eval_Start_Week,"YES","")</f>
        <v>YES</v>
      </c>
      <c r="Q1976" s="34" t="str">
        <f aca="false">IF(AND(B1976&gt;=Cal_Start_Week,B1976&lt;=Cal_End_Week),"YES","")</f>
        <v/>
      </c>
    </row>
    <row r="1977" customFormat="false" ht="15" hidden="false" customHeight="false" outlineLevel="0" collapsed="false">
      <c r="A1977" s="31" t="str">
        <f aca="false">Demand_History!C1977</f>
        <v>BTH-009</v>
      </c>
      <c r="B1977" s="31" t="n">
        <f aca="false">Demand_History!A1977</f>
        <v>104</v>
      </c>
      <c r="C1977" s="32" t="n">
        <f aca="false">Demand_History!D1977</f>
        <v>23</v>
      </c>
      <c r="D1977" s="33" t="n">
        <f aca="false">IF(B1977&gt;=2,C1976,"")</f>
        <v>29</v>
      </c>
      <c r="E1977" s="33" t="n">
        <f aca="false">IF(B1977&gt;=5,AVERAGE(C1973:C1976),"")</f>
        <v>31.25</v>
      </c>
      <c r="F1977" s="33" t="n">
        <f aca="false">IF(B1977&gt;=9,AVERAGE(C1969:C1976),"")</f>
        <v>28.625</v>
      </c>
      <c r="G1977" s="33" t="n">
        <f aca="false">IF(B1977=1,"",IF(B1977=2,C1976,SES_Alpha*C1976+(1-SES_Alpha)*G1976))</f>
        <v>28.8914429725727</v>
      </c>
      <c r="H1977" s="33" t="n">
        <f aca="false">IF(D1977="","",D1977-C1977)</f>
        <v>6</v>
      </c>
      <c r="I1977" s="33" t="n">
        <f aca="false">IF(E1977="","",E1977-C1977)</f>
        <v>8.25</v>
      </c>
      <c r="J1977" s="33" t="n">
        <f aca="false">IF(F1977="","",F1977-C1977)</f>
        <v>5.625</v>
      </c>
      <c r="K1977" s="33" t="n">
        <f aca="false">IF(G1977="","",G1977-C1977)</f>
        <v>5.89144297257267</v>
      </c>
      <c r="L1977" s="33" t="n">
        <f aca="false">IF(H1977="","",ABS(H1977))</f>
        <v>6</v>
      </c>
      <c r="M1977" s="33" t="n">
        <f aca="false">IF(I1977="","",ABS(I1977))</f>
        <v>8.25</v>
      </c>
      <c r="N1977" s="33" t="n">
        <f aca="false">IF(J1977="","",ABS(J1977))</f>
        <v>5.625</v>
      </c>
      <c r="O1977" s="33" t="n">
        <f aca="false">IF(K1977="","",ABS(K1977))</f>
        <v>5.89144297257267</v>
      </c>
      <c r="P1977" s="34" t="str">
        <f aca="false">IF(B1977&gt;=Eval_Start_Week,"YES","")</f>
        <v>YES</v>
      </c>
      <c r="Q1977" s="34" t="str">
        <f aca="false">IF(AND(B1977&gt;=Cal_Start_Week,B1977&lt;=Cal_End_Week),"YES","")</f>
        <v/>
      </c>
    </row>
    <row r="1978" customFormat="false" ht="15" hidden="false" customHeight="false" outlineLevel="0" collapsed="false">
      <c r="A1978" s="31" t="str">
        <f aca="false">Demand_History!C1978</f>
        <v>BTH-010</v>
      </c>
      <c r="B1978" s="31" t="n">
        <f aca="false">Demand_History!A1978</f>
        <v>1</v>
      </c>
      <c r="C1978" s="32" t="n">
        <f aca="false">Demand_History!D1978</f>
        <v>47</v>
      </c>
      <c r="D1978" s="33" t="str">
        <f aca="false">IF(B1978&gt;=2,C1977,"")</f>
        <v/>
      </c>
      <c r="E1978" s="33" t="str">
        <f aca="false">IF(B1978&gt;=5,AVERAGE(C1974:C1977),"")</f>
        <v/>
      </c>
      <c r="F1978" s="33" t="str">
        <f aca="false">IF(B1978&gt;=9,AVERAGE(C1970:C1977),"")</f>
        <v/>
      </c>
      <c r="G1978" s="33" t="str">
        <f aca="false">IF(B1978=1,"",IF(B1978=2,C1977,SES_Alpha*C1977+(1-SES_Alpha)*G1977))</f>
        <v/>
      </c>
      <c r="H1978" s="33" t="str">
        <f aca="false">IF(D1978="","",D1978-C1978)</f>
        <v/>
      </c>
      <c r="I1978" s="33" t="str">
        <f aca="false">IF(E1978="","",E1978-C1978)</f>
        <v/>
      </c>
      <c r="J1978" s="33" t="str">
        <f aca="false">IF(F1978="","",F1978-C1978)</f>
        <v/>
      </c>
      <c r="K1978" s="33" t="str">
        <f aca="false">IF(G1978="","",G1978-C1978)</f>
        <v/>
      </c>
      <c r="L1978" s="33" t="str">
        <f aca="false">IF(H1978="","",ABS(H1978))</f>
        <v/>
      </c>
      <c r="M1978" s="33" t="str">
        <f aca="false">IF(I1978="","",ABS(I1978))</f>
        <v/>
      </c>
      <c r="N1978" s="33" t="str">
        <f aca="false">IF(J1978="","",ABS(J1978))</f>
        <v/>
      </c>
      <c r="O1978" s="33" t="str">
        <f aca="false">IF(K1978="","",ABS(K1978))</f>
        <v/>
      </c>
      <c r="P1978" s="34" t="str">
        <f aca="false">IF(B1978&gt;=Eval_Start_Week,"YES","")</f>
        <v/>
      </c>
      <c r="Q1978" s="34" t="str">
        <f aca="false">IF(AND(B1978&gt;=Cal_Start_Week,B1978&lt;=Cal_End_Week),"YES","")</f>
        <v/>
      </c>
    </row>
    <row r="1979" customFormat="false" ht="15" hidden="false" customHeight="false" outlineLevel="0" collapsed="false">
      <c r="A1979" s="31" t="str">
        <f aca="false">Demand_History!C1979</f>
        <v>BTH-010</v>
      </c>
      <c r="B1979" s="31" t="n">
        <f aca="false">Demand_History!A1979</f>
        <v>2</v>
      </c>
      <c r="C1979" s="32" t="n">
        <f aca="false">Demand_History!D1979</f>
        <v>41</v>
      </c>
      <c r="D1979" s="33" t="n">
        <f aca="false">IF(B1979&gt;=2,C1978,"")</f>
        <v>47</v>
      </c>
      <c r="E1979" s="33" t="str">
        <f aca="false">IF(B1979&gt;=5,AVERAGE(C1975:C1978),"")</f>
        <v/>
      </c>
      <c r="F1979" s="33" t="str">
        <f aca="false">IF(B1979&gt;=9,AVERAGE(C1971:C1978),"")</f>
        <v/>
      </c>
      <c r="G1979" s="33" t="n">
        <f aca="false">IF(B1979=1,"",IF(B1979=2,C1978,SES_Alpha*C1978+(1-SES_Alpha)*G1978))</f>
        <v>47</v>
      </c>
      <c r="H1979" s="33" t="n">
        <f aca="false">IF(D1979="","",D1979-C1979)</f>
        <v>6</v>
      </c>
      <c r="I1979" s="33" t="str">
        <f aca="false">IF(E1979="","",E1979-C1979)</f>
        <v/>
      </c>
      <c r="J1979" s="33" t="str">
        <f aca="false">IF(F1979="","",F1979-C1979)</f>
        <v/>
      </c>
      <c r="K1979" s="33" t="n">
        <f aca="false">IF(G1979="","",G1979-C1979)</f>
        <v>6</v>
      </c>
      <c r="L1979" s="33" t="n">
        <f aca="false">IF(H1979="","",ABS(H1979))</f>
        <v>6</v>
      </c>
      <c r="M1979" s="33" t="str">
        <f aca="false">IF(I1979="","",ABS(I1979))</f>
        <v/>
      </c>
      <c r="N1979" s="33" t="str">
        <f aca="false">IF(J1979="","",ABS(J1979))</f>
        <v/>
      </c>
      <c r="O1979" s="33" t="n">
        <f aca="false">IF(K1979="","",ABS(K1979))</f>
        <v>6</v>
      </c>
      <c r="P1979" s="34" t="str">
        <f aca="false">IF(B1979&gt;=Eval_Start_Week,"YES","")</f>
        <v/>
      </c>
      <c r="Q1979" s="34" t="str">
        <f aca="false">IF(AND(B1979&gt;=Cal_Start_Week,B1979&lt;=Cal_End_Week),"YES","")</f>
        <v/>
      </c>
    </row>
    <row r="1980" customFormat="false" ht="15" hidden="false" customHeight="false" outlineLevel="0" collapsed="false">
      <c r="A1980" s="31" t="str">
        <f aca="false">Demand_History!C1980</f>
        <v>BTH-010</v>
      </c>
      <c r="B1980" s="31" t="n">
        <f aca="false">Demand_History!A1980</f>
        <v>3</v>
      </c>
      <c r="C1980" s="32" t="n">
        <f aca="false">Demand_History!D1980</f>
        <v>43</v>
      </c>
      <c r="D1980" s="33" t="n">
        <f aca="false">IF(B1980&gt;=2,C1979,"")</f>
        <v>41</v>
      </c>
      <c r="E1980" s="33" t="str">
        <f aca="false">IF(B1980&gt;=5,AVERAGE(C1976:C1979),"")</f>
        <v/>
      </c>
      <c r="F1980" s="33" t="str">
        <f aca="false">IF(B1980&gt;=9,AVERAGE(C1972:C1979),"")</f>
        <v/>
      </c>
      <c r="G1980" s="33" t="n">
        <f aca="false">IF(B1980=1,"",IF(B1980=2,C1979,SES_Alpha*C1979+(1-SES_Alpha)*G1979))</f>
        <v>45.2</v>
      </c>
      <c r="H1980" s="33" t="n">
        <f aca="false">IF(D1980="","",D1980-C1980)</f>
        <v>-2</v>
      </c>
      <c r="I1980" s="33" t="str">
        <f aca="false">IF(E1980="","",E1980-C1980)</f>
        <v/>
      </c>
      <c r="J1980" s="33" t="str">
        <f aca="false">IF(F1980="","",F1980-C1980)</f>
        <v/>
      </c>
      <c r="K1980" s="33" t="n">
        <f aca="false">IF(G1980="","",G1980-C1980)</f>
        <v>2.2</v>
      </c>
      <c r="L1980" s="33" t="n">
        <f aca="false">IF(H1980="","",ABS(H1980))</f>
        <v>2</v>
      </c>
      <c r="M1980" s="33" t="str">
        <f aca="false">IF(I1980="","",ABS(I1980))</f>
        <v/>
      </c>
      <c r="N1980" s="33" t="str">
        <f aca="false">IF(J1980="","",ABS(J1980))</f>
        <v/>
      </c>
      <c r="O1980" s="33" t="n">
        <f aca="false">IF(K1980="","",ABS(K1980))</f>
        <v>2.2</v>
      </c>
      <c r="P1980" s="34" t="str">
        <f aca="false">IF(B1980&gt;=Eval_Start_Week,"YES","")</f>
        <v/>
      </c>
      <c r="Q1980" s="34" t="str">
        <f aca="false">IF(AND(B1980&gt;=Cal_Start_Week,B1980&lt;=Cal_End_Week),"YES","")</f>
        <v/>
      </c>
    </row>
    <row r="1981" customFormat="false" ht="15" hidden="false" customHeight="false" outlineLevel="0" collapsed="false">
      <c r="A1981" s="31" t="str">
        <f aca="false">Demand_History!C1981</f>
        <v>BTH-010</v>
      </c>
      <c r="B1981" s="31" t="n">
        <f aca="false">Demand_History!A1981</f>
        <v>4</v>
      </c>
      <c r="C1981" s="32" t="n">
        <f aca="false">Demand_History!D1981</f>
        <v>38</v>
      </c>
      <c r="D1981" s="33" t="n">
        <f aca="false">IF(B1981&gt;=2,C1980,"")</f>
        <v>43</v>
      </c>
      <c r="E1981" s="33" t="str">
        <f aca="false">IF(B1981&gt;=5,AVERAGE(C1977:C1980),"")</f>
        <v/>
      </c>
      <c r="F1981" s="33" t="str">
        <f aca="false">IF(B1981&gt;=9,AVERAGE(C1973:C1980),"")</f>
        <v/>
      </c>
      <c r="G1981" s="33" t="n">
        <f aca="false">IF(B1981=1,"",IF(B1981=2,C1980,SES_Alpha*C1980+(1-SES_Alpha)*G1980))</f>
        <v>44.54</v>
      </c>
      <c r="H1981" s="33" t="n">
        <f aca="false">IF(D1981="","",D1981-C1981)</f>
        <v>5</v>
      </c>
      <c r="I1981" s="33" t="str">
        <f aca="false">IF(E1981="","",E1981-C1981)</f>
        <v/>
      </c>
      <c r="J1981" s="33" t="str">
        <f aca="false">IF(F1981="","",F1981-C1981)</f>
        <v/>
      </c>
      <c r="K1981" s="33" t="n">
        <f aca="false">IF(G1981="","",G1981-C1981)</f>
        <v>6.53999999999999</v>
      </c>
      <c r="L1981" s="33" t="n">
        <f aca="false">IF(H1981="","",ABS(H1981))</f>
        <v>5</v>
      </c>
      <c r="M1981" s="33" t="str">
        <f aca="false">IF(I1981="","",ABS(I1981))</f>
        <v/>
      </c>
      <c r="N1981" s="33" t="str">
        <f aca="false">IF(J1981="","",ABS(J1981))</f>
        <v/>
      </c>
      <c r="O1981" s="33" t="n">
        <f aca="false">IF(K1981="","",ABS(K1981))</f>
        <v>6.53999999999999</v>
      </c>
      <c r="P1981" s="34" t="str">
        <f aca="false">IF(B1981&gt;=Eval_Start_Week,"YES","")</f>
        <v/>
      </c>
      <c r="Q1981" s="34" t="str">
        <f aca="false">IF(AND(B1981&gt;=Cal_Start_Week,B1981&lt;=Cal_End_Week),"YES","")</f>
        <v/>
      </c>
    </row>
    <row r="1982" customFormat="false" ht="15" hidden="false" customHeight="false" outlineLevel="0" collapsed="false">
      <c r="A1982" s="31" t="str">
        <f aca="false">Demand_History!C1982</f>
        <v>BTH-010</v>
      </c>
      <c r="B1982" s="31" t="n">
        <f aca="false">Demand_History!A1982</f>
        <v>5</v>
      </c>
      <c r="C1982" s="32" t="n">
        <f aca="false">Demand_History!D1982</f>
        <v>29</v>
      </c>
      <c r="D1982" s="33" t="n">
        <f aca="false">IF(B1982&gt;=2,C1981,"")</f>
        <v>38</v>
      </c>
      <c r="E1982" s="33" t="n">
        <f aca="false">IF(B1982&gt;=5,AVERAGE(C1978:C1981),"")</f>
        <v>42.25</v>
      </c>
      <c r="F1982" s="33" t="str">
        <f aca="false">IF(B1982&gt;=9,AVERAGE(C1974:C1981),"")</f>
        <v/>
      </c>
      <c r="G1982" s="33" t="n">
        <f aca="false">IF(B1982=1,"",IF(B1982=2,C1981,SES_Alpha*C1981+(1-SES_Alpha)*G1981))</f>
        <v>42.578</v>
      </c>
      <c r="H1982" s="33" t="n">
        <f aca="false">IF(D1982="","",D1982-C1982)</f>
        <v>9</v>
      </c>
      <c r="I1982" s="33" t="n">
        <f aca="false">IF(E1982="","",E1982-C1982)</f>
        <v>13.25</v>
      </c>
      <c r="J1982" s="33" t="str">
        <f aca="false">IF(F1982="","",F1982-C1982)</f>
        <v/>
      </c>
      <c r="K1982" s="33" t="n">
        <f aca="false">IF(G1982="","",G1982-C1982)</f>
        <v>13.578</v>
      </c>
      <c r="L1982" s="33" t="n">
        <f aca="false">IF(H1982="","",ABS(H1982))</f>
        <v>9</v>
      </c>
      <c r="M1982" s="33" t="n">
        <f aca="false">IF(I1982="","",ABS(I1982))</f>
        <v>13.25</v>
      </c>
      <c r="N1982" s="33" t="str">
        <f aca="false">IF(J1982="","",ABS(J1982))</f>
        <v/>
      </c>
      <c r="O1982" s="33" t="n">
        <f aca="false">IF(K1982="","",ABS(K1982))</f>
        <v>13.578</v>
      </c>
      <c r="P1982" s="34" t="str">
        <f aca="false">IF(B1982&gt;=Eval_Start_Week,"YES","")</f>
        <v/>
      </c>
      <c r="Q1982" s="34" t="str">
        <f aca="false">IF(AND(B1982&gt;=Cal_Start_Week,B1982&lt;=Cal_End_Week),"YES","")</f>
        <v/>
      </c>
    </row>
    <row r="1983" customFormat="false" ht="15" hidden="false" customHeight="false" outlineLevel="0" collapsed="false">
      <c r="A1983" s="31" t="str">
        <f aca="false">Demand_History!C1983</f>
        <v>BTH-010</v>
      </c>
      <c r="B1983" s="31" t="n">
        <f aca="false">Demand_History!A1983</f>
        <v>6</v>
      </c>
      <c r="C1983" s="32" t="n">
        <f aca="false">Demand_History!D1983</f>
        <v>37</v>
      </c>
      <c r="D1983" s="33" t="n">
        <f aca="false">IF(B1983&gt;=2,C1982,"")</f>
        <v>29</v>
      </c>
      <c r="E1983" s="33" t="n">
        <f aca="false">IF(B1983&gt;=5,AVERAGE(C1979:C1982),"")</f>
        <v>37.75</v>
      </c>
      <c r="F1983" s="33" t="str">
        <f aca="false">IF(B1983&gt;=9,AVERAGE(C1975:C1982),"")</f>
        <v/>
      </c>
      <c r="G1983" s="33" t="n">
        <f aca="false">IF(B1983=1,"",IF(B1983=2,C1982,SES_Alpha*C1982+(1-SES_Alpha)*G1982))</f>
        <v>38.5046</v>
      </c>
      <c r="H1983" s="33" t="n">
        <f aca="false">IF(D1983="","",D1983-C1983)</f>
        <v>-8</v>
      </c>
      <c r="I1983" s="33" t="n">
        <f aca="false">IF(E1983="","",E1983-C1983)</f>
        <v>0.75</v>
      </c>
      <c r="J1983" s="33" t="str">
        <f aca="false">IF(F1983="","",F1983-C1983)</f>
        <v/>
      </c>
      <c r="K1983" s="33" t="n">
        <f aca="false">IF(G1983="","",G1983-C1983)</f>
        <v>1.5046</v>
      </c>
      <c r="L1983" s="33" t="n">
        <f aca="false">IF(H1983="","",ABS(H1983))</f>
        <v>8</v>
      </c>
      <c r="M1983" s="33" t="n">
        <f aca="false">IF(I1983="","",ABS(I1983))</f>
        <v>0.75</v>
      </c>
      <c r="N1983" s="33" t="str">
        <f aca="false">IF(J1983="","",ABS(J1983))</f>
        <v/>
      </c>
      <c r="O1983" s="33" t="n">
        <f aca="false">IF(K1983="","",ABS(K1983))</f>
        <v>1.5046</v>
      </c>
      <c r="P1983" s="34" t="str">
        <f aca="false">IF(B1983&gt;=Eval_Start_Week,"YES","")</f>
        <v/>
      </c>
      <c r="Q1983" s="34" t="str">
        <f aca="false">IF(AND(B1983&gt;=Cal_Start_Week,B1983&lt;=Cal_End_Week),"YES","")</f>
        <v/>
      </c>
    </row>
    <row r="1984" customFormat="false" ht="15" hidden="false" customHeight="false" outlineLevel="0" collapsed="false">
      <c r="A1984" s="31" t="str">
        <f aca="false">Demand_History!C1984</f>
        <v>BTH-010</v>
      </c>
      <c r="B1984" s="31" t="n">
        <f aca="false">Demand_History!A1984</f>
        <v>7</v>
      </c>
      <c r="C1984" s="32" t="n">
        <f aca="false">Demand_History!D1984</f>
        <v>35</v>
      </c>
      <c r="D1984" s="33" t="n">
        <f aca="false">IF(B1984&gt;=2,C1983,"")</f>
        <v>37</v>
      </c>
      <c r="E1984" s="33" t="n">
        <f aca="false">IF(B1984&gt;=5,AVERAGE(C1980:C1983),"")</f>
        <v>36.75</v>
      </c>
      <c r="F1984" s="33" t="str">
        <f aca="false">IF(B1984&gt;=9,AVERAGE(C1976:C1983),"")</f>
        <v/>
      </c>
      <c r="G1984" s="33" t="n">
        <f aca="false">IF(B1984=1,"",IF(B1984=2,C1983,SES_Alpha*C1983+(1-SES_Alpha)*G1983))</f>
        <v>38.05322</v>
      </c>
      <c r="H1984" s="33" t="n">
        <f aca="false">IF(D1984="","",D1984-C1984)</f>
        <v>2</v>
      </c>
      <c r="I1984" s="33" t="n">
        <f aca="false">IF(E1984="","",E1984-C1984)</f>
        <v>1.75</v>
      </c>
      <c r="J1984" s="33" t="str">
        <f aca="false">IF(F1984="","",F1984-C1984)</f>
        <v/>
      </c>
      <c r="K1984" s="33" t="n">
        <f aca="false">IF(G1984="","",G1984-C1984)</f>
        <v>3.05322</v>
      </c>
      <c r="L1984" s="33" t="n">
        <f aca="false">IF(H1984="","",ABS(H1984))</f>
        <v>2</v>
      </c>
      <c r="M1984" s="33" t="n">
        <f aca="false">IF(I1984="","",ABS(I1984))</f>
        <v>1.75</v>
      </c>
      <c r="N1984" s="33" t="str">
        <f aca="false">IF(J1984="","",ABS(J1984))</f>
        <v/>
      </c>
      <c r="O1984" s="33" t="n">
        <f aca="false">IF(K1984="","",ABS(K1984))</f>
        <v>3.05322</v>
      </c>
      <c r="P1984" s="34" t="str">
        <f aca="false">IF(B1984&gt;=Eval_Start_Week,"YES","")</f>
        <v/>
      </c>
      <c r="Q1984" s="34" t="str">
        <f aca="false">IF(AND(B1984&gt;=Cal_Start_Week,B1984&lt;=Cal_End_Week),"YES","")</f>
        <v/>
      </c>
    </row>
    <row r="1985" customFormat="false" ht="15" hidden="false" customHeight="false" outlineLevel="0" collapsed="false">
      <c r="A1985" s="31" t="str">
        <f aca="false">Demand_History!C1985</f>
        <v>BTH-010</v>
      </c>
      <c r="B1985" s="31" t="n">
        <f aca="false">Demand_History!A1985</f>
        <v>8</v>
      </c>
      <c r="C1985" s="32" t="n">
        <f aca="false">Demand_History!D1985</f>
        <v>44</v>
      </c>
      <c r="D1985" s="33" t="n">
        <f aca="false">IF(B1985&gt;=2,C1984,"")</f>
        <v>35</v>
      </c>
      <c r="E1985" s="33" t="n">
        <f aca="false">IF(B1985&gt;=5,AVERAGE(C1981:C1984),"")</f>
        <v>34.75</v>
      </c>
      <c r="F1985" s="33" t="str">
        <f aca="false">IF(B1985&gt;=9,AVERAGE(C1977:C1984),"")</f>
        <v/>
      </c>
      <c r="G1985" s="33" t="n">
        <f aca="false">IF(B1985=1,"",IF(B1985=2,C1984,SES_Alpha*C1984+(1-SES_Alpha)*G1984))</f>
        <v>37.137254</v>
      </c>
      <c r="H1985" s="33" t="n">
        <f aca="false">IF(D1985="","",D1985-C1985)</f>
        <v>-9</v>
      </c>
      <c r="I1985" s="33" t="n">
        <f aca="false">IF(E1985="","",E1985-C1985)</f>
        <v>-9.25</v>
      </c>
      <c r="J1985" s="33" t="str">
        <f aca="false">IF(F1985="","",F1985-C1985)</f>
        <v/>
      </c>
      <c r="K1985" s="33" t="n">
        <f aca="false">IF(G1985="","",G1985-C1985)</f>
        <v>-6.862746</v>
      </c>
      <c r="L1985" s="33" t="n">
        <f aca="false">IF(H1985="","",ABS(H1985))</f>
        <v>9</v>
      </c>
      <c r="M1985" s="33" t="n">
        <f aca="false">IF(I1985="","",ABS(I1985))</f>
        <v>9.25</v>
      </c>
      <c r="N1985" s="33" t="str">
        <f aca="false">IF(J1985="","",ABS(J1985))</f>
        <v/>
      </c>
      <c r="O1985" s="33" t="n">
        <f aca="false">IF(K1985="","",ABS(K1985))</f>
        <v>6.862746</v>
      </c>
      <c r="P1985" s="34" t="str">
        <f aca="false">IF(B1985&gt;=Eval_Start_Week,"YES","")</f>
        <v/>
      </c>
      <c r="Q1985" s="34" t="str">
        <f aca="false">IF(AND(B1985&gt;=Cal_Start_Week,B1985&lt;=Cal_End_Week),"YES","")</f>
        <v/>
      </c>
    </row>
    <row r="1986" customFormat="false" ht="15" hidden="false" customHeight="false" outlineLevel="0" collapsed="false">
      <c r="A1986" s="31" t="str">
        <f aca="false">Demand_History!C1986</f>
        <v>BTH-010</v>
      </c>
      <c r="B1986" s="31" t="n">
        <f aca="false">Demand_History!A1986</f>
        <v>9</v>
      </c>
      <c r="C1986" s="32" t="n">
        <f aca="false">Demand_History!D1986</f>
        <v>43</v>
      </c>
      <c r="D1986" s="33" t="n">
        <f aca="false">IF(B1986&gt;=2,C1985,"")</f>
        <v>44</v>
      </c>
      <c r="E1986" s="33" t="n">
        <f aca="false">IF(B1986&gt;=5,AVERAGE(C1982:C1985),"")</f>
        <v>36.25</v>
      </c>
      <c r="F1986" s="33" t="n">
        <f aca="false">IF(B1986&gt;=9,AVERAGE(C1978:C1985),"")</f>
        <v>39.25</v>
      </c>
      <c r="G1986" s="33" t="n">
        <f aca="false">IF(B1986=1,"",IF(B1986=2,C1985,SES_Alpha*C1985+(1-SES_Alpha)*G1985))</f>
        <v>39.1960778</v>
      </c>
      <c r="H1986" s="33" t="n">
        <f aca="false">IF(D1986="","",D1986-C1986)</f>
        <v>1</v>
      </c>
      <c r="I1986" s="33" t="n">
        <f aca="false">IF(E1986="","",E1986-C1986)</f>
        <v>-6.75</v>
      </c>
      <c r="J1986" s="33" t="n">
        <f aca="false">IF(F1986="","",F1986-C1986)</f>
        <v>-3.75</v>
      </c>
      <c r="K1986" s="33" t="n">
        <f aca="false">IF(G1986="","",G1986-C1986)</f>
        <v>-3.8039222</v>
      </c>
      <c r="L1986" s="33" t="n">
        <f aca="false">IF(H1986="","",ABS(H1986))</f>
        <v>1</v>
      </c>
      <c r="M1986" s="33" t="n">
        <f aca="false">IF(I1986="","",ABS(I1986))</f>
        <v>6.75</v>
      </c>
      <c r="N1986" s="33" t="n">
        <f aca="false">IF(J1986="","",ABS(J1986))</f>
        <v>3.75</v>
      </c>
      <c r="O1986" s="33" t="n">
        <f aca="false">IF(K1986="","",ABS(K1986))</f>
        <v>3.8039222</v>
      </c>
      <c r="P1986" s="34" t="str">
        <f aca="false">IF(B1986&gt;=Eval_Start_Week,"YES","")</f>
        <v/>
      </c>
      <c r="Q1986" s="34" t="str">
        <f aca="false">IF(AND(B1986&gt;=Cal_Start_Week,B1986&lt;=Cal_End_Week),"YES","")</f>
        <v/>
      </c>
    </row>
    <row r="1987" customFormat="false" ht="15" hidden="false" customHeight="false" outlineLevel="0" collapsed="false">
      <c r="A1987" s="31" t="str">
        <f aca="false">Demand_History!C1987</f>
        <v>BTH-010</v>
      </c>
      <c r="B1987" s="31" t="n">
        <f aca="false">Demand_History!A1987</f>
        <v>10</v>
      </c>
      <c r="C1987" s="32" t="n">
        <f aca="false">Demand_History!D1987</f>
        <v>38</v>
      </c>
      <c r="D1987" s="33" t="n">
        <f aca="false">IF(B1987&gt;=2,C1986,"")</f>
        <v>43</v>
      </c>
      <c r="E1987" s="33" t="n">
        <f aca="false">IF(B1987&gt;=5,AVERAGE(C1983:C1986),"")</f>
        <v>39.75</v>
      </c>
      <c r="F1987" s="33" t="n">
        <f aca="false">IF(B1987&gt;=9,AVERAGE(C1979:C1986),"")</f>
        <v>38.75</v>
      </c>
      <c r="G1987" s="33" t="n">
        <f aca="false">IF(B1987=1,"",IF(B1987=2,C1986,SES_Alpha*C1986+(1-SES_Alpha)*G1986))</f>
        <v>40.33725446</v>
      </c>
      <c r="H1987" s="33" t="n">
        <f aca="false">IF(D1987="","",D1987-C1987)</f>
        <v>5</v>
      </c>
      <c r="I1987" s="33" t="n">
        <f aca="false">IF(E1987="","",E1987-C1987)</f>
        <v>1.75</v>
      </c>
      <c r="J1987" s="33" t="n">
        <f aca="false">IF(F1987="","",F1987-C1987)</f>
        <v>0.75</v>
      </c>
      <c r="K1987" s="33" t="n">
        <f aca="false">IF(G1987="","",G1987-C1987)</f>
        <v>2.33725446</v>
      </c>
      <c r="L1987" s="33" t="n">
        <f aca="false">IF(H1987="","",ABS(H1987))</f>
        <v>5</v>
      </c>
      <c r="M1987" s="33" t="n">
        <f aca="false">IF(I1987="","",ABS(I1987))</f>
        <v>1.75</v>
      </c>
      <c r="N1987" s="33" t="n">
        <f aca="false">IF(J1987="","",ABS(J1987))</f>
        <v>0.75</v>
      </c>
      <c r="O1987" s="33" t="n">
        <f aca="false">IF(K1987="","",ABS(K1987))</f>
        <v>2.33725446</v>
      </c>
      <c r="P1987" s="34" t="str">
        <f aca="false">IF(B1987&gt;=Eval_Start_Week,"YES","")</f>
        <v/>
      </c>
      <c r="Q1987" s="34" t="str">
        <f aca="false">IF(AND(B1987&gt;=Cal_Start_Week,B1987&lt;=Cal_End_Week),"YES","")</f>
        <v/>
      </c>
    </row>
    <row r="1988" customFormat="false" ht="15" hidden="false" customHeight="false" outlineLevel="0" collapsed="false">
      <c r="A1988" s="31" t="str">
        <f aca="false">Demand_History!C1988</f>
        <v>BTH-010</v>
      </c>
      <c r="B1988" s="31" t="n">
        <f aca="false">Demand_History!A1988</f>
        <v>11</v>
      </c>
      <c r="C1988" s="32" t="n">
        <f aca="false">Demand_History!D1988</f>
        <v>41</v>
      </c>
      <c r="D1988" s="33" t="n">
        <f aca="false">IF(B1988&gt;=2,C1987,"")</f>
        <v>38</v>
      </c>
      <c r="E1988" s="33" t="n">
        <f aca="false">IF(B1988&gt;=5,AVERAGE(C1984:C1987),"")</f>
        <v>40</v>
      </c>
      <c r="F1988" s="33" t="n">
        <f aca="false">IF(B1988&gt;=9,AVERAGE(C1980:C1987),"")</f>
        <v>38.375</v>
      </c>
      <c r="G1988" s="33" t="n">
        <f aca="false">IF(B1988=1,"",IF(B1988=2,C1987,SES_Alpha*C1987+(1-SES_Alpha)*G1987))</f>
        <v>39.636078122</v>
      </c>
      <c r="H1988" s="33" t="n">
        <f aca="false">IF(D1988="","",D1988-C1988)</f>
        <v>-3</v>
      </c>
      <c r="I1988" s="33" t="n">
        <f aca="false">IF(E1988="","",E1988-C1988)</f>
        <v>-1</v>
      </c>
      <c r="J1988" s="33" t="n">
        <f aca="false">IF(F1988="","",F1988-C1988)</f>
        <v>-2.625</v>
      </c>
      <c r="K1988" s="33" t="n">
        <f aca="false">IF(G1988="","",G1988-C1988)</f>
        <v>-1.36392187800001</v>
      </c>
      <c r="L1988" s="33" t="n">
        <f aca="false">IF(H1988="","",ABS(H1988))</f>
        <v>3</v>
      </c>
      <c r="M1988" s="33" t="n">
        <f aca="false">IF(I1988="","",ABS(I1988))</f>
        <v>1</v>
      </c>
      <c r="N1988" s="33" t="n">
        <f aca="false">IF(J1988="","",ABS(J1988))</f>
        <v>2.625</v>
      </c>
      <c r="O1988" s="33" t="n">
        <f aca="false">IF(K1988="","",ABS(K1988))</f>
        <v>1.36392187800001</v>
      </c>
      <c r="P1988" s="34" t="str">
        <f aca="false">IF(B1988&gt;=Eval_Start_Week,"YES","")</f>
        <v/>
      </c>
      <c r="Q1988" s="34" t="str">
        <f aca="false">IF(AND(B1988&gt;=Cal_Start_Week,B1988&lt;=Cal_End_Week),"YES","")</f>
        <v/>
      </c>
    </row>
    <row r="1989" customFormat="false" ht="15" hidden="false" customHeight="false" outlineLevel="0" collapsed="false">
      <c r="A1989" s="31" t="str">
        <f aca="false">Demand_History!C1989</f>
        <v>BTH-010</v>
      </c>
      <c r="B1989" s="31" t="n">
        <f aca="false">Demand_History!A1989</f>
        <v>12</v>
      </c>
      <c r="C1989" s="32" t="n">
        <f aca="false">Demand_History!D1989</f>
        <v>53</v>
      </c>
      <c r="D1989" s="33" t="n">
        <f aca="false">IF(B1989&gt;=2,C1988,"")</f>
        <v>41</v>
      </c>
      <c r="E1989" s="33" t="n">
        <f aca="false">IF(B1989&gt;=5,AVERAGE(C1985:C1988),"")</f>
        <v>41.5</v>
      </c>
      <c r="F1989" s="33" t="n">
        <f aca="false">IF(B1989&gt;=9,AVERAGE(C1981:C1988),"")</f>
        <v>38.125</v>
      </c>
      <c r="G1989" s="33" t="n">
        <f aca="false">IF(B1989=1,"",IF(B1989=2,C1988,SES_Alpha*C1988+(1-SES_Alpha)*G1988))</f>
        <v>40.0452546854</v>
      </c>
      <c r="H1989" s="33" t="n">
        <f aca="false">IF(D1989="","",D1989-C1989)</f>
        <v>-12</v>
      </c>
      <c r="I1989" s="33" t="n">
        <f aca="false">IF(E1989="","",E1989-C1989)</f>
        <v>-11.5</v>
      </c>
      <c r="J1989" s="33" t="n">
        <f aca="false">IF(F1989="","",F1989-C1989)</f>
        <v>-14.875</v>
      </c>
      <c r="K1989" s="33" t="n">
        <f aca="false">IF(G1989="","",G1989-C1989)</f>
        <v>-12.9547453146</v>
      </c>
      <c r="L1989" s="33" t="n">
        <f aca="false">IF(H1989="","",ABS(H1989))</f>
        <v>12</v>
      </c>
      <c r="M1989" s="33" t="n">
        <f aca="false">IF(I1989="","",ABS(I1989))</f>
        <v>11.5</v>
      </c>
      <c r="N1989" s="33" t="n">
        <f aca="false">IF(J1989="","",ABS(J1989))</f>
        <v>14.875</v>
      </c>
      <c r="O1989" s="33" t="n">
        <f aca="false">IF(K1989="","",ABS(K1989))</f>
        <v>12.9547453146</v>
      </c>
      <c r="P1989" s="34" t="str">
        <f aca="false">IF(B1989&gt;=Eval_Start_Week,"YES","")</f>
        <v/>
      </c>
      <c r="Q1989" s="34" t="str">
        <f aca="false">IF(AND(B1989&gt;=Cal_Start_Week,B1989&lt;=Cal_End_Week),"YES","")</f>
        <v/>
      </c>
    </row>
    <row r="1990" customFormat="false" ht="15" hidden="false" customHeight="false" outlineLevel="0" collapsed="false">
      <c r="A1990" s="31" t="str">
        <f aca="false">Demand_History!C1990</f>
        <v>BTH-010</v>
      </c>
      <c r="B1990" s="31" t="n">
        <f aca="false">Demand_History!A1990</f>
        <v>13</v>
      </c>
      <c r="C1990" s="32" t="n">
        <f aca="false">Demand_History!D1990</f>
        <v>38</v>
      </c>
      <c r="D1990" s="33" t="n">
        <f aca="false">IF(B1990&gt;=2,C1989,"")</f>
        <v>53</v>
      </c>
      <c r="E1990" s="33" t="n">
        <f aca="false">IF(B1990&gt;=5,AVERAGE(C1986:C1989),"")</f>
        <v>43.75</v>
      </c>
      <c r="F1990" s="33" t="n">
        <f aca="false">IF(B1990&gt;=9,AVERAGE(C1982:C1989),"")</f>
        <v>40</v>
      </c>
      <c r="G1990" s="33" t="n">
        <f aca="false">IF(B1990=1,"",IF(B1990=2,C1989,SES_Alpha*C1989+(1-SES_Alpha)*G1989))</f>
        <v>43.93167827978</v>
      </c>
      <c r="H1990" s="33" t="n">
        <f aca="false">IF(D1990="","",D1990-C1990)</f>
        <v>15</v>
      </c>
      <c r="I1990" s="33" t="n">
        <f aca="false">IF(E1990="","",E1990-C1990)</f>
        <v>5.75</v>
      </c>
      <c r="J1990" s="33" t="n">
        <f aca="false">IF(F1990="","",F1990-C1990)</f>
        <v>2</v>
      </c>
      <c r="K1990" s="33" t="n">
        <f aca="false">IF(G1990="","",G1990-C1990)</f>
        <v>5.93167827977999</v>
      </c>
      <c r="L1990" s="33" t="n">
        <f aca="false">IF(H1990="","",ABS(H1990))</f>
        <v>15</v>
      </c>
      <c r="M1990" s="33" t="n">
        <f aca="false">IF(I1990="","",ABS(I1990))</f>
        <v>5.75</v>
      </c>
      <c r="N1990" s="33" t="n">
        <f aca="false">IF(J1990="","",ABS(J1990))</f>
        <v>2</v>
      </c>
      <c r="O1990" s="33" t="n">
        <f aca="false">IF(K1990="","",ABS(K1990))</f>
        <v>5.93167827977999</v>
      </c>
      <c r="P1990" s="34" t="str">
        <f aca="false">IF(B1990&gt;=Eval_Start_Week,"YES","")</f>
        <v/>
      </c>
      <c r="Q1990" s="34" t="str">
        <f aca="false">IF(AND(B1990&gt;=Cal_Start_Week,B1990&lt;=Cal_End_Week),"YES","")</f>
        <v/>
      </c>
    </row>
    <row r="1991" customFormat="false" ht="15" hidden="false" customHeight="false" outlineLevel="0" collapsed="false">
      <c r="A1991" s="31" t="str">
        <f aca="false">Demand_History!C1991</f>
        <v>BTH-010</v>
      </c>
      <c r="B1991" s="31" t="n">
        <f aca="false">Demand_History!A1991</f>
        <v>14</v>
      </c>
      <c r="C1991" s="32" t="n">
        <f aca="false">Demand_History!D1991</f>
        <v>39</v>
      </c>
      <c r="D1991" s="33" t="n">
        <f aca="false">IF(B1991&gt;=2,C1990,"")</f>
        <v>38</v>
      </c>
      <c r="E1991" s="33" t="n">
        <f aca="false">IF(B1991&gt;=5,AVERAGE(C1987:C1990),"")</f>
        <v>42.5</v>
      </c>
      <c r="F1991" s="33" t="n">
        <f aca="false">IF(B1991&gt;=9,AVERAGE(C1983:C1990),"")</f>
        <v>41.125</v>
      </c>
      <c r="G1991" s="33" t="n">
        <f aca="false">IF(B1991=1,"",IF(B1991=2,C1990,SES_Alpha*C1990+(1-SES_Alpha)*G1990))</f>
        <v>42.152174795846</v>
      </c>
      <c r="H1991" s="33" t="n">
        <f aca="false">IF(D1991="","",D1991-C1991)</f>
        <v>-1</v>
      </c>
      <c r="I1991" s="33" t="n">
        <f aca="false">IF(E1991="","",E1991-C1991)</f>
        <v>3.5</v>
      </c>
      <c r="J1991" s="33" t="n">
        <f aca="false">IF(F1991="","",F1991-C1991)</f>
        <v>2.125</v>
      </c>
      <c r="K1991" s="33" t="n">
        <f aca="false">IF(G1991="","",G1991-C1991)</f>
        <v>3.15217479584599</v>
      </c>
      <c r="L1991" s="33" t="n">
        <f aca="false">IF(H1991="","",ABS(H1991))</f>
        <v>1</v>
      </c>
      <c r="M1991" s="33" t="n">
        <f aca="false">IF(I1991="","",ABS(I1991))</f>
        <v>3.5</v>
      </c>
      <c r="N1991" s="33" t="n">
        <f aca="false">IF(J1991="","",ABS(J1991))</f>
        <v>2.125</v>
      </c>
      <c r="O1991" s="33" t="n">
        <f aca="false">IF(K1991="","",ABS(K1991))</f>
        <v>3.15217479584599</v>
      </c>
      <c r="P1991" s="34" t="str">
        <f aca="false">IF(B1991&gt;=Eval_Start_Week,"YES","")</f>
        <v/>
      </c>
      <c r="Q1991" s="34" t="str">
        <f aca="false">IF(AND(B1991&gt;=Cal_Start_Week,B1991&lt;=Cal_End_Week),"YES","")</f>
        <v/>
      </c>
    </row>
    <row r="1992" customFormat="false" ht="15" hidden="false" customHeight="false" outlineLevel="0" collapsed="false">
      <c r="A1992" s="31" t="str">
        <f aca="false">Demand_History!C1992</f>
        <v>BTH-010</v>
      </c>
      <c r="B1992" s="31" t="n">
        <f aca="false">Demand_History!A1992</f>
        <v>15</v>
      </c>
      <c r="C1992" s="32" t="n">
        <f aca="false">Demand_History!D1992</f>
        <v>44</v>
      </c>
      <c r="D1992" s="33" t="n">
        <f aca="false">IF(B1992&gt;=2,C1991,"")</f>
        <v>39</v>
      </c>
      <c r="E1992" s="33" t="n">
        <f aca="false">IF(B1992&gt;=5,AVERAGE(C1988:C1991),"")</f>
        <v>42.75</v>
      </c>
      <c r="F1992" s="33" t="n">
        <f aca="false">IF(B1992&gt;=9,AVERAGE(C1984:C1991),"")</f>
        <v>41.375</v>
      </c>
      <c r="G1992" s="33" t="n">
        <f aca="false">IF(B1992=1,"",IF(B1992=2,C1991,SES_Alpha*C1991+(1-SES_Alpha)*G1991))</f>
        <v>41.2065223570922</v>
      </c>
      <c r="H1992" s="33" t="n">
        <f aca="false">IF(D1992="","",D1992-C1992)</f>
        <v>-5</v>
      </c>
      <c r="I1992" s="33" t="n">
        <f aca="false">IF(E1992="","",E1992-C1992)</f>
        <v>-1.25</v>
      </c>
      <c r="J1992" s="33" t="n">
        <f aca="false">IF(F1992="","",F1992-C1992)</f>
        <v>-2.625</v>
      </c>
      <c r="K1992" s="33" t="n">
        <f aca="false">IF(G1992="","",G1992-C1992)</f>
        <v>-2.7934776429078</v>
      </c>
      <c r="L1992" s="33" t="n">
        <f aca="false">IF(H1992="","",ABS(H1992))</f>
        <v>5</v>
      </c>
      <c r="M1992" s="33" t="n">
        <f aca="false">IF(I1992="","",ABS(I1992))</f>
        <v>1.25</v>
      </c>
      <c r="N1992" s="33" t="n">
        <f aca="false">IF(J1992="","",ABS(J1992))</f>
        <v>2.625</v>
      </c>
      <c r="O1992" s="33" t="n">
        <f aca="false">IF(K1992="","",ABS(K1992))</f>
        <v>2.7934776429078</v>
      </c>
      <c r="P1992" s="34" t="str">
        <f aca="false">IF(B1992&gt;=Eval_Start_Week,"YES","")</f>
        <v/>
      </c>
      <c r="Q1992" s="34" t="str">
        <f aca="false">IF(AND(B1992&gt;=Cal_Start_Week,B1992&lt;=Cal_End_Week),"YES","")</f>
        <v/>
      </c>
    </row>
    <row r="1993" customFormat="false" ht="15" hidden="false" customHeight="false" outlineLevel="0" collapsed="false">
      <c r="A1993" s="31" t="str">
        <f aca="false">Demand_History!C1993</f>
        <v>BTH-010</v>
      </c>
      <c r="B1993" s="31" t="n">
        <f aca="false">Demand_History!A1993</f>
        <v>16</v>
      </c>
      <c r="C1993" s="32" t="n">
        <f aca="false">Demand_History!D1993</f>
        <v>41</v>
      </c>
      <c r="D1993" s="33" t="n">
        <f aca="false">IF(B1993&gt;=2,C1992,"")</f>
        <v>44</v>
      </c>
      <c r="E1993" s="33" t="n">
        <f aca="false">IF(B1993&gt;=5,AVERAGE(C1989:C1992),"")</f>
        <v>43.5</v>
      </c>
      <c r="F1993" s="33" t="n">
        <f aca="false">IF(B1993&gt;=9,AVERAGE(C1985:C1992),"")</f>
        <v>42.5</v>
      </c>
      <c r="G1993" s="33" t="n">
        <f aca="false">IF(B1993=1,"",IF(B1993=2,C1992,SES_Alpha*C1992+(1-SES_Alpha)*G1992))</f>
        <v>42.0445656499645</v>
      </c>
      <c r="H1993" s="33" t="n">
        <f aca="false">IF(D1993="","",D1993-C1993)</f>
        <v>3</v>
      </c>
      <c r="I1993" s="33" t="n">
        <f aca="false">IF(E1993="","",E1993-C1993)</f>
        <v>2.5</v>
      </c>
      <c r="J1993" s="33" t="n">
        <f aca="false">IF(F1993="","",F1993-C1993)</f>
        <v>1.5</v>
      </c>
      <c r="K1993" s="33" t="n">
        <f aca="false">IF(G1993="","",G1993-C1993)</f>
        <v>1.04456564996454</v>
      </c>
      <c r="L1993" s="33" t="n">
        <f aca="false">IF(H1993="","",ABS(H1993))</f>
        <v>3</v>
      </c>
      <c r="M1993" s="33" t="n">
        <f aca="false">IF(I1993="","",ABS(I1993))</f>
        <v>2.5</v>
      </c>
      <c r="N1993" s="33" t="n">
        <f aca="false">IF(J1993="","",ABS(J1993))</f>
        <v>1.5</v>
      </c>
      <c r="O1993" s="33" t="n">
        <f aca="false">IF(K1993="","",ABS(K1993))</f>
        <v>1.04456564996454</v>
      </c>
      <c r="P1993" s="34" t="str">
        <f aca="false">IF(B1993&gt;=Eval_Start_Week,"YES","")</f>
        <v/>
      </c>
      <c r="Q1993" s="34" t="str">
        <f aca="false">IF(AND(B1993&gt;=Cal_Start_Week,B1993&lt;=Cal_End_Week),"YES","")</f>
        <v/>
      </c>
    </row>
    <row r="1994" customFormat="false" ht="15" hidden="false" customHeight="false" outlineLevel="0" collapsed="false">
      <c r="A1994" s="31" t="str">
        <f aca="false">Demand_History!C1994</f>
        <v>BTH-010</v>
      </c>
      <c r="B1994" s="31" t="n">
        <f aca="false">Demand_History!A1994</f>
        <v>17</v>
      </c>
      <c r="C1994" s="32" t="n">
        <f aca="false">Demand_History!D1994</f>
        <v>43</v>
      </c>
      <c r="D1994" s="33" t="n">
        <f aca="false">IF(B1994&gt;=2,C1993,"")</f>
        <v>41</v>
      </c>
      <c r="E1994" s="33" t="n">
        <f aca="false">IF(B1994&gt;=5,AVERAGE(C1990:C1993),"")</f>
        <v>40.5</v>
      </c>
      <c r="F1994" s="33" t="n">
        <f aca="false">IF(B1994&gt;=9,AVERAGE(C1986:C1993),"")</f>
        <v>42.125</v>
      </c>
      <c r="G1994" s="33" t="n">
        <f aca="false">IF(B1994=1,"",IF(B1994=2,C1993,SES_Alpha*C1993+(1-SES_Alpha)*G1993))</f>
        <v>41.7311959549752</v>
      </c>
      <c r="H1994" s="33" t="n">
        <f aca="false">IF(D1994="","",D1994-C1994)</f>
        <v>-2</v>
      </c>
      <c r="I1994" s="33" t="n">
        <f aca="false">IF(E1994="","",E1994-C1994)</f>
        <v>-2.5</v>
      </c>
      <c r="J1994" s="33" t="n">
        <f aca="false">IF(F1994="","",F1994-C1994)</f>
        <v>-0.875</v>
      </c>
      <c r="K1994" s="33" t="n">
        <f aca="false">IF(G1994="","",G1994-C1994)</f>
        <v>-1.26880404502482</v>
      </c>
      <c r="L1994" s="33" t="n">
        <f aca="false">IF(H1994="","",ABS(H1994))</f>
        <v>2</v>
      </c>
      <c r="M1994" s="33" t="n">
        <f aca="false">IF(I1994="","",ABS(I1994))</f>
        <v>2.5</v>
      </c>
      <c r="N1994" s="33" t="n">
        <f aca="false">IF(J1994="","",ABS(J1994))</f>
        <v>0.875</v>
      </c>
      <c r="O1994" s="33" t="n">
        <f aca="false">IF(K1994="","",ABS(K1994))</f>
        <v>1.26880404502482</v>
      </c>
      <c r="P1994" s="34" t="str">
        <f aca="false">IF(B1994&gt;=Eval_Start_Week,"YES","")</f>
        <v/>
      </c>
      <c r="Q1994" s="34" t="str">
        <f aca="false">IF(AND(B1994&gt;=Cal_Start_Week,B1994&lt;=Cal_End_Week),"YES","")</f>
        <v/>
      </c>
    </row>
    <row r="1995" customFormat="false" ht="15" hidden="false" customHeight="false" outlineLevel="0" collapsed="false">
      <c r="A1995" s="31" t="str">
        <f aca="false">Demand_History!C1995</f>
        <v>BTH-010</v>
      </c>
      <c r="B1995" s="31" t="n">
        <f aca="false">Demand_History!A1995</f>
        <v>18</v>
      </c>
      <c r="C1995" s="32" t="n">
        <f aca="false">Demand_History!D1995</f>
        <v>50</v>
      </c>
      <c r="D1995" s="33" t="n">
        <f aca="false">IF(B1995&gt;=2,C1994,"")</f>
        <v>43</v>
      </c>
      <c r="E1995" s="33" t="n">
        <f aca="false">IF(B1995&gt;=5,AVERAGE(C1991:C1994),"")</f>
        <v>41.75</v>
      </c>
      <c r="F1995" s="33" t="n">
        <f aca="false">IF(B1995&gt;=9,AVERAGE(C1987:C1994),"")</f>
        <v>42.125</v>
      </c>
      <c r="G1995" s="33" t="n">
        <f aca="false">IF(B1995=1,"",IF(B1995=2,C1994,SES_Alpha*C1994+(1-SES_Alpha)*G1994))</f>
        <v>42.1118371684826</v>
      </c>
      <c r="H1995" s="33" t="n">
        <f aca="false">IF(D1995="","",D1995-C1995)</f>
        <v>-7</v>
      </c>
      <c r="I1995" s="33" t="n">
        <f aca="false">IF(E1995="","",E1995-C1995)</f>
        <v>-8.25</v>
      </c>
      <c r="J1995" s="33" t="n">
        <f aca="false">IF(F1995="","",F1995-C1995)</f>
        <v>-7.875</v>
      </c>
      <c r="K1995" s="33" t="n">
        <f aca="false">IF(G1995="","",G1995-C1995)</f>
        <v>-7.88816283151738</v>
      </c>
      <c r="L1995" s="33" t="n">
        <f aca="false">IF(H1995="","",ABS(H1995))</f>
        <v>7</v>
      </c>
      <c r="M1995" s="33" t="n">
        <f aca="false">IF(I1995="","",ABS(I1995))</f>
        <v>8.25</v>
      </c>
      <c r="N1995" s="33" t="n">
        <f aca="false">IF(J1995="","",ABS(J1995))</f>
        <v>7.875</v>
      </c>
      <c r="O1995" s="33" t="n">
        <f aca="false">IF(K1995="","",ABS(K1995))</f>
        <v>7.88816283151738</v>
      </c>
      <c r="P1995" s="34" t="str">
        <f aca="false">IF(B1995&gt;=Eval_Start_Week,"YES","")</f>
        <v/>
      </c>
      <c r="Q1995" s="34" t="str">
        <f aca="false">IF(AND(B1995&gt;=Cal_Start_Week,B1995&lt;=Cal_End_Week),"YES","")</f>
        <v/>
      </c>
    </row>
    <row r="1996" customFormat="false" ht="15" hidden="false" customHeight="false" outlineLevel="0" collapsed="false">
      <c r="A1996" s="31" t="str">
        <f aca="false">Demand_History!C1996</f>
        <v>BTH-010</v>
      </c>
      <c r="B1996" s="31" t="n">
        <f aca="false">Demand_History!A1996</f>
        <v>19</v>
      </c>
      <c r="C1996" s="32" t="n">
        <f aca="false">Demand_History!D1996</f>
        <v>58</v>
      </c>
      <c r="D1996" s="33" t="n">
        <f aca="false">IF(B1996&gt;=2,C1995,"")</f>
        <v>50</v>
      </c>
      <c r="E1996" s="33" t="n">
        <f aca="false">IF(B1996&gt;=5,AVERAGE(C1992:C1995),"")</f>
        <v>44.5</v>
      </c>
      <c r="F1996" s="33" t="n">
        <f aca="false">IF(B1996&gt;=9,AVERAGE(C1988:C1995),"")</f>
        <v>43.625</v>
      </c>
      <c r="G1996" s="33" t="n">
        <f aca="false">IF(B1996=1,"",IF(B1996=2,C1995,SES_Alpha*C1995+(1-SES_Alpha)*G1995))</f>
        <v>44.4782860179378</v>
      </c>
      <c r="H1996" s="33" t="n">
        <f aca="false">IF(D1996="","",D1996-C1996)</f>
        <v>-8</v>
      </c>
      <c r="I1996" s="33" t="n">
        <f aca="false">IF(E1996="","",E1996-C1996)</f>
        <v>-13.5</v>
      </c>
      <c r="J1996" s="33" t="n">
        <f aca="false">IF(F1996="","",F1996-C1996)</f>
        <v>-14.375</v>
      </c>
      <c r="K1996" s="33" t="n">
        <f aca="false">IF(G1996="","",G1996-C1996)</f>
        <v>-13.5217139820622</v>
      </c>
      <c r="L1996" s="33" t="n">
        <f aca="false">IF(H1996="","",ABS(H1996))</f>
        <v>8</v>
      </c>
      <c r="M1996" s="33" t="n">
        <f aca="false">IF(I1996="","",ABS(I1996))</f>
        <v>13.5</v>
      </c>
      <c r="N1996" s="33" t="n">
        <f aca="false">IF(J1996="","",ABS(J1996))</f>
        <v>14.375</v>
      </c>
      <c r="O1996" s="33" t="n">
        <f aca="false">IF(K1996="","",ABS(K1996))</f>
        <v>13.5217139820622</v>
      </c>
      <c r="P1996" s="34" t="str">
        <f aca="false">IF(B1996&gt;=Eval_Start_Week,"YES","")</f>
        <v/>
      </c>
      <c r="Q1996" s="34" t="str">
        <f aca="false">IF(AND(B1996&gt;=Cal_Start_Week,B1996&lt;=Cal_End_Week),"YES","")</f>
        <v/>
      </c>
    </row>
    <row r="1997" customFormat="false" ht="15" hidden="false" customHeight="false" outlineLevel="0" collapsed="false">
      <c r="A1997" s="31" t="str">
        <f aca="false">Demand_History!C1997</f>
        <v>BTH-010</v>
      </c>
      <c r="B1997" s="31" t="n">
        <f aca="false">Demand_History!A1997</f>
        <v>20</v>
      </c>
      <c r="C1997" s="32" t="n">
        <f aca="false">Demand_History!D1997</f>
        <v>36</v>
      </c>
      <c r="D1997" s="33" t="n">
        <f aca="false">IF(B1997&gt;=2,C1996,"")</f>
        <v>58</v>
      </c>
      <c r="E1997" s="33" t="n">
        <f aca="false">IF(B1997&gt;=5,AVERAGE(C1993:C1996),"")</f>
        <v>48</v>
      </c>
      <c r="F1997" s="33" t="n">
        <f aca="false">IF(B1997&gt;=9,AVERAGE(C1989:C1996),"")</f>
        <v>45.75</v>
      </c>
      <c r="G1997" s="33" t="n">
        <f aca="false">IF(B1997=1,"",IF(B1997=2,C1996,SES_Alpha*C1996+(1-SES_Alpha)*G1996))</f>
        <v>48.5348002125565</v>
      </c>
      <c r="H1997" s="33" t="n">
        <f aca="false">IF(D1997="","",D1997-C1997)</f>
        <v>22</v>
      </c>
      <c r="I1997" s="33" t="n">
        <f aca="false">IF(E1997="","",E1997-C1997)</f>
        <v>12</v>
      </c>
      <c r="J1997" s="33" t="n">
        <f aca="false">IF(F1997="","",F1997-C1997)</f>
        <v>9.75</v>
      </c>
      <c r="K1997" s="33" t="n">
        <f aca="false">IF(G1997="","",G1997-C1997)</f>
        <v>12.5348002125565</v>
      </c>
      <c r="L1997" s="33" t="n">
        <f aca="false">IF(H1997="","",ABS(H1997))</f>
        <v>22</v>
      </c>
      <c r="M1997" s="33" t="n">
        <f aca="false">IF(I1997="","",ABS(I1997))</f>
        <v>12</v>
      </c>
      <c r="N1997" s="33" t="n">
        <f aca="false">IF(J1997="","",ABS(J1997))</f>
        <v>9.75</v>
      </c>
      <c r="O1997" s="33" t="n">
        <f aca="false">IF(K1997="","",ABS(K1997))</f>
        <v>12.5348002125565</v>
      </c>
      <c r="P1997" s="34" t="str">
        <f aca="false">IF(B1997&gt;=Eval_Start_Week,"YES","")</f>
        <v/>
      </c>
      <c r="Q1997" s="34" t="str">
        <f aca="false">IF(AND(B1997&gt;=Cal_Start_Week,B1997&lt;=Cal_End_Week),"YES","")</f>
        <v/>
      </c>
    </row>
    <row r="1998" customFormat="false" ht="15" hidden="false" customHeight="false" outlineLevel="0" collapsed="false">
      <c r="A1998" s="31" t="str">
        <f aca="false">Demand_History!C1998</f>
        <v>BTH-010</v>
      </c>
      <c r="B1998" s="31" t="n">
        <f aca="false">Demand_History!A1998</f>
        <v>21</v>
      </c>
      <c r="C1998" s="32" t="n">
        <f aca="false">Demand_History!D1998</f>
        <v>48</v>
      </c>
      <c r="D1998" s="33" t="n">
        <f aca="false">IF(B1998&gt;=2,C1997,"")</f>
        <v>36</v>
      </c>
      <c r="E1998" s="33" t="n">
        <f aca="false">IF(B1998&gt;=5,AVERAGE(C1994:C1997),"")</f>
        <v>46.75</v>
      </c>
      <c r="F1998" s="33" t="n">
        <f aca="false">IF(B1998&gt;=9,AVERAGE(C1990:C1997),"")</f>
        <v>43.625</v>
      </c>
      <c r="G1998" s="33" t="n">
        <f aca="false">IF(B1998=1,"",IF(B1998=2,C1997,SES_Alpha*C1997+(1-SES_Alpha)*G1997))</f>
        <v>44.7743601487895</v>
      </c>
      <c r="H1998" s="33" t="n">
        <f aca="false">IF(D1998="","",D1998-C1998)</f>
        <v>-12</v>
      </c>
      <c r="I1998" s="33" t="n">
        <f aca="false">IF(E1998="","",E1998-C1998)</f>
        <v>-1.25</v>
      </c>
      <c r="J1998" s="33" t="n">
        <f aca="false">IF(F1998="","",F1998-C1998)</f>
        <v>-4.375</v>
      </c>
      <c r="K1998" s="33" t="n">
        <f aca="false">IF(G1998="","",G1998-C1998)</f>
        <v>-3.22563985121047</v>
      </c>
      <c r="L1998" s="33" t="n">
        <f aca="false">IF(H1998="","",ABS(H1998))</f>
        <v>12</v>
      </c>
      <c r="M1998" s="33" t="n">
        <f aca="false">IF(I1998="","",ABS(I1998))</f>
        <v>1.25</v>
      </c>
      <c r="N1998" s="33" t="n">
        <f aca="false">IF(J1998="","",ABS(J1998))</f>
        <v>4.375</v>
      </c>
      <c r="O1998" s="33" t="n">
        <f aca="false">IF(K1998="","",ABS(K1998))</f>
        <v>3.22563985121047</v>
      </c>
      <c r="P1998" s="34" t="str">
        <f aca="false">IF(B1998&gt;=Eval_Start_Week,"YES","")</f>
        <v/>
      </c>
      <c r="Q1998" s="34" t="str">
        <f aca="false">IF(AND(B1998&gt;=Cal_Start_Week,B1998&lt;=Cal_End_Week),"YES","")</f>
        <v/>
      </c>
    </row>
    <row r="1999" customFormat="false" ht="15" hidden="false" customHeight="false" outlineLevel="0" collapsed="false">
      <c r="A1999" s="31" t="str">
        <f aca="false">Demand_History!C1999</f>
        <v>BTH-010</v>
      </c>
      <c r="B1999" s="31" t="n">
        <f aca="false">Demand_History!A1999</f>
        <v>22</v>
      </c>
      <c r="C1999" s="32" t="n">
        <f aca="false">Demand_History!D1999</f>
        <v>48</v>
      </c>
      <c r="D1999" s="33" t="n">
        <f aca="false">IF(B1999&gt;=2,C1998,"")</f>
        <v>48</v>
      </c>
      <c r="E1999" s="33" t="n">
        <f aca="false">IF(B1999&gt;=5,AVERAGE(C1995:C1998),"")</f>
        <v>48</v>
      </c>
      <c r="F1999" s="33" t="n">
        <f aca="false">IF(B1999&gt;=9,AVERAGE(C1991:C1998),"")</f>
        <v>44.875</v>
      </c>
      <c r="G1999" s="33" t="n">
        <f aca="false">IF(B1999=1,"",IF(B1999=2,C1998,SES_Alpha*C1998+(1-SES_Alpha)*G1998))</f>
        <v>45.7420521041527</v>
      </c>
      <c r="H1999" s="33" t="n">
        <f aca="false">IF(D1999="","",D1999-C1999)</f>
        <v>0</v>
      </c>
      <c r="I1999" s="33" t="n">
        <f aca="false">IF(E1999="","",E1999-C1999)</f>
        <v>0</v>
      </c>
      <c r="J1999" s="33" t="n">
        <f aca="false">IF(F1999="","",F1999-C1999)</f>
        <v>-3.125</v>
      </c>
      <c r="K1999" s="33" t="n">
        <f aca="false">IF(G1999="","",G1999-C1999)</f>
        <v>-2.25794789584734</v>
      </c>
      <c r="L1999" s="33" t="n">
        <f aca="false">IF(H1999="","",ABS(H1999))</f>
        <v>0</v>
      </c>
      <c r="M1999" s="33" t="n">
        <f aca="false">IF(I1999="","",ABS(I1999))</f>
        <v>0</v>
      </c>
      <c r="N1999" s="33" t="n">
        <f aca="false">IF(J1999="","",ABS(J1999))</f>
        <v>3.125</v>
      </c>
      <c r="O1999" s="33" t="n">
        <f aca="false">IF(K1999="","",ABS(K1999))</f>
        <v>2.25794789584734</v>
      </c>
      <c r="P1999" s="34" t="str">
        <f aca="false">IF(B1999&gt;=Eval_Start_Week,"YES","")</f>
        <v/>
      </c>
      <c r="Q1999" s="34" t="str">
        <f aca="false">IF(AND(B1999&gt;=Cal_Start_Week,B1999&lt;=Cal_End_Week),"YES","")</f>
        <v/>
      </c>
    </row>
    <row r="2000" customFormat="false" ht="15" hidden="false" customHeight="false" outlineLevel="0" collapsed="false">
      <c r="A2000" s="31" t="str">
        <f aca="false">Demand_History!C2000</f>
        <v>BTH-010</v>
      </c>
      <c r="B2000" s="31" t="n">
        <f aca="false">Demand_History!A2000</f>
        <v>23</v>
      </c>
      <c r="C2000" s="32" t="n">
        <f aca="false">Demand_History!D2000</f>
        <v>48</v>
      </c>
      <c r="D2000" s="33" t="n">
        <f aca="false">IF(B2000&gt;=2,C1999,"")</f>
        <v>48</v>
      </c>
      <c r="E2000" s="33" t="n">
        <f aca="false">IF(B2000&gt;=5,AVERAGE(C1996:C1999),"")</f>
        <v>47.5</v>
      </c>
      <c r="F2000" s="33" t="n">
        <f aca="false">IF(B2000&gt;=9,AVERAGE(C1992:C1999),"")</f>
        <v>46</v>
      </c>
      <c r="G2000" s="33" t="n">
        <f aca="false">IF(B2000=1,"",IF(B2000=2,C1999,SES_Alpha*C1999+(1-SES_Alpha)*G1999))</f>
        <v>46.4194364729069</v>
      </c>
      <c r="H2000" s="33" t="n">
        <f aca="false">IF(D2000="","",D2000-C2000)</f>
        <v>0</v>
      </c>
      <c r="I2000" s="33" t="n">
        <f aca="false">IF(E2000="","",E2000-C2000)</f>
        <v>-0.5</v>
      </c>
      <c r="J2000" s="33" t="n">
        <f aca="false">IF(F2000="","",F2000-C2000)</f>
        <v>-2</v>
      </c>
      <c r="K2000" s="33" t="n">
        <f aca="false">IF(G2000="","",G2000-C2000)</f>
        <v>-1.58056352709314</v>
      </c>
      <c r="L2000" s="33" t="n">
        <f aca="false">IF(H2000="","",ABS(H2000))</f>
        <v>0</v>
      </c>
      <c r="M2000" s="33" t="n">
        <f aca="false">IF(I2000="","",ABS(I2000))</f>
        <v>0.5</v>
      </c>
      <c r="N2000" s="33" t="n">
        <f aca="false">IF(J2000="","",ABS(J2000))</f>
        <v>2</v>
      </c>
      <c r="O2000" s="33" t="n">
        <f aca="false">IF(K2000="","",ABS(K2000))</f>
        <v>1.58056352709314</v>
      </c>
      <c r="P2000" s="34" t="str">
        <f aca="false">IF(B2000&gt;=Eval_Start_Week,"YES","")</f>
        <v/>
      </c>
      <c r="Q2000" s="34" t="str">
        <f aca="false">IF(AND(B2000&gt;=Cal_Start_Week,B2000&lt;=Cal_End_Week),"YES","")</f>
        <v/>
      </c>
    </row>
    <row r="2001" customFormat="false" ht="15" hidden="false" customHeight="false" outlineLevel="0" collapsed="false">
      <c r="A2001" s="31" t="str">
        <f aca="false">Demand_History!C2001</f>
        <v>BTH-010</v>
      </c>
      <c r="B2001" s="31" t="n">
        <f aca="false">Demand_History!A2001</f>
        <v>24</v>
      </c>
      <c r="C2001" s="32" t="n">
        <f aca="false">Demand_History!D2001</f>
        <v>48</v>
      </c>
      <c r="D2001" s="33" t="n">
        <f aca="false">IF(B2001&gt;=2,C2000,"")</f>
        <v>48</v>
      </c>
      <c r="E2001" s="33" t="n">
        <f aca="false">IF(B2001&gt;=5,AVERAGE(C1997:C2000),"")</f>
        <v>45</v>
      </c>
      <c r="F2001" s="33" t="n">
        <f aca="false">IF(B2001&gt;=9,AVERAGE(C1993:C2000),"")</f>
        <v>46.5</v>
      </c>
      <c r="G2001" s="33" t="n">
        <f aca="false">IF(B2001=1,"",IF(B2001=2,C2000,SES_Alpha*C2000+(1-SES_Alpha)*G2000))</f>
        <v>46.8936055310348</v>
      </c>
      <c r="H2001" s="33" t="n">
        <f aca="false">IF(D2001="","",D2001-C2001)</f>
        <v>0</v>
      </c>
      <c r="I2001" s="33" t="n">
        <f aca="false">IF(E2001="","",E2001-C2001)</f>
        <v>-3</v>
      </c>
      <c r="J2001" s="33" t="n">
        <f aca="false">IF(F2001="","",F2001-C2001)</f>
        <v>-1.5</v>
      </c>
      <c r="K2001" s="33" t="n">
        <f aca="false">IF(G2001="","",G2001-C2001)</f>
        <v>-1.1063944689652</v>
      </c>
      <c r="L2001" s="33" t="n">
        <f aca="false">IF(H2001="","",ABS(H2001))</f>
        <v>0</v>
      </c>
      <c r="M2001" s="33" t="n">
        <f aca="false">IF(I2001="","",ABS(I2001))</f>
        <v>3</v>
      </c>
      <c r="N2001" s="33" t="n">
        <f aca="false">IF(J2001="","",ABS(J2001))</f>
        <v>1.5</v>
      </c>
      <c r="O2001" s="33" t="n">
        <f aca="false">IF(K2001="","",ABS(K2001))</f>
        <v>1.1063944689652</v>
      </c>
      <c r="P2001" s="34" t="str">
        <f aca="false">IF(B2001&gt;=Eval_Start_Week,"YES","")</f>
        <v/>
      </c>
      <c r="Q2001" s="34" t="str">
        <f aca="false">IF(AND(B2001&gt;=Cal_Start_Week,B2001&lt;=Cal_End_Week),"YES","")</f>
        <v/>
      </c>
    </row>
    <row r="2002" customFormat="false" ht="15" hidden="false" customHeight="false" outlineLevel="0" collapsed="false">
      <c r="A2002" s="31" t="str">
        <f aca="false">Demand_History!C2002</f>
        <v>BTH-010</v>
      </c>
      <c r="B2002" s="31" t="n">
        <f aca="false">Demand_History!A2002</f>
        <v>25</v>
      </c>
      <c r="C2002" s="32" t="n">
        <f aca="false">Demand_History!D2002</f>
        <v>47</v>
      </c>
      <c r="D2002" s="33" t="n">
        <f aca="false">IF(B2002&gt;=2,C2001,"")</f>
        <v>48</v>
      </c>
      <c r="E2002" s="33" t="n">
        <f aca="false">IF(B2002&gt;=5,AVERAGE(C1998:C2001),"")</f>
        <v>48</v>
      </c>
      <c r="F2002" s="33" t="n">
        <f aca="false">IF(B2002&gt;=9,AVERAGE(C1994:C2001),"")</f>
        <v>47.375</v>
      </c>
      <c r="G2002" s="33" t="n">
        <f aca="false">IF(B2002=1,"",IF(B2002=2,C2001,SES_Alpha*C2001+(1-SES_Alpha)*G2001))</f>
        <v>47.2255238717244</v>
      </c>
      <c r="H2002" s="33" t="n">
        <f aca="false">IF(D2002="","",D2002-C2002)</f>
        <v>1</v>
      </c>
      <c r="I2002" s="33" t="n">
        <f aca="false">IF(E2002="","",E2002-C2002)</f>
        <v>1</v>
      </c>
      <c r="J2002" s="33" t="n">
        <f aca="false">IF(F2002="","",F2002-C2002)</f>
        <v>0.375</v>
      </c>
      <c r="K2002" s="33" t="n">
        <f aca="false">IF(G2002="","",G2002-C2002)</f>
        <v>0.225523871724356</v>
      </c>
      <c r="L2002" s="33" t="n">
        <f aca="false">IF(H2002="","",ABS(H2002))</f>
        <v>1</v>
      </c>
      <c r="M2002" s="33" t="n">
        <f aca="false">IF(I2002="","",ABS(I2002))</f>
        <v>1</v>
      </c>
      <c r="N2002" s="33" t="n">
        <f aca="false">IF(J2002="","",ABS(J2002))</f>
        <v>0.375</v>
      </c>
      <c r="O2002" s="33" t="n">
        <f aca="false">IF(K2002="","",ABS(K2002))</f>
        <v>0.225523871724356</v>
      </c>
      <c r="P2002" s="34" t="str">
        <f aca="false">IF(B2002&gt;=Eval_Start_Week,"YES","")</f>
        <v/>
      </c>
      <c r="Q2002" s="34" t="str">
        <f aca="false">IF(AND(B2002&gt;=Cal_Start_Week,B2002&lt;=Cal_End_Week),"YES","")</f>
        <v/>
      </c>
    </row>
    <row r="2003" customFormat="false" ht="15" hidden="false" customHeight="false" outlineLevel="0" collapsed="false">
      <c r="A2003" s="31" t="str">
        <f aca="false">Demand_History!C2003</f>
        <v>BTH-010</v>
      </c>
      <c r="B2003" s="31" t="n">
        <f aca="false">Demand_History!A2003</f>
        <v>26</v>
      </c>
      <c r="C2003" s="32" t="n">
        <f aca="false">Demand_History!D2003</f>
        <v>57</v>
      </c>
      <c r="D2003" s="33" t="n">
        <f aca="false">IF(B2003&gt;=2,C2002,"")</f>
        <v>47</v>
      </c>
      <c r="E2003" s="33" t="n">
        <f aca="false">IF(B2003&gt;=5,AVERAGE(C1999:C2002),"")</f>
        <v>47.75</v>
      </c>
      <c r="F2003" s="33" t="n">
        <f aca="false">IF(B2003&gt;=9,AVERAGE(C1995:C2002),"")</f>
        <v>47.875</v>
      </c>
      <c r="G2003" s="33" t="n">
        <f aca="false">IF(B2003=1,"",IF(B2003=2,C2002,SES_Alpha*C2002+(1-SES_Alpha)*G2002))</f>
        <v>47.157866710207</v>
      </c>
      <c r="H2003" s="33" t="n">
        <f aca="false">IF(D2003="","",D2003-C2003)</f>
        <v>-10</v>
      </c>
      <c r="I2003" s="33" t="n">
        <f aca="false">IF(E2003="","",E2003-C2003)</f>
        <v>-9.25</v>
      </c>
      <c r="J2003" s="33" t="n">
        <f aca="false">IF(F2003="","",F2003-C2003)</f>
        <v>-9.125</v>
      </c>
      <c r="K2003" s="33" t="n">
        <f aca="false">IF(G2003="","",G2003-C2003)</f>
        <v>-9.84213328979296</v>
      </c>
      <c r="L2003" s="33" t="n">
        <f aca="false">IF(H2003="","",ABS(H2003))</f>
        <v>10</v>
      </c>
      <c r="M2003" s="33" t="n">
        <f aca="false">IF(I2003="","",ABS(I2003))</f>
        <v>9.25</v>
      </c>
      <c r="N2003" s="33" t="n">
        <f aca="false">IF(J2003="","",ABS(J2003))</f>
        <v>9.125</v>
      </c>
      <c r="O2003" s="33" t="n">
        <f aca="false">IF(K2003="","",ABS(K2003))</f>
        <v>9.84213328979296</v>
      </c>
      <c r="P2003" s="34" t="str">
        <f aca="false">IF(B2003&gt;=Eval_Start_Week,"YES","")</f>
        <v/>
      </c>
      <c r="Q2003" s="34" t="str">
        <f aca="false">IF(AND(B2003&gt;=Cal_Start_Week,B2003&lt;=Cal_End_Week),"YES","")</f>
        <v/>
      </c>
    </row>
    <row r="2004" customFormat="false" ht="15" hidden="false" customHeight="false" outlineLevel="0" collapsed="false">
      <c r="A2004" s="31" t="str">
        <f aca="false">Demand_History!C2004</f>
        <v>BTH-010</v>
      </c>
      <c r="B2004" s="31" t="n">
        <f aca="false">Demand_History!A2004</f>
        <v>27</v>
      </c>
      <c r="C2004" s="32" t="n">
        <f aca="false">Demand_History!D2004</f>
        <v>47</v>
      </c>
      <c r="D2004" s="33" t="n">
        <f aca="false">IF(B2004&gt;=2,C2003,"")</f>
        <v>57</v>
      </c>
      <c r="E2004" s="33" t="n">
        <f aca="false">IF(B2004&gt;=5,AVERAGE(C2000:C2003),"")</f>
        <v>50</v>
      </c>
      <c r="F2004" s="33" t="n">
        <f aca="false">IF(B2004&gt;=9,AVERAGE(C1996:C2003),"")</f>
        <v>48.75</v>
      </c>
      <c r="G2004" s="33" t="n">
        <f aca="false">IF(B2004=1,"",IF(B2004=2,C2003,SES_Alpha*C2003+(1-SES_Alpha)*G2003))</f>
        <v>50.1105066971449</v>
      </c>
      <c r="H2004" s="33" t="n">
        <f aca="false">IF(D2004="","",D2004-C2004)</f>
        <v>10</v>
      </c>
      <c r="I2004" s="33" t="n">
        <f aca="false">IF(E2004="","",E2004-C2004)</f>
        <v>3</v>
      </c>
      <c r="J2004" s="33" t="n">
        <f aca="false">IF(F2004="","",F2004-C2004)</f>
        <v>1.75</v>
      </c>
      <c r="K2004" s="33" t="n">
        <f aca="false">IF(G2004="","",G2004-C2004)</f>
        <v>3.11050669714493</v>
      </c>
      <c r="L2004" s="33" t="n">
        <f aca="false">IF(H2004="","",ABS(H2004))</f>
        <v>10</v>
      </c>
      <c r="M2004" s="33" t="n">
        <f aca="false">IF(I2004="","",ABS(I2004))</f>
        <v>3</v>
      </c>
      <c r="N2004" s="33" t="n">
        <f aca="false">IF(J2004="","",ABS(J2004))</f>
        <v>1.75</v>
      </c>
      <c r="O2004" s="33" t="n">
        <f aca="false">IF(K2004="","",ABS(K2004))</f>
        <v>3.11050669714493</v>
      </c>
      <c r="P2004" s="34" t="str">
        <f aca="false">IF(B2004&gt;=Eval_Start_Week,"YES","")</f>
        <v/>
      </c>
      <c r="Q2004" s="34" t="str">
        <f aca="false">IF(AND(B2004&gt;=Cal_Start_Week,B2004&lt;=Cal_End_Week),"YES","")</f>
        <v/>
      </c>
    </row>
    <row r="2005" customFormat="false" ht="15" hidden="false" customHeight="false" outlineLevel="0" collapsed="false">
      <c r="A2005" s="31" t="str">
        <f aca="false">Demand_History!C2005</f>
        <v>BTH-010</v>
      </c>
      <c r="B2005" s="31" t="n">
        <f aca="false">Demand_History!A2005</f>
        <v>28</v>
      </c>
      <c r="C2005" s="32" t="n">
        <f aca="false">Demand_History!D2005</f>
        <v>50</v>
      </c>
      <c r="D2005" s="33" t="n">
        <f aca="false">IF(B2005&gt;=2,C2004,"")</f>
        <v>47</v>
      </c>
      <c r="E2005" s="33" t="n">
        <f aca="false">IF(B2005&gt;=5,AVERAGE(C2001:C2004),"")</f>
        <v>49.75</v>
      </c>
      <c r="F2005" s="33" t="n">
        <f aca="false">IF(B2005&gt;=9,AVERAGE(C1997:C2004),"")</f>
        <v>47.375</v>
      </c>
      <c r="G2005" s="33" t="n">
        <f aca="false">IF(B2005=1,"",IF(B2005=2,C2004,SES_Alpha*C2004+(1-SES_Alpha)*G2004))</f>
        <v>49.1773546880015</v>
      </c>
      <c r="H2005" s="33" t="n">
        <f aca="false">IF(D2005="","",D2005-C2005)</f>
        <v>-3</v>
      </c>
      <c r="I2005" s="33" t="n">
        <f aca="false">IF(E2005="","",E2005-C2005)</f>
        <v>-0.25</v>
      </c>
      <c r="J2005" s="33" t="n">
        <f aca="false">IF(F2005="","",F2005-C2005)</f>
        <v>-2.625</v>
      </c>
      <c r="K2005" s="33" t="n">
        <f aca="false">IF(G2005="","",G2005-C2005)</f>
        <v>-0.822645311998549</v>
      </c>
      <c r="L2005" s="33" t="n">
        <f aca="false">IF(H2005="","",ABS(H2005))</f>
        <v>3</v>
      </c>
      <c r="M2005" s="33" t="n">
        <f aca="false">IF(I2005="","",ABS(I2005))</f>
        <v>0.25</v>
      </c>
      <c r="N2005" s="33" t="n">
        <f aca="false">IF(J2005="","",ABS(J2005))</f>
        <v>2.625</v>
      </c>
      <c r="O2005" s="33" t="n">
        <f aca="false">IF(K2005="","",ABS(K2005))</f>
        <v>0.822645311998549</v>
      </c>
      <c r="P2005" s="34" t="str">
        <f aca="false">IF(B2005&gt;=Eval_Start_Week,"YES","")</f>
        <v/>
      </c>
      <c r="Q2005" s="34" t="str">
        <f aca="false">IF(AND(B2005&gt;=Cal_Start_Week,B2005&lt;=Cal_End_Week),"YES","")</f>
        <v/>
      </c>
    </row>
    <row r="2006" customFormat="false" ht="15" hidden="false" customHeight="false" outlineLevel="0" collapsed="false">
      <c r="A2006" s="31" t="str">
        <f aca="false">Demand_History!C2006</f>
        <v>BTH-010</v>
      </c>
      <c r="B2006" s="31" t="n">
        <f aca="false">Demand_History!A2006</f>
        <v>29</v>
      </c>
      <c r="C2006" s="32" t="n">
        <f aca="false">Demand_History!D2006</f>
        <v>51</v>
      </c>
      <c r="D2006" s="33" t="n">
        <f aca="false">IF(B2006&gt;=2,C2005,"")</f>
        <v>50</v>
      </c>
      <c r="E2006" s="33" t="n">
        <f aca="false">IF(B2006&gt;=5,AVERAGE(C2002:C2005),"")</f>
        <v>50.25</v>
      </c>
      <c r="F2006" s="33" t="n">
        <f aca="false">IF(B2006&gt;=9,AVERAGE(C1998:C2005),"")</f>
        <v>49.125</v>
      </c>
      <c r="G2006" s="33" t="n">
        <f aca="false">IF(B2006=1,"",IF(B2006=2,C2005,SES_Alpha*C2005+(1-SES_Alpha)*G2005))</f>
        <v>49.424148281601</v>
      </c>
      <c r="H2006" s="33" t="n">
        <f aca="false">IF(D2006="","",D2006-C2006)</f>
        <v>-1</v>
      </c>
      <c r="I2006" s="33" t="n">
        <f aca="false">IF(E2006="","",E2006-C2006)</f>
        <v>-0.75</v>
      </c>
      <c r="J2006" s="33" t="n">
        <f aca="false">IF(F2006="","",F2006-C2006)</f>
        <v>-1.875</v>
      </c>
      <c r="K2006" s="33" t="n">
        <f aca="false">IF(G2006="","",G2006-C2006)</f>
        <v>-1.57585171839899</v>
      </c>
      <c r="L2006" s="33" t="n">
        <f aca="false">IF(H2006="","",ABS(H2006))</f>
        <v>1</v>
      </c>
      <c r="M2006" s="33" t="n">
        <f aca="false">IF(I2006="","",ABS(I2006))</f>
        <v>0.75</v>
      </c>
      <c r="N2006" s="33" t="n">
        <f aca="false">IF(J2006="","",ABS(J2006))</f>
        <v>1.875</v>
      </c>
      <c r="O2006" s="33" t="n">
        <f aca="false">IF(K2006="","",ABS(K2006))</f>
        <v>1.57585171839899</v>
      </c>
      <c r="P2006" s="34" t="str">
        <f aca="false">IF(B2006&gt;=Eval_Start_Week,"YES","")</f>
        <v/>
      </c>
      <c r="Q2006" s="34" t="str">
        <f aca="false">IF(AND(B2006&gt;=Cal_Start_Week,B2006&lt;=Cal_End_Week),"YES","")</f>
        <v/>
      </c>
    </row>
    <row r="2007" customFormat="false" ht="15" hidden="false" customHeight="false" outlineLevel="0" collapsed="false">
      <c r="A2007" s="31" t="str">
        <f aca="false">Demand_History!C2007</f>
        <v>BTH-010</v>
      </c>
      <c r="B2007" s="31" t="n">
        <f aca="false">Demand_History!A2007</f>
        <v>30</v>
      </c>
      <c r="C2007" s="32" t="n">
        <f aca="false">Demand_History!D2007</f>
        <v>52</v>
      </c>
      <c r="D2007" s="33" t="n">
        <f aca="false">IF(B2007&gt;=2,C2006,"")</f>
        <v>51</v>
      </c>
      <c r="E2007" s="33" t="n">
        <f aca="false">IF(B2007&gt;=5,AVERAGE(C2003:C2006),"")</f>
        <v>51.25</v>
      </c>
      <c r="F2007" s="33" t="n">
        <f aca="false">IF(B2007&gt;=9,AVERAGE(C1999:C2006),"")</f>
        <v>49.5</v>
      </c>
      <c r="G2007" s="33" t="n">
        <f aca="false">IF(B2007=1,"",IF(B2007=2,C2006,SES_Alpha*C2006+(1-SES_Alpha)*G2006))</f>
        <v>49.8969037971207</v>
      </c>
      <c r="H2007" s="33" t="n">
        <f aca="false">IF(D2007="","",D2007-C2007)</f>
        <v>-1</v>
      </c>
      <c r="I2007" s="33" t="n">
        <f aca="false">IF(E2007="","",E2007-C2007)</f>
        <v>-0.75</v>
      </c>
      <c r="J2007" s="33" t="n">
        <f aca="false">IF(F2007="","",F2007-C2007)</f>
        <v>-2.5</v>
      </c>
      <c r="K2007" s="33" t="n">
        <f aca="false">IF(G2007="","",G2007-C2007)</f>
        <v>-2.10309620287929</v>
      </c>
      <c r="L2007" s="33" t="n">
        <f aca="false">IF(H2007="","",ABS(H2007))</f>
        <v>1</v>
      </c>
      <c r="M2007" s="33" t="n">
        <f aca="false">IF(I2007="","",ABS(I2007))</f>
        <v>0.75</v>
      </c>
      <c r="N2007" s="33" t="n">
        <f aca="false">IF(J2007="","",ABS(J2007))</f>
        <v>2.5</v>
      </c>
      <c r="O2007" s="33" t="n">
        <f aca="false">IF(K2007="","",ABS(K2007))</f>
        <v>2.10309620287929</v>
      </c>
      <c r="P2007" s="34" t="str">
        <f aca="false">IF(B2007&gt;=Eval_Start_Week,"YES","")</f>
        <v/>
      </c>
      <c r="Q2007" s="34" t="str">
        <f aca="false">IF(AND(B2007&gt;=Cal_Start_Week,B2007&lt;=Cal_End_Week),"YES","")</f>
        <v/>
      </c>
    </row>
    <row r="2008" customFormat="false" ht="15" hidden="false" customHeight="false" outlineLevel="0" collapsed="false">
      <c r="A2008" s="31" t="str">
        <f aca="false">Demand_History!C2008</f>
        <v>BTH-010</v>
      </c>
      <c r="B2008" s="31" t="n">
        <f aca="false">Demand_History!A2008</f>
        <v>31</v>
      </c>
      <c r="C2008" s="32" t="n">
        <f aca="false">Demand_History!D2008</f>
        <v>51</v>
      </c>
      <c r="D2008" s="33" t="n">
        <f aca="false">IF(B2008&gt;=2,C2007,"")</f>
        <v>52</v>
      </c>
      <c r="E2008" s="33" t="n">
        <f aca="false">IF(B2008&gt;=5,AVERAGE(C2004:C2007),"")</f>
        <v>50</v>
      </c>
      <c r="F2008" s="33" t="n">
        <f aca="false">IF(B2008&gt;=9,AVERAGE(C2000:C2007),"")</f>
        <v>50</v>
      </c>
      <c r="G2008" s="33" t="n">
        <f aca="false">IF(B2008=1,"",IF(B2008=2,C2007,SES_Alpha*C2007+(1-SES_Alpha)*G2007))</f>
        <v>50.5278326579845</v>
      </c>
      <c r="H2008" s="33" t="n">
        <f aca="false">IF(D2008="","",D2008-C2008)</f>
        <v>1</v>
      </c>
      <c r="I2008" s="33" t="n">
        <f aca="false">IF(E2008="","",E2008-C2008)</f>
        <v>-1</v>
      </c>
      <c r="J2008" s="33" t="n">
        <f aca="false">IF(F2008="","",F2008-C2008)</f>
        <v>-1</v>
      </c>
      <c r="K2008" s="33" t="n">
        <f aca="false">IF(G2008="","",G2008-C2008)</f>
        <v>-0.472167342015503</v>
      </c>
      <c r="L2008" s="33" t="n">
        <f aca="false">IF(H2008="","",ABS(H2008))</f>
        <v>1</v>
      </c>
      <c r="M2008" s="33" t="n">
        <f aca="false">IF(I2008="","",ABS(I2008))</f>
        <v>1</v>
      </c>
      <c r="N2008" s="33" t="n">
        <f aca="false">IF(J2008="","",ABS(J2008))</f>
        <v>1</v>
      </c>
      <c r="O2008" s="33" t="n">
        <f aca="false">IF(K2008="","",ABS(K2008))</f>
        <v>0.472167342015503</v>
      </c>
      <c r="P2008" s="34" t="str">
        <f aca="false">IF(B2008&gt;=Eval_Start_Week,"YES","")</f>
        <v/>
      </c>
      <c r="Q2008" s="34" t="str">
        <f aca="false">IF(AND(B2008&gt;=Cal_Start_Week,B2008&lt;=Cal_End_Week),"YES","")</f>
        <v/>
      </c>
    </row>
    <row r="2009" customFormat="false" ht="15" hidden="false" customHeight="false" outlineLevel="0" collapsed="false">
      <c r="A2009" s="31" t="str">
        <f aca="false">Demand_History!C2009</f>
        <v>BTH-010</v>
      </c>
      <c r="B2009" s="31" t="n">
        <f aca="false">Demand_History!A2009</f>
        <v>32</v>
      </c>
      <c r="C2009" s="32" t="n">
        <f aca="false">Demand_History!D2009</f>
        <v>60</v>
      </c>
      <c r="D2009" s="33" t="n">
        <f aca="false">IF(B2009&gt;=2,C2008,"")</f>
        <v>51</v>
      </c>
      <c r="E2009" s="33" t="n">
        <f aca="false">IF(B2009&gt;=5,AVERAGE(C2005:C2008),"")</f>
        <v>51</v>
      </c>
      <c r="F2009" s="33" t="n">
        <f aca="false">IF(B2009&gt;=9,AVERAGE(C2001:C2008),"")</f>
        <v>50.375</v>
      </c>
      <c r="G2009" s="33" t="n">
        <f aca="false">IF(B2009=1,"",IF(B2009=2,C2008,SES_Alpha*C2008+(1-SES_Alpha)*G2008))</f>
        <v>50.6694828605891</v>
      </c>
      <c r="H2009" s="33" t="n">
        <f aca="false">IF(D2009="","",D2009-C2009)</f>
        <v>-9</v>
      </c>
      <c r="I2009" s="33" t="n">
        <f aca="false">IF(E2009="","",E2009-C2009)</f>
        <v>-9</v>
      </c>
      <c r="J2009" s="33" t="n">
        <f aca="false">IF(F2009="","",F2009-C2009)</f>
        <v>-9.625</v>
      </c>
      <c r="K2009" s="33" t="n">
        <f aca="false">IF(G2009="","",G2009-C2009)</f>
        <v>-9.33051713941086</v>
      </c>
      <c r="L2009" s="33" t="n">
        <f aca="false">IF(H2009="","",ABS(H2009))</f>
        <v>9</v>
      </c>
      <c r="M2009" s="33" t="n">
        <f aca="false">IF(I2009="","",ABS(I2009))</f>
        <v>9</v>
      </c>
      <c r="N2009" s="33" t="n">
        <f aca="false">IF(J2009="","",ABS(J2009))</f>
        <v>9.625</v>
      </c>
      <c r="O2009" s="33" t="n">
        <f aca="false">IF(K2009="","",ABS(K2009))</f>
        <v>9.33051713941086</v>
      </c>
      <c r="P2009" s="34" t="str">
        <f aca="false">IF(B2009&gt;=Eval_Start_Week,"YES","")</f>
        <v/>
      </c>
      <c r="Q2009" s="34" t="str">
        <f aca="false">IF(AND(B2009&gt;=Cal_Start_Week,B2009&lt;=Cal_End_Week),"YES","")</f>
        <v/>
      </c>
    </row>
    <row r="2010" customFormat="false" ht="15" hidden="false" customHeight="false" outlineLevel="0" collapsed="false">
      <c r="A2010" s="31" t="str">
        <f aca="false">Demand_History!C2010</f>
        <v>BTH-010</v>
      </c>
      <c r="B2010" s="31" t="n">
        <f aca="false">Demand_History!A2010</f>
        <v>33</v>
      </c>
      <c r="C2010" s="32" t="n">
        <f aca="false">Demand_History!D2010</f>
        <v>53</v>
      </c>
      <c r="D2010" s="33" t="n">
        <f aca="false">IF(B2010&gt;=2,C2009,"")</f>
        <v>60</v>
      </c>
      <c r="E2010" s="33" t="n">
        <f aca="false">IF(B2010&gt;=5,AVERAGE(C2006:C2009),"")</f>
        <v>53.5</v>
      </c>
      <c r="F2010" s="33" t="n">
        <f aca="false">IF(B2010&gt;=9,AVERAGE(C2002:C2009),"")</f>
        <v>51.875</v>
      </c>
      <c r="G2010" s="33" t="n">
        <f aca="false">IF(B2010=1,"",IF(B2010=2,C2009,SES_Alpha*C2009+(1-SES_Alpha)*G2009))</f>
        <v>53.4686380024124</v>
      </c>
      <c r="H2010" s="33" t="n">
        <f aca="false">IF(D2010="","",D2010-C2010)</f>
        <v>7</v>
      </c>
      <c r="I2010" s="33" t="n">
        <f aca="false">IF(E2010="","",E2010-C2010)</f>
        <v>0.5</v>
      </c>
      <c r="J2010" s="33" t="n">
        <f aca="false">IF(F2010="","",F2010-C2010)</f>
        <v>-1.125</v>
      </c>
      <c r="K2010" s="33" t="n">
        <f aca="false">IF(G2010="","",G2010-C2010)</f>
        <v>0.468638002412398</v>
      </c>
      <c r="L2010" s="33" t="n">
        <f aca="false">IF(H2010="","",ABS(H2010))</f>
        <v>7</v>
      </c>
      <c r="M2010" s="33" t="n">
        <f aca="false">IF(I2010="","",ABS(I2010))</f>
        <v>0.5</v>
      </c>
      <c r="N2010" s="33" t="n">
        <f aca="false">IF(J2010="","",ABS(J2010))</f>
        <v>1.125</v>
      </c>
      <c r="O2010" s="33" t="n">
        <f aca="false">IF(K2010="","",ABS(K2010))</f>
        <v>0.468638002412398</v>
      </c>
      <c r="P2010" s="34" t="str">
        <f aca="false">IF(B2010&gt;=Eval_Start_Week,"YES","")</f>
        <v/>
      </c>
      <c r="Q2010" s="34" t="str">
        <f aca="false">IF(AND(B2010&gt;=Cal_Start_Week,B2010&lt;=Cal_End_Week),"YES","")</f>
        <v/>
      </c>
    </row>
    <row r="2011" customFormat="false" ht="15" hidden="false" customHeight="false" outlineLevel="0" collapsed="false">
      <c r="A2011" s="31" t="str">
        <f aca="false">Demand_History!C2011</f>
        <v>BTH-010</v>
      </c>
      <c r="B2011" s="31" t="n">
        <f aca="false">Demand_History!A2011</f>
        <v>34</v>
      </c>
      <c r="C2011" s="32" t="n">
        <f aca="false">Demand_History!D2011</f>
        <v>55</v>
      </c>
      <c r="D2011" s="33" t="n">
        <f aca="false">IF(B2011&gt;=2,C2010,"")</f>
        <v>53</v>
      </c>
      <c r="E2011" s="33" t="n">
        <f aca="false">IF(B2011&gt;=5,AVERAGE(C2007:C2010),"")</f>
        <v>54</v>
      </c>
      <c r="F2011" s="33" t="n">
        <f aca="false">IF(B2011&gt;=9,AVERAGE(C2003:C2010),"")</f>
        <v>52.625</v>
      </c>
      <c r="G2011" s="33" t="n">
        <f aca="false">IF(B2011=1,"",IF(B2011=2,C2010,SES_Alpha*C2010+(1-SES_Alpha)*G2010))</f>
        <v>53.3280466016887</v>
      </c>
      <c r="H2011" s="33" t="n">
        <f aca="false">IF(D2011="","",D2011-C2011)</f>
        <v>-2</v>
      </c>
      <c r="I2011" s="33" t="n">
        <f aca="false">IF(E2011="","",E2011-C2011)</f>
        <v>-1</v>
      </c>
      <c r="J2011" s="33" t="n">
        <f aca="false">IF(F2011="","",F2011-C2011)</f>
        <v>-2.375</v>
      </c>
      <c r="K2011" s="33" t="n">
        <f aca="false">IF(G2011="","",G2011-C2011)</f>
        <v>-1.67195339831132</v>
      </c>
      <c r="L2011" s="33" t="n">
        <f aca="false">IF(H2011="","",ABS(H2011))</f>
        <v>2</v>
      </c>
      <c r="M2011" s="33" t="n">
        <f aca="false">IF(I2011="","",ABS(I2011))</f>
        <v>1</v>
      </c>
      <c r="N2011" s="33" t="n">
        <f aca="false">IF(J2011="","",ABS(J2011))</f>
        <v>2.375</v>
      </c>
      <c r="O2011" s="33" t="n">
        <f aca="false">IF(K2011="","",ABS(K2011))</f>
        <v>1.67195339831132</v>
      </c>
      <c r="P2011" s="34" t="str">
        <f aca="false">IF(B2011&gt;=Eval_Start_Week,"YES","")</f>
        <v/>
      </c>
      <c r="Q2011" s="34" t="str">
        <f aca="false">IF(AND(B2011&gt;=Cal_Start_Week,B2011&lt;=Cal_End_Week),"YES","")</f>
        <v/>
      </c>
    </row>
    <row r="2012" customFormat="false" ht="15" hidden="false" customHeight="false" outlineLevel="0" collapsed="false">
      <c r="A2012" s="31" t="str">
        <f aca="false">Demand_History!C2012</f>
        <v>BTH-010</v>
      </c>
      <c r="B2012" s="31" t="n">
        <f aca="false">Demand_History!A2012</f>
        <v>35</v>
      </c>
      <c r="C2012" s="32" t="n">
        <f aca="false">Demand_History!D2012</f>
        <v>53</v>
      </c>
      <c r="D2012" s="33" t="n">
        <f aca="false">IF(B2012&gt;=2,C2011,"")</f>
        <v>55</v>
      </c>
      <c r="E2012" s="33" t="n">
        <f aca="false">IF(B2012&gt;=5,AVERAGE(C2008:C2011),"")</f>
        <v>54.75</v>
      </c>
      <c r="F2012" s="33" t="n">
        <f aca="false">IF(B2012&gt;=9,AVERAGE(C2004:C2011),"")</f>
        <v>52.375</v>
      </c>
      <c r="G2012" s="33" t="n">
        <f aca="false">IF(B2012=1,"",IF(B2012=2,C2011,SES_Alpha*C2011+(1-SES_Alpha)*G2011))</f>
        <v>53.8296326211821</v>
      </c>
      <c r="H2012" s="33" t="n">
        <f aca="false">IF(D2012="","",D2012-C2012)</f>
        <v>2</v>
      </c>
      <c r="I2012" s="33" t="n">
        <f aca="false">IF(E2012="","",E2012-C2012)</f>
        <v>1.75</v>
      </c>
      <c r="J2012" s="33" t="n">
        <f aca="false">IF(F2012="","",F2012-C2012)</f>
        <v>-0.625</v>
      </c>
      <c r="K2012" s="33" t="n">
        <f aca="false">IF(G2012="","",G2012-C2012)</f>
        <v>0.829632621182071</v>
      </c>
      <c r="L2012" s="33" t="n">
        <f aca="false">IF(H2012="","",ABS(H2012))</f>
        <v>2</v>
      </c>
      <c r="M2012" s="33" t="n">
        <f aca="false">IF(I2012="","",ABS(I2012))</f>
        <v>1.75</v>
      </c>
      <c r="N2012" s="33" t="n">
        <f aca="false">IF(J2012="","",ABS(J2012))</f>
        <v>0.625</v>
      </c>
      <c r="O2012" s="33" t="n">
        <f aca="false">IF(K2012="","",ABS(K2012))</f>
        <v>0.829632621182071</v>
      </c>
      <c r="P2012" s="34" t="str">
        <f aca="false">IF(B2012&gt;=Eval_Start_Week,"YES","")</f>
        <v/>
      </c>
      <c r="Q2012" s="34" t="str">
        <f aca="false">IF(AND(B2012&gt;=Cal_Start_Week,B2012&lt;=Cal_End_Week),"YES","")</f>
        <v/>
      </c>
    </row>
    <row r="2013" customFormat="false" ht="15" hidden="false" customHeight="false" outlineLevel="0" collapsed="false">
      <c r="A2013" s="31" t="str">
        <f aca="false">Demand_History!C2013</f>
        <v>BTH-010</v>
      </c>
      <c r="B2013" s="31" t="n">
        <f aca="false">Demand_History!A2013</f>
        <v>36</v>
      </c>
      <c r="C2013" s="32" t="n">
        <f aca="false">Demand_History!D2013</f>
        <v>47</v>
      </c>
      <c r="D2013" s="33" t="n">
        <f aca="false">IF(B2013&gt;=2,C2012,"")</f>
        <v>53</v>
      </c>
      <c r="E2013" s="33" t="n">
        <f aca="false">IF(B2013&gt;=5,AVERAGE(C2009:C2012),"")</f>
        <v>55.25</v>
      </c>
      <c r="F2013" s="33" t="n">
        <f aca="false">IF(B2013&gt;=9,AVERAGE(C2005:C2012),"")</f>
        <v>53.125</v>
      </c>
      <c r="G2013" s="33" t="n">
        <f aca="false">IF(B2013=1,"",IF(B2013=2,C2012,SES_Alpha*C2012+(1-SES_Alpha)*G2012))</f>
        <v>53.5807428348275</v>
      </c>
      <c r="H2013" s="33" t="n">
        <f aca="false">IF(D2013="","",D2013-C2013)</f>
        <v>6</v>
      </c>
      <c r="I2013" s="33" t="n">
        <f aca="false">IF(E2013="","",E2013-C2013)</f>
        <v>8.25</v>
      </c>
      <c r="J2013" s="33" t="n">
        <f aca="false">IF(F2013="","",F2013-C2013)</f>
        <v>6.125</v>
      </c>
      <c r="K2013" s="33" t="n">
        <f aca="false">IF(G2013="","",G2013-C2013)</f>
        <v>6.58074283482745</v>
      </c>
      <c r="L2013" s="33" t="n">
        <f aca="false">IF(H2013="","",ABS(H2013))</f>
        <v>6</v>
      </c>
      <c r="M2013" s="33" t="n">
        <f aca="false">IF(I2013="","",ABS(I2013))</f>
        <v>8.25</v>
      </c>
      <c r="N2013" s="33" t="n">
        <f aca="false">IF(J2013="","",ABS(J2013))</f>
        <v>6.125</v>
      </c>
      <c r="O2013" s="33" t="n">
        <f aca="false">IF(K2013="","",ABS(K2013))</f>
        <v>6.58074283482745</v>
      </c>
      <c r="P2013" s="34" t="str">
        <f aca="false">IF(B2013&gt;=Eval_Start_Week,"YES","")</f>
        <v/>
      </c>
      <c r="Q2013" s="34" t="str">
        <f aca="false">IF(AND(B2013&gt;=Cal_Start_Week,B2013&lt;=Cal_End_Week),"YES","")</f>
        <v/>
      </c>
    </row>
    <row r="2014" customFormat="false" ht="15" hidden="false" customHeight="false" outlineLevel="0" collapsed="false">
      <c r="A2014" s="31" t="str">
        <f aca="false">Demand_History!C2014</f>
        <v>BTH-010</v>
      </c>
      <c r="B2014" s="31" t="n">
        <f aca="false">Demand_History!A2014</f>
        <v>37</v>
      </c>
      <c r="C2014" s="32" t="n">
        <f aca="false">Demand_History!D2014</f>
        <v>48</v>
      </c>
      <c r="D2014" s="33" t="n">
        <f aca="false">IF(B2014&gt;=2,C2013,"")</f>
        <v>47</v>
      </c>
      <c r="E2014" s="33" t="n">
        <f aca="false">IF(B2014&gt;=5,AVERAGE(C2010:C2013),"")</f>
        <v>52</v>
      </c>
      <c r="F2014" s="33" t="n">
        <f aca="false">IF(B2014&gt;=9,AVERAGE(C2006:C2013),"")</f>
        <v>52.75</v>
      </c>
      <c r="G2014" s="33" t="n">
        <f aca="false">IF(B2014=1,"",IF(B2014=2,C2013,SES_Alpha*C2013+(1-SES_Alpha)*G2013))</f>
        <v>51.6065199843792</v>
      </c>
      <c r="H2014" s="33" t="n">
        <f aca="false">IF(D2014="","",D2014-C2014)</f>
        <v>-1</v>
      </c>
      <c r="I2014" s="33" t="n">
        <f aca="false">IF(E2014="","",E2014-C2014)</f>
        <v>4</v>
      </c>
      <c r="J2014" s="33" t="n">
        <f aca="false">IF(F2014="","",F2014-C2014)</f>
        <v>4.75</v>
      </c>
      <c r="K2014" s="33" t="n">
        <f aca="false">IF(G2014="","",G2014-C2014)</f>
        <v>3.60651998437921</v>
      </c>
      <c r="L2014" s="33" t="n">
        <f aca="false">IF(H2014="","",ABS(H2014))</f>
        <v>1</v>
      </c>
      <c r="M2014" s="33" t="n">
        <f aca="false">IF(I2014="","",ABS(I2014))</f>
        <v>4</v>
      </c>
      <c r="N2014" s="33" t="n">
        <f aca="false">IF(J2014="","",ABS(J2014))</f>
        <v>4.75</v>
      </c>
      <c r="O2014" s="33" t="n">
        <f aca="false">IF(K2014="","",ABS(K2014))</f>
        <v>3.60651998437921</v>
      </c>
      <c r="P2014" s="34" t="str">
        <f aca="false">IF(B2014&gt;=Eval_Start_Week,"YES","")</f>
        <v/>
      </c>
      <c r="Q2014" s="34" t="str">
        <f aca="false">IF(AND(B2014&gt;=Cal_Start_Week,B2014&lt;=Cal_End_Week),"YES","")</f>
        <v>YES</v>
      </c>
    </row>
    <row r="2015" customFormat="false" ht="15" hidden="false" customHeight="false" outlineLevel="0" collapsed="false">
      <c r="A2015" s="31" t="str">
        <f aca="false">Demand_History!C2015</f>
        <v>BTH-010</v>
      </c>
      <c r="B2015" s="31" t="n">
        <f aca="false">Demand_History!A2015</f>
        <v>38</v>
      </c>
      <c r="C2015" s="32" t="n">
        <f aca="false">Demand_History!D2015</f>
        <v>47</v>
      </c>
      <c r="D2015" s="33" t="n">
        <f aca="false">IF(B2015&gt;=2,C2014,"")</f>
        <v>48</v>
      </c>
      <c r="E2015" s="33" t="n">
        <f aca="false">IF(B2015&gt;=5,AVERAGE(C2011:C2014),"")</f>
        <v>50.75</v>
      </c>
      <c r="F2015" s="33" t="n">
        <f aca="false">IF(B2015&gt;=9,AVERAGE(C2007:C2014),"")</f>
        <v>52.375</v>
      </c>
      <c r="G2015" s="33" t="n">
        <f aca="false">IF(B2015=1,"",IF(B2015=2,C2014,SES_Alpha*C2014+(1-SES_Alpha)*G2014))</f>
        <v>50.5245639890654</v>
      </c>
      <c r="H2015" s="33" t="n">
        <f aca="false">IF(D2015="","",D2015-C2015)</f>
        <v>1</v>
      </c>
      <c r="I2015" s="33" t="n">
        <f aca="false">IF(E2015="","",E2015-C2015)</f>
        <v>3.75</v>
      </c>
      <c r="J2015" s="33" t="n">
        <f aca="false">IF(F2015="","",F2015-C2015)</f>
        <v>5.375</v>
      </c>
      <c r="K2015" s="33" t="n">
        <f aca="false">IF(G2015="","",G2015-C2015)</f>
        <v>3.52456398906544</v>
      </c>
      <c r="L2015" s="33" t="n">
        <f aca="false">IF(H2015="","",ABS(H2015))</f>
        <v>1</v>
      </c>
      <c r="M2015" s="33" t="n">
        <f aca="false">IF(I2015="","",ABS(I2015))</f>
        <v>3.75</v>
      </c>
      <c r="N2015" s="33" t="n">
        <f aca="false">IF(J2015="","",ABS(J2015))</f>
        <v>5.375</v>
      </c>
      <c r="O2015" s="33" t="n">
        <f aca="false">IF(K2015="","",ABS(K2015))</f>
        <v>3.52456398906544</v>
      </c>
      <c r="P2015" s="34" t="str">
        <f aca="false">IF(B2015&gt;=Eval_Start_Week,"YES","")</f>
        <v/>
      </c>
      <c r="Q2015" s="34" t="str">
        <f aca="false">IF(AND(B2015&gt;=Cal_Start_Week,B2015&lt;=Cal_End_Week),"YES","")</f>
        <v>YES</v>
      </c>
    </row>
    <row r="2016" customFormat="false" ht="15" hidden="false" customHeight="false" outlineLevel="0" collapsed="false">
      <c r="A2016" s="31" t="str">
        <f aca="false">Demand_History!C2016</f>
        <v>BTH-010</v>
      </c>
      <c r="B2016" s="31" t="n">
        <f aca="false">Demand_History!A2016</f>
        <v>39</v>
      </c>
      <c r="C2016" s="32" t="n">
        <f aca="false">Demand_History!D2016</f>
        <v>57</v>
      </c>
      <c r="D2016" s="33" t="n">
        <f aca="false">IF(B2016&gt;=2,C2015,"")</f>
        <v>47</v>
      </c>
      <c r="E2016" s="33" t="n">
        <f aca="false">IF(B2016&gt;=5,AVERAGE(C2012:C2015),"")</f>
        <v>48.75</v>
      </c>
      <c r="F2016" s="33" t="n">
        <f aca="false">IF(B2016&gt;=9,AVERAGE(C2008:C2015),"")</f>
        <v>51.75</v>
      </c>
      <c r="G2016" s="33" t="n">
        <f aca="false">IF(B2016=1,"",IF(B2016=2,C2015,SES_Alpha*C2015+(1-SES_Alpha)*G2015))</f>
        <v>49.4671947923458</v>
      </c>
      <c r="H2016" s="33" t="n">
        <f aca="false">IF(D2016="","",D2016-C2016)</f>
        <v>-10</v>
      </c>
      <c r="I2016" s="33" t="n">
        <f aca="false">IF(E2016="","",E2016-C2016)</f>
        <v>-8.25</v>
      </c>
      <c r="J2016" s="33" t="n">
        <f aca="false">IF(F2016="","",F2016-C2016)</f>
        <v>-5.25</v>
      </c>
      <c r="K2016" s="33" t="n">
        <f aca="false">IF(G2016="","",G2016-C2016)</f>
        <v>-7.53280520765419</v>
      </c>
      <c r="L2016" s="33" t="n">
        <f aca="false">IF(H2016="","",ABS(H2016))</f>
        <v>10</v>
      </c>
      <c r="M2016" s="33" t="n">
        <f aca="false">IF(I2016="","",ABS(I2016))</f>
        <v>8.25</v>
      </c>
      <c r="N2016" s="33" t="n">
        <f aca="false">IF(J2016="","",ABS(J2016))</f>
        <v>5.25</v>
      </c>
      <c r="O2016" s="33" t="n">
        <f aca="false">IF(K2016="","",ABS(K2016))</f>
        <v>7.53280520765419</v>
      </c>
      <c r="P2016" s="34" t="str">
        <f aca="false">IF(B2016&gt;=Eval_Start_Week,"YES","")</f>
        <v/>
      </c>
      <c r="Q2016" s="34" t="str">
        <f aca="false">IF(AND(B2016&gt;=Cal_Start_Week,B2016&lt;=Cal_End_Week),"YES","")</f>
        <v>YES</v>
      </c>
    </row>
    <row r="2017" customFormat="false" ht="15" hidden="false" customHeight="false" outlineLevel="0" collapsed="false">
      <c r="A2017" s="31" t="str">
        <f aca="false">Demand_History!C2017</f>
        <v>BTH-010</v>
      </c>
      <c r="B2017" s="31" t="n">
        <f aca="false">Demand_History!A2017</f>
        <v>40</v>
      </c>
      <c r="C2017" s="32" t="n">
        <f aca="false">Demand_History!D2017</f>
        <v>50</v>
      </c>
      <c r="D2017" s="33" t="n">
        <f aca="false">IF(B2017&gt;=2,C2016,"")</f>
        <v>57</v>
      </c>
      <c r="E2017" s="33" t="n">
        <f aca="false">IF(B2017&gt;=5,AVERAGE(C2013:C2016),"")</f>
        <v>49.75</v>
      </c>
      <c r="F2017" s="33" t="n">
        <f aca="false">IF(B2017&gt;=9,AVERAGE(C2009:C2016),"")</f>
        <v>52.5</v>
      </c>
      <c r="G2017" s="33" t="n">
        <f aca="false">IF(B2017=1,"",IF(B2017=2,C2016,SES_Alpha*C2016+(1-SES_Alpha)*G2016))</f>
        <v>51.7270363546421</v>
      </c>
      <c r="H2017" s="33" t="n">
        <f aca="false">IF(D2017="","",D2017-C2017)</f>
        <v>7</v>
      </c>
      <c r="I2017" s="33" t="n">
        <f aca="false">IF(E2017="","",E2017-C2017)</f>
        <v>-0.25</v>
      </c>
      <c r="J2017" s="33" t="n">
        <f aca="false">IF(F2017="","",F2017-C2017)</f>
        <v>2.5</v>
      </c>
      <c r="K2017" s="33" t="n">
        <f aca="false">IF(G2017="","",G2017-C2017)</f>
        <v>1.72703635464207</v>
      </c>
      <c r="L2017" s="33" t="n">
        <f aca="false">IF(H2017="","",ABS(H2017))</f>
        <v>7</v>
      </c>
      <c r="M2017" s="33" t="n">
        <f aca="false">IF(I2017="","",ABS(I2017))</f>
        <v>0.25</v>
      </c>
      <c r="N2017" s="33" t="n">
        <f aca="false">IF(J2017="","",ABS(J2017))</f>
        <v>2.5</v>
      </c>
      <c r="O2017" s="33" t="n">
        <f aca="false">IF(K2017="","",ABS(K2017))</f>
        <v>1.72703635464207</v>
      </c>
      <c r="P2017" s="34" t="str">
        <f aca="false">IF(B2017&gt;=Eval_Start_Week,"YES","")</f>
        <v/>
      </c>
      <c r="Q2017" s="34" t="str">
        <f aca="false">IF(AND(B2017&gt;=Cal_Start_Week,B2017&lt;=Cal_End_Week),"YES","")</f>
        <v>YES</v>
      </c>
    </row>
    <row r="2018" customFormat="false" ht="15" hidden="false" customHeight="false" outlineLevel="0" collapsed="false">
      <c r="A2018" s="31" t="str">
        <f aca="false">Demand_History!C2018</f>
        <v>BTH-010</v>
      </c>
      <c r="B2018" s="31" t="n">
        <f aca="false">Demand_History!A2018</f>
        <v>41</v>
      </c>
      <c r="C2018" s="32" t="n">
        <f aca="false">Demand_History!D2018</f>
        <v>48</v>
      </c>
      <c r="D2018" s="33" t="n">
        <f aca="false">IF(B2018&gt;=2,C2017,"")</f>
        <v>50</v>
      </c>
      <c r="E2018" s="33" t="n">
        <f aca="false">IF(B2018&gt;=5,AVERAGE(C2014:C2017),"")</f>
        <v>50.5</v>
      </c>
      <c r="F2018" s="33" t="n">
        <f aca="false">IF(B2018&gt;=9,AVERAGE(C2010:C2017),"")</f>
        <v>51.25</v>
      </c>
      <c r="G2018" s="33" t="n">
        <f aca="false">IF(B2018=1,"",IF(B2018=2,C2017,SES_Alpha*C2017+(1-SES_Alpha)*G2017))</f>
        <v>51.2089254482494</v>
      </c>
      <c r="H2018" s="33" t="n">
        <f aca="false">IF(D2018="","",D2018-C2018)</f>
        <v>2</v>
      </c>
      <c r="I2018" s="33" t="n">
        <f aca="false">IF(E2018="","",E2018-C2018)</f>
        <v>2.5</v>
      </c>
      <c r="J2018" s="33" t="n">
        <f aca="false">IF(F2018="","",F2018-C2018)</f>
        <v>3.25</v>
      </c>
      <c r="K2018" s="33" t="n">
        <f aca="false">IF(G2018="","",G2018-C2018)</f>
        <v>3.20892544824945</v>
      </c>
      <c r="L2018" s="33" t="n">
        <f aca="false">IF(H2018="","",ABS(H2018))</f>
        <v>2</v>
      </c>
      <c r="M2018" s="33" t="n">
        <f aca="false">IF(I2018="","",ABS(I2018))</f>
        <v>2.5</v>
      </c>
      <c r="N2018" s="33" t="n">
        <f aca="false">IF(J2018="","",ABS(J2018))</f>
        <v>3.25</v>
      </c>
      <c r="O2018" s="33" t="n">
        <f aca="false">IF(K2018="","",ABS(K2018))</f>
        <v>3.20892544824945</v>
      </c>
      <c r="P2018" s="34" t="str">
        <f aca="false">IF(B2018&gt;=Eval_Start_Week,"YES","")</f>
        <v/>
      </c>
      <c r="Q2018" s="34" t="str">
        <f aca="false">IF(AND(B2018&gt;=Cal_Start_Week,B2018&lt;=Cal_End_Week),"YES","")</f>
        <v>YES</v>
      </c>
    </row>
    <row r="2019" customFormat="false" ht="15" hidden="false" customHeight="false" outlineLevel="0" collapsed="false">
      <c r="A2019" s="31" t="str">
        <f aca="false">Demand_History!C2019</f>
        <v>BTH-010</v>
      </c>
      <c r="B2019" s="31" t="n">
        <f aca="false">Demand_History!A2019</f>
        <v>42</v>
      </c>
      <c r="C2019" s="32" t="n">
        <f aca="false">Demand_History!D2019</f>
        <v>59</v>
      </c>
      <c r="D2019" s="33" t="n">
        <f aca="false">IF(B2019&gt;=2,C2018,"")</f>
        <v>48</v>
      </c>
      <c r="E2019" s="33" t="n">
        <f aca="false">IF(B2019&gt;=5,AVERAGE(C2015:C2018),"")</f>
        <v>50.5</v>
      </c>
      <c r="F2019" s="33" t="n">
        <f aca="false">IF(B2019&gt;=9,AVERAGE(C2011:C2018),"")</f>
        <v>50.625</v>
      </c>
      <c r="G2019" s="33" t="n">
        <f aca="false">IF(B2019=1,"",IF(B2019=2,C2018,SES_Alpha*C2018+(1-SES_Alpha)*G2018))</f>
        <v>50.2462478137746</v>
      </c>
      <c r="H2019" s="33" t="n">
        <f aca="false">IF(D2019="","",D2019-C2019)</f>
        <v>-11</v>
      </c>
      <c r="I2019" s="33" t="n">
        <f aca="false">IF(E2019="","",E2019-C2019)</f>
        <v>-8.5</v>
      </c>
      <c r="J2019" s="33" t="n">
        <f aca="false">IF(F2019="","",F2019-C2019)</f>
        <v>-8.375</v>
      </c>
      <c r="K2019" s="33" t="n">
        <f aca="false">IF(G2019="","",G2019-C2019)</f>
        <v>-8.75375218622539</v>
      </c>
      <c r="L2019" s="33" t="n">
        <f aca="false">IF(H2019="","",ABS(H2019))</f>
        <v>11</v>
      </c>
      <c r="M2019" s="33" t="n">
        <f aca="false">IF(I2019="","",ABS(I2019))</f>
        <v>8.5</v>
      </c>
      <c r="N2019" s="33" t="n">
        <f aca="false">IF(J2019="","",ABS(J2019))</f>
        <v>8.375</v>
      </c>
      <c r="O2019" s="33" t="n">
        <f aca="false">IF(K2019="","",ABS(K2019))</f>
        <v>8.75375218622539</v>
      </c>
      <c r="P2019" s="34" t="str">
        <f aca="false">IF(B2019&gt;=Eval_Start_Week,"YES","")</f>
        <v/>
      </c>
      <c r="Q2019" s="34" t="str">
        <f aca="false">IF(AND(B2019&gt;=Cal_Start_Week,B2019&lt;=Cal_End_Week),"YES","")</f>
        <v>YES</v>
      </c>
    </row>
    <row r="2020" customFormat="false" ht="15" hidden="false" customHeight="false" outlineLevel="0" collapsed="false">
      <c r="A2020" s="31" t="str">
        <f aca="false">Demand_History!C2020</f>
        <v>BTH-010</v>
      </c>
      <c r="B2020" s="31" t="n">
        <f aca="false">Demand_History!A2020</f>
        <v>43</v>
      </c>
      <c r="C2020" s="32" t="n">
        <f aca="false">Demand_History!D2020</f>
        <v>62</v>
      </c>
      <c r="D2020" s="33" t="n">
        <f aca="false">IF(B2020&gt;=2,C2019,"")</f>
        <v>59</v>
      </c>
      <c r="E2020" s="33" t="n">
        <f aca="false">IF(B2020&gt;=5,AVERAGE(C2016:C2019),"")</f>
        <v>53.5</v>
      </c>
      <c r="F2020" s="33" t="n">
        <f aca="false">IF(B2020&gt;=9,AVERAGE(C2012:C2019),"")</f>
        <v>51.125</v>
      </c>
      <c r="G2020" s="33" t="n">
        <f aca="false">IF(B2020=1,"",IF(B2020=2,C2019,SES_Alpha*C2019+(1-SES_Alpha)*G2019))</f>
        <v>52.8723734696422</v>
      </c>
      <c r="H2020" s="33" t="n">
        <f aca="false">IF(D2020="","",D2020-C2020)</f>
        <v>-3</v>
      </c>
      <c r="I2020" s="33" t="n">
        <f aca="false">IF(E2020="","",E2020-C2020)</f>
        <v>-8.5</v>
      </c>
      <c r="J2020" s="33" t="n">
        <f aca="false">IF(F2020="","",F2020-C2020)</f>
        <v>-10.875</v>
      </c>
      <c r="K2020" s="33" t="n">
        <f aca="false">IF(G2020="","",G2020-C2020)</f>
        <v>-9.12762653035777</v>
      </c>
      <c r="L2020" s="33" t="n">
        <f aca="false">IF(H2020="","",ABS(H2020))</f>
        <v>3</v>
      </c>
      <c r="M2020" s="33" t="n">
        <f aca="false">IF(I2020="","",ABS(I2020))</f>
        <v>8.5</v>
      </c>
      <c r="N2020" s="33" t="n">
        <f aca="false">IF(J2020="","",ABS(J2020))</f>
        <v>10.875</v>
      </c>
      <c r="O2020" s="33" t="n">
        <f aca="false">IF(K2020="","",ABS(K2020))</f>
        <v>9.12762653035777</v>
      </c>
      <c r="P2020" s="34" t="str">
        <f aca="false">IF(B2020&gt;=Eval_Start_Week,"YES","")</f>
        <v/>
      </c>
      <c r="Q2020" s="34" t="str">
        <f aca="false">IF(AND(B2020&gt;=Cal_Start_Week,B2020&lt;=Cal_End_Week),"YES","")</f>
        <v>YES</v>
      </c>
    </row>
    <row r="2021" customFormat="false" ht="15" hidden="false" customHeight="false" outlineLevel="0" collapsed="false">
      <c r="A2021" s="31" t="str">
        <f aca="false">Demand_History!C2021</f>
        <v>BTH-010</v>
      </c>
      <c r="B2021" s="31" t="n">
        <f aca="false">Demand_History!A2021</f>
        <v>44</v>
      </c>
      <c r="C2021" s="32" t="n">
        <f aca="false">Demand_History!D2021</f>
        <v>44</v>
      </c>
      <c r="D2021" s="33" t="n">
        <f aca="false">IF(B2021&gt;=2,C2020,"")</f>
        <v>62</v>
      </c>
      <c r="E2021" s="33" t="n">
        <f aca="false">IF(B2021&gt;=5,AVERAGE(C2017:C2020),"")</f>
        <v>54.75</v>
      </c>
      <c r="F2021" s="33" t="n">
        <f aca="false">IF(B2021&gt;=9,AVERAGE(C2013:C2020),"")</f>
        <v>52.25</v>
      </c>
      <c r="G2021" s="33" t="n">
        <f aca="false">IF(B2021=1,"",IF(B2021=2,C2020,SES_Alpha*C2020+(1-SES_Alpha)*G2020))</f>
        <v>55.6106614287496</v>
      </c>
      <c r="H2021" s="33" t="n">
        <f aca="false">IF(D2021="","",D2021-C2021)</f>
        <v>18</v>
      </c>
      <c r="I2021" s="33" t="n">
        <f aca="false">IF(E2021="","",E2021-C2021)</f>
        <v>10.75</v>
      </c>
      <c r="J2021" s="33" t="n">
        <f aca="false">IF(F2021="","",F2021-C2021)</f>
        <v>8.25</v>
      </c>
      <c r="K2021" s="33" t="n">
        <f aca="false">IF(G2021="","",G2021-C2021)</f>
        <v>11.6106614287496</v>
      </c>
      <c r="L2021" s="33" t="n">
        <f aca="false">IF(H2021="","",ABS(H2021))</f>
        <v>18</v>
      </c>
      <c r="M2021" s="33" t="n">
        <f aca="false">IF(I2021="","",ABS(I2021))</f>
        <v>10.75</v>
      </c>
      <c r="N2021" s="33" t="n">
        <f aca="false">IF(J2021="","",ABS(J2021))</f>
        <v>8.25</v>
      </c>
      <c r="O2021" s="33" t="n">
        <f aca="false">IF(K2021="","",ABS(K2021))</f>
        <v>11.6106614287496</v>
      </c>
      <c r="P2021" s="34" t="str">
        <f aca="false">IF(B2021&gt;=Eval_Start_Week,"YES","")</f>
        <v/>
      </c>
      <c r="Q2021" s="34" t="str">
        <f aca="false">IF(AND(B2021&gt;=Cal_Start_Week,B2021&lt;=Cal_End_Week),"YES","")</f>
        <v>YES</v>
      </c>
    </row>
    <row r="2022" customFormat="false" ht="15" hidden="false" customHeight="false" outlineLevel="0" collapsed="false">
      <c r="A2022" s="31" t="str">
        <f aca="false">Demand_History!C2022</f>
        <v>BTH-010</v>
      </c>
      <c r="B2022" s="31" t="n">
        <f aca="false">Demand_History!A2022</f>
        <v>45</v>
      </c>
      <c r="C2022" s="32" t="n">
        <f aca="false">Demand_History!D2022</f>
        <v>72</v>
      </c>
      <c r="D2022" s="33" t="n">
        <f aca="false">IF(B2022&gt;=2,C2021,"")</f>
        <v>44</v>
      </c>
      <c r="E2022" s="33" t="n">
        <f aca="false">IF(B2022&gt;=5,AVERAGE(C2018:C2021),"")</f>
        <v>53.25</v>
      </c>
      <c r="F2022" s="33" t="n">
        <f aca="false">IF(B2022&gt;=9,AVERAGE(C2014:C2021),"")</f>
        <v>51.875</v>
      </c>
      <c r="G2022" s="33" t="n">
        <f aca="false">IF(B2022=1,"",IF(B2022=2,C2021,SES_Alpha*C2021+(1-SES_Alpha)*G2021))</f>
        <v>52.1274630001247</v>
      </c>
      <c r="H2022" s="33" t="n">
        <f aca="false">IF(D2022="","",D2022-C2022)</f>
        <v>-28</v>
      </c>
      <c r="I2022" s="33" t="n">
        <f aca="false">IF(E2022="","",E2022-C2022)</f>
        <v>-18.75</v>
      </c>
      <c r="J2022" s="33" t="n">
        <f aca="false">IF(F2022="","",F2022-C2022)</f>
        <v>-20.125</v>
      </c>
      <c r="K2022" s="33" t="n">
        <f aca="false">IF(G2022="","",G2022-C2022)</f>
        <v>-19.8725369998753</v>
      </c>
      <c r="L2022" s="33" t="n">
        <f aca="false">IF(H2022="","",ABS(H2022))</f>
        <v>28</v>
      </c>
      <c r="M2022" s="33" t="n">
        <f aca="false">IF(I2022="","",ABS(I2022))</f>
        <v>18.75</v>
      </c>
      <c r="N2022" s="33" t="n">
        <f aca="false">IF(J2022="","",ABS(J2022))</f>
        <v>20.125</v>
      </c>
      <c r="O2022" s="33" t="n">
        <f aca="false">IF(K2022="","",ABS(K2022))</f>
        <v>19.8725369998753</v>
      </c>
      <c r="P2022" s="34" t="str">
        <f aca="false">IF(B2022&gt;=Eval_Start_Week,"YES","")</f>
        <v/>
      </c>
      <c r="Q2022" s="34" t="str">
        <f aca="false">IF(AND(B2022&gt;=Cal_Start_Week,B2022&lt;=Cal_End_Week),"YES","")</f>
        <v>YES</v>
      </c>
    </row>
    <row r="2023" customFormat="false" ht="15" hidden="false" customHeight="false" outlineLevel="0" collapsed="false">
      <c r="A2023" s="31" t="str">
        <f aca="false">Demand_History!C2023</f>
        <v>BTH-010</v>
      </c>
      <c r="B2023" s="31" t="n">
        <f aca="false">Demand_History!A2023</f>
        <v>46</v>
      </c>
      <c r="C2023" s="32" t="n">
        <f aca="false">Demand_History!D2023</f>
        <v>59</v>
      </c>
      <c r="D2023" s="33" t="n">
        <f aca="false">IF(B2023&gt;=2,C2022,"")</f>
        <v>72</v>
      </c>
      <c r="E2023" s="33" t="n">
        <f aca="false">IF(B2023&gt;=5,AVERAGE(C2019:C2022),"")</f>
        <v>59.25</v>
      </c>
      <c r="F2023" s="33" t="n">
        <f aca="false">IF(B2023&gt;=9,AVERAGE(C2015:C2022),"")</f>
        <v>54.875</v>
      </c>
      <c r="G2023" s="33" t="n">
        <f aca="false">IF(B2023=1,"",IF(B2023=2,C2022,SES_Alpha*C2022+(1-SES_Alpha)*G2022))</f>
        <v>58.0892241000873</v>
      </c>
      <c r="H2023" s="33" t="n">
        <f aca="false">IF(D2023="","",D2023-C2023)</f>
        <v>13</v>
      </c>
      <c r="I2023" s="33" t="n">
        <f aca="false">IF(E2023="","",E2023-C2023)</f>
        <v>0.25</v>
      </c>
      <c r="J2023" s="33" t="n">
        <f aca="false">IF(F2023="","",F2023-C2023)</f>
        <v>-4.125</v>
      </c>
      <c r="K2023" s="33" t="n">
        <f aca="false">IF(G2023="","",G2023-C2023)</f>
        <v>-0.910775899912736</v>
      </c>
      <c r="L2023" s="33" t="n">
        <f aca="false">IF(H2023="","",ABS(H2023))</f>
        <v>13</v>
      </c>
      <c r="M2023" s="33" t="n">
        <f aca="false">IF(I2023="","",ABS(I2023))</f>
        <v>0.25</v>
      </c>
      <c r="N2023" s="33" t="n">
        <f aca="false">IF(J2023="","",ABS(J2023))</f>
        <v>4.125</v>
      </c>
      <c r="O2023" s="33" t="n">
        <f aca="false">IF(K2023="","",ABS(K2023))</f>
        <v>0.910775899912736</v>
      </c>
      <c r="P2023" s="34" t="str">
        <f aca="false">IF(B2023&gt;=Eval_Start_Week,"YES","")</f>
        <v/>
      </c>
      <c r="Q2023" s="34" t="str">
        <f aca="false">IF(AND(B2023&gt;=Cal_Start_Week,B2023&lt;=Cal_End_Week),"YES","")</f>
        <v>YES</v>
      </c>
    </row>
    <row r="2024" customFormat="false" ht="15" hidden="false" customHeight="false" outlineLevel="0" collapsed="false">
      <c r="A2024" s="31" t="str">
        <f aca="false">Demand_History!C2024</f>
        <v>BTH-010</v>
      </c>
      <c r="B2024" s="31" t="n">
        <f aca="false">Demand_History!A2024</f>
        <v>47</v>
      </c>
      <c r="C2024" s="32" t="n">
        <f aca="false">Demand_History!D2024</f>
        <v>58</v>
      </c>
      <c r="D2024" s="33" t="n">
        <f aca="false">IF(B2024&gt;=2,C2023,"")</f>
        <v>59</v>
      </c>
      <c r="E2024" s="33" t="n">
        <f aca="false">IF(B2024&gt;=5,AVERAGE(C2020:C2023),"")</f>
        <v>59.25</v>
      </c>
      <c r="F2024" s="33" t="n">
        <f aca="false">IF(B2024&gt;=9,AVERAGE(C2016:C2023),"")</f>
        <v>56.375</v>
      </c>
      <c r="G2024" s="33" t="n">
        <f aca="false">IF(B2024=1,"",IF(B2024=2,C2023,SES_Alpha*C2023+(1-SES_Alpha)*G2023))</f>
        <v>58.3624568700611</v>
      </c>
      <c r="H2024" s="33" t="n">
        <f aca="false">IF(D2024="","",D2024-C2024)</f>
        <v>1</v>
      </c>
      <c r="I2024" s="33" t="n">
        <f aca="false">IF(E2024="","",E2024-C2024)</f>
        <v>1.25</v>
      </c>
      <c r="J2024" s="33" t="n">
        <f aca="false">IF(F2024="","",F2024-C2024)</f>
        <v>-1.625</v>
      </c>
      <c r="K2024" s="33" t="n">
        <f aca="false">IF(G2024="","",G2024-C2024)</f>
        <v>0.362456870061081</v>
      </c>
      <c r="L2024" s="33" t="n">
        <f aca="false">IF(H2024="","",ABS(H2024))</f>
        <v>1</v>
      </c>
      <c r="M2024" s="33" t="n">
        <f aca="false">IF(I2024="","",ABS(I2024))</f>
        <v>1.25</v>
      </c>
      <c r="N2024" s="33" t="n">
        <f aca="false">IF(J2024="","",ABS(J2024))</f>
        <v>1.625</v>
      </c>
      <c r="O2024" s="33" t="n">
        <f aca="false">IF(K2024="","",ABS(K2024))</f>
        <v>0.362456870061081</v>
      </c>
      <c r="P2024" s="34" t="str">
        <f aca="false">IF(B2024&gt;=Eval_Start_Week,"YES","")</f>
        <v/>
      </c>
      <c r="Q2024" s="34" t="str">
        <f aca="false">IF(AND(B2024&gt;=Cal_Start_Week,B2024&lt;=Cal_End_Week),"YES","")</f>
        <v>YES</v>
      </c>
    </row>
    <row r="2025" customFormat="false" ht="15" hidden="false" customHeight="false" outlineLevel="0" collapsed="false">
      <c r="A2025" s="31" t="str">
        <f aca="false">Demand_History!C2025</f>
        <v>BTH-010</v>
      </c>
      <c r="B2025" s="31" t="n">
        <f aca="false">Demand_History!A2025</f>
        <v>48</v>
      </c>
      <c r="C2025" s="32" t="n">
        <f aca="false">Demand_History!D2025</f>
        <v>68</v>
      </c>
      <c r="D2025" s="33" t="n">
        <f aca="false">IF(B2025&gt;=2,C2024,"")</f>
        <v>58</v>
      </c>
      <c r="E2025" s="33" t="n">
        <f aca="false">IF(B2025&gt;=5,AVERAGE(C2021:C2024),"")</f>
        <v>58.25</v>
      </c>
      <c r="F2025" s="33" t="n">
        <f aca="false">IF(B2025&gt;=9,AVERAGE(C2017:C2024),"")</f>
        <v>56.5</v>
      </c>
      <c r="G2025" s="33" t="n">
        <f aca="false">IF(B2025=1,"",IF(B2025=2,C2024,SES_Alpha*C2024+(1-SES_Alpha)*G2024))</f>
        <v>58.2537198090428</v>
      </c>
      <c r="H2025" s="33" t="n">
        <f aca="false">IF(D2025="","",D2025-C2025)</f>
        <v>-10</v>
      </c>
      <c r="I2025" s="33" t="n">
        <f aca="false">IF(E2025="","",E2025-C2025)</f>
        <v>-9.75</v>
      </c>
      <c r="J2025" s="33" t="n">
        <f aca="false">IF(F2025="","",F2025-C2025)</f>
        <v>-11.5</v>
      </c>
      <c r="K2025" s="33" t="n">
        <f aca="false">IF(G2025="","",G2025-C2025)</f>
        <v>-9.74628019095725</v>
      </c>
      <c r="L2025" s="33" t="n">
        <f aca="false">IF(H2025="","",ABS(H2025))</f>
        <v>10</v>
      </c>
      <c r="M2025" s="33" t="n">
        <f aca="false">IF(I2025="","",ABS(I2025))</f>
        <v>9.75</v>
      </c>
      <c r="N2025" s="33" t="n">
        <f aca="false">IF(J2025="","",ABS(J2025))</f>
        <v>11.5</v>
      </c>
      <c r="O2025" s="33" t="n">
        <f aca="false">IF(K2025="","",ABS(K2025))</f>
        <v>9.74628019095725</v>
      </c>
      <c r="P2025" s="34" t="str">
        <f aca="false">IF(B2025&gt;=Eval_Start_Week,"YES","")</f>
        <v/>
      </c>
      <c r="Q2025" s="34" t="str">
        <f aca="false">IF(AND(B2025&gt;=Cal_Start_Week,B2025&lt;=Cal_End_Week),"YES","")</f>
        <v>YES</v>
      </c>
    </row>
    <row r="2026" customFormat="false" ht="15" hidden="false" customHeight="false" outlineLevel="0" collapsed="false">
      <c r="A2026" s="31" t="str">
        <f aca="false">Demand_History!C2026</f>
        <v>BTH-010</v>
      </c>
      <c r="B2026" s="31" t="n">
        <f aca="false">Demand_History!A2026</f>
        <v>49</v>
      </c>
      <c r="C2026" s="32" t="n">
        <f aca="false">Demand_History!D2026</f>
        <v>61</v>
      </c>
      <c r="D2026" s="33" t="n">
        <f aca="false">IF(B2026&gt;=2,C2025,"")</f>
        <v>68</v>
      </c>
      <c r="E2026" s="33" t="n">
        <f aca="false">IF(B2026&gt;=5,AVERAGE(C2022:C2025),"")</f>
        <v>64.25</v>
      </c>
      <c r="F2026" s="33" t="n">
        <f aca="false">IF(B2026&gt;=9,AVERAGE(C2018:C2025),"")</f>
        <v>58.75</v>
      </c>
      <c r="G2026" s="33" t="n">
        <f aca="false">IF(B2026=1,"",IF(B2026=2,C2025,SES_Alpha*C2025+(1-SES_Alpha)*G2025))</f>
        <v>61.1776038663299</v>
      </c>
      <c r="H2026" s="33" t="n">
        <f aca="false">IF(D2026="","",D2026-C2026)</f>
        <v>7</v>
      </c>
      <c r="I2026" s="33" t="n">
        <f aca="false">IF(E2026="","",E2026-C2026)</f>
        <v>3.25</v>
      </c>
      <c r="J2026" s="33" t="n">
        <f aca="false">IF(F2026="","",F2026-C2026)</f>
        <v>-2.25</v>
      </c>
      <c r="K2026" s="33" t="n">
        <f aca="false">IF(G2026="","",G2026-C2026)</f>
        <v>0.177603866329918</v>
      </c>
      <c r="L2026" s="33" t="n">
        <f aca="false">IF(H2026="","",ABS(H2026))</f>
        <v>7</v>
      </c>
      <c r="M2026" s="33" t="n">
        <f aca="false">IF(I2026="","",ABS(I2026))</f>
        <v>3.25</v>
      </c>
      <c r="N2026" s="33" t="n">
        <f aca="false">IF(J2026="","",ABS(J2026))</f>
        <v>2.25</v>
      </c>
      <c r="O2026" s="33" t="n">
        <f aca="false">IF(K2026="","",ABS(K2026))</f>
        <v>0.177603866329918</v>
      </c>
      <c r="P2026" s="34" t="str">
        <f aca="false">IF(B2026&gt;=Eval_Start_Week,"YES","")</f>
        <v/>
      </c>
      <c r="Q2026" s="34" t="str">
        <f aca="false">IF(AND(B2026&gt;=Cal_Start_Week,B2026&lt;=Cal_End_Week),"YES","")</f>
        <v>YES</v>
      </c>
    </row>
    <row r="2027" customFormat="false" ht="15" hidden="false" customHeight="false" outlineLevel="0" collapsed="false">
      <c r="A2027" s="31" t="str">
        <f aca="false">Demand_History!C2027</f>
        <v>BTH-010</v>
      </c>
      <c r="B2027" s="31" t="n">
        <f aca="false">Demand_History!A2027</f>
        <v>50</v>
      </c>
      <c r="C2027" s="32" t="n">
        <f aca="false">Demand_History!D2027</f>
        <v>55</v>
      </c>
      <c r="D2027" s="33" t="n">
        <f aca="false">IF(B2027&gt;=2,C2026,"")</f>
        <v>61</v>
      </c>
      <c r="E2027" s="33" t="n">
        <f aca="false">IF(B2027&gt;=5,AVERAGE(C2023:C2026),"")</f>
        <v>61.5</v>
      </c>
      <c r="F2027" s="33" t="n">
        <f aca="false">IF(B2027&gt;=9,AVERAGE(C2019:C2026),"")</f>
        <v>60.375</v>
      </c>
      <c r="G2027" s="33" t="n">
        <f aca="false">IF(B2027=1,"",IF(B2027=2,C2026,SES_Alpha*C2026+(1-SES_Alpha)*G2026))</f>
        <v>61.1243227064309</v>
      </c>
      <c r="H2027" s="33" t="n">
        <f aca="false">IF(D2027="","",D2027-C2027)</f>
        <v>6</v>
      </c>
      <c r="I2027" s="33" t="n">
        <f aca="false">IF(E2027="","",E2027-C2027)</f>
        <v>6.5</v>
      </c>
      <c r="J2027" s="33" t="n">
        <f aca="false">IF(F2027="","",F2027-C2027)</f>
        <v>5.375</v>
      </c>
      <c r="K2027" s="33" t="n">
        <f aca="false">IF(G2027="","",G2027-C2027)</f>
        <v>6.12432270643095</v>
      </c>
      <c r="L2027" s="33" t="n">
        <f aca="false">IF(H2027="","",ABS(H2027))</f>
        <v>6</v>
      </c>
      <c r="M2027" s="33" t="n">
        <f aca="false">IF(I2027="","",ABS(I2027))</f>
        <v>6.5</v>
      </c>
      <c r="N2027" s="33" t="n">
        <f aca="false">IF(J2027="","",ABS(J2027))</f>
        <v>5.375</v>
      </c>
      <c r="O2027" s="33" t="n">
        <f aca="false">IF(K2027="","",ABS(K2027))</f>
        <v>6.12432270643095</v>
      </c>
      <c r="P2027" s="34" t="str">
        <f aca="false">IF(B2027&gt;=Eval_Start_Week,"YES","")</f>
        <v/>
      </c>
      <c r="Q2027" s="34" t="str">
        <f aca="false">IF(AND(B2027&gt;=Cal_Start_Week,B2027&lt;=Cal_End_Week),"YES","")</f>
        <v>YES</v>
      </c>
    </row>
    <row r="2028" customFormat="false" ht="15" hidden="false" customHeight="false" outlineLevel="0" collapsed="false">
      <c r="A2028" s="31" t="str">
        <f aca="false">Demand_History!C2028</f>
        <v>BTH-010</v>
      </c>
      <c r="B2028" s="31" t="n">
        <f aca="false">Demand_History!A2028</f>
        <v>51</v>
      </c>
      <c r="C2028" s="32" t="n">
        <f aca="false">Demand_History!D2028</f>
        <v>80</v>
      </c>
      <c r="D2028" s="33" t="n">
        <f aca="false">IF(B2028&gt;=2,C2027,"")</f>
        <v>55</v>
      </c>
      <c r="E2028" s="33" t="n">
        <f aca="false">IF(B2028&gt;=5,AVERAGE(C2024:C2027),"")</f>
        <v>60.5</v>
      </c>
      <c r="F2028" s="33" t="n">
        <f aca="false">IF(B2028&gt;=9,AVERAGE(C2020:C2027),"")</f>
        <v>59.875</v>
      </c>
      <c r="G2028" s="33" t="n">
        <f aca="false">IF(B2028=1,"",IF(B2028=2,C2027,SES_Alpha*C2027+(1-SES_Alpha)*G2027))</f>
        <v>59.2870258945017</v>
      </c>
      <c r="H2028" s="33" t="n">
        <f aca="false">IF(D2028="","",D2028-C2028)</f>
        <v>-25</v>
      </c>
      <c r="I2028" s="33" t="n">
        <f aca="false">IF(E2028="","",E2028-C2028)</f>
        <v>-19.5</v>
      </c>
      <c r="J2028" s="33" t="n">
        <f aca="false">IF(F2028="","",F2028-C2028)</f>
        <v>-20.125</v>
      </c>
      <c r="K2028" s="33" t="n">
        <f aca="false">IF(G2028="","",G2028-C2028)</f>
        <v>-20.7129741054983</v>
      </c>
      <c r="L2028" s="33" t="n">
        <f aca="false">IF(H2028="","",ABS(H2028))</f>
        <v>25</v>
      </c>
      <c r="M2028" s="33" t="n">
        <f aca="false">IF(I2028="","",ABS(I2028))</f>
        <v>19.5</v>
      </c>
      <c r="N2028" s="33" t="n">
        <f aca="false">IF(J2028="","",ABS(J2028))</f>
        <v>20.125</v>
      </c>
      <c r="O2028" s="33" t="n">
        <f aca="false">IF(K2028="","",ABS(K2028))</f>
        <v>20.7129741054983</v>
      </c>
      <c r="P2028" s="34" t="str">
        <f aca="false">IF(B2028&gt;=Eval_Start_Week,"YES","")</f>
        <v/>
      </c>
      <c r="Q2028" s="34" t="str">
        <f aca="false">IF(AND(B2028&gt;=Cal_Start_Week,B2028&lt;=Cal_End_Week),"YES","")</f>
        <v>YES</v>
      </c>
    </row>
    <row r="2029" customFormat="false" ht="15" hidden="false" customHeight="false" outlineLevel="0" collapsed="false">
      <c r="A2029" s="31" t="str">
        <f aca="false">Demand_History!C2029</f>
        <v>BTH-010</v>
      </c>
      <c r="B2029" s="31" t="n">
        <f aca="false">Demand_History!A2029</f>
        <v>52</v>
      </c>
      <c r="C2029" s="32" t="n">
        <f aca="false">Demand_History!D2029</f>
        <v>52</v>
      </c>
      <c r="D2029" s="33" t="n">
        <f aca="false">IF(B2029&gt;=2,C2028,"")</f>
        <v>80</v>
      </c>
      <c r="E2029" s="33" t="n">
        <f aca="false">IF(B2029&gt;=5,AVERAGE(C2025:C2028),"")</f>
        <v>66</v>
      </c>
      <c r="F2029" s="33" t="n">
        <f aca="false">IF(B2029&gt;=9,AVERAGE(C2021:C2028),"")</f>
        <v>62.125</v>
      </c>
      <c r="G2029" s="33" t="n">
        <f aca="false">IF(B2029=1,"",IF(B2029=2,C2028,SES_Alpha*C2028+(1-SES_Alpha)*G2028))</f>
        <v>65.5009181261512</v>
      </c>
      <c r="H2029" s="33" t="n">
        <f aca="false">IF(D2029="","",D2029-C2029)</f>
        <v>28</v>
      </c>
      <c r="I2029" s="33" t="n">
        <f aca="false">IF(E2029="","",E2029-C2029)</f>
        <v>14</v>
      </c>
      <c r="J2029" s="33" t="n">
        <f aca="false">IF(F2029="","",F2029-C2029)</f>
        <v>10.125</v>
      </c>
      <c r="K2029" s="33" t="n">
        <f aca="false">IF(G2029="","",G2029-C2029)</f>
        <v>13.5009181261512</v>
      </c>
      <c r="L2029" s="33" t="n">
        <f aca="false">IF(H2029="","",ABS(H2029))</f>
        <v>28</v>
      </c>
      <c r="M2029" s="33" t="n">
        <f aca="false">IF(I2029="","",ABS(I2029))</f>
        <v>14</v>
      </c>
      <c r="N2029" s="33" t="n">
        <f aca="false">IF(J2029="","",ABS(J2029))</f>
        <v>10.125</v>
      </c>
      <c r="O2029" s="33" t="n">
        <f aca="false">IF(K2029="","",ABS(K2029))</f>
        <v>13.5009181261512</v>
      </c>
      <c r="P2029" s="34" t="str">
        <f aca="false">IF(B2029&gt;=Eval_Start_Week,"YES","")</f>
        <v/>
      </c>
      <c r="Q2029" s="34" t="str">
        <f aca="false">IF(AND(B2029&gt;=Cal_Start_Week,B2029&lt;=Cal_End_Week),"YES","")</f>
        <v>YES</v>
      </c>
    </row>
    <row r="2030" customFormat="false" ht="15" hidden="false" customHeight="false" outlineLevel="0" collapsed="false">
      <c r="A2030" s="31" t="str">
        <f aca="false">Demand_History!C2030</f>
        <v>BTH-010</v>
      </c>
      <c r="B2030" s="31" t="n">
        <f aca="false">Demand_History!A2030</f>
        <v>53</v>
      </c>
      <c r="C2030" s="32" t="n">
        <f aca="false">Demand_History!D2030</f>
        <v>61</v>
      </c>
      <c r="D2030" s="33" t="n">
        <f aca="false">IF(B2030&gt;=2,C2029,"")</f>
        <v>52</v>
      </c>
      <c r="E2030" s="33" t="n">
        <f aca="false">IF(B2030&gt;=5,AVERAGE(C2026:C2029),"")</f>
        <v>62</v>
      </c>
      <c r="F2030" s="33" t="n">
        <f aca="false">IF(B2030&gt;=9,AVERAGE(C2022:C2029),"")</f>
        <v>63.125</v>
      </c>
      <c r="G2030" s="33" t="n">
        <f aca="false">IF(B2030=1,"",IF(B2030=2,C2029,SES_Alpha*C2029+(1-SES_Alpha)*G2029))</f>
        <v>61.4506426883058</v>
      </c>
      <c r="H2030" s="33" t="n">
        <f aca="false">IF(D2030="","",D2030-C2030)</f>
        <v>-9</v>
      </c>
      <c r="I2030" s="33" t="n">
        <f aca="false">IF(E2030="","",E2030-C2030)</f>
        <v>1</v>
      </c>
      <c r="J2030" s="33" t="n">
        <f aca="false">IF(F2030="","",F2030-C2030)</f>
        <v>2.125</v>
      </c>
      <c r="K2030" s="33" t="n">
        <f aca="false">IF(G2030="","",G2030-C2030)</f>
        <v>0.450642688305813</v>
      </c>
      <c r="L2030" s="33" t="n">
        <f aca="false">IF(H2030="","",ABS(H2030))</f>
        <v>9</v>
      </c>
      <c r="M2030" s="33" t="n">
        <f aca="false">IF(I2030="","",ABS(I2030))</f>
        <v>1</v>
      </c>
      <c r="N2030" s="33" t="n">
        <f aca="false">IF(J2030="","",ABS(J2030))</f>
        <v>2.125</v>
      </c>
      <c r="O2030" s="33" t="n">
        <f aca="false">IF(K2030="","",ABS(K2030))</f>
        <v>0.450642688305813</v>
      </c>
      <c r="P2030" s="34" t="str">
        <f aca="false">IF(B2030&gt;=Eval_Start_Week,"YES","")</f>
        <v>YES</v>
      </c>
      <c r="Q2030" s="34" t="str">
        <f aca="false">IF(AND(B2030&gt;=Cal_Start_Week,B2030&lt;=Cal_End_Week),"YES","")</f>
        <v>YES</v>
      </c>
    </row>
    <row r="2031" customFormat="false" ht="15" hidden="false" customHeight="false" outlineLevel="0" collapsed="false">
      <c r="A2031" s="31" t="str">
        <f aca="false">Demand_History!C2031</f>
        <v>BTH-010</v>
      </c>
      <c r="B2031" s="31" t="n">
        <f aca="false">Demand_History!A2031</f>
        <v>54</v>
      </c>
      <c r="C2031" s="32" t="n">
        <f aca="false">Demand_History!D2031</f>
        <v>70</v>
      </c>
      <c r="D2031" s="33" t="n">
        <f aca="false">IF(B2031&gt;=2,C2030,"")</f>
        <v>61</v>
      </c>
      <c r="E2031" s="33" t="n">
        <f aca="false">IF(B2031&gt;=5,AVERAGE(C2027:C2030),"")</f>
        <v>62</v>
      </c>
      <c r="F2031" s="33" t="n">
        <f aca="false">IF(B2031&gt;=9,AVERAGE(C2023:C2030),"")</f>
        <v>61.75</v>
      </c>
      <c r="G2031" s="33" t="n">
        <f aca="false">IF(B2031=1,"",IF(B2031=2,C2030,SES_Alpha*C2030+(1-SES_Alpha)*G2030))</f>
        <v>61.3154498818141</v>
      </c>
      <c r="H2031" s="33" t="n">
        <f aca="false">IF(D2031="","",D2031-C2031)</f>
        <v>-9</v>
      </c>
      <c r="I2031" s="33" t="n">
        <f aca="false">IF(E2031="","",E2031-C2031)</f>
        <v>-8</v>
      </c>
      <c r="J2031" s="33" t="n">
        <f aca="false">IF(F2031="","",F2031-C2031)</f>
        <v>-8.25</v>
      </c>
      <c r="K2031" s="33" t="n">
        <f aca="false">IF(G2031="","",G2031-C2031)</f>
        <v>-8.68455011818594</v>
      </c>
      <c r="L2031" s="33" t="n">
        <f aca="false">IF(H2031="","",ABS(H2031))</f>
        <v>9</v>
      </c>
      <c r="M2031" s="33" t="n">
        <f aca="false">IF(I2031="","",ABS(I2031))</f>
        <v>8</v>
      </c>
      <c r="N2031" s="33" t="n">
        <f aca="false">IF(J2031="","",ABS(J2031))</f>
        <v>8.25</v>
      </c>
      <c r="O2031" s="33" t="n">
        <f aca="false">IF(K2031="","",ABS(K2031))</f>
        <v>8.68455011818594</v>
      </c>
      <c r="P2031" s="34" t="str">
        <f aca="false">IF(B2031&gt;=Eval_Start_Week,"YES","")</f>
        <v>YES</v>
      </c>
      <c r="Q2031" s="34" t="str">
        <f aca="false">IF(AND(B2031&gt;=Cal_Start_Week,B2031&lt;=Cal_End_Week),"YES","")</f>
        <v>YES</v>
      </c>
    </row>
    <row r="2032" customFormat="false" ht="15" hidden="false" customHeight="false" outlineLevel="0" collapsed="false">
      <c r="A2032" s="31" t="str">
        <f aca="false">Demand_History!C2032</f>
        <v>BTH-010</v>
      </c>
      <c r="B2032" s="31" t="n">
        <f aca="false">Demand_History!A2032</f>
        <v>55</v>
      </c>
      <c r="C2032" s="32" t="n">
        <f aca="false">Demand_History!D2032</f>
        <v>53</v>
      </c>
      <c r="D2032" s="33" t="n">
        <f aca="false">IF(B2032&gt;=2,C2031,"")</f>
        <v>70</v>
      </c>
      <c r="E2032" s="33" t="n">
        <f aca="false">IF(B2032&gt;=5,AVERAGE(C2028:C2031),"")</f>
        <v>65.75</v>
      </c>
      <c r="F2032" s="33" t="n">
        <f aca="false">IF(B2032&gt;=9,AVERAGE(C2024:C2031),"")</f>
        <v>63.125</v>
      </c>
      <c r="G2032" s="33" t="n">
        <f aca="false">IF(B2032=1,"",IF(B2032=2,C2031,SES_Alpha*C2031+(1-SES_Alpha)*G2031))</f>
        <v>63.9208149172698</v>
      </c>
      <c r="H2032" s="33" t="n">
        <f aca="false">IF(D2032="","",D2032-C2032)</f>
        <v>17</v>
      </c>
      <c r="I2032" s="33" t="n">
        <f aca="false">IF(E2032="","",E2032-C2032)</f>
        <v>12.75</v>
      </c>
      <c r="J2032" s="33" t="n">
        <f aca="false">IF(F2032="","",F2032-C2032)</f>
        <v>10.125</v>
      </c>
      <c r="K2032" s="33" t="n">
        <f aca="false">IF(G2032="","",G2032-C2032)</f>
        <v>10.9208149172698</v>
      </c>
      <c r="L2032" s="33" t="n">
        <f aca="false">IF(H2032="","",ABS(H2032))</f>
        <v>17</v>
      </c>
      <c r="M2032" s="33" t="n">
        <f aca="false">IF(I2032="","",ABS(I2032))</f>
        <v>12.75</v>
      </c>
      <c r="N2032" s="33" t="n">
        <f aca="false">IF(J2032="","",ABS(J2032))</f>
        <v>10.125</v>
      </c>
      <c r="O2032" s="33" t="n">
        <f aca="false">IF(K2032="","",ABS(K2032))</f>
        <v>10.9208149172698</v>
      </c>
      <c r="P2032" s="34" t="str">
        <f aca="false">IF(B2032&gt;=Eval_Start_Week,"YES","")</f>
        <v>YES</v>
      </c>
      <c r="Q2032" s="34" t="str">
        <f aca="false">IF(AND(B2032&gt;=Cal_Start_Week,B2032&lt;=Cal_End_Week),"YES","")</f>
        <v>YES</v>
      </c>
    </row>
    <row r="2033" customFormat="false" ht="15" hidden="false" customHeight="false" outlineLevel="0" collapsed="false">
      <c r="A2033" s="31" t="str">
        <f aca="false">Demand_History!C2033</f>
        <v>BTH-010</v>
      </c>
      <c r="B2033" s="31" t="n">
        <f aca="false">Demand_History!A2033</f>
        <v>56</v>
      </c>
      <c r="C2033" s="32" t="n">
        <f aca="false">Demand_History!D2033</f>
        <v>62</v>
      </c>
      <c r="D2033" s="33" t="n">
        <f aca="false">IF(B2033&gt;=2,C2032,"")</f>
        <v>53</v>
      </c>
      <c r="E2033" s="33" t="n">
        <f aca="false">IF(B2033&gt;=5,AVERAGE(C2029:C2032),"")</f>
        <v>59</v>
      </c>
      <c r="F2033" s="33" t="n">
        <f aca="false">IF(B2033&gt;=9,AVERAGE(C2025:C2032),"")</f>
        <v>62.5</v>
      </c>
      <c r="G2033" s="33" t="n">
        <f aca="false">IF(B2033=1,"",IF(B2033=2,C2032,SES_Alpha*C2032+(1-SES_Alpha)*G2032))</f>
        <v>60.6445704420889</v>
      </c>
      <c r="H2033" s="33" t="n">
        <f aca="false">IF(D2033="","",D2033-C2033)</f>
        <v>-9</v>
      </c>
      <c r="I2033" s="33" t="n">
        <f aca="false">IF(E2033="","",E2033-C2033)</f>
        <v>-3</v>
      </c>
      <c r="J2033" s="33" t="n">
        <f aca="false">IF(F2033="","",F2033-C2033)</f>
        <v>0.5</v>
      </c>
      <c r="K2033" s="33" t="n">
        <f aca="false">IF(G2033="","",G2033-C2033)</f>
        <v>-1.35542955791112</v>
      </c>
      <c r="L2033" s="33" t="n">
        <f aca="false">IF(H2033="","",ABS(H2033))</f>
        <v>9</v>
      </c>
      <c r="M2033" s="33" t="n">
        <f aca="false">IF(I2033="","",ABS(I2033))</f>
        <v>3</v>
      </c>
      <c r="N2033" s="33" t="n">
        <f aca="false">IF(J2033="","",ABS(J2033))</f>
        <v>0.5</v>
      </c>
      <c r="O2033" s="33" t="n">
        <f aca="false">IF(K2033="","",ABS(K2033))</f>
        <v>1.35542955791112</v>
      </c>
      <c r="P2033" s="34" t="str">
        <f aca="false">IF(B2033&gt;=Eval_Start_Week,"YES","")</f>
        <v>YES</v>
      </c>
      <c r="Q2033" s="34" t="str">
        <f aca="false">IF(AND(B2033&gt;=Cal_Start_Week,B2033&lt;=Cal_End_Week),"YES","")</f>
        <v>YES</v>
      </c>
    </row>
    <row r="2034" customFormat="false" ht="15" hidden="false" customHeight="false" outlineLevel="0" collapsed="false">
      <c r="A2034" s="31" t="str">
        <f aca="false">Demand_History!C2034</f>
        <v>BTH-010</v>
      </c>
      <c r="B2034" s="31" t="n">
        <f aca="false">Demand_History!A2034</f>
        <v>57</v>
      </c>
      <c r="C2034" s="32" t="n">
        <f aca="false">Demand_History!D2034</f>
        <v>67</v>
      </c>
      <c r="D2034" s="33" t="n">
        <f aca="false">IF(B2034&gt;=2,C2033,"")</f>
        <v>62</v>
      </c>
      <c r="E2034" s="33" t="n">
        <f aca="false">IF(B2034&gt;=5,AVERAGE(C2030:C2033),"")</f>
        <v>61.5</v>
      </c>
      <c r="F2034" s="33" t="n">
        <f aca="false">IF(B2034&gt;=9,AVERAGE(C2026:C2033),"")</f>
        <v>61.75</v>
      </c>
      <c r="G2034" s="33" t="n">
        <f aca="false">IF(B2034=1,"",IF(B2034=2,C2033,SES_Alpha*C2033+(1-SES_Alpha)*G2033))</f>
        <v>61.0511993094622</v>
      </c>
      <c r="H2034" s="33" t="n">
        <f aca="false">IF(D2034="","",D2034-C2034)</f>
        <v>-5</v>
      </c>
      <c r="I2034" s="33" t="n">
        <f aca="false">IF(E2034="","",E2034-C2034)</f>
        <v>-5.5</v>
      </c>
      <c r="J2034" s="33" t="n">
        <f aca="false">IF(F2034="","",F2034-C2034)</f>
        <v>-5.25</v>
      </c>
      <c r="K2034" s="33" t="n">
        <f aca="false">IF(G2034="","",G2034-C2034)</f>
        <v>-5.94880069053778</v>
      </c>
      <c r="L2034" s="33" t="n">
        <f aca="false">IF(H2034="","",ABS(H2034))</f>
        <v>5</v>
      </c>
      <c r="M2034" s="33" t="n">
        <f aca="false">IF(I2034="","",ABS(I2034))</f>
        <v>5.5</v>
      </c>
      <c r="N2034" s="33" t="n">
        <f aca="false">IF(J2034="","",ABS(J2034))</f>
        <v>5.25</v>
      </c>
      <c r="O2034" s="33" t="n">
        <f aca="false">IF(K2034="","",ABS(K2034))</f>
        <v>5.94880069053778</v>
      </c>
      <c r="P2034" s="34" t="str">
        <f aca="false">IF(B2034&gt;=Eval_Start_Week,"YES","")</f>
        <v>YES</v>
      </c>
      <c r="Q2034" s="34" t="str">
        <f aca="false">IF(AND(B2034&gt;=Cal_Start_Week,B2034&lt;=Cal_End_Week),"YES","")</f>
        <v>YES</v>
      </c>
    </row>
    <row r="2035" customFormat="false" ht="15" hidden="false" customHeight="false" outlineLevel="0" collapsed="false">
      <c r="A2035" s="31" t="str">
        <f aca="false">Demand_History!C2035</f>
        <v>BTH-010</v>
      </c>
      <c r="B2035" s="31" t="n">
        <f aca="false">Demand_History!A2035</f>
        <v>58</v>
      </c>
      <c r="C2035" s="32" t="n">
        <f aca="false">Demand_History!D2035</f>
        <v>85</v>
      </c>
      <c r="D2035" s="33" t="n">
        <f aca="false">IF(B2035&gt;=2,C2034,"")</f>
        <v>67</v>
      </c>
      <c r="E2035" s="33" t="n">
        <f aca="false">IF(B2035&gt;=5,AVERAGE(C2031:C2034),"")</f>
        <v>63</v>
      </c>
      <c r="F2035" s="33" t="n">
        <f aca="false">IF(B2035&gt;=9,AVERAGE(C2027:C2034),"")</f>
        <v>62.5</v>
      </c>
      <c r="G2035" s="33" t="n">
        <f aca="false">IF(B2035=1,"",IF(B2035=2,C2034,SES_Alpha*C2034+(1-SES_Alpha)*G2034))</f>
        <v>62.8358395166236</v>
      </c>
      <c r="H2035" s="33" t="n">
        <f aca="false">IF(D2035="","",D2035-C2035)</f>
        <v>-18</v>
      </c>
      <c r="I2035" s="33" t="n">
        <f aca="false">IF(E2035="","",E2035-C2035)</f>
        <v>-22</v>
      </c>
      <c r="J2035" s="33" t="n">
        <f aca="false">IF(F2035="","",F2035-C2035)</f>
        <v>-22.5</v>
      </c>
      <c r="K2035" s="33" t="n">
        <f aca="false">IF(G2035="","",G2035-C2035)</f>
        <v>-22.1641604833765</v>
      </c>
      <c r="L2035" s="33" t="n">
        <f aca="false">IF(H2035="","",ABS(H2035))</f>
        <v>18</v>
      </c>
      <c r="M2035" s="33" t="n">
        <f aca="false">IF(I2035="","",ABS(I2035))</f>
        <v>22</v>
      </c>
      <c r="N2035" s="33" t="n">
        <f aca="false">IF(J2035="","",ABS(J2035))</f>
        <v>22.5</v>
      </c>
      <c r="O2035" s="33" t="n">
        <f aca="false">IF(K2035="","",ABS(K2035))</f>
        <v>22.1641604833765</v>
      </c>
      <c r="P2035" s="34" t="str">
        <f aca="false">IF(B2035&gt;=Eval_Start_Week,"YES","")</f>
        <v>YES</v>
      </c>
      <c r="Q2035" s="34" t="str">
        <f aca="false">IF(AND(B2035&gt;=Cal_Start_Week,B2035&lt;=Cal_End_Week),"YES","")</f>
        <v>YES</v>
      </c>
    </row>
    <row r="2036" customFormat="false" ht="15" hidden="false" customHeight="false" outlineLevel="0" collapsed="false">
      <c r="A2036" s="31" t="str">
        <f aca="false">Demand_History!C2036</f>
        <v>BTH-010</v>
      </c>
      <c r="B2036" s="31" t="n">
        <f aca="false">Demand_History!A2036</f>
        <v>59</v>
      </c>
      <c r="C2036" s="32" t="n">
        <f aca="false">Demand_History!D2036</f>
        <v>56</v>
      </c>
      <c r="D2036" s="33" t="n">
        <f aca="false">IF(B2036&gt;=2,C2035,"")</f>
        <v>85</v>
      </c>
      <c r="E2036" s="33" t="n">
        <f aca="false">IF(B2036&gt;=5,AVERAGE(C2032:C2035),"")</f>
        <v>66.75</v>
      </c>
      <c r="F2036" s="33" t="n">
        <f aca="false">IF(B2036&gt;=9,AVERAGE(C2028:C2035),"")</f>
        <v>66.25</v>
      </c>
      <c r="G2036" s="33" t="n">
        <f aca="false">IF(B2036=1,"",IF(B2036=2,C2035,SES_Alpha*C2035+(1-SES_Alpha)*G2035))</f>
        <v>69.4850876616365</v>
      </c>
      <c r="H2036" s="33" t="n">
        <f aca="false">IF(D2036="","",D2036-C2036)</f>
        <v>29</v>
      </c>
      <c r="I2036" s="33" t="n">
        <f aca="false">IF(E2036="","",E2036-C2036)</f>
        <v>10.75</v>
      </c>
      <c r="J2036" s="33" t="n">
        <f aca="false">IF(F2036="","",F2036-C2036)</f>
        <v>10.25</v>
      </c>
      <c r="K2036" s="33" t="n">
        <f aca="false">IF(G2036="","",G2036-C2036)</f>
        <v>13.4850876616365</v>
      </c>
      <c r="L2036" s="33" t="n">
        <f aca="false">IF(H2036="","",ABS(H2036))</f>
        <v>29</v>
      </c>
      <c r="M2036" s="33" t="n">
        <f aca="false">IF(I2036="","",ABS(I2036))</f>
        <v>10.75</v>
      </c>
      <c r="N2036" s="33" t="n">
        <f aca="false">IF(J2036="","",ABS(J2036))</f>
        <v>10.25</v>
      </c>
      <c r="O2036" s="33" t="n">
        <f aca="false">IF(K2036="","",ABS(K2036))</f>
        <v>13.4850876616365</v>
      </c>
      <c r="P2036" s="34" t="str">
        <f aca="false">IF(B2036&gt;=Eval_Start_Week,"YES","")</f>
        <v>YES</v>
      </c>
      <c r="Q2036" s="34" t="str">
        <f aca="false">IF(AND(B2036&gt;=Cal_Start_Week,B2036&lt;=Cal_End_Week),"YES","")</f>
        <v>YES</v>
      </c>
    </row>
    <row r="2037" customFormat="false" ht="15" hidden="false" customHeight="false" outlineLevel="0" collapsed="false">
      <c r="A2037" s="31" t="str">
        <f aca="false">Demand_History!C2037</f>
        <v>BTH-010</v>
      </c>
      <c r="B2037" s="31" t="n">
        <f aca="false">Demand_History!A2037</f>
        <v>60</v>
      </c>
      <c r="C2037" s="32" t="n">
        <f aca="false">Demand_History!D2037</f>
        <v>64</v>
      </c>
      <c r="D2037" s="33" t="n">
        <f aca="false">IF(B2037&gt;=2,C2036,"")</f>
        <v>56</v>
      </c>
      <c r="E2037" s="33" t="n">
        <f aca="false">IF(B2037&gt;=5,AVERAGE(C2033:C2036),"")</f>
        <v>67.5</v>
      </c>
      <c r="F2037" s="33" t="n">
        <f aca="false">IF(B2037&gt;=9,AVERAGE(C2029:C2036),"")</f>
        <v>63.25</v>
      </c>
      <c r="G2037" s="33" t="n">
        <f aca="false">IF(B2037=1,"",IF(B2037=2,C2036,SES_Alpha*C2036+(1-SES_Alpha)*G2036))</f>
        <v>65.4395613631455</v>
      </c>
      <c r="H2037" s="33" t="n">
        <f aca="false">IF(D2037="","",D2037-C2037)</f>
        <v>-8</v>
      </c>
      <c r="I2037" s="33" t="n">
        <f aca="false">IF(E2037="","",E2037-C2037)</f>
        <v>3.5</v>
      </c>
      <c r="J2037" s="33" t="n">
        <f aca="false">IF(F2037="","",F2037-C2037)</f>
        <v>-0.75</v>
      </c>
      <c r="K2037" s="33" t="n">
        <f aca="false">IF(G2037="","",G2037-C2037)</f>
        <v>1.43956136314554</v>
      </c>
      <c r="L2037" s="33" t="n">
        <f aca="false">IF(H2037="","",ABS(H2037))</f>
        <v>8</v>
      </c>
      <c r="M2037" s="33" t="n">
        <f aca="false">IF(I2037="","",ABS(I2037))</f>
        <v>3.5</v>
      </c>
      <c r="N2037" s="33" t="n">
        <f aca="false">IF(J2037="","",ABS(J2037))</f>
        <v>0.75</v>
      </c>
      <c r="O2037" s="33" t="n">
        <f aca="false">IF(K2037="","",ABS(K2037))</f>
        <v>1.43956136314554</v>
      </c>
      <c r="P2037" s="34" t="str">
        <f aca="false">IF(B2037&gt;=Eval_Start_Week,"YES","")</f>
        <v>YES</v>
      </c>
      <c r="Q2037" s="34" t="str">
        <f aca="false">IF(AND(B2037&gt;=Cal_Start_Week,B2037&lt;=Cal_End_Week),"YES","")</f>
        <v>YES</v>
      </c>
    </row>
    <row r="2038" customFormat="false" ht="15" hidden="false" customHeight="false" outlineLevel="0" collapsed="false">
      <c r="A2038" s="31" t="str">
        <f aca="false">Demand_History!C2038</f>
        <v>BTH-010</v>
      </c>
      <c r="B2038" s="31" t="n">
        <f aca="false">Demand_History!A2038</f>
        <v>61</v>
      </c>
      <c r="C2038" s="32" t="n">
        <f aca="false">Demand_History!D2038</f>
        <v>71</v>
      </c>
      <c r="D2038" s="33" t="n">
        <f aca="false">IF(B2038&gt;=2,C2037,"")</f>
        <v>64</v>
      </c>
      <c r="E2038" s="33" t="n">
        <f aca="false">IF(B2038&gt;=5,AVERAGE(C2034:C2037),"")</f>
        <v>68</v>
      </c>
      <c r="F2038" s="33" t="n">
        <f aca="false">IF(B2038&gt;=9,AVERAGE(C2030:C2037),"")</f>
        <v>64.75</v>
      </c>
      <c r="G2038" s="33" t="n">
        <f aca="false">IF(B2038=1,"",IF(B2038=2,C2037,SES_Alpha*C2037+(1-SES_Alpha)*G2037))</f>
        <v>65.0076929542019</v>
      </c>
      <c r="H2038" s="33" t="n">
        <f aca="false">IF(D2038="","",D2038-C2038)</f>
        <v>-7</v>
      </c>
      <c r="I2038" s="33" t="n">
        <f aca="false">IF(E2038="","",E2038-C2038)</f>
        <v>-3</v>
      </c>
      <c r="J2038" s="33" t="n">
        <f aca="false">IF(F2038="","",F2038-C2038)</f>
        <v>-6.25</v>
      </c>
      <c r="K2038" s="33" t="n">
        <f aca="false">IF(G2038="","",G2038-C2038)</f>
        <v>-5.99230704579813</v>
      </c>
      <c r="L2038" s="33" t="n">
        <f aca="false">IF(H2038="","",ABS(H2038))</f>
        <v>7</v>
      </c>
      <c r="M2038" s="33" t="n">
        <f aca="false">IF(I2038="","",ABS(I2038))</f>
        <v>3</v>
      </c>
      <c r="N2038" s="33" t="n">
        <f aca="false">IF(J2038="","",ABS(J2038))</f>
        <v>6.25</v>
      </c>
      <c r="O2038" s="33" t="n">
        <f aca="false">IF(K2038="","",ABS(K2038))</f>
        <v>5.99230704579813</v>
      </c>
      <c r="P2038" s="34" t="str">
        <f aca="false">IF(B2038&gt;=Eval_Start_Week,"YES","")</f>
        <v>YES</v>
      </c>
      <c r="Q2038" s="34" t="str">
        <f aca="false">IF(AND(B2038&gt;=Cal_Start_Week,B2038&lt;=Cal_End_Week),"YES","")</f>
        <v>YES</v>
      </c>
    </row>
    <row r="2039" customFormat="false" ht="15" hidden="false" customHeight="false" outlineLevel="0" collapsed="false">
      <c r="A2039" s="31" t="str">
        <f aca="false">Demand_History!C2039</f>
        <v>BTH-010</v>
      </c>
      <c r="B2039" s="31" t="n">
        <f aca="false">Demand_History!A2039</f>
        <v>62</v>
      </c>
      <c r="C2039" s="32" t="n">
        <f aca="false">Demand_History!D2039</f>
        <v>66</v>
      </c>
      <c r="D2039" s="33" t="n">
        <f aca="false">IF(B2039&gt;=2,C2038,"")</f>
        <v>71</v>
      </c>
      <c r="E2039" s="33" t="n">
        <f aca="false">IF(B2039&gt;=5,AVERAGE(C2035:C2038),"")</f>
        <v>69</v>
      </c>
      <c r="F2039" s="33" t="n">
        <f aca="false">IF(B2039&gt;=9,AVERAGE(C2031:C2038),"")</f>
        <v>66</v>
      </c>
      <c r="G2039" s="33" t="n">
        <f aca="false">IF(B2039=1,"",IF(B2039=2,C2038,SES_Alpha*C2038+(1-SES_Alpha)*G2038))</f>
        <v>66.8053850679413</v>
      </c>
      <c r="H2039" s="33" t="n">
        <f aca="false">IF(D2039="","",D2039-C2039)</f>
        <v>5</v>
      </c>
      <c r="I2039" s="33" t="n">
        <f aca="false">IF(E2039="","",E2039-C2039)</f>
        <v>3</v>
      </c>
      <c r="J2039" s="33" t="n">
        <f aca="false">IF(F2039="","",F2039-C2039)</f>
        <v>0</v>
      </c>
      <c r="K2039" s="33" t="n">
        <f aca="false">IF(G2039="","",G2039-C2039)</f>
        <v>0.805385067941302</v>
      </c>
      <c r="L2039" s="33" t="n">
        <f aca="false">IF(H2039="","",ABS(H2039))</f>
        <v>5</v>
      </c>
      <c r="M2039" s="33" t="n">
        <f aca="false">IF(I2039="","",ABS(I2039))</f>
        <v>3</v>
      </c>
      <c r="N2039" s="33" t="n">
        <f aca="false">IF(J2039="","",ABS(J2039))</f>
        <v>0</v>
      </c>
      <c r="O2039" s="33" t="n">
        <f aca="false">IF(K2039="","",ABS(K2039))</f>
        <v>0.805385067941302</v>
      </c>
      <c r="P2039" s="34" t="str">
        <f aca="false">IF(B2039&gt;=Eval_Start_Week,"YES","")</f>
        <v>YES</v>
      </c>
      <c r="Q2039" s="34" t="str">
        <f aca="false">IF(AND(B2039&gt;=Cal_Start_Week,B2039&lt;=Cal_End_Week),"YES","")</f>
        <v>YES</v>
      </c>
    </row>
    <row r="2040" customFormat="false" ht="15" hidden="false" customHeight="false" outlineLevel="0" collapsed="false">
      <c r="A2040" s="31" t="str">
        <f aca="false">Demand_History!C2040</f>
        <v>BTH-010</v>
      </c>
      <c r="B2040" s="31" t="n">
        <f aca="false">Demand_History!A2040</f>
        <v>63</v>
      </c>
      <c r="C2040" s="32" t="n">
        <f aca="false">Demand_History!D2040</f>
        <v>55</v>
      </c>
      <c r="D2040" s="33" t="n">
        <f aca="false">IF(B2040&gt;=2,C2039,"")</f>
        <v>66</v>
      </c>
      <c r="E2040" s="33" t="n">
        <f aca="false">IF(B2040&gt;=5,AVERAGE(C2036:C2039),"")</f>
        <v>64.25</v>
      </c>
      <c r="F2040" s="33" t="n">
        <f aca="false">IF(B2040&gt;=9,AVERAGE(C2032:C2039),"")</f>
        <v>65.5</v>
      </c>
      <c r="G2040" s="33" t="n">
        <f aca="false">IF(B2040=1,"",IF(B2040=2,C2039,SES_Alpha*C2039+(1-SES_Alpha)*G2039))</f>
        <v>66.5637695475589</v>
      </c>
      <c r="H2040" s="33" t="n">
        <f aca="false">IF(D2040="","",D2040-C2040)</f>
        <v>11</v>
      </c>
      <c r="I2040" s="33" t="n">
        <f aca="false">IF(E2040="","",E2040-C2040)</f>
        <v>9.25</v>
      </c>
      <c r="J2040" s="33" t="n">
        <f aca="false">IF(F2040="","",F2040-C2040)</f>
        <v>10.5</v>
      </c>
      <c r="K2040" s="33" t="n">
        <f aca="false">IF(G2040="","",G2040-C2040)</f>
        <v>11.5637695475589</v>
      </c>
      <c r="L2040" s="33" t="n">
        <f aca="false">IF(H2040="","",ABS(H2040))</f>
        <v>11</v>
      </c>
      <c r="M2040" s="33" t="n">
        <f aca="false">IF(I2040="","",ABS(I2040))</f>
        <v>9.25</v>
      </c>
      <c r="N2040" s="33" t="n">
        <f aca="false">IF(J2040="","",ABS(J2040))</f>
        <v>10.5</v>
      </c>
      <c r="O2040" s="33" t="n">
        <f aca="false">IF(K2040="","",ABS(K2040))</f>
        <v>11.5637695475589</v>
      </c>
      <c r="P2040" s="34" t="str">
        <f aca="false">IF(B2040&gt;=Eval_Start_Week,"YES","")</f>
        <v>YES</v>
      </c>
      <c r="Q2040" s="34" t="str">
        <f aca="false">IF(AND(B2040&gt;=Cal_Start_Week,B2040&lt;=Cal_End_Week),"YES","")</f>
        <v>YES</v>
      </c>
    </row>
    <row r="2041" customFormat="false" ht="15" hidden="false" customHeight="false" outlineLevel="0" collapsed="false">
      <c r="A2041" s="31" t="str">
        <f aca="false">Demand_History!C2041</f>
        <v>BTH-010</v>
      </c>
      <c r="B2041" s="31" t="n">
        <f aca="false">Demand_History!A2041</f>
        <v>64</v>
      </c>
      <c r="C2041" s="32" t="n">
        <f aca="false">Demand_History!D2041</f>
        <v>70</v>
      </c>
      <c r="D2041" s="33" t="n">
        <f aca="false">IF(B2041&gt;=2,C2040,"")</f>
        <v>55</v>
      </c>
      <c r="E2041" s="33" t="n">
        <f aca="false">IF(B2041&gt;=5,AVERAGE(C2037:C2040),"")</f>
        <v>64</v>
      </c>
      <c r="F2041" s="33" t="n">
        <f aca="false">IF(B2041&gt;=9,AVERAGE(C2033:C2040),"")</f>
        <v>65.75</v>
      </c>
      <c r="G2041" s="33" t="n">
        <f aca="false">IF(B2041=1,"",IF(B2041=2,C2040,SES_Alpha*C2040+(1-SES_Alpha)*G2040))</f>
        <v>63.0946386832912</v>
      </c>
      <c r="H2041" s="33" t="n">
        <f aca="false">IF(D2041="","",D2041-C2041)</f>
        <v>-15</v>
      </c>
      <c r="I2041" s="33" t="n">
        <f aca="false">IF(E2041="","",E2041-C2041)</f>
        <v>-6</v>
      </c>
      <c r="J2041" s="33" t="n">
        <f aca="false">IF(F2041="","",F2041-C2041)</f>
        <v>-4.25</v>
      </c>
      <c r="K2041" s="33" t="n">
        <f aca="false">IF(G2041="","",G2041-C2041)</f>
        <v>-6.90536131670877</v>
      </c>
      <c r="L2041" s="33" t="n">
        <f aca="false">IF(H2041="","",ABS(H2041))</f>
        <v>15</v>
      </c>
      <c r="M2041" s="33" t="n">
        <f aca="false">IF(I2041="","",ABS(I2041))</f>
        <v>6</v>
      </c>
      <c r="N2041" s="33" t="n">
        <f aca="false">IF(J2041="","",ABS(J2041))</f>
        <v>4.25</v>
      </c>
      <c r="O2041" s="33" t="n">
        <f aca="false">IF(K2041="","",ABS(K2041))</f>
        <v>6.90536131670877</v>
      </c>
      <c r="P2041" s="34" t="str">
        <f aca="false">IF(B2041&gt;=Eval_Start_Week,"YES","")</f>
        <v>YES</v>
      </c>
      <c r="Q2041" s="34" t="str">
        <f aca="false">IF(AND(B2041&gt;=Cal_Start_Week,B2041&lt;=Cal_End_Week),"YES","")</f>
        <v>YES</v>
      </c>
    </row>
    <row r="2042" customFormat="false" ht="15" hidden="false" customHeight="false" outlineLevel="0" collapsed="false">
      <c r="A2042" s="31" t="str">
        <f aca="false">Demand_History!C2042</f>
        <v>BTH-010</v>
      </c>
      <c r="B2042" s="31" t="n">
        <f aca="false">Demand_History!A2042</f>
        <v>65</v>
      </c>
      <c r="C2042" s="32" t="n">
        <f aca="false">Demand_History!D2042</f>
        <v>68</v>
      </c>
      <c r="D2042" s="33" t="n">
        <f aca="false">IF(B2042&gt;=2,C2041,"")</f>
        <v>70</v>
      </c>
      <c r="E2042" s="33" t="n">
        <f aca="false">IF(B2042&gt;=5,AVERAGE(C2038:C2041),"")</f>
        <v>65.5</v>
      </c>
      <c r="F2042" s="33" t="n">
        <f aca="false">IF(B2042&gt;=9,AVERAGE(C2034:C2041),"")</f>
        <v>66.75</v>
      </c>
      <c r="G2042" s="33" t="n">
        <f aca="false">IF(B2042=1,"",IF(B2042=2,C2041,SES_Alpha*C2041+(1-SES_Alpha)*G2041))</f>
        <v>65.1662470783039</v>
      </c>
      <c r="H2042" s="33" t="n">
        <f aca="false">IF(D2042="","",D2042-C2042)</f>
        <v>2</v>
      </c>
      <c r="I2042" s="33" t="n">
        <f aca="false">IF(E2042="","",E2042-C2042)</f>
        <v>-2.5</v>
      </c>
      <c r="J2042" s="33" t="n">
        <f aca="false">IF(F2042="","",F2042-C2042)</f>
        <v>-1.25</v>
      </c>
      <c r="K2042" s="33" t="n">
        <f aca="false">IF(G2042="","",G2042-C2042)</f>
        <v>-2.83375292169615</v>
      </c>
      <c r="L2042" s="33" t="n">
        <f aca="false">IF(H2042="","",ABS(H2042))</f>
        <v>2</v>
      </c>
      <c r="M2042" s="33" t="n">
        <f aca="false">IF(I2042="","",ABS(I2042))</f>
        <v>2.5</v>
      </c>
      <c r="N2042" s="33" t="n">
        <f aca="false">IF(J2042="","",ABS(J2042))</f>
        <v>1.25</v>
      </c>
      <c r="O2042" s="33" t="n">
        <f aca="false">IF(K2042="","",ABS(K2042))</f>
        <v>2.83375292169615</v>
      </c>
      <c r="P2042" s="34" t="str">
        <f aca="false">IF(B2042&gt;=Eval_Start_Week,"YES","")</f>
        <v>YES</v>
      </c>
      <c r="Q2042" s="34" t="str">
        <f aca="false">IF(AND(B2042&gt;=Cal_Start_Week,B2042&lt;=Cal_End_Week),"YES","")</f>
        <v>YES</v>
      </c>
    </row>
    <row r="2043" customFormat="false" ht="15" hidden="false" customHeight="false" outlineLevel="0" collapsed="false">
      <c r="A2043" s="31" t="str">
        <f aca="false">Demand_History!C2043</f>
        <v>BTH-010</v>
      </c>
      <c r="B2043" s="31" t="n">
        <f aca="false">Demand_History!A2043</f>
        <v>66</v>
      </c>
      <c r="C2043" s="32" t="n">
        <f aca="false">Demand_History!D2043</f>
        <v>72</v>
      </c>
      <c r="D2043" s="33" t="n">
        <f aca="false">IF(B2043&gt;=2,C2042,"")</f>
        <v>68</v>
      </c>
      <c r="E2043" s="33" t="n">
        <f aca="false">IF(B2043&gt;=5,AVERAGE(C2039:C2042),"")</f>
        <v>64.75</v>
      </c>
      <c r="F2043" s="33" t="n">
        <f aca="false">IF(B2043&gt;=9,AVERAGE(C2035:C2042),"")</f>
        <v>66.875</v>
      </c>
      <c r="G2043" s="33" t="n">
        <f aca="false">IF(B2043=1,"",IF(B2043=2,C2042,SES_Alpha*C2042+(1-SES_Alpha)*G2042))</f>
        <v>66.0163729548127</v>
      </c>
      <c r="H2043" s="33" t="n">
        <f aca="false">IF(D2043="","",D2043-C2043)</f>
        <v>-4</v>
      </c>
      <c r="I2043" s="33" t="n">
        <f aca="false">IF(E2043="","",E2043-C2043)</f>
        <v>-7.25</v>
      </c>
      <c r="J2043" s="33" t="n">
        <f aca="false">IF(F2043="","",F2043-C2043)</f>
        <v>-5.125</v>
      </c>
      <c r="K2043" s="33" t="n">
        <f aca="false">IF(G2043="","",G2043-C2043)</f>
        <v>-5.98362704518731</v>
      </c>
      <c r="L2043" s="33" t="n">
        <f aca="false">IF(H2043="","",ABS(H2043))</f>
        <v>4</v>
      </c>
      <c r="M2043" s="33" t="n">
        <f aca="false">IF(I2043="","",ABS(I2043))</f>
        <v>7.25</v>
      </c>
      <c r="N2043" s="33" t="n">
        <f aca="false">IF(J2043="","",ABS(J2043))</f>
        <v>5.125</v>
      </c>
      <c r="O2043" s="33" t="n">
        <f aca="false">IF(K2043="","",ABS(K2043))</f>
        <v>5.98362704518731</v>
      </c>
      <c r="P2043" s="34" t="str">
        <f aca="false">IF(B2043&gt;=Eval_Start_Week,"YES","")</f>
        <v>YES</v>
      </c>
      <c r="Q2043" s="34" t="str">
        <f aca="false">IF(AND(B2043&gt;=Cal_Start_Week,B2043&lt;=Cal_End_Week),"YES","")</f>
        <v>YES</v>
      </c>
    </row>
    <row r="2044" customFormat="false" ht="15" hidden="false" customHeight="false" outlineLevel="0" collapsed="false">
      <c r="A2044" s="31" t="str">
        <f aca="false">Demand_History!C2044</f>
        <v>BTH-010</v>
      </c>
      <c r="B2044" s="31" t="n">
        <f aca="false">Demand_History!A2044</f>
        <v>67</v>
      </c>
      <c r="C2044" s="32" t="n">
        <f aca="false">Demand_History!D2044</f>
        <v>79</v>
      </c>
      <c r="D2044" s="33" t="n">
        <f aca="false">IF(B2044&gt;=2,C2043,"")</f>
        <v>72</v>
      </c>
      <c r="E2044" s="33" t="n">
        <f aca="false">IF(B2044&gt;=5,AVERAGE(C2040:C2043),"")</f>
        <v>66.25</v>
      </c>
      <c r="F2044" s="33" t="n">
        <f aca="false">IF(B2044&gt;=9,AVERAGE(C2036:C2043),"")</f>
        <v>65.25</v>
      </c>
      <c r="G2044" s="33" t="n">
        <f aca="false">IF(B2044=1,"",IF(B2044=2,C2043,SES_Alpha*C2043+(1-SES_Alpha)*G2043))</f>
        <v>67.8114610683689</v>
      </c>
      <c r="H2044" s="33" t="n">
        <f aca="false">IF(D2044="","",D2044-C2044)</f>
        <v>-7</v>
      </c>
      <c r="I2044" s="33" t="n">
        <f aca="false">IF(E2044="","",E2044-C2044)</f>
        <v>-12.75</v>
      </c>
      <c r="J2044" s="33" t="n">
        <f aca="false">IF(F2044="","",F2044-C2044)</f>
        <v>-13.75</v>
      </c>
      <c r="K2044" s="33" t="n">
        <f aca="false">IF(G2044="","",G2044-C2044)</f>
        <v>-11.1885389316311</v>
      </c>
      <c r="L2044" s="33" t="n">
        <f aca="false">IF(H2044="","",ABS(H2044))</f>
        <v>7</v>
      </c>
      <c r="M2044" s="33" t="n">
        <f aca="false">IF(I2044="","",ABS(I2044))</f>
        <v>12.75</v>
      </c>
      <c r="N2044" s="33" t="n">
        <f aca="false">IF(J2044="","",ABS(J2044))</f>
        <v>13.75</v>
      </c>
      <c r="O2044" s="33" t="n">
        <f aca="false">IF(K2044="","",ABS(K2044))</f>
        <v>11.1885389316311</v>
      </c>
      <c r="P2044" s="34" t="str">
        <f aca="false">IF(B2044&gt;=Eval_Start_Week,"YES","")</f>
        <v>YES</v>
      </c>
      <c r="Q2044" s="34" t="str">
        <f aca="false">IF(AND(B2044&gt;=Cal_Start_Week,B2044&lt;=Cal_End_Week),"YES","")</f>
        <v>YES</v>
      </c>
    </row>
    <row r="2045" customFormat="false" ht="15" hidden="false" customHeight="false" outlineLevel="0" collapsed="false">
      <c r="A2045" s="31" t="str">
        <f aca="false">Demand_History!C2045</f>
        <v>BTH-010</v>
      </c>
      <c r="B2045" s="31" t="n">
        <f aca="false">Demand_History!A2045</f>
        <v>68</v>
      </c>
      <c r="C2045" s="32" t="n">
        <f aca="false">Demand_History!D2045</f>
        <v>78</v>
      </c>
      <c r="D2045" s="33" t="n">
        <f aca="false">IF(B2045&gt;=2,C2044,"")</f>
        <v>79</v>
      </c>
      <c r="E2045" s="33" t="n">
        <f aca="false">IF(B2045&gt;=5,AVERAGE(C2041:C2044),"")</f>
        <v>72.25</v>
      </c>
      <c r="F2045" s="33" t="n">
        <f aca="false">IF(B2045&gt;=9,AVERAGE(C2037:C2044),"")</f>
        <v>68.125</v>
      </c>
      <c r="G2045" s="33" t="n">
        <f aca="false">IF(B2045=1,"",IF(B2045=2,C2044,SES_Alpha*C2044+(1-SES_Alpha)*G2044))</f>
        <v>71.1680227478582</v>
      </c>
      <c r="H2045" s="33" t="n">
        <f aca="false">IF(D2045="","",D2045-C2045)</f>
        <v>1</v>
      </c>
      <c r="I2045" s="33" t="n">
        <f aca="false">IF(E2045="","",E2045-C2045)</f>
        <v>-5.75</v>
      </c>
      <c r="J2045" s="33" t="n">
        <f aca="false">IF(F2045="","",F2045-C2045)</f>
        <v>-9.875</v>
      </c>
      <c r="K2045" s="33" t="n">
        <f aca="false">IF(G2045="","",G2045-C2045)</f>
        <v>-6.83197725214178</v>
      </c>
      <c r="L2045" s="33" t="n">
        <f aca="false">IF(H2045="","",ABS(H2045))</f>
        <v>1</v>
      </c>
      <c r="M2045" s="33" t="n">
        <f aca="false">IF(I2045="","",ABS(I2045))</f>
        <v>5.75</v>
      </c>
      <c r="N2045" s="33" t="n">
        <f aca="false">IF(J2045="","",ABS(J2045))</f>
        <v>9.875</v>
      </c>
      <c r="O2045" s="33" t="n">
        <f aca="false">IF(K2045="","",ABS(K2045))</f>
        <v>6.83197725214178</v>
      </c>
      <c r="P2045" s="34" t="str">
        <f aca="false">IF(B2045&gt;=Eval_Start_Week,"YES","")</f>
        <v>YES</v>
      </c>
      <c r="Q2045" s="34" t="str">
        <f aca="false">IF(AND(B2045&gt;=Cal_Start_Week,B2045&lt;=Cal_End_Week),"YES","")</f>
        <v>YES</v>
      </c>
    </row>
    <row r="2046" customFormat="false" ht="15" hidden="false" customHeight="false" outlineLevel="0" collapsed="false">
      <c r="A2046" s="31" t="str">
        <f aca="false">Demand_History!C2046</f>
        <v>BTH-010</v>
      </c>
      <c r="B2046" s="31" t="n">
        <f aca="false">Demand_History!A2046</f>
        <v>69</v>
      </c>
      <c r="C2046" s="32" t="n">
        <f aca="false">Demand_History!D2046</f>
        <v>73</v>
      </c>
      <c r="D2046" s="33" t="n">
        <f aca="false">IF(B2046&gt;=2,C2045,"")</f>
        <v>78</v>
      </c>
      <c r="E2046" s="33" t="n">
        <f aca="false">IF(B2046&gt;=5,AVERAGE(C2042:C2045),"")</f>
        <v>74.25</v>
      </c>
      <c r="F2046" s="33" t="n">
        <f aca="false">IF(B2046&gt;=9,AVERAGE(C2038:C2045),"")</f>
        <v>69.875</v>
      </c>
      <c r="G2046" s="33" t="n">
        <f aca="false">IF(B2046=1,"",IF(B2046=2,C2045,SES_Alpha*C2045+(1-SES_Alpha)*G2045))</f>
        <v>73.2176159235007</v>
      </c>
      <c r="H2046" s="33" t="n">
        <f aca="false">IF(D2046="","",D2046-C2046)</f>
        <v>5</v>
      </c>
      <c r="I2046" s="33" t="n">
        <f aca="false">IF(E2046="","",E2046-C2046)</f>
        <v>1.25</v>
      </c>
      <c r="J2046" s="33" t="n">
        <f aca="false">IF(F2046="","",F2046-C2046)</f>
        <v>-3.125</v>
      </c>
      <c r="K2046" s="33" t="n">
        <f aca="false">IF(G2046="","",G2046-C2046)</f>
        <v>0.217615923500745</v>
      </c>
      <c r="L2046" s="33" t="n">
        <f aca="false">IF(H2046="","",ABS(H2046))</f>
        <v>5</v>
      </c>
      <c r="M2046" s="33" t="n">
        <f aca="false">IF(I2046="","",ABS(I2046))</f>
        <v>1.25</v>
      </c>
      <c r="N2046" s="33" t="n">
        <f aca="false">IF(J2046="","",ABS(J2046))</f>
        <v>3.125</v>
      </c>
      <c r="O2046" s="33" t="n">
        <f aca="false">IF(K2046="","",ABS(K2046))</f>
        <v>0.217615923500745</v>
      </c>
      <c r="P2046" s="34" t="str">
        <f aca="false">IF(B2046&gt;=Eval_Start_Week,"YES","")</f>
        <v>YES</v>
      </c>
      <c r="Q2046" s="34" t="str">
        <f aca="false">IF(AND(B2046&gt;=Cal_Start_Week,B2046&lt;=Cal_End_Week),"YES","")</f>
        <v>YES</v>
      </c>
    </row>
    <row r="2047" customFormat="false" ht="15" hidden="false" customHeight="false" outlineLevel="0" collapsed="false">
      <c r="A2047" s="31" t="str">
        <f aca="false">Demand_History!C2047</f>
        <v>BTH-010</v>
      </c>
      <c r="B2047" s="31" t="n">
        <f aca="false">Demand_History!A2047</f>
        <v>70</v>
      </c>
      <c r="C2047" s="32" t="n">
        <f aca="false">Demand_History!D2047</f>
        <v>72</v>
      </c>
      <c r="D2047" s="33" t="n">
        <f aca="false">IF(B2047&gt;=2,C2046,"")</f>
        <v>73</v>
      </c>
      <c r="E2047" s="33" t="n">
        <f aca="false">IF(B2047&gt;=5,AVERAGE(C2043:C2046),"")</f>
        <v>75.5</v>
      </c>
      <c r="F2047" s="33" t="n">
        <f aca="false">IF(B2047&gt;=9,AVERAGE(C2039:C2046),"")</f>
        <v>70.125</v>
      </c>
      <c r="G2047" s="33" t="n">
        <f aca="false">IF(B2047=1,"",IF(B2047=2,C2046,SES_Alpha*C2046+(1-SES_Alpha)*G2046))</f>
        <v>73.1523311464505</v>
      </c>
      <c r="H2047" s="33" t="n">
        <f aca="false">IF(D2047="","",D2047-C2047)</f>
        <v>1</v>
      </c>
      <c r="I2047" s="33" t="n">
        <f aca="false">IF(E2047="","",E2047-C2047)</f>
        <v>3.5</v>
      </c>
      <c r="J2047" s="33" t="n">
        <f aca="false">IF(F2047="","",F2047-C2047)</f>
        <v>-1.875</v>
      </c>
      <c r="K2047" s="33" t="n">
        <f aca="false">IF(G2047="","",G2047-C2047)</f>
        <v>1.15233114645051</v>
      </c>
      <c r="L2047" s="33" t="n">
        <f aca="false">IF(H2047="","",ABS(H2047))</f>
        <v>1</v>
      </c>
      <c r="M2047" s="33" t="n">
        <f aca="false">IF(I2047="","",ABS(I2047))</f>
        <v>3.5</v>
      </c>
      <c r="N2047" s="33" t="n">
        <f aca="false">IF(J2047="","",ABS(J2047))</f>
        <v>1.875</v>
      </c>
      <c r="O2047" s="33" t="n">
        <f aca="false">IF(K2047="","",ABS(K2047))</f>
        <v>1.15233114645051</v>
      </c>
      <c r="P2047" s="34" t="str">
        <f aca="false">IF(B2047&gt;=Eval_Start_Week,"YES","")</f>
        <v>YES</v>
      </c>
      <c r="Q2047" s="34" t="str">
        <f aca="false">IF(AND(B2047&gt;=Cal_Start_Week,B2047&lt;=Cal_End_Week),"YES","")</f>
        <v>YES</v>
      </c>
    </row>
    <row r="2048" customFormat="false" ht="15" hidden="false" customHeight="false" outlineLevel="0" collapsed="false">
      <c r="A2048" s="31" t="str">
        <f aca="false">Demand_History!C2048</f>
        <v>BTH-010</v>
      </c>
      <c r="B2048" s="31" t="n">
        <f aca="false">Demand_History!A2048</f>
        <v>71</v>
      </c>
      <c r="C2048" s="32" t="n">
        <f aca="false">Demand_History!D2048</f>
        <v>59</v>
      </c>
      <c r="D2048" s="33" t="n">
        <f aca="false">IF(B2048&gt;=2,C2047,"")</f>
        <v>72</v>
      </c>
      <c r="E2048" s="33" t="n">
        <f aca="false">IF(B2048&gt;=5,AVERAGE(C2044:C2047),"")</f>
        <v>75.5</v>
      </c>
      <c r="F2048" s="33" t="n">
        <f aca="false">IF(B2048&gt;=9,AVERAGE(C2040:C2047),"")</f>
        <v>70.875</v>
      </c>
      <c r="G2048" s="33" t="n">
        <f aca="false">IF(B2048=1,"",IF(B2048=2,C2047,SES_Alpha*C2047+(1-SES_Alpha)*G2047))</f>
        <v>72.8066318025154</v>
      </c>
      <c r="H2048" s="33" t="n">
        <f aca="false">IF(D2048="","",D2048-C2048)</f>
        <v>13</v>
      </c>
      <c r="I2048" s="33" t="n">
        <f aca="false">IF(E2048="","",E2048-C2048)</f>
        <v>16.5</v>
      </c>
      <c r="J2048" s="33" t="n">
        <f aca="false">IF(F2048="","",F2048-C2048)</f>
        <v>11.875</v>
      </c>
      <c r="K2048" s="33" t="n">
        <f aca="false">IF(G2048="","",G2048-C2048)</f>
        <v>13.8066318025154</v>
      </c>
      <c r="L2048" s="33" t="n">
        <f aca="false">IF(H2048="","",ABS(H2048))</f>
        <v>13</v>
      </c>
      <c r="M2048" s="33" t="n">
        <f aca="false">IF(I2048="","",ABS(I2048))</f>
        <v>16.5</v>
      </c>
      <c r="N2048" s="33" t="n">
        <f aca="false">IF(J2048="","",ABS(J2048))</f>
        <v>11.875</v>
      </c>
      <c r="O2048" s="33" t="n">
        <f aca="false">IF(K2048="","",ABS(K2048))</f>
        <v>13.8066318025154</v>
      </c>
      <c r="P2048" s="34" t="str">
        <f aca="false">IF(B2048&gt;=Eval_Start_Week,"YES","")</f>
        <v>YES</v>
      </c>
      <c r="Q2048" s="34" t="str">
        <f aca="false">IF(AND(B2048&gt;=Cal_Start_Week,B2048&lt;=Cal_End_Week),"YES","")</f>
        <v>YES</v>
      </c>
    </row>
    <row r="2049" customFormat="false" ht="15" hidden="false" customHeight="false" outlineLevel="0" collapsed="false">
      <c r="A2049" s="31" t="str">
        <f aca="false">Demand_History!C2049</f>
        <v>BTH-010</v>
      </c>
      <c r="B2049" s="31" t="n">
        <f aca="false">Demand_History!A2049</f>
        <v>72</v>
      </c>
      <c r="C2049" s="32" t="n">
        <f aca="false">Demand_History!D2049</f>
        <v>69</v>
      </c>
      <c r="D2049" s="33" t="n">
        <f aca="false">IF(B2049&gt;=2,C2048,"")</f>
        <v>59</v>
      </c>
      <c r="E2049" s="33" t="n">
        <f aca="false">IF(B2049&gt;=5,AVERAGE(C2045:C2048),"")</f>
        <v>70.5</v>
      </c>
      <c r="F2049" s="33" t="n">
        <f aca="false">IF(B2049&gt;=9,AVERAGE(C2041:C2048),"")</f>
        <v>71.375</v>
      </c>
      <c r="G2049" s="33" t="n">
        <f aca="false">IF(B2049=1,"",IF(B2049=2,C2048,SES_Alpha*C2048+(1-SES_Alpha)*G2048))</f>
        <v>68.6646422617608</v>
      </c>
      <c r="H2049" s="33" t="n">
        <f aca="false">IF(D2049="","",D2049-C2049)</f>
        <v>-10</v>
      </c>
      <c r="I2049" s="33" t="n">
        <f aca="false">IF(E2049="","",E2049-C2049)</f>
        <v>1.5</v>
      </c>
      <c r="J2049" s="33" t="n">
        <f aca="false">IF(F2049="","",F2049-C2049)</f>
        <v>2.375</v>
      </c>
      <c r="K2049" s="33" t="n">
        <f aca="false">IF(G2049="","",G2049-C2049)</f>
        <v>-0.335357738239253</v>
      </c>
      <c r="L2049" s="33" t="n">
        <f aca="false">IF(H2049="","",ABS(H2049))</f>
        <v>10</v>
      </c>
      <c r="M2049" s="33" t="n">
        <f aca="false">IF(I2049="","",ABS(I2049))</f>
        <v>1.5</v>
      </c>
      <c r="N2049" s="33" t="n">
        <f aca="false">IF(J2049="","",ABS(J2049))</f>
        <v>2.375</v>
      </c>
      <c r="O2049" s="33" t="n">
        <f aca="false">IF(K2049="","",ABS(K2049))</f>
        <v>0.335357738239253</v>
      </c>
      <c r="P2049" s="34" t="str">
        <f aca="false">IF(B2049&gt;=Eval_Start_Week,"YES","")</f>
        <v>YES</v>
      </c>
      <c r="Q2049" s="34" t="str">
        <f aca="false">IF(AND(B2049&gt;=Cal_Start_Week,B2049&lt;=Cal_End_Week),"YES","")</f>
        <v>YES</v>
      </c>
    </row>
    <row r="2050" customFormat="false" ht="15" hidden="false" customHeight="false" outlineLevel="0" collapsed="false">
      <c r="A2050" s="31" t="str">
        <f aca="false">Demand_History!C2050</f>
        <v>BTH-010</v>
      </c>
      <c r="B2050" s="31" t="n">
        <f aca="false">Demand_History!A2050</f>
        <v>73</v>
      </c>
      <c r="C2050" s="32" t="n">
        <f aca="false">Demand_History!D2050</f>
        <v>73</v>
      </c>
      <c r="D2050" s="33" t="n">
        <f aca="false">IF(B2050&gt;=2,C2049,"")</f>
        <v>69</v>
      </c>
      <c r="E2050" s="33" t="n">
        <f aca="false">IF(B2050&gt;=5,AVERAGE(C2046:C2049),"")</f>
        <v>68.25</v>
      </c>
      <c r="F2050" s="33" t="n">
        <f aca="false">IF(B2050&gt;=9,AVERAGE(C2042:C2049),"")</f>
        <v>71.25</v>
      </c>
      <c r="G2050" s="33" t="n">
        <f aca="false">IF(B2050=1,"",IF(B2050=2,C2049,SES_Alpha*C2049+(1-SES_Alpha)*G2049))</f>
        <v>68.7652495832325</v>
      </c>
      <c r="H2050" s="33" t="n">
        <f aca="false">IF(D2050="","",D2050-C2050)</f>
        <v>-4</v>
      </c>
      <c r="I2050" s="33" t="n">
        <f aca="false">IF(E2050="","",E2050-C2050)</f>
        <v>-4.75</v>
      </c>
      <c r="J2050" s="33" t="n">
        <f aca="false">IF(F2050="","",F2050-C2050)</f>
        <v>-1.75</v>
      </c>
      <c r="K2050" s="33" t="n">
        <f aca="false">IF(G2050="","",G2050-C2050)</f>
        <v>-4.23475041676748</v>
      </c>
      <c r="L2050" s="33" t="n">
        <f aca="false">IF(H2050="","",ABS(H2050))</f>
        <v>4</v>
      </c>
      <c r="M2050" s="33" t="n">
        <f aca="false">IF(I2050="","",ABS(I2050))</f>
        <v>4.75</v>
      </c>
      <c r="N2050" s="33" t="n">
        <f aca="false">IF(J2050="","",ABS(J2050))</f>
        <v>1.75</v>
      </c>
      <c r="O2050" s="33" t="n">
        <f aca="false">IF(K2050="","",ABS(K2050))</f>
        <v>4.23475041676748</v>
      </c>
      <c r="P2050" s="34" t="str">
        <f aca="false">IF(B2050&gt;=Eval_Start_Week,"YES","")</f>
        <v>YES</v>
      </c>
      <c r="Q2050" s="34" t="str">
        <f aca="false">IF(AND(B2050&gt;=Cal_Start_Week,B2050&lt;=Cal_End_Week),"YES","")</f>
        <v>YES</v>
      </c>
    </row>
    <row r="2051" customFormat="false" ht="15" hidden="false" customHeight="false" outlineLevel="0" collapsed="false">
      <c r="A2051" s="31" t="str">
        <f aca="false">Demand_History!C2051</f>
        <v>BTH-010</v>
      </c>
      <c r="B2051" s="31" t="n">
        <f aca="false">Demand_History!A2051</f>
        <v>74</v>
      </c>
      <c r="C2051" s="32" t="n">
        <f aca="false">Demand_History!D2051</f>
        <v>67</v>
      </c>
      <c r="D2051" s="33" t="n">
        <f aca="false">IF(B2051&gt;=2,C2050,"")</f>
        <v>73</v>
      </c>
      <c r="E2051" s="33" t="n">
        <f aca="false">IF(B2051&gt;=5,AVERAGE(C2047:C2050),"")</f>
        <v>68.25</v>
      </c>
      <c r="F2051" s="33" t="n">
        <f aca="false">IF(B2051&gt;=9,AVERAGE(C2043:C2050),"")</f>
        <v>71.875</v>
      </c>
      <c r="G2051" s="33" t="n">
        <f aca="false">IF(B2051=1,"",IF(B2051=2,C2050,SES_Alpha*C2050+(1-SES_Alpha)*G2050))</f>
        <v>70.0356747082628</v>
      </c>
      <c r="H2051" s="33" t="n">
        <f aca="false">IF(D2051="","",D2051-C2051)</f>
        <v>6</v>
      </c>
      <c r="I2051" s="33" t="n">
        <f aca="false">IF(E2051="","",E2051-C2051)</f>
        <v>1.25</v>
      </c>
      <c r="J2051" s="33" t="n">
        <f aca="false">IF(F2051="","",F2051-C2051)</f>
        <v>4.875</v>
      </c>
      <c r="K2051" s="33" t="n">
        <f aca="false">IF(G2051="","",G2051-C2051)</f>
        <v>3.03567470826276</v>
      </c>
      <c r="L2051" s="33" t="n">
        <f aca="false">IF(H2051="","",ABS(H2051))</f>
        <v>6</v>
      </c>
      <c r="M2051" s="33" t="n">
        <f aca="false">IF(I2051="","",ABS(I2051))</f>
        <v>1.25</v>
      </c>
      <c r="N2051" s="33" t="n">
        <f aca="false">IF(J2051="","",ABS(J2051))</f>
        <v>4.875</v>
      </c>
      <c r="O2051" s="33" t="n">
        <f aca="false">IF(K2051="","",ABS(K2051))</f>
        <v>3.03567470826276</v>
      </c>
      <c r="P2051" s="34" t="str">
        <f aca="false">IF(B2051&gt;=Eval_Start_Week,"YES","")</f>
        <v>YES</v>
      </c>
      <c r="Q2051" s="34" t="str">
        <f aca="false">IF(AND(B2051&gt;=Cal_Start_Week,B2051&lt;=Cal_End_Week),"YES","")</f>
        <v>YES</v>
      </c>
    </row>
    <row r="2052" customFormat="false" ht="15" hidden="false" customHeight="false" outlineLevel="0" collapsed="false">
      <c r="A2052" s="31" t="str">
        <f aca="false">Demand_History!C2052</f>
        <v>BTH-010</v>
      </c>
      <c r="B2052" s="31" t="n">
        <f aca="false">Demand_History!A2052</f>
        <v>75</v>
      </c>
      <c r="C2052" s="32" t="n">
        <f aca="false">Demand_History!D2052</f>
        <v>72</v>
      </c>
      <c r="D2052" s="33" t="n">
        <f aca="false">IF(B2052&gt;=2,C2051,"")</f>
        <v>67</v>
      </c>
      <c r="E2052" s="33" t="n">
        <f aca="false">IF(B2052&gt;=5,AVERAGE(C2048:C2051),"")</f>
        <v>67</v>
      </c>
      <c r="F2052" s="33" t="n">
        <f aca="false">IF(B2052&gt;=9,AVERAGE(C2044:C2051),"")</f>
        <v>71.25</v>
      </c>
      <c r="G2052" s="33" t="n">
        <f aca="false">IF(B2052=1,"",IF(B2052=2,C2051,SES_Alpha*C2051+(1-SES_Alpha)*G2051))</f>
        <v>69.1249722957839</v>
      </c>
      <c r="H2052" s="33" t="n">
        <f aca="false">IF(D2052="","",D2052-C2052)</f>
        <v>-5</v>
      </c>
      <c r="I2052" s="33" t="n">
        <f aca="false">IF(E2052="","",E2052-C2052)</f>
        <v>-5</v>
      </c>
      <c r="J2052" s="33" t="n">
        <f aca="false">IF(F2052="","",F2052-C2052)</f>
        <v>-0.75</v>
      </c>
      <c r="K2052" s="33" t="n">
        <f aca="false">IF(G2052="","",G2052-C2052)</f>
        <v>-2.87502770421607</v>
      </c>
      <c r="L2052" s="33" t="n">
        <f aca="false">IF(H2052="","",ABS(H2052))</f>
        <v>5</v>
      </c>
      <c r="M2052" s="33" t="n">
        <f aca="false">IF(I2052="","",ABS(I2052))</f>
        <v>5</v>
      </c>
      <c r="N2052" s="33" t="n">
        <f aca="false">IF(J2052="","",ABS(J2052))</f>
        <v>0.75</v>
      </c>
      <c r="O2052" s="33" t="n">
        <f aca="false">IF(K2052="","",ABS(K2052))</f>
        <v>2.87502770421607</v>
      </c>
      <c r="P2052" s="34" t="str">
        <f aca="false">IF(B2052&gt;=Eval_Start_Week,"YES","")</f>
        <v>YES</v>
      </c>
      <c r="Q2052" s="34" t="str">
        <f aca="false">IF(AND(B2052&gt;=Cal_Start_Week,B2052&lt;=Cal_End_Week),"YES","")</f>
        <v>YES</v>
      </c>
    </row>
    <row r="2053" customFormat="false" ht="15" hidden="false" customHeight="false" outlineLevel="0" collapsed="false">
      <c r="A2053" s="31" t="str">
        <f aca="false">Demand_History!C2053</f>
        <v>BTH-010</v>
      </c>
      <c r="B2053" s="31" t="n">
        <f aca="false">Demand_History!A2053</f>
        <v>76</v>
      </c>
      <c r="C2053" s="32" t="n">
        <f aca="false">Demand_History!D2053</f>
        <v>63</v>
      </c>
      <c r="D2053" s="33" t="n">
        <f aca="false">IF(B2053&gt;=2,C2052,"")</f>
        <v>72</v>
      </c>
      <c r="E2053" s="33" t="n">
        <f aca="false">IF(B2053&gt;=5,AVERAGE(C2049:C2052),"")</f>
        <v>70.25</v>
      </c>
      <c r="F2053" s="33" t="n">
        <f aca="false">IF(B2053&gt;=9,AVERAGE(C2045:C2052),"")</f>
        <v>70.375</v>
      </c>
      <c r="G2053" s="33" t="n">
        <f aca="false">IF(B2053=1,"",IF(B2053=2,C2052,SES_Alpha*C2052+(1-SES_Alpha)*G2052))</f>
        <v>69.9874806070488</v>
      </c>
      <c r="H2053" s="33" t="n">
        <f aca="false">IF(D2053="","",D2053-C2053)</f>
        <v>9</v>
      </c>
      <c r="I2053" s="33" t="n">
        <f aca="false">IF(E2053="","",E2053-C2053)</f>
        <v>7.25</v>
      </c>
      <c r="J2053" s="33" t="n">
        <f aca="false">IF(F2053="","",F2053-C2053)</f>
        <v>7.375</v>
      </c>
      <c r="K2053" s="33" t="n">
        <f aca="false">IF(G2053="","",G2053-C2053)</f>
        <v>6.98748060704875</v>
      </c>
      <c r="L2053" s="33" t="n">
        <f aca="false">IF(H2053="","",ABS(H2053))</f>
        <v>9</v>
      </c>
      <c r="M2053" s="33" t="n">
        <f aca="false">IF(I2053="","",ABS(I2053))</f>
        <v>7.25</v>
      </c>
      <c r="N2053" s="33" t="n">
        <f aca="false">IF(J2053="","",ABS(J2053))</f>
        <v>7.375</v>
      </c>
      <c r="O2053" s="33" t="n">
        <f aca="false">IF(K2053="","",ABS(K2053))</f>
        <v>6.98748060704875</v>
      </c>
      <c r="P2053" s="34" t="str">
        <f aca="false">IF(B2053&gt;=Eval_Start_Week,"YES","")</f>
        <v>YES</v>
      </c>
      <c r="Q2053" s="34" t="str">
        <f aca="false">IF(AND(B2053&gt;=Cal_Start_Week,B2053&lt;=Cal_End_Week),"YES","")</f>
        <v>YES</v>
      </c>
    </row>
    <row r="2054" customFormat="false" ht="15" hidden="false" customHeight="false" outlineLevel="0" collapsed="false">
      <c r="A2054" s="31" t="str">
        <f aca="false">Demand_History!C2054</f>
        <v>BTH-010</v>
      </c>
      <c r="B2054" s="31" t="n">
        <f aca="false">Demand_History!A2054</f>
        <v>77</v>
      </c>
      <c r="C2054" s="32" t="n">
        <f aca="false">Demand_History!D2054</f>
        <v>88</v>
      </c>
      <c r="D2054" s="33" t="n">
        <f aca="false">IF(B2054&gt;=2,C2053,"")</f>
        <v>63</v>
      </c>
      <c r="E2054" s="33" t="n">
        <f aca="false">IF(B2054&gt;=5,AVERAGE(C2050:C2053),"")</f>
        <v>68.75</v>
      </c>
      <c r="F2054" s="33" t="n">
        <f aca="false">IF(B2054&gt;=9,AVERAGE(C2046:C2053),"")</f>
        <v>68.5</v>
      </c>
      <c r="G2054" s="33" t="n">
        <f aca="false">IF(B2054=1,"",IF(B2054=2,C2053,SES_Alpha*C2053+(1-SES_Alpha)*G2053))</f>
        <v>67.8912364249341</v>
      </c>
      <c r="H2054" s="33" t="n">
        <f aca="false">IF(D2054="","",D2054-C2054)</f>
        <v>-25</v>
      </c>
      <c r="I2054" s="33" t="n">
        <f aca="false">IF(E2054="","",E2054-C2054)</f>
        <v>-19.25</v>
      </c>
      <c r="J2054" s="33" t="n">
        <f aca="false">IF(F2054="","",F2054-C2054)</f>
        <v>-19.5</v>
      </c>
      <c r="K2054" s="33" t="n">
        <f aca="false">IF(G2054="","",G2054-C2054)</f>
        <v>-20.1087635750659</v>
      </c>
      <c r="L2054" s="33" t="n">
        <f aca="false">IF(H2054="","",ABS(H2054))</f>
        <v>25</v>
      </c>
      <c r="M2054" s="33" t="n">
        <f aca="false">IF(I2054="","",ABS(I2054))</f>
        <v>19.25</v>
      </c>
      <c r="N2054" s="33" t="n">
        <f aca="false">IF(J2054="","",ABS(J2054))</f>
        <v>19.5</v>
      </c>
      <c r="O2054" s="33" t="n">
        <f aca="false">IF(K2054="","",ABS(K2054))</f>
        <v>20.1087635750659</v>
      </c>
      <c r="P2054" s="34" t="str">
        <f aca="false">IF(B2054&gt;=Eval_Start_Week,"YES","")</f>
        <v>YES</v>
      </c>
      <c r="Q2054" s="34" t="str">
        <f aca="false">IF(AND(B2054&gt;=Cal_Start_Week,B2054&lt;=Cal_End_Week),"YES","")</f>
        <v>YES</v>
      </c>
    </row>
    <row r="2055" customFormat="false" ht="15" hidden="false" customHeight="false" outlineLevel="0" collapsed="false">
      <c r="A2055" s="31" t="str">
        <f aca="false">Demand_History!C2055</f>
        <v>BTH-010</v>
      </c>
      <c r="B2055" s="31" t="n">
        <f aca="false">Demand_History!A2055</f>
        <v>78</v>
      </c>
      <c r="C2055" s="32" t="n">
        <f aca="false">Demand_History!D2055</f>
        <v>95</v>
      </c>
      <c r="D2055" s="33" t="n">
        <f aca="false">IF(B2055&gt;=2,C2054,"")</f>
        <v>88</v>
      </c>
      <c r="E2055" s="33" t="n">
        <f aca="false">IF(B2055&gt;=5,AVERAGE(C2051:C2054),"")</f>
        <v>72.5</v>
      </c>
      <c r="F2055" s="33" t="n">
        <f aca="false">IF(B2055&gt;=9,AVERAGE(C2047:C2054),"")</f>
        <v>70.375</v>
      </c>
      <c r="G2055" s="33" t="n">
        <f aca="false">IF(B2055=1,"",IF(B2055=2,C2054,SES_Alpha*C2054+(1-SES_Alpha)*G2054))</f>
        <v>73.9238654974539</v>
      </c>
      <c r="H2055" s="33" t="n">
        <f aca="false">IF(D2055="","",D2055-C2055)</f>
        <v>-7</v>
      </c>
      <c r="I2055" s="33" t="n">
        <f aca="false">IF(E2055="","",E2055-C2055)</f>
        <v>-22.5</v>
      </c>
      <c r="J2055" s="33" t="n">
        <f aca="false">IF(F2055="","",F2055-C2055)</f>
        <v>-24.625</v>
      </c>
      <c r="K2055" s="33" t="n">
        <f aca="false">IF(G2055="","",G2055-C2055)</f>
        <v>-21.0761345025461</v>
      </c>
      <c r="L2055" s="33" t="n">
        <f aca="false">IF(H2055="","",ABS(H2055))</f>
        <v>7</v>
      </c>
      <c r="M2055" s="33" t="n">
        <f aca="false">IF(I2055="","",ABS(I2055))</f>
        <v>22.5</v>
      </c>
      <c r="N2055" s="33" t="n">
        <f aca="false">IF(J2055="","",ABS(J2055))</f>
        <v>24.625</v>
      </c>
      <c r="O2055" s="33" t="n">
        <f aca="false">IF(K2055="","",ABS(K2055))</f>
        <v>21.0761345025461</v>
      </c>
      <c r="P2055" s="34" t="str">
        <f aca="false">IF(B2055&gt;=Eval_Start_Week,"YES","")</f>
        <v>YES</v>
      </c>
      <c r="Q2055" s="34" t="str">
        <f aca="false">IF(AND(B2055&gt;=Cal_Start_Week,B2055&lt;=Cal_End_Week),"YES","")</f>
        <v>YES</v>
      </c>
    </row>
    <row r="2056" customFormat="false" ht="15" hidden="false" customHeight="false" outlineLevel="0" collapsed="false">
      <c r="A2056" s="31" t="str">
        <f aca="false">Demand_History!C2056</f>
        <v>BTH-010</v>
      </c>
      <c r="B2056" s="31" t="n">
        <f aca="false">Demand_History!A2056</f>
        <v>79</v>
      </c>
      <c r="C2056" s="32" t="n">
        <f aca="false">Demand_History!D2056</f>
        <v>69</v>
      </c>
      <c r="D2056" s="33" t="n">
        <f aca="false">IF(B2056&gt;=2,C2055,"")</f>
        <v>95</v>
      </c>
      <c r="E2056" s="33" t="n">
        <f aca="false">IF(B2056&gt;=5,AVERAGE(C2052:C2055),"")</f>
        <v>79.5</v>
      </c>
      <c r="F2056" s="33" t="n">
        <f aca="false">IF(B2056&gt;=9,AVERAGE(C2048:C2055),"")</f>
        <v>73.25</v>
      </c>
      <c r="G2056" s="33" t="n">
        <f aca="false">IF(B2056=1,"",IF(B2056=2,C2055,SES_Alpha*C2055+(1-SES_Alpha)*G2055))</f>
        <v>80.2467058482177</v>
      </c>
      <c r="H2056" s="33" t="n">
        <f aca="false">IF(D2056="","",D2056-C2056)</f>
        <v>26</v>
      </c>
      <c r="I2056" s="33" t="n">
        <f aca="false">IF(E2056="","",E2056-C2056)</f>
        <v>10.5</v>
      </c>
      <c r="J2056" s="33" t="n">
        <f aca="false">IF(F2056="","",F2056-C2056)</f>
        <v>4.25</v>
      </c>
      <c r="K2056" s="33" t="n">
        <f aca="false">IF(G2056="","",G2056-C2056)</f>
        <v>11.2467058482177</v>
      </c>
      <c r="L2056" s="33" t="n">
        <f aca="false">IF(H2056="","",ABS(H2056))</f>
        <v>26</v>
      </c>
      <c r="M2056" s="33" t="n">
        <f aca="false">IF(I2056="","",ABS(I2056))</f>
        <v>10.5</v>
      </c>
      <c r="N2056" s="33" t="n">
        <f aca="false">IF(J2056="","",ABS(J2056))</f>
        <v>4.25</v>
      </c>
      <c r="O2056" s="33" t="n">
        <f aca="false">IF(K2056="","",ABS(K2056))</f>
        <v>11.2467058482177</v>
      </c>
      <c r="P2056" s="34" t="str">
        <f aca="false">IF(B2056&gt;=Eval_Start_Week,"YES","")</f>
        <v>YES</v>
      </c>
      <c r="Q2056" s="34" t="str">
        <f aca="false">IF(AND(B2056&gt;=Cal_Start_Week,B2056&lt;=Cal_End_Week),"YES","")</f>
        <v>YES</v>
      </c>
    </row>
    <row r="2057" customFormat="false" ht="15" hidden="false" customHeight="false" outlineLevel="0" collapsed="false">
      <c r="A2057" s="31" t="str">
        <f aca="false">Demand_History!C2057</f>
        <v>BTH-010</v>
      </c>
      <c r="B2057" s="31" t="n">
        <f aca="false">Demand_History!A2057</f>
        <v>80</v>
      </c>
      <c r="C2057" s="32" t="n">
        <f aca="false">Demand_History!D2057</f>
        <v>78</v>
      </c>
      <c r="D2057" s="33" t="n">
        <f aca="false">IF(B2057&gt;=2,C2056,"")</f>
        <v>69</v>
      </c>
      <c r="E2057" s="33" t="n">
        <f aca="false">IF(B2057&gt;=5,AVERAGE(C2053:C2056),"")</f>
        <v>78.75</v>
      </c>
      <c r="F2057" s="33" t="n">
        <f aca="false">IF(B2057&gt;=9,AVERAGE(C2049:C2056),"")</f>
        <v>74.5</v>
      </c>
      <c r="G2057" s="33" t="n">
        <f aca="false">IF(B2057=1,"",IF(B2057=2,C2056,SES_Alpha*C2056+(1-SES_Alpha)*G2056))</f>
        <v>76.8726940937524</v>
      </c>
      <c r="H2057" s="33" t="n">
        <f aca="false">IF(D2057="","",D2057-C2057)</f>
        <v>-9</v>
      </c>
      <c r="I2057" s="33" t="n">
        <f aca="false">IF(E2057="","",E2057-C2057)</f>
        <v>0.75</v>
      </c>
      <c r="J2057" s="33" t="n">
        <f aca="false">IF(F2057="","",F2057-C2057)</f>
        <v>-3.5</v>
      </c>
      <c r="K2057" s="33" t="n">
        <f aca="false">IF(G2057="","",G2057-C2057)</f>
        <v>-1.1273059062476</v>
      </c>
      <c r="L2057" s="33" t="n">
        <f aca="false">IF(H2057="","",ABS(H2057))</f>
        <v>9</v>
      </c>
      <c r="M2057" s="33" t="n">
        <f aca="false">IF(I2057="","",ABS(I2057))</f>
        <v>0.75</v>
      </c>
      <c r="N2057" s="33" t="n">
        <f aca="false">IF(J2057="","",ABS(J2057))</f>
        <v>3.5</v>
      </c>
      <c r="O2057" s="33" t="n">
        <f aca="false">IF(K2057="","",ABS(K2057))</f>
        <v>1.1273059062476</v>
      </c>
      <c r="P2057" s="34" t="str">
        <f aca="false">IF(B2057&gt;=Eval_Start_Week,"YES","")</f>
        <v>YES</v>
      </c>
      <c r="Q2057" s="34" t="str">
        <f aca="false">IF(AND(B2057&gt;=Cal_Start_Week,B2057&lt;=Cal_End_Week),"YES","")</f>
        <v>YES</v>
      </c>
    </row>
    <row r="2058" customFormat="false" ht="15" hidden="false" customHeight="false" outlineLevel="0" collapsed="false">
      <c r="A2058" s="31" t="str">
        <f aca="false">Demand_History!C2058</f>
        <v>BTH-010</v>
      </c>
      <c r="B2058" s="31" t="n">
        <f aca="false">Demand_History!A2058</f>
        <v>81</v>
      </c>
      <c r="C2058" s="32" t="n">
        <f aca="false">Demand_History!D2058</f>
        <v>72</v>
      </c>
      <c r="D2058" s="33" t="n">
        <f aca="false">IF(B2058&gt;=2,C2057,"")</f>
        <v>78</v>
      </c>
      <c r="E2058" s="33" t="n">
        <f aca="false">IF(B2058&gt;=5,AVERAGE(C2054:C2057),"")</f>
        <v>82.5</v>
      </c>
      <c r="F2058" s="33" t="n">
        <f aca="false">IF(B2058&gt;=9,AVERAGE(C2050:C2057),"")</f>
        <v>75.625</v>
      </c>
      <c r="G2058" s="33" t="n">
        <f aca="false">IF(B2058=1,"",IF(B2058=2,C2057,SES_Alpha*C2057+(1-SES_Alpha)*G2057))</f>
        <v>77.2108858656267</v>
      </c>
      <c r="H2058" s="33" t="n">
        <f aca="false">IF(D2058="","",D2058-C2058)</f>
        <v>6</v>
      </c>
      <c r="I2058" s="33" t="n">
        <f aca="false">IF(E2058="","",E2058-C2058)</f>
        <v>10.5</v>
      </c>
      <c r="J2058" s="33" t="n">
        <f aca="false">IF(F2058="","",F2058-C2058)</f>
        <v>3.625</v>
      </c>
      <c r="K2058" s="33" t="n">
        <f aca="false">IF(G2058="","",G2058-C2058)</f>
        <v>5.21088586562668</v>
      </c>
      <c r="L2058" s="33" t="n">
        <f aca="false">IF(H2058="","",ABS(H2058))</f>
        <v>6</v>
      </c>
      <c r="M2058" s="33" t="n">
        <f aca="false">IF(I2058="","",ABS(I2058))</f>
        <v>10.5</v>
      </c>
      <c r="N2058" s="33" t="n">
        <f aca="false">IF(J2058="","",ABS(J2058))</f>
        <v>3.625</v>
      </c>
      <c r="O2058" s="33" t="n">
        <f aca="false">IF(K2058="","",ABS(K2058))</f>
        <v>5.21088586562668</v>
      </c>
      <c r="P2058" s="34" t="str">
        <f aca="false">IF(B2058&gt;=Eval_Start_Week,"YES","")</f>
        <v>YES</v>
      </c>
      <c r="Q2058" s="34" t="str">
        <f aca="false">IF(AND(B2058&gt;=Cal_Start_Week,B2058&lt;=Cal_End_Week),"YES","")</f>
        <v>YES</v>
      </c>
    </row>
    <row r="2059" customFormat="false" ht="15" hidden="false" customHeight="false" outlineLevel="0" collapsed="false">
      <c r="A2059" s="31" t="str">
        <f aca="false">Demand_History!C2059</f>
        <v>BTH-010</v>
      </c>
      <c r="B2059" s="31" t="n">
        <f aca="false">Demand_History!A2059</f>
        <v>82</v>
      </c>
      <c r="C2059" s="32" t="n">
        <f aca="false">Demand_History!D2059</f>
        <v>88</v>
      </c>
      <c r="D2059" s="33" t="n">
        <f aca="false">IF(B2059&gt;=2,C2058,"")</f>
        <v>72</v>
      </c>
      <c r="E2059" s="33" t="n">
        <f aca="false">IF(B2059&gt;=5,AVERAGE(C2055:C2058),"")</f>
        <v>78.5</v>
      </c>
      <c r="F2059" s="33" t="n">
        <f aca="false">IF(B2059&gt;=9,AVERAGE(C2051:C2058),"")</f>
        <v>75.5</v>
      </c>
      <c r="G2059" s="33" t="n">
        <f aca="false">IF(B2059=1,"",IF(B2059=2,C2058,SES_Alpha*C2058+(1-SES_Alpha)*G2058))</f>
        <v>75.6476201059387</v>
      </c>
      <c r="H2059" s="33" t="n">
        <f aca="false">IF(D2059="","",D2059-C2059)</f>
        <v>-16</v>
      </c>
      <c r="I2059" s="33" t="n">
        <f aca="false">IF(E2059="","",E2059-C2059)</f>
        <v>-9.5</v>
      </c>
      <c r="J2059" s="33" t="n">
        <f aca="false">IF(F2059="","",F2059-C2059)</f>
        <v>-12.5</v>
      </c>
      <c r="K2059" s="33" t="n">
        <f aca="false">IF(G2059="","",G2059-C2059)</f>
        <v>-12.3523798940613</v>
      </c>
      <c r="L2059" s="33" t="n">
        <f aca="false">IF(H2059="","",ABS(H2059))</f>
        <v>16</v>
      </c>
      <c r="M2059" s="33" t="n">
        <f aca="false">IF(I2059="","",ABS(I2059))</f>
        <v>9.5</v>
      </c>
      <c r="N2059" s="33" t="n">
        <f aca="false">IF(J2059="","",ABS(J2059))</f>
        <v>12.5</v>
      </c>
      <c r="O2059" s="33" t="n">
        <f aca="false">IF(K2059="","",ABS(K2059))</f>
        <v>12.3523798940613</v>
      </c>
      <c r="P2059" s="34" t="str">
        <f aca="false">IF(B2059&gt;=Eval_Start_Week,"YES","")</f>
        <v>YES</v>
      </c>
      <c r="Q2059" s="34" t="str">
        <f aca="false">IF(AND(B2059&gt;=Cal_Start_Week,B2059&lt;=Cal_End_Week),"YES","")</f>
        <v>YES</v>
      </c>
    </row>
    <row r="2060" customFormat="false" ht="15" hidden="false" customHeight="false" outlineLevel="0" collapsed="false">
      <c r="A2060" s="31" t="str">
        <f aca="false">Demand_History!C2060</f>
        <v>BTH-010</v>
      </c>
      <c r="B2060" s="31" t="n">
        <f aca="false">Demand_History!A2060</f>
        <v>83</v>
      </c>
      <c r="C2060" s="32" t="n">
        <f aca="false">Demand_History!D2060</f>
        <v>79</v>
      </c>
      <c r="D2060" s="33" t="n">
        <f aca="false">IF(B2060&gt;=2,C2059,"")</f>
        <v>88</v>
      </c>
      <c r="E2060" s="33" t="n">
        <f aca="false">IF(B2060&gt;=5,AVERAGE(C2056:C2059),"")</f>
        <v>76.75</v>
      </c>
      <c r="F2060" s="33" t="n">
        <f aca="false">IF(B2060&gt;=9,AVERAGE(C2052:C2059),"")</f>
        <v>78.125</v>
      </c>
      <c r="G2060" s="33" t="n">
        <f aca="false">IF(B2060=1,"",IF(B2060=2,C2059,SES_Alpha*C2059+(1-SES_Alpha)*G2059))</f>
        <v>79.3533340741571</v>
      </c>
      <c r="H2060" s="33" t="n">
        <f aca="false">IF(D2060="","",D2060-C2060)</f>
        <v>9</v>
      </c>
      <c r="I2060" s="33" t="n">
        <f aca="false">IF(E2060="","",E2060-C2060)</f>
        <v>-2.25</v>
      </c>
      <c r="J2060" s="33" t="n">
        <f aca="false">IF(F2060="","",F2060-C2060)</f>
        <v>-0.875</v>
      </c>
      <c r="K2060" s="33" t="n">
        <f aca="false">IF(G2060="","",G2060-C2060)</f>
        <v>0.353334074157061</v>
      </c>
      <c r="L2060" s="33" t="n">
        <f aca="false">IF(H2060="","",ABS(H2060))</f>
        <v>9</v>
      </c>
      <c r="M2060" s="33" t="n">
        <f aca="false">IF(I2060="","",ABS(I2060))</f>
        <v>2.25</v>
      </c>
      <c r="N2060" s="33" t="n">
        <f aca="false">IF(J2060="","",ABS(J2060))</f>
        <v>0.875</v>
      </c>
      <c r="O2060" s="33" t="n">
        <f aca="false">IF(K2060="","",ABS(K2060))</f>
        <v>0.353334074157061</v>
      </c>
      <c r="P2060" s="34" t="str">
        <f aca="false">IF(B2060&gt;=Eval_Start_Week,"YES","")</f>
        <v>YES</v>
      </c>
      <c r="Q2060" s="34" t="str">
        <f aca="false">IF(AND(B2060&gt;=Cal_Start_Week,B2060&lt;=Cal_End_Week),"YES","")</f>
        <v>YES</v>
      </c>
    </row>
    <row r="2061" customFormat="false" ht="15" hidden="false" customHeight="false" outlineLevel="0" collapsed="false">
      <c r="A2061" s="31" t="str">
        <f aca="false">Demand_History!C2061</f>
        <v>BTH-010</v>
      </c>
      <c r="B2061" s="31" t="n">
        <f aca="false">Demand_History!A2061</f>
        <v>84</v>
      </c>
      <c r="C2061" s="32" t="n">
        <f aca="false">Demand_History!D2061</f>
        <v>76</v>
      </c>
      <c r="D2061" s="33" t="n">
        <f aca="false">IF(B2061&gt;=2,C2060,"")</f>
        <v>79</v>
      </c>
      <c r="E2061" s="33" t="n">
        <f aca="false">IF(B2061&gt;=5,AVERAGE(C2057:C2060),"")</f>
        <v>79.25</v>
      </c>
      <c r="F2061" s="33" t="n">
        <f aca="false">IF(B2061&gt;=9,AVERAGE(C2053:C2060),"")</f>
        <v>79</v>
      </c>
      <c r="G2061" s="33" t="n">
        <f aca="false">IF(B2061=1,"",IF(B2061=2,C2060,SES_Alpha*C2060+(1-SES_Alpha)*G2060))</f>
        <v>79.2473338519099</v>
      </c>
      <c r="H2061" s="33" t="n">
        <f aca="false">IF(D2061="","",D2061-C2061)</f>
        <v>3</v>
      </c>
      <c r="I2061" s="33" t="n">
        <f aca="false">IF(E2061="","",E2061-C2061)</f>
        <v>3.25</v>
      </c>
      <c r="J2061" s="33" t="n">
        <f aca="false">IF(F2061="","",F2061-C2061)</f>
        <v>3</v>
      </c>
      <c r="K2061" s="33" t="n">
        <f aca="false">IF(G2061="","",G2061-C2061)</f>
        <v>3.24733385190994</v>
      </c>
      <c r="L2061" s="33" t="n">
        <f aca="false">IF(H2061="","",ABS(H2061))</f>
        <v>3</v>
      </c>
      <c r="M2061" s="33" t="n">
        <f aca="false">IF(I2061="","",ABS(I2061))</f>
        <v>3.25</v>
      </c>
      <c r="N2061" s="33" t="n">
        <f aca="false">IF(J2061="","",ABS(J2061))</f>
        <v>3</v>
      </c>
      <c r="O2061" s="33" t="n">
        <f aca="false">IF(K2061="","",ABS(K2061))</f>
        <v>3.24733385190994</v>
      </c>
      <c r="P2061" s="34" t="str">
        <f aca="false">IF(B2061&gt;=Eval_Start_Week,"YES","")</f>
        <v>YES</v>
      </c>
      <c r="Q2061" s="34" t="str">
        <f aca="false">IF(AND(B2061&gt;=Cal_Start_Week,B2061&lt;=Cal_End_Week),"YES","")</f>
        <v>YES</v>
      </c>
    </row>
    <row r="2062" customFormat="false" ht="15" hidden="false" customHeight="false" outlineLevel="0" collapsed="false">
      <c r="A2062" s="31" t="str">
        <f aca="false">Demand_History!C2062</f>
        <v>BTH-010</v>
      </c>
      <c r="B2062" s="31" t="n">
        <f aca="false">Demand_History!A2062</f>
        <v>85</v>
      </c>
      <c r="C2062" s="32" t="n">
        <f aca="false">Demand_History!D2062</f>
        <v>73</v>
      </c>
      <c r="D2062" s="33" t="n">
        <f aca="false">IF(B2062&gt;=2,C2061,"")</f>
        <v>76</v>
      </c>
      <c r="E2062" s="33" t="n">
        <f aca="false">IF(B2062&gt;=5,AVERAGE(C2058:C2061),"")</f>
        <v>78.75</v>
      </c>
      <c r="F2062" s="33" t="n">
        <f aca="false">IF(B2062&gt;=9,AVERAGE(C2054:C2061),"")</f>
        <v>80.625</v>
      </c>
      <c r="G2062" s="33" t="n">
        <f aca="false">IF(B2062=1,"",IF(B2062=2,C2061,SES_Alpha*C2061+(1-SES_Alpha)*G2061))</f>
        <v>78.273133696337</v>
      </c>
      <c r="H2062" s="33" t="n">
        <f aca="false">IF(D2062="","",D2062-C2062)</f>
        <v>3</v>
      </c>
      <c r="I2062" s="33" t="n">
        <f aca="false">IF(E2062="","",E2062-C2062)</f>
        <v>5.75</v>
      </c>
      <c r="J2062" s="33" t="n">
        <f aca="false">IF(F2062="","",F2062-C2062)</f>
        <v>7.625</v>
      </c>
      <c r="K2062" s="33" t="n">
        <f aca="false">IF(G2062="","",G2062-C2062)</f>
        <v>5.27313369633696</v>
      </c>
      <c r="L2062" s="33" t="n">
        <f aca="false">IF(H2062="","",ABS(H2062))</f>
        <v>3</v>
      </c>
      <c r="M2062" s="33" t="n">
        <f aca="false">IF(I2062="","",ABS(I2062))</f>
        <v>5.75</v>
      </c>
      <c r="N2062" s="33" t="n">
        <f aca="false">IF(J2062="","",ABS(J2062))</f>
        <v>7.625</v>
      </c>
      <c r="O2062" s="33" t="n">
        <f aca="false">IF(K2062="","",ABS(K2062))</f>
        <v>5.27313369633696</v>
      </c>
      <c r="P2062" s="34" t="str">
        <f aca="false">IF(B2062&gt;=Eval_Start_Week,"YES","")</f>
        <v>YES</v>
      </c>
      <c r="Q2062" s="34" t="str">
        <f aca="false">IF(AND(B2062&gt;=Cal_Start_Week,B2062&lt;=Cal_End_Week),"YES","")</f>
        <v>YES</v>
      </c>
    </row>
    <row r="2063" customFormat="false" ht="15" hidden="false" customHeight="false" outlineLevel="0" collapsed="false">
      <c r="A2063" s="31" t="str">
        <f aca="false">Demand_History!C2063</f>
        <v>BTH-010</v>
      </c>
      <c r="B2063" s="31" t="n">
        <f aca="false">Demand_History!A2063</f>
        <v>86</v>
      </c>
      <c r="C2063" s="32" t="n">
        <f aca="false">Demand_History!D2063</f>
        <v>77</v>
      </c>
      <c r="D2063" s="33" t="n">
        <f aca="false">IF(B2063&gt;=2,C2062,"")</f>
        <v>73</v>
      </c>
      <c r="E2063" s="33" t="n">
        <f aca="false">IF(B2063&gt;=5,AVERAGE(C2059:C2062),"")</f>
        <v>79</v>
      </c>
      <c r="F2063" s="33" t="n">
        <f aca="false">IF(B2063&gt;=9,AVERAGE(C2055:C2062),"")</f>
        <v>78.75</v>
      </c>
      <c r="G2063" s="33" t="n">
        <f aca="false">IF(B2063=1,"",IF(B2063=2,C2062,SES_Alpha*C2062+(1-SES_Alpha)*G2062))</f>
        <v>76.6911935874359</v>
      </c>
      <c r="H2063" s="33" t="n">
        <f aca="false">IF(D2063="","",D2063-C2063)</f>
        <v>-4</v>
      </c>
      <c r="I2063" s="33" t="n">
        <f aca="false">IF(E2063="","",E2063-C2063)</f>
        <v>2</v>
      </c>
      <c r="J2063" s="33" t="n">
        <f aca="false">IF(F2063="","",F2063-C2063)</f>
        <v>1.75</v>
      </c>
      <c r="K2063" s="33" t="n">
        <f aca="false">IF(G2063="","",G2063-C2063)</f>
        <v>-0.308806412564138</v>
      </c>
      <c r="L2063" s="33" t="n">
        <f aca="false">IF(H2063="","",ABS(H2063))</f>
        <v>4</v>
      </c>
      <c r="M2063" s="33" t="n">
        <f aca="false">IF(I2063="","",ABS(I2063))</f>
        <v>2</v>
      </c>
      <c r="N2063" s="33" t="n">
        <f aca="false">IF(J2063="","",ABS(J2063))</f>
        <v>1.75</v>
      </c>
      <c r="O2063" s="33" t="n">
        <f aca="false">IF(K2063="","",ABS(K2063))</f>
        <v>0.308806412564138</v>
      </c>
      <c r="P2063" s="34" t="str">
        <f aca="false">IF(B2063&gt;=Eval_Start_Week,"YES","")</f>
        <v>YES</v>
      </c>
      <c r="Q2063" s="34" t="str">
        <f aca="false">IF(AND(B2063&gt;=Cal_Start_Week,B2063&lt;=Cal_End_Week),"YES","")</f>
        <v>YES</v>
      </c>
    </row>
    <row r="2064" customFormat="false" ht="15" hidden="false" customHeight="false" outlineLevel="0" collapsed="false">
      <c r="A2064" s="31" t="str">
        <f aca="false">Demand_History!C2064</f>
        <v>BTH-010</v>
      </c>
      <c r="B2064" s="31" t="n">
        <f aca="false">Demand_History!A2064</f>
        <v>87</v>
      </c>
      <c r="C2064" s="32" t="n">
        <f aca="false">Demand_History!D2064</f>
        <v>66</v>
      </c>
      <c r="D2064" s="33" t="n">
        <f aca="false">IF(B2064&gt;=2,C2063,"")</f>
        <v>77</v>
      </c>
      <c r="E2064" s="33" t="n">
        <f aca="false">IF(B2064&gt;=5,AVERAGE(C2060:C2063),"")</f>
        <v>76.25</v>
      </c>
      <c r="F2064" s="33" t="n">
        <f aca="false">IF(B2064&gt;=9,AVERAGE(C2056:C2063),"")</f>
        <v>76.5</v>
      </c>
      <c r="G2064" s="33" t="n">
        <f aca="false">IF(B2064=1,"",IF(B2064=2,C2063,SES_Alpha*C2063+(1-SES_Alpha)*G2063))</f>
        <v>76.7838355112051</v>
      </c>
      <c r="H2064" s="33" t="n">
        <f aca="false">IF(D2064="","",D2064-C2064)</f>
        <v>11</v>
      </c>
      <c r="I2064" s="33" t="n">
        <f aca="false">IF(E2064="","",E2064-C2064)</f>
        <v>10.25</v>
      </c>
      <c r="J2064" s="33" t="n">
        <f aca="false">IF(F2064="","",F2064-C2064)</f>
        <v>10.5</v>
      </c>
      <c r="K2064" s="33" t="n">
        <f aca="false">IF(G2064="","",G2064-C2064)</f>
        <v>10.7838355112051</v>
      </c>
      <c r="L2064" s="33" t="n">
        <f aca="false">IF(H2064="","",ABS(H2064))</f>
        <v>11</v>
      </c>
      <c r="M2064" s="33" t="n">
        <f aca="false">IF(I2064="","",ABS(I2064))</f>
        <v>10.25</v>
      </c>
      <c r="N2064" s="33" t="n">
        <f aca="false">IF(J2064="","",ABS(J2064))</f>
        <v>10.5</v>
      </c>
      <c r="O2064" s="33" t="n">
        <f aca="false">IF(K2064="","",ABS(K2064))</f>
        <v>10.7838355112051</v>
      </c>
      <c r="P2064" s="34" t="str">
        <f aca="false">IF(B2064&gt;=Eval_Start_Week,"YES","")</f>
        <v>YES</v>
      </c>
      <c r="Q2064" s="34" t="str">
        <f aca="false">IF(AND(B2064&gt;=Cal_Start_Week,B2064&lt;=Cal_End_Week),"YES","")</f>
        <v>YES</v>
      </c>
    </row>
    <row r="2065" customFormat="false" ht="15" hidden="false" customHeight="false" outlineLevel="0" collapsed="false">
      <c r="A2065" s="31" t="str">
        <f aca="false">Demand_History!C2065</f>
        <v>BTH-010</v>
      </c>
      <c r="B2065" s="31" t="n">
        <f aca="false">Demand_History!A2065</f>
        <v>88</v>
      </c>
      <c r="C2065" s="32" t="n">
        <f aca="false">Demand_History!D2065</f>
        <v>84</v>
      </c>
      <c r="D2065" s="33" t="n">
        <f aca="false">IF(B2065&gt;=2,C2064,"")</f>
        <v>66</v>
      </c>
      <c r="E2065" s="33" t="n">
        <f aca="false">IF(B2065&gt;=5,AVERAGE(C2061:C2064),"")</f>
        <v>73</v>
      </c>
      <c r="F2065" s="33" t="n">
        <f aca="false">IF(B2065&gt;=9,AVERAGE(C2057:C2064),"")</f>
        <v>76.125</v>
      </c>
      <c r="G2065" s="33" t="n">
        <f aca="false">IF(B2065=1,"",IF(B2065=2,C2064,SES_Alpha*C2064+(1-SES_Alpha)*G2064))</f>
        <v>73.5486848578436</v>
      </c>
      <c r="H2065" s="33" t="n">
        <f aca="false">IF(D2065="","",D2065-C2065)</f>
        <v>-18</v>
      </c>
      <c r="I2065" s="33" t="n">
        <f aca="false">IF(E2065="","",E2065-C2065)</f>
        <v>-11</v>
      </c>
      <c r="J2065" s="33" t="n">
        <f aca="false">IF(F2065="","",F2065-C2065)</f>
        <v>-7.875</v>
      </c>
      <c r="K2065" s="33" t="n">
        <f aca="false">IF(G2065="","",G2065-C2065)</f>
        <v>-10.4513151421564</v>
      </c>
      <c r="L2065" s="33" t="n">
        <f aca="false">IF(H2065="","",ABS(H2065))</f>
        <v>18</v>
      </c>
      <c r="M2065" s="33" t="n">
        <f aca="false">IF(I2065="","",ABS(I2065))</f>
        <v>11</v>
      </c>
      <c r="N2065" s="33" t="n">
        <f aca="false">IF(J2065="","",ABS(J2065))</f>
        <v>7.875</v>
      </c>
      <c r="O2065" s="33" t="n">
        <f aca="false">IF(K2065="","",ABS(K2065))</f>
        <v>10.4513151421564</v>
      </c>
      <c r="P2065" s="34" t="str">
        <f aca="false">IF(B2065&gt;=Eval_Start_Week,"YES","")</f>
        <v>YES</v>
      </c>
      <c r="Q2065" s="34" t="str">
        <f aca="false">IF(AND(B2065&gt;=Cal_Start_Week,B2065&lt;=Cal_End_Week),"YES","")</f>
        <v>YES</v>
      </c>
    </row>
    <row r="2066" customFormat="false" ht="15" hidden="false" customHeight="false" outlineLevel="0" collapsed="false">
      <c r="A2066" s="31" t="str">
        <f aca="false">Demand_History!C2066</f>
        <v>BTH-010</v>
      </c>
      <c r="B2066" s="31" t="n">
        <f aca="false">Demand_History!A2066</f>
        <v>89</v>
      </c>
      <c r="C2066" s="32" t="n">
        <f aca="false">Demand_History!D2066</f>
        <v>70</v>
      </c>
      <c r="D2066" s="33" t="n">
        <f aca="false">IF(B2066&gt;=2,C2065,"")</f>
        <v>84</v>
      </c>
      <c r="E2066" s="33" t="n">
        <f aca="false">IF(B2066&gt;=5,AVERAGE(C2062:C2065),"")</f>
        <v>75</v>
      </c>
      <c r="F2066" s="33" t="n">
        <f aca="false">IF(B2066&gt;=9,AVERAGE(C2058:C2065),"")</f>
        <v>76.875</v>
      </c>
      <c r="G2066" s="33" t="n">
        <f aca="false">IF(B2066=1,"",IF(B2066=2,C2065,SES_Alpha*C2065+(1-SES_Alpha)*G2065))</f>
        <v>76.6840794004905</v>
      </c>
      <c r="H2066" s="33" t="n">
        <f aca="false">IF(D2066="","",D2066-C2066)</f>
        <v>14</v>
      </c>
      <c r="I2066" s="33" t="n">
        <f aca="false">IF(E2066="","",E2066-C2066)</f>
        <v>5</v>
      </c>
      <c r="J2066" s="33" t="n">
        <f aca="false">IF(F2066="","",F2066-C2066)</f>
        <v>6.875</v>
      </c>
      <c r="K2066" s="33" t="n">
        <f aca="false">IF(G2066="","",G2066-C2066)</f>
        <v>6.68407940049049</v>
      </c>
      <c r="L2066" s="33" t="n">
        <f aca="false">IF(H2066="","",ABS(H2066))</f>
        <v>14</v>
      </c>
      <c r="M2066" s="33" t="n">
        <f aca="false">IF(I2066="","",ABS(I2066))</f>
        <v>5</v>
      </c>
      <c r="N2066" s="33" t="n">
        <f aca="false">IF(J2066="","",ABS(J2066))</f>
        <v>6.875</v>
      </c>
      <c r="O2066" s="33" t="n">
        <f aca="false">IF(K2066="","",ABS(K2066))</f>
        <v>6.68407940049049</v>
      </c>
      <c r="P2066" s="34" t="str">
        <f aca="false">IF(B2066&gt;=Eval_Start_Week,"YES","")</f>
        <v>YES</v>
      </c>
      <c r="Q2066" s="34" t="str">
        <f aca="false">IF(AND(B2066&gt;=Cal_Start_Week,B2066&lt;=Cal_End_Week),"YES","")</f>
        <v/>
      </c>
    </row>
    <row r="2067" customFormat="false" ht="15" hidden="false" customHeight="false" outlineLevel="0" collapsed="false">
      <c r="A2067" s="31" t="str">
        <f aca="false">Demand_History!C2067</f>
        <v>BTH-010</v>
      </c>
      <c r="B2067" s="31" t="n">
        <f aca="false">Demand_History!A2067</f>
        <v>90</v>
      </c>
      <c r="C2067" s="32" t="n">
        <f aca="false">Demand_History!D2067</f>
        <v>84</v>
      </c>
      <c r="D2067" s="33" t="n">
        <f aca="false">IF(B2067&gt;=2,C2066,"")</f>
        <v>70</v>
      </c>
      <c r="E2067" s="33" t="n">
        <f aca="false">IF(B2067&gt;=5,AVERAGE(C2063:C2066),"")</f>
        <v>74.25</v>
      </c>
      <c r="F2067" s="33" t="n">
        <f aca="false">IF(B2067&gt;=9,AVERAGE(C2059:C2066),"")</f>
        <v>76.625</v>
      </c>
      <c r="G2067" s="33" t="n">
        <f aca="false">IF(B2067=1,"",IF(B2067=2,C2066,SES_Alpha*C2066+(1-SES_Alpha)*G2066))</f>
        <v>74.6788555803433</v>
      </c>
      <c r="H2067" s="33" t="n">
        <f aca="false">IF(D2067="","",D2067-C2067)</f>
        <v>-14</v>
      </c>
      <c r="I2067" s="33" t="n">
        <f aca="false">IF(E2067="","",E2067-C2067)</f>
        <v>-9.75</v>
      </c>
      <c r="J2067" s="33" t="n">
        <f aca="false">IF(F2067="","",F2067-C2067)</f>
        <v>-7.375</v>
      </c>
      <c r="K2067" s="33" t="n">
        <f aca="false">IF(G2067="","",G2067-C2067)</f>
        <v>-9.32114441965666</v>
      </c>
      <c r="L2067" s="33" t="n">
        <f aca="false">IF(H2067="","",ABS(H2067))</f>
        <v>14</v>
      </c>
      <c r="M2067" s="33" t="n">
        <f aca="false">IF(I2067="","",ABS(I2067))</f>
        <v>9.75</v>
      </c>
      <c r="N2067" s="33" t="n">
        <f aca="false">IF(J2067="","",ABS(J2067))</f>
        <v>7.375</v>
      </c>
      <c r="O2067" s="33" t="n">
        <f aca="false">IF(K2067="","",ABS(K2067))</f>
        <v>9.32114441965666</v>
      </c>
      <c r="P2067" s="34" t="str">
        <f aca="false">IF(B2067&gt;=Eval_Start_Week,"YES","")</f>
        <v>YES</v>
      </c>
      <c r="Q2067" s="34" t="str">
        <f aca="false">IF(AND(B2067&gt;=Cal_Start_Week,B2067&lt;=Cal_End_Week),"YES","")</f>
        <v/>
      </c>
    </row>
    <row r="2068" customFormat="false" ht="15" hidden="false" customHeight="false" outlineLevel="0" collapsed="false">
      <c r="A2068" s="31" t="str">
        <f aca="false">Demand_History!C2068</f>
        <v>BTH-010</v>
      </c>
      <c r="B2068" s="31" t="n">
        <f aca="false">Demand_History!A2068</f>
        <v>91</v>
      </c>
      <c r="C2068" s="32" t="n">
        <f aca="false">Demand_History!D2068</f>
        <v>80</v>
      </c>
      <c r="D2068" s="33" t="n">
        <f aca="false">IF(B2068&gt;=2,C2067,"")</f>
        <v>84</v>
      </c>
      <c r="E2068" s="33" t="n">
        <f aca="false">IF(B2068&gt;=5,AVERAGE(C2064:C2067),"")</f>
        <v>76</v>
      </c>
      <c r="F2068" s="33" t="n">
        <f aca="false">IF(B2068&gt;=9,AVERAGE(C2060:C2067),"")</f>
        <v>76.125</v>
      </c>
      <c r="G2068" s="33" t="n">
        <f aca="false">IF(B2068=1,"",IF(B2068=2,C2067,SES_Alpha*C2067+(1-SES_Alpha)*G2067))</f>
        <v>77.4751989062403</v>
      </c>
      <c r="H2068" s="33" t="n">
        <f aca="false">IF(D2068="","",D2068-C2068)</f>
        <v>4</v>
      </c>
      <c r="I2068" s="33" t="n">
        <f aca="false">IF(E2068="","",E2068-C2068)</f>
        <v>-4</v>
      </c>
      <c r="J2068" s="33" t="n">
        <f aca="false">IF(F2068="","",F2068-C2068)</f>
        <v>-3.875</v>
      </c>
      <c r="K2068" s="33" t="n">
        <f aca="false">IF(G2068="","",G2068-C2068)</f>
        <v>-2.52480109375966</v>
      </c>
      <c r="L2068" s="33" t="n">
        <f aca="false">IF(H2068="","",ABS(H2068))</f>
        <v>4</v>
      </c>
      <c r="M2068" s="33" t="n">
        <f aca="false">IF(I2068="","",ABS(I2068))</f>
        <v>4</v>
      </c>
      <c r="N2068" s="33" t="n">
        <f aca="false">IF(J2068="","",ABS(J2068))</f>
        <v>3.875</v>
      </c>
      <c r="O2068" s="33" t="n">
        <f aca="false">IF(K2068="","",ABS(K2068))</f>
        <v>2.52480109375966</v>
      </c>
      <c r="P2068" s="34" t="str">
        <f aca="false">IF(B2068&gt;=Eval_Start_Week,"YES","")</f>
        <v>YES</v>
      </c>
      <c r="Q2068" s="34" t="str">
        <f aca="false">IF(AND(B2068&gt;=Cal_Start_Week,B2068&lt;=Cal_End_Week),"YES","")</f>
        <v/>
      </c>
    </row>
    <row r="2069" customFormat="false" ht="15" hidden="false" customHeight="false" outlineLevel="0" collapsed="false">
      <c r="A2069" s="31" t="str">
        <f aca="false">Demand_History!C2069</f>
        <v>BTH-010</v>
      </c>
      <c r="B2069" s="31" t="n">
        <f aca="false">Demand_History!A2069</f>
        <v>92</v>
      </c>
      <c r="C2069" s="32" t="n">
        <f aca="false">Demand_History!D2069</f>
        <v>91</v>
      </c>
      <c r="D2069" s="33" t="n">
        <f aca="false">IF(B2069&gt;=2,C2068,"")</f>
        <v>80</v>
      </c>
      <c r="E2069" s="33" t="n">
        <f aca="false">IF(B2069&gt;=5,AVERAGE(C2065:C2068),"")</f>
        <v>79.5</v>
      </c>
      <c r="F2069" s="33" t="n">
        <f aca="false">IF(B2069&gt;=9,AVERAGE(C2061:C2068),"")</f>
        <v>76.25</v>
      </c>
      <c r="G2069" s="33" t="n">
        <f aca="false">IF(B2069=1,"",IF(B2069=2,C2068,SES_Alpha*C2068+(1-SES_Alpha)*G2068))</f>
        <v>78.2326392343682</v>
      </c>
      <c r="H2069" s="33" t="n">
        <f aca="false">IF(D2069="","",D2069-C2069)</f>
        <v>-11</v>
      </c>
      <c r="I2069" s="33" t="n">
        <f aca="false">IF(E2069="","",E2069-C2069)</f>
        <v>-11.5</v>
      </c>
      <c r="J2069" s="33" t="n">
        <f aca="false">IF(F2069="","",F2069-C2069)</f>
        <v>-14.75</v>
      </c>
      <c r="K2069" s="33" t="n">
        <f aca="false">IF(G2069="","",G2069-C2069)</f>
        <v>-12.7673607656318</v>
      </c>
      <c r="L2069" s="33" t="n">
        <f aca="false">IF(H2069="","",ABS(H2069))</f>
        <v>11</v>
      </c>
      <c r="M2069" s="33" t="n">
        <f aca="false">IF(I2069="","",ABS(I2069))</f>
        <v>11.5</v>
      </c>
      <c r="N2069" s="33" t="n">
        <f aca="false">IF(J2069="","",ABS(J2069))</f>
        <v>14.75</v>
      </c>
      <c r="O2069" s="33" t="n">
        <f aca="false">IF(K2069="","",ABS(K2069))</f>
        <v>12.7673607656318</v>
      </c>
      <c r="P2069" s="34" t="str">
        <f aca="false">IF(B2069&gt;=Eval_Start_Week,"YES","")</f>
        <v>YES</v>
      </c>
      <c r="Q2069" s="34" t="str">
        <f aca="false">IF(AND(B2069&gt;=Cal_Start_Week,B2069&lt;=Cal_End_Week),"YES","")</f>
        <v/>
      </c>
    </row>
    <row r="2070" customFormat="false" ht="15" hidden="false" customHeight="false" outlineLevel="0" collapsed="false">
      <c r="A2070" s="31" t="str">
        <f aca="false">Demand_History!C2070</f>
        <v>BTH-010</v>
      </c>
      <c r="B2070" s="31" t="n">
        <f aca="false">Demand_History!A2070</f>
        <v>93</v>
      </c>
      <c r="C2070" s="32" t="n">
        <f aca="false">Demand_History!D2070</f>
        <v>79</v>
      </c>
      <c r="D2070" s="33" t="n">
        <f aca="false">IF(B2070&gt;=2,C2069,"")</f>
        <v>91</v>
      </c>
      <c r="E2070" s="33" t="n">
        <f aca="false">IF(B2070&gt;=5,AVERAGE(C2066:C2069),"")</f>
        <v>81.25</v>
      </c>
      <c r="F2070" s="33" t="n">
        <f aca="false">IF(B2070&gt;=9,AVERAGE(C2062:C2069),"")</f>
        <v>78.125</v>
      </c>
      <c r="G2070" s="33" t="n">
        <f aca="false">IF(B2070=1,"",IF(B2070=2,C2069,SES_Alpha*C2069+(1-SES_Alpha)*G2069))</f>
        <v>82.0628474640578</v>
      </c>
      <c r="H2070" s="33" t="n">
        <f aca="false">IF(D2070="","",D2070-C2070)</f>
        <v>12</v>
      </c>
      <c r="I2070" s="33" t="n">
        <f aca="false">IF(E2070="","",E2070-C2070)</f>
        <v>2.25</v>
      </c>
      <c r="J2070" s="33" t="n">
        <f aca="false">IF(F2070="","",F2070-C2070)</f>
        <v>-0.875</v>
      </c>
      <c r="K2070" s="33" t="n">
        <f aca="false">IF(G2070="","",G2070-C2070)</f>
        <v>3.06284746405777</v>
      </c>
      <c r="L2070" s="33" t="n">
        <f aca="false">IF(H2070="","",ABS(H2070))</f>
        <v>12</v>
      </c>
      <c r="M2070" s="33" t="n">
        <f aca="false">IF(I2070="","",ABS(I2070))</f>
        <v>2.25</v>
      </c>
      <c r="N2070" s="33" t="n">
        <f aca="false">IF(J2070="","",ABS(J2070))</f>
        <v>0.875</v>
      </c>
      <c r="O2070" s="33" t="n">
        <f aca="false">IF(K2070="","",ABS(K2070))</f>
        <v>3.06284746405777</v>
      </c>
      <c r="P2070" s="34" t="str">
        <f aca="false">IF(B2070&gt;=Eval_Start_Week,"YES","")</f>
        <v>YES</v>
      </c>
      <c r="Q2070" s="34" t="str">
        <f aca="false">IF(AND(B2070&gt;=Cal_Start_Week,B2070&lt;=Cal_End_Week),"YES","")</f>
        <v/>
      </c>
    </row>
    <row r="2071" customFormat="false" ht="15" hidden="false" customHeight="false" outlineLevel="0" collapsed="false">
      <c r="A2071" s="31" t="str">
        <f aca="false">Demand_History!C2071</f>
        <v>BTH-010</v>
      </c>
      <c r="B2071" s="31" t="n">
        <f aca="false">Demand_History!A2071</f>
        <v>94</v>
      </c>
      <c r="C2071" s="32" t="n">
        <f aca="false">Demand_History!D2071</f>
        <v>91</v>
      </c>
      <c r="D2071" s="33" t="n">
        <f aca="false">IF(B2071&gt;=2,C2070,"")</f>
        <v>79</v>
      </c>
      <c r="E2071" s="33" t="n">
        <f aca="false">IF(B2071&gt;=5,AVERAGE(C2067:C2070),"")</f>
        <v>83.5</v>
      </c>
      <c r="F2071" s="33" t="n">
        <f aca="false">IF(B2071&gt;=9,AVERAGE(C2063:C2070),"")</f>
        <v>78.875</v>
      </c>
      <c r="G2071" s="33" t="n">
        <f aca="false">IF(B2071=1,"",IF(B2071=2,C2070,SES_Alpha*C2070+(1-SES_Alpha)*G2070))</f>
        <v>81.1439932248404</v>
      </c>
      <c r="H2071" s="33" t="n">
        <f aca="false">IF(D2071="","",D2071-C2071)</f>
        <v>-12</v>
      </c>
      <c r="I2071" s="33" t="n">
        <f aca="false">IF(E2071="","",E2071-C2071)</f>
        <v>-7.5</v>
      </c>
      <c r="J2071" s="33" t="n">
        <f aca="false">IF(F2071="","",F2071-C2071)</f>
        <v>-12.125</v>
      </c>
      <c r="K2071" s="33" t="n">
        <f aca="false">IF(G2071="","",G2071-C2071)</f>
        <v>-9.85600677515957</v>
      </c>
      <c r="L2071" s="33" t="n">
        <f aca="false">IF(H2071="","",ABS(H2071))</f>
        <v>12</v>
      </c>
      <c r="M2071" s="33" t="n">
        <f aca="false">IF(I2071="","",ABS(I2071))</f>
        <v>7.5</v>
      </c>
      <c r="N2071" s="33" t="n">
        <f aca="false">IF(J2071="","",ABS(J2071))</f>
        <v>12.125</v>
      </c>
      <c r="O2071" s="33" t="n">
        <f aca="false">IF(K2071="","",ABS(K2071))</f>
        <v>9.85600677515957</v>
      </c>
      <c r="P2071" s="34" t="str">
        <f aca="false">IF(B2071&gt;=Eval_Start_Week,"YES","")</f>
        <v>YES</v>
      </c>
      <c r="Q2071" s="34" t="str">
        <f aca="false">IF(AND(B2071&gt;=Cal_Start_Week,B2071&lt;=Cal_End_Week),"YES","")</f>
        <v/>
      </c>
    </row>
    <row r="2072" customFormat="false" ht="15" hidden="false" customHeight="false" outlineLevel="0" collapsed="false">
      <c r="A2072" s="31" t="str">
        <f aca="false">Demand_History!C2072</f>
        <v>BTH-010</v>
      </c>
      <c r="B2072" s="31" t="n">
        <f aca="false">Demand_History!A2072</f>
        <v>95</v>
      </c>
      <c r="C2072" s="32" t="n">
        <f aca="false">Demand_History!D2072</f>
        <v>70</v>
      </c>
      <c r="D2072" s="33" t="n">
        <f aca="false">IF(B2072&gt;=2,C2071,"")</f>
        <v>91</v>
      </c>
      <c r="E2072" s="33" t="n">
        <f aca="false">IF(B2072&gt;=5,AVERAGE(C2068:C2071),"")</f>
        <v>85.25</v>
      </c>
      <c r="F2072" s="33" t="n">
        <f aca="false">IF(B2072&gt;=9,AVERAGE(C2064:C2071),"")</f>
        <v>80.625</v>
      </c>
      <c r="G2072" s="33" t="n">
        <f aca="false">IF(B2072=1,"",IF(B2072=2,C2071,SES_Alpha*C2071+(1-SES_Alpha)*G2071))</f>
        <v>84.1007952573883</v>
      </c>
      <c r="H2072" s="33" t="n">
        <f aca="false">IF(D2072="","",D2072-C2072)</f>
        <v>21</v>
      </c>
      <c r="I2072" s="33" t="n">
        <f aca="false">IF(E2072="","",E2072-C2072)</f>
        <v>15.25</v>
      </c>
      <c r="J2072" s="33" t="n">
        <f aca="false">IF(F2072="","",F2072-C2072)</f>
        <v>10.625</v>
      </c>
      <c r="K2072" s="33" t="n">
        <f aca="false">IF(G2072="","",G2072-C2072)</f>
        <v>14.1007952573883</v>
      </c>
      <c r="L2072" s="33" t="n">
        <f aca="false">IF(H2072="","",ABS(H2072))</f>
        <v>21</v>
      </c>
      <c r="M2072" s="33" t="n">
        <f aca="false">IF(I2072="","",ABS(I2072))</f>
        <v>15.25</v>
      </c>
      <c r="N2072" s="33" t="n">
        <f aca="false">IF(J2072="","",ABS(J2072))</f>
        <v>10.625</v>
      </c>
      <c r="O2072" s="33" t="n">
        <f aca="false">IF(K2072="","",ABS(K2072))</f>
        <v>14.1007952573883</v>
      </c>
      <c r="P2072" s="34" t="str">
        <f aca="false">IF(B2072&gt;=Eval_Start_Week,"YES","")</f>
        <v>YES</v>
      </c>
      <c r="Q2072" s="34" t="str">
        <f aca="false">IF(AND(B2072&gt;=Cal_Start_Week,B2072&lt;=Cal_End_Week),"YES","")</f>
        <v/>
      </c>
    </row>
    <row r="2073" customFormat="false" ht="15" hidden="false" customHeight="false" outlineLevel="0" collapsed="false">
      <c r="A2073" s="31" t="str">
        <f aca="false">Demand_History!C2073</f>
        <v>BTH-010</v>
      </c>
      <c r="B2073" s="31" t="n">
        <f aca="false">Demand_History!A2073</f>
        <v>96</v>
      </c>
      <c r="C2073" s="32" t="n">
        <f aca="false">Demand_History!D2073</f>
        <v>87</v>
      </c>
      <c r="D2073" s="33" t="n">
        <f aca="false">IF(B2073&gt;=2,C2072,"")</f>
        <v>70</v>
      </c>
      <c r="E2073" s="33" t="n">
        <f aca="false">IF(B2073&gt;=5,AVERAGE(C2069:C2072),"")</f>
        <v>82.75</v>
      </c>
      <c r="F2073" s="33" t="n">
        <f aca="false">IF(B2073&gt;=9,AVERAGE(C2065:C2072),"")</f>
        <v>81.125</v>
      </c>
      <c r="G2073" s="33" t="n">
        <f aca="false">IF(B2073=1,"",IF(B2073=2,C2072,SES_Alpha*C2072+(1-SES_Alpha)*G2072))</f>
        <v>79.8705566801718</v>
      </c>
      <c r="H2073" s="33" t="n">
        <f aca="false">IF(D2073="","",D2073-C2073)</f>
        <v>-17</v>
      </c>
      <c r="I2073" s="33" t="n">
        <f aca="false">IF(E2073="","",E2073-C2073)</f>
        <v>-4.25</v>
      </c>
      <c r="J2073" s="33" t="n">
        <f aca="false">IF(F2073="","",F2073-C2073)</f>
        <v>-5.875</v>
      </c>
      <c r="K2073" s="33" t="n">
        <f aca="false">IF(G2073="","",G2073-C2073)</f>
        <v>-7.1294433198282</v>
      </c>
      <c r="L2073" s="33" t="n">
        <f aca="false">IF(H2073="","",ABS(H2073))</f>
        <v>17</v>
      </c>
      <c r="M2073" s="33" t="n">
        <f aca="false">IF(I2073="","",ABS(I2073))</f>
        <v>4.25</v>
      </c>
      <c r="N2073" s="33" t="n">
        <f aca="false">IF(J2073="","",ABS(J2073))</f>
        <v>5.875</v>
      </c>
      <c r="O2073" s="33" t="n">
        <f aca="false">IF(K2073="","",ABS(K2073))</f>
        <v>7.1294433198282</v>
      </c>
      <c r="P2073" s="34" t="str">
        <f aca="false">IF(B2073&gt;=Eval_Start_Week,"YES","")</f>
        <v>YES</v>
      </c>
      <c r="Q2073" s="34" t="str">
        <f aca="false">IF(AND(B2073&gt;=Cal_Start_Week,B2073&lt;=Cal_End_Week),"YES","")</f>
        <v/>
      </c>
    </row>
    <row r="2074" customFormat="false" ht="15" hidden="false" customHeight="false" outlineLevel="0" collapsed="false">
      <c r="A2074" s="31" t="str">
        <f aca="false">Demand_History!C2074</f>
        <v>BTH-010</v>
      </c>
      <c r="B2074" s="31" t="n">
        <f aca="false">Demand_History!A2074</f>
        <v>97</v>
      </c>
      <c r="C2074" s="32" t="n">
        <f aca="false">Demand_History!D2074</f>
        <v>78</v>
      </c>
      <c r="D2074" s="33" t="n">
        <f aca="false">IF(B2074&gt;=2,C2073,"")</f>
        <v>87</v>
      </c>
      <c r="E2074" s="33" t="n">
        <f aca="false">IF(B2074&gt;=5,AVERAGE(C2070:C2073),"")</f>
        <v>81.75</v>
      </c>
      <c r="F2074" s="33" t="n">
        <f aca="false">IF(B2074&gt;=9,AVERAGE(C2066:C2073),"")</f>
        <v>81.5</v>
      </c>
      <c r="G2074" s="33" t="n">
        <f aca="false">IF(B2074=1,"",IF(B2074=2,C2073,SES_Alpha*C2073+(1-SES_Alpha)*G2073))</f>
        <v>82.0093896761203</v>
      </c>
      <c r="H2074" s="33" t="n">
        <f aca="false">IF(D2074="","",D2074-C2074)</f>
        <v>9</v>
      </c>
      <c r="I2074" s="33" t="n">
        <f aca="false">IF(E2074="","",E2074-C2074)</f>
        <v>3.75</v>
      </c>
      <c r="J2074" s="33" t="n">
        <f aca="false">IF(F2074="","",F2074-C2074)</f>
        <v>3.5</v>
      </c>
      <c r="K2074" s="33" t="n">
        <f aca="false">IF(G2074="","",G2074-C2074)</f>
        <v>4.00938967612025</v>
      </c>
      <c r="L2074" s="33" t="n">
        <f aca="false">IF(H2074="","",ABS(H2074))</f>
        <v>9</v>
      </c>
      <c r="M2074" s="33" t="n">
        <f aca="false">IF(I2074="","",ABS(I2074))</f>
        <v>3.75</v>
      </c>
      <c r="N2074" s="33" t="n">
        <f aca="false">IF(J2074="","",ABS(J2074))</f>
        <v>3.5</v>
      </c>
      <c r="O2074" s="33" t="n">
        <f aca="false">IF(K2074="","",ABS(K2074))</f>
        <v>4.00938967612025</v>
      </c>
      <c r="P2074" s="34" t="str">
        <f aca="false">IF(B2074&gt;=Eval_Start_Week,"YES","")</f>
        <v>YES</v>
      </c>
      <c r="Q2074" s="34" t="str">
        <f aca="false">IF(AND(B2074&gt;=Cal_Start_Week,B2074&lt;=Cal_End_Week),"YES","")</f>
        <v/>
      </c>
    </row>
    <row r="2075" customFormat="false" ht="15" hidden="false" customHeight="false" outlineLevel="0" collapsed="false">
      <c r="A2075" s="31" t="str">
        <f aca="false">Demand_History!C2075</f>
        <v>BTH-010</v>
      </c>
      <c r="B2075" s="31" t="n">
        <f aca="false">Demand_History!A2075</f>
        <v>98</v>
      </c>
      <c r="C2075" s="32" t="n">
        <f aca="false">Demand_History!D2075</f>
        <v>84</v>
      </c>
      <c r="D2075" s="33" t="n">
        <f aca="false">IF(B2075&gt;=2,C2074,"")</f>
        <v>78</v>
      </c>
      <c r="E2075" s="33" t="n">
        <f aca="false">IF(B2075&gt;=5,AVERAGE(C2071:C2074),"")</f>
        <v>81.5</v>
      </c>
      <c r="F2075" s="33" t="n">
        <f aca="false">IF(B2075&gt;=9,AVERAGE(C2067:C2074),"")</f>
        <v>82.5</v>
      </c>
      <c r="G2075" s="33" t="n">
        <f aca="false">IF(B2075=1,"",IF(B2075=2,C2074,SES_Alpha*C2074+(1-SES_Alpha)*G2074))</f>
        <v>80.8065727732842</v>
      </c>
      <c r="H2075" s="33" t="n">
        <f aca="false">IF(D2075="","",D2075-C2075)</f>
        <v>-6</v>
      </c>
      <c r="I2075" s="33" t="n">
        <f aca="false">IF(E2075="","",E2075-C2075)</f>
        <v>-2.5</v>
      </c>
      <c r="J2075" s="33" t="n">
        <f aca="false">IF(F2075="","",F2075-C2075)</f>
        <v>-1.5</v>
      </c>
      <c r="K2075" s="33" t="n">
        <f aca="false">IF(G2075="","",G2075-C2075)</f>
        <v>-3.19342722671584</v>
      </c>
      <c r="L2075" s="33" t="n">
        <f aca="false">IF(H2075="","",ABS(H2075))</f>
        <v>6</v>
      </c>
      <c r="M2075" s="33" t="n">
        <f aca="false">IF(I2075="","",ABS(I2075))</f>
        <v>2.5</v>
      </c>
      <c r="N2075" s="33" t="n">
        <f aca="false">IF(J2075="","",ABS(J2075))</f>
        <v>1.5</v>
      </c>
      <c r="O2075" s="33" t="n">
        <f aca="false">IF(K2075="","",ABS(K2075))</f>
        <v>3.19342722671584</v>
      </c>
      <c r="P2075" s="34" t="str">
        <f aca="false">IF(B2075&gt;=Eval_Start_Week,"YES","")</f>
        <v>YES</v>
      </c>
      <c r="Q2075" s="34" t="str">
        <f aca="false">IF(AND(B2075&gt;=Cal_Start_Week,B2075&lt;=Cal_End_Week),"YES","")</f>
        <v/>
      </c>
    </row>
    <row r="2076" customFormat="false" ht="15" hidden="false" customHeight="false" outlineLevel="0" collapsed="false">
      <c r="A2076" s="31" t="str">
        <f aca="false">Demand_History!C2076</f>
        <v>BTH-010</v>
      </c>
      <c r="B2076" s="31" t="n">
        <f aca="false">Demand_History!A2076</f>
        <v>99</v>
      </c>
      <c r="C2076" s="32" t="n">
        <f aca="false">Demand_History!D2076</f>
        <v>83</v>
      </c>
      <c r="D2076" s="33" t="n">
        <f aca="false">IF(B2076&gt;=2,C2075,"")</f>
        <v>84</v>
      </c>
      <c r="E2076" s="33" t="n">
        <f aca="false">IF(B2076&gt;=5,AVERAGE(C2072:C2075),"")</f>
        <v>79.75</v>
      </c>
      <c r="F2076" s="33" t="n">
        <f aca="false">IF(B2076&gt;=9,AVERAGE(C2068:C2075),"")</f>
        <v>82.5</v>
      </c>
      <c r="G2076" s="33" t="n">
        <f aca="false">IF(B2076=1,"",IF(B2076=2,C2075,SES_Alpha*C2075+(1-SES_Alpha)*G2075))</f>
        <v>81.7646009412989</v>
      </c>
      <c r="H2076" s="33" t="n">
        <f aca="false">IF(D2076="","",D2076-C2076)</f>
        <v>1</v>
      </c>
      <c r="I2076" s="33" t="n">
        <f aca="false">IF(E2076="","",E2076-C2076)</f>
        <v>-3.25</v>
      </c>
      <c r="J2076" s="33" t="n">
        <f aca="false">IF(F2076="","",F2076-C2076)</f>
        <v>-0.5</v>
      </c>
      <c r="K2076" s="33" t="n">
        <f aca="false">IF(G2076="","",G2076-C2076)</f>
        <v>-1.23539905870109</v>
      </c>
      <c r="L2076" s="33" t="n">
        <f aca="false">IF(H2076="","",ABS(H2076))</f>
        <v>1</v>
      </c>
      <c r="M2076" s="33" t="n">
        <f aca="false">IF(I2076="","",ABS(I2076))</f>
        <v>3.25</v>
      </c>
      <c r="N2076" s="33" t="n">
        <f aca="false">IF(J2076="","",ABS(J2076))</f>
        <v>0.5</v>
      </c>
      <c r="O2076" s="33" t="n">
        <f aca="false">IF(K2076="","",ABS(K2076))</f>
        <v>1.23539905870109</v>
      </c>
      <c r="P2076" s="34" t="str">
        <f aca="false">IF(B2076&gt;=Eval_Start_Week,"YES","")</f>
        <v>YES</v>
      </c>
      <c r="Q2076" s="34" t="str">
        <f aca="false">IF(AND(B2076&gt;=Cal_Start_Week,B2076&lt;=Cal_End_Week),"YES","")</f>
        <v/>
      </c>
    </row>
    <row r="2077" customFormat="false" ht="15" hidden="false" customHeight="false" outlineLevel="0" collapsed="false">
      <c r="A2077" s="31" t="str">
        <f aca="false">Demand_History!C2077</f>
        <v>BTH-010</v>
      </c>
      <c r="B2077" s="31" t="n">
        <f aca="false">Demand_History!A2077</f>
        <v>100</v>
      </c>
      <c r="C2077" s="32" t="n">
        <f aca="false">Demand_History!D2077</f>
        <v>93</v>
      </c>
      <c r="D2077" s="33" t="n">
        <f aca="false">IF(B2077&gt;=2,C2076,"")</f>
        <v>83</v>
      </c>
      <c r="E2077" s="33" t="n">
        <f aca="false">IF(B2077&gt;=5,AVERAGE(C2073:C2076),"")</f>
        <v>83</v>
      </c>
      <c r="F2077" s="33" t="n">
        <f aca="false">IF(B2077&gt;=9,AVERAGE(C2069:C2076),"")</f>
        <v>82.875</v>
      </c>
      <c r="G2077" s="33" t="n">
        <f aca="false">IF(B2077=1,"",IF(B2077=2,C2076,SES_Alpha*C2076+(1-SES_Alpha)*G2076))</f>
        <v>82.1352206589092</v>
      </c>
      <c r="H2077" s="33" t="n">
        <f aca="false">IF(D2077="","",D2077-C2077)</f>
        <v>-10</v>
      </c>
      <c r="I2077" s="33" t="n">
        <f aca="false">IF(E2077="","",E2077-C2077)</f>
        <v>-10</v>
      </c>
      <c r="J2077" s="33" t="n">
        <f aca="false">IF(F2077="","",F2077-C2077)</f>
        <v>-10.125</v>
      </c>
      <c r="K2077" s="33" t="n">
        <f aca="false">IF(G2077="","",G2077-C2077)</f>
        <v>-10.8647793410908</v>
      </c>
      <c r="L2077" s="33" t="n">
        <f aca="false">IF(H2077="","",ABS(H2077))</f>
        <v>10</v>
      </c>
      <c r="M2077" s="33" t="n">
        <f aca="false">IF(I2077="","",ABS(I2077))</f>
        <v>10</v>
      </c>
      <c r="N2077" s="33" t="n">
        <f aca="false">IF(J2077="","",ABS(J2077))</f>
        <v>10.125</v>
      </c>
      <c r="O2077" s="33" t="n">
        <f aca="false">IF(K2077="","",ABS(K2077))</f>
        <v>10.8647793410908</v>
      </c>
      <c r="P2077" s="34" t="str">
        <f aca="false">IF(B2077&gt;=Eval_Start_Week,"YES","")</f>
        <v>YES</v>
      </c>
      <c r="Q2077" s="34" t="str">
        <f aca="false">IF(AND(B2077&gt;=Cal_Start_Week,B2077&lt;=Cal_End_Week),"YES","")</f>
        <v/>
      </c>
    </row>
    <row r="2078" customFormat="false" ht="15" hidden="false" customHeight="false" outlineLevel="0" collapsed="false">
      <c r="A2078" s="31" t="str">
        <f aca="false">Demand_History!C2078</f>
        <v>BTH-010</v>
      </c>
      <c r="B2078" s="31" t="n">
        <f aca="false">Demand_History!A2078</f>
        <v>101</v>
      </c>
      <c r="C2078" s="32" t="n">
        <f aca="false">Demand_History!D2078</f>
        <v>59</v>
      </c>
      <c r="D2078" s="33" t="n">
        <f aca="false">IF(B2078&gt;=2,C2077,"")</f>
        <v>93</v>
      </c>
      <c r="E2078" s="33" t="n">
        <f aca="false">IF(B2078&gt;=5,AVERAGE(C2074:C2077),"")</f>
        <v>84.5</v>
      </c>
      <c r="F2078" s="33" t="n">
        <f aca="false">IF(B2078&gt;=9,AVERAGE(C2070:C2077),"")</f>
        <v>83.125</v>
      </c>
      <c r="G2078" s="33" t="n">
        <f aca="false">IF(B2078=1,"",IF(B2078=2,C2077,SES_Alpha*C2077+(1-SES_Alpha)*G2077))</f>
        <v>85.3946544612365</v>
      </c>
      <c r="H2078" s="33" t="n">
        <f aca="false">IF(D2078="","",D2078-C2078)</f>
        <v>34</v>
      </c>
      <c r="I2078" s="33" t="n">
        <f aca="false">IF(E2078="","",E2078-C2078)</f>
        <v>25.5</v>
      </c>
      <c r="J2078" s="33" t="n">
        <f aca="false">IF(F2078="","",F2078-C2078)</f>
        <v>24.125</v>
      </c>
      <c r="K2078" s="33" t="n">
        <f aca="false">IF(G2078="","",G2078-C2078)</f>
        <v>26.3946544612365</v>
      </c>
      <c r="L2078" s="33" t="n">
        <f aca="false">IF(H2078="","",ABS(H2078))</f>
        <v>34</v>
      </c>
      <c r="M2078" s="33" t="n">
        <f aca="false">IF(I2078="","",ABS(I2078))</f>
        <v>25.5</v>
      </c>
      <c r="N2078" s="33" t="n">
        <f aca="false">IF(J2078="","",ABS(J2078))</f>
        <v>24.125</v>
      </c>
      <c r="O2078" s="33" t="n">
        <f aca="false">IF(K2078="","",ABS(K2078))</f>
        <v>26.3946544612365</v>
      </c>
      <c r="P2078" s="34" t="str">
        <f aca="false">IF(B2078&gt;=Eval_Start_Week,"YES","")</f>
        <v>YES</v>
      </c>
      <c r="Q2078" s="34" t="str">
        <f aca="false">IF(AND(B2078&gt;=Cal_Start_Week,B2078&lt;=Cal_End_Week),"YES","")</f>
        <v/>
      </c>
    </row>
    <row r="2079" customFormat="false" ht="15" hidden="false" customHeight="false" outlineLevel="0" collapsed="false">
      <c r="A2079" s="31" t="str">
        <f aca="false">Demand_History!C2079</f>
        <v>BTH-010</v>
      </c>
      <c r="B2079" s="31" t="n">
        <f aca="false">Demand_History!A2079</f>
        <v>102</v>
      </c>
      <c r="C2079" s="32" t="n">
        <f aca="false">Demand_History!D2079</f>
        <v>87</v>
      </c>
      <c r="D2079" s="33" t="n">
        <f aca="false">IF(B2079&gt;=2,C2078,"")</f>
        <v>59</v>
      </c>
      <c r="E2079" s="33" t="n">
        <f aca="false">IF(B2079&gt;=5,AVERAGE(C2075:C2078),"")</f>
        <v>79.75</v>
      </c>
      <c r="F2079" s="33" t="n">
        <f aca="false">IF(B2079&gt;=9,AVERAGE(C2071:C2078),"")</f>
        <v>80.625</v>
      </c>
      <c r="G2079" s="33" t="n">
        <f aca="false">IF(B2079=1,"",IF(B2079=2,C2078,SES_Alpha*C2078+(1-SES_Alpha)*G2078))</f>
        <v>77.4762581228655</v>
      </c>
      <c r="H2079" s="33" t="n">
        <f aca="false">IF(D2079="","",D2079-C2079)</f>
        <v>-28</v>
      </c>
      <c r="I2079" s="33" t="n">
        <f aca="false">IF(E2079="","",E2079-C2079)</f>
        <v>-7.25</v>
      </c>
      <c r="J2079" s="33" t="n">
        <f aca="false">IF(F2079="","",F2079-C2079)</f>
        <v>-6.375</v>
      </c>
      <c r="K2079" s="33" t="n">
        <f aca="false">IF(G2079="","",G2079-C2079)</f>
        <v>-9.52374187713448</v>
      </c>
      <c r="L2079" s="33" t="n">
        <f aca="false">IF(H2079="","",ABS(H2079))</f>
        <v>28</v>
      </c>
      <c r="M2079" s="33" t="n">
        <f aca="false">IF(I2079="","",ABS(I2079))</f>
        <v>7.25</v>
      </c>
      <c r="N2079" s="33" t="n">
        <f aca="false">IF(J2079="","",ABS(J2079))</f>
        <v>6.375</v>
      </c>
      <c r="O2079" s="33" t="n">
        <f aca="false">IF(K2079="","",ABS(K2079))</f>
        <v>9.52374187713448</v>
      </c>
      <c r="P2079" s="34" t="str">
        <f aca="false">IF(B2079&gt;=Eval_Start_Week,"YES","")</f>
        <v>YES</v>
      </c>
      <c r="Q2079" s="34" t="str">
        <f aca="false">IF(AND(B2079&gt;=Cal_Start_Week,B2079&lt;=Cal_End_Week),"YES","")</f>
        <v/>
      </c>
    </row>
    <row r="2080" customFormat="false" ht="15" hidden="false" customHeight="false" outlineLevel="0" collapsed="false">
      <c r="A2080" s="31" t="str">
        <f aca="false">Demand_History!C2080</f>
        <v>BTH-010</v>
      </c>
      <c r="B2080" s="31" t="n">
        <f aca="false">Demand_History!A2080</f>
        <v>103</v>
      </c>
      <c r="C2080" s="32" t="n">
        <f aca="false">Demand_History!D2080</f>
        <v>66</v>
      </c>
      <c r="D2080" s="33" t="n">
        <f aca="false">IF(B2080&gt;=2,C2079,"")</f>
        <v>87</v>
      </c>
      <c r="E2080" s="33" t="n">
        <f aca="false">IF(B2080&gt;=5,AVERAGE(C2076:C2079),"")</f>
        <v>80.5</v>
      </c>
      <c r="F2080" s="33" t="n">
        <f aca="false">IF(B2080&gt;=9,AVERAGE(C2072:C2079),"")</f>
        <v>80.125</v>
      </c>
      <c r="G2080" s="33" t="n">
        <f aca="false">IF(B2080=1,"",IF(B2080=2,C2079,SES_Alpha*C2079+(1-SES_Alpha)*G2079))</f>
        <v>80.3333806860059</v>
      </c>
      <c r="H2080" s="33" t="n">
        <f aca="false">IF(D2080="","",D2080-C2080)</f>
        <v>21</v>
      </c>
      <c r="I2080" s="33" t="n">
        <f aca="false">IF(E2080="","",E2080-C2080)</f>
        <v>14.5</v>
      </c>
      <c r="J2080" s="33" t="n">
        <f aca="false">IF(F2080="","",F2080-C2080)</f>
        <v>14.125</v>
      </c>
      <c r="K2080" s="33" t="n">
        <f aca="false">IF(G2080="","",G2080-C2080)</f>
        <v>14.3333806860059</v>
      </c>
      <c r="L2080" s="33" t="n">
        <f aca="false">IF(H2080="","",ABS(H2080))</f>
        <v>21</v>
      </c>
      <c r="M2080" s="33" t="n">
        <f aca="false">IF(I2080="","",ABS(I2080))</f>
        <v>14.5</v>
      </c>
      <c r="N2080" s="33" t="n">
        <f aca="false">IF(J2080="","",ABS(J2080))</f>
        <v>14.125</v>
      </c>
      <c r="O2080" s="33" t="n">
        <f aca="false">IF(K2080="","",ABS(K2080))</f>
        <v>14.3333806860059</v>
      </c>
      <c r="P2080" s="34" t="str">
        <f aca="false">IF(B2080&gt;=Eval_Start_Week,"YES","")</f>
        <v>YES</v>
      </c>
      <c r="Q2080" s="34" t="str">
        <f aca="false">IF(AND(B2080&gt;=Cal_Start_Week,B2080&lt;=Cal_End_Week),"YES","")</f>
        <v/>
      </c>
    </row>
    <row r="2081" customFormat="false" ht="15" hidden="false" customHeight="false" outlineLevel="0" collapsed="false">
      <c r="A2081" s="31" t="str">
        <f aca="false">Demand_History!C2081</f>
        <v>BTH-010</v>
      </c>
      <c r="B2081" s="31" t="n">
        <f aca="false">Demand_History!A2081</f>
        <v>104</v>
      </c>
      <c r="C2081" s="32" t="n">
        <f aca="false">Demand_History!D2081</f>
        <v>98</v>
      </c>
      <c r="D2081" s="33" t="n">
        <f aca="false">IF(B2081&gt;=2,C2080,"")</f>
        <v>66</v>
      </c>
      <c r="E2081" s="33" t="n">
        <f aca="false">IF(B2081&gt;=5,AVERAGE(C2077:C2080),"")</f>
        <v>76.25</v>
      </c>
      <c r="F2081" s="33" t="n">
        <f aca="false">IF(B2081&gt;=9,AVERAGE(C2073:C2080),"")</f>
        <v>79.625</v>
      </c>
      <c r="G2081" s="33" t="n">
        <f aca="false">IF(B2081=1,"",IF(B2081=2,C2080,SES_Alpha*C2080+(1-SES_Alpha)*G2080))</f>
        <v>76.0333664802041</v>
      </c>
      <c r="H2081" s="33" t="n">
        <f aca="false">IF(D2081="","",D2081-C2081)</f>
        <v>-32</v>
      </c>
      <c r="I2081" s="33" t="n">
        <f aca="false">IF(E2081="","",E2081-C2081)</f>
        <v>-21.75</v>
      </c>
      <c r="J2081" s="33" t="n">
        <f aca="false">IF(F2081="","",F2081-C2081)</f>
        <v>-18.375</v>
      </c>
      <c r="K2081" s="33" t="n">
        <f aca="false">IF(G2081="","",G2081-C2081)</f>
        <v>-21.9666335197959</v>
      </c>
      <c r="L2081" s="33" t="n">
        <f aca="false">IF(H2081="","",ABS(H2081))</f>
        <v>32</v>
      </c>
      <c r="M2081" s="33" t="n">
        <f aca="false">IF(I2081="","",ABS(I2081))</f>
        <v>21.75</v>
      </c>
      <c r="N2081" s="33" t="n">
        <f aca="false">IF(J2081="","",ABS(J2081))</f>
        <v>18.375</v>
      </c>
      <c r="O2081" s="33" t="n">
        <f aca="false">IF(K2081="","",ABS(K2081))</f>
        <v>21.9666335197959</v>
      </c>
      <c r="P2081" s="34" t="str">
        <f aca="false">IF(B2081&gt;=Eval_Start_Week,"YES","")</f>
        <v>YES</v>
      </c>
      <c r="Q2081" s="34" t="str">
        <f aca="false">IF(AND(B2081&gt;=Cal_Start_Week,B2081&lt;=Cal_End_Week),"YES","")</f>
        <v/>
      </c>
    </row>
    <row r="2082" customFormat="false" ht="15" hidden="false" customHeight="false" outlineLevel="0" collapsed="false">
      <c r="A2082" s="31" t="str">
        <f aca="false">Demand_History!C2082</f>
        <v>BED-001</v>
      </c>
      <c r="B2082" s="31" t="n">
        <f aca="false">Demand_History!A2082</f>
        <v>1</v>
      </c>
      <c r="C2082" s="32" t="n">
        <f aca="false">Demand_History!D2082</f>
        <v>34</v>
      </c>
      <c r="D2082" s="33" t="str">
        <f aca="false">IF(B2082&gt;=2,C2081,"")</f>
        <v/>
      </c>
      <c r="E2082" s="33" t="str">
        <f aca="false">IF(B2082&gt;=5,AVERAGE(C2078:C2081),"")</f>
        <v/>
      </c>
      <c r="F2082" s="33" t="str">
        <f aca="false">IF(B2082&gt;=9,AVERAGE(C2074:C2081),"")</f>
        <v/>
      </c>
      <c r="G2082" s="33" t="str">
        <f aca="false">IF(B2082=1,"",IF(B2082=2,C2081,SES_Alpha*C2081+(1-SES_Alpha)*G2081))</f>
        <v/>
      </c>
      <c r="H2082" s="33" t="str">
        <f aca="false">IF(D2082="","",D2082-C2082)</f>
        <v/>
      </c>
      <c r="I2082" s="33" t="str">
        <f aca="false">IF(E2082="","",E2082-C2082)</f>
        <v/>
      </c>
      <c r="J2082" s="33" t="str">
        <f aca="false">IF(F2082="","",F2082-C2082)</f>
        <v/>
      </c>
      <c r="K2082" s="33" t="str">
        <f aca="false">IF(G2082="","",G2082-C2082)</f>
        <v/>
      </c>
      <c r="L2082" s="33" t="str">
        <f aca="false">IF(H2082="","",ABS(H2082))</f>
        <v/>
      </c>
      <c r="M2082" s="33" t="str">
        <f aca="false">IF(I2082="","",ABS(I2082))</f>
        <v/>
      </c>
      <c r="N2082" s="33" t="str">
        <f aca="false">IF(J2082="","",ABS(J2082))</f>
        <v/>
      </c>
      <c r="O2082" s="33" t="str">
        <f aca="false">IF(K2082="","",ABS(K2082))</f>
        <v/>
      </c>
      <c r="P2082" s="34" t="str">
        <f aca="false">IF(B2082&gt;=Eval_Start_Week,"YES","")</f>
        <v/>
      </c>
      <c r="Q2082" s="34" t="str">
        <f aca="false">IF(AND(B2082&gt;=Cal_Start_Week,B2082&lt;=Cal_End_Week),"YES","")</f>
        <v/>
      </c>
    </row>
    <row r="2083" customFormat="false" ht="15" hidden="false" customHeight="false" outlineLevel="0" collapsed="false">
      <c r="A2083" s="31" t="str">
        <f aca="false">Demand_History!C2083</f>
        <v>BED-001</v>
      </c>
      <c r="B2083" s="31" t="n">
        <f aca="false">Demand_History!A2083</f>
        <v>2</v>
      </c>
      <c r="C2083" s="32" t="n">
        <f aca="false">Demand_History!D2083</f>
        <v>31</v>
      </c>
      <c r="D2083" s="33" t="n">
        <f aca="false">IF(B2083&gt;=2,C2082,"")</f>
        <v>34</v>
      </c>
      <c r="E2083" s="33" t="str">
        <f aca="false">IF(B2083&gt;=5,AVERAGE(C2079:C2082),"")</f>
        <v/>
      </c>
      <c r="F2083" s="33" t="str">
        <f aca="false">IF(B2083&gt;=9,AVERAGE(C2075:C2082),"")</f>
        <v/>
      </c>
      <c r="G2083" s="33" t="n">
        <f aca="false">IF(B2083=1,"",IF(B2083=2,C2082,SES_Alpha*C2082+(1-SES_Alpha)*G2082))</f>
        <v>34</v>
      </c>
      <c r="H2083" s="33" t="n">
        <f aca="false">IF(D2083="","",D2083-C2083)</f>
        <v>3</v>
      </c>
      <c r="I2083" s="33" t="str">
        <f aca="false">IF(E2083="","",E2083-C2083)</f>
        <v/>
      </c>
      <c r="J2083" s="33" t="str">
        <f aca="false">IF(F2083="","",F2083-C2083)</f>
        <v/>
      </c>
      <c r="K2083" s="33" t="n">
        <f aca="false">IF(G2083="","",G2083-C2083)</f>
        <v>3</v>
      </c>
      <c r="L2083" s="33" t="n">
        <f aca="false">IF(H2083="","",ABS(H2083))</f>
        <v>3</v>
      </c>
      <c r="M2083" s="33" t="str">
        <f aca="false">IF(I2083="","",ABS(I2083))</f>
        <v/>
      </c>
      <c r="N2083" s="33" t="str">
        <f aca="false">IF(J2083="","",ABS(J2083))</f>
        <v/>
      </c>
      <c r="O2083" s="33" t="n">
        <f aca="false">IF(K2083="","",ABS(K2083))</f>
        <v>3</v>
      </c>
      <c r="P2083" s="34" t="str">
        <f aca="false">IF(B2083&gt;=Eval_Start_Week,"YES","")</f>
        <v/>
      </c>
      <c r="Q2083" s="34" t="str">
        <f aca="false">IF(AND(B2083&gt;=Cal_Start_Week,B2083&lt;=Cal_End_Week),"YES","")</f>
        <v/>
      </c>
    </row>
    <row r="2084" customFormat="false" ht="15" hidden="false" customHeight="false" outlineLevel="0" collapsed="false">
      <c r="A2084" s="31" t="str">
        <f aca="false">Demand_History!C2084</f>
        <v>BED-001</v>
      </c>
      <c r="B2084" s="31" t="n">
        <f aca="false">Demand_History!A2084</f>
        <v>3</v>
      </c>
      <c r="C2084" s="32" t="n">
        <f aca="false">Demand_History!D2084</f>
        <v>49</v>
      </c>
      <c r="D2084" s="33" t="n">
        <f aca="false">IF(B2084&gt;=2,C2083,"")</f>
        <v>31</v>
      </c>
      <c r="E2084" s="33" t="str">
        <f aca="false">IF(B2084&gt;=5,AVERAGE(C2080:C2083),"")</f>
        <v/>
      </c>
      <c r="F2084" s="33" t="str">
        <f aca="false">IF(B2084&gt;=9,AVERAGE(C2076:C2083),"")</f>
        <v/>
      </c>
      <c r="G2084" s="33" t="n">
        <f aca="false">IF(B2084=1,"",IF(B2084=2,C2083,SES_Alpha*C2083+(1-SES_Alpha)*G2083))</f>
        <v>33.1</v>
      </c>
      <c r="H2084" s="33" t="n">
        <f aca="false">IF(D2084="","",D2084-C2084)</f>
        <v>-18</v>
      </c>
      <c r="I2084" s="33" t="str">
        <f aca="false">IF(E2084="","",E2084-C2084)</f>
        <v/>
      </c>
      <c r="J2084" s="33" t="str">
        <f aca="false">IF(F2084="","",F2084-C2084)</f>
        <v/>
      </c>
      <c r="K2084" s="33" t="n">
        <f aca="false">IF(G2084="","",G2084-C2084)</f>
        <v>-15.9</v>
      </c>
      <c r="L2084" s="33" t="n">
        <f aca="false">IF(H2084="","",ABS(H2084))</f>
        <v>18</v>
      </c>
      <c r="M2084" s="33" t="str">
        <f aca="false">IF(I2084="","",ABS(I2084))</f>
        <v/>
      </c>
      <c r="N2084" s="33" t="str">
        <f aca="false">IF(J2084="","",ABS(J2084))</f>
        <v/>
      </c>
      <c r="O2084" s="33" t="n">
        <f aca="false">IF(K2084="","",ABS(K2084))</f>
        <v>15.9</v>
      </c>
      <c r="P2084" s="34" t="str">
        <f aca="false">IF(B2084&gt;=Eval_Start_Week,"YES","")</f>
        <v/>
      </c>
      <c r="Q2084" s="34" t="str">
        <f aca="false">IF(AND(B2084&gt;=Cal_Start_Week,B2084&lt;=Cal_End_Week),"YES","")</f>
        <v/>
      </c>
    </row>
    <row r="2085" customFormat="false" ht="15" hidden="false" customHeight="false" outlineLevel="0" collapsed="false">
      <c r="A2085" s="31" t="str">
        <f aca="false">Demand_History!C2085</f>
        <v>BED-001</v>
      </c>
      <c r="B2085" s="31" t="n">
        <f aca="false">Demand_History!A2085</f>
        <v>4</v>
      </c>
      <c r="C2085" s="32" t="n">
        <f aca="false">Demand_History!D2085</f>
        <v>33</v>
      </c>
      <c r="D2085" s="33" t="n">
        <f aca="false">IF(B2085&gt;=2,C2084,"")</f>
        <v>49</v>
      </c>
      <c r="E2085" s="33" t="str">
        <f aca="false">IF(B2085&gt;=5,AVERAGE(C2081:C2084),"")</f>
        <v/>
      </c>
      <c r="F2085" s="33" t="str">
        <f aca="false">IF(B2085&gt;=9,AVERAGE(C2077:C2084),"")</f>
        <v/>
      </c>
      <c r="G2085" s="33" t="n">
        <f aca="false">IF(B2085=1,"",IF(B2085=2,C2084,SES_Alpha*C2084+(1-SES_Alpha)*G2084))</f>
        <v>37.87</v>
      </c>
      <c r="H2085" s="33" t="n">
        <f aca="false">IF(D2085="","",D2085-C2085)</f>
        <v>16</v>
      </c>
      <c r="I2085" s="33" t="str">
        <f aca="false">IF(E2085="","",E2085-C2085)</f>
        <v/>
      </c>
      <c r="J2085" s="33" t="str">
        <f aca="false">IF(F2085="","",F2085-C2085)</f>
        <v/>
      </c>
      <c r="K2085" s="33" t="n">
        <f aca="false">IF(G2085="","",G2085-C2085)</f>
        <v>4.86999999999999</v>
      </c>
      <c r="L2085" s="33" t="n">
        <f aca="false">IF(H2085="","",ABS(H2085))</f>
        <v>16</v>
      </c>
      <c r="M2085" s="33" t="str">
        <f aca="false">IF(I2085="","",ABS(I2085))</f>
        <v/>
      </c>
      <c r="N2085" s="33" t="str">
        <f aca="false">IF(J2085="","",ABS(J2085))</f>
        <v/>
      </c>
      <c r="O2085" s="33" t="n">
        <f aca="false">IF(K2085="","",ABS(K2085))</f>
        <v>4.86999999999999</v>
      </c>
      <c r="P2085" s="34" t="str">
        <f aca="false">IF(B2085&gt;=Eval_Start_Week,"YES","")</f>
        <v/>
      </c>
      <c r="Q2085" s="34" t="str">
        <f aca="false">IF(AND(B2085&gt;=Cal_Start_Week,B2085&lt;=Cal_End_Week),"YES","")</f>
        <v/>
      </c>
    </row>
    <row r="2086" customFormat="false" ht="15" hidden="false" customHeight="false" outlineLevel="0" collapsed="false">
      <c r="A2086" s="31" t="str">
        <f aca="false">Demand_History!C2086</f>
        <v>BED-001</v>
      </c>
      <c r="B2086" s="31" t="n">
        <f aca="false">Demand_History!A2086</f>
        <v>5</v>
      </c>
      <c r="C2086" s="32" t="n">
        <f aca="false">Demand_History!D2086</f>
        <v>41</v>
      </c>
      <c r="D2086" s="33" t="n">
        <f aca="false">IF(B2086&gt;=2,C2085,"")</f>
        <v>33</v>
      </c>
      <c r="E2086" s="33" t="n">
        <f aca="false">IF(B2086&gt;=5,AVERAGE(C2082:C2085),"")</f>
        <v>36.75</v>
      </c>
      <c r="F2086" s="33" t="str">
        <f aca="false">IF(B2086&gt;=9,AVERAGE(C2078:C2085),"")</f>
        <v/>
      </c>
      <c r="G2086" s="33" t="n">
        <f aca="false">IF(B2086=1,"",IF(B2086=2,C2085,SES_Alpha*C2085+(1-SES_Alpha)*G2085))</f>
        <v>36.409</v>
      </c>
      <c r="H2086" s="33" t="n">
        <f aca="false">IF(D2086="","",D2086-C2086)</f>
        <v>-8</v>
      </c>
      <c r="I2086" s="33" t="n">
        <f aca="false">IF(E2086="","",E2086-C2086)</f>
        <v>-4.25</v>
      </c>
      <c r="J2086" s="33" t="str">
        <f aca="false">IF(F2086="","",F2086-C2086)</f>
        <v/>
      </c>
      <c r="K2086" s="33" t="n">
        <f aca="false">IF(G2086="","",G2086-C2086)</f>
        <v>-4.59100000000001</v>
      </c>
      <c r="L2086" s="33" t="n">
        <f aca="false">IF(H2086="","",ABS(H2086))</f>
        <v>8</v>
      </c>
      <c r="M2086" s="33" t="n">
        <f aca="false">IF(I2086="","",ABS(I2086))</f>
        <v>4.25</v>
      </c>
      <c r="N2086" s="33" t="str">
        <f aca="false">IF(J2086="","",ABS(J2086))</f>
        <v/>
      </c>
      <c r="O2086" s="33" t="n">
        <f aca="false">IF(K2086="","",ABS(K2086))</f>
        <v>4.59100000000001</v>
      </c>
      <c r="P2086" s="34" t="str">
        <f aca="false">IF(B2086&gt;=Eval_Start_Week,"YES","")</f>
        <v/>
      </c>
      <c r="Q2086" s="34" t="str">
        <f aca="false">IF(AND(B2086&gt;=Cal_Start_Week,B2086&lt;=Cal_End_Week),"YES","")</f>
        <v/>
      </c>
    </row>
    <row r="2087" customFormat="false" ht="15" hidden="false" customHeight="false" outlineLevel="0" collapsed="false">
      <c r="A2087" s="31" t="str">
        <f aca="false">Demand_History!C2087</f>
        <v>BED-001</v>
      </c>
      <c r="B2087" s="31" t="n">
        <f aca="false">Demand_History!A2087</f>
        <v>6</v>
      </c>
      <c r="C2087" s="32" t="n">
        <f aca="false">Demand_History!D2087</f>
        <v>37</v>
      </c>
      <c r="D2087" s="33" t="n">
        <f aca="false">IF(B2087&gt;=2,C2086,"")</f>
        <v>41</v>
      </c>
      <c r="E2087" s="33" t="n">
        <f aca="false">IF(B2087&gt;=5,AVERAGE(C2083:C2086),"")</f>
        <v>38.5</v>
      </c>
      <c r="F2087" s="33" t="str">
        <f aca="false">IF(B2087&gt;=9,AVERAGE(C2079:C2086),"")</f>
        <v/>
      </c>
      <c r="G2087" s="33" t="n">
        <f aca="false">IF(B2087=1,"",IF(B2087=2,C2086,SES_Alpha*C2086+(1-SES_Alpha)*G2086))</f>
        <v>37.7863</v>
      </c>
      <c r="H2087" s="33" t="n">
        <f aca="false">IF(D2087="","",D2087-C2087)</f>
        <v>4</v>
      </c>
      <c r="I2087" s="33" t="n">
        <f aca="false">IF(E2087="","",E2087-C2087)</f>
        <v>1.5</v>
      </c>
      <c r="J2087" s="33" t="str">
        <f aca="false">IF(F2087="","",F2087-C2087)</f>
        <v/>
      </c>
      <c r="K2087" s="33" t="n">
        <f aca="false">IF(G2087="","",G2087-C2087)</f>
        <v>0.78629999999999</v>
      </c>
      <c r="L2087" s="33" t="n">
        <f aca="false">IF(H2087="","",ABS(H2087))</f>
        <v>4</v>
      </c>
      <c r="M2087" s="33" t="n">
        <f aca="false">IF(I2087="","",ABS(I2087))</f>
        <v>1.5</v>
      </c>
      <c r="N2087" s="33" t="str">
        <f aca="false">IF(J2087="","",ABS(J2087))</f>
        <v/>
      </c>
      <c r="O2087" s="33" t="n">
        <f aca="false">IF(K2087="","",ABS(K2087))</f>
        <v>0.78629999999999</v>
      </c>
      <c r="P2087" s="34" t="str">
        <f aca="false">IF(B2087&gt;=Eval_Start_Week,"YES","")</f>
        <v/>
      </c>
      <c r="Q2087" s="34" t="str">
        <f aca="false">IF(AND(B2087&gt;=Cal_Start_Week,B2087&lt;=Cal_End_Week),"YES","")</f>
        <v/>
      </c>
    </row>
    <row r="2088" customFormat="false" ht="15" hidden="false" customHeight="false" outlineLevel="0" collapsed="false">
      <c r="A2088" s="31" t="str">
        <f aca="false">Demand_History!C2088</f>
        <v>BED-001</v>
      </c>
      <c r="B2088" s="31" t="n">
        <f aca="false">Demand_History!A2088</f>
        <v>7</v>
      </c>
      <c r="C2088" s="32" t="n">
        <f aca="false">Demand_History!D2088</f>
        <v>30</v>
      </c>
      <c r="D2088" s="33" t="n">
        <f aca="false">IF(B2088&gt;=2,C2087,"")</f>
        <v>37</v>
      </c>
      <c r="E2088" s="33" t="n">
        <f aca="false">IF(B2088&gt;=5,AVERAGE(C2084:C2087),"")</f>
        <v>40</v>
      </c>
      <c r="F2088" s="33" t="str">
        <f aca="false">IF(B2088&gt;=9,AVERAGE(C2080:C2087),"")</f>
        <v/>
      </c>
      <c r="G2088" s="33" t="n">
        <f aca="false">IF(B2088=1,"",IF(B2088=2,C2087,SES_Alpha*C2087+(1-SES_Alpha)*G2087))</f>
        <v>37.55041</v>
      </c>
      <c r="H2088" s="33" t="n">
        <f aca="false">IF(D2088="","",D2088-C2088)</f>
        <v>7</v>
      </c>
      <c r="I2088" s="33" t="n">
        <f aca="false">IF(E2088="","",E2088-C2088)</f>
        <v>10</v>
      </c>
      <c r="J2088" s="33" t="str">
        <f aca="false">IF(F2088="","",F2088-C2088)</f>
        <v/>
      </c>
      <c r="K2088" s="33" t="n">
        <f aca="false">IF(G2088="","",G2088-C2088)</f>
        <v>7.55040999999999</v>
      </c>
      <c r="L2088" s="33" t="n">
        <f aca="false">IF(H2088="","",ABS(H2088))</f>
        <v>7</v>
      </c>
      <c r="M2088" s="33" t="n">
        <f aca="false">IF(I2088="","",ABS(I2088))</f>
        <v>10</v>
      </c>
      <c r="N2088" s="33" t="str">
        <f aca="false">IF(J2088="","",ABS(J2088))</f>
        <v/>
      </c>
      <c r="O2088" s="33" t="n">
        <f aca="false">IF(K2088="","",ABS(K2088))</f>
        <v>7.55040999999999</v>
      </c>
      <c r="P2088" s="34" t="str">
        <f aca="false">IF(B2088&gt;=Eval_Start_Week,"YES","")</f>
        <v/>
      </c>
      <c r="Q2088" s="34" t="str">
        <f aca="false">IF(AND(B2088&gt;=Cal_Start_Week,B2088&lt;=Cal_End_Week),"YES","")</f>
        <v/>
      </c>
    </row>
    <row r="2089" customFormat="false" ht="15" hidden="false" customHeight="false" outlineLevel="0" collapsed="false">
      <c r="A2089" s="31" t="str">
        <f aca="false">Demand_History!C2089</f>
        <v>BED-001</v>
      </c>
      <c r="B2089" s="31" t="n">
        <f aca="false">Demand_History!A2089</f>
        <v>8</v>
      </c>
      <c r="C2089" s="32" t="n">
        <f aca="false">Demand_History!D2089</f>
        <v>38</v>
      </c>
      <c r="D2089" s="33" t="n">
        <f aca="false">IF(B2089&gt;=2,C2088,"")</f>
        <v>30</v>
      </c>
      <c r="E2089" s="33" t="n">
        <f aca="false">IF(B2089&gt;=5,AVERAGE(C2085:C2088),"")</f>
        <v>35.25</v>
      </c>
      <c r="F2089" s="33" t="str">
        <f aca="false">IF(B2089&gt;=9,AVERAGE(C2081:C2088),"")</f>
        <v/>
      </c>
      <c r="G2089" s="33" t="n">
        <f aca="false">IF(B2089=1,"",IF(B2089=2,C2088,SES_Alpha*C2088+(1-SES_Alpha)*G2088))</f>
        <v>35.285287</v>
      </c>
      <c r="H2089" s="33" t="n">
        <f aca="false">IF(D2089="","",D2089-C2089)</f>
        <v>-8</v>
      </c>
      <c r="I2089" s="33" t="n">
        <f aca="false">IF(E2089="","",E2089-C2089)</f>
        <v>-2.75</v>
      </c>
      <c r="J2089" s="33" t="str">
        <f aca="false">IF(F2089="","",F2089-C2089)</f>
        <v/>
      </c>
      <c r="K2089" s="33" t="n">
        <f aca="false">IF(G2089="","",G2089-C2089)</f>
        <v>-2.714713</v>
      </c>
      <c r="L2089" s="33" t="n">
        <f aca="false">IF(H2089="","",ABS(H2089))</f>
        <v>8</v>
      </c>
      <c r="M2089" s="33" t="n">
        <f aca="false">IF(I2089="","",ABS(I2089))</f>
        <v>2.75</v>
      </c>
      <c r="N2089" s="33" t="str">
        <f aca="false">IF(J2089="","",ABS(J2089))</f>
        <v/>
      </c>
      <c r="O2089" s="33" t="n">
        <f aca="false">IF(K2089="","",ABS(K2089))</f>
        <v>2.714713</v>
      </c>
      <c r="P2089" s="34" t="str">
        <f aca="false">IF(B2089&gt;=Eval_Start_Week,"YES","")</f>
        <v/>
      </c>
      <c r="Q2089" s="34" t="str">
        <f aca="false">IF(AND(B2089&gt;=Cal_Start_Week,B2089&lt;=Cal_End_Week),"YES","")</f>
        <v/>
      </c>
    </row>
    <row r="2090" customFormat="false" ht="15" hidden="false" customHeight="false" outlineLevel="0" collapsed="false">
      <c r="A2090" s="31" t="str">
        <f aca="false">Demand_History!C2090</f>
        <v>BED-001</v>
      </c>
      <c r="B2090" s="31" t="n">
        <f aca="false">Demand_History!A2090</f>
        <v>9</v>
      </c>
      <c r="C2090" s="32" t="n">
        <f aca="false">Demand_History!D2090</f>
        <v>44</v>
      </c>
      <c r="D2090" s="33" t="n">
        <f aca="false">IF(B2090&gt;=2,C2089,"")</f>
        <v>38</v>
      </c>
      <c r="E2090" s="33" t="n">
        <f aca="false">IF(B2090&gt;=5,AVERAGE(C2086:C2089),"")</f>
        <v>36.5</v>
      </c>
      <c r="F2090" s="33" t="n">
        <f aca="false">IF(B2090&gt;=9,AVERAGE(C2082:C2089),"")</f>
        <v>36.625</v>
      </c>
      <c r="G2090" s="33" t="n">
        <f aca="false">IF(B2090=1,"",IF(B2090=2,C2089,SES_Alpha*C2089+(1-SES_Alpha)*G2089))</f>
        <v>36.0997009</v>
      </c>
      <c r="H2090" s="33" t="n">
        <f aca="false">IF(D2090="","",D2090-C2090)</f>
        <v>-6</v>
      </c>
      <c r="I2090" s="33" t="n">
        <f aca="false">IF(E2090="","",E2090-C2090)</f>
        <v>-7.5</v>
      </c>
      <c r="J2090" s="33" t="n">
        <f aca="false">IF(F2090="","",F2090-C2090)</f>
        <v>-7.375</v>
      </c>
      <c r="K2090" s="33" t="n">
        <f aca="false">IF(G2090="","",G2090-C2090)</f>
        <v>-7.90029910000001</v>
      </c>
      <c r="L2090" s="33" t="n">
        <f aca="false">IF(H2090="","",ABS(H2090))</f>
        <v>6</v>
      </c>
      <c r="M2090" s="33" t="n">
        <f aca="false">IF(I2090="","",ABS(I2090))</f>
        <v>7.5</v>
      </c>
      <c r="N2090" s="33" t="n">
        <f aca="false">IF(J2090="","",ABS(J2090))</f>
        <v>7.375</v>
      </c>
      <c r="O2090" s="33" t="n">
        <f aca="false">IF(K2090="","",ABS(K2090))</f>
        <v>7.90029910000001</v>
      </c>
      <c r="P2090" s="34" t="str">
        <f aca="false">IF(B2090&gt;=Eval_Start_Week,"YES","")</f>
        <v/>
      </c>
      <c r="Q2090" s="34" t="str">
        <f aca="false">IF(AND(B2090&gt;=Cal_Start_Week,B2090&lt;=Cal_End_Week),"YES","")</f>
        <v/>
      </c>
    </row>
    <row r="2091" customFormat="false" ht="15" hidden="false" customHeight="false" outlineLevel="0" collapsed="false">
      <c r="A2091" s="31" t="str">
        <f aca="false">Demand_History!C2091</f>
        <v>BED-001</v>
      </c>
      <c r="B2091" s="31" t="n">
        <f aca="false">Demand_History!A2091</f>
        <v>10</v>
      </c>
      <c r="C2091" s="32" t="n">
        <f aca="false">Demand_History!D2091</f>
        <v>39</v>
      </c>
      <c r="D2091" s="33" t="n">
        <f aca="false">IF(B2091&gt;=2,C2090,"")</f>
        <v>44</v>
      </c>
      <c r="E2091" s="33" t="n">
        <f aca="false">IF(B2091&gt;=5,AVERAGE(C2087:C2090),"")</f>
        <v>37.25</v>
      </c>
      <c r="F2091" s="33" t="n">
        <f aca="false">IF(B2091&gt;=9,AVERAGE(C2083:C2090),"")</f>
        <v>37.875</v>
      </c>
      <c r="G2091" s="33" t="n">
        <f aca="false">IF(B2091=1,"",IF(B2091=2,C2090,SES_Alpha*C2090+(1-SES_Alpha)*G2090))</f>
        <v>38.46979063</v>
      </c>
      <c r="H2091" s="33" t="n">
        <f aca="false">IF(D2091="","",D2091-C2091)</f>
        <v>5</v>
      </c>
      <c r="I2091" s="33" t="n">
        <f aca="false">IF(E2091="","",E2091-C2091)</f>
        <v>-1.75</v>
      </c>
      <c r="J2091" s="33" t="n">
        <f aca="false">IF(F2091="","",F2091-C2091)</f>
        <v>-1.125</v>
      </c>
      <c r="K2091" s="33" t="n">
        <f aca="false">IF(G2091="","",G2091-C2091)</f>
        <v>-0.530209370000009</v>
      </c>
      <c r="L2091" s="33" t="n">
        <f aca="false">IF(H2091="","",ABS(H2091))</f>
        <v>5</v>
      </c>
      <c r="M2091" s="33" t="n">
        <f aca="false">IF(I2091="","",ABS(I2091))</f>
        <v>1.75</v>
      </c>
      <c r="N2091" s="33" t="n">
        <f aca="false">IF(J2091="","",ABS(J2091))</f>
        <v>1.125</v>
      </c>
      <c r="O2091" s="33" t="n">
        <f aca="false">IF(K2091="","",ABS(K2091))</f>
        <v>0.530209370000009</v>
      </c>
      <c r="P2091" s="34" t="str">
        <f aca="false">IF(B2091&gt;=Eval_Start_Week,"YES","")</f>
        <v/>
      </c>
      <c r="Q2091" s="34" t="str">
        <f aca="false">IF(AND(B2091&gt;=Cal_Start_Week,B2091&lt;=Cal_End_Week),"YES","")</f>
        <v/>
      </c>
    </row>
    <row r="2092" customFormat="false" ht="15" hidden="false" customHeight="false" outlineLevel="0" collapsed="false">
      <c r="A2092" s="31" t="str">
        <f aca="false">Demand_History!C2092</f>
        <v>BED-001</v>
      </c>
      <c r="B2092" s="31" t="n">
        <f aca="false">Demand_History!A2092</f>
        <v>11</v>
      </c>
      <c r="C2092" s="32" t="n">
        <f aca="false">Demand_History!D2092</f>
        <v>45</v>
      </c>
      <c r="D2092" s="33" t="n">
        <f aca="false">IF(B2092&gt;=2,C2091,"")</f>
        <v>39</v>
      </c>
      <c r="E2092" s="33" t="n">
        <f aca="false">IF(B2092&gt;=5,AVERAGE(C2088:C2091),"")</f>
        <v>37.75</v>
      </c>
      <c r="F2092" s="33" t="n">
        <f aca="false">IF(B2092&gt;=9,AVERAGE(C2084:C2091),"")</f>
        <v>38.875</v>
      </c>
      <c r="G2092" s="33" t="n">
        <f aca="false">IF(B2092=1,"",IF(B2092=2,C2091,SES_Alpha*C2091+(1-SES_Alpha)*G2091))</f>
        <v>38.628853441</v>
      </c>
      <c r="H2092" s="33" t="n">
        <f aca="false">IF(D2092="","",D2092-C2092)</f>
        <v>-6</v>
      </c>
      <c r="I2092" s="33" t="n">
        <f aca="false">IF(E2092="","",E2092-C2092)</f>
        <v>-7.25</v>
      </c>
      <c r="J2092" s="33" t="n">
        <f aca="false">IF(F2092="","",F2092-C2092)</f>
        <v>-6.125</v>
      </c>
      <c r="K2092" s="33" t="n">
        <f aca="false">IF(G2092="","",G2092-C2092)</f>
        <v>-6.37114655900001</v>
      </c>
      <c r="L2092" s="33" t="n">
        <f aca="false">IF(H2092="","",ABS(H2092))</f>
        <v>6</v>
      </c>
      <c r="M2092" s="33" t="n">
        <f aca="false">IF(I2092="","",ABS(I2092))</f>
        <v>7.25</v>
      </c>
      <c r="N2092" s="33" t="n">
        <f aca="false">IF(J2092="","",ABS(J2092))</f>
        <v>6.125</v>
      </c>
      <c r="O2092" s="33" t="n">
        <f aca="false">IF(K2092="","",ABS(K2092))</f>
        <v>6.37114655900001</v>
      </c>
      <c r="P2092" s="34" t="str">
        <f aca="false">IF(B2092&gt;=Eval_Start_Week,"YES","")</f>
        <v/>
      </c>
      <c r="Q2092" s="34" t="str">
        <f aca="false">IF(AND(B2092&gt;=Cal_Start_Week,B2092&lt;=Cal_End_Week),"YES","")</f>
        <v/>
      </c>
    </row>
    <row r="2093" customFormat="false" ht="15" hidden="false" customHeight="false" outlineLevel="0" collapsed="false">
      <c r="A2093" s="31" t="str">
        <f aca="false">Demand_History!C2093</f>
        <v>BED-001</v>
      </c>
      <c r="B2093" s="31" t="n">
        <f aca="false">Demand_History!A2093</f>
        <v>12</v>
      </c>
      <c r="C2093" s="32" t="n">
        <f aca="false">Demand_History!D2093</f>
        <v>38</v>
      </c>
      <c r="D2093" s="33" t="n">
        <f aca="false">IF(B2093&gt;=2,C2092,"")</f>
        <v>45</v>
      </c>
      <c r="E2093" s="33" t="n">
        <f aca="false">IF(B2093&gt;=5,AVERAGE(C2089:C2092),"")</f>
        <v>41.5</v>
      </c>
      <c r="F2093" s="33" t="n">
        <f aca="false">IF(B2093&gt;=9,AVERAGE(C2085:C2092),"")</f>
        <v>38.375</v>
      </c>
      <c r="G2093" s="33" t="n">
        <f aca="false">IF(B2093=1,"",IF(B2093=2,C2092,SES_Alpha*C2092+(1-SES_Alpha)*G2092))</f>
        <v>40.5401974087</v>
      </c>
      <c r="H2093" s="33" t="n">
        <f aca="false">IF(D2093="","",D2093-C2093)</f>
        <v>7</v>
      </c>
      <c r="I2093" s="33" t="n">
        <f aca="false">IF(E2093="","",E2093-C2093)</f>
        <v>3.5</v>
      </c>
      <c r="J2093" s="33" t="n">
        <f aca="false">IF(F2093="","",F2093-C2093)</f>
        <v>0.375</v>
      </c>
      <c r="K2093" s="33" t="n">
        <f aca="false">IF(G2093="","",G2093-C2093)</f>
        <v>2.5401974087</v>
      </c>
      <c r="L2093" s="33" t="n">
        <f aca="false">IF(H2093="","",ABS(H2093))</f>
        <v>7</v>
      </c>
      <c r="M2093" s="33" t="n">
        <f aca="false">IF(I2093="","",ABS(I2093))</f>
        <v>3.5</v>
      </c>
      <c r="N2093" s="33" t="n">
        <f aca="false">IF(J2093="","",ABS(J2093))</f>
        <v>0.375</v>
      </c>
      <c r="O2093" s="33" t="n">
        <f aca="false">IF(K2093="","",ABS(K2093))</f>
        <v>2.5401974087</v>
      </c>
      <c r="P2093" s="34" t="str">
        <f aca="false">IF(B2093&gt;=Eval_Start_Week,"YES","")</f>
        <v/>
      </c>
      <c r="Q2093" s="34" t="str">
        <f aca="false">IF(AND(B2093&gt;=Cal_Start_Week,B2093&lt;=Cal_End_Week),"YES","")</f>
        <v/>
      </c>
    </row>
    <row r="2094" customFormat="false" ht="15" hidden="false" customHeight="false" outlineLevel="0" collapsed="false">
      <c r="A2094" s="31" t="str">
        <f aca="false">Demand_History!C2094</f>
        <v>BED-001</v>
      </c>
      <c r="B2094" s="31" t="n">
        <f aca="false">Demand_History!A2094</f>
        <v>13</v>
      </c>
      <c r="C2094" s="32" t="n">
        <f aca="false">Demand_History!D2094</f>
        <v>40</v>
      </c>
      <c r="D2094" s="33" t="n">
        <f aca="false">IF(B2094&gt;=2,C2093,"")</f>
        <v>38</v>
      </c>
      <c r="E2094" s="33" t="n">
        <f aca="false">IF(B2094&gt;=5,AVERAGE(C2090:C2093),"")</f>
        <v>41.5</v>
      </c>
      <c r="F2094" s="33" t="n">
        <f aca="false">IF(B2094&gt;=9,AVERAGE(C2086:C2093),"")</f>
        <v>39</v>
      </c>
      <c r="G2094" s="33" t="n">
        <f aca="false">IF(B2094=1,"",IF(B2094=2,C2093,SES_Alpha*C2093+(1-SES_Alpha)*G2093))</f>
        <v>39.77813818609</v>
      </c>
      <c r="H2094" s="33" t="n">
        <f aca="false">IF(D2094="","",D2094-C2094)</f>
        <v>-2</v>
      </c>
      <c r="I2094" s="33" t="n">
        <f aca="false">IF(E2094="","",E2094-C2094)</f>
        <v>1.5</v>
      </c>
      <c r="J2094" s="33" t="n">
        <f aca="false">IF(F2094="","",F2094-C2094)</f>
        <v>-1</v>
      </c>
      <c r="K2094" s="33" t="n">
        <f aca="false">IF(G2094="","",G2094-C2094)</f>
        <v>-0.221861813910003</v>
      </c>
      <c r="L2094" s="33" t="n">
        <f aca="false">IF(H2094="","",ABS(H2094))</f>
        <v>2</v>
      </c>
      <c r="M2094" s="33" t="n">
        <f aca="false">IF(I2094="","",ABS(I2094))</f>
        <v>1.5</v>
      </c>
      <c r="N2094" s="33" t="n">
        <f aca="false">IF(J2094="","",ABS(J2094))</f>
        <v>1</v>
      </c>
      <c r="O2094" s="33" t="n">
        <f aca="false">IF(K2094="","",ABS(K2094))</f>
        <v>0.221861813910003</v>
      </c>
      <c r="P2094" s="34" t="str">
        <f aca="false">IF(B2094&gt;=Eval_Start_Week,"YES","")</f>
        <v/>
      </c>
      <c r="Q2094" s="34" t="str">
        <f aca="false">IF(AND(B2094&gt;=Cal_Start_Week,B2094&lt;=Cal_End_Week),"YES","")</f>
        <v/>
      </c>
    </row>
    <row r="2095" customFormat="false" ht="15" hidden="false" customHeight="false" outlineLevel="0" collapsed="false">
      <c r="A2095" s="31" t="str">
        <f aca="false">Demand_History!C2095</f>
        <v>BED-001</v>
      </c>
      <c r="B2095" s="31" t="n">
        <f aca="false">Demand_History!A2095</f>
        <v>14</v>
      </c>
      <c r="C2095" s="32" t="n">
        <f aca="false">Demand_History!D2095</f>
        <v>38</v>
      </c>
      <c r="D2095" s="33" t="n">
        <f aca="false">IF(B2095&gt;=2,C2094,"")</f>
        <v>40</v>
      </c>
      <c r="E2095" s="33" t="n">
        <f aca="false">IF(B2095&gt;=5,AVERAGE(C2091:C2094),"")</f>
        <v>40.5</v>
      </c>
      <c r="F2095" s="33" t="n">
        <f aca="false">IF(B2095&gt;=9,AVERAGE(C2087:C2094),"")</f>
        <v>38.875</v>
      </c>
      <c r="G2095" s="33" t="n">
        <f aca="false">IF(B2095=1,"",IF(B2095=2,C2094,SES_Alpha*C2094+(1-SES_Alpha)*G2094))</f>
        <v>39.844696730263</v>
      </c>
      <c r="H2095" s="33" t="n">
        <f aca="false">IF(D2095="","",D2095-C2095)</f>
        <v>2</v>
      </c>
      <c r="I2095" s="33" t="n">
        <f aca="false">IF(E2095="","",E2095-C2095)</f>
        <v>2.5</v>
      </c>
      <c r="J2095" s="33" t="n">
        <f aca="false">IF(F2095="","",F2095-C2095)</f>
        <v>0.875</v>
      </c>
      <c r="K2095" s="33" t="n">
        <f aca="false">IF(G2095="","",G2095-C2095)</f>
        <v>1.844696730263</v>
      </c>
      <c r="L2095" s="33" t="n">
        <f aca="false">IF(H2095="","",ABS(H2095))</f>
        <v>2</v>
      </c>
      <c r="M2095" s="33" t="n">
        <f aca="false">IF(I2095="","",ABS(I2095))</f>
        <v>2.5</v>
      </c>
      <c r="N2095" s="33" t="n">
        <f aca="false">IF(J2095="","",ABS(J2095))</f>
        <v>0.875</v>
      </c>
      <c r="O2095" s="33" t="n">
        <f aca="false">IF(K2095="","",ABS(K2095))</f>
        <v>1.844696730263</v>
      </c>
      <c r="P2095" s="34" t="str">
        <f aca="false">IF(B2095&gt;=Eval_Start_Week,"YES","")</f>
        <v/>
      </c>
      <c r="Q2095" s="34" t="str">
        <f aca="false">IF(AND(B2095&gt;=Cal_Start_Week,B2095&lt;=Cal_End_Week),"YES","")</f>
        <v/>
      </c>
    </row>
    <row r="2096" customFormat="false" ht="15" hidden="false" customHeight="false" outlineLevel="0" collapsed="false">
      <c r="A2096" s="31" t="str">
        <f aca="false">Demand_History!C2096</f>
        <v>BED-001</v>
      </c>
      <c r="B2096" s="31" t="n">
        <f aca="false">Demand_History!A2096</f>
        <v>15</v>
      </c>
      <c r="C2096" s="32" t="n">
        <f aca="false">Demand_History!D2096</f>
        <v>42</v>
      </c>
      <c r="D2096" s="33" t="n">
        <f aca="false">IF(B2096&gt;=2,C2095,"")</f>
        <v>38</v>
      </c>
      <c r="E2096" s="33" t="n">
        <f aca="false">IF(B2096&gt;=5,AVERAGE(C2092:C2095),"")</f>
        <v>40.25</v>
      </c>
      <c r="F2096" s="33" t="n">
        <f aca="false">IF(B2096&gt;=9,AVERAGE(C2088:C2095),"")</f>
        <v>39</v>
      </c>
      <c r="G2096" s="33" t="n">
        <f aca="false">IF(B2096=1,"",IF(B2096=2,C2095,SES_Alpha*C2095+(1-SES_Alpha)*G2095))</f>
        <v>39.2912877111841</v>
      </c>
      <c r="H2096" s="33" t="n">
        <f aca="false">IF(D2096="","",D2096-C2096)</f>
        <v>-4</v>
      </c>
      <c r="I2096" s="33" t="n">
        <f aca="false">IF(E2096="","",E2096-C2096)</f>
        <v>-1.75</v>
      </c>
      <c r="J2096" s="33" t="n">
        <f aca="false">IF(F2096="","",F2096-C2096)</f>
        <v>-3</v>
      </c>
      <c r="K2096" s="33" t="n">
        <f aca="false">IF(G2096="","",G2096-C2096)</f>
        <v>-2.7087122888159</v>
      </c>
      <c r="L2096" s="33" t="n">
        <f aca="false">IF(H2096="","",ABS(H2096))</f>
        <v>4</v>
      </c>
      <c r="M2096" s="33" t="n">
        <f aca="false">IF(I2096="","",ABS(I2096))</f>
        <v>1.75</v>
      </c>
      <c r="N2096" s="33" t="n">
        <f aca="false">IF(J2096="","",ABS(J2096))</f>
        <v>3</v>
      </c>
      <c r="O2096" s="33" t="n">
        <f aca="false">IF(K2096="","",ABS(K2096))</f>
        <v>2.7087122888159</v>
      </c>
      <c r="P2096" s="34" t="str">
        <f aca="false">IF(B2096&gt;=Eval_Start_Week,"YES","")</f>
        <v/>
      </c>
      <c r="Q2096" s="34" t="str">
        <f aca="false">IF(AND(B2096&gt;=Cal_Start_Week,B2096&lt;=Cal_End_Week),"YES","")</f>
        <v/>
      </c>
    </row>
    <row r="2097" customFormat="false" ht="15" hidden="false" customHeight="false" outlineLevel="0" collapsed="false">
      <c r="A2097" s="31" t="str">
        <f aca="false">Demand_History!C2097</f>
        <v>BED-001</v>
      </c>
      <c r="B2097" s="31" t="n">
        <f aca="false">Demand_History!A2097</f>
        <v>16</v>
      </c>
      <c r="C2097" s="32" t="n">
        <f aca="false">Demand_History!D2097</f>
        <v>51</v>
      </c>
      <c r="D2097" s="33" t="n">
        <f aca="false">IF(B2097&gt;=2,C2096,"")</f>
        <v>42</v>
      </c>
      <c r="E2097" s="33" t="n">
        <f aca="false">IF(B2097&gt;=5,AVERAGE(C2093:C2096),"")</f>
        <v>39.5</v>
      </c>
      <c r="F2097" s="33" t="n">
        <f aca="false">IF(B2097&gt;=9,AVERAGE(C2089:C2096),"")</f>
        <v>40.5</v>
      </c>
      <c r="G2097" s="33" t="n">
        <f aca="false">IF(B2097=1,"",IF(B2097=2,C2096,SES_Alpha*C2096+(1-SES_Alpha)*G2096))</f>
        <v>40.1039013978289</v>
      </c>
      <c r="H2097" s="33" t="n">
        <f aca="false">IF(D2097="","",D2097-C2097)</f>
        <v>-9</v>
      </c>
      <c r="I2097" s="33" t="n">
        <f aca="false">IF(E2097="","",E2097-C2097)</f>
        <v>-11.5</v>
      </c>
      <c r="J2097" s="33" t="n">
        <f aca="false">IF(F2097="","",F2097-C2097)</f>
        <v>-10.5</v>
      </c>
      <c r="K2097" s="33" t="n">
        <f aca="false">IF(G2097="","",G2097-C2097)</f>
        <v>-10.8960986021711</v>
      </c>
      <c r="L2097" s="33" t="n">
        <f aca="false">IF(H2097="","",ABS(H2097))</f>
        <v>9</v>
      </c>
      <c r="M2097" s="33" t="n">
        <f aca="false">IF(I2097="","",ABS(I2097))</f>
        <v>11.5</v>
      </c>
      <c r="N2097" s="33" t="n">
        <f aca="false">IF(J2097="","",ABS(J2097))</f>
        <v>10.5</v>
      </c>
      <c r="O2097" s="33" t="n">
        <f aca="false">IF(K2097="","",ABS(K2097))</f>
        <v>10.8960986021711</v>
      </c>
      <c r="P2097" s="34" t="str">
        <f aca="false">IF(B2097&gt;=Eval_Start_Week,"YES","")</f>
        <v/>
      </c>
      <c r="Q2097" s="34" t="str">
        <f aca="false">IF(AND(B2097&gt;=Cal_Start_Week,B2097&lt;=Cal_End_Week),"YES","")</f>
        <v/>
      </c>
    </row>
    <row r="2098" customFormat="false" ht="15" hidden="false" customHeight="false" outlineLevel="0" collapsed="false">
      <c r="A2098" s="31" t="str">
        <f aca="false">Demand_History!C2098</f>
        <v>BED-001</v>
      </c>
      <c r="B2098" s="31" t="n">
        <f aca="false">Demand_History!A2098</f>
        <v>17</v>
      </c>
      <c r="C2098" s="32" t="n">
        <f aca="false">Demand_History!D2098</f>
        <v>42</v>
      </c>
      <c r="D2098" s="33" t="n">
        <f aca="false">IF(B2098&gt;=2,C2097,"")</f>
        <v>51</v>
      </c>
      <c r="E2098" s="33" t="n">
        <f aca="false">IF(B2098&gt;=5,AVERAGE(C2094:C2097),"")</f>
        <v>42.75</v>
      </c>
      <c r="F2098" s="33" t="n">
        <f aca="false">IF(B2098&gt;=9,AVERAGE(C2090:C2097),"")</f>
        <v>42.125</v>
      </c>
      <c r="G2098" s="33" t="n">
        <f aca="false">IF(B2098=1,"",IF(B2098=2,C2097,SES_Alpha*C2097+(1-SES_Alpha)*G2097))</f>
        <v>43.3727309784802</v>
      </c>
      <c r="H2098" s="33" t="n">
        <f aca="false">IF(D2098="","",D2098-C2098)</f>
        <v>9</v>
      </c>
      <c r="I2098" s="33" t="n">
        <f aca="false">IF(E2098="","",E2098-C2098)</f>
        <v>0.75</v>
      </c>
      <c r="J2098" s="33" t="n">
        <f aca="false">IF(F2098="","",F2098-C2098)</f>
        <v>0.125</v>
      </c>
      <c r="K2098" s="33" t="n">
        <f aca="false">IF(G2098="","",G2098-C2098)</f>
        <v>1.3727309784802</v>
      </c>
      <c r="L2098" s="33" t="n">
        <f aca="false">IF(H2098="","",ABS(H2098))</f>
        <v>9</v>
      </c>
      <c r="M2098" s="33" t="n">
        <f aca="false">IF(I2098="","",ABS(I2098))</f>
        <v>0.75</v>
      </c>
      <c r="N2098" s="33" t="n">
        <f aca="false">IF(J2098="","",ABS(J2098))</f>
        <v>0.125</v>
      </c>
      <c r="O2098" s="33" t="n">
        <f aca="false">IF(K2098="","",ABS(K2098))</f>
        <v>1.3727309784802</v>
      </c>
      <c r="P2098" s="34" t="str">
        <f aca="false">IF(B2098&gt;=Eval_Start_Week,"YES","")</f>
        <v/>
      </c>
      <c r="Q2098" s="34" t="str">
        <f aca="false">IF(AND(B2098&gt;=Cal_Start_Week,B2098&lt;=Cal_End_Week),"YES","")</f>
        <v/>
      </c>
    </row>
    <row r="2099" customFormat="false" ht="15" hidden="false" customHeight="false" outlineLevel="0" collapsed="false">
      <c r="A2099" s="31" t="str">
        <f aca="false">Demand_History!C2099</f>
        <v>BED-001</v>
      </c>
      <c r="B2099" s="31" t="n">
        <f aca="false">Demand_History!A2099</f>
        <v>18</v>
      </c>
      <c r="C2099" s="32" t="n">
        <f aca="false">Demand_History!D2099</f>
        <v>41</v>
      </c>
      <c r="D2099" s="33" t="n">
        <f aca="false">IF(B2099&gt;=2,C2098,"")</f>
        <v>42</v>
      </c>
      <c r="E2099" s="33" t="n">
        <f aca="false">IF(B2099&gt;=5,AVERAGE(C2095:C2098),"")</f>
        <v>43.25</v>
      </c>
      <c r="F2099" s="33" t="n">
        <f aca="false">IF(B2099&gt;=9,AVERAGE(C2091:C2098),"")</f>
        <v>41.875</v>
      </c>
      <c r="G2099" s="33" t="n">
        <f aca="false">IF(B2099=1,"",IF(B2099=2,C2098,SES_Alpha*C2098+(1-SES_Alpha)*G2098))</f>
        <v>42.9609116849361</v>
      </c>
      <c r="H2099" s="33" t="n">
        <f aca="false">IF(D2099="","",D2099-C2099)</f>
        <v>1</v>
      </c>
      <c r="I2099" s="33" t="n">
        <f aca="false">IF(E2099="","",E2099-C2099)</f>
        <v>2.25</v>
      </c>
      <c r="J2099" s="33" t="n">
        <f aca="false">IF(F2099="","",F2099-C2099)</f>
        <v>0.875</v>
      </c>
      <c r="K2099" s="33" t="n">
        <f aca="false">IF(G2099="","",G2099-C2099)</f>
        <v>1.96091168493614</v>
      </c>
      <c r="L2099" s="33" t="n">
        <f aca="false">IF(H2099="","",ABS(H2099))</f>
        <v>1</v>
      </c>
      <c r="M2099" s="33" t="n">
        <f aca="false">IF(I2099="","",ABS(I2099))</f>
        <v>2.25</v>
      </c>
      <c r="N2099" s="33" t="n">
        <f aca="false">IF(J2099="","",ABS(J2099))</f>
        <v>0.875</v>
      </c>
      <c r="O2099" s="33" t="n">
        <f aca="false">IF(K2099="","",ABS(K2099))</f>
        <v>1.96091168493614</v>
      </c>
      <c r="P2099" s="34" t="str">
        <f aca="false">IF(B2099&gt;=Eval_Start_Week,"YES","")</f>
        <v/>
      </c>
      <c r="Q2099" s="34" t="str">
        <f aca="false">IF(AND(B2099&gt;=Cal_Start_Week,B2099&lt;=Cal_End_Week),"YES","")</f>
        <v/>
      </c>
    </row>
    <row r="2100" customFormat="false" ht="15" hidden="false" customHeight="false" outlineLevel="0" collapsed="false">
      <c r="A2100" s="31" t="str">
        <f aca="false">Demand_History!C2100</f>
        <v>BED-001</v>
      </c>
      <c r="B2100" s="31" t="n">
        <f aca="false">Demand_History!A2100</f>
        <v>19</v>
      </c>
      <c r="C2100" s="32" t="n">
        <f aca="false">Demand_History!D2100</f>
        <v>36</v>
      </c>
      <c r="D2100" s="33" t="n">
        <f aca="false">IF(B2100&gt;=2,C2099,"")</f>
        <v>41</v>
      </c>
      <c r="E2100" s="33" t="n">
        <f aca="false">IF(B2100&gt;=5,AVERAGE(C2096:C2099),"")</f>
        <v>44</v>
      </c>
      <c r="F2100" s="33" t="n">
        <f aca="false">IF(B2100&gt;=9,AVERAGE(C2092:C2099),"")</f>
        <v>42.125</v>
      </c>
      <c r="G2100" s="33" t="n">
        <f aca="false">IF(B2100=1,"",IF(B2100=2,C2099,SES_Alpha*C2099+(1-SES_Alpha)*G2099))</f>
        <v>42.3726381794553</v>
      </c>
      <c r="H2100" s="33" t="n">
        <f aca="false">IF(D2100="","",D2100-C2100)</f>
        <v>5</v>
      </c>
      <c r="I2100" s="33" t="n">
        <f aca="false">IF(E2100="","",E2100-C2100)</f>
        <v>8</v>
      </c>
      <c r="J2100" s="33" t="n">
        <f aca="false">IF(F2100="","",F2100-C2100)</f>
        <v>6.125</v>
      </c>
      <c r="K2100" s="33" t="n">
        <f aca="false">IF(G2100="","",G2100-C2100)</f>
        <v>6.37263817945529</v>
      </c>
      <c r="L2100" s="33" t="n">
        <f aca="false">IF(H2100="","",ABS(H2100))</f>
        <v>5</v>
      </c>
      <c r="M2100" s="33" t="n">
        <f aca="false">IF(I2100="","",ABS(I2100))</f>
        <v>8</v>
      </c>
      <c r="N2100" s="33" t="n">
        <f aca="false">IF(J2100="","",ABS(J2100))</f>
        <v>6.125</v>
      </c>
      <c r="O2100" s="33" t="n">
        <f aca="false">IF(K2100="","",ABS(K2100))</f>
        <v>6.37263817945529</v>
      </c>
      <c r="P2100" s="34" t="str">
        <f aca="false">IF(B2100&gt;=Eval_Start_Week,"YES","")</f>
        <v/>
      </c>
      <c r="Q2100" s="34" t="str">
        <f aca="false">IF(AND(B2100&gt;=Cal_Start_Week,B2100&lt;=Cal_End_Week),"YES","")</f>
        <v/>
      </c>
    </row>
    <row r="2101" customFormat="false" ht="15" hidden="false" customHeight="false" outlineLevel="0" collapsed="false">
      <c r="A2101" s="31" t="str">
        <f aca="false">Demand_History!C2101</f>
        <v>BED-001</v>
      </c>
      <c r="B2101" s="31" t="n">
        <f aca="false">Demand_History!A2101</f>
        <v>20</v>
      </c>
      <c r="C2101" s="32" t="n">
        <f aca="false">Demand_History!D2101</f>
        <v>36</v>
      </c>
      <c r="D2101" s="33" t="n">
        <f aca="false">IF(B2101&gt;=2,C2100,"")</f>
        <v>36</v>
      </c>
      <c r="E2101" s="33" t="n">
        <f aca="false">IF(B2101&gt;=5,AVERAGE(C2097:C2100),"")</f>
        <v>42.5</v>
      </c>
      <c r="F2101" s="33" t="n">
        <f aca="false">IF(B2101&gt;=9,AVERAGE(C2093:C2100),"")</f>
        <v>41</v>
      </c>
      <c r="G2101" s="33" t="n">
        <f aca="false">IF(B2101=1,"",IF(B2101=2,C2100,SES_Alpha*C2100+(1-SES_Alpha)*G2100))</f>
        <v>40.4608467256187</v>
      </c>
      <c r="H2101" s="33" t="n">
        <f aca="false">IF(D2101="","",D2101-C2101)</f>
        <v>0</v>
      </c>
      <c r="I2101" s="33" t="n">
        <f aca="false">IF(E2101="","",E2101-C2101)</f>
        <v>6.5</v>
      </c>
      <c r="J2101" s="33" t="n">
        <f aca="false">IF(F2101="","",F2101-C2101)</f>
        <v>5</v>
      </c>
      <c r="K2101" s="33" t="n">
        <f aca="false">IF(G2101="","",G2101-C2101)</f>
        <v>4.4608467256187</v>
      </c>
      <c r="L2101" s="33" t="n">
        <f aca="false">IF(H2101="","",ABS(H2101))</f>
        <v>0</v>
      </c>
      <c r="M2101" s="33" t="n">
        <f aca="false">IF(I2101="","",ABS(I2101))</f>
        <v>6.5</v>
      </c>
      <c r="N2101" s="33" t="n">
        <f aca="false">IF(J2101="","",ABS(J2101))</f>
        <v>5</v>
      </c>
      <c r="O2101" s="33" t="n">
        <f aca="false">IF(K2101="","",ABS(K2101))</f>
        <v>4.4608467256187</v>
      </c>
      <c r="P2101" s="34" t="str">
        <f aca="false">IF(B2101&gt;=Eval_Start_Week,"YES","")</f>
        <v/>
      </c>
      <c r="Q2101" s="34" t="str">
        <f aca="false">IF(AND(B2101&gt;=Cal_Start_Week,B2101&lt;=Cal_End_Week),"YES","")</f>
        <v/>
      </c>
    </row>
    <row r="2102" customFormat="false" ht="15" hidden="false" customHeight="false" outlineLevel="0" collapsed="false">
      <c r="A2102" s="31" t="str">
        <f aca="false">Demand_History!C2102</f>
        <v>BED-001</v>
      </c>
      <c r="B2102" s="31" t="n">
        <f aca="false">Demand_History!A2102</f>
        <v>21</v>
      </c>
      <c r="C2102" s="32" t="n">
        <f aca="false">Demand_History!D2102</f>
        <v>48</v>
      </c>
      <c r="D2102" s="33" t="n">
        <f aca="false">IF(B2102&gt;=2,C2101,"")</f>
        <v>36</v>
      </c>
      <c r="E2102" s="33" t="n">
        <f aca="false">IF(B2102&gt;=5,AVERAGE(C2098:C2101),"")</f>
        <v>38.75</v>
      </c>
      <c r="F2102" s="33" t="n">
        <f aca="false">IF(B2102&gt;=9,AVERAGE(C2094:C2101),"")</f>
        <v>40.75</v>
      </c>
      <c r="G2102" s="33" t="n">
        <f aca="false">IF(B2102=1,"",IF(B2102=2,C2101,SES_Alpha*C2101+(1-SES_Alpha)*G2101))</f>
        <v>39.1225927079331</v>
      </c>
      <c r="H2102" s="33" t="n">
        <f aca="false">IF(D2102="","",D2102-C2102)</f>
        <v>-12</v>
      </c>
      <c r="I2102" s="33" t="n">
        <f aca="false">IF(E2102="","",E2102-C2102)</f>
        <v>-9.25</v>
      </c>
      <c r="J2102" s="33" t="n">
        <f aca="false">IF(F2102="","",F2102-C2102)</f>
        <v>-7.25</v>
      </c>
      <c r="K2102" s="33" t="n">
        <f aca="false">IF(G2102="","",G2102-C2102)</f>
        <v>-8.87740729206691</v>
      </c>
      <c r="L2102" s="33" t="n">
        <f aca="false">IF(H2102="","",ABS(H2102))</f>
        <v>12</v>
      </c>
      <c r="M2102" s="33" t="n">
        <f aca="false">IF(I2102="","",ABS(I2102))</f>
        <v>9.25</v>
      </c>
      <c r="N2102" s="33" t="n">
        <f aca="false">IF(J2102="","",ABS(J2102))</f>
        <v>7.25</v>
      </c>
      <c r="O2102" s="33" t="n">
        <f aca="false">IF(K2102="","",ABS(K2102))</f>
        <v>8.87740729206691</v>
      </c>
      <c r="P2102" s="34" t="str">
        <f aca="false">IF(B2102&gt;=Eval_Start_Week,"YES","")</f>
        <v/>
      </c>
      <c r="Q2102" s="34" t="str">
        <f aca="false">IF(AND(B2102&gt;=Cal_Start_Week,B2102&lt;=Cal_End_Week),"YES","")</f>
        <v/>
      </c>
    </row>
    <row r="2103" customFormat="false" ht="15" hidden="false" customHeight="false" outlineLevel="0" collapsed="false">
      <c r="A2103" s="31" t="str">
        <f aca="false">Demand_History!C2103</f>
        <v>BED-001</v>
      </c>
      <c r="B2103" s="31" t="n">
        <f aca="false">Demand_History!A2103</f>
        <v>22</v>
      </c>
      <c r="C2103" s="32" t="n">
        <f aca="false">Demand_History!D2103</f>
        <v>34</v>
      </c>
      <c r="D2103" s="33" t="n">
        <f aca="false">IF(B2103&gt;=2,C2102,"")</f>
        <v>48</v>
      </c>
      <c r="E2103" s="33" t="n">
        <f aca="false">IF(B2103&gt;=5,AVERAGE(C2099:C2102),"")</f>
        <v>40.25</v>
      </c>
      <c r="F2103" s="33" t="n">
        <f aca="false">IF(B2103&gt;=9,AVERAGE(C2095:C2102),"")</f>
        <v>41.75</v>
      </c>
      <c r="G2103" s="33" t="n">
        <f aca="false">IF(B2103=1,"",IF(B2103=2,C2102,SES_Alpha*C2102+(1-SES_Alpha)*G2102))</f>
        <v>41.7858148955532</v>
      </c>
      <c r="H2103" s="33" t="n">
        <f aca="false">IF(D2103="","",D2103-C2103)</f>
        <v>14</v>
      </c>
      <c r="I2103" s="33" t="n">
        <f aca="false">IF(E2103="","",E2103-C2103)</f>
        <v>6.25</v>
      </c>
      <c r="J2103" s="33" t="n">
        <f aca="false">IF(F2103="","",F2103-C2103)</f>
        <v>7.75</v>
      </c>
      <c r="K2103" s="33" t="n">
        <f aca="false">IF(G2103="","",G2103-C2103)</f>
        <v>7.78581489555316</v>
      </c>
      <c r="L2103" s="33" t="n">
        <f aca="false">IF(H2103="","",ABS(H2103))</f>
        <v>14</v>
      </c>
      <c r="M2103" s="33" t="n">
        <f aca="false">IF(I2103="","",ABS(I2103))</f>
        <v>6.25</v>
      </c>
      <c r="N2103" s="33" t="n">
        <f aca="false">IF(J2103="","",ABS(J2103))</f>
        <v>7.75</v>
      </c>
      <c r="O2103" s="33" t="n">
        <f aca="false">IF(K2103="","",ABS(K2103))</f>
        <v>7.78581489555316</v>
      </c>
      <c r="P2103" s="34" t="str">
        <f aca="false">IF(B2103&gt;=Eval_Start_Week,"YES","")</f>
        <v/>
      </c>
      <c r="Q2103" s="34" t="str">
        <f aca="false">IF(AND(B2103&gt;=Cal_Start_Week,B2103&lt;=Cal_End_Week),"YES","")</f>
        <v/>
      </c>
    </row>
    <row r="2104" customFormat="false" ht="15" hidden="false" customHeight="false" outlineLevel="0" collapsed="false">
      <c r="A2104" s="31" t="str">
        <f aca="false">Demand_History!C2104</f>
        <v>BED-001</v>
      </c>
      <c r="B2104" s="31" t="n">
        <f aca="false">Demand_History!A2104</f>
        <v>23</v>
      </c>
      <c r="C2104" s="32" t="n">
        <f aca="false">Demand_History!D2104</f>
        <v>35</v>
      </c>
      <c r="D2104" s="33" t="n">
        <f aca="false">IF(B2104&gt;=2,C2103,"")</f>
        <v>34</v>
      </c>
      <c r="E2104" s="33" t="n">
        <f aca="false">IF(B2104&gt;=5,AVERAGE(C2100:C2103),"")</f>
        <v>38.5</v>
      </c>
      <c r="F2104" s="33" t="n">
        <f aca="false">IF(B2104&gt;=9,AVERAGE(C2096:C2103),"")</f>
        <v>41.25</v>
      </c>
      <c r="G2104" s="33" t="n">
        <f aca="false">IF(B2104=1,"",IF(B2104=2,C2103,SES_Alpha*C2103+(1-SES_Alpha)*G2103))</f>
        <v>39.4500704268872</v>
      </c>
      <c r="H2104" s="33" t="n">
        <f aca="false">IF(D2104="","",D2104-C2104)</f>
        <v>-1</v>
      </c>
      <c r="I2104" s="33" t="n">
        <f aca="false">IF(E2104="","",E2104-C2104)</f>
        <v>3.5</v>
      </c>
      <c r="J2104" s="33" t="n">
        <f aca="false">IF(F2104="","",F2104-C2104)</f>
        <v>6.25</v>
      </c>
      <c r="K2104" s="33" t="n">
        <f aca="false">IF(G2104="","",G2104-C2104)</f>
        <v>4.45007042688721</v>
      </c>
      <c r="L2104" s="33" t="n">
        <f aca="false">IF(H2104="","",ABS(H2104))</f>
        <v>1</v>
      </c>
      <c r="M2104" s="33" t="n">
        <f aca="false">IF(I2104="","",ABS(I2104))</f>
        <v>3.5</v>
      </c>
      <c r="N2104" s="33" t="n">
        <f aca="false">IF(J2104="","",ABS(J2104))</f>
        <v>6.25</v>
      </c>
      <c r="O2104" s="33" t="n">
        <f aca="false">IF(K2104="","",ABS(K2104))</f>
        <v>4.45007042688721</v>
      </c>
      <c r="P2104" s="34" t="str">
        <f aca="false">IF(B2104&gt;=Eval_Start_Week,"YES","")</f>
        <v/>
      </c>
      <c r="Q2104" s="34" t="str">
        <f aca="false">IF(AND(B2104&gt;=Cal_Start_Week,B2104&lt;=Cal_End_Week),"YES","")</f>
        <v/>
      </c>
    </row>
    <row r="2105" customFormat="false" ht="15" hidden="false" customHeight="false" outlineLevel="0" collapsed="false">
      <c r="A2105" s="31" t="str">
        <f aca="false">Demand_History!C2105</f>
        <v>BED-001</v>
      </c>
      <c r="B2105" s="31" t="n">
        <f aca="false">Demand_History!A2105</f>
        <v>24</v>
      </c>
      <c r="C2105" s="32" t="n">
        <f aca="false">Demand_History!D2105</f>
        <v>39</v>
      </c>
      <c r="D2105" s="33" t="n">
        <f aca="false">IF(B2105&gt;=2,C2104,"")</f>
        <v>35</v>
      </c>
      <c r="E2105" s="33" t="n">
        <f aca="false">IF(B2105&gt;=5,AVERAGE(C2101:C2104),"")</f>
        <v>38.25</v>
      </c>
      <c r="F2105" s="33" t="n">
        <f aca="false">IF(B2105&gt;=9,AVERAGE(C2097:C2104),"")</f>
        <v>40.375</v>
      </c>
      <c r="G2105" s="33" t="n">
        <f aca="false">IF(B2105=1,"",IF(B2105=2,C2104,SES_Alpha*C2104+(1-SES_Alpha)*G2104))</f>
        <v>38.1150492988211</v>
      </c>
      <c r="H2105" s="33" t="n">
        <f aca="false">IF(D2105="","",D2105-C2105)</f>
        <v>-4</v>
      </c>
      <c r="I2105" s="33" t="n">
        <f aca="false">IF(E2105="","",E2105-C2105)</f>
        <v>-0.75</v>
      </c>
      <c r="J2105" s="33" t="n">
        <f aca="false">IF(F2105="","",F2105-C2105)</f>
        <v>1.375</v>
      </c>
      <c r="K2105" s="33" t="n">
        <f aca="false">IF(G2105="","",G2105-C2105)</f>
        <v>-0.884950701178951</v>
      </c>
      <c r="L2105" s="33" t="n">
        <f aca="false">IF(H2105="","",ABS(H2105))</f>
        <v>4</v>
      </c>
      <c r="M2105" s="33" t="n">
        <f aca="false">IF(I2105="","",ABS(I2105))</f>
        <v>0.75</v>
      </c>
      <c r="N2105" s="33" t="n">
        <f aca="false">IF(J2105="","",ABS(J2105))</f>
        <v>1.375</v>
      </c>
      <c r="O2105" s="33" t="n">
        <f aca="false">IF(K2105="","",ABS(K2105))</f>
        <v>0.884950701178951</v>
      </c>
      <c r="P2105" s="34" t="str">
        <f aca="false">IF(B2105&gt;=Eval_Start_Week,"YES","")</f>
        <v/>
      </c>
      <c r="Q2105" s="34" t="str">
        <f aca="false">IF(AND(B2105&gt;=Cal_Start_Week,B2105&lt;=Cal_End_Week),"YES","")</f>
        <v/>
      </c>
    </row>
    <row r="2106" customFormat="false" ht="15" hidden="false" customHeight="false" outlineLevel="0" collapsed="false">
      <c r="A2106" s="31" t="str">
        <f aca="false">Demand_History!C2106</f>
        <v>BED-001</v>
      </c>
      <c r="B2106" s="31" t="n">
        <f aca="false">Demand_History!A2106</f>
        <v>25</v>
      </c>
      <c r="C2106" s="32" t="n">
        <f aca="false">Demand_History!D2106</f>
        <v>38</v>
      </c>
      <c r="D2106" s="33" t="n">
        <f aca="false">IF(B2106&gt;=2,C2105,"")</f>
        <v>39</v>
      </c>
      <c r="E2106" s="33" t="n">
        <f aca="false">IF(B2106&gt;=5,AVERAGE(C2102:C2105),"")</f>
        <v>39</v>
      </c>
      <c r="F2106" s="33" t="n">
        <f aca="false">IF(B2106&gt;=9,AVERAGE(C2098:C2105),"")</f>
        <v>38.875</v>
      </c>
      <c r="G2106" s="33" t="n">
        <f aca="false">IF(B2106=1,"",IF(B2106=2,C2105,SES_Alpha*C2105+(1-SES_Alpha)*G2105))</f>
        <v>38.3805345091747</v>
      </c>
      <c r="H2106" s="33" t="n">
        <f aca="false">IF(D2106="","",D2106-C2106)</f>
        <v>1</v>
      </c>
      <c r="I2106" s="33" t="n">
        <f aca="false">IF(E2106="","",E2106-C2106)</f>
        <v>1</v>
      </c>
      <c r="J2106" s="33" t="n">
        <f aca="false">IF(F2106="","",F2106-C2106)</f>
        <v>0.875</v>
      </c>
      <c r="K2106" s="33" t="n">
        <f aca="false">IF(G2106="","",G2106-C2106)</f>
        <v>0.380534509174737</v>
      </c>
      <c r="L2106" s="33" t="n">
        <f aca="false">IF(H2106="","",ABS(H2106))</f>
        <v>1</v>
      </c>
      <c r="M2106" s="33" t="n">
        <f aca="false">IF(I2106="","",ABS(I2106))</f>
        <v>1</v>
      </c>
      <c r="N2106" s="33" t="n">
        <f aca="false">IF(J2106="","",ABS(J2106))</f>
        <v>0.875</v>
      </c>
      <c r="O2106" s="33" t="n">
        <f aca="false">IF(K2106="","",ABS(K2106))</f>
        <v>0.380534509174737</v>
      </c>
      <c r="P2106" s="34" t="str">
        <f aca="false">IF(B2106&gt;=Eval_Start_Week,"YES","")</f>
        <v/>
      </c>
      <c r="Q2106" s="34" t="str">
        <f aca="false">IF(AND(B2106&gt;=Cal_Start_Week,B2106&lt;=Cal_End_Week),"YES","")</f>
        <v/>
      </c>
    </row>
    <row r="2107" customFormat="false" ht="15" hidden="false" customHeight="false" outlineLevel="0" collapsed="false">
      <c r="A2107" s="31" t="str">
        <f aca="false">Demand_History!C2107</f>
        <v>BED-001</v>
      </c>
      <c r="B2107" s="31" t="n">
        <f aca="false">Demand_History!A2107</f>
        <v>26</v>
      </c>
      <c r="C2107" s="32" t="n">
        <f aca="false">Demand_History!D2107</f>
        <v>51</v>
      </c>
      <c r="D2107" s="33" t="n">
        <f aca="false">IF(B2107&gt;=2,C2106,"")</f>
        <v>38</v>
      </c>
      <c r="E2107" s="33" t="n">
        <f aca="false">IF(B2107&gt;=5,AVERAGE(C2103:C2106),"")</f>
        <v>36.5</v>
      </c>
      <c r="F2107" s="33" t="n">
        <f aca="false">IF(B2107&gt;=9,AVERAGE(C2099:C2106),"")</f>
        <v>38.375</v>
      </c>
      <c r="G2107" s="33" t="n">
        <f aca="false">IF(B2107=1,"",IF(B2107=2,C2106,SES_Alpha*C2106+(1-SES_Alpha)*G2106))</f>
        <v>38.2663741564223</v>
      </c>
      <c r="H2107" s="33" t="n">
        <f aca="false">IF(D2107="","",D2107-C2107)</f>
        <v>-13</v>
      </c>
      <c r="I2107" s="33" t="n">
        <f aca="false">IF(E2107="","",E2107-C2107)</f>
        <v>-14.5</v>
      </c>
      <c r="J2107" s="33" t="n">
        <f aca="false">IF(F2107="","",F2107-C2107)</f>
        <v>-12.625</v>
      </c>
      <c r="K2107" s="33" t="n">
        <f aca="false">IF(G2107="","",G2107-C2107)</f>
        <v>-12.7336258435777</v>
      </c>
      <c r="L2107" s="33" t="n">
        <f aca="false">IF(H2107="","",ABS(H2107))</f>
        <v>13</v>
      </c>
      <c r="M2107" s="33" t="n">
        <f aca="false">IF(I2107="","",ABS(I2107))</f>
        <v>14.5</v>
      </c>
      <c r="N2107" s="33" t="n">
        <f aca="false">IF(J2107="","",ABS(J2107))</f>
        <v>12.625</v>
      </c>
      <c r="O2107" s="33" t="n">
        <f aca="false">IF(K2107="","",ABS(K2107))</f>
        <v>12.7336258435777</v>
      </c>
      <c r="P2107" s="34" t="str">
        <f aca="false">IF(B2107&gt;=Eval_Start_Week,"YES","")</f>
        <v/>
      </c>
      <c r="Q2107" s="34" t="str">
        <f aca="false">IF(AND(B2107&gt;=Cal_Start_Week,B2107&lt;=Cal_End_Week),"YES","")</f>
        <v/>
      </c>
    </row>
    <row r="2108" customFormat="false" ht="15" hidden="false" customHeight="false" outlineLevel="0" collapsed="false">
      <c r="A2108" s="31" t="str">
        <f aca="false">Demand_History!C2108</f>
        <v>BED-001</v>
      </c>
      <c r="B2108" s="31" t="n">
        <f aca="false">Demand_History!A2108</f>
        <v>27</v>
      </c>
      <c r="C2108" s="32" t="n">
        <f aca="false">Demand_History!D2108</f>
        <v>27</v>
      </c>
      <c r="D2108" s="33" t="n">
        <f aca="false">IF(B2108&gt;=2,C2107,"")</f>
        <v>51</v>
      </c>
      <c r="E2108" s="33" t="n">
        <f aca="false">IF(B2108&gt;=5,AVERAGE(C2104:C2107),"")</f>
        <v>40.75</v>
      </c>
      <c r="F2108" s="33" t="n">
        <f aca="false">IF(B2108&gt;=9,AVERAGE(C2100:C2107),"")</f>
        <v>39.625</v>
      </c>
      <c r="G2108" s="33" t="n">
        <f aca="false">IF(B2108=1,"",IF(B2108=2,C2107,SES_Alpha*C2107+(1-SES_Alpha)*G2107))</f>
        <v>42.0864619094956</v>
      </c>
      <c r="H2108" s="33" t="n">
        <f aca="false">IF(D2108="","",D2108-C2108)</f>
        <v>24</v>
      </c>
      <c r="I2108" s="33" t="n">
        <f aca="false">IF(E2108="","",E2108-C2108)</f>
        <v>13.75</v>
      </c>
      <c r="J2108" s="33" t="n">
        <f aca="false">IF(F2108="","",F2108-C2108)</f>
        <v>12.625</v>
      </c>
      <c r="K2108" s="33" t="n">
        <f aca="false">IF(G2108="","",G2108-C2108)</f>
        <v>15.0864619094956</v>
      </c>
      <c r="L2108" s="33" t="n">
        <f aca="false">IF(H2108="","",ABS(H2108))</f>
        <v>24</v>
      </c>
      <c r="M2108" s="33" t="n">
        <f aca="false">IF(I2108="","",ABS(I2108))</f>
        <v>13.75</v>
      </c>
      <c r="N2108" s="33" t="n">
        <f aca="false">IF(J2108="","",ABS(J2108))</f>
        <v>12.625</v>
      </c>
      <c r="O2108" s="33" t="n">
        <f aca="false">IF(K2108="","",ABS(K2108))</f>
        <v>15.0864619094956</v>
      </c>
      <c r="P2108" s="34" t="str">
        <f aca="false">IF(B2108&gt;=Eval_Start_Week,"YES","")</f>
        <v/>
      </c>
      <c r="Q2108" s="34" t="str">
        <f aca="false">IF(AND(B2108&gt;=Cal_Start_Week,B2108&lt;=Cal_End_Week),"YES","")</f>
        <v/>
      </c>
    </row>
    <row r="2109" customFormat="false" ht="15" hidden="false" customHeight="false" outlineLevel="0" collapsed="false">
      <c r="A2109" s="31" t="str">
        <f aca="false">Demand_History!C2109</f>
        <v>BED-001</v>
      </c>
      <c r="B2109" s="31" t="n">
        <f aca="false">Demand_History!A2109</f>
        <v>28</v>
      </c>
      <c r="C2109" s="32" t="n">
        <f aca="false">Demand_History!D2109</f>
        <v>42</v>
      </c>
      <c r="D2109" s="33" t="n">
        <f aca="false">IF(B2109&gt;=2,C2108,"")</f>
        <v>27</v>
      </c>
      <c r="E2109" s="33" t="n">
        <f aca="false">IF(B2109&gt;=5,AVERAGE(C2105:C2108),"")</f>
        <v>38.75</v>
      </c>
      <c r="F2109" s="33" t="n">
        <f aca="false">IF(B2109&gt;=9,AVERAGE(C2101:C2108),"")</f>
        <v>38.5</v>
      </c>
      <c r="G2109" s="33" t="n">
        <f aca="false">IF(B2109=1,"",IF(B2109=2,C2108,SES_Alpha*C2108+(1-SES_Alpha)*G2108))</f>
        <v>37.5605233366469</v>
      </c>
      <c r="H2109" s="33" t="n">
        <f aca="false">IF(D2109="","",D2109-C2109)</f>
        <v>-15</v>
      </c>
      <c r="I2109" s="33" t="n">
        <f aca="false">IF(E2109="","",E2109-C2109)</f>
        <v>-3.25</v>
      </c>
      <c r="J2109" s="33" t="n">
        <f aca="false">IF(F2109="","",F2109-C2109)</f>
        <v>-3.5</v>
      </c>
      <c r="K2109" s="33" t="n">
        <f aca="false">IF(G2109="","",G2109-C2109)</f>
        <v>-4.43947666335307</v>
      </c>
      <c r="L2109" s="33" t="n">
        <f aca="false">IF(H2109="","",ABS(H2109))</f>
        <v>15</v>
      </c>
      <c r="M2109" s="33" t="n">
        <f aca="false">IF(I2109="","",ABS(I2109))</f>
        <v>3.25</v>
      </c>
      <c r="N2109" s="33" t="n">
        <f aca="false">IF(J2109="","",ABS(J2109))</f>
        <v>3.5</v>
      </c>
      <c r="O2109" s="33" t="n">
        <f aca="false">IF(K2109="","",ABS(K2109))</f>
        <v>4.43947666335307</v>
      </c>
      <c r="P2109" s="34" t="str">
        <f aca="false">IF(B2109&gt;=Eval_Start_Week,"YES","")</f>
        <v/>
      </c>
      <c r="Q2109" s="34" t="str">
        <f aca="false">IF(AND(B2109&gt;=Cal_Start_Week,B2109&lt;=Cal_End_Week),"YES","")</f>
        <v/>
      </c>
    </row>
    <row r="2110" customFormat="false" ht="15" hidden="false" customHeight="false" outlineLevel="0" collapsed="false">
      <c r="A2110" s="31" t="str">
        <f aca="false">Demand_History!C2110</f>
        <v>BED-001</v>
      </c>
      <c r="B2110" s="31" t="n">
        <f aca="false">Demand_History!A2110</f>
        <v>29</v>
      </c>
      <c r="C2110" s="32" t="n">
        <f aca="false">Demand_History!D2110</f>
        <v>44</v>
      </c>
      <c r="D2110" s="33" t="n">
        <f aca="false">IF(B2110&gt;=2,C2109,"")</f>
        <v>42</v>
      </c>
      <c r="E2110" s="33" t="n">
        <f aca="false">IF(B2110&gt;=5,AVERAGE(C2106:C2109),"")</f>
        <v>39.5</v>
      </c>
      <c r="F2110" s="33" t="n">
        <f aca="false">IF(B2110&gt;=9,AVERAGE(C2102:C2109),"")</f>
        <v>39.25</v>
      </c>
      <c r="G2110" s="33" t="n">
        <f aca="false">IF(B2110=1,"",IF(B2110=2,C2109,SES_Alpha*C2109+(1-SES_Alpha)*G2109))</f>
        <v>38.8923663356529</v>
      </c>
      <c r="H2110" s="33" t="n">
        <f aca="false">IF(D2110="","",D2110-C2110)</f>
        <v>-2</v>
      </c>
      <c r="I2110" s="33" t="n">
        <f aca="false">IF(E2110="","",E2110-C2110)</f>
        <v>-4.5</v>
      </c>
      <c r="J2110" s="33" t="n">
        <f aca="false">IF(F2110="","",F2110-C2110)</f>
        <v>-4.75</v>
      </c>
      <c r="K2110" s="33" t="n">
        <f aca="false">IF(G2110="","",G2110-C2110)</f>
        <v>-5.10763366434715</v>
      </c>
      <c r="L2110" s="33" t="n">
        <f aca="false">IF(H2110="","",ABS(H2110))</f>
        <v>2</v>
      </c>
      <c r="M2110" s="33" t="n">
        <f aca="false">IF(I2110="","",ABS(I2110))</f>
        <v>4.5</v>
      </c>
      <c r="N2110" s="33" t="n">
        <f aca="false">IF(J2110="","",ABS(J2110))</f>
        <v>4.75</v>
      </c>
      <c r="O2110" s="33" t="n">
        <f aca="false">IF(K2110="","",ABS(K2110))</f>
        <v>5.10763366434715</v>
      </c>
      <c r="P2110" s="34" t="str">
        <f aca="false">IF(B2110&gt;=Eval_Start_Week,"YES","")</f>
        <v/>
      </c>
      <c r="Q2110" s="34" t="str">
        <f aca="false">IF(AND(B2110&gt;=Cal_Start_Week,B2110&lt;=Cal_End_Week),"YES","")</f>
        <v/>
      </c>
    </row>
    <row r="2111" customFormat="false" ht="15" hidden="false" customHeight="false" outlineLevel="0" collapsed="false">
      <c r="A2111" s="31" t="str">
        <f aca="false">Demand_History!C2111</f>
        <v>BED-001</v>
      </c>
      <c r="B2111" s="31" t="n">
        <f aca="false">Demand_History!A2111</f>
        <v>30</v>
      </c>
      <c r="C2111" s="32" t="n">
        <f aca="false">Demand_History!D2111</f>
        <v>34</v>
      </c>
      <c r="D2111" s="33" t="n">
        <f aca="false">IF(B2111&gt;=2,C2110,"")</f>
        <v>44</v>
      </c>
      <c r="E2111" s="33" t="n">
        <f aca="false">IF(B2111&gt;=5,AVERAGE(C2107:C2110),"")</f>
        <v>41</v>
      </c>
      <c r="F2111" s="33" t="n">
        <f aca="false">IF(B2111&gt;=9,AVERAGE(C2103:C2110),"")</f>
        <v>38.75</v>
      </c>
      <c r="G2111" s="33" t="n">
        <f aca="false">IF(B2111=1,"",IF(B2111=2,C2110,SES_Alpha*C2110+(1-SES_Alpha)*G2110))</f>
        <v>40.424656434957</v>
      </c>
      <c r="H2111" s="33" t="n">
        <f aca="false">IF(D2111="","",D2111-C2111)</f>
        <v>10</v>
      </c>
      <c r="I2111" s="33" t="n">
        <f aca="false">IF(E2111="","",E2111-C2111)</f>
        <v>7</v>
      </c>
      <c r="J2111" s="33" t="n">
        <f aca="false">IF(F2111="","",F2111-C2111)</f>
        <v>4.75</v>
      </c>
      <c r="K2111" s="33" t="n">
        <f aca="false">IF(G2111="","",G2111-C2111)</f>
        <v>6.42465643495699</v>
      </c>
      <c r="L2111" s="33" t="n">
        <f aca="false">IF(H2111="","",ABS(H2111))</f>
        <v>10</v>
      </c>
      <c r="M2111" s="33" t="n">
        <f aca="false">IF(I2111="","",ABS(I2111))</f>
        <v>7</v>
      </c>
      <c r="N2111" s="33" t="n">
        <f aca="false">IF(J2111="","",ABS(J2111))</f>
        <v>4.75</v>
      </c>
      <c r="O2111" s="33" t="n">
        <f aca="false">IF(K2111="","",ABS(K2111))</f>
        <v>6.42465643495699</v>
      </c>
      <c r="P2111" s="34" t="str">
        <f aca="false">IF(B2111&gt;=Eval_Start_Week,"YES","")</f>
        <v/>
      </c>
      <c r="Q2111" s="34" t="str">
        <f aca="false">IF(AND(B2111&gt;=Cal_Start_Week,B2111&lt;=Cal_End_Week),"YES","")</f>
        <v/>
      </c>
    </row>
    <row r="2112" customFormat="false" ht="15" hidden="false" customHeight="false" outlineLevel="0" collapsed="false">
      <c r="A2112" s="31" t="str">
        <f aca="false">Demand_History!C2112</f>
        <v>BED-001</v>
      </c>
      <c r="B2112" s="31" t="n">
        <f aca="false">Demand_History!A2112</f>
        <v>31</v>
      </c>
      <c r="C2112" s="32" t="n">
        <f aca="false">Demand_History!D2112</f>
        <v>36</v>
      </c>
      <c r="D2112" s="33" t="n">
        <f aca="false">IF(B2112&gt;=2,C2111,"")</f>
        <v>34</v>
      </c>
      <c r="E2112" s="33" t="n">
        <f aca="false">IF(B2112&gt;=5,AVERAGE(C2108:C2111),"")</f>
        <v>36.75</v>
      </c>
      <c r="F2112" s="33" t="n">
        <f aca="false">IF(B2112&gt;=9,AVERAGE(C2104:C2111),"")</f>
        <v>38.75</v>
      </c>
      <c r="G2112" s="33" t="n">
        <f aca="false">IF(B2112=1,"",IF(B2112=2,C2111,SES_Alpha*C2111+(1-SES_Alpha)*G2111))</f>
        <v>38.4972595044699</v>
      </c>
      <c r="H2112" s="33" t="n">
        <f aca="false">IF(D2112="","",D2112-C2112)</f>
        <v>-2</v>
      </c>
      <c r="I2112" s="33" t="n">
        <f aca="false">IF(E2112="","",E2112-C2112)</f>
        <v>0.75</v>
      </c>
      <c r="J2112" s="33" t="n">
        <f aca="false">IF(F2112="","",F2112-C2112)</f>
        <v>2.75</v>
      </c>
      <c r="K2112" s="33" t="n">
        <f aca="false">IF(G2112="","",G2112-C2112)</f>
        <v>2.4972595044699</v>
      </c>
      <c r="L2112" s="33" t="n">
        <f aca="false">IF(H2112="","",ABS(H2112))</f>
        <v>2</v>
      </c>
      <c r="M2112" s="33" t="n">
        <f aca="false">IF(I2112="","",ABS(I2112))</f>
        <v>0.75</v>
      </c>
      <c r="N2112" s="33" t="n">
        <f aca="false">IF(J2112="","",ABS(J2112))</f>
        <v>2.75</v>
      </c>
      <c r="O2112" s="33" t="n">
        <f aca="false">IF(K2112="","",ABS(K2112))</f>
        <v>2.4972595044699</v>
      </c>
      <c r="P2112" s="34" t="str">
        <f aca="false">IF(B2112&gt;=Eval_Start_Week,"YES","")</f>
        <v/>
      </c>
      <c r="Q2112" s="34" t="str">
        <f aca="false">IF(AND(B2112&gt;=Cal_Start_Week,B2112&lt;=Cal_End_Week),"YES","")</f>
        <v/>
      </c>
    </row>
    <row r="2113" customFormat="false" ht="15" hidden="false" customHeight="false" outlineLevel="0" collapsed="false">
      <c r="A2113" s="31" t="str">
        <f aca="false">Demand_History!C2113</f>
        <v>BED-001</v>
      </c>
      <c r="B2113" s="31" t="n">
        <f aca="false">Demand_History!A2113</f>
        <v>32</v>
      </c>
      <c r="C2113" s="32" t="n">
        <f aca="false">Demand_History!D2113</f>
        <v>42</v>
      </c>
      <c r="D2113" s="33" t="n">
        <f aca="false">IF(B2113&gt;=2,C2112,"")</f>
        <v>36</v>
      </c>
      <c r="E2113" s="33" t="n">
        <f aca="false">IF(B2113&gt;=5,AVERAGE(C2109:C2112),"")</f>
        <v>39</v>
      </c>
      <c r="F2113" s="33" t="n">
        <f aca="false">IF(B2113&gt;=9,AVERAGE(C2105:C2112),"")</f>
        <v>38.875</v>
      </c>
      <c r="G2113" s="33" t="n">
        <f aca="false">IF(B2113=1,"",IF(B2113=2,C2112,SES_Alpha*C2112+(1-SES_Alpha)*G2112))</f>
        <v>37.7480816531289</v>
      </c>
      <c r="H2113" s="33" t="n">
        <f aca="false">IF(D2113="","",D2113-C2113)</f>
        <v>-6</v>
      </c>
      <c r="I2113" s="33" t="n">
        <f aca="false">IF(E2113="","",E2113-C2113)</f>
        <v>-3</v>
      </c>
      <c r="J2113" s="33" t="n">
        <f aca="false">IF(F2113="","",F2113-C2113)</f>
        <v>-3.125</v>
      </c>
      <c r="K2113" s="33" t="n">
        <f aca="false">IF(G2113="","",G2113-C2113)</f>
        <v>-4.25191834687108</v>
      </c>
      <c r="L2113" s="33" t="n">
        <f aca="false">IF(H2113="","",ABS(H2113))</f>
        <v>6</v>
      </c>
      <c r="M2113" s="33" t="n">
        <f aca="false">IF(I2113="","",ABS(I2113))</f>
        <v>3</v>
      </c>
      <c r="N2113" s="33" t="n">
        <f aca="false">IF(J2113="","",ABS(J2113))</f>
        <v>3.125</v>
      </c>
      <c r="O2113" s="33" t="n">
        <f aca="false">IF(K2113="","",ABS(K2113))</f>
        <v>4.25191834687108</v>
      </c>
      <c r="P2113" s="34" t="str">
        <f aca="false">IF(B2113&gt;=Eval_Start_Week,"YES","")</f>
        <v/>
      </c>
      <c r="Q2113" s="34" t="str">
        <f aca="false">IF(AND(B2113&gt;=Cal_Start_Week,B2113&lt;=Cal_End_Week),"YES","")</f>
        <v/>
      </c>
    </row>
    <row r="2114" customFormat="false" ht="15" hidden="false" customHeight="false" outlineLevel="0" collapsed="false">
      <c r="A2114" s="31" t="str">
        <f aca="false">Demand_History!C2114</f>
        <v>BED-001</v>
      </c>
      <c r="B2114" s="31" t="n">
        <f aca="false">Demand_History!A2114</f>
        <v>33</v>
      </c>
      <c r="C2114" s="32" t="n">
        <f aca="false">Demand_History!D2114</f>
        <v>49</v>
      </c>
      <c r="D2114" s="33" t="n">
        <f aca="false">IF(B2114&gt;=2,C2113,"")</f>
        <v>42</v>
      </c>
      <c r="E2114" s="33" t="n">
        <f aca="false">IF(B2114&gt;=5,AVERAGE(C2110:C2113),"")</f>
        <v>39</v>
      </c>
      <c r="F2114" s="33" t="n">
        <f aca="false">IF(B2114&gt;=9,AVERAGE(C2106:C2113),"")</f>
        <v>39.25</v>
      </c>
      <c r="G2114" s="33" t="n">
        <f aca="false">IF(B2114=1,"",IF(B2114=2,C2113,SES_Alpha*C2113+(1-SES_Alpha)*G2113))</f>
        <v>39.0236571571902</v>
      </c>
      <c r="H2114" s="33" t="n">
        <f aca="false">IF(D2114="","",D2114-C2114)</f>
        <v>-7</v>
      </c>
      <c r="I2114" s="33" t="n">
        <f aca="false">IF(E2114="","",E2114-C2114)</f>
        <v>-10</v>
      </c>
      <c r="J2114" s="33" t="n">
        <f aca="false">IF(F2114="","",F2114-C2114)</f>
        <v>-9.75</v>
      </c>
      <c r="K2114" s="33" t="n">
        <f aca="false">IF(G2114="","",G2114-C2114)</f>
        <v>-9.97634284280976</v>
      </c>
      <c r="L2114" s="33" t="n">
        <f aca="false">IF(H2114="","",ABS(H2114))</f>
        <v>7</v>
      </c>
      <c r="M2114" s="33" t="n">
        <f aca="false">IF(I2114="","",ABS(I2114))</f>
        <v>10</v>
      </c>
      <c r="N2114" s="33" t="n">
        <f aca="false">IF(J2114="","",ABS(J2114))</f>
        <v>9.75</v>
      </c>
      <c r="O2114" s="33" t="n">
        <f aca="false">IF(K2114="","",ABS(K2114))</f>
        <v>9.97634284280976</v>
      </c>
      <c r="P2114" s="34" t="str">
        <f aca="false">IF(B2114&gt;=Eval_Start_Week,"YES","")</f>
        <v/>
      </c>
      <c r="Q2114" s="34" t="str">
        <f aca="false">IF(AND(B2114&gt;=Cal_Start_Week,B2114&lt;=Cal_End_Week),"YES","")</f>
        <v/>
      </c>
    </row>
    <row r="2115" customFormat="false" ht="15" hidden="false" customHeight="false" outlineLevel="0" collapsed="false">
      <c r="A2115" s="31" t="str">
        <f aca="false">Demand_History!C2115</f>
        <v>BED-001</v>
      </c>
      <c r="B2115" s="31" t="n">
        <f aca="false">Demand_History!A2115</f>
        <v>34</v>
      </c>
      <c r="C2115" s="32" t="n">
        <f aca="false">Demand_History!D2115</f>
        <v>35</v>
      </c>
      <c r="D2115" s="33" t="n">
        <f aca="false">IF(B2115&gt;=2,C2114,"")</f>
        <v>49</v>
      </c>
      <c r="E2115" s="33" t="n">
        <f aca="false">IF(B2115&gt;=5,AVERAGE(C2111:C2114),"")</f>
        <v>40.25</v>
      </c>
      <c r="F2115" s="33" t="n">
        <f aca="false">IF(B2115&gt;=9,AVERAGE(C2107:C2114),"")</f>
        <v>40.625</v>
      </c>
      <c r="G2115" s="33" t="n">
        <f aca="false">IF(B2115=1,"",IF(B2115=2,C2114,SES_Alpha*C2114+(1-SES_Alpha)*G2114))</f>
        <v>42.0165600100332</v>
      </c>
      <c r="H2115" s="33" t="n">
        <f aca="false">IF(D2115="","",D2115-C2115)</f>
        <v>14</v>
      </c>
      <c r="I2115" s="33" t="n">
        <f aca="false">IF(E2115="","",E2115-C2115)</f>
        <v>5.25</v>
      </c>
      <c r="J2115" s="33" t="n">
        <f aca="false">IF(F2115="","",F2115-C2115)</f>
        <v>5.625</v>
      </c>
      <c r="K2115" s="33" t="n">
        <f aca="false">IF(G2115="","",G2115-C2115)</f>
        <v>7.01656001003317</v>
      </c>
      <c r="L2115" s="33" t="n">
        <f aca="false">IF(H2115="","",ABS(H2115))</f>
        <v>14</v>
      </c>
      <c r="M2115" s="33" t="n">
        <f aca="false">IF(I2115="","",ABS(I2115))</f>
        <v>5.25</v>
      </c>
      <c r="N2115" s="33" t="n">
        <f aca="false">IF(J2115="","",ABS(J2115))</f>
        <v>5.625</v>
      </c>
      <c r="O2115" s="33" t="n">
        <f aca="false">IF(K2115="","",ABS(K2115))</f>
        <v>7.01656001003317</v>
      </c>
      <c r="P2115" s="34" t="str">
        <f aca="false">IF(B2115&gt;=Eval_Start_Week,"YES","")</f>
        <v/>
      </c>
      <c r="Q2115" s="34" t="str">
        <f aca="false">IF(AND(B2115&gt;=Cal_Start_Week,B2115&lt;=Cal_End_Week),"YES","")</f>
        <v/>
      </c>
    </row>
    <row r="2116" customFormat="false" ht="15" hidden="false" customHeight="false" outlineLevel="0" collapsed="false">
      <c r="A2116" s="31" t="str">
        <f aca="false">Demand_History!C2116</f>
        <v>BED-001</v>
      </c>
      <c r="B2116" s="31" t="n">
        <f aca="false">Demand_History!A2116</f>
        <v>35</v>
      </c>
      <c r="C2116" s="32" t="n">
        <f aca="false">Demand_History!D2116</f>
        <v>31</v>
      </c>
      <c r="D2116" s="33" t="n">
        <f aca="false">IF(B2116&gt;=2,C2115,"")</f>
        <v>35</v>
      </c>
      <c r="E2116" s="33" t="n">
        <f aca="false">IF(B2116&gt;=5,AVERAGE(C2112:C2115),"")</f>
        <v>40.5</v>
      </c>
      <c r="F2116" s="33" t="n">
        <f aca="false">IF(B2116&gt;=9,AVERAGE(C2108:C2115),"")</f>
        <v>38.625</v>
      </c>
      <c r="G2116" s="33" t="n">
        <f aca="false">IF(B2116=1,"",IF(B2116=2,C2115,SES_Alpha*C2115+(1-SES_Alpha)*G2115))</f>
        <v>39.9115920070232</v>
      </c>
      <c r="H2116" s="33" t="n">
        <f aca="false">IF(D2116="","",D2116-C2116)</f>
        <v>4</v>
      </c>
      <c r="I2116" s="33" t="n">
        <f aca="false">IF(E2116="","",E2116-C2116)</f>
        <v>9.5</v>
      </c>
      <c r="J2116" s="33" t="n">
        <f aca="false">IF(F2116="","",F2116-C2116)</f>
        <v>7.625</v>
      </c>
      <c r="K2116" s="33" t="n">
        <f aca="false">IF(G2116="","",G2116-C2116)</f>
        <v>8.91159200702322</v>
      </c>
      <c r="L2116" s="33" t="n">
        <f aca="false">IF(H2116="","",ABS(H2116))</f>
        <v>4</v>
      </c>
      <c r="M2116" s="33" t="n">
        <f aca="false">IF(I2116="","",ABS(I2116))</f>
        <v>9.5</v>
      </c>
      <c r="N2116" s="33" t="n">
        <f aca="false">IF(J2116="","",ABS(J2116))</f>
        <v>7.625</v>
      </c>
      <c r="O2116" s="33" t="n">
        <f aca="false">IF(K2116="","",ABS(K2116))</f>
        <v>8.91159200702322</v>
      </c>
      <c r="P2116" s="34" t="str">
        <f aca="false">IF(B2116&gt;=Eval_Start_Week,"YES","")</f>
        <v/>
      </c>
      <c r="Q2116" s="34" t="str">
        <f aca="false">IF(AND(B2116&gt;=Cal_Start_Week,B2116&lt;=Cal_End_Week),"YES","")</f>
        <v/>
      </c>
    </row>
    <row r="2117" customFormat="false" ht="15" hidden="false" customHeight="false" outlineLevel="0" collapsed="false">
      <c r="A2117" s="31" t="str">
        <f aca="false">Demand_History!C2117</f>
        <v>BED-001</v>
      </c>
      <c r="B2117" s="31" t="n">
        <f aca="false">Demand_History!A2117</f>
        <v>36</v>
      </c>
      <c r="C2117" s="32" t="n">
        <f aca="false">Demand_History!D2117</f>
        <v>46</v>
      </c>
      <c r="D2117" s="33" t="n">
        <f aca="false">IF(B2117&gt;=2,C2116,"")</f>
        <v>31</v>
      </c>
      <c r="E2117" s="33" t="n">
        <f aca="false">IF(B2117&gt;=5,AVERAGE(C2113:C2116),"")</f>
        <v>39.25</v>
      </c>
      <c r="F2117" s="33" t="n">
        <f aca="false">IF(B2117&gt;=9,AVERAGE(C2109:C2116),"")</f>
        <v>39.125</v>
      </c>
      <c r="G2117" s="33" t="n">
        <f aca="false">IF(B2117=1,"",IF(B2117=2,C2116,SES_Alpha*C2116+(1-SES_Alpha)*G2116))</f>
        <v>37.2381144049162</v>
      </c>
      <c r="H2117" s="33" t="n">
        <f aca="false">IF(D2117="","",D2117-C2117)</f>
        <v>-15</v>
      </c>
      <c r="I2117" s="33" t="n">
        <f aca="false">IF(E2117="","",E2117-C2117)</f>
        <v>-6.75</v>
      </c>
      <c r="J2117" s="33" t="n">
        <f aca="false">IF(F2117="","",F2117-C2117)</f>
        <v>-6.875</v>
      </c>
      <c r="K2117" s="33" t="n">
        <f aca="false">IF(G2117="","",G2117-C2117)</f>
        <v>-8.76188559508375</v>
      </c>
      <c r="L2117" s="33" t="n">
        <f aca="false">IF(H2117="","",ABS(H2117))</f>
        <v>15</v>
      </c>
      <c r="M2117" s="33" t="n">
        <f aca="false">IF(I2117="","",ABS(I2117))</f>
        <v>6.75</v>
      </c>
      <c r="N2117" s="33" t="n">
        <f aca="false">IF(J2117="","",ABS(J2117))</f>
        <v>6.875</v>
      </c>
      <c r="O2117" s="33" t="n">
        <f aca="false">IF(K2117="","",ABS(K2117))</f>
        <v>8.76188559508375</v>
      </c>
      <c r="P2117" s="34" t="str">
        <f aca="false">IF(B2117&gt;=Eval_Start_Week,"YES","")</f>
        <v/>
      </c>
      <c r="Q2117" s="34" t="str">
        <f aca="false">IF(AND(B2117&gt;=Cal_Start_Week,B2117&lt;=Cal_End_Week),"YES","")</f>
        <v/>
      </c>
    </row>
    <row r="2118" customFormat="false" ht="15" hidden="false" customHeight="false" outlineLevel="0" collapsed="false">
      <c r="A2118" s="31" t="str">
        <f aca="false">Demand_History!C2118</f>
        <v>BED-001</v>
      </c>
      <c r="B2118" s="31" t="n">
        <f aca="false">Demand_History!A2118</f>
        <v>37</v>
      </c>
      <c r="C2118" s="32" t="n">
        <f aca="false">Demand_History!D2118</f>
        <v>49</v>
      </c>
      <c r="D2118" s="33" t="n">
        <f aca="false">IF(B2118&gt;=2,C2117,"")</f>
        <v>46</v>
      </c>
      <c r="E2118" s="33" t="n">
        <f aca="false">IF(B2118&gt;=5,AVERAGE(C2114:C2117),"")</f>
        <v>40.25</v>
      </c>
      <c r="F2118" s="33" t="n">
        <f aca="false">IF(B2118&gt;=9,AVERAGE(C2110:C2117),"")</f>
        <v>39.625</v>
      </c>
      <c r="G2118" s="33" t="n">
        <f aca="false">IF(B2118=1,"",IF(B2118=2,C2117,SES_Alpha*C2117+(1-SES_Alpha)*G2117))</f>
        <v>39.8666800834414</v>
      </c>
      <c r="H2118" s="33" t="n">
        <f aca="false">IF(D2118="","",D2118-C2118)</f>
        <v>-3</v>
      </c>
      <c r="I2118" s="33" t="n">
        <f aca="false">IF(E2118="","",E2118-C2118)</f>
        <v>-8.75</v>
      </c>
      <c r="J2118" s="33" t="n">
        <f aca="false">IF(F2118="","",F2118-C2118)</f>
        <v>-9.375</v>
      </c>
      <c r="K2118" s="33" t="n">
        <f aca="false">IF(G2118="","",G2118-C2118)</f>
        <v>-9.13331991655863</v>
      </c>
      <c r="L2118" s="33" t="n">
        <f aca="false">IF(H2118="","",ABS(H2118))</f>
        <v>3</v>
      </c>
      <c r="M2118" s="33" t="n">
        <f aca="false">IF(I2118="","",ABS(I2118))</f>
        <v>8.75</v>
      </c>
      <c r="N2118" s="33" t="n">
        <f aca="false">IF(J2118="","",ABS(J2118))</f>
        <v>9.375</v>
      </c>
      <c r="O2118" s="33" t="n">
        <f aca="false">IF(K2118="","",ABS(K2118))</f>
        <v>9.13331991655863</v>
      </c>
      <c r="P2118" s="34" t="str">
        <f aca="false">IF(B2118&gt;=Eval_Start_Week,"YES","")</f>
        <v/>
      </c>
      <c r="Q2118" s="34" t="str">
        <f aca="false">IF(AND(B2118&gt;=Cal_Start_Week,B2118&lt;=Cal_End_Week),"YES","")</f>
        <v>YES</v>
      </c>
    </row>
    <row r="2119" customFormat="false" ht="15" hidden="false" customHeight="false" outlineLevel="0" collapsed="false">
      <c r="A2119" s="31" t="str">
        <f aca="false">Demand_History!C2119</f>
        <v>BED-001</v>
      </c>
      <c r="B2119" s="31" t="n">
        <f aca="false">Demand_History!A2119</f>
        <v>38</v>
      </c>
      <c r="C2119" s="32" t="n">
        <f aca="false">Demand_History!D2119</f>
        <v>38</v>
      </c>
      <c r="D2119" s="33" t="n">
        <f aca="false">IF(B2119&gt;=2,C2118,"")</f>
        <v>49</v>
      </c>
      <c r="E2119" s="33" t="n">
        <f aca="false">IF(B2119&gt;=5,AVERAGE(C2115:C2118),"")</f>
        <v>40.25</v>
      </c>
      <c r="F2119" s="33" t="n">
        <f aca="false">IF(B2119&gt;=9,AVERAGE(C2111:C2118),"")</f>
        <v>40.25</v>
      </c>
      <c r="G2119" s="33" t="n">
        <f aca="false">IF(B2119=1,"",IF(B2119=2,C2118,SES_Alpha*C2118+(1-SES_Alpha)*G2118))</f>
        <v>42.606676058409</v>
      </c>
      <c r="H2119" s="33" t="n">
        <f aca="false">IF(D2119="","",D2119-C2119)</f>
        <v>11</v>
      </c>
      <c r="I2119" s="33" t="n">
        <f aca="false">IF(E2119="","",E2119-C2119)</f>
        <v>2.25</v>
      </c>
      <c r="J2119" s="33" t="n">
        <f aca="false">IF(F2119="","",F2119-C2119)</f>
        <v>2.25</v>
      </c>
      <c r="K2119" s="33" t="n">
        <f aca="false">IF(G2119="","",G2119-C2119)</f>
        <v>4.60667605840895</v>
      </c>
      <c r="L2119" s="33" t="n">
        <f aca="false">IF(H2119="","",ABS(H2119))</f>
        <v>11</v>
      </c>
      <c r="M2119" s="33" t="n">
        <f aca="false">IF(I2119="","",ABS(I2119))</f>
        <v>2.25</v>
      </c>
      <c r="N2119" s="33" t="n">
        <f aca="false">IF(J2119="","",ABS(J2119))</f>
        <v>2.25</v>
      </c>
      <c r="O2119" s="33" t="n">
        <f aca="false">IF(K2119="","",ABS(K2119))</f>
        <v>4.60667605840895</v>
      </c>
      <c r="P2119" s="34" t="str">
        <f aca="false">IF(B2119&gt;=Eval_Start_Week,"YES","")</f>
        <v/>
      </c>
      <c r="Q2119" s="34" t="str">
        <f aca="false">IF(AND(B2119&gt;=Cal_Start_Week,B2119&lt;=Cal_End_Week),"YES","")</f>
        <v>YES</v>
      </c>
    </row>
    <row r="2120" customFormat="false" ht="15" hidden="false" customHeight="false" outlineLevel="0" collapsed="false">
      <c r="A2120" s="31" t="str">
        <f aca="false">Demand_History!C2120</f>
        <v>BED-001</v>
      </c>
      <c r="B2120" s="31" t="n">
        <f aca="false">Demand_History!A2120</f>
        <v>39</v>
      </c>
      <c r="C2120" s="32" t="n">
        <f aca="false">Demand_History!D2120</f>
        <v>27</v>
      </c>
      <c r="D2120" s="33" t="n">
        <f aca="false">IF(B2120&gt;=2,C2119,"")</f>
        <v>38</v>
      </c>
      <c r="E2120" s="33" t="n">
        <f aca="false">IF(B2120&gt;=5,AVERAGE(C2116:C2119),"")</f>
        <v>41</v>
      </c>
      <c r="F2120" s="33" t="n">
        <f aca="false">IF(B2120&gt;=9,AVERAGE(C2112:C2119),"")</f>
        <v>40.75</v>
      </c>
      <c r="G2120" s="33" t="n">
        <f aca="false">IF(B2120=1,"",IF(B2120=2,C2119,SES_Alpha*C2119+(1-SES_Alpha)*G2119))</f>
        <v>41.2246732408863</v>
      </c>
      <c r="H2120" s="33" t="n">
        <f aca="false">IF(D2120="","",D2120-C2120)</f>
        <v>11</v>
      </c>
      <c r="I2120" s="33" t="n">
        <f aca="false">IF(E2120="","",E2120-C2120)</f>
        <v>14</v>
      </c>
      <c r="J2120" s="33" t="n">
        <f aca="false">IF(F2120="","",F2120-C2120)</f>
        <v>13.75</v>
      </c>
      <c r="K2120" s="33" t="n">
        <f aca="false">IF(G2120="","",G2120-C2120)</f>
        <v>14.2246732408863</v>
      </c>
      <c r="L2120" s="33" t="n">
        <f aca="false">IF(H2120="","",ABS(H2120))</f>
        <v>11</v>
      </c>
      <c r="M2120" s="33" t="n">
        <f aca="false">IF(I2120="","",ABS(I2120))</f>
        <v>14</v>
      </c>
      <c r="N2120" s="33" t="n">
        <f aca="false">IF(J2120="","",ABS(J2120))</f>
        <v>13.75</v>
      </c>
      <c r="O2120" s="33" t="n">
        <f aca="false">IF(K2120="","",ABS(K2120))</f>
        <v>14.2246732408863</v>
      </c>
      <c r="P2120" s="34" t="str">
        <f aca="false">IF(B2120&gt;=Eval_Start_Week,"YES","")</f>
        <v/>
      </c>
      <c r="Q2120" s="34" t="str">
        <f aca="false">IF(AND(B2120&gt;=Cal_Start_Week,B2120&lt;=Cal_End_Week),"YES","")</f>
        <v>YES</v>
      </c>
    </row>
    <row r="2121" customFormat="false" ht="15" hidden="false" customHeight="false" outlineLevel="0" collapsed="false">
      <c r="A2121" s="31" t="str">
        <f aca="false">Demand_History!C2121</f>
        <v>BED-001</v>
      </c>
      <c r="B2121" s="31" t="n">
        <f aca="false">Demand_History!A2121</f>
        <v>40</v>
      </c>
      <c r="C2121" s="32" t="n">
        <f aca="false">Demand_History!D2121</f>
        <v>48</v>
      </c>
      <c r="D2121" s="33" t="n">
        <f aca="false">IF(B2121&gt;=2,C2120,"")</f>
        <v>27</v>
      </c>
      <c r="E2121" s="33" t="n">
        <f aca="false">IF(B2121&gt;=5,AVERAGE(C2117:C2120),"")</f>
        <v>40</v>
      </c>
      <c r="F2121" s="33" t="n">
        <f aca="false">IF(B2121&gt;=9,AVERAGE(C2113:C2120),"")</f>
        <v>39.625</v>
      </c>
      <c r="G2121" s="33" t="n">
        <f aca="false">IF(B2121=1,"",IF(B2121=2,C2120,SES_Alpha*C2120+(1-SES_Alpha)*G2120))</f>
        <v>36.9572712686204</v>
      </c>
      <c r="H2121" s="33" t="n">
        <f aca="false">IF(D2121="","",D2121-C2121)</f>
        <v>-21</v>
      </c>
      <c r="I2121" s="33" t="n">
        <f aca="false">IF(E2121="","",E2121-C2121)</f>
        <v>-8</v>
      </c>
      <c r="J2121" s="33" t="n">
        <f aca="false">IF(F2121="","",F2121-C2121)</f>
        <v>-8.375</v>
      </c>
      <c r="K2121" s="33" t="n">
        <f aca="false">IF(G2121="","",G2121-C2121)</f>
        <v>-11.0427287313796</v>
      </c>
      <c r="L2121" s="33" t="n">
        <f aca="false">IF(H2121="","",ABS(H2121))</f>
        <v>21</v>
      </c>
      <c r="M2121" s="33" t="n">
        <f aca="false">IF(I2121="","",ABS(I2121))</f>
        <v>8</v>
      </c>
      <c r="N2121" s="33" t="n">
        <f aca="false">IF(J2121="","",ABS(J2121))</f>
        <v>8.375</v>
      </c>
      <c r="O2121" s="33" t="n">
        <f aca="false">IF(K2121="","",ABS(K2121))</f>
        <v>11.0427287313796</v>
      </c>
      <c r="P2121" s="34" t="str">
        <f aca="false">IF(B2121&gt;=Eval_Start_Week,"YES","")</f>
        <v/>
      </c>
      <c r="Q2121" s="34" t="str">
        <f aca="false">IF(AND(B2121&gt;=Cal_Start_Week,B2121&lt;=Cal_End_Week),"YES","")</f>
        <v>YES</v>
      </c>
    </row>
    <row r="2122" customFormat="false" ht="15" hidden="false" customHeight="false" outlineLevel="0" collapsed="false">
      <c r="A2122" s="31" t="str">
        <f aca="false">Demand_History!C2122</f>
        <v>BED-001</v>
      </c>
      <c r="B2122" s="31" t="n">
        <f aca="false">Demand_History!A2122</f>
        <v>41</v>
      </c>
      <c r="C2122" s="32" t="n">
        <f aca="false">Demand_History!D2122</f>
        <v>39</v>
      </c>
      <c r="D2122" s="33" t="n">
        <f aca="false">IF(B2122&gt;=2,C2121,"")</f>
        <v>48</v>
      </c>
      <c r="E2122" s="33" t="n">
        <f aca="false">IF(B2122&gt;=5,AVERAGE(C2118:C2121),"")</f>
        <v>40.5</v>
      </c>
      <c r="F2122" s="33" t="n">
        <f aca="false">IF(B2122&gt;=9,AVERAGE(C2114:C2121),"")</f>
        <v>40.375</v>
      </c>
      <c r="G2122" s="33" t="n">
        <f aca="false">IF(B2122=1,"",IF(B2122=2,C2121,SES_Alpha*C2121+(1-SES_Alpha)*G2121))</f>
        <v>40.2700898880343</v>
      </c>
      <c r="H2122" s="33" t="n">
        <f aca="false">IF(D2122="","",D2122-C2122)</f>
        <v>9</v>
      </c>
      <c r="I2122" s="33" t="n">
        <f aca="false">IF(E2122="","",E2122-C2122)</f>
        <v>1.5</v>
      </c>
      <c r="J2122" s="33" t="n">
        <f aca="false">IF(F2122="","",F2122-C2122)</f>
        <v>1.375</v>
      </c>
      <c r="K2122" s="33" t="n">
        <f aca="false">IF(G2122="","",G2122-C2122)</f>
        <v>1.27008988803426</v>
      </c>
      <c r="L2122" s="33" t="n">
        <f aca="false">IF(H2122="","",ABS(H2122))</f>
        <v>9</v>
      </c>
      <c r="M2122" s="33" t="n">
        <f aca="false">IF(I2122="","",ABS(I2122))</f>
        <v>1.5</v>
      </c>
      <c r="N2122" s="33" t="n">
        <f aca="false">IF(J2122="","",ABS(J2122))</f>
        <v>1.375</v>
      </c>
      <c r="O2122" s="33" t="n">
        <f aca="false">IF(K2122="","",ABS(K2122))</f>
        <v>1.27008988803426</v>
      </c>
      <c r="P2122" s="34" t="str">
        <f aca="false">IF(B2122&gt;=Eval_Start_Week,"YES","")</f>
        <v/>
      </c>
      <c r="Q2122" s="34" t="str">
        <f aca="false">IF(AND(B2122&gt;=Cal_Start_Week,B2122&lt;=Cal_End_Week),"YES","")</f>
        <v>YES</v>
      </c>
    </row>
    <row r="2123" customFormat="false" ht="15" hidden="false" customHeight="false" outlineLevel="0" collapsed="false">
      <c r="A2123" s="31" t="str">
        <f aca="false">Demand_History!C2123</f>
        <v>BED-001</v>
      </c>
      <c r="B2123" s="31" t="n">
        <f aca="false">Demand_History!A2123</f>
        <v>42</v>
      </c>
      <c r="C2123" s="32" t="n">
        <f aca="false">Demand_History!D2123</f>
        <v>46</v>
      </c>
      <c r="D2123" s="33" t="n">
        <f aca="false">IF(B2123&gt;=2,C2122,"")</f>
        <v>39</v>
      </c>
      <c r="E2123" s="33" t="n">
        <f aca="false">IF(B2123&gt;=5,AVERAGE(C2119:C2122),"")</f>
        <v>38</v>
      </c>
      <c r="F2123" s="33" t="n">
        <f aca="false">IF(B2123&gt;=9,AVERAGE(C2115:C2122),"")</f>
        <v>39.125</v>
      </c>
      <c r="G2123" s="33" t="n">
        <f aca="false">IF(B2123=1,"",IF(B2123=2,C2122,SES_Alpha*C2122+(1-SES_Alpha)*G2122))</f>
        <v>39.889062921624</v>
      </c>
      <c r="H2123" s="33" t="n">
        <f aca="false">IF(D2123="","",D2123-C2123)</f>
        <v>-7</v>
      </c>
      <c r="I2123" s="33" t="n">
        <f aca="false">IF(E2123="","",E2123-C2123)</f>
        <v>-8</v>
      </c>
      <c r="J2123" s="33" t="n">
        <f aca="false">IF(F2123="","",F2123-C2123)</f>
        <v>-6.875</v>
      </c>
      <c r="K2123" s="33" t="n">
        <f aca="false">IF(G2123="","",G2123-C2123)</f>
        <v>-6.11093707837602</v>
      </c>
      <c r="L2123" s="33" t="n">
        <f aca="false">IF(H2123="","",ABS(H2123))</f>
        <v>7</v>
      </c>
      <c r="M2123" s="33" t="n">
        <f aca="false">IF(I2123="","",ABS(I2123))</f>
        <v>8</v>
      </c>
      <c r="N2123" s="33" t="n">
        <f aca="false">IF(J2123="","",ABS(J2123))</f>
        <v>6.875</v>
      </c>
      <c r="O2123" s="33" t="n">
        <f aca="false">IF(K2123="","",ABS(K2123))</f>
        <v>6.11093707837602</v>
      </c>
      <c r="P2123" s="34" t="str">
        <f aca="false">IF(B2123&gt;=Eval_Start_Week,"YES","")</f>
        <v/>
      </c>
      <c r="Q2123" s="34" t="str">
        <f aca="false">IF(AND(B2123&gt;=Cal_Start_Week,B2123&lt;=Cal_End_Week),"YES","")</f>
        <v>YES</v>
      </c>
    </row>
    <row r="2124" customFormat="false" ht="15" hidden="false" customHeight="false" outlineLevel="0" collapsed="false">
      <c r="A2124" s="31" t="str">
        <f aca="false">Demand_History!C2124</f>
        <v>BED-001</v>
      </c>
      <c r="B2124" s="31" t="n">
        <f aca="false">Demand_History!A2124</f>
        <v>43</v>
      </c>
      <c r="C2124" s="32" t="n">
        <f aca="false">Demand_History!D2124</f>
        <v>40</v>
      </c>
      <c r="D2124" s="33" t="n">
        <f aca="false">IF(B2124&gt;=2,C2123,"")</f>
        <v>46</v>
      </c>
      <c r="E2124" s="33" t="n">
        <f aca="false">IF(B2124&gt;=5,AVERAGE(C2120:C2123),"")</f>
        <v>40</v>
      </c>
      <c r="F2124" s="33" t="n">
        <f aca="false">IF(B2124&gt;=9,AVERAGE(C2116:C2123),"")</f>
        <v>40.5</v>
      </c>
      <c r="G2124" s="33" t="n">
        <f aca="false">IF(B2124=1,"",IF(B2124=2,C2123,SES_Alpha*C2123+(1-SES_Alpha)*G2123))</f>
        <v>41.7223440451368</v>
      </c>
      <c r="H2124" s="33" t="n">
        <f aca="false">IF(D2124="","",D2124-C2124)</f>
        <v>6</v>
      </c>
      <c r="I2124" s="33" t="n">
        <f aca="false">IF(E2124="","",E2124-C2124)</f>
        <v>0</v>
      </c>
      <c r="J2124" s="33" t="n">
        <f aca="false">IF(F2124="","",F2124-C2124)</f>
        <v>0.5</v>
      </c>
      <c r="K2124" s="33" t="n">
        <f aca="false">IF(G2124="","",G2124-C2124)</f>
        <v>1.72234404513679</v>
      </c>
      <c r="L2124" s="33" t="n">
        <f aca="false">IF(H2124="","",ABS(H2124))</f>
        <v>6</v>
      </c>
      <c r="M2124" s="33" t="n">
        <f aca="false">IF(I2124="","",ABS(I2124))</f>
        <v>0</v>
      </c>
      <c r="N2124" s="33" t="n">
        <f aca="false">IF(J2124="","",ABS(J2124))</f>
        <v>0.5</v>
      </c>
      <c r="O2124" s="33" t="n">
        <f aca="false">IF(K2124="","",ABS(K2124))</f>
        <v>1.72234404513679</v>
      </c>
      <c r="P2124" s="34" t="str">
        <f aca="false">IF(B2124&gt;=Eval_Start_Week,"YES","")</f>
        <v/>
      </c>
      <c r="Q2124" s="34" t="str">
        <f aca="false">IF(AND(B2124&gt;=Cal_Start_Week,B2124&lt;=Cal_End_Week),"YES","")</f>
        <v>YES</v>
      </c>
    </row>
    <row r="2125" customFormat="false" ht="15" hidden="false" customHeight="false" outlineLevel="0" collapsed="false">
      <c r="A2125" s="31" t="str">
        <f aca="false">Demand_History!C2125</f>
        <v>BED-001</v>
      </c>
      <c r="B2125" s="31" t="n">
        <f aca="false">Demand_History!A2125</f>
        <v>44</v>
      </c>
      <c r="C2125" s="32" t="n">
        <f aca="false">Demand_History!D2125</f>
        <v>38</v>
      </c>
      <c r="D2125" s="33" t="n">
        <f aca="false">IF(B2125&gt;=2,C2124,"")</f>
        <v>40</v>
      </c>
      <c r="E2125" s="33" t="n">
        <f aca="false">IF(B2125&gt;=5,AVERAGE(C2121:C2124),"")</f>
        <v>43.25</v>
      </c>
      <c r="F2125" s="33" t="n">
        <f aca="false">IF(B2125&gt;=9,AVERAGE(C2117:C2124),"")</f>
        <v>41.625</v>
      </c>
      <c r="G2125" s="33" t="n">
        <f aca="false">IF(B2125=1,"",IF(B2125=2,C2124,SES_Alpha*C2124+(1-SES_Alpha)*G2124))</f>
        <v>41.2056408315957</v>
      </c>
      <c r="H2125" s="33" t="n">
        <f aca="false">IF(D2125="","",D2125-C2125)</f>
        <v>2</v>
      </c>
      <c r="I2125" s="33" t="n">
        <f aca="false">IF(E2125="","",E2125-C2125)</f>
        <v>5.25</v>
      </c>
      <c r="J2125" s="33" t="n">
        <f aca="false">IF(F2125="","",F2125-C2125)</f>
        <v>3.625</v>
      </c>
      <c r="K2125" s="33" t="n">
        <f aca="false">IF(G2125="","",G2125-C2125)</f>
        <v>3.20564083159574</v>
      </c>
      <c r="L2125" s="33" t="n">
        <f aca="false">IF(H2125="","",ABS(H2125))</f>
        <v>2</v>
      </c>
      <c r="M2125" s="33" t="n">
        <f aca="false">IF(I2125="","",ABS(I2125))</f>
        <v>5.25</v>
      </c>
      <c r="N2125" s="33" t="n">
        <f aca="false">IF(J2125="","",ABS(J2125))</f>
        <v>3.625</v>
      </c>
      <c r="O2125" s="33" t="n">
        <f aca="false">IF(K2125="","",ABS(K2125))</f>
        <v>3.20564083159574</v>
      </c>
      <c r="P2125" s="34" t="str">
        <f aca="false">IF(B2125&gt;=Eval_Start_Week,"YES","")</f>
        <v/>
      </c>
      <c r="Q2125" s="34" t="str">
        <f aca="false">IF(AND(B2125&gt;=Cal_Start_Week,B2125&lt;=Cal_End_Week),"YES","")</f>
        <v>YES</v>
      </c>
    </row>
    <row r="2126" customFormat="false" ht="15" hidden="false" customHeight="false" outlineLevel="0" collapsed="false">
      <c r="A2126" s="31" t="str">
        <f aca="false">Demand_History!C2126</f>
        <v>BED-001</v>
      </c>
      <c r="B2126" s="31" t="n">
        <f aca="false">Demand_History!A2126</f>
        <v>45</v>
      </c>
      <c r="C2126" s="32" t="n">
        <f aca="false">Demand_History!D2126</f>
        <v>37</v>
      </c>
      <c r="D2126" s="33" t="n">
        <f aca="false">IF(B2126&gt;=2,C2125,"")</f>
        <v>38</v>
      </c>
      <c r="E2126" s="33" t="n">
        <f aca="false">IF(B2126&gt;=5,AVERAGE(C2122:C2125),"")</f>
        <v>40.75</v>
      </c>
      <c r="F2126" s="33" t="n">
        <f aca="false">IF(B2126&gt;=9,AVERAGE(C2118:C2125),"")</f>
        <v>40.625</v>
      </c>
      <c r="G2126" s="33" t="n">
        <f aca="false">IF(B2126=1,"",IF(B2126=2,C2125,SES_Alpha*C2125+(1-SES_Alpha)*G2125))</f>
        <v>40.243948582117</v>
      </c>
      <c r="H2126" s="33" t="n">
        <f aca="false">IF(D2126="","",D2126-C2126)</f>
        <v>1</v>
      </c>
      <c r="I2126" s="33" t="n">
        <f aca="false">IF(E2126="","",E2126-C2126)</f>
        <v>3.75</v>
      </c>
      <c r="J2126" s="33" t="n">
        <f aca="false">IF(F2126="","",F2126-C2126)</f>
        <v>3.625</v>
      </c>
      <c r="K2126" s="33" t="n">
        <f aca="false">IF(G2126="","",G2126-C2126)</f>
        <v>3.24394858211702</v>
      </c>
      <c r="L2126" s="33" t="n">
        <f aca="false">IF(H2126="","",ABS(H2126))</f>
        <v>1</v>
      </c>
      <c r="M2126" s="33" t="n">
        <f aca="false">IF(I2126="","",ABS(I2126))</f>
        <v>3.75</v>
      </c>
      <c r="N2126" s="33" t="n">
        <f aca="false">IF(J2126="","",ABS(J2126))</f>
        <v>3.625</v>
      </c>
      <c r="O2126" s="33" t="n">
        <f aca="false">IF(K2126="","",ABS(K2126))</f>
        <v>3.24394858211702</v>
      </c>
      <c r="P2126" s="34" t="str">
        <f aca="false">IF(B2126&gt;=Eval_Start_Week,"YES","")</f>
        <v/>
      </c>
      <c r="Q2126" s="34" t="str">
        <f aca="false">IF(AND(B2126&gt;=Cal_Start_Week,B2126&lt;=Cal_End_Week),"YES","")</f>
        <v>YES</v>
      </c>
    </row>
    <row r="2127" customFormat="false" ht="15" hidden="false" customHeight="false" outlineLevel="0" collapsed="false">
      <c r="A2127" s="31" t="str">
        <f aca="false">Demand_History!C2127</f>
        <v>BED-001</v>
      </c>
      <c r="B2127" s="31" t="n">
        <f aca="false">Demand_History!A2127</f>
        <v>46</v>
      </c>
      <c r="C2127" s="32" t="n">
        <f aca="false">Demand_History!D2127</f>
        <v>48</v>
      </c>
      <c r="D2127" s="33" t="n">
        <f aca="false">IF(B2127&gt;=2,C2126,"")</f>
        <v>37</v>
      </c>
      <c r="E2127" s="33" t="n">
        <f aca="false">IF(B2127&gt;=5,AVERAGE(C2123:C2126),"")</f>
        <v>40.25</v>
      </c>
      <c r="F2127" s="33" t="n">
        <f aca="false">IF(B2127&gt;=9,AVERAGE(C2119:C2126),"")</f>
        <v>39.125</v>
      </c>
      <c r="G2127" s="33" t="n">
        <f aca="false">IF(B2127=1,"",IF(B2127=2,C2126,SES_Alpha*C2126+(1-SES_Alpha)*G2126))</f>
        <v>39.2707640074819</v>
      </c>
      <c r="H2127" s="33" t="n">
        <f aca="false">IF(D2127="","",D2127-C2127)</f>
        <v>-11</v>
      </c>
      <c r="I2127" s="33" t="n">
        <f aca="false">IF(E2127="","",E2127-C2127)</f>
        <v>-7.75</v>
      </c>
      <c r="J2127" s="33" t="n">
        <f aca="false">IF(F2127="","",F2127-C2127)</f>
        <v>-8.875</v>
      </c>
      <c r="K2127" s="33" t="n">
        <f aca="false">IF(G2127="","",G2127-C2127)</f>
        <v>-8.72923599251809</v>
      </c>
      <c r="L2127" s="33" t="n">
        <f aca="false">IF(H2127="","",ABS(H2127))</f>
        <v>11</v>
      </c>
      <c r="M2127" s="33" t="n">
        <f aca="false">IF(I2127="","",ABS(I2127))</f>
        <v>7.75</v>
      </c>
      <c r="N2127" s="33" t="n">
        <f aca="false">IF(J2127="","",ABS(J2127))</f>
        <v>8.875</v>
      </c>
      <c r="O2127" s="33" t="n">
        <f aca="false">IF(K2127="","",ABS(K2127))</f>
        <v>8.72923599251809</v>
      </c>
      <c r="P2127" s="34" t="str">
        <f aca="false">IF(B2127&gt;=Eval_Start_Week,"YES","")</f>
        <v/>
      </c>
      <c r="Q2127" s="34" t="str">
        <f aca="false">IF(AND(B2127&gt;=Cal_Start_Week,B2127&lt;=Cal_End_Week),"YES","")</f>
        <v>YES</v>
      </c>
    </row>
    <row r="2128" customFormat="false" ht="15" hidden="false" customHeight="false" outlineLevel="0" collapsed="false">
      <c r="A2128" s="31" t="str">
        <f aca="false">Demand_History!C2128</f>
        <v>BED-001</v>
      </c>
      <c r="B2128" s="31" t="n">
        <f aca="false">Demand_History!A2128</f>
        <v>47</v>
      </c>
      <c r="C2128" s="32" t="n">
        <f aca="false">Demand_History!D2128</f>
        <v>48</v>
      </c>
      <c r="D2128" s="33" t="n">
        <f aca="false">IF(B2128&gt;=2,C2127,"")</f>
        <v>48</v>
      </c>
      <c r="E2128" s="33" t="n">
        <f aca="false">IF(B2128&gt;=5,AVERAGE(C2124:C2127),"")</f>
        <v>40.75</v>
      </c>
      <c r="F2128" s="33" t="n">
        <f aca="false">IF(B2128&gt;=9,AVERAGE(C2120:C2127),"")</f>
        <v>40.375</v>
      </c>
      <c r="G2128" s="33" t="n">
        <f aca="false">IF(B2128=1,"",IF(B2128=2,C2127,SES_Alpha*C2127+(1-SES_Alpha)*G2127))</f>
        <v>41.8895348052373</v>
      </c>
      <c r="H2128" s="33" t="n">
        <f aca="false">IF(D2128="","",D2128-C2128)</f>
        <v>0</v>
      </c>
      <c r="I2128" s="33" t="n">
        <f aca="false">IF(E2128="","",E2128-C2128)</f>
        <v>-7.25</v>
      </c>
      <c r="J2128" s="33" t="n">
        <f aca="false">IF(F2128="","",F2128-C2128)</f>
        <v>-7.625</v>
      </c>
      <c r="K2128" s="33" t="n">
        <f aca="false">IF(G2128="","",G2128-C2128)</f>
        <v>-6.11046519476266</v>
      </c>
      <c r="L2128" s="33" t="n">
        <f aca="false">IF(H2128="","",ABS(H2128))</f>
        <v>0</v>
      </c>
      <c r="M2128" s="33" t="n">
        <f aca="false">IF(I2128="","",ABS(I2128))</f>
        <v>7.25</v>
      </c>
      <c r="N2128" s="33" t="n">
        <f aca="false">IF(J2128="","",ABS(J2128))</f>
        <v>7.625</v>
      </c>
      <c r="O2128" s="33" t="n">
        <f aca="false">IF(K2128="","",ABS(K2128))</f>
        <v>6.11046519476266</v>
      </c>
      <c r="P2128" s="34" t="str">
        <f aca="false">IF(B2128&gt;=Eval_Start_Week,"YES","")</f>
        <v/>
      </c>
      <c r="Q2128" s="34" t="str">
        <f aca="false">IF(AND(B2128&gt;=Cal_Start_Week,B2128&lt;=Cal_End_Week),"YES","")</f>
        <v>YES</v>
      </c>
    </row>
    <row r="2129" customFormat="false" ht="15" hidden="false" customHeight="false" outlineLevel="0" collapsed="false">
      <c r="A2129" s="31" t="str">
        <f aca="false">Demand_History!C2129</f>
        <v>BED-001</v>
      </c>
      <c r="B2129" s="31" t="n">
        <f aca="false">Demand_History!A2129</f>
        <v>48</v>
      </c>
      <c r="C2129" s="32" t="n">
        <f aca="false">Demand_History!D2129</f>
        <v>28</v>
      </c>
      <c r="D2129" s="33" t="n">
        <f aca="false">IF(B2129&gt;=2,C2128,"")</f>
        <v>48</v>
      </c>
      <c r="E2129" s="33" t="n">
        <f aca="false">IF(B2129&gt;=5,AVERAGE(C2125:C2128),"")</f>
        <v>42.75</v>
      </c>
      <c r="F2129" s="33" t="n">
        <f aca="false">IF(B2129&gt;=9,AVERAGE(C2121:C2128),"")</f>
        <v>43</v>
      </c>
      <c r="G2129" s="33" t="n">
        <f aca="false">IF(B2129=1,"",IF(B2129=2,C2128,SES_Alpha*C2128+(1-SES_Alpha)*G2128))</f>
        <v>43.7226743636661</v>
      </c>
      <c r="H2129" s="33" t="n">
        <f aca="false">IF(D2129="","",D2129-C2129)</f>
        <v>20</v>
      </c>
      <c r="I2129" s="33" t="n">
        <f aca="false">IF(E2129="","",E2129-C2129)</f>
        <v>14.75</v>
      </c>
      <c r="J2129" s="33" t="n">
        <f aca="false">IF(F2129="","",F2129-C2129)</f>
        <v>15</v>
      </c>
      <c r="K2129" s="33" t="n">
        <f aca="false">IF(G2129="","",G2129-C2129)</f>
        <v>15.7226743636661</v>
      </c>
      <c r="L2129" s="33" t="n">
        <f aca="false">IF(H2129="","",ABS(H2129))</f>
        <v>20</v>
      </c>
      <c r="M2129" s="33" t="n">
        <f aca="false">IF(I2129="","",ABS(I2129))</f>
        <v>14.75</v>
      </c>
      <c r="N2129" s="33" t="n">
        <f aca="false">IF(J2129="","",ABS(J2129))</f>
        <v>15</v>
      </c>
      <c r="O2129" s="33" t="n">
        <f aca="false">IF(K2129="","",ABS(K2129))</f>
        <v>15.7226743636661</v>
      </c>
      <c r="P2129" s="34" t="str">
        <f aca="false">IF(B2129&gt;=Eval_Start_Week,"YES","")</f>
        <v/>
      </c>
      <c r="Q2129" s="34" t="str">
        <f aca="false">IF(AND(B2129&gt;=Cal_Start_Week,B2129&lt;=Cal_End_Week),"YES","")</f>
        <v>YES</v>
      </c>
    </row>
    <row r="2130" customFormat="false" ht="15" hidden="false" customHeight="false" outlineLevel="0" collapsed="false">
      <c r="A2130" s="31" t="str">
        <f aca="false">Demand_History!C2130</f>
        <v>BED-001</v>
      </c>
      <c r="B2130" s="31" t="n">
        <f aca="false">Demand_History!A2130</f>
        <v>49</v>
      </c>
      <c r="C2130" s="32" t="n">
        <f aca="false">Demand_History!D2130</f>
        <v>35</v>
      </c>
      <c r="D2130" s="33" t="n">
        <f aca="false">IF(B2130&gt;=2,C2129,"")</f>
        <v>28</v>
      </c>
      <c r="E2130" s="33" t="n">
        <f aca="false">IF(B2130&gt;=5,AVERAGE(C2126:C2129),"")</f>
        <v>40.25</v>
      </c>
      <c r="F2130" s="33" t="n">
        <f aca="false">IF(B2130&gt;=9,AVERAGE(C2122:C2129),"")</f>
        <v>40.5</v>
      </c>
      <c r="G2130" s="33" t="n">
        <f aca="false">IF(B2130=1,"",IF(B2130=2,C2129,SES_Alpha*C2129+(1-SES_Alpha)*G2129))</f>
        <v>39.0058720545663</v>
      </c>
      <c r="H2130" s="33" t="n">
        <f aca="false">IF(D2130="","",D2130-C2130)</f>
        <v>-7</v>
      </c>
      <c r="I2130" s="33" t="n">
        <f aca="false">IF(E2130="","",E2130-C2130)</f>
        <v>5.25</v>
      </c>
      <c r="J2130" s="33" t="n">
        <f aca="false">IF(F2130="","",F2130-C2130)</f>
        <v>5.5</v>
      </c>
      <c r="K2130" s="33" t="n">
        <f aca="false">IF(G2130="","",G2130-C2130)</f>
        <v>4.00587205456629</v>
      </c>
      <c r="L2130" s="33" t="n">
        <f aca="false">IF(H2130="","",ABS(H2130))</f>
        <v>7</v>
      </c>
      <c r="M2130" s="33" t="n">
        <f aca="false">IF(I2130="","",ABS(I2130))</f>
        <v>5.25</v>
      </c>
      <c r="N2130" s="33" t="n">
        <f aca="false">IF(J2130="","",ABS(J2130))</f>
        <v>5.5</v>
      </c>
      <c r="O2130" s="33" t="n">
        <f aca="false">IF(K2130="","",ABS(K2130))</f>
        <v>4.00587205456629</v>
      </c>
      <c r="P2130" s="34" t="str">
        <f aca="false">IF(B2130&gt;=Eval_Start_Week,"YES","")</f>
        <v/>
      </c>
      <c r="Q2130" s="34" t="str">
        <f aca="false">IF(AND(B2130&gt;=Cal_Start_Week,B2130&lt;=Cal_End_Week),"YES","")</f>
        <v>YES</v>
      </c>
    </row>
    <row r="2131" customFormat="false" ht="15" hidden="false" customHeight="false" outlineLevel="0" collapsed="false">
      <c r="A2131" s="31" t="str">
        <f aca="false">Demand_History!C2131</f>
        <v>BED-001</v>
      </c>
      <c r="B2131" s="31" t="n">
        <f aca="false">Demand_History!A2131</f>
        <v>50</v>
      </c>
      <c r="C2131" s="32" t="n">
        <f aca="false">Demand_History!D2131</f>
        <v>50</v>
      </c>
      <c r="D2131" s="33" t="n">
        <f aca="false">IF(B2131&gt;=2,C2130,"")</f>
        <v>35</v>
      </c>
      <c r="E2131" s="33" t="n">
        <f aca="false">IF(B2131&gt;=5,AVERAGE(C2127:C2130),"")</f>
        <v>39.75</v>
      </c>
      <c r="F2131" s="33" t="n">
        <f aca="false">IF(B2131&gt;=9,AVERAGE(C2123:C2130),"")</f>
        <v>40</v>
      </c>
      <c r="G2131" s="33" t="n">
        <f aca="false">IF(B2131=1,"",IF(B2131=2,C2130,SES_Alpha*C2130+(1-SES_Alpha)*G2130))</f>
        <v>37.8041104381964</v>
      </c>
      <c r="H2131" s="33" t="n">
        <f aca="false">IF(D2131="","",D2131-C2131)</f>
        <v>-15</v>
      </c>
      <c r="I2131" s="33" t="n">
        <f aca="false">IF(E2131="","",E2131-C2131)</f>
        <v>-10.25</v>
      </c>
      <c r="J2131" s="33" t="n">
        <f aca="false">IF(F2131="","",F2131-C2131)</f>
        <v>-10</v>
      </c>
      <c r="K2131" s="33" t="n">
        <f aca="false">IF(G2131="","",G2131-C2131)</f>
        <v>-12.1958895618036</v>
      </c>
      <c r="L2131" s="33" t="n">
        <f aca="false">IF(H2131="","",ABS(H2131))</f>
        <v>15</v>
      </c>
      <c r="M2131" s="33" t="n">
        <f aca="false">IF(I2131="","",ABS(I2131))</f>
        <v>10.25</v>
      </c>
      <c r="N2131" s="33" t="n">
        <f aca="false">IF(J2131="","",ABS(J2131))</f>
        <v>10</v>
      </c>
      <c r="O2131" s="33" t="n">
        <f aca="false">IF(K2131="","",ABS(K2131))</f>
        <v>12.1958895618036</v>
      </c>
      <c r="P2131" s="34" t="str">
        <f aca="false">IF(B2131&gt;=Eval_Start_Week,"YES","")</f>
        <v/>
      </c>
      <c r="Q2131" s="34" t="str">
        <f aca="false">IF(AND(B2131&gt;=Cal_Start_Week,B2131&lt;=Cal_End_Week),"YES","")</f>
        <v>YES</v>
      </c>
    </row>
    <row r="2132" customFormat="false" ht="15" hidden="false" customHeight="false" outlineLevel="0" collapsed="false">
      <c r="A2132" s="31" t="str">
        <f aca="false">Demand_History!C2132</f>
        <v>BED-001</v>
      </c>
      <c r="B2132" s="31" t="n">
        <f aca="false">Demand_History!A2132</f>
        <v>51</v>
      </c>
      <c r="C2132" s="32" t="n">
        <f aca="false">Demand_History!D2132</f>
        <v>38</v>
      </c>
      <c r="D2132" s="33" t="n">
        <f aca="false">IF(B2132&gt;=2,C2131,"")</f>
        <v>50</v>
      </c>
      <c r="E2132" s="33" t="n">
        <f aca="false">IF(B2132&gt;=5,AVERAGE(C2128:C2131),"")</f>
        <v>40.25</v>
      </c>
      <c r="F2132" s="33" t="n">
        <f aca="false">IF(B2132&gt;=9,AVERAGE(C2124:C2131),"")</f>
        <v>40.5</v>
      </c>
      <c r="G2132" s="33" t="n">
        <f aca="false">IF(B2132=1,"",IF(B2132=2,C2131,SES_Alpha*C2131+(1-SES_Alpha)*G2131))</f>
        <v>41.4628773067375</v>
      </c>
      <c r="H2132" s="33" t="n">
        <f aca="false">IF(D2132="","",D2132-C2132)</f>
        <v>12</v>
      </c>
      <c r="I2132" s="33" t="n">
        <f aca="false">IF(E2132="","",E2132-C2132)</f>
        <v>2.25</v>
      </c>
      <c r="J2132" s="33" t="n">
        <f aca="false">IF(F2132="","",F2132-C2132)</f>
        <v>2.5</v>
      </c>
      <c r="K2132" s="33" t="n">
        <f aca="false">IF(G2132="","",G2132-C2132)</f>
        <v>3.46287730673748</v>
      </c>
      <c r="L2132" s="33" t="n">
        <f aca="false">IF(H2132="","",ABS(H2132))</f>
        <v>12</v>
      </c>
      <c r="M2132" s="33" t="n">
        <f aca="false">IF(I2132="","",ABS(I2132))</f>
        <v>2.25</v>
      </c>
      <c r="N2132" s="33" t="n">
        <f aca="false">IF(J2132="","",ABS(J2132))</f>
        <v>2.5</v>
      </c>
      <c r="O2132" s="33" t="n">
        <f aca="false">IF(K2132="","",ABS(K2132))</f>
        <v>3.46287730673748</v>
      </c>
      <c r="P2132" s="34" t="str">
        <f aca="false">IF(B2132&gt;=Eval_Start_Week,"YES","")</f>
        <v/>
      </c>
      <c r="Q2132" s="34" t="str">
        <f aca="false">IF(AND(B2132&gt;=Cal_Start_Week,B2132&lt;=Cal_End_Week),"YES","")</f>
        <v>YES</v>
      </c>
    </row>
    <row r="2133" customFormat="false" ht="15" hidden="false" customHeight="false" outlineLevel="0" collapsed="false">
      <c r="A2133" s="31" t="str">
        <f aca="false">Demand_History!C2133</f>
        <v>BED-001</v>
      </c>
      <c r="B2133" s="31" t="n">
        <f aca="false">Demand_History!A2133</f>
        <v>52</v>
      </c>
      <c r="C2133" s="32" t="n">
        <f aca="false">Demand_History!D2133</f>
        <v>32</v>
      </c>
      <c r="D2133" s="33" t="n">
        <f aca="false">IF(B2133&gt;=2,C2132,"")</f>
        <v>38</v>
      </c>
      <c r="E2133" s="33" t="n">
        <f aca="false">IF(B2133&gt;=5,AVERAGE(C2129:C2132),"")</f>
        <v>37.75</v>
      </c>
      <c r="F2133" s="33" t="n">
        <f aca="false">IF(B2133&gt;=9,AVERAGE(C2125:C2132),"")</f>
        <v>40.25</v>
      </c>
      <c r="G2133" s="33" t="n">
        <f aca="false">IF(B2133=1,"",IF(B2133=2,C2132,SES_Alpha*C2132+(1-SES_Alpha)*G2132))</f>
        <v>40.4240141147162</v>
      </c>
      <c r="H2133" s="33" t="n">
        <f aca="false">IF(D2133="","",D2133-C2133)</f>
        <v>6</v>
      </c>
      <c r="I2133" s="33" t="n">
        <f aca="false">IF(E2133="","",E2133-C2133)</f>
        <v>5.75</v>
      </c>
      <c r="J2133" s="33" t="n">
        <f aca="false">IF(F2133="","",F2133-C2133)</f>
        <v>8.25</v>
      </c>
      <c r="K2133" s="33" t="n">
        <f aca="false">IF(G2133="","",G2133-C2133)</f>
        <v>8.42401411471624</v>
      </c>
      <c r="L2133" s="33" t="n">
        <f aca="false">IF(H2133="","",ABS(H2133))</f>
        <v>6</v>
      </c>
      <c r="M2133" s="33" t="n">
        <f aca="false">IF(I2133="","",ABS(I2133))</f>
        <v>5.75</v>
      </c>
      <c r="N2133" s="33" t="n">
        <f aca="false">IF(J2133="","",ABS(J2133))</f>
        <v>8.25</v>
      </c>
      <c r="O2133" s="33" t="n">
        <f aca="false">IF(K2133="","",ABS(K2133))</f>
        <v>8.42401411471624</v>
      </c>
      <c r="P2133" s="34" t="str">
        <f aca="false">IF(B2133&gt;=Eval_Start_Week,"YES","")</f>
        <v/>
      </c>
      <c r="Q2133" s="34" t="str">
        <f aca="false">IF(AND(B2133&gt;=Cal_Start_Week,B2133&lt;=Cal_End_Week),"YES","")</f>
        <v>YES</v>
      </c>
    </row>
    <row r="2134" customFormat="false" ht="15" hidden="false" customHeight="false" outlineLevel="0" collapsed="false">
      <c r="A2134" s="31" t="str">
        <f aca="false">Demand_History!C2134</f>
        <v>BED-001</v>
      </c>
      <c r="B2134" s="31" t="n">
        <f aca="false">Demand_History!A2134</f>
        <v>53</v>
      </c>
      <c r="C2134" s="32" t="n">
        <f aca="false">Demand_History!D2134</f>
        <v>40</v>
      </c>
      <c r="D2134" s="33" t="n">
        <f aca="false">IF(B2134&gt;=2,C2133,"")</f>
        <v>32</v>
      </c>
      <c r="E2134" s="33" t="n">
        <f aca="false">IF(B2134&gt;=5,AVERAGE(C2130:C2133),"")</f>
        <v>38.75</v>
      </c>
      <c r="F2134" s="33" t="n">
        <f aca="false">IF(B2134&gt;=9,AVERAGE(C2126:C2133),"")</f>
        <v>39.5</v>
      </c>
      <c r="G2134" s="33" t="n">
        <f aca="false">IF(B2134=1,"",IF(B2134=2,C2133,SES_Alpha*C2133+(1-SES_Alpha)*G2133))</f>
        <v>37.8968098803014</v>
      </c>
      <c r="H2134" s="33" t="n">
        <f aca="false">IF(D2134="","",D2134-C2134)</f>
        <v>-8</v>
      </c>
      <c r="I2134" s="33" t="n">
        <f aca="false">IF(E2134="","",E2134-C2134)</f>
        <v>-1.25</v>
      </c>
      <c r="J2134" s="33" t="n">
        <f aca="false">IF(F2134="","",F2134-C2134)</f>
        <v>-0.5</v>
      </c>
      <c r="K2134" s="33" t="n">
        <f aca="false">IF(G2134="","",G2134-C2134)</f>
        <v>-2.10319011969864</v>
      </c>
      <c r="L2134" s="33" t="n">
        <f aca="false">IF(H2134="","",ABS(H2134))</f>
        <v>8</v>
      </c>
      <c r="M2134" s="33" t="n">
        <f aca="false">IF(I2134="","",ABS(I2134))</f>
        <v>1.25</v>
      </c>
      <c r="N2134" s="33" t="n">
        <f aca="false">IF(J2134="","",ABS(J2134))</f>
        <v>0.5</v>
      </c>
      <c r="O2134" s="33" t="n">
        <f aca="false">IF(K2134="","",ABS(K2134))</f>
        <v>2.10319011969864</v>
      </c>
      <c r="P2134" s="34" t="str">
        <f aca="false">IF(B2134&gt;=Eval_Start_Week,"YES","")</f>
        <v>YES</v>
      </c>
      <c r="Q2134" s="34" t="str">
        <f aca="false">IF(AND(B2134&gt;=Cal_Start_Week,B2134&lt;=Cal_End_Week),"YES","")</f>
        <v>YES</v>
      </c>
    </row>
    <row r="2135" customFormat="false" ht="15" hidden="false" customHeight="false" outlineLevel="0" collapsed="false">
      <c r="A2135" s="31" t="str">
        <f aca="false">Demand_History!C2135</f>
        <v>BED-001</v>
      </c>
      <c r="B2135" s="31" t="n">
        <f aca="false">Demand_History!A2135</f>
        <v>54</v>
      </c>
      <c r="C2135" s="32" t="n">
        <f aca="false">Demand_History!D2135</f>
        <v>39</v>
      </c>
      <c r="D2135" s="33" t="n">
        <f aca="false">IF(B2135&gt;=2,C2134,"")</f>
        <v>40</v>
      </c>
      <c r="E2135" s="33" t="n">
        <f aca="false">IF(B2135&gt;=5,AVERAGE(C2131:C2134),"")</f>
        <v>40</v>
      </c>
      <c r="F2135" s="33" t="n">
        <f aca="false">IF(B2135&gt;=9,AVERAGE(C2127:C2134),"")</f>
        <v>39.875</v>
      </c>
      <c r="G2135" s="33" t="n">
        <f aca="false">IF(B2135=1,"",IF(B2135=2,C2134,SES_Alpha*C2134+(1-SES_Alpha)*G2134))</f>
        <v>38.527766916211</v>
      </c>
      <c r="H2135" s="33" t="n">
        <f aca="false">IF(D2135="","",D2135-C2135)</f>
        <v>1</v>
      </c>
      <c r="I2135" s="33" t="n">
        <f aca="false">IF(E2135="","",E2135-C2135)</f>
        <v>1</v>
      </c>
      <c r="J2135" s="33" t="n">
        <f aca="false">IF(F2135="","",F2135-C2135)</f>
        <v>0.875</v>
      </c>
      <c r="K2135" s="33" t="n">
        <f aca="false">IF(G2135="","",G2135-C2135)</f>
        <v>-0.47223308378905</v>
      </c>
      <c r="L2135" s="33" t="n">
        <f aca="false">IF(H2135="","",ABS(H2135))</f>
        <v>1</v>
      </c>
      <c r="M2135" s="33" t="n">
        <f aca="false">IF(I2135="","",ABS(I2135))</f>
        <v>1</v>
      </c>
      <c r="N2135" s="33" t="n">
        <f aca="false">IF(J2135="","",ABS(J2135))</f>
        <v>0.875</v>
      </c>
      <c r="O2135" s="33" t="n">
        <f aca="false">IF(K2135="","",ABS(K2135))</f>
        <v>0.47223308378905</v>
      </c>
      <c r="P2135" s="34" t="str">
        <f aca="false">IF(B2135&gt;=Eval_Start_Week,"YES","")</f>
        <v>YES</v>
      </c>
      <c r="Q2135" s="34" t="str">
        <f aca="false">IF(AND(B2135&gt;=Cal_Start_Week,B2135&lt;=Cal_End_Week),"YES","")</f>
        <v>YES</v>
      </c>
    </row>
    <row r="2136" customFormat="false" ht="15" hidden="false" customHeight="false" outlineLevel="0" collapsed="false">
      <c r="A2136" s="31" t="str">
        <f aca="false">Demand_History!C2136</f>
        <v>BED-001</v>
      </c>
      <c r="B2136" s="31" t="n">
        <f aca="false">Demand_History!A2136</f>
        <v>55</v>
      </c>
      <c r="C2136" s="32" t="n">
        <f aca="false">Demand_History!D2136</f>
        <v>39</v>
      </c>
      <c r="D2136" s="33" t="n">
        <f aca="false">IF(B2136&gt;=2,C2135,"")</f>
        <v>39</v>
      </c>
      <c r="E2136" s="33" t="n">
        <f aca="false">IF(B2136&gt;=5,AVERAGE(C2132:C2135),"")</f>
        <v>37.25</v>
      </c>
      <c r="F2136" s="33" t="n">
        <f aca="false">IF(B2136&gt;=9,AVERAGE(C2128:C2135),"")</f>
        <v>38.75</v>
      </c>
      <c r="G2136" s="33" t="n">
        <f aca="false">IF(B2136=1,"",IF(B2136=2,C2135,SES_Alpha*C2135+(1-SES_Alpha)*G2135))</f>
        <v>38.6694368413477</v>
      </c>
      <c r="H2136" s="33" t="n">
        <f aca="false">IF(D2136="","",D2136-C2136)</f>
        <v>0</v>
      </c>
      <c r="I2136" s="33" t="n">
        <f aca="false">IF(E2136="","",E2136-C2136)</f>
        <v>-1.75</v>
      </c>
      <c r="J2136" s="33" t="n">
        <f aca="false">IF(F2136="","",F2136-C2136)</f>
        <v>-0.25</v>
      </c>
      <c r="K2136" s="33" t="n">
        <f aca="false">IF(G2136="","",G2136-C2136)</f>
        <v>-0.330563158652339</v>
      </c>
      <c r="L2136" s="33" t="n">
        <f aca="false">IF(H2136="","",ABS(H2136))</f>
        <v>0</v>
      </c>
      <c r="M2136" s="33" t="n">
        <f aca="false">IF(I2136="","",ABS(I2136))</f>
        <v>1.75</v>
      </c>
      <c r="N2136" s="33" t="n">
        <f aca="false">IF(J2136="","",ABS(J2136))</f>
        <v>0.25</v>
      </c>
      <c r="O2136" s="33" t="n">
        <f aca="false">IF(K2136="","",ABS(K2136))</f>
        <v>0.330563158652339</v>
      </c>
      <c r="P2136" s="34" t="str">
        <f aca="false">IF(B2136&gt;=Eval_Start_Week,"YES","")</f>
        <v>YES</v>
      </c>
      <c r="Q2136" s="34" t="str">
        <f aca="false">IF(AND(B2136&gt;=Cal_Start_Week,B2136&lt;=Cal_End_Week),"YES","")</f>
        <v>YES</v>
      </c>
    </row>
    <row r="2137" customFormat="false" ht="15" hidden="false" customHeight="false" outlineLevel="0" collapsed="false">
      <c r="A2137" s="31" t="str">
        <f aca="false">Demand_History!C2137</f>
        <v>BED-001</v>
      </c>
      <c r="B2137" s="31" t="n">
        <f aca="false">Demand_History!A2137</f>
        <v>56</v>
      </c>
      <c r="C2137" s="32" t="n">
        <f aca="false">Demand_History!D2137</f>
        <v>37</v>
      </c>
      <c r="D2137" s="33" t="n">
        <f aca="false">IF(B2137&gt;=2,C2136,"")</f>
        <v>39</v>
      </c>
      <c r="E2137" s="33" t="n">
        <f aca="false">IF(B2137&gt;=5,AVERAGE(C2133:C2136),"")</f>
        <v>37.5</v>
      </c>
      <c r="F2137" s="33" t="n">
        <f aca="false">IF(B2137&gt;=9,AVERAGE(C2129:C2136),"")</f>
        <v>37.625</v>
      </c>
      <c r="G2137" s="33" t="n">
        <f aca="false">IF(B2137=1,"",IF(B2137=2,C2136,SES_Alpha*C2136+(1-SES_Alpha)*G2136))</f>
        <v>38.7686057889434</v>
      </c>
      <c r="H2137" s="33" t="n">
        <f aca="false">IF(D2137="","",D2137-C2137)</f>
        <v>2</v>
      </c>
      <c r="I2137" s="33" t="n">
        <f aca="false">IF(E2137="","",E2137-C2137)</f>
        <v>0.5</v>
      </c>
      <c r="J2137" s="33" t="n">
        <f aca="false">IF(F2137="","",F2137-C2137)</f>
        <v>0.625</v>
      </c>
      <c r="K2137" s="33" t="n">
        <f aca="false">IF(G2137="","",G2137-C2137)</f>
        <v>1.76860578894336</v>
      </c>
      <c r="L2137" s="33" t="n">
        <f aca="false">IF(H2137="","",ABS(H2137))</f>
        <v>2</v>
      </c>
      <c r="M2137" s="33" t="n">
        <f aca="false">IF(I2137="","",ABS(I2137))</f>
        <v>0.5</v>
      </c>
      <c r="N2137" s="33" t="n">
        <f aca="false">IF(J2137="","",ABS(J2137))</f>
        <v>0.625</v>
      </c>
      <c r="O2137" s="33" t="n">
        <f aca="false">IF(K2137="","",ABS(K2137))</f>
        <v>1.76860578894336</v>
      </c>
      <c r="P2137" s="34" t="str">
        <f aca="false">IF(B2137&gt;=Eval_Start_Week,"YES","")</f>
        <v>YES</v>
      </c>
      <c r="Q2137" s="34" t="str">
        <f aca="false">IF(AND(B2137&gt;=Cal_Start_Week,B2137&lt;=Cal_End_Week),"YES","")</f>
        <v>YES</v>
      </c>
    </row>
    <row r="2138" customFormat="false" ht="15" hidden="false" customHeight="false" outlineLevel="0" collapsed="false">
      <c r="A2138" s="31" t="str">
        <f aca="false">Demand_History!C2138</f>
        <v>BED-001</v>
      </c>
      <c r="B2138" s="31" t="n">
        <f aca="false">Demand_History!A2138</f>
        <v>57</v>
      </c>
      <c r="C2138" s="32" t="n">
        <f aca="false">Demand_History!D2138</f>
        <v>38</v>
      </c>
      <c r="D2138" s="33" t="n">
        <f aca="false">IF(B2138&gt;=2,C2137,"")</f>
        <v>37</v>
      </c>
      <c r="E2138" s="33" t="n">
        <f aca="false">IF(B2138&gt;=5,AVERAGE(C2134:C2137),"")</f>
        <v>38.75</v>
      </c>
      <c r="F2138" s="33" t="n">
        <f aca="false">IF(B2138&gt;=9,AVERAGE(C2130:C2137),"")</f>
        <v>38.75</v>
      </c>
      <c r="G2138" s="33" t="n">
        <f aca="false">IF(B2138=1,"",IF(B2138=2,C2137,SES_Alpha*C2137+(1-SES_Alpha)*G2137))</f>
        <v>38.2380240522604</v>
      </c>
      <c r="H2138" s="33" t="n">
        <f aca="false">IF(D2138="","",D2138-C2138)</f>
        <v>-1</v>
      </c>
      <c r="I2138" s="33" t="n">
        <f aca="false">IF(E2138="","",E2138-C2138)</f>
        <v>0.75</v>
      </c>
      <c r="J2138" s="33" t="n">
        <f aca="false">IF(F2138="","",F2138-C2138)</f>
        <v>0.75</v>
      </c>
      <c r="K2138" s="33" t="n">
        <f aca="false">IF(G2138="","",G2138-C2138)</f>
        <v>0.23802405226035</v>
      </c>
      <c r="L2138" s="33" t="n">
        <f aca="false">IF(H2138="","",ABS(H2138))</f>
        <v>1</v>
      </c>
      <c r="M2138" s="33" t="n">
        <f aca="false">IF(I2138="","",ABS(I2138))</f>
        <v>0.75</v>
      </c>
      <c r="N2138" s="33" t="n">
        <f aca="false">IF(J2138="","",ABS(J2138))</f>
        <v>0.75</v>
      </c>
      <c r="O2138" s="33" t="n">
        <f aca="false">IF(K2138="","",ABS(K2138))</f>
        <v>0.23802405226035</v>
      </c>
      <c r="P2138" s="34" t="str">
        <f aca="false">IF(B2138&gt;=Eval_Start_Week,"YES","")</f>
        <v>YES</v>
      </c>
      <c r="Q2138" s="34" t="str">
        <f aca="false">IF(AND(B2138&gt;=Cal_Start_Week,B2138&lt;=Cal_End_Week),"YES","")</f>
        <v>YES</v>
      </c>
    </row>
    <row r="2139" customFormat="false" ht="15" hidden="false" customHeight="false" outlineLevel="0" collapsed="false">
      <c r="A2139" s="31" t="str">
        <f aca="false">Demand_History!C2139</f>
        <v>BED-001</v>
      </c>
      <c r="B2139" s="31" t="n">
        <f aca="false">Demand_History!A2139</f>
        <v>58</v>
      </c>
      <c r="C2139" s="32" t="n">
        <f aca="false">Demand_History!D2139</f>
        <v>37</v>
      </c>
      <c r="D2139" s="33" t="n">
        <f aca="false">IF(B2139&gt;=2,C2138,"")</f>
        <v>38</v>
      </c>
      <c r="E2139" s="33" t="n">
        <f aca="false">IF(B2139&gt;=5,AVERAGE(C2135:C2138),"")</f>
        <v>38.25</v>
      </c>
      <c r="F2139" s="33" t="n">
        <f aca="false">IF(B2139&gt;=9,AVERAGE(C2131:C2138),"")</f>
        <v>39.125</v>
      </c>
      <c r="G2139" s="33" t="n">
        <f aca="false">IF(B2139=1,"",IF(B2139=2,C2138,SES_Alpha*C2138+(1-SES_Alpha)*G2138))</f>
        <v>38.1666168365822</v>
      </c>
      <c r="H2139" s="33" t="n">
        <f aca="false">IF(D2139="","",D2139-C2139)</f>
        <v>1</v>
      </c>
      <c r="I2139" s="33" t="n">
        <f aca="false">IF(E2139="","",E2139-C2139)</f>
        <v>1.25</v>
      </c>
      <c r="J2139" s="33" t="n">
        <f aca="false">IF(F2139="","",F2139-C2139)</f>
        <v>2.125</v>
      </c>
      <c r="K2139" s="33" t="n">
        <f aca="false">IF(G2139="","",G2139-C2139)</f>
        <v>1.16661683658224</v>
      </c>
      <c r="L2139" s="33" t="n">
        <f aca="false">IF(H2139="","",ABS(H2139))</f>
        <v>1</v>
      </c>
      <c r="M2139" s="33" t="n">
        <f aca="false">IF(I2139="","",ABS(I2139))</f>
        <v>1.25</v>
      </c>
      <c r="N2139" s="33" t="n">
        <f aca="false">IF(J2139="","",ABS(J2139))</f>
        <v>2.125</v>
      </c>
      <c r="O2139" s="33" t="n">
        <f aca="false">IF(K2139="","",ABS(K2139))</f>
        <v>1.16661683658224</v>
      </c>
      <c r="P2139" s="34" t="str">
        <f aca="false">IF(B2139&gt;=Eval_Start_Week,"YES","")</f>
        <v>YES</v>
      </c>
      <c r="Q2139" s="34" t="str">
        <f aca="false">IF(AND(B2139&gt;=Cal_Start_Week,B2139&lt;=Cal_End_Week),"YES","")</f>
        <v>YES</v>
      </c>
    </row>
    <row r="2140" customFormat="false" ht="15" hidden="false" customHeight="false" outlineLevel="0" collapsed="false">
      <c r="A2140" s="31" t="str">
        <f aca="false">Demand_History!C2140</f>
        <v>BED-001</v>
      </c>
      <c r="B2140" s="31" t="n">
        <f aca="false">Demand_History!A2140</f>
        <v>59</v>
      </c>
      <c r="C2140" s="32" t="n">
        <f aca="false">Demand_History!D2140</f>
        <v>42</v>
      </c>
      <c r="D2140" s="33" t="n">
        <f aca="false">IF(B2140&gt;=2,C2139,"")</f>
        <v>37</v>
      </c>
      <c r="E2140" s="33" t="n">
        <f aca="false">IF(B2140&gt;=5,AVERAGE(C2136:C2139),"")</f>
        <v>37.75</v>
      </c>
      <c r="F2140" s="33" t="n">
        <f aca="false">IF(B2140&gt;=9,AVERAGE(C2132:C2139),"")</f>
        <v>37.5</v>
      </c>
      <c r="G2140" s="33" t="n">
        <f aca="false">IF(B2140=1,"",IF(B2140=2,C2139,SES_Alpha*C2139+(1-SES_Alpha)*G2139))</f>
        <v>37.8166317856076</v>
      </c>
      <c r="H2140" s="33" t="n">
        <f aca="false">IF(D2140="","",D2140-C2140)</f>
        <v>-5</v>
      </c>
      <c r="I2140" s="33" t="n">
        <f aca="false">IF(E2140="","",E2140-C2140)</f>
        <v>-4.25</v>
      </c>
      <c r="J2140" s="33" t="n">
        <f aca="false">IF(F2140="","",F2140-C2140)</f>
        <v>-4.5</v>
      </c>
      <c r="K2140" s="33" t="n">
        <f aca="false">IF(G2140="","",G2140-C2140)</f>
        <v>-4.18336821439243</v>
      </c>
      <c r="L2140" s="33" t="n">
        <f aca="false">IF(H2140="","",ABS(H2140))</f>
        <v>5</v>
      </c>
      <c r="M2140" s="33" t="n">
        <f aca="false">IF(I2140="","",ABS(I2140))</f>
        <v>4.25</v>
      </c>
      <c r="N2140" s="33" t="n">
        <f aca="false">IF(J2140="","",ABS(J2140))</f>
        <v>4.5</v>
      </c>
      <c r="O2140" s="33" t="n">
        <f aca="false">IF(K2140="","",ABS(K2140))</f>
        <v>4.18336821439243</v>
      </c>
      <c r="P2140" s="34" t="str">
        <f aca="false">IF(B2140&gt;=Eval_Start_Week,"YES","")</f>
        <v>YES</v>
      </c>
      <c r="Q2140" s="34" t="str">
        <f aca="false">IF(AND(B2140&gt;=Cal_Start_Week,B2140&lt;=Cal_End_Week),"YES","")</f>
        <v>YES</v>
      </c>
    </row>
    <row r="2141" customFormat="false" ht="15" hidden="false" customHeight="false" outlineLevel="0" collapsed="false">
      <c r="A2141" s="31" t="str">
        <f aca="false">Demand_History!C2141</f>
        <v>BED-001</v>
      </c>
      <c r="B2141" s="31" t="n">
        <f aca="false">Demand_History!A2141</f>
        <v>60</v>
      </c>
      <c r="C2141" s="32" t="n">
        <f aca="false">Demand_History!D2141</f>
        <v>35</v>
      </c>
      <c r="D2141" s="33" t="n">
        <f aca="false">IF(B2141&gt;=2,C2140,"")</f>
        <v>42</v>
      </c>
      <c r="E2141" s="33" t="n">
        <f aca="false">IF(B2141&gt;=5,AVERAGE(C2137:C2140),"")</f>
        <v>38.5</v>
      </c>
      <c r="F2141" s="33" t="n">
        <f aca="false">IF(B2141&gt;=9,AVERAGE(C2133:C2140),"")</f>
        <v>38</v>
      </c>
      <c r="G2141" s="33" t="n">
        <f aca="false">IF(B2141=1,"",IF(B2141=2,C2140,SES_Alpha*C2140+(1-SES_Alpha)*G2140))</f>
        <v>39.0716422499253</v>
      </c>
      <c r="H2141" s="33" t="n">
        <f aca="false">IF(D2141="","",D2141-C2141)</f>
        <v>7</v>
      </c>
      <c r="I2141" s="33" t="n">
        <f aca="false">IF(E2141="","",E2141-C2141)</f>
        <v>3.5</v>
      </c>
      <c r="J2141" s="33" t="n">
        <f aca="false">IF(F2141="","",F2141-C2141)</f>
        <v>3</v>
      </c>
      <c r="K2141" s="33" t="n">
        <f aca="false">IF(G2141="","",G2141-C2141)</f>
        <v>4.0716422499253</v>
      </c>
      <c r="L2141" s="33" t="n">
        <f aca="false">IF(H2141="","",ABS(H2141))</f>
        <v>7</v>
      </c>
      <c r="M2141" s="33" t="n">
        <f aca="false">IF(I2141="","",ABS(I2141))</f>
        <v>3.5</v>
      </c>
      <c r="N2141" s="33" t="n">
        <f aca="false">IF(J2141="","",ABS(J2141))</f>
        <v>3</v>
      </c>
      <c r="O2141" s="33" t="n">
        <f aca="false">IF(K2141="","",ABS(K2141))</f>
        <v>4.0716422499253</v>
      </c>
      <c r="P2141" s="34" t="str">
        <f aca="false">IF(B2141&gt;=Eval_Start_Week,"YES","")</f>
        <v>YES</v>
      </c>
      <c r="Q2141" s="34" t="str">
        <f aca="false">IF(AND(B2141&gt;=Cal_Start_Week,B2141&lt;=Cal_End_Week),"YES","")</f>
        <v>YES</v>
      </c>
    </row>
    <row r="2142" customFormat="false" ht="15" hidden="false" customHeight="false" outlineLevel="0" collapsed="false">
      <c r="A2142" s="31" t="str">
        <f aca="false">Demand_History!C2142</f>
        <v>BED-001</v>
      </c>
      <c r="B2142" s="31" t="n">
        <f aca="false">Demand_History!A2142</f>
        <v>61</v>
      </c>
      <c r="C2142" s="32" t="n">
        <f aca="false">Demand_History!D2142</f>
        <v>38</v>
      </c>
      <c r="D2142" s="33" t="n">
        <f aca="false">IF(B2142&gt;=2,C2141,"")</f>
        <v>35</v>
      </c>
      <c r="E2142" s="33" t="n">
        <f aca="false">IF(B2142&gt;=5,AVERAGE(C2138:C2141),"")</f>
        <v>38</v>
      </c>
      <c r="F2142" s="33" t="n">
        <f aca="false">IF(B2142&gt;=9,AVERAGE(C2134:C2141),"")</f>
        <v>38.375</v>
      </c>
      <c r="G2142" s="33" t="n">
        <f aca="false">IF(B2142=1,"",IF(B2142=2,C2141,SES_Alpha*C2141+(1-SES_Alpha)*G2141))</f>
        <v>37.8501495749477</v>
      </c>
      <c r="H2142" s="33" t="n">
        <f aca="false">IF(D2142="","",D2142-C2142)</f>
        <v>-3</v>
      </c>
      <c r="I2142" s="33" t="n">
        <f aca="false">IF(E2142="","",E2142-C2142)</f>
        <v>0</v>
      </c>
      <c r="J2142" s="33" t="n">
        <f aca="false">IF(F2142="","",F2142-C2142)</f>
        <v>0.375</v>
      </c>
      <c r="K2142" s="33" t="n">
        <f aca="false">IF(G2142="","",G2142-C2142)</f>
        <v>-0.149850425052293</v>
      </c>
      <c r="L2142" s="33" t="n">
        <f aca="false">IF(H2142="","",ABS(H2142))</f>
        <v>3</v>
      </c>
      <c r="M2142" s="33" t="n">
        <f aca="false">IF(I2142="","",ABS(I2142))</f>
        <v>0</v>
      </c>
      <c r="N2142" s="33" t="n">
        <f aca="false">IF(J2142="","",ABS(J2142))</f>
        <v>0.375</v>
      </c>
      <c r="O2142" s="33" t="n">
        <f aca="false">IF(K2142="","",ABS(K2142))</f>
        <v>0.149850425052293</v>
      </c>
      <c r="P2142" s="34" t="str">
        <f aca="false">IF(B2142&gt;=Eval_Start_Week,"YES","")</f>
        <v>YES</v>
      </c>
      <c r="Q2142" s="34" t="str">
        <f aca="false">IF(AND(B2142&gt;=Cal_Start_Week,B2142&lt;=Cal_End_Week),"YES","")</f>
        <v>YES</v>
      </c>
    </row>
    <row r="2143" customFormat="false" ht="15" hidden="false" customHeight="false" outlineLevel="0" collapsed="false">
      <c r="A2143" s="31" t="str">
        <f aca="false">Demand_History!C2143</f>
        <v>BED-001</v>
      </c>
      <c r="B2143" s="31" t="n">
        <f aca="false">Demand_History!A2143</f>
        <v>62</v>
      </c>
      <c r="C2143" s="32" t="n">
        <f aca="false">Demand_History!D2143</f>
        <v>39</v>
      </c>
      <c r="D2143" s="33" t="n">
        <f aca="false">IF(B2143&gt;=2,C2142,"")</f>
        <v>38</v>
      </c>
      <c r="E2143" s="33" t="n">
        <f aca="false">IF(B2143&gt;=5,AVERAGE(C2139:C2142),"")</f>
        <v>38</v>
      </c>
      <c r="F2143" s="33" t="n">
        <f aca="false">IF(B2143&gt;=9,AVERAGE(C2135:C2142),"")</f>
        <v>38.125</v>
      </c>
      <c r="G2143" s="33" t="n">
        <f aca="false">IF(B2143=1,"",IF(B2143=2,C2142,SES_Alpha*C2142+(1-SES_Alpha)*G2142))</f>
        <v>37.8951047024634</v>
      </c>
      <c r="H2143" s="33" t="n">
        <f aca="false">IF(D2143="","",D2143-C2143)</f>
        <v>-1</v>
      </c>
      <c r="I2143" s="33" t="n">
        <f aca="false">IF(E2143="","",E2143-C2143)</f>
        <v>-1</v>
      </c>
      <c r="J2143" s="33" t="n">
        <f aca="false">IF(F2143="","",F2143-C2143)</f>
        <v>-0.875</v>
      </c>
      <c r="K2143" s="33" t="n">
        <f aca="false">IF(G2143="","",G2143-C2143)</f>
        <v>-1.10489529753661</v>
      </c>
      <c r="L2143" s="33" t="n">
        <f aca="false">IF(H2143="","",ABS(H2143))</f>
        <v>1</v>
      </c>
      <c r="M2143" s="33" t="n">
        <f aca="false">IF(I2143="","",ABS(I2143))</f>
        <v>1</v>
      </c>
      <c r="N2143" s="33" t="n">
        <f aca="false">IF(J2143="","",ABS(J2143))</f>
        <v>0.875</v>
      </c>
      <c r="O2143" s="33" t="n">
        <f aca="false">IF(K2143="","",ABS(K2143))</f>
        <v>1.10489529753661</v>
      </c>
      <c r="P2143" s="34" t="str">
        <f aca="false">IF(B2143&gt;=Eval_Start_Week,"YES","")</f>
        <v>YES</v>
      </c>
      <c r="Q2143" s="34" t="str">
        <f aca="false">IF(AND(B2143&gt;=Cal_Start_Week,B2143&lt;=Cal_End_Week),"YES","")</f>
        <v>YES</v>
      </c>
    </row>
    <row r="2144" customFormat="false" ht="15" hidden="false" customHeight="false" outlineLevel="0" collapsed="false">
      <c r="A2144" s="31" t="str">
        <f aca="false">Demand_History!C2144</f>
        <v>BED-001</v>
      </c>
      <c r="B2144" s="31" t="n">
        <f aca="false">Demand_History!A2144</f>
        <v>63</v>
      </c>
      <c r="C2144" s="32" t="n">
        <f aca="false">Demand_History!D2144</f>
        <v>47</v>
      </c>
      <c r="D2144" s="33" t="n">
        <f aca="false">IF(B2144&gt;=2,C2143,"")</f>
        <v>39</v>
      </c>
      <c r="E2144" s="33" t="n">
        <f aca="false">IF(B2144&gt;=5,AVERAGE(C2140:C2143),"")</f>
        <v>38.5</v>
      </c>
      <c r="F2144" s="33" t="n">
        <f aca="false">IF(B2144&gt;=9,AVERAGE(C2136:C2143),"")</f>
        <v>38.125</v>
      </c>
      <c r="G2144" s="33" t="n">
        <f aca="false">IF(B2144=1,"",IF(B2144=2,C2143,SES_Alpha*C2143+(1-SES_Alpha)*G2143))</f>
        <v>38.2265732917244</v>
      </c>
      <c r="H2144" s="33" t="n">
        <f aca="false">IF(D2144="","",D2144-C2144)</f>
        <v>-8</v>
      </c>
      <c r="I2144" s="33" t="n">
        <f aca="false">IF(E2144="","",E2144-C2144)</f>
        <v>-8.5</v>
      </c>
      <c r="J2144" s="33" t="n">
        <f aca="false">IF(F2144="","",F2144-C2144)</f>
        <v>-8.875</v>
      </c>
      <c r="K2144" s="33" t="n">
        <f aca="false">IF(G2144="","",G2144-C2144)</f>
        <v>-8.77342670827563</v>
      </c>
      <c r="L2144" s="33" t="n">
        <f aca="false">IF(H2144="","",ABS(H2144))</f>
        <v>8</v>
      </c>
      <c r="M2144" s="33" t="n">
        <f aca="false">IF(I2144="","",ABS(I2144))</f>
        <v>8.5</v>
      </c>
      <c r="N2144" s="33" t="n">
        <f aca="false">IF(J2144="","",ABS(J2144))</f>
        <v>8.875</v>
      </c>
      <c r="O2144" s="33" t="n">
        <f aca="false">IF(K2144="","",ABS(K2144))</f>
        <v>8.77342670827563</v>
      </c>
      <c r="P2144" s="34" t="str">
        <f aca="false">IF(B2144&gt;=Eval_Start_Week,"YES","")</f>
        <v>YES</v>
      </c>
      <c r="Q2144" s="34" t="str">
        <f aca="false">IF(AND(B2144&gt;=Cal_Start_Week,B2144&lt;=Cal_End_Week),"YES","")</f>
        <v>YES</v>
      </c>
    </row>
    <row r="2145" customFormat="false" ht="15" hidden="false" customHeight="false" outlineLevel="0" collapsed="false">
      <c r="A2145" s="31" t="str">
        <f aca="false">Demand_History!C2145</f>
        <v>BED-001</v>
      </c>
      <c r="B2145" s="31" t="n">
        <f aca="false">Demand_History!A2145</f>
        <v>64</v>
      </c>
      <c r="C2145" s="32" t="n">
        <f aca="false">Demand_History!D2145</f>
        <v>42</v>
      </c>
      <c r="D2145" s="33" t="n">
        <f aca="false">IF(B2145&gt;=2,C2144,"")</f>
        <v>47</v>
      </c>
      <c r="E2145" s="33" t="n">
        <f aca="false">IF(B2145&gt;=5,AVERAGE(C2141:C2144),"")</f>
        <v>39.75</v>
      </c>
      <c r="F2145" s="33" t="n">
        <f aca="false">IF(B2145&gt;=9,AVERAGE(C2137:C2144),"")</f>
        <v>39.125</v>
      </c>
      <c r="G2145" s="33" t="n">
        <f aca="false">IF(B2145=1,"",IF(B2145=2,C2144,SES_Alpha*C2144+(1-SES_Alpha)*G2144))</f>
        <v>40.8586013042071</v>
      </c>
      <c r="H2145" s="33" t="n">
        <f aca="false">IF(D2145="","",D2145-C2145)</f>
        <v>5</v>
      </c>
      <c r="I2145" s="33" t="n">
        <f aca="false">IF(E2145="","",E2145-C2145)</f>
        <v>-2.25</v>
      </c>
      <c r="J2145" s="33" t="n">
        <f aca="false">IF(F2145="","",F2145-C2145)</f>
        <v>-2.875</v>
      </c>
      <c r="K2145" s="33" t="n">
        <f aca="false">IF(G2145="","",G2145-C2145)</f>
        <v>-1.14139869579294</v>
      </c>
      <c r="L2145" s="33" t="n">
        <f aca="false">IF(H2145="","",ABS(H2145))</f>
        <v>5</v>
      </c>
      <c r="M2145" s="33" t="n">
        <f aca="false">IF(I2145="","",ABS(I2145))</f>
        <v>2.25</v>
      </c>
      <c r="N2145" s="33" t="n">
        <f aca="false">IF(J2145="","",ABS(J2145))</f>
        <v>2.875</v>
      </c>
      <c r="O2145" s="33" t="n">
        <f aca="false">IF(K2145="","",ABS(K2145))</f>
        <v>1.14139869579294</v>
      </c>
      <c r="P2145" s="34" t="str">
        <f aca="false">IF(B2145&gt;=Eval_Start_Week,"YES","")</f>
        <v>YES</v>
      </c>
      <c r="Q2145" s="34" t="str">
        <f aca="false">IF(AND(B2145&gt;=Cal_Start_Week,B2145&lt;=Cal_End_Week),"YES","")</f>
        <v>YES</v>
      </c>
    </row>
    <row r="2146" customFormat="false" ht="15" hidden="false" customHeight="false" outlineLevel="0" collapsed="false">
      <c r="A2146" s="31" t="str">
        <f aca="false">Demand_History!C2146</f>
        <v>BED-001</v>
      </c>
      <c r="B2146" s="31" t="n">
        <f aca="false">Demand_History!A2146</f>
        <v>65</v>
      </c>
      <c r="C2146" s="32" t="n">
        <f aca="false">Demand_History!D2146</f>
        <v>39</v>
      </c>
      <c r="D2146" s="33" t="n">
        <f aca="false">IF(B2146&gt;=2,C2145,"")</f>
        <v>42</v>
      </c>
      <c r="E2146" s="33" t="n">
        <f aca="false">IF(B2146&gt;=5,AVERAGE(C2142:C2145),"")</f>
        <v>41.5</v>
      </c>
      <c r="F2146" s="33" t="n">
        <f aca="false">IF(B2146&gt;=9,AVERAGE(C2138:C2145),"")</f>
        <v>39.75</v>
      </c>
      <c r="G2146" s="33" t="n">
        <f aca="false">IF(B2146=1,"",IF(B2146=2,C2145,SES_Alpha*C2145+(1-SES_Alpha)*G2145))</f>
        <v>41.2010209129449</v>
      </c>
      <c r="H2146" s="33" t="n">
        <f aca="false">IF(D2146="","",D2146-C2146)</f>
        <v>3</v>
      </c>
      <c r="I2146" s="33" t="n">
        <f aca="false">IF(E2146="","",E2146-C2146)</f>
        <v>2.5</v>
      </c>
      <c r="J2146" s="33" t="n">
        <f aca="false">IF(F2146="","",F2146-C2146)</f>
        <v>0.75</v>
      </c>
      <c r="K2146" s="33" t="n">
        <f aca="false">IF(G2146="","",G2146-C2146)</f>
        <v>2.20102091294493</v>
      </c>
      <c r="L2146" s="33" t="n">
        <f aca="false">IF(H2146="","",ABS(H2146))</f>
        <v>3</v>
      </c>
      <c r="M2146" s="33" t="n">
        <f aca="false">IF(I2146="","",ABS(I2146))</f>
        <v>2.5</v>
      </c>
      <c r="N2146" s="33" t="n">
        <f aca="false">IF(J2146="","",ABS(J2146))</f>
        <v>0.75</v>
      </c>
      <c r="O2146" s="33" t="n">
        <f aca="false">IF(K2146="","",ABS(K2146))</f>
        <v>2.20102091294493</v>
      </c>
      <c r="P2146" s="34" t="str">
        <f aca="false">IF(B2146&gt;=Eval_Start_Week,"YES","")</f>
        <v>YES</v>
      </c>
      <c r="Q2146" s="34" t="str">
        <f aca="false">IF(AND(B2146&gt;=Cal_Start_Week,B2146&lt;=Cal_End_Week),"YES","")</f>
        <v>YES</v>
      </c>
    </row>
    <row r="2147" customFormat="false" ht="15" hidden="false" customHeight="false" outlineLevel="0" collapsed="false">
      <c r="A2147" s="31" t="str">
        <f aca="false">Demand_History!C2147</f>
        <v>BED-001</v>
      </c>
      <c r="B2147" s="31" t="n">
        <f aca="false">Demand_History!A2147</f>
        <v>66</v>
      </c>
      <c r="C2147" s="32" t="n">
        <f aca="false">Demand_History!D2147</f>
        <v>43</v>
      </c>
      <c r="D2147" s="33" t="n">
        <f aca="false">IF(B2147&gt;=2,C2146,"")</f>
        <v>39</v>
      </c>
      <c r="E2147" s="33" t="n">
        <f aca="false">IF(B2147&gt;=5,AVERAGE(C2143:C2146),"")</f>
        <v>41.75</v>
      </c>
      <c r="F2147" s="33" t="n">
        <f aca="false">IF(B2147&gt;=9,AVERAGE(C2139:C2146),"")</f>
        <v>39.875</v>
      </c>
      <c r="G2147" s="33" t="n">
        <f aca="false">IF(B2147=1,"",IF(B2147=2,C2146,SES_Alpha*C2146+(1-SES_Alpha)*G2146))</f>
        <v>40.5407146390615</v>
      </c>
      <c r="H2147" s="33" t="n">
        <f aca="false">IF(D2147="","",D2147-C2147)</f>
        <v>-4</v>
      </c>
      <c r="I2147" s="33" t="n">
        <f aca="false">IF(E2147="","",E2147-C2147)</f>
        <v>-1.25</v>
      </c>
      <c r="J2147" s="33" t="n">
        <f aca="false">IF(F2147="","",F2147-C2147)</f>
        <v>-3.125</v>
      </c>
      <c r="K2147" s="33" t="n">
        <f aca="false">IF(G2147="","",G2147-C2147)</f>
        <v>-2.45928536093855</v>
      </c>
      <c r="L2147" s="33" t="n">
        <f aca="false">IF(H2147="","",ABS(H2147))</f>
        <v>4</v>
      </c>
      <c r="M2147" s="33" t="n">
        <f aca="false">IF(I2147="","",ABS(I2147))</f>
        <v>1.25</v>
      </c>
      <c r="N2147" s="33" t="n">
        <f aca="false">IF(J2147="","",ABS(J2147))</f>
        <v>3.125</v>
      </c>
      <c r="O2147" s="33" t="n">
        <f aca="false">IF(K2147="","",ABS(K2147))</f>
        <v>2.45928536093855</v>
      </c>
      <c r="P2147" s="34" t="str">
        <f aca="false">IF(B2147&gt;=Eval_Start_Week,"YES","")</f>
        <v>YES</v>
      </c>
      <c r="Q2147" s="34" t="str">
        <f aca="false">IF(AND(B2147&gt;=Cal_Start_Week,B2147&lt;=Cal_End_Week),"YES","")</f>
        <v>YES</v>
      </c>
    </row>
    <row r="2148" customFormat="false" ht="15" hidden="false" customHeight="false" outlineLevel="0" collapsed="false">
      <c r="A2148" s="31" t="str">
        <f aca="false">Demand_History!C2148</f>
        <v>BED-001</v>
      </c>
      <c r="B2148" s="31" t="n">
        <f aca="false">Demand_History!A2148</f>
        <v>67</v>
      </c>
      <c r="C2148" s="32" t="n">
        <f aca="false">Demand_History!D2148</f>
        <v>42</v>
      </c>
      <c r="D2148" s="33" t="n">
        <f aca="false">IF(B2148&gt;=2,C2147,"")</f>
        <v>43</v>
      </c>
      <c r="E2148" s="33" t="n">
        <f aca="false">IF(B2148&gt;=5,AVERAGE(C2144:C2147),"")</f>
        <v>42.75</v>
      </c>
      <c r="F2148" s="33" t="n">
        <f aca="false">IF(B2148&gt;=9,AVERAGE(C2140:C2147),"")</f>
        <v>40.625</v>
      </c>
      <c r="G2148" s="33" t="n">
        <f aca="false">IF(B2148=1,"",IF(B2148=2,C2147,SES_Alpha*C2147+(1-SES_Alpha)*G2147))</f>
        <v>41.278500247343</v>
      </c>
      <c r="H2148" s="33" t="n">
        <f aca="false">IF(D2148="","",D2148-C2148)</f>
        <v>1</v>
      </c>
      <c r="I2148" s="33" t="n">
        <f aca="false">IF(E2148="","",E2148-C2148)</f>
        <v>0.75</v>
      </c>
      <c r="J2148" s="33" t="n">
        <f aca="false">IF(F2148="","",F2148-C2148)</f>
        <v>-1.375</v>
      </c>
      <c r="K2148" s="33" t="n">
        <f aca="false">IF(G2148="","",G2148-C2148)</f>
        <v>-0.721499752656989</v>
      </c>
      <c r="L2148" s="33" t="n">
        <f aca="false">IF(H2148="","",ABS(H2148))</f>
        <v>1</v>
      </c>
      <c r="M2148" s="33" t="n">
        <f aca="false">IF(I2148="","",ABS(I2148))</f>
        <v>0.75</v>
      </c>
      <c r="N2148" s="33" t="n">
        <f aca="false">IF(J2148="","",ABS(J2148))</f>
        <v>1.375</v>
      </c>
      <c r="O2148" s="33" t="n">
        <f aca="false">IF(K2148="","",ABS(K2148))</f>
        <v>0.721499752656989</v>
      </c>
      <c r="P2148" s="34" t="str">
        <f aca="false">IF(B2148&gt;=Eval_Start_Week,"YES","")</f>
        <v>YES</v>
      </c>
      <c r="Q2148" s="34" t="str">
        <f aca="false">IF(AND(B2148&gt;=Cal_Start_Week,B2148&lt;=Cal_End_Week),"YES","")</f>
        <v>YES</v>
      </c>
    </row>
    <row r="2149" customFormat="false" ht="15" hidden="false" customHeight="false" outlineLevel="0" collapsed="false">
      <c r="A2149" s="31" t="str">
        <f aca="false">Demand_History!C2149</f>
        <v>BED-001</v>
      </c>
      <c r="B2149" s="31" t="n">
        <f aca="false">Demand_History!A2149</f>
        <v>68</v>
      </c>
      <c r="C2149" s="32" t="n">
        <f aca="false">Demand_History!D2149</f>
        <v>46</v>
      </c>
      <c r="D2149" s="33" t="n">
        <f aca="false">IF(B2149&gt;=2,C2148,"")</f>
        <v>42</v>
      </c>
      <c r="E2149" s="33" t="n">
        <f aca="false">IF(B2149&gt;=5,AVERAGE(C2145:C2148),"")</f>
        <v>41.5</v>
      </c>
      <c r="F2149" s="33" t="n">
        <f aca="false">IF(B2149&gt;=9,AVERAGE(C2141:C2148),"")</f>
        <v>40.625</v>
      </c>
      <c r="G2149" s="33" t="n">
        <f aca="false">IF(B2149=1,"",IF(B2149=2,C2148,SES_Alpha*C2148+(1-SES_Alpha)*G2148))</f>
        <v>41.4949501731401</v>
      </c>
      <c r="H2149" s="33" t="n">
        <f aca="false">IF(D2149="","",D2149-C2149)</f>
        <v>-4</v>
      </c>
      <c r="I2149" s="33" t="n">
        <f aca="false">IF(E2149="","",E2149-C2149)</f>
        <v>-4.5</v>
      </c>
      <c r="J2149" s="33" t="n">
        <f aca="false">IF(F2149="","",F2149-C2149)</f>
        <v>-5.375</v>
      </c>
      <c r="K2149" s="33" t="n">
        <f aca="false">IF(G2149="","",G2149-C2149)</f>
        <v>-4.5050498268599</v>
      </c>
      <c r="L2149" s="33" t="n">
        <f aca="false">IF(H2149="","",ABS(H2149))</f>
        <v>4</v>
      </c>
      <c r="M2149" s="33" t="n">
        <f aca="false">IF(I2149="","",ABS(I2149))</f>
        <v>4.5</v>
      </c>
      <c r="N2149" s="33" t="n">
        <f aca="false">IF(J2149="","",ABS(J2149))</f>
        <v>5.375</v>
      </c>
      <c r="O2149" s="33" t="n">
        <f aca="false">IF(K2149="","",ABS(K2149))</f>
        <v>4.5050498268599</v>
      </c>
      <c r="P2149" s="34" t="str">
        <f aca="false">IF(B2149&gt;=Eval_Start_Week,"YES","")</f>
        <v>YES</v>
      </c>
      <c r="Q2149" s="34" t="str">
        <f aca="false">IF(AND(B2149&gt;=Cal_Start_Week,B2149&lt;=Cal_End_Week),"YES","")</f>
        <v>YES</v>
      </c>
    </row>
    <row r="2150" customFormat="false" ht="15" hidden="false" customHeight="false" outlineLevel="0" collapsed="false">
      <c r="A2150" s="31" t="str">
        <f aca="false">Demand_History!C2150</f>
        <v>BED-001</v>
      </c>
      <c r="B2150" s="31" t="n">
        <f aca="false">Demand_History!A2150</f>
        <v>69</v>
      </c>
      <c r="C2150" s="32" t="n">
        <f aca="false">Demand_History!D2150</f>
        <v>43</v>
      </c>
      <c r="D2150" s="33" t="n">
        <f aca="false">IF(B2150&gt;=2,C2149,"")</f>
        <v>46</v>
      </c>
      <c r="E2150" s="33" t="n">
        <f aca="false">IF(B2150&gt;=5,AVERAGE(C2146:C2149),"")</f>
        <v>42.5</v>
      </c>
      <c r="F2150" s="33" t="n">
        <f aca="false">IF(B2150&gt;=9,AVERAGE(C2142:C2149),"")</f>
        <v>42</v>
      </c>
      <c r="G2150" s="33" t="n">
        <f aca="false">IF(B2150=1,"",IF(B2150=2,C2149,SES_Alpha*C2149+(1-SES_Alpha)*G2149))</f>
        <v>42.8464651211981</v>
      </c>
      <c r="H2150" s="33" t="n">
        <f aca="false">IF(D2150="","",D2150-C2150)</f>
        <v>3</v>
      </c>
      <c r="I2150" s="33" t="n">
        <f aca="false">IF(E2150="","",E2150-C2150)</f>
        <v>-0.5</v>
      </c>
      <c r="J2150" s="33" t="n">
        <f aca="false">IF(F2150="","",F2150-C2150)</f>
        <v>-1</v>
      </c>
      <c r="K2150" s="33" t="n">
        <f aca="false">IF(G2150="","",G2150-C2150)</f>
        <v>-0.153534878801928</v>
      </c>
      <c r="L2150" s="33" t="n">
        <f aca="false">IF(H2150="","",ABS(H2150))</f>
        <v>3</v>
      </c>
      <c r="M2150" s="33" t="n">
        <f aca="false">IF(I2150="","",ABS(I2150))</f>
        <v>0.5</v>
      </c>
      <c r="N2150" s="33" t="n">
        <f aca="false">IF(J2150="","",ABS(J2150))</f>
        <v>1</v>
      </c>
      <c r="O2150" s="33" t="n">
        <f aca="false">IF(K2150="","",ABS(K2150))</f>
        <v>0.153534878801928</v>
      </c>
      <c r="P2150" s="34" t="str">
        <f aca="false">IF(B2150&gt;=Eval_Start_Week,"YES","")</f>
        <v>YES</v>
      </c>
      <c r="Q2150" s="34" t="str">
        <f aca="false">IF(AND(B2150&gt;=Cal_Start_Week,B2150&lt;=Cal_End_Week),"YES","")</f>
        <v>YES</v>
      </c>
    </row>
    <row r="2151" customFormat="false" ht="15" hidden="false" customHeight="false" outlineLevel="0" collapsed="false">
      <c r="A2151" s="31" t="str">
        <f aca="false">Demand_History!C2151</f>
        <v>BED-001</v>
      </c>
      <c r="B2151" s="31" t="n">
        <f aca="false">Demand_History!A2151</f>
        <v>70</v>
      </c>
      <c r="C2151" s="32" t="n">
        <f aca="false">Demand_History!D2151</f>
        <v>50</v>
      </c>
      <c r="D2151" s="33" t="n">
        <f aca="false">IF(B2151&gt;=2,C2150,"")</f>
        <v>43</v>
      </c>
      <c r="E2151" s="33" t="n">
        <f aca="false">IF(B2151&gt;=5,AVERAGE(C2147:C2150),"")</f>
        <v>43.5</v>
      </c>
      <c r="F2151" s="33" t="n">
        <f aca="false">IF(B2151&gt;=9,AVERAGE(C2143:C2150),"")</f>
        <v>42.625</v>
      </c>
      <c r="G2151" s="33" t="n">
        <f aca="false">IF(B2151=1,"",IF(B2151=2,C2150,SES_Alpha*C2150+(1-SES_Alpha)*G2150))</f>
        <v>42.8925255848387</v>
      </c>
      <c r="H2151" s="33" t="n">
        <f aca="false">IF(D2151="","",D2151-C2151)</f>
        <v>-7</v>
      </c>
      <c r="I2151" s="33" t="n">
        <f aca="false">IF(E2151="","",E2151-C2151)</f>
        <v>-6.5</v>
      </c>
      <c r="J2151" s="33" t="n">
        <f aca="false">IF(F2151="","",F2151-C2151)</f>
        <v>-7.375</v>
      </c>
      <c r="K2151" s="33" t="n">
        <f aca="false">IF(G2151="","",G2151-C2151)</f>
        <v>-7.10747441516135</v>
      </c>
      <c r="L2151" s="33" t="n">
        <f aca="false">IF(H2151="","",ABS(H2151))</f>
        <v>7</v>
      </c>
      <c r="M2151" s="33" t="n">
        <f aca="false">IF(I2151="","",ABS(I2151))</f>
        <v>6.5</v>
      </c>
      <c r="N2151" s="33" t="n">
        <f aca="false">IF(J2151="","",ABS(J2151))</f>
        <v>7.375</v>
      </c>
      <c r="O2151" s="33" t="n">
        <f aca="false">IF(K2151="","",ABS(K2151))</f>
        <v>7.10747441516135</v>
      </c>
      <c r="P2151" s="34" t="str">
        <f aca="false">IF(B2151&gt;=Eval_Start_Week,"YES","")</f>
        <v>YES</v>
      </c>
      <c r="Q2151" s="34" t="str">
        <f aca="false">IF(AND(B2151&gt;=Cal_Start_Week,B2151&lt;=Cal_End_Week),"YES","")</f>
        <v>YES</v>
      </c>
    </row>
    <row r="2152" customFormat="false" ht="15" hidden="false" customHeight="false" outlineLevel="0" collapsed="false">
      <c r="A2152" s="31" t="str">
        <f aca="false">Demand_History!C2152</f>
        <v>BED-001</v>
      </c>
      <c r="B2152" s="31" t="n">
        <f aca="false">Demand_History!A2152</f>
        <v>71</v>
      </c>
      <c r="C2152" s="32" t="n">
        <f aca="false">Demand_History!D2152</f>
        <v>48</v>
      </c>
      <c r="D2152" s="33" t="n">
        <f aca="false">IF(B2152&gt;=2,C2151,"")</f>
        <v>50</v>
      </c>
      <c r="E2152" s="33" t="n">
        <f aca="false">IF(B2152&gt;=5,AVERAGE(C2148:C2151),"")</f>
        <v>45.25</v>
      </c>
      <c r="F2152" s="33" t="n">
        <f aca="false">IF(B2152&gt;=9,AVERAGE(C2144:C2151),"")</f>
        <v>44</v>
      </c>
      <c r="G2152" s="33" t="n">
        <f aca="false">IF(B2152=1,"",IF(B2152=2,C2151,SES_Alpha*C2151+(1-SES_Alpha)*G2151))</f>
        <v>45.0247679093871</v>
      </c>
      <c r="H2152" s="33" t="n">
        <f aca="false">IF(D2152="","",D2152-C2152)</f>
        <v>2</v>
      </c>
      <c r="I2152" s="33" t="n">
        <f aca="false">IF(E2152="","",E2152-C2152)</f>
        <v>-2.75</v>
      </c>
      <c r="J2152" s="33" t="n">
        <f aca="false">IF(F2152="","",F2152-C2152)</f>
        <v>-4</v>
      </c>
      <c r="K2152" s="33" t="n">
        <f aca="false">IF(G2152="","",G2152-C2152)</f>
        <v>-2.97523209061295</v>
      </c>
      <c r="L2152" s="33" t="n">
        <f aca="false">IF(H2152="","",ABS(H2152))</f>
        <v>2</v>
      </c>
      <c r="M2152" s="33" t="n">
        <f aca="false">IF(I2152="","",ABS(I2152))</f>
        <v>2.75</v>
      </c>
      <c r="N2152" s="33" t="n">
        <f aca="false">IF(J2152="","",ABS(J2152))</f>
        <v>4</v>
      </c>
      <c r="O2152" s="33" t="n">
        <f aca="false">IF(K2152="","",ABS(K2152))</f>
        <v>2.97523209061295</v>
      </c>
      <c r="P2152" s="34" t="str">
        <f aca="false">IF(B2152&gt;=Eval_Start_Week,"YES","")</f>
        <v>YES</v>
      </c>
      <c r="Q2152" s="34" t="str">
        <f aca="false">IF(AND(B2152&gt;=Cal_Start_Week,B2152&lt;=Cal_End_Week),"YES","")</f>
        <v>YES</v>
      </c>
    </row>
    <row r="2153" customFormat="false" ht="15" hidden="false" customHeight="false" outlineLevel="0" collapsed="false">
      <c r="A2153" s="31" t="str">
        <f aca="false">Demand_History!C2153</f>
        <v>BED-001</v>
      </c>
      <c r="B2153" s="31" t="n">
        <f aca="false">Demand_History!A2153</f>
        <v>72</v>
      </c>
      <c r="C2153" s="32" t="n">
        <f aca="false">Demand_History!D2153</f>
        <v>40</v>
      </c>
      <c r="D2153" s="33" t="n">
        <f aca="false">IF(B2153&gt;=2,C2152,"")</f>
        <v>48</v>
      </c>
      <c r="E2153" s="33" t="n">
        <f aca="false">IF(B2153&gt;=5,AVERAGE(C2149:C2152),"")</f>
        <v>46.75</v>
      </c>
      <c r="F2153" s="33" t="n">
        <f aca="false">IF(B2153&gt;=9,AVERAGE(C2145:C2152),"")</f>
        <v>44.125</v>
      </c>
      <c r="G2153" s="33" t="n">
        <f aca="false">IF(B2153=1,"",IF(B2153=2,C2152,SES_Alpha*C2152+(1-SES_Alpha)*G2152))</f>
        <v>45.9173375365709</v>
      </c>
      <c r="H2153" s="33" t="n">
        <f aca="false">IF(D2153="","",D2153-C2153)</f>
        <v>8</v>
      </c>
      <c r="I2153" s="33" t="n">
        <f aca="false">IF(E2153="","",E2153-C2153)</f>
        <v>6.75</v>
      </c>
      <c r="J2153" s="33" t="n">
        <f aca="false">IF(F2153="","",F2153-C2153)</f>
        <v>4.125</v>
      </c>
      <c r="K2153" s="33" t="n">
        <f aca="false">IF(G2153="","",G2153-C2153)</f>
        <v>5.91733753657093</v>
      </c>
      <c r="L2153" s="33" t="n">
        <f aca="false">IF(H2153="","",ABS(H2153))</f>
        <v>8</v>
      </c>
      <c r="M2153" s="33" t="n">
        <f aca="false">IF(I2153="","",ABS(I2153))</f>
        <v>6.75</v>
      </c>
      <c r="N2153" s="33" t="n">
        <f aca="false">IF(J2153="","",ABS(J2153))</f>
        <v>4.125</v>
      </c>
      <c r="O2153" s="33" t="n">
        <f aca="false">IF(K2153="","",ABS(K2153))</f>
        <v>5.91733753657093</v>
      </c>
      <c r="P2153" s="34" t="str">
        <f aca="false">IF(B2153&gt;=Eval_Start_Week,"YES","")</f>
        <v>YES</v>
      </c>
      <c r="Q2153" s="34" t="str">
        <f aca="false">IF(AND(B2153&gt;=Cal_Start_Week,B2153&lt;=Cal_End_Week),"YES","")</f>
        <v>YES</v>
      </c>
    </row>
    <row r="2154" customFormat="false" ht="15" hidden="false" customHeight="false" outlineLevel="0" collapsed="false">
      <c r="A2154" s="31" t="str">
        <f aca="false">Demand_History!C2154</f>
        <v>BED-001</v>
      </c>
      <c r="B2154" s="31" t="n">
        <f aca="false">Demand_History!A2154</f>
        <v>73</v>
      </c>
      <c r="C2154" s="32" t="n">
        <f aca="false">Demand_History!D2154</f>
        <v>38</v>
      </c>
      <c r="D2154" s="33" t="n">
        <f aca="false">IF(B2154&gt;=2,C2153,"")</f>
        <v>40</v>
      </c>
      <c r="E2154" s="33" t="n">
        <f aca="false">IF(B2154&gt;=5,AVERAGE(C2150:C2153),"")</f>
        <v>45.25</v>
      </c>
      <c r="F2154" s="33" t="n">
        <f aca="false">IF(B2154&gt;=9,AVERAGE(C2146:C2153),"")</f>
        <v>43.875</v>
      </c>
      <c r="G2154" s="33" t="n">
        <f aca="false">IF(B2154=1,"",IF(B2154=2,C2153,SES_Alpha*C2153+(1-SES_Alpha)*G2153))</f>
        <v>44.1421362755997</v>
      </c>
      <c r="H2154" s="33" t="n">
        <f aca="false">IF(D2154="","",D2154-C2154)</f>
        <v>2</v>
      </c>
      <c r="I2154" s="33" t="n">
        <f aca="false">IF(E2154="","",E2154-C2154)</f>
        <v>7.25</v>
      </c>
      <c r="J2154" s="33" t="n">
        <f aca="false">IF(F2154="","",F2154-C2154)</f>
        <v>5.875</v>
      </c>
      <c r="K2154" s="33" t="n">
        <f aca="false">IF(G2154="","",G2154-C2154)</f>
        <v>6.14213627559965</v>
      </c>
      <c r="L2154" s="33" t="n">
        <f aca="false">IF(H2154="","",ABS(H2154))</f>
        <v>2</v>
      </c>
      <c r="M2154" s="33" t="n">
        <f aca="false">IF(I2154="","",ABS(I2154))</f>
        <v>7.25</v>
      </c>
      <c r="N2154" s="33" t="n">
        <f aca="false">IF(J2154="","",ABS(J2154))</f>
        <v>5.875</v>
      </c>
      <c r="O2154" s="33" t="n">
        <f aca="false">IF(K2154="","",ABS(K2154))</f>
        <v>6.14213627559965</v>
      </c>
      <c r="P2154" s="34" t="str">
        <f aca="false">IF(B2154&gt;=Eval_Start_Week,"YES","")</f>
        <v>YES</v>
      </c>
      <c r="Q2154" s="34" t="str">
        <f aca="false">IF(AND(B2154&gt;=Cal_Start_Week,B2154&lt;=Cal_End_Week),"YES","")</f>
        <v>YES</v>
      </c>
    </row>
    <row r="2155" customFormat="false" ht="15" hidden="false" customHeight="false" outlineLevel="0" collapsed="false">
      <c r="A2155" s="31" t="str">
        <f aca="false">Demand_History!C2155</f>
        <v>BED-001</v>
      </c>
      <c r="B2155" s="31" t="n">
        <f aca="false">Demand_History!A2155</f>
        <v>74</v>
      </c>
      <c r="C2155" s="32" t="n">
        <f aca="false">Demand_History!D2155</f>
        <v>45</v>
      </c>
      <c r="D2155" s="33" t="n">
        <f aca="false">IF(B2155&gt;=2,C2154,"")</f>
        <v>38</v>
      </c>
      <c r="E2155" s="33" t="n">
        <f aca="false">IF(B2155&gt;=5,AVERAGE(C2151:C2154),"")</f>
        <v>44</v>
      </c>
      <c r="F2155" s="33" t="n">
        <f aca="false">IF(B2155&gt;=9,AVERAGE(C2147:C2154),"")</f>
        <v>43.75</v>
      </c>
      <c r="G2155" s="33" t="n">
        <f aca="false">IF(B2155=1,"",IF(B2155=2,C2154,SES_Alpha*C2154+(1-SES_Alpha)*G2154))</f>
        <v>42.2994953929198</v>
      </c>
      <c r="H2155" s="33" t="n">
        <f aca="false">IF(D2155="","",D2155-C2155)</f>
        <v>-7</v>
      </c>
      <c r="I2155" s="33" t="n">
        <f aca="false">IF(E2155="","",E2155-C2155)</f>
        <v>-1</v>
      </c>
      <c r="J2155" s="33" t="n">
        <f aca="false">IF(F2155="","",F2155-C2155)</f>
        <v>-1.25</v>
      </c>
      <c r="K2155" s="33" t="n">
        <f aca="false">IF(G2155="","",G2155-C2155)</f>
        <v>-2.70050460708024</v>
      </c>
      <c r="L2155" s="33" t="n">
        <f aca="false">IF(H2155="","",ABS(H2155))</f>
        <v>7</v>
      </c>
      <c r="M2155" s="33" t="n">
        <f aca="false">IF(I2155="","",ABS(I2155))</f>
        <v>1</v>
      </c>
      <c r="N2155" s="33" t="n">
        <f aca="false">IF(J2155="","",ABS(J2155))</f>
        <v>1.25</v>
      </c>
      <c r="O2155" s="33" t="n">
        <f aca="false">IF(K2155="","",ABS(K2155))</f>
        <v>2.70050460708024</v>
      </c>
      <c r="P2155" s="34" t="str">
        <f aca="false">IF(B2155&gt;=Eval_Start_Week,"YES","")</f>
        <v>YES</v>
      </c>
      <c r="Q2155" s="34" t="str">
        <f aca="false">IF(AND(B2155&gt;=Cal_Start_Week,B2155&lt;=Cal_End_Week),"YES","")</f>
        <v>YES</v>
      </c>
    </row>
    <row r="2156" customFormat="false" ht="15" hidden="false" customHeight="false" outlineLevel="0" collapsed="false">
      <c r="A2156" s="31" t="str">
        <f aca="false">Demand_History!C2156</f>
        <v>BED-001</v>
      </c>
      <c r="B2156" s="31" t="n">
        <f aca="false">Demand_History!A2156</f>
        <v>75</v>
      </c>
      <c r="C2156" s="32" t="n">
        <f aca="false">Demand_History!D2156</f>
        <v>43</v>
      </c>
      <c r="D2156" s="33" t="n">
        <f aca="false">IF(B2156&gt;=2,C2155,"")</f>
        <v>45</v>
      </c>
      <c r="E2156" s="33" t="n">
        <f aca="false">IF(B2156&gt;=5,AVERAGE(C2152:C2155),"")</f>
        <v>42.75</v>
      </c>
      <c r="F2156" s="33" t="n">
        <f aca="false">IF(B2156&gt;=9,AVERAGE(C2148:C2155),"")</f>
        <v>44</v>
      </c>
      <c r="G2156" s="33" t="n">
        <f aca="false">IF(B2156=1,"",IF(B2156=2,C2155,SES_Alpha*C2155+(1-SES_Alpha)*G2155))</f>
        <v>43.1096467750438</v>
      </c>
      <c r="H2156" s="33" t="n">
        <f aca="false">IF(D2156="","",D2156-C2156)</f>
        <v>2</v>
      </c>
      <c r="I2156" s="33" t="n">
        <f aca="false">IF(E2156="","",E2156-C2156)</f>
        <v>-0.25</v>
      </c>
      <c r="J2156" s="33" t="n">
        <f aca="false">IF(F2156="","",F2156-C2156)</f>
        <v>1</v>
      </c>
      <c r="K2156" s="33" t="n">
        <f aca="false">IF(G2156="","",G2156-C2156)</f>
        <v>0.109646775043828</v>
      </c>
      <c r="L2156" s="33" t="n">
        <f aca="false">IF(H2156="","",ABS(H2156))</f>
        <v>2</v>
      </c>
      <c r="M2156" s="33" t="n">
        <f aca="false">IF(I2156="","",ABS(I2156))</f>
        <v>0.25</v>
      </c>
      <c r="N2156" s="33" t="n">
        <f aca="false">IF(J2156="","",ABS(J2156))</f>
        <v>1</v>
      </c>
      <c r="O2156" s="33" t="n">
        <f aca="false">IF(K2156="","",ABS(K2156))</f>
        <v>0.109646775043828</v>
      </c>
      <c r="P2156" s="34" t="str">
        <f aca="false">IF(B2156&gt;=Eval_Start_Week,"YES","")</f>
        <v>YES</v>
      </c>
      <c r="Q2156" s="34" t="str">
        <f aca="false">IF(AND(B2156&gt;=Cal_Start_Week,B2156&lt;=Cal_End_Week),"YES","")</f>
        <v>YES</v>
      </c>
    </row>
    <row r="2157" customFormat="false" ht="15" hidden="false" customHeight="false" outlineLevel="0" collapsed="false">
      <c r="A2157" s="31" t="str">
        <f aca="false">Demand_History!C2157</f>
        <v>BED-001</v>
      </c>
      <c r="B2157" s="31" t="n">
        <f aca="false">Demand_History!A2157</f>
        <v>76</v>
      </c>
      <c r="C2157" s="32" t="n">
        <f aca="false">Demand_History!D2157</f>
        <v>39</v>
      </c>
      <c r="D2157" s="33" t="n">
        <f aca="false">IF(B2157&gt;=2,C2156,"")</f>
        <v>43</v>
      </c>
      <c r="E2157" s="33" t="n">
        <f aca="false">IF(B2157&gt;=5,AVERAGE(C2153:C2156),"")</f>
        <v>41.5</v>
      </c>
      <c r="F2157" s="33" t="n">
        <f aca="false">IF(B2157&gt;=9,AVERAGE(C2149:C2156),"")</f>
        <v>44.125</v>
      </c>
      <c r="G2157" s="33" t="n">
        <f aca="false">IF(B2157=1,"",IF(B2157=2,C2156,SES_Alpha*C2156+(1-SES_Alpha)*G2156))</f>
        <v>43.0767527425307</v>
      </c>
      <c r="H2157" s="33" t="n">
        <f aca="false">IF(D2157="","",D2157-C2157)</f>
        <v>4</v>
      </c>
      <c r="I2157" s="33" t="n">
        <f aca="false">IF(E2157="","",E2157-C2157)</f>
        <v>2.5</v>
      </c>
      <c r="J2157" s="33" t="n">
        <f aca="false">IF(F2157="","",F2157-C2157)</f>
        <v>5.125</v>
      </c>
      <c r="K2157" s="33" t="n">
        <f aca="false">IF(G2157="","",G2157-C2157)</f>
        <v>4.07675274253068</v>
      </c>
      <c r="L2157" s="33" t="n">
        <f aca="false">IF(H2157="","",ABS(H2157))</f>
        <v>4</v>
      </c>
      <c r="M2157" s="33" t="n">
        <f aca="false">IF(I2157="","",ABS(I2157))</f>
        <v>2.5</v>
      </c>
      <c r="N2157" s="33" t="n">
        <f aca="false">IF(J2157="","",ABS(J2157))</f>
        <v>5.125</v>
      </c>
      <c r="O2157" s="33" t="n">
        <f aca="false">IF(K2157="","",ABS(K2157))</f>
        <v>4.07675274253068</v>
      </c>
      <c r="P2157" s="34" t="str">
        <f aca="false">IF(B2157&gt;=Eval_Start_Week,"YES","")</f>
        <v>YES</v>
      </c>
      <c r="Q2157" s="34" t="str">
        <f aca="false">IF(AND(B2157&gt;=Cal_Start_Week,B2157&lt;=Cal_End_Week),"YES","")</f>
        <v>YES</v>
      </c>
    </row>
    <row r="2158" customFormat="false" ht="15" hidden="false" customHeight="false" outlineLevel="0" collapsed="false">
      <c r="A2158" s="31" t="str">
        <f aca="false">Demand_History!C2158</f>
        <v>BED-001</v>
      </c>
      <c r="B2158" s="31" t="n">
        <f aca="false">Demand_History!A2158</f>
        <v>77</v>
      </c>
      <c r="C2158" s="32" t="n">
        <f aca="false">Demand_History!D2158</f>
        <v>32</v>
      </c>
      <c r="D2158" s="33" t="n">
        <f aca="false">IF(B2158&gt;=2,C2157,"")</f>
        <v>39</v>
      </c>
      <c r="E2158" s="33" t="n">
        <f aca="false">IF(B2158&gt;=5,AVERAGE(C2154:C2157),"")</f>
        <v>41.25</v>
      </c>
      <c r="F2158" s="33" t="n">
        <f aca="false">IF(B2158&gt;=9,AVERAGE(C2150:C2157),"")</f>
        <v>43.25</v>
      </c>
      <c r="G2158" s="33" t="n">
        <f aca="false">IF(B2158=1,"",IF(B2158=2,C2157,SES_Alpha*C2157+(1-SES_Alpha)*G2157))</f>
        <v>41.8537269197715</v>
      </c>
      <c r="H2158" s="33" t="n">
        <f aca="false">IF(D2158="","",D2158-C2158)</f>
        <v>7</v>
      </c>
      <c r="I2158" s="33" t="n">
        <f aca="false">IF(E2158="","",E2158-C2158)</f>
        <v>9.25</v>
      </c>
      <c r="J2158" s="33" t="n">
        <f aca="false">IF(F2158="","",F2158-C2158)</f>
        <v>11.25</v>
      </c>
      <c r="K2158" s="33" t="n">
        <f aca="false">IF(G2158="","",G2158-C2158)</f>
        <v>9.85372691977148</v>
      </c>
      <c r="L2158" s="33" t="n">
        <f aca="false">IF(H2158="","",ABS(H2158))</f>
        <v>7</v>
      </c>
      <c r="M2158" s="33" t="n">
        <f aca="false">IF(I2158="","",ABS(I2158))</f>
        <v>9.25</v>
      </c>
      <c r="N2158" s="33" t="n">
        <f aca="false">IF(J2158="","",ABS(J2158))</f>
        <v>11.25</v>
      </c>
      <c r="O2158" s="33" t="n">
        <f aca="false">IF(K2158="","",ABS(K2158))</f>
        <v>9.85372691977148</v>
      </c>
      <c r="P2158" s="34" t="str">
        <f aca="false">IF(B2158&gt;=Eval_Start_Week,"YES","")</f>
        <v>YES</v>
      </c>
      <c r="Q2158" s="34" t="str">
        <f aca="false">IF(AND(B2158&gt;=Cal_Start_Week,B2158&lt;=Cal_End_Week),"YES","")</f>
        <v>YES</v>
      </c>
    </row>
    <row r="2159" customFormat="false" ht="15" hidden="false" customHeight="false" outlineLevel="0" collapsed="false">
      <c r="A2159" s="31" t="str">
        <f aca="false">Demand_History!C2159</f>
        <v>BED-001</v>
      </c>
      <c r="B2159" s="31" t="n">
        <f aca="false">Demand_History!A2159</f>
        <v>78</v>
      </c>
      <c r="C2159" s="32" t="n">
        <f aca="false">Demand_History!D2159</f>
        <v>30</v>
      </c>
      <c r="D2159" s="33" t="n">
        <f aca="false">IF(B2159&gt;=2,C2158,"")</f>
        <v>32</v>
      </c>
      <c r="E2159" s="33" t="n">
        <f aca="false">IF(B2159&gt;=5,AVERAGE(C2155:C2158),"")</f>
        <v>39.75</v>
      </c>
      <c r="F2159" s="33" t="n">
        <f aca="false">IF(B2159&gt;=9,AVERAGE(C2151:C2158),"")</f>
        <v>41.875</v>
      </c>
      <c r="G2159" s="33" t="n">
        <f aca="false">IF(B2159=1,"",IF(B2159=2,C2158,SES_Alpha*C2158+(1-SES_Alpha)*G2158))</f>
        <v>38.89760884384</v>
      </c>
      <c r="H2159" s="33" t="n">
        <f aca="false">IF(D2159="","",D2159-C2159)</f>
        <v>2</v>
      </c>
      <c r="I2159" s="33" t="n">
        <f aca="false">IF(E2159="","",E2159-C2159)</f>
        <v>9.75</v>
      </c>
      <c r="J2159" s="33" t="n">
        <f aca="false">IF(F2159="","",F2159-C2159)</f>
        <v>11.875</v>
      </c>
      <c r="K2159" s="33" t="n">
        <f aca="false">IF(G2159="","",G2159-C2159)</f>
        <v>8.89760884384003</v>
      </c>
      <c r="L2159" s="33" t="n">
        <f aca="false">IF(H2159="","",ABS(H2159))</f>
        <v>2</v>
      </c>
      <c r="M2159" s="33" t="n">
        <f aca="false">IF(I2159="","",ABS(I2159))</f>
        <v>9.75</v>
      </c>
      <c r="N2159" s="33" t="n">
        <f aca="false">IF(J2159="","",ABS(J2159))</f>
        <v>11.875</v>
      </c>
      <c r="O2159" s="33" t="n">
        <f aca="false">IF(K2159="","",ABS(K2159))</f>
        <v>8.89760884384003</v>
      </c>
      <c r="P2159" s="34" t="str">
        <f aca="false">IF(B2159&gt;=Eval_Start_Week,"YES","")</f>
        <v>YES</v>
      </c>
      <c r="Q2159" s="34" t="str">
        <f aca="false">IF(AND(B2159&gt;=Cal_Start_Week,B2159&lt;=Cal_End_Week),"YES","")</f>
        <v>YES</v>
      </c>
    </row>
    <row r="2160" customFormat="false" ht="15" hidden="false" customHeight="false" outlineLevel="0" collapsed="false">
      <c r="A2160" s="31" t="str">
        <f aca="false">Demand_History!C2160</f>
        <v>BED-001</v>
      </c>
      <c r="B2160" s="31" t="n">
        <f aca="false">Demand_History!A2160</f>
        <v>79</v>
      </c>
      <c r="C2160" s="32" t="n">
        <f aca="false">Demand_History!D2160</f>
        <v>42</v>
      </c>
      <c r="D2160" s="33" t="n">
        <f aca="false">IF(B2160&gt;=2,C2159,"")</f>
        <v>30</v>
      </c>
      <c r="E2160" s="33" t="n">
        <f aca="false">IF(B2160&gt;=5,AVERAGE(C2156:C2159),"")</f>
        <v>36</v>
      </c>
      <c r="F2160" s="33" t="n">
        <f aca="false">IF(B2160&gt;=9,AVERAGE(C2152:C2159),"")</f>
        <v>39.375</v>
      </c>
      <c r="G2160" s="33" t="n">
        <f aca="false">IF(B2160=1,"",IF(B2160=2,C2159,SES_Alpha*C2159+(1-SES_Alpha)*G2159))</f>
        <v>36.228326190688</v>
      </c>
      <c r="H2160" s="33" t="n">
        <f aca="false">IF(D2160="","",D2160-C2160)</f>
        <v>-12</v>
      </c>
      <c r="I2160" s="33" t="n">
        <f aca="false">IF(E2160="","",E2160-C2160)</f>
        <v>-6</v>
      </c>
      <c r="J2160" s="33" t="n">
        <f aca="false">IF(F2160="","",F2160-C2160)</f>
        <v>-2.625</v>
      </c>
      <c r="K2160" s="33" t="n">
        <f aca="false">IF(G2160="","",G2160-C2160)</f>
        <v>-5.77167380931198</v>
      </c>
      <c r="L2160" s="33" t="n">
        <f aca="false">IF(H2160="","",ABS(H2160))</f>
        <v>12</v>
      </c>
      <c r="M2160" s="33" t="n">
        <f aca="false">IF(I2160="","",ABS(I2160))</f>
        <v>6</v>
      </c>
      <c r="N2160" s="33" t="n">
        <f aca="false">IF(J2160="","",ABS(J2160))</f>
        <v>2.625</v>
      </c>
      <c r="O2160" s="33" t="n">
        <f aca="false">IF(K2160="","",ABS(K2160))</f>
        <v>5.77167380931198</v>
      </c>
      <c r="P2160" s="34" t="str">
        <f aca="false">IF(B2160&gt;=Eval_Start_Week,"YES","")</f>
        <v>YES</v>
      </c>
      <c r="Q2160" s="34" t="str">
        <f aca="false">IF(AND(B2160&gt;=Cal_Start_Week,B2160&lt;=Cal_End_Week),"YES","")</f>
        <v>YES</v>
      </c>
    </row>
    <row r="2161" customFormat="false" ht="15" hidden="false" customHeight="false" outlineLevel="0" collapsed="false">
      <c r="A2161" s="31" t="str">
        <f aca="false">Demand_History!C2161</f>
        <v>BED-001</v>
      </c>
      <c r="B2161" s="31" t="n">
        <f aca="false">Demand_History!A2161</f>
        <v>80</v>
      </c>
      <c r="C2161" s="32" t="n">
        <f aca="false">Demand_History!D2161</f>
        <v>44</v>
      </c>
      <c r="D2161" s="33" t="n">
        <f aca="false">IF(B2161&gt;=2,C2160,"")</f>
        <v>42</v>
      </c>
      <c r="E2161" s="33" t="n">
        <f aca="false">IF(B2161&gt;=5,AVERAGE(C2157:C2160),"")</f>
        <v>35.75</v>
      </c>
      <c r="F2161" s="33" t="n">
        <f aca="false">IF(B2161&gt;=9,AVERAGE(C2153:C2160),"")</f>
        <v>38.625</v>
      </c>
      <c r="G2161" s="33" t="n">
        <f aca="false">IF(B2161=1,"",IF(B2161=2,C2160,SES_Alpha*C2160+(1-SES_Alpha)*G2160))</f>
        <v>37.9598283334816</v>
      </c>
      <c r="H2161" s="33" t="n">
        <f aca="false">IF(D2161="","",D2161-C2161)</f>
        <v>-2</v>
      </c>
      <c r="I2161" s="33" t="n">
        <f aca="false">IF(E2161="","",E2161-C2161)</f>
        <v>-8.25</v>
      </c>
      <c r="J2161" s="33" t="n">
        <f aca="false">IF(F2161="","",F2161-C2161)</f>
        <v>-5.375</v>
      </c>
      <c r="K2161" s="33" t="n">
        <f aca="false">IF(G2161="","",G2161-C2161)</f>
        <v>-6.04017166651838</v>
      </c>
      <c r="L2161" s="33" t="n">
        <f aca="false">IF(H2161="","",ABS(H2161))</f>
        <v>2</v>
      </c>
      <c r="M2161" s="33" t="n">
        <f aca="false">IF(I2161="","",ABS(I2161))</f>
        <v>8.25</v>
      </c>
      <c r="N2161" s="33" t="n">
        <f aca="false">IF(J2161="","",ABS(J2161))</f>
        <v>5.375</v>
      </c>
      <c r="O2161" s="33" t="n">
        <f aca="false">IF(K2161="","",ABS(K2161))</f>
        <v>6.04017166651838</v>
      </c>
      <c r="P2161" s="34" t="str">
        <f aca="false">IF(B2161&gt;=Eval_Start_Week,"YES","")</f>
        <v>YES</v>
      </c>
      <c r="Q2161" s="34" t="str">
        <f aca="false">IF(AND(B2161&gt;=Cal_Start_Week,B2161&lt;=Cal_End_Week),"YES","")</f>
        <v>YES</v>
      </c>
    </row>
    <row r="2162" customFormat="false" ht="15" hidden="false" customHeight="false" outlineLevel="0" collapsed="false">
      <c r="A2162" s="31" t="str">
        <f aca="false">Demand_History!C2162</f>
        <v>BED-001</v>
      </c>
      <c r="B2162" s="31" t="n">
        <f aca="false">Demand_History!A2162</f>
        <v>81</v>
      </c>
      <c r="C2162" s="32" t="n">
        <f aca="false">Demand_History!D2162</f>
        <v>45</v>
      </c>
      <c r="D2162" s="33" t="n">
        <f aca="false">IF(B2162&gt;=2,C2161,"")</f>
        <v>44</v>
      </c>
      <c r="E2162" s="33" t="n">
        <f aca="false">IF(B2162&gt;=5,AVERAGE(C2158:C2161),"")</f>
        <v>37</v>
      </c>
      <c r="F2162" s="33" t="n">
        <f aca="false">IF(B2162&gt;=9,AVERAGE(C2154:C2161),"")</f>
        <v>39.125</v>
      </c>
      <c r="G2162" s="33" t="n">
        <f aca="false">IF(B2162=1,"",IF(B2162=2,C2161,SES_Alpha*C2161+(1-SES_Alpha)*G2161))</f>
        <v>39.7718798334371</v>
      </c>
      <c r="H2162" s="33" t="n">
        <f aca="false">IF(D2162="","",D2162-C2162)</f>
        <v>-1</v>
      </c>
      <c r="I2162" s="33" t="n">
        <f aca="false">IF(E2162="","",E2162-C2162)</f>
        <v>-8</v>
      </c>
      <c r="J2162" s="33" t="n">
        <f aca="false">IF(F2162="","",F2162-C2162)</f>
        <v>-5.875</v>
      </c>
      <c r="K2162" s="33" t="n">
        <f aca="false">IF(G2162="","",G2162-C2162)</f>
        <v>-5.22812016656287</v>
      </c>
      <c r="L2162" s="33" t="n">
        <f aca="false">IF(H2162="","",ABS(H2162))</f>
        <v>1</v>
      </c>
      <c r="M2162" s="33" t="n">
        <f aca="false">IF(I2162="","",ABS(I2162))</f>
        <v>8</v>
      </c>
      <c r="N2162" s="33" t="n">
        <f aca="false">IF(J2162="","",ABS(J2162))</f>
        <v>5.875</v>
      </c>
      <c r="O2162" s="33" t="n">
        <f aca="false">IF(K2162="","",ABS(K2162))</f>
        <v>5.22812016656287</v>
      </c>
      <c r="P2162" s="34" t="str">
        <f aca="false">IF(B2162&gt;=Eval_Start_Week,"YES","")</f>
        <v>YES</v>
      </c>
      <c r="Q2162" s="34" t="str">
        <f aca="false">IF(AND(B2162&gt;=Cal_Start_Week,B2162&lt;=Cal_End_Week),"YES","")</f>
        <v>YES</v>
      </c>
    </row>
    <row r="2163" customFormat="false" ht="15" hidden="false" customHeight="false" outlineLevel="0" collapsed="false">
      <c r="A2163" s="31" t="str">
        <f aca="false">Demand_History!C2163</f>
        <v>BED-001</v>
      </c>
      <c r="B2163" s="31" t="n">
        <f aca="false">Demand_History!A2163</f>
        <v>82</v>
      </c>
      <c r="C2163" s="32" t="n">
        <f aca="false">Demand_History!D2163</f>
        <v>33</v>
      </c>
      <c r="D2163" s="33" t="n">
        <f aca="false">IF(B2163&gt;=2,C2162,"")</f>
        <v>45</v>
      </c>
      <c r="E2163" s="33" t="n">
        <f aca="false">IF(B2163&gt;=5,AVERAGE(C2159:C2162),"")</f>
        <v>40.25</v>
      </c>
      <c r="F2163" s="33" t="n">
        <f aca="false">IF(B2163&gt;=9,AVERAGE(C2155:C2162),"")</f>
        <v>40</v>
      </c>
      <c r="G2163" s="33" t="n">
        <f aca="false">IF(B2163=1,"",IF(B2163=2,C2162,SES_Alpha*C2162+(1-SES_Alpha)*G2162))</f>
        <v>41.340315883406</v>
      </c>
      <c r="H2163" s="33" t="n">
        <f aca="false">IF(D2163="","",D2163-C2163)</f>
        <v>12</v>
      </c>
      <c r="I2163" s="33" t="n">
        <f aca="false">IF(E2163="","",E2163-C2163)</f>
        <v>7.25</v>
      </c>
      <c r="J2163" s="33" t="n">
        <f aca="false">IF(F2163="","",F2163-C2163)</f>
        <v>7</v>
      </c>
      <c r="K2163" s="33" t="n">
        <f aca="false">IF(G2163="","",G2163-C2163)</f>
        <v>8.34031588340599</v>
      </c>
      <c r="L2163" s="33" t="n">
        <f aca="false">IF(H2163="","",ABS(H2163))</f>
        <v>12</v>
      </c>
      <c r="M2163" s="33" t="n">
        <f aca="false">IF(I2163="","",ABS(I2163))</f>
        <v>7.25</v>
      </c>
      <c r="N2163" s="33" t="n">
        <f aca="false">IF(J2163="","",ABS(J2163))</f>
        <v>7</v>
      </c>
      <c r="O2163" s="33" t="n">
        <f aca="false">IF(K2163="","",ABS(K2163))</f>
        <v>8.34031588340599</v>
      </c>
      <c r="P2163" s="34" t="str">
        <f aca="false">IF(B2163&gt;=Eval_Start_Week,"YES","")</f>
        <v>YES</v>
      </c>
      <c r="Q2163" s="34" t="str">
        <f aca="false">IF(AND(B2163&gt;=Cal_Start_Week,B2163&lt;=Cal_End_Week),"YES","")</f>
        <v>YES</v>
      </c>
    </row>
    <row r="2164" customFormat="false" ht="15" hidden="false" customHeight="false" outlineLevel="0" collapsed="false">
      <c r="A2164" s="31" t="str">
        <f aca="false">Demand_History!C2164</f>
        <v>BED-001</v>
      </c>
      <c r="B2164" s="31" t="n">
        <f aca="false">Demand_History!A2164</f>
        <v>83</v>
      </c>
      <c r="C2164" s="32" t="n">
        <f aca="false">Demand_History!D2164</f>
        <v>46</v>
      </c>
      <c r="D2164" s="33" t="n">
        <f aca="false">IF(B2164&gt;=2,C2163,"")</f>
        <v>33</v>
      </c>
      <c r="E2164" s="33" t="n">
        <f aca="false">IF(B2164&gt;=5,AVERAGE(C2160:C2163),"")</f>
        <v>41</v>
      </c>
      <c r="F2164" s="33" t="n">
        <f aca="false">IF(B2164&gt;=9,AVERAGE(C2156:C2163),"")</f>
        <v>38.5</v>
      </c>
      <c r="G2164" s="33" t="n">
        <f aca="false">IF(B2164=1,"",IF(B2164=2,C2163,SES_Alpha*C2163+(1-SES_Alpha)*G2163))</f>
        <v>38.8382211183842</v>
      </c>
      <c r="H2164" s="33" t="n">
        <f aca="false">IF(D2164="","",D2164-C2164)</f>
        <v>-13</v>
      </c>
      <c r="I2164" s="33" t="n">
        <f aca="false">IF(E2164="","",E2164-C2164)</f>
        <v>-5</v>
      </c>
      <c r="J2164" s="33" t="n">
        <f aca="false">IF(F2164="","",F2164-C2164)</f>
        <v>-7.5</v>
      </c>
      <c r="K2164" s="33" t="n">
        <f aca="false">IF(G2164="","",G2164-C2164)</f>
        <v>-7.16177888161581</v>
      </c>
      <c r="L2164" s="33" t="n">
        <f aca="false">IF(H2164="","",ABS(H2164))</f>
        <v>13</v>
      </c>
      <c r="M2164" s="33" t="n">
        <f aca="false">IF(I2164="","",ABS(I2164))</f>
        <v>5</v>
      </c>
      <c r="N2164" s="33" t="n">
        <f aca="false">IF(J2164="","",ABS(J2164))</f>
        <v>7.5</v>
      </c>
      <c r="O2164" s="33" t="n">
        <f aca="false">IF(K2164="","",ABS(K2164))</f>
        <v>7.16177888161581</v>
      </c>
      <c r="P2164" s="34" t="str">
        <f aca="false">IF(B2164&gt;=Eval_Start_Week,"YES","")</f>
        <v>YES</v>
      </c>
      <c r="Q2164" s="34" t="str">
        <f aca="false">IF(AND(B2164&gt;=Cal_Start_Week,B2164&lt;=Cal_End_Week),"YES","")</f>
        <v>YES</v>
      </c>
    </row>
    <row r="2165" customFormat="false" ht="15" hidden="false" customHeight="false" outlineLevel="0" collapsed="false">
      <c r="A2165" s="31" t="str">
        <f aca="false">Demand_History!C2165</f>
        <v>BED-001</v>
      </c>
      <c r="B2165" s="31" t="n">
        <f aca="false">Demand_History!A2165</f>
        <v>84</v>
      </c>
      <c r="C2165" s="32" t="n">
        <f aca="false">Demand_History!D2165</f>
        <v>37</v>
      </c>
      <c r="D2165" s="33" t="n">
        <f aca="false">IF(B2165&gt;=2,C2164,"")</f>
        <v>46</v>
      </c>
      <c r="E2165" s="33" t="n">
        <f aca="false">IF(B2165&gt;=5,AVERAGE(C2161:C2164),"")</f>
        <v>42</v>
      </c>
      <c r="F2165" s="33" t="n">
        <f aca="false">IF(B2165&gt;=9,AVERAGE(C2157:C2164),"")</f>
        <v>38.875</v>
      </c>
      <c r="G2165" s="33" t="n">
        <f aca="false">IF(B2165=1,"",IF(B2165=2,C2164,SES_Alpha*C2164+(1-SES_Alpha)*G2164))</f>
        <v>40.9867547828689</v>
      </c>
      <c r="H2165" s="33" t="n">
        <f aca="false">IF(D2165="","",D2165-C2165)</f>
        <v>9</v>
      </c>
      <c r="I2165" s="33" t="n">
        <f aca="false">IF(E2165="","",E2165-C2165)</f>
        <v>5</v>
      </c>
      <c r="J2165" s="33" t="n">
        <f aca="false">IF(F2165="","",F2165-C2165)</f>
        <v>1.875</v>
      </c>
      <c r="K2165" s="33" t="n">
        <f aca="false">IF(G2165="","",G2165-C2165)</f>
        <v>3.98675478286893</v>
      </c>
      <c r="L2165" s="33" t="n">
        <f aca="false">IF(H2165="","",ABS(H2165))</f>
        <v>9</v>
      </c>
      <c r="M2165" s="33" t="n">
        <f aca="false">IF(I2165="","",ABS(I2165))</f>
        <v>5</v>
      </c>
      <c r="N2165" s="33" t="n">
        <f aca="false">IF(J2165="","",ABS(J2165))</f>
        <v>1.875</v>
      </c>
      <c r="O2165" s="33" t="n">
        <f aca="false">IF(K2165="","",ABS(K2165))</f>
        <v>3.98675478286893</v>
      </c>
      <c r="P2165" s="34" t="str">
        <f aca="false">IF(B2165&gt;=Eval_Start_Week,"YES","")</f>
        <v>YES</v>
      </c>
      <c r="Q2165" s="34" t="str">
        <f aca="false">IF(AND(B2165&gt;=Cal_Start_Week,B2165&lt;=Cal_End_Week),"YES","")</f>
        <v>YES</v>
      </c>
    </row>
    <row r="2166" customFormat="false" ht="15" hidden="false" customHeight="false" outlineLevel="0" collapsed="false">
      <c r="A2166" s="31" t="str">
        <f aca="false">Demand_History!C2166</f>
        <v>BED-001</v>
      </c>
      <c r="B2166" s="31" t="n">
        <f aca="false">Demand_History!A2166</f>
        <v>85</v>
      </c>
      <c r="C2166" s="32" t="n">
        <f aca="false">Demand_History!D2166</f>
        <v>42</v>
      </c>
      <c r="D2166" s="33" t="n">
        <f aca="false">IF(B2166&gt;=2,C2165,"")</f>
        <v>37</v>
      </c>
      <c r="E2166" s="33" t="n">
        <f aca="false">IF(B2166&gt;=5,AVERAGE(C2162:C2165),"")</f>
        <v>40.25</v>
      </c>
      <c r="F2166" s="33" t="n">
        <f aca="false">IF(B2166&gt;=9,AVERAGE(C2158:C2165),"")</f>
        <v>38.625</v>
      </c>
      <c r="G2166" s="33" t="n">
        <f aca="false">IF(B2166=1,"",IF(B2166=2,C2165,SES_Alpha*C2165+(1-SES_Alpha)*G2165))</f>
        <v>39.7907283480082</v>
      </c>
      <c r="H2166" s="33" t="n">
        <f aca="false">IF(D2166="","",D2166-C2166)</f>
        <v>-5</v>
      </c>
      <c r="I2166" s="33" t="n">
        <f aca="false">IF(E2166="","",E2166-C2166)</f>
        <v>-1.75</v>
      </c>
      <c r="J2166" s="33" t="n">
        <f aca="false">IF(F2166="","",F2166-C2166)</f>
        <v>-3.375</v>
      </c>
      <c r="K2166" s="33" t="n">
        <f aca="false">IF(G2166="","",G2166-C2166)</f>
        <v>-2.20927165199176</v>
      </c>
      <c r="L2166" s="33" t="n">
        <f aca="false">IF(H2166="","",ABS(H2166))</f>
        <v>5</v>
      </c>
      <c r="M2166" s="33" t="n">
        <f aca="false">IF(I2166="","",ABS(I2166))</f>
        <v>1.75</v>
      </c>
      <c r="N2166" s="33" t="n">
        <f aca="false">IF(J2166="","",ABS(J2166))</f>
        <v>3.375</v>
      </c>
      <c r="O2166" s="33" t="n">
        <f aca="false">IF(K2166="","",ABS(K2166))</f>
        <v>2.20927165199176</v>
      </c>
      <c r="P2166" s="34" t="str">
        <f aca="false">IF(B2166&gt;=Eval_Start_Week,"YES","")</f>
        <v>YES</v>
      </c>
      <c r="Q2166" s="34" t="str">
        <f aca="false">IF(AND(B2166&gt;=Cal_Start_Week,B2166&lt;=Cal_End_Week),"YES","")</f>
        <v>YES</v>
      </c>
    </row>
    <row r="2167" customFormat="false" ht="15" hidden="false" customHeight="false" outlineLevel="0" collapsed="false">
      <c r="A2167" s="31" t="str">
        <f aca="false">Demand_History!C2167</f>
        <v>BED-001</v>
      </c>
      <c r="B2167" s="31" t="n">
        <f aca="false">Demand_History!A2167</f>
        <v>86</v>
      </c>
      <c r="C2167" s="32" t="n">
        <f aca="false">Demand_History!D2167</f>
        <v>42</v>
      </c>
      <c r="D2167" s="33" t="n">
        <f aca="false">IF(B2167&gt;=2,C2166,"")</f>
        <v>42</v>
      </c>
      <c r="E2167" s="33" t="n">
        <f aca="false">IF(B2167&gt;=5,AVERAGE(C2163:C2166),"")</f>
        <v>39.5</v>
      </c>
      <c r="F2167" s="33" t="n">
        <f aca="false">IF(B2167&gt;=9,AVERAGE(C2159:C2166),"")</f>
        <v>39.875</v>
      </c>
      <c r="G2167" s="33" t="n">
        <f aca="false">IF(B2167=1,"",IF(B2167=2,C2166,SES_Alpha*C2166+(1-SES_Alpha)*G2166))</f>
        <v>40.4535098436058</v>
      </c>
      <c r="H2167" s="33" t="n">
        <f aca="false">IF(D2167="","",D2167-C2167)</f>
        <v>0</v>
      </c>
      <c r="I2167" s="33" t="n">
        <f aca="false">IF(E2167="","",E2167-C2167)</f>
        <v>-2.5</v>
      </c>
      <c r="J2167" s="33" t="n">
        <f aca="false">IF(F2167="","",F2167-C2167)</f>
        <v>-2.125</v>
      </c>
      <c r="K2167" s="33" t="n">
        <f aca="false">IF(G2167="","",G2167-C2167)</f>
        <v>-1.54649015639423</v>
      </c>
      <c r="L2167" s="33" t="n">
        <f aca="false">IF(H2167="","",ABS(H2167))</f>
        <v>0</v>
      </c>
      <c r="M2167" s="33" t="n">
        <f aca="false">IF(I2167="","",ABS(I2167))</f>
        <v>2.5</v>
      </c>
      <c r="N2167" s="33" t="n">
        <f aca="false">IF(J2167="","",ABS(J2167))</f>
        <v>2.125</v>
      </c>
      <c r="O2167" s="33" t="n">
        <f aca="false">IF(K2167="","",ABS(K2167))</f>
        <v>1.54649015639423</v>
      </c>
      <c r="P2167" s="34" t="str">
        <f aca="false">IF(B2167&gt;=Eval_Start_Week,"YES","")</f>
        <v>YES</v>
      </c>
      <c r="Q2167" s="34" t="str">
        <f aca="false">IF(AND(B2167&gt;=Cal_Start_Week,B2167&lt;=Cal_End_Week),"YES","")</f>
        <v>YES</v>
      </c>
    </row>
    <row r="2168" customFormat="false" ht="15" hidden="false" customHeight="false" outlineLevel="0" collapsed="false">
      <c r="A2168" s="31" t="str">
        <f aca="false">Demand_History!C2168</f>
        <v>BED-001</v>
      </c>
      <c r="B2168" s="31" t="n">
        <f aca="false">Demand_History!A2168</f>
        <v>87</v>
      </c>
      <c r="C2168" s="32" t="n">
        <f aca="false">Demand_History!D2168</f>
        <v>35</v>
      </c>
      <c r="D2168" s="33" t="n">
        <f aca="false">IF(B2168&gt;=2,C2167,"")</f>
        <v>42</v>
      </c>
      <c r="E2168" s="33" t="n">
        <f aca="false">IF(B2168&gt;=5,AVERAGE(C2164:C2167),"")</f>
        <v>41.75</v>
      </c>
      <c r="F2168" s="33" t="n">
        <f aca="false">IF(B2168&gt;=9,AVERAGE(C2160:C2167),"")</f>
        <v>41.375</v>
      </c>
      <c r="G2168" s="33" t="n">
        <f aca="false">IF(B2168=1,"",IF(B2168=2,C2167,SES_Alpha*C2167+(1-SES_Alpha)*G2167))</f>
        <v>40.917456890524</v>
      </c>
      <c r="H2168" s="33" t="n">
        <f aca="false">IF(D2168="","",D2168-C2168)</f>
        <v>7</v>
      </c>
      <c r="I2168" s="33" t="n">
        <f aca="false">IF(E2168="","",E2168-C2168)</f>
        <v>6.75</v>
      </c>
      <c r="J2168" s="33" t="n">
        <f aca="false">IF(F2168="","",F2168-C2168)</f>
        <v>6.375</v>
      </c>
      <c r="K2168" s="33" t="n">
        <f aca="false">IF(G2168="","",G2168-C2168)</f>
        <v>5.91745689052404</v>
      </c>
      <c r="L2168" s="33" t="n">
        <f aca="false">IF(H2168="","",ABS(H2168))</f>
        <v>7</v>
      </c>
      <c r="M2168" s="33" t="n">
        <f aca="false">IF(I2168="","",ABS(I2168))</f>
        <v>6.75</v>
      </c>
      <c r="N2168" s="33" t="n">
        <f aca="false">IF(J2168="","",ABS(J2168))</f>
        <v>6.375</v>
      </c>
      <c r="O2168" s="33" t="n">
        <f aca="false">IF(K2168="","",ABS(K2168))</f>
        <v>5.91745689052404</v>
      </c>
      <c r="P2168" s="34" t="str">
        <f aca="false">IF(B2168&gt;=Eval_Start_Week,"YES","")</f>
        <v>YES</v>
      </c>
      <c r="Q2168" s="34" t="str">
        <f aca="false">IF(AND(B2168&gt;=Cal_Start_Week,B2168&lt;=Cal_End_Week),"YES","")</f>
        <v>YES</v>
      </c>
    </row>
    <row r="2169" customFormat="false" ht="15" hidden="false" customHeight="false" outlineLevel="0" collapsed="false">
      <c r="A2169" s="31" t="str">
        <f aca="false">Demand_History!C2169</f>
        <v>BED-001</v>
      </c>
      <c r="B2169" s="31" t="n">
        <f aca="false">Demand_History!A2169</f>
        <v>88</v>
      </c>
      <c r="C2169" s="32" t="n">
        <f aca="false">Demand_History!D2169</f>
        <v>37</v>
      </c>
      <c r="D2169" s="33" t="n">
        <f aca="false">IF(B2169&gt;=2,C2168,"")</f>
        <v>35</v>
      </c>
      <c r="E2169" s="33" t="n">
        <f aca="false">IF(B2169&gt;=5,AVERAGE(C2165:C2168),"")</f>
        <v>39</v>
      </c>
      <c r="F2169" s="33" t="n">
        <f aca="false">IF(B2169&gt;=9,AVERAGE(C2161:C2168),"")</f>
        <v>40.5</v>
      </c>
      <c r="G2169" s="33" t="n">
        <f aca="false">IF(B2169=1,"",IF(B2169=2,C2168,SES_Alpha*C2168+(1-SES_Alpha)*G2168))</f>
        <v>39.1422198233668</v>
      </c>
      <c r="H2169" s="33" t="n">
        <f aca="false">IF(D2169="","",D2169-C2169)</f>
        <v>-2</v>
      </c>
      <c r="I2169" s="33" t="n">
        <f aca="false">IF(E2169="","",E2169-C2169)</f>
        <v>2</v>
      </c>
      <c r="J2169" s="33" t="n">
        <f aca="false">IF(F2169="","",F2169-C2169)</f>
        <v>3.5</v>
      </c>
      <c r="K2169" s="33" t="n">
        <f aca="false">IF(G2169="","",G2169-C2169)</f>
        <v>2.14221982336682</v>
      </c>
      <c r="L2169" s="33" t="n">
        <f aca="false">IF(H2169="","",ABS(H2169))</f>
        <v>2</v>
      </c>
      <c r="M2169" s="33" t="n">
        <f aca="false">IF(I2169="","",ABS(I2169))</f>
        <v>2</v>
      </c>
      <c r="N2169" s="33" t="n">
        <f aca="false">IF(J2169="","",ABS(J2169))</f>
        <v>3.5</v>
      </c>
      <c r="O2169" s="33" t="n">
        <f aca="false">IF(K2169="","",ABS(K2169))</f>
        <v>2.14221982336682</v>
      </c>
      <c r="P2169" s="34" t="str">
        <f aca="false">IF(B2169&gt;=Eval_Start_Week,"YES","")</f>
        <v>YES</v>
      </c>
      <c r="Q2169" s="34" t="str">
        <f aca="false">IF(AND(B2169&gt;=Cal_Start_Week,B2169&lt;=Cal_End_Week),"YES","")</f>
        <v>YES</v>
      </c>
    </row>
    <row r="2170" customFormat="false" ht="15" hidden="false" customHeight="false" outlineLevel="0" collapsed="false">
      <c r="A2170" s="31" t="str">
        <f aca="false">Demand_History!C2170</f>
        <v>BED-001</v>
      </c>
      <c r="B2170" s="31" t="n">
        <f aca="false">Demand_History!A2170</f>
        <v>89</v>
      </c>
      <c r="C2170" s="32" t="n">
        <f aca="false">Demand_History!D2170</f>
        <v>28</v>
      </c>
      <c r="D2170" s="33" t="n">
        <f aca="false">IF(B2170&gt;=2,C2169,"")</f>
        <v>37</v>
      </c>
      <c r="E2170" s="33" t="n">
        <f aca="false">IF(B2170&gt;=5,AVERAGE(C2166:C2169),"")</f>
        <v>39</v>
      </c>
      <c r="F2170" s="33" t="n">
        <f aca="false">IF(B2170&gt;=9,AVERAGE(C2162:C2169),"")</f>
        <v>39.625</v>
      </c>
      <c r="G2170" s="33" t="n">
        <f aca="false">IF(B2170=1,"",IF(B2170=2,C2169,SES_Alpha*C2169+(1-SES_Alpha)*G2169))</f>
        <v>38.4995538763568</v>
      </c>
      <c r="H2170" s="33" t="n">
        <f aca="false">IF(D2170="","",D2170-C2170)</f>
        <v>9</v>
      </c>
      <c r="I2170" s="33" t="n">
        <f aca="false">IF(E2170="","",E2170-C2170)</f>
        <v>11</v>
      </c>
      <c r="J2170" s="33" t="n">
        <f aca="false">IF(F2170="","",F2170-C2170)</f>
        <v>11.625</v>
      </c>
      <c r="K2170" s="33" t="n">
        <f aca="false">IF(G2170="","",G2170-C2170)</f>
        <v>10.4995538763568</v>
      </c>
      <c r="L2170" s="33" t="n">
        <f aca="false">IF(H2170="","",ABS(H2170))</f>
        <v>9</v>
      </c>
      <c r="M2170" s="33" t="n">
        <f aca="false">IF(I2170="","",ABS(I2170))</f>
        <v>11</v>
      </c>
      <c r="N2170" s="33" t="n">
        <f aca="false">IF(J2170="","",ABS(J2170))</f>
        <v>11.625</v>
      </c>
      <c r="O2170" s="33" t="n">
        <f aca="false">IF(K2170="","",ABS(K2170))</f>
        <v>10.4995538763568</v>
      </c>
      <c r="P2170" s="34" t="str">
        <f aca="false">IF(B2170&gt;=Eval_Start_Week,"YES","")</f>
        <v>YES</v>
      </c>
      <c r="Q2170" s="34" t="str">
        <f aca="false">IF(AND(B2170&gt;=Cal_Start_Week,B2170&lt;=Cal_End_Week),"YES","")</f>
        <v/>
      </c>
    </row>
    <row r="2171" customFormat="false" ht="15" hidden="false" customHeight="false" outlineLevel="0" collapsed="false">
      <c r="A2171" s="31" t="str">
        <f aca="false">Demand_History!C2171</f>
        <v>BED-001</v>
      </c>
      <c r="B2171" s="31" t="n">
        <f aca="false">Demand_History!A2171</f>
        <v>90</v>
      </c>
      <c r="C2171" s="32" t="n">
        <f aca="false">Demand_History!D2171</f>
        <v>35</v>
      </c>
      <c r="D2171" s="33" t="n">
        <f aca="false">IF(B2171&gt;=2,C2170,"")</f>
        <v>28</v>
      </c>
      <c r="E2171" s="33" t="n">
        <f aca="false">IF(B2171&gt;=5,AVERAGE(C2167:C2170),"")</f>
        <v>35.5</v>
      </c>
      <c r="F2171" s="33" t="n">
        <f aca="false">IF(B2171&gt;=9,AVERAGE(C2163:C2170),"")</f>
        <v>37.5</v>
      </c>
      <c r="G2171" s="33" t="n">
        <f aca="false">IF(B2171=1,"",IF(B2171=2,C2170,SES_Alpha*C2170+(1-SES_Alpha)*G2170))</f>
        <v>35.3496877134497</v>
      </c>
      <c r="H2171" s="33" t="n">
        <f aca="false">IF(D2171="","",D2171-C2171)</f>
        <v>-7</v>
      </c>
      <c r="I2171" s="33" t="n">
        <f aca="false">IF(E2171="","",E2171-C2171)</f>
        <v>0.5</v>
      </c>
      <c r="J2171" s="33" t="n">
        <f aca="false">IF(F2171="","",F2171-C2171)</f>
        <v>2.5</v>
      </c>
      <c r="K2171" s="33" t="n">
        <f aca="false">IF(G2171="","",G2171-C2171)</f>
        <v>0.34968771344974</v>
      </c>
      <c r="L2171" s="33" t="n">
        <f aca="false">IF(H2171="","",ABS(H2171))</f>
        <v>7</v>
      </c>
      <c r="M2171" s="33" t="n">
        <f aca="false">IF(I2171="","",ABS(I2171))</f>
        <v>0.5</v>
      </c>
      <c r="N2171" s="33" t="n">
        <f aca="false">IF(J2171="","",ABS(J2171))</f>
        <v>2.5</v>
      </c>
      <c r="O2171" s="33" t="n">
        <f aca="false">IF(K2171="","",ABS(K2171))</f>
        <v>0.34968771344974</v>
      </c>
      <c r="P2171" s="34" t="str">
        <f aca="false">IF(B2171&gt;=Eval_Start_Week,"YES","")</f>
        <v>YES</v>
      </c>
      <c r="Q2171" s="34" t="str">
        <f aca="false">IF(AND(B2171&gt;=Cal_Start_Week,B2171&lt;=Cal_End_Week),"YES","")</f>
        <v/>
      </c>
    </row>
    <row r="2172" customFormat="false" ht="15" hidden="false" customHeight="false" outlineLevel="0" collapsed="false">
      <c r="A2172" s="31" t="str">
        <f aca="false">Demand_History!C2172</f>
        <v>BED-001</v>
      </c>
      <c r="B2172" s="31" t="n">
        <f aca="false">Demand_History!A2172</f>
        <v>91</v>
      </c>
      <c r="C2172" s="32" t="n">
        <f aca="false">Demand_History!D2172</f>
        <v>30</v>
      </c>
      <c r="D2172" s="33" t="n">
        <f aca="false">IF(B2172&gt;=2,C2171,"")</f>
        <v>35</v>
      </c>
      <c r="E2172" s="33" t="n">
        <f aca="false">IF(B2172&gt;=5,AVERAGE(C2168:C2171),"")</f>
        <v>33.75</v>
      </c>
      <c r="F2172" s="33" t="n">
        <f aca="false">IF(B2172&gt;=9,AVERAGE(C2164:C2171),"")</f>
        <v>37.75</v>
      </c>
      <c r="G2172" s="33" t="n">
        <f aca="false">IF(B2172=1,"",IF(B2172=2,C2171,SES_Alpha*C2171+(1-SES_Alpha)*G2171))</f>
        <v>35.2447813994148</v>
      </c>
      <c r="H2172" s="33" t="n">
        <f aca="false">IF(D2172="","",D2172-C2172)</f>
        <v>5</v>
      </c>
      <c r="I2172" s="33" t="n">
        <f aca="false">IF(E2172="","",E2172-C2172)</f>
        <v>3.75</v>
      </c>
      <c r="J2172" s="33" t="n">
        <f aca="false">IF(F2172="","",F2172-C2172)</f>
        <v>7.75</v>
      </c>
      <c r="K2172" s="33" t="n">
        <f aca="false">IF(G2172="","",G2172-C2172)</f>
        <v>5.24478139941482</v>
      </c>
      <c r="L2172" s="33" t="n">
        <f aca="false">IF(H2172="","",ABS(H2172))</f>
        <v>5</v>
      </c>
      <c r="M2172" s="33" t="n">
        <f aca="false">IF(I2172="","",ABS(I2172))</f>
        <v>3.75</v>
      </c>
      <c r="N2172" s="33" t="n">
        <f aca="false">IF(J2172="","",ABS(J2172))</f>
        <v>7.75</v>
      </c>
      <c r="O2172" s="33" t="n">
        <f aca="false">IF(K2172="","",ABS(K2172))</f>
        <v>5.24478139941482</v>
      </c>
      <c r="P2172" s="34" t="str">
        <f aca="false">IF(B2172&gt;=Eval_Start_Week,"YES","")</f>
        <v>YES</v>
      </c>
      <c r="Q2172" s="34" t="str">
        <f aca="false">IF(AND(B2172&gt;=Cal_Start_Week,B2172&lt;=Cal_End_Week),"YES","")</f>
        <v/>
      </c>
    </row>
    <row r="2173" customFormat="false" ht="15" hidden="false" customHeight="false" outlineLevel="0" collapsed="false">
      <c r="A2173" s="31" t="str">
        <f aca="false">Demand_History!C2173</f>
        <v>BED-001</v>
      </c>
      <c r="B2173" s="31" t="n">
        <f aca="false">Demand_History!A2173</f>
        <v>92</v>
      </c>
      <c r="C2173" s="32" t="n">
        <f aca="false">Demand_History!D2173</f>
        <v>42</v>
      </c>
      <c r="D2173" s="33" t="n">
        <f aca="false">IF(B2173&gt;=2,C2172,"")</f>
        <v>30</v>
      </c>
      <c r="E2173" s="33" t="n">
        <f aca="false">IF(B2173&gt;=5,AVERAGE(C2169:C2172),"")</f>
        <v>32.5</v>
      </c>
      <c r="F2173" s="33" t="n">
        <f aca="false">IF(B2173&gt;=9,AVERAGE(C2165:C2172),"")</f>
        <v>35.75</v>
      </c>
      <c r="G2173" s="33" t="n">
        <f aca="false">IF(B2173=1,"",IF(B2173=2,C2172,SES_Alpha*C2172+(1-SES_Alpha)*G2172))</f>
        <v>33.6713469795904</v>
      </c>
      <c r="H2173" s="33" t="n">
        <f aca="false">IF(D2173="","",D2173-C2173)</f>
        <v>-12</v>
      </c>
      <c r="I2173" s="33" t="n">
        <f aca="false">IF(E2173="","",E2173-C2173)</f>
        <v>-9.5</v>
      </c>
      <c r="J2173" s="33" t="n">
        <f aca="false">IF(F2173="","",F2173-C2173)</f>
        <v>-6.25</v>
      </c>
      <c r="K2173" s="33" t="n">
        <f aca="false">IF(G2173="","",G2173-C2173)</f>
        <v>-8.32865302040963</v>
      </c>
      <c r="L2173" s="33" t="n">
        <f aca="false">IF(H2173="","",ABS(H2173))</f>
        <v>12</v>
      </c>
      <c r="M2173" s="33" t="n">
        <f aca="false">IF(I2173="","",ABS(I2173))</f>
        <v>9.5</v>
      </c>
      <c r="N2173" s="33" t="n">
        <f aca="false">IF(J2173="","",ABS(J2173))</f>
        <v>6.25</v>
      </c>
      <c r="O2173" s="33" t="n">
        <f aca="false">IF(K2173="","",ABS(K2173))</f>
        <v>8.32865302040963</v>
      </c>
      <c r="P2173" s="34" t="str">
        <f aca="false">IF(B2173&gt;=Eval_Start_Week,"YES","")</f>
        <v>YES</v>
      </c>
      <c r="Q2173" s="34" t="str">
        <f aca="false">IF(AND(B2173&gt;=Cal_Start_Week,B2173&lt;=Cal_End_Week),"YES","")</f>
        <v/>
      </c>
    </row>
    <row r="2174" customFormat="false" ht="15" hidden="false" customHeight="false" outlineLevel="0" collapsed="false">
      <c r="A2174" s="31" t="str">
        <f aca="false">Demand_History!C2174</f>
        <v>BED-001</v>
      </c>
      <c r="B2174" s="31" t="n">
        <f aca="false">Demand_History!A2174</f>
        <v>93</v>
      </c>
      <c r="C2174" s="32" t="n">
        <f aca="false">Demand_History!D2174</f>
        <v>40</v>
      </c>
      <c r="D2174" s="33" t="n">
        <f aca="false">IF(B2174&gt;=2,C2173,"")</f>
        <v>42</v>
      </c>
      <c r="E2174" s="33" t="n">
        <f aca="false">IF(B2174&gt;=5,AVERAGE(C2170:C2173),"")</f>
        <v>33.75</v>
      </c>
      <c r="F2174" s="33" t="n">
        <f aca="false">IF(B2174&gt;=9,AVERAGE(C2166:C2173),"")</f>
        <v>36.375</v>
      </c>
      <c r="G2174" s="33" t="n">
        <f aca="false">IF(B2174=1,"",IF(B2174=2,C2173,SES_Alpha*C2173+(1-SES_Alpha)*G2173))</f>
        <v>36.1699428857133</v>
      </c>
      <c r="H2174" s="33" t="n">
        <f aca="false">IF(D2174="","",D2174-C2174)</f>
        <v>2</v>
      </c>
      <c r="I2174" s="33" t="n">
        <f aca="false">IF(E2174="","",E2174-C2174)</f>
        <v>-6.25</v>
      </c>
      <c r="J2174" s="33" t="n">
        <f aca="false">IF(F2174="","",F2174-C2174)</f>
        <v>-3.625</v>
      </c>
      <c r="K2174" s="33" t="n">
        <f aca="false">IF(G2174="","",G2174-C2174)</f>
        <v>-3.83005711428675</v>
      </c>
      <c r="L2174" s="33" t="n">
        <f aca="false">IF(H2174="","",ABS(H2174))</f>
        <v>2</v>
      </c>
      <c r="M2174" s="33" t="n">
        <f aca="false">IF(I2174="","",ABS(I2174))</f>
        <v>6.25</v>
      </c>
      <c r="N2174" s="33" t="n">
        <f aca="false">IF(J2174="","",ABS(J2174))</f>
        <v>3.625</v>
      </c>
      <c r="O2174" s="33" t="n">
        <f aca="false">IF(K2174="","",ABS(K2174))</f>
        <v>3.83005711428675</v>
      </c>
      <c r="P2174" s="34" t="str">
        <f aca="false">IF(B2174&gt;=Eval_Start_Week,"YES","")</f>
        <v>YES</v>
      </c>
      <c r="Q2174" s="34" t="str">
        <f aca="false">IF(AND(B2174&gt;=Cal_Start_Week,B2174&lt;=Cal_End_Week),"YES","")</f>
        <v/>
      </c>
    </row>
    <row r="2175" customFormat="false" ht="15" hidden="false" customHeight="false" outlineLevel="0" collapsed="false">
      <c r="A2175" s="31" t="str">
        <f aca="false">Demand_History!C2175</f>
        <v>BED-001</v>
      </c>
      <c r="B2175" s="31" t="n">
        <f aca="false">Demand_History!A2175</f>
        <v>94</v>
      </c>
      <c r="C2175" s="32" t="n">
        <f aca="false">Demand_History!D2175</f>
        <v>45</v>
      </c>
      <c r="D2175" s="33" t="n">
        <f aca="false">IF(B2175&gt;=2,C2174,"")</f>
        <v>40</v>
      </c>
      <c r="E2175" s="33" t="n">
        <f aca="false">IF(B2175&gt;=5,AVERAGE(C2171:C2174),"")</f>
        <v>36.75</v>
      </c>
      <c r="F2175" s="33" t="n">
        <f aca="false">IF(B2175&gt;=9,AVERAGE(C2167:C2174),"")</f>
        <v>36.125</v>
      </c>
      <c r="G2175" s="33" t="n">
        <f aca="false">IF(B2175=1,"",IF(B2175=2,C2174,SES_Alpha*C2174+(1-SES_Alpha)*G2174))</f>
        <v>37.3189600199993</v>
      </c>
      <c r="H2175" s="33" t="n">
        <f aca="false">IF(D2175="","",D2175-C2175)</f>
        <v>-5</v>
      </c>
      <c r="I2175" s="33" t="n">
        <f aca="false">IF(E2175="","",E2175-C2175)</f>
        <v>-8.25</v>
      </c>
      <c r="J2175" s="33" t="n">
        <f aca="false">IF(F2175="","",F2175-C2175)</f>
        <v>-8.875</v>
      </c>
      <c r="K2175" s="33" t="n">
        <f aca="false">IF(G2175="","",G2175-C2175)</f>
        <v>-7.68103998000072</v>
      </c>
      <c r="L2175" s="33" t="n">
        <f aca="false">IF(H2175="","",ABS(H2175))</f>
        <v>5</v>
      </c>
      <c r="M2175" s="33" t="n">
        <f aca="false">IF(I2175="","",ABS(I2175))</f>
        <v>8.25</v>
      </c>
      <c r="N2175" s="33" t="n">
        <f aca="false">IF(J2175="","",ABS(J2175))</f>
        <v>8.875</v>
      </c>
      <c r="O2175" s="33" t="n">
        <f aca="false">IF(K2175="","",ABS(K2175))</f>
        <v>7.68103998000072</v>
      </c>
      <c r="P2175" s="34" t="str">
        <f aca="false">IF(B2175&gt;=Eval_Start_Week,"YES","")</f>
        <v>YES</v>
      </c>
      <c r="Q2175" s="34" t="str">
        <f aca="false">IF(AND(B2175&gt;=Cal_Start_Week,B2175&lt;=Cal_End_Week),"YES","")</f>
        <v/>
      </c>
    </row>
    <row r="2176" customFormat="false" ht="15" hidden="false" customHeight="false" outlineLevel="0" collapsed="false">
      <c r="A2176" s="31" t="str">
        <f aca="false">Demand_History!C2176</f>
        <v>BED-001</v>
      </c>
      <c r="B2176" s="31" t="n">
        <f aca="false">Demand_History!A2176</f>
        <v>95</v>
      </c>
      <c r="C2176" s="32" t="n">
        <f aca="false">Demand_History!D2176</f>
        <v>42</v>
      </c>
      <c r="D2176" s="33" t="n">
        <f aca="false">IF(B2176&gt;=2,C2175,"")</f>
        <v>45</v>
      </c>
      <c r="E2176" s="33" t="n">
        <f aca="false">IF(B2176&gt;=5,AVERAGE(C2172:C2175),"")</f>
        <v>39.25</v>
      </c>
      <c r="F2176" s="33" t="n">
        <f aca="false">IF(B2176&gt;=9,AVERAGE(C2168:C2175),"")</f>
        <v>36.5</v>
      </c>
      <c r="G2176" s="33" t="n">
        <f aca="false">IF(B2176=1,"",IF(B2176=2,C2175,SES_Alpha*C2175+(1-SES_Alpha)*G2175))</f>
        <v>39.6232720139995</v>
      </c>
      <c r="H2176" s="33" t="n">
        <f aca="false">IF(D2176="","",D2176-C2176)</f>
        <v>3</v>
      </c>
      <c r="I2176" s="33" t="n">
        <f aca="false">IF(E2176="","",E2176-C2176)</f>
        <v>-2.75</v>
      </c>
      <c r="J2176" s="33" t="n">
        <f aca="false">IF(F2176="","",F2176-C2176)</f>
        <v>-5.5</v>
      </c>
      <c r="K2176" s="33" t="n">
        <f aca="false">IF(G2176="","",G2176-C2176)</f>
        <v>-2.3767279860005</v>
      </c>
      <c r="L2176" s="33" t="n">
        <f aca="false">IF(H2176="","",ABS(H2176))</f>
        <v>3</v>
      </c>
      <c r="M2176" s="33" t="n">
        <f aca="false">IF(I2176="","",ABS(I2176))</f>
        <v>2.75</v>
      </c>
      <c r="N2176" s="33" t="n">
        <f aca="false">IF(J2176="","",ABS(J2176))</f>
        <v>5.5</v>
      </c>
      <c r="O2176" s="33" t="n">
        <f aca="false">IF(K2176="","",ABS(K2176))</f>
        <v>2.3767279860005</v>
      </c>
      <c r="P2176" s="34" t="str">
        <f aca="false">IF(B2176&gt;=Eval_Start_Week,"YES","")</f>
        <v>YES</v>
      </c>
      <c r="Q2176" s="34" t="str">
        <f aca="false">IF(AND(B2176&gt;=Cal_Start_Week,B2176&lt;=Cal_End_Week),"YES","")</f>
        <v/>
      </c>
    </row>
    <row r="2177" customFormat="false" ht="15" hidden="false" customHeight="false" outlineLevel="0" collapsed="false">
      <c r="A2177" s="31" t="str">
        <f aca="false">Demand_History!C2177</f>
        <v>BED-001</v>
      </c>
      <c r="B2177" s="31" t="n">
        <f aca="false">Demand_History!A2177</f>
        <v>96</v>
      </c>
      <c r="C2177" s="32" t="n">
        <f aca="false">Demand_History!D2177</f>
        <v>36</v>
      </c>
      <c r="D2177" s="33" t="n">
        <f aca="false">IF(B2177&gt;=2,C2176,"")</f>
        <v>42</v>
      </c>
      <c r="E2177" s="33" t="n">
        <f aca="false">IF(B2177&gt;=5,AVERAGE(C2173:C2176),"")</f>
        <v>42.25</v>
      </c>
      <c r="F2177" s="33" t="n">
        <f aca="false">IF(B2177&gt;=9,AVERAGE(C2169:C2176),"")</f>
        <v>37.375</v>
      </c>
      <c r="G2177" s="33" t="n">
        <f aca="false">IF(B2177=1,"",IF(B2177=2,C2176,SES_Alpha*C2176+(1-SES_Alpha)*G2176))</f>
        <v>40.3362904097996</v>
      </c>
      <c r="H2177" s="33" t="n">
        <f aca="false">IF(D2177="","",D2177-C2177)</f>
        <v>6</v>
      </c>
      <c r="I2177" s="33" t="n">
        <f aca="false">IF(E2177="","",E2177-C2177)</f>
        <v>6.25</v>
      </c>
      <c r="J2177" s="33" t="n">
        <f aca="false">IF(F2177="","",F2177-C2177)</f>
        <v>1.375</v>
      </c>
      <c r="K2177" s="33" t="n">
        <f aca="false">IF(G2177="","",G2177-C2177)</f>
        <v>4.33629040979965</v>
      </c>
      <c r="L2177" s="33" t="n">
        <f aca="false">IF(H2177="","",ABS(H2177))</f>
        <v>6</v>
      </c>
      <c r="M2177" s="33" t="n">
        <f aca="false">IF(I2177="","",ABS(I2177))</f>
        <v>6.25</v>
      </c>
      <c r="N2177" s="33" t="n">
        <f aca="false">IF(J2177="","",ABS(J2177))</f>
        <v>1.375</v>
      </c>
      <c r="O2177" s="33" t="n">
        <f aca="false">IF(K2177="","",ABS(K2177))</f>
        <v>4.33629040979965</v>
      </c>
      <c r="P2177" s="34" t="str">
        <f aca="false">IF(B2177&gt;=Eval_Start_Week,"YES","")</f>
        <v>YES</v>
      </c>
      <c r="Q2177" s="34" t="str">
        <f aca="false">IF(AND(B2177&gt;=Cal_Start_Week,B2177&lt;=Cal_End_Week),"YES","")</f>
        <v/>
      </c>
    </row>
    <row r="2178" customFormat="false" ht="15" hidden="false" customHeight="false" outlineLevel="0" collapsed="false">
      <c r="A2178" s="31" t="str">
        <f aca="false">Demand_History!C2178</f>
        <v>BED-001</v>
      </c>
      <c r="B2178" s="31" t="n">
        <f aca="false">Demand_History!A2178</f>
        <v>97</v>
      </c>
      <c r="C2178" s="32" t="n">
        <f aca="false">Demand_History!D2178</f>
        <v>42</v>
      </c>
      <c r="D2178" s="33" t="n">
        <f aca="false">IF(B2178&gt;=2,C2177,"")</f>
        <v>36</v>
      </c>
      <c r="E2178" s="33" t="n">
        <f aca="false">IF(B2178&gt;=5,AVERAGE(C2174:C2177),"")</f>
        <v>40.75</v>
      </c>
      <c r="F2178" s="33" t="n">
        <f aca="false">IF(B2178&gt;=9,AVERAGE(C2170:C2177),"")</f>
        <v>37.25</v>
      </c>
      <c r="G2178" s="33" t="n">
        <f aca="false">IF(B2178=1,"",IF(B2178=2,C2177,SES_Alpha*C2177+(1-SES_Alpha)*G2177))</f>
        <v>39.0354032868598</v>
      </c>
      <c r="H2178" s="33" t="n">
        <f aca="false">IF(D2178="","",D2178-C2178)</f>
        <v>-6</v>
      </c>
      <c r="I2178" s="33" t="n">
        <f aca="false">IF(E2178="","",E2178-C2178)</f>
        <v>-1.25</v>
      </c>
      <c r="J2178" s="33" t="n">
        <f aca="false">IF(F2178="","",F2178-C2178)</f>
        <v>-4.75</v>
      </c>
      <c r="K2178" s="33" t="n">
        <f aca="false">IF(G2178="","",G2178-C2178)</f>
        <v>-2.96459671314025</v>
      </c>
      <c r="L2178" s="33" t="n">
        <f aca="false">IF(H2178="","",ABS(H2178))</f>
        <v>6</v>
      </c>
      <c r="M2178" s="33" t="n">
        <f aca="false">IF(I2178="","",ABS(I2178))</f>
        <v>1.25</v>
      </c>
      <c r="N2178" s="33" t="n">
        <f aca="false">IF(J2178="","",ABS(J2178))</f>
        <v>4.75</v>
      </c>
      <c r="O2178" s="33" t="n">
        <f aca="false">IF(K2178="","",ABS(K2178))</f>
        <v>2.96459671314025</v>
      </c>
      <c r="P2178" s="34" t="str">
        <f aca="false">IF(B2178&gt;=Eval_Start_Week,"YES","")</f>
        <v>YES</v>
      </c>
      <c r="Q2178" s="34" t="str">
        <f aca="false">IF(AND(B2178&gt;=Cal_Start_Week,B2178&lt;=Cal_End_Week),"YES","")</f>
        <v/>
      </c>
    </row>
    <row r="2179" customFormat="false" ht="15" hidden="false" customHeight="false" outlineLevel="0" collapsed="false">
      <c r="A2179" s="31" t="str">
        <f aca="false">Demand_History!C2179</f>
        <v>BED-001</v>
      </c>
      <c r="B2179" s="31" t="n">
        <f aca="false">Demand_History!A2179</f>
        <v>98</v>
      </c>
      <c r="C2179" s="32" t="n">
        <f aca="false">Demand_History!D2179</f>
        <v>38</v>
      </c>
      <c r="D2179" s="33" t="n">
        <f aca="false">IF(B2179&gt;=2,C2178,"")</f>
        <v>42</v>
      </c>
      <c r="E2179" s="33" t="n">
        <f aca="false">IF(B2179&gt;=5,AVERAGE(C2175:C2178),"")</f>
        <v>41.25</v>
      </c>
      <c r="F2179" s="33" t="n">
        <f aca="false">IF(B2179&gt;=9,AVERAGE(C2171:C2178),"")</f>
        <v>39</v>
      </c>
      <c r="G2179" s="33" t="n">
        <f aca="false">IF(B2179=1,"",IF(B2179=2,C2178,SES_Alpha*C2178+(1-SES_Alpha)*G2178))</f>
        <v>39.9247823008018</v>
      </c>
      <c r="H2179" s="33" t="n">
        <f aca="false">IF(D2179="","",D2179-C2179)</f>
        <v>4</v>
      </c>
      <c r="I2179" s="33" t="n">
        <f aca="false">IF(E2179="","",E2179-C2179)</f>
        <v>3.25</v>
      </c>
      <c r="J2179" s="33" t="n">
        <f aca="false">IF(F2179="","",F2179-C2179)</f>
        <v>1</v>
      </c>
      <c r="K2179" s="33" t="n">
        <f aca="false">IF(G2179="","",G2179-C2179)</f>
        <v>1.92478230080182</v>
      </c>
      <c r="L2179" s="33" t="n">
        <f aca="false">IF(H2179="","",ABS(H2179))</f>
        <v>4</v>
      </c>
      <c r="M2179" s="33" t="n">
        <f aca="false">IF(I2179="","",ABS(I2179))</f>
        <v>3.25</v>
      </c>
      <c r="N2179" s="33" t="n">
        <f aca="false">IF(J2179="","",ABS(J2179))</f>
        <v>1</v>
      </c>
      <c r="O2179" s="33" t="n">
        <f aca="false">IF(K2179="","",ABS(K2179))</f>
        <v>1.92478230080182</v>
      </c>
      <c r="P2179" s="34" t="str">
        <f aca="false">IF(B2179&gt;=Eval_Start_Week,"YES","")</f>
        <v>YES</v>
      </c>
      <c r="Q2179" s="34" t="str">
        <f aca="false">IF(AND(B2179&gt;=Cal_Start_Week,B2179&lt;=Cal_End_Week),"YES","")</f>
        <v/>
      </c>
    </row>
    <row r="2180" customFormat="false" ht="15" hidden="false" customHeight="false" outlineLevel="0" collapsed="false">
      <c r="A2180" s="31" t="str">
        <f aca="false">Demand_History!C2180</f>
        <v>BED-001</v>
      </c>
      <c r="B2180" s="31" t="n">
        <f aca="false">Demand_History!A2180</f>
        <v>99</v>
      </c>
      <c r="C2180" s="32" t="n">
        <f aca="false">Demand_History!D2180</f>
        <v>43</v>
      </c>
      <c r="D2180" s="33" t="n">
        <f aca="false">IF(B2180&gt;=2,C2179,"")</f>
        <v>38</v>
      </c>
      <c r="E2180" s="33" t="n">
        <f aca="false">IF(B2180&gt;=5,AVERAGE(C2176:C2179),"")</f>
        <v>39.5</v>
      </c>
      <c r="F2180" s="33" t="n">
        <f aca="false">IF(B2180&gt;=9,AVERAGE(C2172:C2179),"")</f>
        <v>39.375</v>
      </c>
      <c r="G2180" s="33" t="n">
        <f aca="false">IF(B2180=1,"",IF(B2180=2,C2179,SES_Alpha*C2179+(1-SES_Alpha)*G2179))</f>
        <v>39.3473476105613</v>
      </c>
      <c r="H2180" s="33" t="n">
        <f aca="false">IF(D2180="","",D2180-C2180)</f>
        <v>-5</v>
      </c>
      <c r="I2180" s="33" t="n">
        <f aca="false">IF(E2180="","",E2180-C2180)</f>
        <v>-3.5</v>
      </c>
      <c r="J2180" s="33" t="n">
        <f aca="false">IF(F2180="","",F2180-C2180)</f>
        <v>-3.625</v>
      </c>
      <c r="K2180" s="33" t="n">
        <f aca="false">IF(G2180="","",G2180-C2180)</f>
        <v>-3.65265238943873</v>
      </c>
      <c r="L2180" s="33" t="n">
        <f aca="false">IF(H2180="","",ABS(H2180))</f>
        <v>5</v>
      </c>
      <c r="M2180" s="33" t="n">
        <f aca="false">IF(I2180="","",ABS(I2180))</f>
        <v>3.5</v>
      </c>
      <c r="N2180" s="33" t="n">
        <f aca="false">IF(J2180="","",ABS(J2180))</f>
        <v>3.625</v>
      </c>
      <c r="O2180" s="33" t="n">
        <f aca="false">IF(K2180="","",ABS(K2180))</f>
        <v>3.65265238943873</v>
      </c>
      <c r="P2180" s="34" t="str">
        <f aca="false">IF(B2180&gt;=Eval_Start_Week,"YES","")</f>
        <v>YES</v>
      </c>
      <c r="Q2180" s="34" t="str">
        <f aca="false">IF(AND(B2180&gt;=Cal_Start_Week,B2180&lt;=Cal_End_Week),"YES","")</f>
        <v/>
      </c>
    </row>
    <row r="2181" customFormat="false" ht="15" hidden="false" customHeight="false" outlineLevel="0" collapsed="false">
      <c r="A2181" s="31" t="str">
        <f aca="false">Demand_History!C2181</f>
        <v>BED-001</v>
      </c>
      <c r="B2181" s="31" t="n">
        <f aca="false">Demand_History!A2181</f>
        <v>100</v>
      </c>
      <c r="C2181" s="32" t="n">
        <f aca="false">Demand_History!D2181</f>
        <v>42</v>
      </c>
      <c r="D2181" s="33" t="n">
        <f aca="false">IF(B2181&gt;=2,C2180,"")</f>
        <v>43</v>
      </c>
      <c r="E2181" s="33" t="n">
        <f aca="false">IF(B2181&gt;=5,AVERAGE(C2177:C2180),"")</f>
        <v>39.75</v>
      </c>
      <c r="F2181" s="33" t="n">
        <f aca="false">IF(B2181&gt;=9,AVERAGE(C2173:C2180),"")</f>
        <v>41</v>
      </c>
      <c r="G2181" s="33" t="n">
        <f aca="false">IF(B2181=1,"",IF(B2181=2,C2180,SES_Alpha*C2180+(1-SES_Alpha)*G2180))</f>
        <v>40.4431433273929</v>
      </c>
      <c r="H2181" s="33" t="n">
        <f aca="false">IF(D2181="","",D2181-C2181)</f>
        <v>1</v>
      </c>
      <c r="I2181" s="33" t="n">
        <f aca="false">IF(E2181="","",E2181-C2181)</f>
        <v>-2.25</v>
      </c>
      <c r="J2181" s="33" t="n">
        <f aca="false">IF(F2181="","",F2181-C2181)</f>
        <v>-1</v>
      </c>
      <c r="K2181" s="33" t="n">
        <f aca="false">IF(G2181="","",G2181-C2181)</f>
        <v>-1.55685667260711</v>
      </c>
      <c r="L2181" s="33" t="n">
        <f aca="false">IF(H2181="","",ABS(H2181))</f>
        <v>1</v>
      </c>
      <c r="M2181" s="33" t="n">
        <f aca="false">IF(I2181="","",ABS(I2181))</f>
        <v>2.25</v>
      </c>
      <c r="N2181" s="33" t="n">
        <f aca="false">IF(J2181="","",ABS(J2181))</f>
        <v>1</v>
      </c>
      <c r="O2181" s="33" t="n">
        <f aca="false">IF(K2181="","",ABS(K2181))</f>
        <v>1.55685667260711</v>
      </c>
      <c r="P2181" s="34" t="str">
        <f aca="false">IF(B2181&gt;=Eval_Start_Week,"YES","")</f>
        <v>YES</v>
      </c>
      <c r="Q2181" s="34" t="str">
        <f aca="false">IF(AND(B2181&gt;=Cal_Start_Week,B2181&lt;=Cal_End_Week),"YES","")</f>
        <v/>
      </c>
    </row>
    <row r="2182" customFormat="false" ht="15" hidden="false" customHeight="false" outlineLevel="0" collapsed="false">
      <c r="A2182" s="31" t="str">
        <f aca="false">Demand_History!C2182</f>
        <v>BED-001</v>
      </c>
      <c r="B2182" s="31" t="n">
        <f aca="false">Demand_History!A2182</f>
        <v>101</v>
      </c>
      <c r="C2182" s="32" t="n">
        <f aca="false">Demand_History!D2182</f>
        <v>34</v>
      </c>
      <c r="D2182" s="33" t="n">
        <f aca="false">IF(B2182&gt;=2,C2181,"")</f>
        <v>42</v>
      </c>
      <c r="E2182" s="33" t="n">
        <f aca="false">IF(B2182&gt;=5,AVERAGE(C2178:C2181),"")</f>
        <v>41.25</v>
      </c>
      <c r="F2182" s="33" t="n">
        <f aca="false">IF(B2182&gt;=9,AVERAGE(C2174:C2181),"")</f>
        <v>41</v>
      </c>
      <c r="G2182" s="33" t="n">
        <f aca="false">IF(B2182=1,"",IF(B2182=2,C2181,SES_Alpha*C2181+(1-SES_Alpha)*G2181))</f>
        <v>40.910200329175</v>
      </c>
      <c r="H2182" s="33" t="n">
        <f aca="false">IF(D2182="","",D2182-C2182)</f>
        <v>8</v>
      </c>
      <c r="I2182" s="33" t="n">
        <f aca="false">IF(E2182="","",E2182-C2182)</f>
        <v>7.25</v>
      </c>
      <c r="J2182" s="33" t="n">
        <f aca="false">IF(F2182="","",F2182-C2182)</f>
        <v>7</v>
      </c>
      <c r="K2182" s="33" t="n">
        <f aca="false">IF(G2182="","",G2182-C2182)</f>
        <v>6.91020032917502</v>
      </c>
      <c r="L2182" s="33" t="n">
        <f aca="false">IF(H2182="","",ABS(H2182))</f>
        <v>8</v>
      </c>
      <c r="M2182" s="33" t="n">
        <f aca="false">IF(I2182="","",ABS(I2182))</f>
        <v>7.25</v>
      </c>
      <c r="N2182" s="33" t="n">
        <f aca="false">IF(J2182="","",ABS(J2182))</f>
        <v>7</v>
      </c>
      <c r="O2182" s="33" t="n">
        <f aca="false">IF(K2182="","",ABS(K2182))</f>
        <v>6.91020032917502</v>
      </c>
      <c r="P2182" s="34" t="str">
        <f aca="false">IF(B2182&gt;=Eval_Start_Week,"YES","")</f>
        <v>YES</v>
      </c>
      <c r="Q2182" s="34" t="str">
        <f aca="false">IF(AND(B2182&gt;=Cal_Start_Week,B2182&lt;=Cal_End_Week),"YES","")</f>
        <v/>
      </c>
    </row>
    <row r="2183" customFormat="false" ht="15" hidden="false" customHeight="false" outlineLevel="0" collapsed="false">
      <c r="A2183" s="31" t="str">
        <f aca="false">Demand_History!C2183</f>
        <v>BED-001</v>
      </c>
      <c r="B2183" s="31" t="n">
        <f aca="false">Demand_History!A2183</f>
        <v>102</v>
      </c>
      <c r="C2183" s="32" t="n">
        <f aca="false">Demand_History!D2183</f>
        <v>40</v>
      </c>
      <c r="D2183" s="33" t="n">
        <f aca="false">IF(B2183&gt;=2,C2182,"")</f>
        <v>34</v>
      </c>
      <c r="E2183" s="33" t="n">
        <f aca="false">IF(B2183&gt;=5,AVERAGE(C2179:C2182),"")</f>
        <v>39.25</v>
      </c>
      <c r="F2183" s="33" t="n">
        <f aca="false">IF(B2183&gt;=9,AVERAGE(C2175:C2182),"")</f>
        <v>40.25</v>
      </c>
      <c r="G2183" s="33" t="n">
        <f aca="false">IF(B2183=1,"",IF(B2183=2,C2182,SES_Alpha*C2182+(1-SES_Alpha)*G2182))</f>
        <v>38.8371402304225</v>
      </c>
      <c r="H2183" s="33" t="n">
        <f aca="false">IF(D2183="","",D2183-C2183)</f>
        <v>-6</v>
      </c>
      <c r="I2183" s="33" t="n">
        <f aca="false">IF(E2183="","",E2183-C2183)</f>
        <v>-0.75</v>
      </c>
      <c r="J2183" s="33" t="n">
        <f aca="false">IF(F2183="","",F2183-C2183)</f>
        <v>0.25</v>
      </c>
      <c r="K2183" s="33" t="n">
        <f aca="false">IF(G2183="","",G2183-C2183)</f>
        <v>-1.16285976957749</v>
      </c>
      <c r="L2183" s="33" t="n">
        <f aca="false">IF(H2183="","",ABS(H2183))</f>
        <v>6</v>
      </c>
      <c r="M2183" s="33" t="n">
        <f aca="false">IF(I2183="","",ABS(I2183))</f>
        <v>0.75</v>
      </c>
      <c r="N2183" s="33" t="n">
        <f aca="false">IF(J2183="","",ABS(J2183))</f>
        <v>0.25</v>
      </c>
      <c r="O2183" s="33" t="n">
        <f aca="false">IF(K2183="","",ABS(K2183))</f>
        <v>1.16285976957749</v>
      </c>
      <c r="P2183" s="34" t="str">
        <f aca="false">IF(B2183&gt;=Eval_Start_Week,"YES","")</f>
        <v>YES</v>
      </c>
      <c r="Q2183" s="34" t="str">
        <f aca="false">IF(AND(B2183&gt;=Cal_Start_Week,B2183&lt;=Cal_End_Week),"YES","")</f>
        <v/>
      </c>
    </row>
    <row r="2184" customFormat="false" ht="15" hidden="false" customHeight="false" outlineLevel="0" collapsed="false">
      <c r="A2184" s="31" t="str">
        <f aca="false">Demand_History!C2184</f>
        <v>BED-001</v>
      </c>
      <c r="B2184" s="31" t="n">
        <f aca="false">Demand_History!A2184</f>
        <v>103</v>
      </c>
      <c r="C2184" s="32" t="n">
        <f aca="false">Demand_History!D2184</f>
        <v>40</v>
      </c>
      <c r="D2184" s="33" t="n">
        <f aca="false">IF(B2184&gt;=2,C2183,"")</f>
        <v>40</v>
      </c>
      <c r="E2184" s="33" t="n">
        <f aca="false">IF(B2184&gt;=5,AVERAGE(C2180:C2183),"")</f>
        <v>39.75</v>
      </c>
      <c r="F2184" s="33" t="n">
        <f aca="false">IF(B2184&gt;=9,AVERAGE(C2176:C2183),"")</f>
        <v>39.625</v>
      </c>
      <c r="G2184" s="33" t="n">
        <f aca="false">IF(B2184=1,"",IF(B2184=2,C2183,SES_Alpha*C2183+(1-SES_Alpha)*G2183))</f>
        <v>39.1859981612958</v>
      </c>
      <c r="H2184" s="33" t="n">
        <f aca="false">IF(D2184="","",D2184-C2184)</f>
        <v>0</v>
      </c>
      <c r="I2184" s="33" t="n">
        <f aca="false">IF(E2184="","",E2184-C2184)</f>
        <v>-0.25</v>
      </c>
      <c r="J2184" s="33" t="n">
        <f aca="false">IF(F2184="","",F2184-C2184)</f>
        <v>-0.375</v>
      </c>
      <c r="K2184" s="33" t="n">
        <f aca="false">IF(G2184="","",G2184-C2184)</f>
        <v>-0.814001838704243</v>
      </c>
      <c r="L2184" s="33" t="n">
        <f aca="false">IF(H2184="","",ABS(H2184))</f>
        <v>0</v>
      </c>
      <c r="M2184" s="33" t="n">
        <f aca="false">IF(I2184="","",ABS(I2184))</f>
        <v>0.25</v>
      </c>
      <c r="N2184" s="33" t="n">
        <f aca="false">IF(J2184="","",ABS(J2184))</f>
        <v>0.375</v>
      </c>
      <c r="O2184" s="33" t="n">
        <f aca="false">IF(K2184="","",ABS(K2184))</f>
        <v>0.814001838704243</v>
      </c>
      <c r="P2184" s="34" t="str">
        <f aca="false">IF(B2184&gt;=Eval_Start_Week,"YES","")</f>
        <v>YES</v>
      </c>
      <c r="Q2184" s="34" t="str">
        <f aca="false">IF(AND(B2184&gt;=Cal_Start_Week,B2184&lt;=Cal_End_Week),"YES","")</f>
        <v/>
      </c>
    </row>
    <row r="2185" customFormat="false" ht="15" hidden="false" customHeight="false" outlineLevel="0" collapsed="false">
      <c r="A2185" s="31" t="str">
        <f aca="false">Demand_History!C2185</f>
        <v>BED-001</v>
      </c>
      <c r="B2185" s="31" t="n">
        <f aca="false">Demand_History!A2185</f>
        <v>104</v>
      </c>
      <c r="C2185" s="32" t="n">
        <f aca="false">Demand_History!D2185</f>
        <v>38</v>
      </c>
      <c r="D2185" s="33" t="n">
        <f aca="false">IF(B2185&gt;=2,C2184,"")</f>
        <v>40</v>
      </c>
      <c r="E2185" s="33" t="n">
        <f aca="false">IF(B2185&gt;=5,AVERAGE(C2181:C2184),"")</f>
        <v>39</v>
      </c>
      <c r="F2185" s="33" t="n">
        <f aca="false">IF(B2185&gt;=9,AVERAGE(C2177:C2184),"")</f>
        <v>39.375</v>
      </c>
      <c r="G2185" s="33" t="n">
        <f aca="false">IF(B2185=1,"",IF(B2185=2,C2184,SES_Alpha*C2184+(1-SES_Alpha)*G2184))</f>
        <v>39.430198712907</v>
      </c>
      <c r="H2185" s="33" t="n">
        <f aca="false">IF(D2185="","",D2185-C2185)</f>
        <v>2</v>
      </c>
      <c r="I2185" s="33" t="n">
        <f aca="false">IF(E2185="","",E2185-C2185)</f>
        <v>1</v>
      </c>
      <c r="J2185" s="33" t="n">
        <f aca="false">IF(F2185="","",F2185-C2185)</f>
        <v>1.375</v>
      </c>
      <c r="K2185" s="33" t="n">
        <f aca="false">IF(G2185="","",G2185-C2185)</f>
        <v>1.43019871290703</v>
      </c>
      <c r="L2185" s="33" t="n">
        <f aca="false">IF(H2185="","",ABS(H2185))</f>
        <v>2</v>
      </c>
      <c r="M2185" s="33" t="n">
        <f aca="false">IF(I2185="","",ABS(I2185))</f>
        <v>1</v>
      </c>
      <c r="N2185" s="33" t="n">
        <f aca="false">IF(J2185="","",ABS(J2185))</f>
        <v>1.375</v>
      </c>
      <c r="O2185" s="33" t="n">
        <f aca="false">IF(K2185="","",ABS(K2185))</f>
        <v>1.43019871290703</v>
      </c>
      <c r="P2185" s="34" t="str">
        <f aca="false">IF(B2185&gt;=Eval_Start_Week,"YES","")</f>
        <v>YES</v>
      </c>
      <c r="Q2185" s="34" t="str">
        <f aca="false">IF(AND(B2185&gt;=Cal_Start_Week,B2185&lt;=Cal_End_Week),"YES","")</f>
        <v/>
      </c>
    </row>
    <row r="2186" customFormat="false" ht="15" hidden="false" customHeight="false" outlineLevel="0" collapsed="false">
      <c r="A2186" s="31" t="str">
        <f aca="false">Demand_History!C2186</f>
        <v>BED-002</v>
      </c>
      <c r="B2186" s="31" t="n">
        <f aca="false">Demand_History!A2186</f>
        <v>1</v>
      </c>
      <c r="C2186" s="32" t="n">
        <f aca="false">Demand_History!D2186</f>
        <v>106</v>
      </c>
      <c r="D2186" s="33" t="str">
        <f aca="false">IF(B2186&gt;=2,C2185,"")</f>
        <v/>
      </c>
      <c r="E2186" s="33" t="str">
        <f aca="false">IF(B2186&gt;=5,AVERAGE(C2182:C2185),"")</f>
        <v/>
      </c>
      <c r="F2186" s="33" t="str">
        <f aca="false">IF(B2186&gt;=9,AVERAGE(C2178:C2185),"")</f>
        <v/>
      </c>
      <c r="G2186" s="33" t="str">
        <f aca="false">IF(B2186=1,"",IF(B2186=2,C2185,SES_Alpha*C2185+(1-SES_Alpha)*G2185))</f>
        <v/>
      </c>
      <c r="H2186" s="33" t="str">
        <f aca="false">IF(D2186="","",D2186-C2186)</f>
        <v/>
      </c>
      <c r="I2186" s="33" t="str">
        <f aca="false">IF(E2186="","",E2186-C2186)</f>
        <v/>
      </c>
      <c r="J2186" s="33" t="str">
        <f aca="false">IF(F2186="","",F2186-C2186)</f>
        <v/>
      </c>
      <c r="K2186" s="33" t="str">
        <f aca="false">IF(G2186="","",G2186-C2186)</f>
        <v/>
      </c>
      <c r="L2186" s="33" t="str">
        <f aca="false">IF(H2186="","",ABS(H2186))</f>
        <v/>
      </c>
      <c r="M2186" s="33" t="str">
        <f aca="false">IF(I2186="","",ABS(I2186))</f>
        <v/>
      </c>
      <c r="N2186" s="33" t="str">
        <f aca="false">IF(J2186="","",ABS(J2186))</f>
        <v/>
      </c>
      <c r="O2186" s="33" t="str">
        <f aca="false">IF(K2186="","",ABS(K2186))</f>
        <v/>
      </c>
      <c r="P2186" s="34" t="str">
        <f aca="false">IF(B2186&gt;=Eval_Start_Week,"YES","")</f>
        <v/>
      </c>
      <c r="Q2186" s="34" t="str">
        <f aca="false">IF(AND(B2186&gt;=Cal_Start_Week,B2186&lt;=Cal_End_Week),"YES","")</f>
        <v/>
      </c>
    </row>
    <row r="2187" customFormat="false" ht="15" hidden="false" customHeight="false" outlineLevel="0" collapsed="false">
      <c r="A2187" s="31" t="str">
        <f aca="false">Demand_History!C2187</f>
        <v>BED-002</v>
      </c>
      <c r="B2187" s="31" t="n">
        <f aca="false">Demand_History!A2187</f>
        <v>2</v>
      </c>
      <c r="C2187" s="32" t="n">
        <f aca="false">Demand_History!D2187</f>
        <v>80</v>
      </c>
      <c r="D2187" s="33" t="n">
        <f aca="false">IF(B2187&gt;=2,C2186,"")</f>
        <v>106</v>
      </c>
      <c r="E2187" s="33" t="str">
        <f aca="false">IF(B2187&gt;=5,AVERAGE(C2183:C2186),"")</f>
        <v/>
      </c>
      <c r="F2187" s="33" t="str">
        <f aca="false">IF(B2187&gt;=9,AVERAGE(C2179:C2186),"")</f>
        <v/>
      </c>
      <c r="G2187" s="33" t="n">
        <f aca="false">IF(B2187=1,"",IF(B2187=2,C2186,SES_Alpha*C2186+(1-SES_Alpha)*G2186))</f>
        <v>106</v>
      </c>
      <c r="H2187" s="33" t="n">
        <f aca="false">IF(D2187="","",D2187-C2187)</f>
        <v>26</v>
      </c>
      <c r="I2187" s="33" t="str">
        <f aca="false">IF(E2187="","",E2187-C2187)</f>
        <v/>
      </c>
      <c r="J2187" s="33" t="str">
        <f aca="false">IF(F2187="","",F2187-C2187)</f>
        <v/>
      </c>
      <c r="K2187" s="33" t="n">
        <f aca="false">IF(G2187="","",G2187-C2187)</f>
        <v>26</v>
      </c>
      <c r="L2187" s="33" t="n">
        <f aca="false">IF(H2187="","",ABS(H2187))</f>
        <v>26</v>
      </c>
      <c r="M2187" s="33" t="str">
        <f aca="false">IF(I2187="","",ABS(I2187))</f>
        <v/>
      </c>
      <c r="N2187" s="33" t="str">
        <f aca="false">IF(J2187="","",ABS(J2187))</f>
        <v/>
      </c>
      <c r="O2187" s="33" t="n">
        <f aca="false">IF(K2187="","",ABS(K2187))</f>
        <v>26</v>
      </c>
      <c r="P2187" s="34" t="str">
        <f aca="false">IF(B2187&gt;=Eval_Start_Week,"YES","")</f>
        <v/>
      </c>
      <c r="Q2187" s="34" t="str">
        <f aca="false">IF(AND(B2187&gt;=Cal_Start_Week,B2187&lt;=Cal_End_Week),"YES","")</f>
        <v/>
      </c>
    </row>
    <row r="2188" customFormat="false" ht="15" hidden="false" customHeight="false" outlineLevel="0" collapsed="false">
      <c r="A2188" s="31" t="str">
        <f aca="false">Demand_History!C2188</f>
        <v>BED-002</v>
      </c>
      <c r="B2188" s="31" t="n">
        <f aca="false">Demand_History!A2188</f>
        <v>3</v>
      </c>
      <c r="C2188" s="32" t="n">
        <f aca="false">Demand_History!D2188</f>
        <v>81</v>
      </c>
      <c r="D2188" s="33" t="n">
        <f aca="false">IF(B2188&gt;=2,C2187,"")</f>
        <v>80</v>
      </c>
      <c r="E2188" s="33" t="str">
        <f aca="false">IF(B2188&gt;=5,AVERAGE(C2184:C2187),"")</f>
        <v/>
      </c>
      <c r="F2188" s="33" t="str">
        <f aca="false">IF(B2188&gt;=9,AVERAGE(C2180:C2187),"")</f>
        <v/>
      </c>
      <c r="G2188" s="33" t="n">
        <f aca="false">IF(B2188=1,"",IF(B2188=2,C2187,SES_Alpha*C2187+(1-SES_Alpha)*G2187))</f>
        <v>98.2</v>
      </c>
      <c r="H2188" s="33" t="n">
        <f aca="false">IF(D2188="","",D2188-C2188)</f>
        <v>-1</v>
      </c>
      <c r="I2188" s="33" t="str">
        <f aca="false">IF(E2188="","",E2188-C2188)</f>
        <v/>
      </c>
      <c r="J2188" s="33" t="str">
        <f aca="false">IF(F2188="","",F2188-C2188)</f>
        <v/>
      </c>
      <c r="K2188" s="33" t="n">
        <f aca="false">IF(G2188="","",G2188-C2188)</f>
        <v>17.2</v>
      </c>
      <c r="L2188" s="33" t="n">
        <f aca="false">IF(H2188="","",ABS(H2188))</f>
        <v>1</v>
      </c>
      <c r="M2188" s="33" t="str">
        <f aca="false">IF(I2188="","",ABS(I2188))</f>
        <v/>
      </c>
      <c r="N2188" s="33" t="str">
        <f aca="false">IF(J2188="","",ABS(J2188))</f>
        <v/>
      </c>
      <c r="O2188" s="33" t="n">
        <f aca="false">IF(K2188="","",ABS(K2188))</f>
        <v>17.2</v>
      </c>
      <c r="P2188" s="34" t="str">
        <f aca="false">IF(B2188&gt;=Eval_Start_Week,"YES","")</f>
        <v/>
      </c>
      <c r="Q2188" s="34" t="str">
        <f aca="false">IF(AND(B2188&gt;=Cal_Start_Week,B2188&lt;=Cal_End_Week),"YES","")</f>
        <v/>
      </c>
    </row>
    <row r="2189" customFormat="false" ht="15" hidden="false" customHeight="false" outlineLevel="0" collapsed="false">
      <c r="A2189" s="31" t="str">
        <f aca="false">Demand_History!C2189</f>
        <v>BED-002</v>
      </c>
      <c r="B2189" s="31" t="n">
        <f aca="false">Demand_History!A2189</f>
        <v>4</v>
      </c>
      <c r="C2189" s="32" t="n">
        <f aca="false">Demand_History!D2189</f>
        <v>57</v>
      </c>
      <c r="D2189" s="33" t="n">
        <f aca="false">IF(B2189&gt;=2,C2188,"")</f>
        <v>81</v>
      </c>
      <c r="E2189" s="33" t="str">
        <f aca="false">IF(B2189&gt;=5,AVERAGE(C2185:C2188),"")</f>
        <v/>
      </c>
      <c r="F2189" s="33" t="str">
        <f aca="false">IF(B2189&gt;=9,AVERAGE(C2181:C2188),"")</f>
        <v/>
      </c>
      <c r="G2189" s="33" t="n">
        <f aca="false">IF(B2189=1,"",IF(B2189=2,C2188,SES_Alpha*C2188+(1-SES_Alpha)*G2188))</f>
        <v>93.04</v>
      </c>
      <c r="H2189" s="33" t="n">
        <f aca="false">IF(D2189="","",D2189-C2189)</f>
        <v>24</v>
      </c>
      <c r="I2189" s="33" t="str">
        <f aca="false">IF(E2189="","",E2189-C2189)</f>
        <v/>
      </c>
      <c r="J2189" s="33" t="str">
        <f aca="false">IF(F2189="","",F2189-C2189)</f>
        <v/>
      </c>
      <c r="K2189" s="33" t="n">
        <f aca="false">IF(G2189="","",G2189-C2189)</f>
        <v>36.04</v>
      </c>
      <c r="L2189" s="33" t="n">
        <f aca="false">IF(H2189="","",ABS(H2189))</f>
        <v>24</v>
      </c>
      <c r="M2189" s="33" t="str">
        <f aca="false">IF(I2189="","",ABS(I2189))</f>
        <v/>
      </c>
      <c r="N2189" s="33" t="str">
        <f aca="false">IF(J2189="","",ABS(J2189))</f>
        <v/>
      </c>
      <c r="O2189" s="33" t="n">
        <f aca="false">IF(K2189="","",ABS(K2189))</f>
        <v>36.04</v>
      </c>
      <c r="P2189" s="34" t="str">
        <f aca="false">IF(B2189&gt;=Eval_Start_Week,"YES","")</f>
        <v/>
      </c>
      <c r="Q2189" s="34" t="str">
        <f aca="false">IF(AND(B2189&gt;=Cal_Start_Week,B2189&lt;=Cal_End_Week),"YES","")</f>
        <v/>
      </c>
    </row>
    <row r="2190" customFormat="false" ht="15" hidden="false" customHeight="false" outlineLevel="0" collapsed="false">
      <c r="A2190" s="31" t="str">
        <f aca="false">Demand_History!C2190</f>
        <v>BED-002</v>
      </c>
      <c r="B2190" s="31" t="n">
        <f aca="false">Demand_History!A2190</f>
        <v>5</v>
      </c>
      <c r="C2190" s="32" t="n">
        <f aca="false">Demand_History!D2190</f>
        <v>83</v>
      </c>
      <c r="D2190" s="33" t="n">
        <f aca="false">IF(B2190&gt;=2,C2189,"")</f>
        <v>57</v>
      </c>
      <c r="E2190" s="33" t="n">
        <f aca="false">IF(B2190&gt;=5,AVERAGE(C2186:C2189),"")</f>
        <v>81</v>
      </c>
      <c r="F2190" s="33" t="str">
        <f aca="false">IF(B2190&gt;=9,AVERAGE(C2182:C2189),"")</f>
        <v/>
      </c>
      <c r="G2190" s="33" t="n">
        <f aca="false">IF(B2190=1,"",IF(B2190=2,C2189,SES_Alpha*C2189+(1-SES_Alpha)*G2189))</f>
        <v>82.228</v>
      </c>
      <c r="H2190" s="33" t="n">
        <f aca="false">IF(D2190="","",D2190-C2190)</f>
        <v>-26</v>
      </c>
      <c r="I2190" s="33" t="n">
        <f aca="false">IF(E2190="","",E2190-C2190)</f>
        <v>-2</v>
      </c>
      <c r="J2190" s="33" t="str">
        <f aca="false">IF(F2190="","",F2190-C2190)</f>
        <v/>
      </c>
      <c r="K2190" s="33" t="n">
        <f aca="false">IF(G2190="","",G2190-C2190)</f>
        <v>-0.77200000000002</v>
      </c>
      <c r="L2190" s="33" t="n">
        <f aca="false">IF(H2190="","",ABS(H2190))</f>
        <v>26</v>
      </c>
      <c r="M2190" s="33" t="n">
        <f aca="false">IF(I2190="","",ABS(I2190))</f>
        <v>2</v>
      </c>
      <c r="N2190" s="33" t="str">
        <f aca="false">IF(J2190="","",ABS(J2190))</f>
        <v/>
      </c>
      <c r="O2190" s="33" t="n">
        <f aca="false">IF(K2190="","",ABS(K2190))</f>
        <v>0.77200000000002</v>
      </c>
      <c r="P2190" s="34" t="str">
        <f aca="false">IF(B2190&gt;=Eval_Start_Week,"YES","")</f>
        <v/>
      </c>
      <c r="Q2190" s="34" t="str">
        <f aca="false">IF(AND(B2190&gt;=Cal_Start_Week,B2190&lt;=Cal_End_Week),"YES","")</f>
        <v/>
      </c>
    </row>
    <row r="2191" customFormat="false" ht="15" hidden="false" customHeight="false" outlineLevel="0" collapsed="false">
      <c r="A2191" s="31" t="str">
        <f aca="false">Demand_History!C2191</f>
        <v>BED-002</v>
      </c>
      <c r="B2191" s="31" t="n">
        <f aca="false">Demand_History!A2191</f>
        <v>6</v>
      </c>
      <c r="C2191" s="32" t="n">
        <f aca="false">Demand_History!D2191</f>
        <v>80</v>
      </c>
      <c r="D2191" s="33" t="n">
        <f aca="false">IF(B2191&gt;=2,C2190,"")</f>
        <v>83</v>
      </c>
      <c r="E2191" s="33" t="n">
        <f aca="false">IF(B2191&gt;=5,AVERAGE(C2187:C2190),"")</f>
        <v>75.25</v>
      </c>
      <c r="F2191" s="33" t="str">
        <f aca="false">IF(B2191&gt;=9,AVERAGE(C2183:C2190),"")</f>
        <v/>
      </c>
      <c r="G2191" s="33" t="n">
        <f aca="false">IF(B2191=1,"",IF(B2191=2,C2190,SES_Alpha*C2190+(1-SES_Alpha)*G2190))</f>
        <v>82.4596</v>
      </c>
      <c r="H2191" s="33" t="n">
        <f aca="false">IF(D2191="","",D2191-C2191)</f>
        <v>3</v>
      </c>
      <c r="I2191" s="33" t="n">
        <f aca="false">IF(E2191="","",E2191-C2191)</f>
        <v>-4.75</v>
      </c>
      <c r="J2191" s="33" t="str">
        <f aca="false">IF(F2191="","",F2191-C2191)</f>
        <v/>
      </c>
      <c r="K2191" s="33" t="n">
        <f aca="false">IF(G2191="","",G2191-C2191)</f>
        <v>2.45959999999998</v>
      </c>
      <c r="L2191" s="33" t="n">
        <f aca="false">IF(H2191="","",ABS(H2191))</f>
        <v>3</v>
      </c>
      <c r="M2191" s="33" t="n">
        <f aca="false">IF(I2191="","",ABS(I2191))</f>
        <v>4.75</v>
      </c>
      <c r="N2191" s="33" t="str">
        <f aca="false">IF(J2191="","",ABS(J2191))</f>
        <v/>
      </c>
      <c r="O2191" s="33" t="n">
        <f aca="false">IF(K2191="","",ABS(K2191))</f>
        <v>2.45959999999998</v>
      </c>
      <c r="P2191" s="34" t="str">
        <f aca="false">IF(B2191&gt;=Eval_Start_Week,"YES","")</f>
        <v/>
      </c>
      <c r="Q2191" s="34" t="str">
        <f aca="false">IF(AND(B2191&gt;=Cal_Start_Week,B2191&lt;=Cal_End_Week),"YES","")</f>
        <v/>
      </c>
    </row>
    <row r="2192" customFormat="false" ht="15" hidden="false" customHeight="false" outlineLevel="0" collapsed="false">
      <c r="A2192" s="31" t="str">
        <f aca="false">Demand_History!C2192</f>
        <v>BED-002</v>
      </c>
      <c r="B2192" s="31" t="n">
        <f aca="false">Demand_History!A2192</f>
        <v>7</v>
      </c>
      <c r="C2192" s="32" t="n">
        <f aca="false">Demand_History!D2192</f>
        <v>58</v>
      </c>
      <c r="D2192" s="33" t="n">
        <f aca="false">IF(B2192&gt;=2,C2191,"")</f>
        <v>80</v>
      </c>
      <c r="E2192" s="33" t="n">
        <f aca="false">IF(B2192&gt;=5,AVERAGE(C2188:C2191),"")</f>
        <v>75.25</v>
      </c>
      <c r="F2192" s="33" t="str">
        <f aca="false">IF(B2192&gt;=9,AVERAGE(C2184:C2191),"")</f>
        <v/>
      </c>
      <c r="G2192" s="33" t="n">
        <f aca="false">IF(B2192=1,"",IF(B2192=2,C2191,SES_Alpha*C2191+(1-SES_Alpha)*G2191))</f>
        <v>81.72172</v>
      </c>
      <c r="H2192" s="33" t="n">
        <f aca="false">IF(D2192="","",D2192-C2192)</f>
        <v>22</v>
      </c>
      <c r="I2192" s="33" t="n">
        <f aca="false">IF(E2192="","",E2192-C2192)</f>
        <v>17.25</v>
      </c>
      <c r="J2192" s="33" t="str">
        <f aca="false">IF(F2192="","",F2192-C2192)</f>
        <v/>
      </c>
      <c r="K2192" s="33" t="n">
        <f aca="false">IF(G2192="","",G2192-C2192)</f>
        <v>23.72172</v>
      </c>
      <c r="L2192" s="33" t="n">
        <f aca="false">IF(H2192="","",ABS(H2192))</f>
        <v>22</v>
      </c>
      <c r="M2192" s="33" t="n">
        <f aca="false">IF(I2192="","",ABS(I2192))</f>
        <v>17.25</v>
      </c>
      <c r="N2192" s="33" t="str">
        <f aca="false">IF(J2192="","",ABS(J2192))</f>
        <v/>
      </c>
      <c r="O2192" s="33" t="n">
        <f aca="false">IF(K2192="","",ABS(K2192))</f>
        <v>23.72172</v>
      </c>
      <c r="P2192" s="34" t="str">
        <f aca="false">IF(B2192&gt;=Eval_Start_Week,"YES","")</f>
        <v/>
      </c>
      <c r="Q2192" s="34" t="str">
        <f aca="false">IF(AND(B2192&gt;=Cal_Start_Week,B2192&lt;=Cal_End_Week),"YES","")</f>
        <v/>
      </c>
    </row>
    <row r="2193" customFormat="false" ht="15" hidden="false" customHeight="false" outlineLevel="0" collapsed="false">
      <c r="A2193" s="31" t="str">
        <f aca="false">Demand_History!C2193</f>
        <v>BED-002</v>
      </c>
      <c r="B2193" s="31" t="n">
        <f aca="false">Demand_History!A2193</f>
        <v>8</v>
      </c>
      <c r="C2193" s="32" t="n">
        <f aca="false">Demand_History!D2193</f>
        <v>89</v>
      </c>
      <c r="D2193" s="33" t="n">
        <f aca="false">IF(B2193&gt;=2,C2192,"")</f>
        <v>58</v>
      </c>
      <c r="E2193" s="33" t="n">
        <f aca="false">IF(B2193&gt;=5,AVERAGE(C2189:C2192),"")</f>
        <v>69.5</v>
      </c>
      <c r="F2193" s="33" t="str">
        <f aca="false">IF(B2193&gt;=9,AVERAGE(C2185:C2192),"")</f>
        <v/>
      </c>
      <c r="G2193" s="33" t="n">
        <f aca="false">IF(B2193=1,"",IF(B2193=2,C2192,SES_Alpha*C2192+(1-SES_Alpha)*G2192))</f>
        <v>74.605204</v>
      </c>
      <c r="H2193" s="33" t="n">
        <f aca="false">IF(D2193="","",D2193-C2193)</f>
        <v>-31</v>
      </c>
      <c r="I2193" s="33" t="n">
        <f aca="false">IF(E2193="","",E2193-C2193)</f>
        <v>-19.5</v>
      </c>
      <c r="J2193" s="33" t="str">
        <f aca="false">IF(F2193="","",F2193-C2193)</f>
        <v/>
      </c>
      <c r="K2193" s="33" t="n">
        <f aca="false">IF(G2193="","",G2193-C2193)</f>
        <v>-14.394796</v>
      </c>
      <c r="L2193" s="33" t="n">
        <f aca="false">IF(H2193="","",ABS(H2193))</f>
        <v>31</v>
      </c>
      <c r="M2193" s="33" t="n">
        <f aca="false">IF(I2193="","",ABS(I2193))</f>
        <v>19.5</v>
      </c>
      <c r="N2193" s="33" t="str">
        <f aca="false">IF(J2193="","",ABS(J2193))</f>
        <v/>
      </c>
      <c r="O2193" s="33" t="n">
        <f aca="false">IF(K2193="","",ABS(K2193))</f>
        <v>14.394796</v>
      </c>
      <c r="P2193" s="34" t="str">
        <f aca="false">IF(B2193&gt;=Eval_Start_Week,"YES","")</f>
        <v/>
      </c>
      <c r="Q2193" s="34" t="str">
        <f aca="false">IF(AND(B2193&gt;=Cal_Start_Week,B2193&lt;=Cal_End_Week),"YES","")</f>
        <v/>
      </c>
    </row>
    <row r="2194" customFormat="false" ht="15" hidden="false" customHeight="false" outlineLevel="0" collapsed="false">
      <c r="A2194" s="31" t="str">
        <f aca="false">Demand_History!C2194</f>
        <v>BED-002</v>
      </c>
      <c r="B2194" s="31" t="n">
        <f aca="false">Demand_History!A2194</f>
        <v>9</v>
      </c>
      <c r="C2194" s="32" t="n">
        <f aca="false">Demand_History!D2194</f>
        <v>92</v>
      </c>
      <c r="D2194" s="33" t="n">
        <f aca="false">IF(B2194&gt;=2,C2193,"")</f>
        <v>89</v>
      </c>
      <c r="E2194" s="33" t="n">
        <f aca="false">IF(B2194&gt;=5,AVERAGE(C2190:C2193),"")</f>
        <v>77.5</v>
      </c>
      <c r="F2194" s="33" t="n">
        <f aca="false">IF(B2194&gt;=9,AVERAGE(C2186:C2193),"")</f>
        <v>79.25</v>
      </c>
      <c r="G2194" s="33" t="n">
        <f aca="false">IF(B2194=1,"",IF(B2194=2,C2193,SES_Alpha*C2193+(1-SES_Alpha)*G2193))</f>
        <v>78.9236428</v>
      </c>
      <c r="H2194" s="33" t="n">
        <f aca="false">IF(D2194="","",D2194-C2194)</f>
        <v>-3</v>
      </c>
      <c r="I2194" s="33" t="n">
        <f aca="false">IF(E2194="","",E2194-C2194)</f>
        <v>-14.5</v>
      </c>
      <c r="J2194" s="33" t="n">
        <f aca="false">IF(F2194="","",F2194-C2194)</f>
        <v>-12.75</v>
      </c>
      <c r="K2194" s="33" t="n">
        <f aca="false">IF(G2194="","",G2194-C2194)</f>
        <v>-13.0763572</v>
      </c>
      <c r="L2194" s="33" t="n">
        <f aca="false">IF(H2194="","",ABS(H2194))</f>
        <v>3</v>
      </c>
      <c r="M2194" s="33" t="n">
        <f aca="false">IF(I2194="","",ABS(I2194))</f>
        <v>14.5</v>
      </c>
      <c r="N2194" s="33" t="n">
        <f aca="false">IF(J2194="","",ABS(J2194))</f>
        <v>12.75</v>
      </c>
      <c r="O2194" s="33" t="n">
        <f aca="false">IF(K2194="","",ABS(K2194))</f>
        <v>13.0763572</v>
      </c>
      <c r="P2194" s="34" t="str">
        <f aca="false">IF(B2194&gt;=Eval_Start_Week,"YES","")</f>
        <v/>
      </c>
      <c r="Q2194" s="34" t="str">
        <f aca="false">IF(AND(B2194&gt;=Cal_Start_Week,B2194&lt;=Cal_End_Week),"YES","")</f>
        <v/>
      </c>
    </row>
    <row r="2195" customFormat="false" ht="15" hidden="false" customHeight="false" outlineLevel="0" collapsed="false">
      <c r="A2195" s="31" t="str">
        <f aca="false">Demand_History!C2195</f>
        <v>BED-002</v>
      </c>
      <c r="B2195" s="31" t="n">
        <f aca="false">Demand_History!A2195</f>
        <v>10</v>
      </c>
      <c r="C2195" s="32" t="n">
        <f aca="false">Demand_History!D2195</f>
        <v>76</v>
      </c>
      <c r="D2195" s="33" t="n">
        <f aca="false">IF(B2195&gt;=2,C2194,"")</f>
        <v>92</v>
      </c>
      <c r="E2195" s="33" t="n">
        <f aca="false">IF(B2195&gt;=5,AVERAGE(C2191:C2194),"")</f>
        <v>79.75</v>
      </c>
      <c r="F2195" s="33" t="n">
        <f aca="false">IF(B2195&gt;=9,AVERAGE(C2187:C2194),"")</f>
        <v>77.5</v>
      </c>
      <c r="G2195" s="33" t="n">
        <f aca="false">IF(B2195=1,"",IF(B2195=2,C2194,SES_Alpha*C2194+(1-SES_Alpha)*G2194))</f>
        <v>82.84654996</v>
      </c>
      <c r="H2195" s="33" t="n">
        <f aca="false">IF(D2195="","",D2195-C2195)</f>
        <v>16</v>
      </c>
      <c r="I2195" s="33" t="n">
        <f aca="false">IF(E2195="","",E2195-C2195)</f>
        <v>3.75</v>
      </c>
      <c r="J2195" s="33" t="n">
        <f aca="false">IF(F2195="","",F2195-C2195)</f>
        <v>1.5</v>
      </c>
      <c r="K2195" s="33" t="n">
        <f aca="false">IF(G2195="","",G2195-C2195)</f>
        <v>6.84654995999998</v>
      </c>
      <c r="L2195" s="33" t="n">
        <f aca="false">IF(H2195="","",ABS(H2195))</f>
        <v>16</v>
      </c>
      <c r="M2195" s="33" t="n">
        <f aca="false">IF(I2195="","",ABS(I2195))</f>
        <v>3.75</v>
      </c>
      <c r="N2195" s="33" t="n">
        <f aca="false">IF(J2195="","",ABS(J2195))</f>
        <v>1.5</v>
      </c>
      <c r="O2195" s="33" t="n">
        <f aca="false">IF(K2195="","",ABS(K2195))</f>
        <v>6.84654995999998</v>
      </c>
      <c r="P2195" s="34" t="str">
        <f aca="false">IF(B2195&gt;=Eval_Start_Week,"YES","")</f>
        <v/>
      </c>
      <c r="Q2195" s="34" t="str">
        <f aca="false">IF(AND(B2195&gt;=Cal_Start_Week,B2195&lt;=Cal_End_Week),"YES","")</f>
        <v/>
      </c>
    </row>
    <row r="2196" customFormat="false" ht="15" hidden="false" customHeight="false" outlineLevel="0" collapsed="false">
      <c r="A2196" s="31" t="str">
        <f aca="false">Demand_History!C2196</f>
        <v>BED-002</v>
      </c>
      <c r="B2196" s="31" t="n">
        <f aca="false">Demand_History!A2196</f>
        <v>11</v>
      </c>
      <c r="C2196" s="32" t="n">
        <f aca="false">Demand_History!D2196</f>
        <v>80</v>
      </c>
      <c r="D2196" s="33" t="n">
        <f aca="false">IF(B2196&gt;=2,C2195,"")</f>
        <v>76</v>
      </c>
      <c r="E2196" s="33" t="n">
        <f aca="false">IF(B2196&gt;=5,AVERAGE(C2192:C2195),"")</f>
        <v>78.75</v>
      </c>
      <c r="F2196" s="33" t="n">
        <f aca="false">IF(B2196&gt;=9,AVERAGE(C2188:C2195),"")</f>
        <v>77</v>
      </c>
      <c r="G2196" s="33" t="n">
        <f aca="false">IF(B2196=1,"",IF(B2196=2,C2195,SES_Alpha*C2195+(1-SES_Alpha)*G2195))</f>
        <v>80.792584972</v>
      </c>
      <c r="H2196" s="33" t="n">
        <f aca="false">IF(D2196="","",D2196-C2196)</f>
        <v>-4</v>
      </c>
      <c r="I2196" s="33" t="n">
        <f aca="false">IF(E2196="","",E2196-C2196)</f>
        <v>-1.25</v>
      </c>
      <c r="J2196" s="33" t="n">
        <f aca="false">IF(F2196="","",F2196-C2196)</f>
        <v>-3</v>
      </c>
      <c r="K2196" s="33" t="n">
        <f aca="false">IF(G2196="","",G2196-C2196)</f>
        <v>0.792584971999986</v>
      </c>
      <c r="L2196" s="33" t="n">
        <f aca="false">IF(H2196="","",ABS(H2196))</f>
        <v>4</v>
      </c>
      <c r="M2196" s="33" t="n">
        <f aca="false">IF(I2196="","",ABS(I2196))</f>
        <v>1.25</v>
      </c>
      <c r="N2196" s="33" t="n">
        <f aca="false">IF(J2196="","",ABS(J2196))</f>
        <v>3</v>
      </c>
      <c r="O2196" s="33" t="n">
        <f aca="false">IF(K2196="","",ABS(K2196))</f>
        <v>0.792584971999986</v>
      </c>
      <c r="P2196" s="34" t="str">
        <f aca="false">IF(B2196&gt;=Eval_Start_Week,"YES","")</f>
        <v/>
      </c>
      <c r="Q2196" s="34" t="str">
        <f aca="false">IF(AND(B2196&gt;=Cal_Start_Week,B2196&lt;=Cal_End_Week),"YES","")</f>
        <v/>
      </c>
    </row>
    <row r="2197" customFormat="false" ht="15" hidden="false" customHeight="false" outlineLevel="0" collapsed="false">
      <c r="A2197" s="31" t="str">
        <f aca="false">Demand_History!C2197</f>
        <v>BED-002</v>
      </c>
      <c r="B2197" s="31" t="n">
        <f aca="false">Demand_History!A2197</f>
        <v>12</v>
      </c>
      <c r="C2197" s="32" t="n">
        <f aca="false">Demand_History!D2197</f>
        <v>73</v>
      </c>
      <c r="D2197" s="33" t="n">
        <f aca="false">IF(B2197&gt;=2,C2196,"")</f>
        <v>80</v>
      </c>
      <c r="E2197" s="33" t="n">
        <f aca="false">IF(B2197&gt;=5,AVERAGE(C2193:C2196),"")</f>
        <v>84.25</v>
      </c>
      <c r="F2197" s="33" t="n">
        <f aca="false">IF(B2197&gt;=9,AVERAGE(C2189:C2196),"")</f>
        <v>76.875</v>
      </c>
      <c r="G2197" s="33" t="n">
        <f aca="false">IF(B2197=1,"",IF(B2197=2,C2196,SES_Alpha*C2196+(1-SES_Alpha)*G2196))</f>
        <v>80.5548094804</v>
      </c>
      <c r="H2197" s="33" t="n">
        <f aca="false">IF(D2197="","",D2197-C2197)</f>
        <v>7</v>
      </c>
      <c r="I2197" s="33" t="n">
        <f aca="false">IF(E2197="","",E2197-C2197)</f>
        <v>11.25</v>
      </c>
      <c r="J2197" s="33" t="n">
        <f aca="false">IF(F2197="","",F2197-C2197)</f>
        <v>3.875</v>
      </c>
      <c r="K2197" s="33" t="n">
        <f aca="false">IF(G2197="","",G2197-C2197)</f>
        <v>7.5548094804</v>
      </c>
      <c r="L2197" s="33" t="n">
        <f aca="false">IF(H2197="","",ABS(H2197))</f>
        <v>7</v>
      </c>
      <c r="M2197" s="33" t="n">
        <f aca="false">IF(I2197="","",ABS(I2197))</f>
        <v>11.25</v>
      </c>
      <c r="N2197" s="33" t="n">
        <f aca="false">IF(J2197="","",ABS(J2197))</f>
        <v>3.875</v>
      </c>
      <c r="O2197" s="33" t="n">
        <f aca="false">IF(K2197="","",ABS(K2197))</f>
        <v>7.5548094804</v>
      </c>
      <c r="P2197" s="34" t="str">
        <f aca="false">IF(B2197&gt;=Eval_Start_Week,"YES","")</f>
        <v/>
      </c>
      <c r="Q2197" s="34" t="str">
        <f aca="false">IF(AND(B2197&gt;=Cal_Start_Week,B2197&lt;=Cal_End_Week),"YES","")</f>
        <v/>
      </c>
    </row>
    <row r="2198" customFormat="false" ht="15" hidden="false" customHeight="false" outlineLevel="0" collapsed="false">
      <c r="A2198" s="31" t="str">
        <f aca="false">Demand_History!C2198</f>
        <v>BED-002</v>
      </c>
      <c r="B2198" s="31" t="n">
        <f aca="false">Demand_History!A2198</f>
        <v>13</v>
      </c>
      <c r="C2198" s="32" t="n">
        <f aca="false">Demand_History!D2198</f>
        <v>95</v>
      </c>
      <c r="D2198" s="33" t="n">
        <f aca="false">IF(B2198&gt;=2,C2197,"")</f>
        <v>73</v>
      </c>
      <c r="E2198" s="33" t="n">
        <f aca="false">IF(B2198&gt;=5,AVERAGE(C2194:C2197),"")</f>
        <v>80.25</v>
      </c>
      <c r="F2198" s="33" t="n">
        <f aca="false">IF(B2198&gt;=9,AVERAGE(C2190:C2197),"")</f>
        <v>78.875</v>
      </c>
      <c r="G2198" s="33" t="n">
        <f aca="false">IF(B2198=1,"",IF(B2198=2,C2197,SES_Alpha*C2197+(1-SES_Alpha)*G2197))</f>
        <v>78.28836663628</v>
      </c>
      <c r="H2198" s="33" t="n">
        <f aca="false">IF(D2198="","",D2198-C2198)</f>
        <v>-22</v>
      </c>
      <c r="I2198" s="33" t="n">
        <f aca="false">IF(E2198="","",E2198-C2198)</f>
        <v>-14.75</v>
      </c>
      <c r="J2198" s="33" t="n">
        <f aca="false">IF(F2198="","",F2198-C2198)</f>
        <v>-16.125</v>
      </c>
      <c r="K2198" s="33" t="n">
        <f aca="false">IF(G2198="","",G2198-C2198)</f>
        <v>-16.71163336372</v>
      </c>
      <c r="L2198" s="33" t="n">
        <f aca="false">IF(H2198="","",ABS(H2198))</f>
        <v>22</v>
      </c>
      <c r="M2198" s="33" t="n">
        <f aca="false">IF(I2198="","",ABS(I2198))</f>
        <v>14.75</v>
      </c>
      <c r="N2198" s="33" t="n">
        <f aca="false">IF(J2198="","",ABS(J2198))</f>
        <v>16.125</v>
      </c>
      <c r="O2198" s="33" t="n">
        <f aca="false">IF(K2198="","",ABS(K2198))</f>
        <v>16.71163336372</v>
      </c>
      <c r="P2198" s="34" t="str">
        <f aca="false">IF(B2198&gt;=Eval_Start_Week,"YES","")</f>
        <v/>
      </c>
      <c r="Q2198" s="34" t="str">
        <f aca="false">IF(AND(B2198&gt;=Cal_Start_Week,B2198&lt;=Cal_End_Week),"YES","")</f>
        <v/>
      </c>
    </row>
    <row r="2199" customFormat="false" ht="15" hidden="false" customHeight="false" outlineLevel="0" collapsed="false">
      <c r="A2199" s="31" t="str">
        <f aca="false">Demand_History!C2199</f>
        <v>BED-002</v>
      </c>
      <c r="B2199" s="31" t="n">
        <f aca="false">Demand_History!A2199</f>
        <v>14</v>
      </c>
      <c r="C2199" s="32" t="n">
        <f aca="false">Demand_History!D2199</f>
        <v>66</v>
      </c>
      <c r="D2199" s="33" t="n">
        <f aca="false">IF(B2199&gt;=2,C2198,"")</f>
        <v>95</v>
      </c>
      <c r="E2199" s="33" t="n">
        <f aca="false">IF(B2199&gt;=5,AVERAGE(C2195:C2198),"")</f>
        <v>81</v>
      </c>
      <c r="F2199" s="33" t="n">
        <f aca="false">IF(B2199&gt;=9,AVERAGE(C2191:C2198),"")</f>
        <v>80.375</v>
      </c>
      <c r="G2199" s="33" t="n">
        <f aca="false">IF(B2199=1,"",IF(B2199=2,C2198,SES_Alpha*C2198+(1-SES_Alpha)*G2198))</f>
        <v>83.301856645396</v>
      </c>
      <c r="H2199" s="33" t="n">
        <f aca="false">IF(D2199="","",D2199-C2199)</f>
        <v>29</v>
      </c>
      <c r="I2199" s="33" t="n">
        <f aca="false">IF(E2199="","",E2199-C2199)</f>
        <v>15</v>
      </c>
      <c r="J2199" s="33" t="n">
        <f aca="false">IF(F2199="","",F2199-C2199)</f>
        <v>14.375</v>
      </c>
      <c r="K2199" s="33" t="n">
        <f aca="false">IF(G2199="","",G2199-C2199)</f>
        <v>17.301856645396</v>
      </c>
      <c r="L2199" s="33" t="n">
        <f aca="false">IF(H2199="","",ABS(H2199))</f>
        <v>29</v>
      </c>
      <c r="M2199" s="33" t="n">
        <f aca="false">IF(I2199="","",ABS(I2199))</f>
        <v>15</v>
      </c>
      <c r="N2199" s="33" t="n">
        <f aca="false">IF(J2199="","",ABS(J2199))</f>
        <v>14.375</v>
      </c>
      <c r="O2199" s="33" t="n">
        <f aca="false">IF(K2199="","",ABS(K2199))</f>
        <v>17.301856645396</v>
      </c>
      <c r="P2199" s="34" t="str">
        <f aca="false">IF(B2199&gt;=Eval_Start_Week,"YES","")</f>
        <v/>
      </c>
      <c r="Q2199" s="34" t="str">
        <f aca="false">IF(AND(B2199&gt;=Cal_Start_Week,B2199&lt;=Cal_End_Week),"YES","")</f>
        <v/>
      </c>
    </row>
    <row r="2200" customFormat="false" ht="15" hidden="false" customHeight="false" outlineLevel="0" collapsed="false">
      <c r="A2200" s="31" t="str">
        <f aca="false">Demand_History!C2200</f>
        <v>BED-002</v>
      </c>
      <c r="B2200" s="31" t="n">
        <f aca="false">Demand_History!A2200</f>
        <v>15</v>
      </c>
      <c r="C2200" s="32" t="n">
        <f aca="false">Demand_History!D2200</f>
        <v>81</v>
      </c>
      <c r="D2200" s="33" t="n">
        <f aca="false">IF(B2200&gt;=2,C2199,"")</f>
        <v>66</v>
      </c>
      <c r="E2200" s="33" t="n">
        <f aca="false">IF(B2200&gt;=5,AVERAGE(C2196:C2199),"")</f>
        <v>78.5</v>
      </c>
      <c r="F2200" s="33" t="n">
        <f aca="false">IF(B2200&gt;=9,AVERAGE(C2192:C2199),"")</f>
        <v>78.625</v>
      </c>
      <c r="G2200" s="33" t="n">
        <f aca="false">IF(B2200=1,"",IF(B2200=2,C2199,SES_Alpha*C2199+(1-SES_Alpha)*G2199))</f>
        <v>78.1112996517772</v>
      </c>
      <c r="H2200" s="33" t="n">
        <f aca="false">IF(D2200="","",D2200-C2200)</f>
        <v>-15</v>
      </c>
      <c r="I2200" s="33" t="n">
        <f aca="false">IF(E2200="","",E2200-C2200)</f>
        <v>-2.5</v>
      </c>
      <c r="J2200" s="33" t="n">
        <f aca="false">IF(F2200="","",F2200-C2200)</f>
        <v>-2.375</v>
      </c>
      <c r="K2200" s="33" t="n">
        <f aca="false">IF(G2200="","",G2200-C2200)</f>
        <v>-2.88870034822281</v>
      </c>
      <c r="L2200" s="33" t="n">
        <f aca="false">IF(H2200="","",ABS(H2200))</f>
        <v>15</v>
      </c>
      <c r="M2200" s="33" t="n">
        <f aca="false">IF(I2200="","",ABS(I2200))</f>
        <v>2.5</v>
      </c>
      <c r="N2200" s="33" t="n">
        <f aca="false">IF(J2200="","",ABS(J2200))</f>
        <v>2.375</v>
      </c>
      <c r="O2200" s="33" t="n">
        <f aca="false">IF(K2200="","",ABS(K2200))</f>
        <v>2.88870034822281</v>
      </c>
      <c r="P2200" s="34" t="str">
        <f aca="false">IF(B2200&gt;=Eval_Start_Week,"YES","")</f>
        <v/>
      </c>
      <c r="Q2200" s="34" t="str">
        <f aca="false">IF(AND(B2200&gt;=Cal_Start_Week,B2200&lt;=Cal_End_Week),"YES","")</f>
        <v/>
      </c>
    </row>
    <row r="2201" customFormat="false" ht="15" hidden="false" customHeight="false" outlineLevel="0" collapsed="false">
      <c r="A2201" s="31" t="str">
        <f aca="false">Demand_History!C2201</f>
        <v>BED-002</v>
      </c>
      <c r="B2201" s="31" t="n">
        <f aca="false">Demand_History!A2201</f>
        <v>16</v>
      </c>
      <c r="C2201" s="32" t="n">
        <f aca="false">Demand_History!D2201</f>
        <v>109</v>
      </c>
      <c r="D2201" s="33" t="n">
        <f aca="false">IF(B2201&gt;=2,C2200,"")</f>
        <v>81</v>
      </c>
      <c r="E2201" s="33" t="n">
        <f aca="false">IF(B2201&gt;=5,AVERAGE(C2197:C2200),"")</f>
        <v>78.75</v>
      </c>
      <c r="F2201" s="33" t="n">
        <f aca="false">IF(B2201&gt;=9,AVERAGE(C2193:C2200),"")</f>
        <v>81.5</v>
      </c>
      <c r="G2201" s="33" t="n">
        <f aca="false">IF(B2201=1,"",IF(B2201=2,C2200,SES_Alpha*C2200+(1-SES_Alpha)*G2200))</f>
        <v>78.977909756244</v>
      </c>
      <c r="H2201" s="33" t="n">
        <f aca="false">IF(D2201="","",D2201-C2201)</f>
        <v>-28</v>
      </c>
      <c r="I2201" s="33" t="n">
        <f aca="false">IF(E2201="","",E2201-C2201)</f>
        <v>-30.25</v>
      </c>
      <c r="J2201" s="33" t="n">
        <f aca="false">IF(F2201="","",F2201-C2201)</f>
        <v>-27.5</v>
      </c>
      <c r="K2201" s="33" t="n">
        <f aca="false">IF(G2201="","",G2201-C2201)</f>
        <v>-30.022090243756</v>
      </c>
      <c r="L2201" s="33" t="n">
        <f aca="false">IF(H2201="","",ABS(H2201))</f>
        <v>28</v>
      </c>
      <c r="M2201" s="33" t="n">
        <f aca="false">IF(I2201="","",ABS(I2201))</f>
        <v>30.25</v>
      </c>
      <c r="N2201" s="33" t="n">
        <f aca="false">IF(J2201="","",ABS(J2201))</f>
        <v>27.5</v>
      </c>
      <c r="O2201" s="33" t="n">
        <f aca="false">IF(K2201="","",ABS(K2201))</f>
        <v>30.022090243756</v>
      </c>
      <c r="P2201" s="34" t="str">
        <f aca="false">IF(B2201&gt;=Eval_Start_Week,"YES","")</f>
        <v/>
      </c>
      <c r="Q2201" s="34" t="str">
        <f aca="false">IF(AND(B2201&gt;=Cal_Start_Week,B2201&lt;=Cal_End_Week),"YES","")</f>
        <v/>
      </c>
    </row>
    <row r="2202" customFormat="false" ht="15" hidden="false" customHeight="false" outlineLevel="0" collapsed="false">
      <c r="A2202" s="31" t="str">
        <f aca="false">Demand_History!C2202</f>
        <v>BED-002</v>
      </c>
      <c r="B2202" s="31" t="n">
        <f aca="false">Demand_History!A2202</f>
        <v>17</v>
      </c>
      <c r="C2202" s="32" t="n">
        <f aca="false">Demand_History!D2202</f>
        <v>86</v>
      </c>
      <c r="D2202" s="33" t="n">
        <f aca="false">IF(B2202&gt;=2,C2201,"")</f>
        <v>109</v>
      </c>
      <c r="E2202" s="33" t="n">
        <f aca="false">IF(B2202&gt;=5,AVERAGE(C2198:C2201),"")</f>
        <v>87.75</v>
      </c>
      <c r="F2202" s="33" t="n">
        <f aca="false">IF(B2202&gt;=9,AVERAGE(C2194:C2201),"")</f>
        <v>84</v>
      </c>
      <c r="G2202" s="33" t="n">
        <f aca="false">IF(B2202=1,"",IF(B2202=2,C2201,SES_Alpha*C2201+(1-SES_Alpha)*G2201))</f>
        <v>87.9845368293708</v>
      </c>
      <c r="H2202" s="33" t="n">
        <f aca="false">IF(D2202="","",D2202-C2202)</f>
        <v>23</v>
      </c>
      <c r="I2202" s="33" t="n">
        <f aca="false">IF(E2202="","",E2202-C2202)</f>
        <v>1.75</v>
      </c>
      <c r="J2202" s="33" t="n">
        <f aca="false">IF(F2202="","",F2202-C2202)</f>
        <v>-2</v>
      </c>
      <c r="K2202" s="33" t="n">
        <f aca="false">IF(G2202="","",G2202-C2202)</f>
        <v>1.98453682937082</v>
      </c>
      <c r="L2202" s="33" t="n">
        <f aca="false">IF(H2202="","",ABS(H2202))</f>
        <v>23</v>
      </c>
      <c r="M2202" s="33" t="n">
        <f aca="false">IF(I2202="","",ABS(I2202))</f>
        <v>1.75</v>
      </c>
      <c r="N2202" s="33" t="n">
        <f aca="false">IF(J2202="","",ABS(J2202))</f>
        <v>2</v>
      </c>
      <c r="O2202" s="33" t="n">
        <f aca="false">IF(K2202="","",ABS(K2202))</f>
        <v>1.98453682937082</v>
      </c>
      <c r="P2202" s="34" t="str">
        <f aca="false">IF(B2202&gt;=Eval_Start_Week,"YES","")</f>
        <v/>
      </c>
      <c r="Q2202" s="34" t="str">
        <f aca="false">IF(AND(B2202&gt;=Cal_Start_Week,B2202&lt;=Cal_End_Week),"YES","")</f>
        <v/>
      </c>
    </row>
    <row r="2203" customFormat="false" ht="15" hidden="false" customHeight="false" outlineLevel="0" collapsed="false">
      <c r="A2203" s="31" t="str">
        <f aca="false">Demand_History!C2203</f>
        <v>BED-002</v>
      </c>
      <c r="B2203" s="31" t="n">
        <f aca="false">Demand_History!A2203</f>
        <v>18</v>
      </c>
      <c r="C2203" s="32" t="n">
        <f aca="false">Demand_History!D2203</f>
        <v>91</v>
      </c>
      <c r="D2203" s="33" t="n">
        <f aca="false">IF(B2203&gt;=2,C2202,"")</f>
        <v>86</v>
      </c>
      <c r="E2203" s="33" t="n">
        <f aca="false">IF(B2203&gt;=5,AVERAGE(C2199:C2202),"")</f>
        <v>85.5</v>
      </c>
      <c r="F2203" s="33" t="n">
        <f aca="false">IF(B2203&gt;=9,AVERAGE(C2195:C2202),"")</f>
        <v>83.25</v>
      </c>
      <c r="G2203" s="33" t="n">
        <f aca="false">IF(B2203=1,"",IF(B2203=2,C2202,SES_Alpha*C2202+(1-SES_Alpha)*G2202))</f>
        <v>87.3891757805596</v>
      </c>
      <c r="H2203" s="33" t="n">
        <f aca="false">IF(D2203="","",D2203-C2203)</f>
        <v>-5</v>
      </c>
      <c r="I2203" s="33" t="n">
        <f aca="false">IF(E2203="","",E2203-C2203)</f>
        <v>-5.5</v>
      </c>
      <c r="J2203" s="33" t="n">
        <f aca="false">IF(F2203="","",F2203-C2203)</f>
        <v>-7.75</v>
      </c>
      <c r="K2203" s="33" t="n">
        <f aca="false">IF(G2203="","",G2203-C2203)</f>
        <v>-3.61082421944043</v>
      </c>
      <c r="L2203" s="33" t="n">
        <f aca="false">IF(H2203="","",ABS(H2203))</f>
        <v>5</v>
      </c>
      <c r="M2203" s="33" t="n">
        <f aca="false">IF(I2203="","",ABS(I2203))</f>
        <v>5.5</v>
      </c>
      <c r="N2203" s="33" t="n">
        <f aca="false">IF(J2203="","",ABS(J2203))</f>
        <v>7.75</v>
      </c>
      <c r="O2203" s="33" t="n">
        <f aca="false">IF(K2203="","",ABS(K2203))</f>
        <v>3.61082421944043</v>
      </c>
      <c r="P2203" s="34" t="str">
        <f aca="false">IF(B2203&gt;=Eval_Start_Week,"YES","")</f>
        <v/>
      </c>
      <c r="Q2203" s="34" t="str">
        <f aca="false">IF(AND(B2203&gt;=Cal_Start_Week,B2203&lt;=Cal_End_Week),"YES","")</f>
        <v/>
      </c>
    </row>
    <row r="2204" customFormat="false" ht="15" hidden="false" customHeight="false" outlineLevel="0" collapsed="false">
      <c r="A2204" s="31" t="str">
        <f aca="false">Demand_History!C2204</f>
        <v>BED-002</v>
      </c>
      <c r="B2204" s="31" t="n">
        <f aca="false">Demand_History!A2204</f>
        <v>19</v>
      </c>
      <c r="C2204" s="32" t="n">
        <f aca="false">Demand_History!D2204</f>
        <v>83</v>
      </c>
      <c r="D2204" s="33" t="n">
        <f aca="false">IF(B2204&gt;=2,C2203,"")</f>
        <v>91</v>
      </c>
      <c r="E2204" s="33" t="n">
        <f aca="false">IF(B2204&gt;=5,AVERAGE(C2200:C2203),"")</f>
        <v>91.75</v>
      </c>
      <c r="F2204" s="33" t="n">
        <f aca="false">IF(B2204&gt;=9,AVERAGE(C2196:C2203),"")</f>
        <v>85.125</v>
      </c>
      <c r="G2204" s="33" t="n">
        <f aca="false">IF(B2204=1,"",IF(B2204=2,C2203,SES_Alpha*C2203+(1-SES_Alpha)*G2203))</f>
        <v>88.4724230463917</v>
      </c>
      <c r="H2204" s="33" t="n">
        <f aca="false">IF(D2204="","",D2204-C2204)</f>
        <v>8</v>
      </c>
      <c r="I2204" s="33" t="n">
        <f aca="false">IF(E2204="","",E2204-C2204)</f>
        <v>8.75</v>
      </c>
      <c r="J2204" s="33" t="n">
        <f aca="false">IF(F2204="","",F2204-C2204)</f>
        <v>2.125</v>
      </c>
      <c r="K2204" s="33" t="n">
        <f aca="false">IF(G2204="","",G2204-C2204)</f>
        <v>5.4724230463917</v>
      </c>
      <c r="L2204" s="33" t="n">
        <f aca="false">IF(H2204="","",ABS(H2204))</f>
        <v>8</v>
      </c>
      <c r="M2204" s="33" t="n">
        <f aca="false">IF(I2204="","",ABS(I2204))</f>
        <v>8.75</v>
      </c>
      <c r="N2204" s="33" t="n">
        <f aca="false">IF(J2204="","",ABS(J2204))</f>
        <v>2.125</v>
      </c>
      <c r="O2204" s="33" t="n">
        <f aca="false">IF(K2204="","",ABS(K2204))</f>
        <v>5.4724230463917</v>
      </c>
      <c r="P2204" s="34" t="str">
        <f aca="false">IF(B2204&gt;=Eval_Start_Week,"YES","")</f>
        <v/>
      </c>
      <c r="Q2204" s="34" t="str">
        <f aca="false">IF(AND(B2204&gt;=Cal_Start_Week,B2204&lt;=Cal_End_Week),"YES","")</f>
        <v/>
      </c>
    </row>
    <row r="2205" customFormat="false" ht="15" hidden="false" customHeight="false" outlineLevel="0" collapsed="false">
      <c r="A2205" s="31" t="str">
        <f aca="false">Demand_History!C2205</f>
        <v>BED-002</v>
      </c>
      <c r="B2205" s="31" t="n">
        <f aca="false">Demand_History!A2205</f>
        <v>20</v>
      </c>
      <c r="C2205" s="32" t="n">
        <f aca="false">Demand_History!D2205</f>
        <v>70</v>
      </c>
      <c r="D2205" s="33" t="n">
        <f aca="false">IF(B2205&gt;=2,C2204,"")</f>
        <v>83</v>
      </c>
      <c r="E2205" s="33" t="n">
        <f aca="false">IF(B2205&gt;=5,AVERAGE(C2201:C2204),"")</f>
        <v>92.25</v>
      </c>
      <c r="F2205" s="33" t="n">
        <f aca="false">IF(B2205&gt;=9,AVERAGE(C2197:C2204),"")</f>
        <v>85.5</v>
      </c>
      <c r="G2205" s="33" t="n">
        <f aca="false">IF(B2205=1,"",IF(B2205=2,C2204,SES_Alpha*C2204+(1-SES_Alpha)*G2204))</f>
        <v>86.8306961324742</v>
      </c>
      <c r="H2205" s="33" t="n">
        <f aca="false">IF(D2205="","",D2205-C2205)</f>
        <v>13</v>
      </c>
      <c r="I2205" s="33" t="n">
        <f aca="false">IF(E2205="","",E2205-C2205)</f>
        <v>22.25</v>
      </c>
      <c r="J2205" s="33" t="n">
        <f aca="false">IF(F2205="","",F2205-C2205)</f>
        <v>15.5</v>
      </c>
      <c r="K2205" s="33" t="n">
        <f aca="false">IF(G2205="","",G2205-C2205)</f>
        <v>16.8306961324742</v>
      </c>
      <c r="L2205" s="33" t="n">
        <f aca="false">IF(H2205="","",ABS(H2205))</f>
        <v>13</v>
      </c>
      <c r="M2205" s="33" t="n">
        <f aca="false">IF(I2205="","",ABS(I2205))</f>
        <v>22.25</v>
      </c>
      <c r="N2205" s="33" t="n">
        <f aca="false">IF(J2205="","",ABS(J2205))</f>
        <v>15.5</v>
      </c>
      <c r="O2205" s="33" t="n">
        <f aca="false">IF(K2205="","",ABS(K2205))</f>
        <v>16.8306961324742</v>
      </c>
      <c r="P2205" s="34" t="str">
        <f aca="false">IF(B2205&gt;=Eval_Start_Week,"YES","")</f>
        <v/>
      </c>
      <c r="Q2205" s="34" t="str">
        <f aca="false">IF(AND(B2205&gt;=Cal_Start_Week,B2205&lt;=Cal_End_Week),"YES","")</f>
        <v/>
      </c>
    </row>
    <row r="2206" customFormat="false" ht="15" hidden="false" customHeight="false" outlineLevel="0" collapsed="false">
      <c r="A2206" s="31" t="str">
        <f aca="false">Demand_History!C2206</f>
        <v>BED-002</v>
      </c>
      <c r="B2206" s="31" t="n">
        <f aca="false">Demand_History!A2206</f>
        <v>21</v>
      </c>
      <c r="C2206" s="32" t="n">
        <f aca="false">Demand_History!D2206</f>
        <v>85</v>
      </c>
      <c r="D2206" s="33" t="n">
        <f aca="false">IF(B2206&gt;=2,C2205,"")</f>
        <v>70</v>
      </c>
      <c r="E2206" s="33" t="n">
        <f aca="false">IF(B2206&gt;=5,AVERAGE(C2202:C2205),"")</f>
        <v>82.5</v>
      </c>
      <c r="F2206" s="33" t="n">
        <f aca="false">IF(B2206&gt;=9,AVERAGE(C2198:C2205),"")</f>
        <v>85.125</v>
      </c>
      <c r="G2206" s="33" t="n">
        <f aca="false">IF(B2206=1,"",IF(B2206=2,C2205,SES_Alpha*C2205+(1-SES_Alpha)*G2205))</f>
        <v>81.7814872927319</v>
      </c>
      <c r="H2206" s="33" t="n">
        <f aca="false">IF(D2206="","",D2206-C2206)</f>
        <v>-15</v>
      </c>
      <c r="I2206" s="33" t="n">
        <f aca="false">IF(E2206="","",E2206-C2206)</f>
        <v>-2.5</v>
      </c>
      <c r="J2206" s="33" t="n">
        <f aca="false">IF(F2206="","",F2206-C2206)</f>
        <v>0.125</v>
      </c>
      <c r="K2206" s="33" t="n">
        <f aca="false">IF(G2206="","",G2206-C2206)</f>
        <v>-3.21851270726808</v>
      </c>
      <c r="L2206" s="33" t="n">
        <f aca="false">IF(H2206="","",ABS(H2206))</f>
        <v>15</v>
      </c>
      <c r="M2206" s="33" t="n">
        <f aca="false">IF(I2206="","",ABS(I2206))</f>
        <v>2.5</v>
      </c>
      <c r="N2206" s="33" t="n">
        <f aca="false">IF(J2206="","",ABS(J2206))</f>
        <v>0.125</v>
      </c>
      <c r="O2206" s="33" t="n">
        <f aca="false">IF(K2206="","",ABS(K2206))</f>
        <v>3.21851270726808</v>
      </c>
      <c r="P2206" s="34" t="str">
        <f aca="false">IF(B2206&gt;=Eval_Start_Week,"YES","")</f>
        <v/>
      </c>
      <c r="Q2206" s="34" t="str">
        <f aca="false">IF(AND(B2206&gt;=Cal_Start_Week,B2206&lt;=Cal_End_Week),"YES","")</f>
        <v/>
      </c>
    </row>
    <row r="2207" customFormat="false" ht="15" hidden="false" customHeight="false" outlineLevel="0" collapsed="false">
      <c r="A2207" s="31" t="str">
        <f aca="false">Demand_History!C2207</f>
        <v>BED-002</v>
      </c>
      <c r="B2207" s="31" t="n">
        <f aca="false">Demand_History!A2207</f>
        <v>22</v>
      </c>
      <c r="C2207" s="32" t="n">
        <f aca="false">Demand_History!D2207</f>
        <v>90</v>
      </c>
      <c r="D2207" s="33" t="n">
        <f aca="false">IF(B2207&gt;=2,C2206,"")</f>
        <v>85</v>
      </c>
      <c r="E2207" s="33" t="n">
        <f aca="false">IF(B2207&gt;=5,AVERAGE(C2203:C2206),"")</f>
        <v>82.25</v>
      </c>
      <c r="F2207" s="33" t="n">
        <f aca="false">IF(B2207&gt;=9,AVERAGE(C2199:C2206),"")</f>
        <v>83.875</v>
      </c>
      <c r="G2207" s="33" t="n">
        <f aca="false">IF(B2207=1,"",IF(B2207=2,C2206,SES_Alpha*C2206+(1-SES_Alpha)*G2206))</f>
        <v>82.7470411049123</v>
      </c>
      <c r="H2207" s="33" t="n">
        <f aca="false">IF(D2207="","",D2207-C2207)</f>
        <v>-5</v>
      </c>
      <c r="I2207" s="33" t="n">
        <f aca="false">IF(E2207="","",E2207-C2207)</f>
        <v>-7.75</v>
      </c>
      <c r="J2207" s="33" t="n">
        <f aca="false">IF(F2207="","",F2207-C2207)</f>
        <v>-6.125</v>
      </c>
      <c r="K2207" s="33" t="n">
        <f aca="false">IF(G2207="","",G2207-C2207)</f>
        <v>-7.25295889508766</v>
      </c>
      <c r="L2207" s="33" t="n">
        <f aca="false">IF(H2207="","",ABS(H2207))</f>
        <v>5</v>
      </c>
      <c r="M2207" s="33" t="n">
        <f aca="false">IF(I2207="","",ABS(I2207))</f>
        <v>7.75</v>
      </c>
      <c r="N2207" s="33" t="n">
        <f aca="false">IF(J2207="","",ABS(J2207))</f>
        <v>6.125</v>
      </c>
      <c r="O2207" s="33" t="n">
        <f aca="false">IF(K2207="","",ABS(K2207))</f>
        <v>7.25295889508766</v>
      </c>
      <c r="P2207" s="34" t="str">
        <f aca="false">IF(B2207&gt;=Eval_Start_Week,"YES","")</f>
        <v/>
      </c>
      <c r="Q2207" s="34" t="str">
        <f aca="false">IF(AND(B2207&gt;=Cal_Start_Week,B2207&lt;=Cal_End_Week),"YES","")</f>
        <v/>
      </c>
    </row>
    <row r="2208" customFormat="false" ht="15" hidden="false" customHeight="false" outlineLevel="0" collapsed="false">
      <c r="A2208" s="31" t="str">
        <f aca="false">Demand_History!C2208</f>
        <v>BED-002</v>
      </c>
      <c r="B2208" s="31" t="n">
        <f aca="false">Demand_History!A2208</f>
        <v>23</v>
      </c>
      <c r="C2208" s="32" t="n">
        <f aca="false">Demand_History!D2208</f>
        <v>72</v>
      </c>
      <c r="D2208" s="33" t="n">
        <f aca="false">IF(B2208&gt;=2,C2207,"")</f>
        <v>90</v>
      </c>
      <c r="E2208" s="33" t="n">
        <f aca="false">IF(B2208&gt;=5,AVERAGE(C2204:C2207),"")</f>
        <v>82</v>
      </c>
      <c r="F2208" s="33" t="n">
        <f aca="false">IF(B2208&gt;=9,AVERAGE(C2200:C2207),"")</f>
        <v>86.875</v>
      </c>
      <c r="G2208" s="33" t="n">
        <f aca="false">IF(B2208=1,"",IF(B2208=2,C2207,SES_Alpha*C2207+(1-SES_Alpha)*G2207))</f>
        <v>84.9229287734386</v>
      </c>
      <c r="H2208" s="33" t="n">
        <f aca="false">IF(D2208="","",D2208-C2208)</f>
        <v>18</v>
      </c>
      <c r="I2208" s="33" t="n">
        <f aca="false">IF(E2208="","",E2208-C2208)</f>
        <v>10</v>
      </c>
      <c r="J2208" s="33" t="n">
        <f aca="false">IF(F2208="","",F2208-C2208)</f>
        <v>14.875</v>
      </c>
      <c r="K2208" s="33" t="n">
        <f aca="false">IF(G2208="","",G2208-C2208)</f>
        <v>12.9229287734386</v>
      </c>
      <c r="L2208" s="33" t="n">
        <f aca="false">IF(H2208="","",ABS(H2208))</f>
        <v>18</v>
      </c>
      <c r="M2208" s="33" t="n">
        <f aca="false">IF(I2208="","",ABS(I2208))</f>
        <v>10</v>
      </c>
      <c r="N2208" s="33" t="n">
        <f aca="false">IF(J2208="","",ABS(J2208))</f>
        <v>14.875</v>
      </c>
      <c r="O2208" s="33" t="n">
        <f aca="false">IF(K2208="","",ABS(K2208))</f>
        <v>12.9229287734386</v>
      </c>
      <c r="P2208" s="34" t="str">
        <f aca="false">IF(B2208&gt;=Eval_Start_Week,"YES","")</f>
        <v/>
      </c>
      <c r="Q2208" s="34" t="str">
        <f aca="false">IF(AND(B2208&gt;=Cal_Start_Week,B2208&lt;=Cal_End_Week),"YES","")</f>
        <v/>
      </c>
    </row>
    <row r="2209" customFormat="false" ht="15" hidden="false" customHeight="false" outlineLevel="0" collapsed="false">
      <c r="A2209" s="31" t="str">
        <f aca="false">Demand_History!C2209</f>
        <v>BED-002</v>
      </c>
      <c r="B2209" s="31" t="n">
        <f aca="false">Demand_History!A2209</f>
        <v>24</v>
      </c>
      <c r="C2209" s="32" t="n">
        <f aca="false">Demand_History!D2209</f>
        <v>89</v>
      </c>
      <c r="D2209" s="33" t="n">
        <f aca="false">IF(B2209&gt;=2,C2208,"")</f>
        <v>72</v>
      </c>
      <c r="E2209" s="33" t="n">
        <f aca="false">IF(B2209&gt;=5,AVERAGE(C2205:C2208),"")</f>
        <v>79.25</v>
      </c>
      <c r="F2209" s="33" t="n">
        <f aca="false">IF(B2209&gt;=9,AVERAGE(C2201:C2208),"")</f>
        <v>85.75</v>
      </c>
      <c r="G2209" s="33" t="n">
        <f aca="false">IF(B2209=1,"",IF(B2209=2,C2208,SES_Alpha*C2208+(1-SES_Alpha)*G2208))</f>
        <v>81.046050141407</v>
      </c>
      <c r="H2209" s="33" t="n">
        <f aca="false">IF(D2209="","",D2209-C2209)</f>
        <v>-17</v>
      </c>
      <c r="I2209" s="33" t="n">
        <f aca="false">IF(E2209="","",E2209-C2209)</f>
        <v>-9.75</v>
      </c>
      <c r="J2209" s="33" t="n">
        <f aca="false">IF(F2209="","",F2209-C2209)</f>
        <v>-3.25</v>
      </c>
      <c r="K2209" s="33" t="n">
        <f aca="false">IF(G2209="","",G2209-C2209)</f>
        <v>-7.95394985859296</v>
      </c>
      <c r="L2209" s="33" t="n">
        <f aca="false">IF(H2209="","",ABS(H2209))</f>
        <v>17</v>
      </c>
      <c r="M2209" s="33" t="n">
        <f aca="false">IF(I2209="","",ABS(I2209))</f>
        <v>9.75</v>
      </c>
      <c r="N2209" s="33" t="n">
        <f aca="false">IF(J2209="","",ABS(J2209))</f>
        <v>3.25</v>
      </c>
      <c r="O2209" s="33" t="n">
        <f aca="false">IF(K2209="","",ABS(K2209))</f>
        <v>7.95394985859296</v>
      </c>
      <c r="P2209" s="34" t="str">
        <f aca="false">IF(B2209&gt;=Eval_Start_Week,"YES","")</f>
        <v/>
      </c>
      <c r="Q2209" s="34" t="str">
        <f aca="false">IF(AND(B2209&gt;=Cal_Start_Week,B2209&lt;=Cal_End_Week),"YES","")</f>
        <v/>
      </c>
    </row>
    <row r="2210" customFormat="false" ht="15" hidden="false" customHeight="false" outlineLevel="0" collapsed="false">
      <c r="A2210" s="31" t="str">
        <f aca="false">Demand_History!C2210</f>
        <v>BED-002</v>
      </c>
      <c r="B2210" s="31" t="n">
        <f aca="false">Demand_History!A2210</f>
        <v>25</v>
      </c>
      <c r="C2210" s="32" t="n">
        <f aca="false">Demand_History!D2210</f>
        <v>101</v>
      </c>
      <c r="D2210" s="33" t="n">
        <f aca="false">IF(B2210&gt;=2,C2209,"")</f>
        <v>89</v>
      </c>
      <c r="E2210" s="33" t="n">
        <f aca="false">IF(B2210&gt;=5,AVERAGE(C2206:C2209),"")</f>
        <v>84</v>
      </c>
      <c r="F2210" s="33" t="n">
        <f aca="false">IF(B2210&gt;=9,AVERAGE(C2202:C2209),"")</f>
        <v>83.25</v>
      </c>
      <c r="G2210" s="33" t="n">
        <f aca="false">IF(B2210=1,"",IF(B2210=2,C2209,SES_Alpha*C2209+(1-SES_Alpha)*G2209))</f>
        <v>83.4322350989849</v>
      </c>
      <c r="H2210" s="33" t="n">
        <f aca="false">IF(D2210="","",D2210-C2210)</f>
        <v>-12</v>
      </c>
      <c r="I2210" s="33" t="n">
        <f aca="false">IF(E2210="","",E2210-C2210)</f>
        <v>-17</v>
      </c>
      <c r="J2210" s="33" t="n">
        <f aca="false">IF(F2210="","",F2210-C2210)</f>
        <v>-17.75</v>
      </c>
      <c r="K2210" s="33" t="n">
        <f aca="false">IF(G2210="","",G2210-C2210)</f>
        <v>-17.5677649010151</v>
      </c>
      <c r="L2210" s="33" t="n">
        <f aca="false">IF(H2210="","",ABS(H2210))</f>
        <v>12</v>
      </c>
      <c r="M2210" s="33" t="n">
        <f aca="false">IF(I2210="","",ABS(I2210))</f>
        <v>17</v>
      </c>
      <c r="N2210" s="33" t="n">
        <f aca="false">IF(J2210="","",ABS(J2210))</f>
        <v>17.75</v>
      </c>
      <c r="O2210" s="33" t="n">
        <f aca="false">IF(K2210="","",ABS(K2210))</f>
        <v>17.5677649010151</v>
      </c>
      <c r="P2210" s="34" t="str">
        <f aca="false">IF(B2210&gt;=Eval_Start_Week,"YES","")</f>
        <v/>
      </c>
      <c r="Q2210" s="34" t="str">
        <f aca="false">IF(AND(B2210&gt;=Cal_Start_Week,B2210&lt;=Cal_End_Week),"YES","")</f>
        <v/>
      </c>
    </row>
    <row r="2211" customFormat="false" ht="15" hidden="false" customHeight="false" outlineLevel="0" collapsed="false">
      <c r="A2211" s="31" t="str">
        <f aca="false">Demand_History!C2211</f>
        <v>BED-002</v>
      </c>
      <c r="B2211" s="31" t="n">
        <f aca="false">Demand_History!A2211</f>
        <v>26</v>
      </c>
      <c r="C2211" s="32" t="n">
        <f aca="false">Demand_History!D2211</f>
        <v>98</v>
      </c>
      <c r="D2211" s="33" t="n">
        <f aca="false">IF(B2211&gt;=2,C2210,"")</f>
        <v>101</v>
      </c>
      <c r="E2211" s="33" t="n">
        <f aca="false">IF(B2211&gt;=5,AVERAGE(C2207:C2210),"")</f>
        <v>88</v>
      </c>
      <c r="F2211" s="33" t="n">
        <f aca="false">IF(B2211&gt;=9,AVERAGE(C2203:C2210),"")</f>
        <v>85.125</v>
      </c>
      <c r="G2211" s="33" t="n">
        <f aca="false">IF(B2211=1,"",IF(B2211=2,C2210,SES_Alpha*C2210+(1-SES_Alpha)*G2210))</f>
        <v>88.7025645692894</v>
      </c>
      <c r="H2211" s="33" t="n">
        <f aca="false">IF(D2211="","",D2211-C2211)</f>
        <v>3</v>
      </c>
      <c r="I2211" s="33" t="n">
        <f aca="false">IF(E2211="","",E2211-C2211)</f>
        <v>-10</v>
      </c>
      <c r="J2211" s="33" t="n">
        <f aca="false">IF(F2211="","",F2211-C2211)</f>
        <v>-12.875</v>
      </c>
      <c r="K2211" s="33" t="n">
        <f aca="false">IF(G2211="","",G2211-C2211)</f>
        <v>-9.29743543071056</v>
      </c>
      <c r="L2211" s="33" t="n">
        <f aca="false">IF(H2211="","",ABS(H2211))</f>
        <v>3</v>
      </c>
      <c r="M2211" s="33" t="n">
        <f aca="false">IF(I2211="","",ABS(I2211))</f>
        <v>10</v>
      </c>
      <c r="N2211" s="33" t="n">
        <f aca="false">IF(J2211="","",ABS(J2211))</f>
        <v>12.875</v>
      </c>
      <c r="O2211" s="33" t="n">
        <f aca="false">IF(K2211="","",ABS(K2211))</f>
        <v>9.29743543071056</v>
      </c>
      <c r="P2211" s="34" t="str">
        <f aca="false">IF(B2211&gt;=Eval_Start_Week,"YES","")</f>
        <v/>
      </c>
      <c r="Q2211" s="34" t="str">
        <f aca="false">IF(AND(B2211&gt;=Cal_Start_Week,B2211&lt;=Cal_End_Week),"YES","")</f>
        <v/>
      </c>
    </row>
    <row r="2212" customFormat="false" ht="15" hidden="false" customHeight="false" outlineLevel="0" collapsed="false">
      <c r="A2212" s="31" t="str">
        <f aca="false">Demand_History!C2212</f>
        <v>BED-002</v>
      </c>
      <c r="B2212" s="31" t="n">
        <f aca="false">Demand_History!A2212</f>
        <v>27</v>
      </c>
      <c r="C2212" s="32" t="n">
        <f aca="false">Demand_History!D2212</f>
        <v>65</v>
      </c>
      <c r="D2212" s="33" t="n">
        <f aca="false">IF(B2212&gt;=2,C2211,"")</f>
        <v>98</v>
      </c>
      <c r="E2212" s="33" t="n">
        <f aca="false">IF(B2212&gt;=5,AVERAGE(C2208:C2211),"")</f>
        <v>90</v>
      </c>
      <c r="F2212" s="33" t="n">
        <f aca="false">IF(B2212&gt;=9,AVERAGE(C2204:C2211),"")</f>
        <v>86</v>
      </c>
      <c r="G2212" s="33" t="n">
        <f aca="false">IF(B2212=1,"",IF(B2212=2,C2211,SES_Alpha*C2211+(1-SES_Alpha)*G2211))</f>
        <v>91.4917951985026</v>
      </c>
      <c r="H2212" s="33" t="n">
        <f aca="false">IF(D2212="","",D2212-C2212)</f>
        <v>33</v>
      </c>
      <c r="I2212" s="33" t="n">
        <f aca="false">IF(E2212="","",E2212-C2212)</f>
        <v>25</v>
      </c>
      <c r="J2212" s="33" t="n">
        <f aca="false">IF(F2212="","",F2212-C2212)</f>
        <v>21</v>
      </c>
      <c r="K2212" s="33" t="n">
        <f aca="false">IF(G2212="","",G2212-C2212)</f>
        <v>26.4917951985026</v>
      </c>
      <c r="L2212" s="33" t="n">
        <f aca="false">IF(H2212="","",ABS(H2212))</f>
        <v>33</v>
      </c>
      <c r="M2212" s="33" t="n">
        <f aca="false">IF(I2212="","",ABS(I2212))</f>
        <v>25</v>
      </c>
      <c r="N2212" s="33" t="n">
        <f aca="false">IF(J2212="","",ABS(J2212))</f>
        <v>21</v>
      </c>
      <c r="O2212" s="33" t="n">
        <f aca="false">IF(K2212="","",ABS(K2212))</f>
        <v>26.4917951985026</v>
      </c>
      <c r="P2212" s="34" t="str">
        <f aca="false">IF(B2212&gt;=Eval_Start_Week,"YES","")</f>
        <v/>
      </c>
      <c r="Q2212" s="34" t="str">
        <f aca="false">IF(AND(B2212&gt;=Cal_Start_Week,B2212&lt;=Cal_End_Week),"YES","")</f>
        <v/>
      </c>
    </row>
    <row r="2213" customFormat="false" ht="15" hidden="false" customHeight="false" outlineLevel="0" collapsed="false">
      <c r="A2213" s="31" t="str">
        <f aca="false">Demand_History!C2213</f>
        <v>BED-002</v>
      </c>
      <c r="B2213" s="31" t="n">
        <f aca="false">Demand_History!A2213</f>
        <v>28</v>
      </c>
      <c r="C2213" s="32" t="n">
        <f aca="false">Demand_History!D2213</f>
        <v>73</v>
      </c>
      <c r="D2213" s="33" t="n">
        <f aca="false">IF(B2213&gt;=2,C2212,"")</f>
        <v>65</v>
      </c>
      <c r="E2213" s="33" t="n">
        <f aca="false">IF(B2213&gt;=5,AVERAGE(C2209:C2212),"")</f>
        <v>88.25</v>
      </c>
      <c r="F2213" s="33" t="n">
        <f aca="false">IF(B2213&gt;=9,AVERAGE(C2205:C2212),"")</f>
        <v>83.75</v>
      </c>
      <c r="G2213" s="33" t="n">
        <f aca="false">IF(B2213=1,"",IF(B2213=2,C2212,SES_Alpha*C2212+(1-SES_Alpha)*G2212))</f>
        <v>83.5442566389518</v>
      </c>
      <c r="H2213" s="33" t="n">
        <f aca="false">IF(D2213="","",D2213-C2213)</f>
        <v>-8</v>
      </c>
      <c r="I2213" s="33" t="n">
        <f aca="false">IF(E2213="","",E2213-C2213)</f>
        <v>15.25</v>
      </c>
      <c r="J2213" s="33" t="n">
        <f aca="false">IF(F2213="","",F2213-C2213)</f>
        <v>10.75</v>
      </c>
      <c r="K2213" s="33" t="n">
        <f aca="false">IF(G2213="","",G2213-C2213)</f>
        <v>10.5442566389518</v>
      </c>
      <c r="L2213" s="33" t="n">
        <f aca="false">IF(H2213="","",ABS(H2213))</f>
        <v>8</v>
      </c>
      <c r="M2213" s="33" t="n">
        <f aca="false">IF(I2213="","",ABS(I2213))</f>
        <v>15.25</v>
      </c>
      <c r="N2213" s="33" t="n">
        <f aca="false">IF(J2213="","",ABS(J2213))</f>
        <v>10.75</v>
      </c>
      <c r="O2213" s="33" t="n">
        <f aca="false">IF(K2213="","",ABS(K2213))</f>
        <v>10.5442566389518</v>
      </c>
      <c r="P2213" s="34" t="str">
        <f aca="false">IF(B2213&gt;=Eval_Start_Week,"YES","")</f>
        <v/>
      </c>
      <c r="Q2213" s="34" t="str">
        <f aca="false">IF(AND(B2213&gt;=Cal_Start_Week,B2213&lt;=Cal_End_Week),"YES","")</f>
        <v/>
      </c>
    </row>
    <row r="2214" customFormat="false" ht="15" hidden="false" customHeight="false" outlineLevel="0" collapsed="false">
      <c r="A2214" s="31" t="str">
        <f aca="false">Demand_History!C2214</f>
        <v>BED-002</v>
      </c>
      <c r="B2214" s="31" t="n">
        <f aca="false">Demand_History!A2214</f>
        <v>29</v>
      </c>
      <c r="C2214" s="32" t="n">
        <f aca="false">Demand_History!D2214</f>
        <v>65</v>
      </c>
      <c r="D2214" s="33" t="n">
        <f aca="false">IF(B2214&gt;=2,C2213,"")</f>
        <v>73</v>
      </c>
      <c r="E2214" s="33" t="n">
        <f aca="false">IF(B2214&gt;=5,AVERAGE(C2210:C2213),"")</f>
        <v>84.25</v>
      </c>
      <c r="F2214" s="33" t="n">
        <f aca="false">IF(B2214&gt;=9,AVERAGE(C2206:C2213),"")</f>
        <v>84.125</v>
      </c>
      <c r="G2214" s="33" t="n">
        <f aca="false">IF(B2214=1,"",IF(B2214=2,C2213,SES_Alpha*C2213+(1-SES_Alpha)*G2213))</f>
        <v>80.3809796472663</v>
      </c>
      <c r="H2214" s="33" t="n">
        <f aca="false">IF(D2214="","",D2214-C2214)</f>
        <v>8</v>
      </c>
      <c r="I2214" s="33" t="n">
        <f aca="false">IF(E2214="","",E2214-C2214)</f>
        <v>19.25</v>
      </c>
      <c r="J2214" s="33" t="n">
        <f aca="false">IF(F2214="","",F2214-C2214)</f>
        <v>19.125</v>
      </c>
      <c r="K2214" s="33" t="n">
        <f aca="false">IF(G2214="","",G2214-C2214)</f>
        <v>15.3809796472663</v>
      </c>
      <c r="L2214" s="33" t="n">
        <f aca="false">IF(H2214="","",ABS(H2214))</f>
        <v>8</v>
      </c>
      <c r="M2214" s="33" t="n">
        <f aca="false">IF(I2214="","",ABS(I2214))</f>
        <v>19.25</v>
      </c>
      <c r="N2214" s="33" t="n">
        <f aca="false">IF(J2214="","",ABS(J2214))</f>
        <v>19.125</v>
      </c>
      <c r="O2214" s="33" t="n">
        <f aca="false">IF(K2214="","",ABS(K2214))</f>
        <v>15.3809796472663</v>
      </c>
      <c r="P2214" s="34" t="str">
        <f aca="false">IF(B2214&gt;=Eval_Start_Week,"YES","")</f>
        <v/>
      </c>
      <c r="Q2214" s="34" t="str">
        <f aca="false">IF(AND(B2214&gt;=Cal_Start_Week,B2214&lt;=Cal_End_Week),"YES","")</f>
        <v/>
      </c>
    </row>
    <row r="2215" customFormat="false" ht="15" hidden="false" customHeight="false" outlineLevel="0" collapsed="false">
      <c r="A2215" s="31" t="str">
        <f aca="false">Demand_History!C2215</f>
        <v>BED-002</v>
      </c>
      <c r="B2215" s="31" t="n">
        <f aca="false">Demand_History!A2215</f>
        <v>30</v>
      </c>
      <c r="C2215" s="32" t="n">
        <f aca="false">Demand_History!D2215</f>
        <v>98</v>
      </c>
      <c r="D2215" s="33" t="n">
        <f aca="false">IF(B2215&gt;=2,C2214,"")</f>
        <v>65</v>
      </c>
      <c r="E2215" s="33" t="n">
        <f aca="false">IF(B2215&gt;=5,AVERAGE(C2211:C2214),"")</f>
        <v>75.25</v>
      </c>
      <c r="F2215" s="33" t="n">
        <f aca="false">IF(B2215&gt;=9,AVERAGE(C2207:C2214),"")</f>
        <v>81.625</v>
      </c>
      <c r="G2215" s="33" t="n">
        <f aca="false">IF(B2215=1,"",IF(B2215=2,C2214,SES_Alpha*C2214+(1-SES_Alpha)*G2214))</f>
        <v>75.7666857530864</v>
      </c>
      <c r="H2215" s="33" t="n">
        <f aca="false">IF(D2215="","",D2215-C2215)</f>
        <v>-33</v>
      </c>
      <c r="I2215" s="33" t="n">
        <f aca="false">IF(E2215="","",E2215-C2215)</f>
        <v>-22.75</v>
      </c>
      <c r="J2215" s="33" t="n">
        <f aca="false">IF(F2215="","",F2215-C2215)</f>
        <v>-16.375</v>
      </c>
      <c r="K2215" s="33" t="n">
        <f aca="false">IF(G2215="","",G2215-C2215)</f>
        <v>-22.2333142469136</v>
      </c>
      <c r="L2215" s="33" t="n">
        <f aca="false">IF(H2215="","",ABS(H2215))</f>
        <v>33</v>
      </c>
      <c r="M2215" s="33" t="n">
        <f aca="false">IF(I2215="","",ABS(I2215))</f>
        <v>22.75</v>
      </c>
      <c r="N2215" s="33" t="n">
        <f aca="false">IF(J2215="","",ABS(J2215))</f>
        <v>16.375</v>
      </c>
      <c r="O2215" s="33" t="n">
        <f aca="false">IF(K2215="","",ABS(K2215))</f>
        <v>22.2333142469136</v>
      </c>
      <c r="P2215" s="34" t="str">
        <f aca="false">IF(B2215&gt;=Eval_Start_Week,"YES","")</f>
        <v/>
      </c>
      <c r="Q2215" s="34" t="str">
        <f aca="false">IF(AND(B2215&gt;=Cal_Start_Week,B2215&lt;=Cal_End_Week),"YES","")</f>
        <v/>
      </c>
    </row>
    <row r="2216" customFormat="false" ht="15" hidden="false" customHeight="false" outlineLevel="0" collapsed="false">
      <c r="A2216" s="31" t="str">
        <f aca="false">Demand_History!C2216</f>
        <v>BED-002</v>
      </c>
      <c r="B2216" s="31" t="n">
        <f aca="false">Demand_History!A2216</f>
        <v>31</v>
      </c>
      <c r="C2216" s="32" t="n">
        <f aca="false">Demand_History!D2216</f>
        <v>93</v>
      </c>
      <c r="D2216" s="33" t="n">
        <f aca="false">IF(B2216&gt;=2,C2215,"")</f>
        <v>98</v>
      </c>
      <c r="E2216" s="33" t="n">
        <f aca="false">IF(B2216&gt;=5,AVERAGE(C2212:C2215),"")</f>
        <v>75.25</v>
      </c>
      <c r="F2216" s="33" t="n">
        <f aca="false">IF(B2216&gt;=9,AVERAGE(C2208:C2215),"")</f>
        <v>82.625</v>
      </c>
      <c r="G2216" s="33" t="n">
        <f aca="false">IF(B2216=1,"",IF(B2216=2,C2215,SES_Alpha*C2215+(1-SES_Alpha)*G2215))</f>
        <v>82.4366800271605</v>
      </c>
      <c r="H2216" s="33" t="n">
        <f aca="false">IF(D2216="","",D2216-C2216)</f>
        <v>5</v>
      </c>
      <c r="I2216" s="33" t="n">
        <f aca="false">IF(E2216="","",E2216-C2216)</f>
        <v>-17.75</v>
      </c>
      <c r="J2216" s="33" t="n">
        <f aca="false">IF(F2216="","",F2216-C2216)</f>
        <v>-10.375</v>
      </c>
      <c r="K2216" s="33" t="n">
        <f aca="false">IF(G2216="","",G2216-C2216)</f>
        <v>-10.5633199728395</v>
      </c>
      <c r="L2216" s="33" t="n">
        <f aca="false">IF(H2216="","",ABS(H2216))</f>
        <v>5</v>
      </c>
      <c r="M2216" s="33" t="n">
        <f aca="false">IF(I2216="","",ABS(I2216))</f>
        <v>17.75</v>
      </c>
      <c r="N2216" s="33" t="n">
        <f aca="false">IF(J2216="","",ABS(J2216))</f>
        <v>10.375</v>
      </c>
      <c r="O2216" s="33" t="n">
        <f aca="false">IF(K2216="","",ABS(K2216))</f>
        <v>10.5633199728395</v>
      </c>
      <c r="P2216" s="34" t="str">
        <f aca="false">IF(B2216&gt;=Eval_Start_Week,"YES","")</f>
        <v/>
      </c>
      <c r="Q2216" s="34" t="str">
        <f aca="false">IF(AND(B2216&gt;=Cal_Start_Week,B2216&lt;=Cal_End_Week),"YES","")</f>
        <v/>
      </c>
    </row>
    <row r="2217" customFormat="false" ht="15" hidden="false" customHeight="false" outlineLevel="0" collapsed="false">
      <c r="A2217" s="31" t="str">
        <f aca="false">Demand_History!C2217</f>
        <v>BED-002</v>
      </c>
      <c r="B2217" s="31" t="n">
        <f aca="false">Demand_History!A2217</f>
        <v>32</v>
      </c>
      <c r="C2217" s="32" t="n">
        <f aca="false">Demand_History!D2217</f>
        <v>94</v>
      </c>
      <c r="D2217" s="33" t="n">
        <f aca="false">IF(B2217&gt;=2,C2216,"")</f>
        <v>93</v>
      </c>
      <c r="E2217" s="33" t="n">
        <f aca="false">IF(B2217&gt;=5,AVERAGE(C2213:C2216),"")</f>
        <v>82.25</v>
      </c>
      <c r="F2217" s="33" t="n">
        <f aca="false">IF(B2217&gt;=9,AVERAGE(C2209:C2216),"")</f>
        <v>85.25</v>
      </c>
      <c r="G2217" s="33" t="n">
        <f aca="false">IF(B2217=1,"",IF(B2217=2,C2216,SES_Alpha*C2216+(1-SES_Alpha)*G2216))</f>
        <v>85.6056760190123</v>
      </c>
      <c r="H2217" s="33" t="n">
        <f aca="false">IF(D2217="","",D2217-C2217)</f>
        <v>-1</v>
      </c>
      <c r="I2217" s="33" t="n">
        <f aca="false">IF(E2217="","",E2217-C2217)</f>
        <v>-11.75</v>
      </c>
      <c r="J2217" s="33" t="n">
        <f aca="false">IF(F2217="","",F2217-C2217)</f>
        <v>-8.75</v>
      </c>
      <c r="K2217" s="33" t="n">
        <f aca="false">IF(G2217="","",G2217-C2217)</f>
        <v>-8.39432398098768</v>
      </c>
      <c r="L2217" s="33" t="n">
        <f aca="false">IF(H2217="","",ABS(H2217))</f>
        <v>1</v>
      </c>
      <c r="M2217" s="33" t="n">
        <f aca="false">IF(I2217="","",ABS(I2217))</f>
        <v>11.75</v>
      </c>
      <c r="N2217" s="33" t="n">
        <f aca="false">IF(J2217="","",ABS(J2217))</f>
        <v>8.75</v>
      </c>
      <c r="O2217" s="33" t="n">
        <f aca="false">IF(K2217="","",ABS(K2217))</f>
        <v>8.39432398098768</v>
      </c>
      <c r="P2217" s="34" t="str">
        <f aca="false">IF(B2217&gt;=Eval_Start_Week,"YES","")</f>
        <v/>
      </c>
      <c r="Q2217" s="34" t="str">
        <f aca="false">IF(AND(B2217&gt;=Cal_Start_Week,B2217&lt;=Cal_End_Week),"YES","")</f>
        <v/>
      </c>
    </row>
    <row r="2218" customFormat="false" ht="15" hidden="false" customHeight="false" outlineLevel="0" collapsed="false">
      <c r="A2218" s="31" t="str">
        <f aca="false">Demand_History!C2218</f>
        <v>BED-002</v>
      </c>
      <c r="B2218" s="31" t="n">
        <f aca="false">Demand_History!A2218</f>
        <v>33</v>
      </c>
      <c r="C2218" s="32" t="n">
        <f aca="false">Demand_History!D2218</f>
        <v>74</v>
      </c>
      <c r="D2218" s="33" t="n">
        <f aca="false">IF(B2218&gt;=2,C2217,"")</f>
        <v>94</v>
      </c>
      <c r="E2218" s="33" t="n">
        <f aca="false">IF(B2218&gt;=5,AVERAGE(C2214:C2217),"")</f>
        <v>87.5</v>
      </c>
      <c r="F2218" s="33" t="n">
        <f aca="false">IF(B2218&gt;=9,AVERAGE(C2210:C2217),"")</f>
        <v>85.875</v>
      </c>
      <c r="G2218" s="33" t="n">
        <f aca="false">IF(B2218=1,"",IF(B2218=2,C2217,SES_Alpha*C2217+(1-SES_Alpha)*G2217))</f>
        <v>88.1239732133086</v>
      </c>
      <c r="H2218" s="33" t="n">
        <f aca="false">IF(D2218="","",D2218-C2218)</f>
        <v>20</v>
      </c>
      <c r="I2218" s="33" t="n">
        <f aca="false">IF(E2218="","",E2218-C2218)</f>
        <v>13.5</v>
      </c>
      <c r="J2218" s="33" t="n">
        <f aca="false">IF(F2218="","",F2218-C2218)</f>
        <v>11.875</v>
      </c>
      <c r="K2218" s="33" t="n">
        <f aca="false">IF(G2218="","",G2218-C2218)</f>
        <v>14.1239732133086</v>
      </c>
      <c r="L2218" s="33" t="n">
        <f aca="false">IF(H2218="","",ABS(H2218))</f>
        <v>20</v>
      </c>
      <c r="M2218" s="33" t="n">
        <f aca="false">IF(I2218="","",ABS(I2218))</f>
        <v>13.5</v>
      </c>
      <c r="N2218" s="33" t="n">
        <f aca="false">IF(J2218="","",ABS(J2218))</f>
        <v>11.875</v>
      </c>
      <c r="O2218" s="33" t="n">
        <f aca="false">IF(K2218="","",ABS(K2218))</f>
        <v>14.1239732133086</v>
      </c>
      <c r="P2218" s="34" t="str">
        <f aca="false">IF(B2218&gt;=Eval_Start_Week,"YES","")</f>
        <v/>
      </c>
      <c r="Q2218" s="34" t="str">
        <f aca="false">IF(AND(B2218&gt;=Cal_Start_Week,B2218&lt;=Cal_End_Week),"YES","")</f>
        <v/>
      </c>
    </row>
    <row r="2219" customFormat="false" ht="15" hidden="false" customHeight="false" outlineLevel="0" collapsed="false">
      <c r="A2219" s="31" t="str">
        <f aca="false">Demand_History!C2219</f>
        <v>BED-002</v>
      </c>
      <c r="B2219" s="31" t="n">
        <f aca="false">Demand_History!A2219</f>
        <v>34</v>
      </c>
      <c r="C2219" s="32" t="n">
        <f aca="false">Demand_History!D2219</f>
        <v>70</v>
      </c>
      <c r="D2219" s="33" t="n">
        <f aca="false">IF(B2219&gt;=2,C2218,"")</f>
        <v>74</v>
      </c>
      <c r="E2219" s="33" t="n">
        <f aca="false">IF(B2219&gt;=5,AVERAGE(C2215:C2218),"")</f>
        <v>89.75</v>
      </c>
      <c r="F2219" s="33" t="n">
        <f aca="false">IF(B2219&gt;=9,AVERAGE(C2211:C2218),"")</f>
        <v>82.5</v>
      </c>
      <c r="G2219" s="33" t="n">
        <f aca="false">IF(B2219=1,"",IF(B2219=2,C2218,SES_Alpha*C2218+(1-SES_Alpha)*G2218))</f>
        <v>83.886781249316</v>
      </c>
      <c r="H2219" s="33" t="n">
        <f aca="false">IF(D2219="","",D2219-C2219)</f>
        <v>4</v>
      </c>
      <c r="I2219" s="33" t="n">
        <f aca="false">IF(E2219="","",E2219-C2219)</f>
        <v>19.75</v>
      </c>
      <c r="J2219" s="33" t="n">
        <f aca="false">IF(F2219="","",F2219-C2219)</f>
        <v>12.5</v>
      </c>
      <c r="K2219" s="33" t="n">
        <f aca="false">IF(G2219="","",G2219-C2219)</f>
        <v>13.886781249316</v>
      </c>
      <c r="L2219" s="33" t="n">
        <f aca="false">IF(H2219="","",ABS(H2219))</f>
        <v>4</v>
      </c>
      <c r="M2219" s="33" t="n">
        <f aca="false">IF(I2219="","",ABS(I2219))</f>
        <v>19.75</v>
      </c>
      <c r="N2219" s="33" t="n">
        <f aca="false">IF(J2219="","",ABS(J2219))</f>
        <v>12.5</v>
      </c>
      <c r="O2219" s="33" t="n">
        <f aca="false">IF(K2219="","",ABS(K2219))</f>
        <v>13.886781249316</v>
      </c>
      <c r="P2219" s="34" t="str">
        <f aca="false">IF(B2219&gt;=Eval_Start_Week,"YES","")</f>
        <v/>
      </c>
      <c r="Q2219" s="34" t="str">
        <f aca="false">IF(AND(B2219&gt;=Cal_Start_Week,B2219&lt;=Cal_End_Week),"YES","")</f>
        <v/>
      </c>
    </row>
    <row r="2220" customFormat="false" ht="15" hidden="false" customHeight="false" outlineLevel="0" collapsed="false">
      <c r="A2220" s="31" t="str">
        <f aca="false">Demand_History!C2220</f>
        <v>BED-002</v>
      </c>
      <c r="B2220" s="31" t="n">
        <f aca="false">Demand_History!A2220</f>
        <v>35</v>
      </c>
      <c r="C2220" s="32" t="n">
        <f aca="false">Demand_History!D2220</f>
        <v>86</v>
      </c>
      <c r="D2220" s="33" t="n">
        <f aca="false">IF(B2220&gt;=2,C2219,"")</f>
        <v>70</v>
      </c>
      <c r="E2220" s="33" t="n">
        <f aca="false">IF(B2220&gt;=5,AVERAGE(C2216:C2219),"")</f>
        <v>82.75</v>
      </c>
      <c r="F2220" s="33" t="n">
        <f aca="false">IF(B2220&gt;=9,AVERAGE(C2212:C2219),"")</f>
        <v>79</v>
      </c>
      <c r="G2220" s="33" t="n">
        <f aca="false">IF(B2220=1,"",IF(B2220=2,C2219,SES_Alpha*C2219+(1-SES_Alpha)*G2219))</f>
        <v>79.7207468745212</v>
      </c>
      <c r="H2220" s="33" t="n">
        <f aca="false">IF(D2220="","",D2220-C2220)</f>
        <v>-16</v>
      </c>
      <c r="I2220" s="33" t="n">
        <f aca="false">IF(E2220="","",E2220-C2220)</f>
        <v>-3.25</v>
      </c>
      <c r="J2220" s="33" t="n">
        <f aca="false">IF(F2220="","",F2220-C2220)</f>
        <v>-7</v>
      </c>
      <c r="K2220" s="33" t="n">
        <f aca="false">IF(G2220="","",G2220-C2220)</f>
        <v>-6.27925312547879</v>
      </c>
      <c r="L2220" s="33" t="n">
        <f aca="false">IF(H2220="","",ABS(H2220))</f>
        <v>16</v>
      </c>
      <c r="M2220" s="33" t="n">
        <f aca="false">IF(I2220="","",ABS(I2220))</f>
        <v>3.25</v>
      </c>
      <c r="N2220" s="33" t="n">
        <f aca="false">IF(J2220="","",ABS(J2220))</f>
        <v>7</v>
      </c>
      <c r="O2220" s="33" t="n">
        <f aca="false">IF(K2220="","",ABS(K2220))</f>
        <v>6.27925312547879</v>
      </c>
      <c r="P2220" s="34" t="str">
        <f aca="false">IF(B2220&gt;=Eval_Start_Week,"YES","")</f>
        <v/>
      </c>
      <c r="Q2220" s="34" t="str">
        <f aca="false">IF(AND(B2220&gt;=Cal_Start_Week,B2220&lt;=Cal_End_Week),"YES","")</f>
        <v/>
      </c>
    </row>
    <row r="2221" customFormat="false" ht="15" hidden="false" customHeight="false" outlineLevel="0" collapsed="false">
      <c r="A2221" s="31" t="str">
        <f aca="false">Demand_History!C2221</f>
        <v>BED-002</v>
      </c>
      <c r="B2221" s="31" t="n">
        <f aca="false">Demand_History!A2221</f>
        <v>36</v>
      </c>
      <c r="C2221" s="32" t="n">
        <f aca="false">Demand_History!D2221</f>
        <v>86</v>
      </c>
      <c r="D2221" s="33" t="n">
        <f aca="false">IF(B2221&gt;=2,C2220,"")</f>
        <v>86</v>
      </c>
      <c r="E2221" s="33" t="n">
        <f aca="false">IF(B2221&gt;=5,AVERAGE(C2217:C2220),"")</f>
        <v>81</v>
      </c>
      <c r="F2221" s="33" t="n">
        <f aca="false">IF(B2221&gt;=9,AVERAGE(C2213:C2220),"")</f>
        <v>81.625</v>
      </c>
      <c r="G2221" s="33" t="n">
        <f aca="false">IF(B2221=1,"",IF(B2221=2,C2220,SES_Alpha*C2220+(1-SES_Alpha)*G2220))</f>
        <v>81.6045228121648</v>
      </c>
      <c r="H2221" s="33" t="n">
        <f aca="false">IF(D2221="","",D2221-C2221)</f>
        <v>0</v>
      </c>
      <c r="I2221" s="33" t="n">
        <f aca="false">IF(E2221="","",E2221-C2221)</f>
        <v>-5</v>
      </c>
      <c r="J2221" s="33" t="n">
        <f aca="false">IF(F2221="","",F2221-C2221)</f>
        <v>-4.375</v>
      </c>
      <c r="K2221" s="33" t="n">
        <f aca="false">IF(G2221="","",G2221-C2221)</f>
        <v>-4.39547718783516</v>
      </c>
      <c r="L2221" s="33" t="n">
        <f aca="false">IF(H2221="","",ABS(H2221))</f>
        <v>0</v>
      </c>
      <c r="M2221" s="33" t="n">
        <f aca="false">IF(I2221="","",ABS(I2221))</f>
        <v>5</v>
      </c>
      <c r="N2221" s="33" t="n">
        <f aca="false">IF(J2221="","",ABS(J2221))</f>
        <v>4.375</v>
      </c>
      <c r="O2221" s="33" t="n">
        <f aca="false">IF(K2221="","",ABS(K2221))</f>
        <v>4.39547718783516</v>
      </c>
      <c r="P2221" s="34" t="str">
        <f aca="false">IF(B2221&gt;=Eval_Start_Week,"YES","")</f>
        <v/>
      </c>
      <c r="Q2221" s="34" t="str">
        <f aca="false">IF(AND(B2221&gt;=Cal_Start_Week,B2221&lt;=Cal_End_Week),"YES","")</f>
        <v/>
      </c>
    </row>
    <row r="2222" customFormat="false" ht="15" hidden="false" customHeight="false" outlineLevel="0" collapsed="false">
      <c r="A2222" s="31" t="str">
        <f aca="false">Demand_History!C2222</f>
        <v>BED-002</v>
      </c>
      <c r="B2222" s="31" t="n">
        <f aca="false">Demand_History!A2222</f>
        <v>37</v>
      </c>
      <c r="C2222" s="32" t="n">
        <f aca="false">Demand_History!D2222</f>
        <v>74</v>
      </c>
      <c r="D2222" s="33" t="n">
        <f aca="false">IF(B2222&gt;=2,C2221,"")</f>
        <v>86</v>
      </c>
      <c r="E2222" s="33" t="n">
        <f aca="false">IF(B2222&gt;=5,AVERAGE(C2218:C2221),"")</f>
        <v>79</v>
      </c>
      <c r="F2222" s="33" t="n">
        <f aca="false">IF(B2222&gt;=9,AVERAGE(C2214:C2221),"")</f>
        <v>83.25</v>
      </c>
      <c r="G2222" s="33" t="n">
        <f aca="false">IF(B2222=1,"",IF(B2222=2,C2221,SES_Alpha*C2221+(1-SES_Alpha)*G2221))</f>
        <v>82.9231659685154</v>
      </c>
      <c r="H2222" s="33" t="n">
        <f aca="false">IF(D2222="","",D2222-C2222)</f>
        <v>12</v>
      </c>
      <c r="I2222" s="33" t="n">
        <f aca="false">IF(E2222="","",E2222-C2222)</f>
        <v>5</v>
      </c>
      <c r="J2222" s="33" t="n">
        <f aca="false">IF(F2222="","",F2222-C2222)</f>
        <v>9.25</v>
      </c>
      <c r="K2222" s="33" t="n">
        <f aca="false">IF(G2222="","",G2222-C2222)</f>
        <v>8.92316596851539</v>
      </c>
      <c r="L2222" s="33" t="n">
        <f aca="false">IF(H2222="","",ABS(H2222))</f>
        <v>12</v>
      </c>
      <c r="M2222" s="33" t="n">
        <f aca="false">IF(I2222="","",ABS(I2222))</f>
        <v>5</v>
      </c>
      <c r="N2222" s="33" t="n">
        <f aca="false">IF(J2222="","",ABS(J2222))</f>
        <v>9.25</v>
      </c>
      <c r="O2222" s="33" t="n">
        <f aca="false">IF(K2222="","",ABS(K2222))</f>
        <v>8.92316596851539</v>
      </c>
      <c r="P2222" s="34" t="str">
        <f aca="false">IF(B2222&gt;=Eval_Start_Week,"YES","")</f>
        <v/>
      </c>
      <c r="Q2222" s="34" t="str">
        <f aca="false">IF(AND(B2222&gt;=Cal_Start_Week,B2222&lt;=Cal_End_Week),"YES","")</f>
        <v>YES</v>
      </c>
    </row>
    <row r="2223" customFormat="false" ht="15" hidden="false" customHeight="false" outlineLevel="0" collapsed="false">
      <c r="A2223" s="31" t="str">
        <f aca="false">Demand_History!C2223</f>
        <v>BED-002</v>
      </c>
      <c r="B2223" s="31" t="n">
        <f aca="false">Demand_History!A2223</f>
        <v>38</v>
      </c>
      <c r="C2223" s="32" t="n">
        <f aca="false">Demand_History!D2223</f>
        <v>87</v>
      </c>
      <c r="D2223" s="33" t="n">
        <f aca="false">IF(B2223&gt;=2,C2222,"")</f>
        <v>74</v>
      </c>
      <c r="E2223" s="33" t="n">
        <f aca="false">IF(B2223&gt;=5,AVERAGE(C2219:C2222),"")</f>
        <v>79</v>
      </c>
      <c r="F2223" s="33" t="n">
        <f aca="false">IF(B2223&gt;=9,AVERAGE(C2215:C2222),"")</f>
        <v>84.375</v>
      </c>
      <c r="G2223" s="33" t="n">
        <f aca="false">IF(B2223=1,"",IF(B2223=2,C2222,SES_Alpha*C2222+(1-SES_Alpha)*G2222))</f>
        <v>80.2462161779608</v>
      </c>
      <c r="H2223" s="33" t="n">
        <f aca="false">IF(D2223="","",D2223-C2223)</f>
        <v>-13</v>
      </c>
      <c r="I2223" s="33" t="n">
        <f aca="false">IF(E2223="","",E2223-C2223)</f>
        <v>-8</v>
      </c>
      <c r="J2223" s="33" t="n">
        <f aca="false">IF(F2223="","",F2223-C2223)</f>
        <v>-2.625</v>
      </c>
      <c r="K2223" s="33" t="n">
        <f aca="false">IF(G2223="","",G2223-C2223)</f>
        <v>-6.75378382203923</v>
      </c>
      <c r="L2223" s="33" t="n">
        <f aca="false">IF(H2223="","",ABS(H2223))</f>
        <v>13</v>
      </c>
      <c r="M2223" s="33" t="n">
        <f aca="false">IF(I2223="","",ABS(I2223))</f>
        <v>8</v>
      </c>
      <c r="N2223" s="33" t="n">
        <f aca="false">IF(J2223="","",ABS(J2223))</f>
        <v>2.625</v>
      </c>
      <c r="O2223" s="33" t="n">
        <f aca="false">IF(K2223="","",ABS(K2223))</f>
        <v>6.75378382203923</v>
      </c>
      <c r="P2223" s="34" t="str">
        <f aca="false">IF(B2223&gt;=Eval_Start_Week,"YES","")</f>
        <v/>
      </c>
      <c r="Q2223" s="34" t="str">
        <f aca="false">IF(AND(B2223&gt;=Cal_Start_Week,B2223&lt;=Cal_End_Week),"YES","")</f>
        <v>YES</v>
      </c>
    </row>
    <row r="2224" customFormat="false" ht="15" hidden="false" customHeight="false" outlineLevel="0" collapsed="false">
      <c r="A2224" s="31" t="str">
        <f aca="false">Demand_History!C2224</f>
        <v>BED-002</v>
      </c>
      <c r="B2224" s="31" t="n">
        <f aca="false">Demand_History!A2224</f>
        <v>39</v>
      </c>
      <c r="C2224" s="32" t="n">
        <f aca="false">Demand_History!D2224</f>
        <v>93</v>
      </c>
      <c r="D2224" s="33" t="n">
        <f aca="false">IF(B2224&gt;=2,C2223,"")</f>
        <v>87</v>
      </c>
      <c r="E2224" s="33" t="n">
        <f aca="false">IF(B2224&gt;=5,AVERAGE(C2220:C2223),"")</f>
        <v>83.25</v>
      </c>
      <c r="F2224" s="33" t="n">
        <f aca="false">IF(B2224&gt;=9,AVERAGE(C2216:C2223),"")</f>
        <v>83</v>
      </c>
      <c r="G2224" s="33" t="n">
        <f aca="false">IF(B2224=1,"",IF(B2224=2,C2223,SES_Alpha*C2223+(1-SES_Alpha)*G2223))</f>
        <v>82.2723513245725</v>
      </c>
      <c r="H2224" s="33" t="n">
        <f aca="false">IF(D2224="","",D2224-C2224)</f>
        <v>-6</v>
      </c>
      <c r="I2224" s="33" t="n">
        <f aca="false">IF(E2224="","",E2224-C2224)</f>
        <v>-9.75</v>
      </c>
      <c r="J2224" s="33" t="n">
        <f aca="false">IF(F2224="","",F2224-C2224)</f>
        <v>-10</v>
      </c>
      <c r="K2224" s="33" t="n">
        <f aca="false">IF(G2224="","",G2224-C2224)</f>
        <v>-10.7276486754275</v>
      </c>
      <c r="L2224" s="33" t="n">
        <f aca="false">IF(H2224="","",ABS(H2224))</f>
        <v>6</v>
      </c>
      <c r="M2224" s="33" t="n">
        <f aca="false">IF(I2224="","",ABS(I2224))</f>
        <v>9.75</v>
      </c>
      <c r="N2224" s="33" t="n">
        <f aca="false">IF(J2224="","",ABS(J2224))</f>
        <v>10</v>
      </c>
      <c r="O2224" s="33" t="n">
        <f aca="false">IF(K2224="","",ABS(K2224))</f>
        <v>10.7276486754275</v>
      </c>
      <c r="P2224" s="34" t="str">
        <f aca="false">IF(B2224&gt;=Eval_Start_Week,"YES","")</f>
        <v/>
      </c>
      <c r="Q2224" s="34" t="str">
        <f aca="false">IF(AND(B2224&gt;=Cal_Start_Week,B2224&lt;=Cal_End_Week),"YES","")</f>
        <v>YES</v>
      </c>
    </row>
    <row r="2225" customFormat="false" ht="15" hidden="false" customHeight="false" outlineLevel="0" collapsed="false">
      <c r="A2225" s="31" t="str">
        <f aca="false">Demand_History!C2225</f>
        <v>BED-002</v>
      </c>
      <c r="B2225" s="31" t="n">
        <f aca="false">Demand_History!A2225</f>
        <v>40</v>
      </c>
      <c r="C2225" s="32" t="n">
        <f aca="false">Demand_History!D2225</f>
        <v>88</v>
      </c>
      <c r="D2225" s="33" t="n">
        <f aca="false">IF(B2225&gt;=2,C2224,"")</f>
        <v>93</v>
      </c>
      <c r="E2225" s="33" t="n">
        <f aca="false">IF(B2225&gt;=5,AVERAGE(C2221:C2224),"")</f>
        <v>85</v>
      </c>
      <c r="F2225" s="33" t="n">
        <f aca="false">IF(B2225&gt;=9,AVERAGE(C2217:C2224),"")</f>
        <v>83</v>
      </c>
      <c r="G2225" s="33" t="n">
        <f aca="false">IF(B2225=1,"",IF(B2225=2,C2224,SES_Alpha*C2224+(1-SES_Alpha)*G2224))</f>
        <v>85.4906459272008</v>
      </c>
      <c r="H2225" s="33" t="n">
        <f aca="false">IF(D2225="","",D2225-C2225)</f>
        <v>5</v>
      </c>
      <c r="I2225" s="33" t="n">
        <f aca="false">IF(E2225="","",E2225-C2225)</f>
        <v>-3</v>
      </c>
      <c r="J2225" s="33" t="n">
        <f aca="false">IF(F2225="","",F2225-C2225)</f>
        <v>-5</v>
      </c>
      <c r="K2225" s="33" t="n">
        <f aca="false">IF(G2225="","",G2225-C2225)</f>
        <v>-2.50935407279923</v>
      </c>
      <c r="L2225" s="33" t="n">
        <f aca="false">IF(H2225="","",ABS(H2225))</f>
        <v>5</v>
      </c>
      <c r="M2225" s="33" t="n">
        <f aca="false">IF(I2225="","",ABS(I2225))</f>
        <v>3</v>
      </c>
      <c r="N2225" s="33" t="n">
        <f aca="false">IF(J2225="","",ABS(J2225))</f>
        <v>5</v>
      </c>
      <c r="O2225" s="33" t="n">
        <f aca="false">IF(K2225="","",ABS(K2225))</f>
        <v>2.50935407279923</v>
      </c>
      <c r="P2225" s="34" t="str">
        <f aca="false">IF(B2225&gt;=Eval_Start_Week,"YES","")</f>
        <v/>
      </c>
      <c r="Q2225" s="34" t="str">
        <f aca="false">IF(AND(B2225&gt;=Cal_Start_Week,B2225&lt;=Cal_End_Week),"YES","")</f>
        <v>YES</v>
      </c>
    </row>
    <row r="2226" customFormat="false" ht="15" hidden="false" customHeight="false" outlineLevel="0" collapsed="false">
      <c r="A2226" s="31" t="str">
        <f aca="false">Demand_History!C2226</f>
        <v>BED-002</v>
      </c>
      <c r="B2226" s="31" t="n">
        <f aca="false">Demand_History!A2226</f>
        <v>41</v>
      </c>
      <c r="C2226" s="32" t="n">
        <f aca="false">Demand_History!D2226</f>
        <v>72</v>
      </c>
      <c r="D2226" s="33" t="n">
        <f aca="false">IF(B2226&gt;=2,C2225,"")</f>
        <v>88</v>
      </c>
      <c r="E2226" s="33" t="n">
        <f aca="false">IF(B2226&gt;=5,AVERAGE(C2222:C2225),"")</f>
        <v>85.5</v>
      </c>
      <c r="F2226" s="33" t="n">
        <f aca="false">IF(B2226&gt;=9,AVERAGE(C2218:C2225),"")</f>
        <v>82.25</v>
      </c>
      <c r="G2226" s="33" t="n">
        <f aca="false">IF(B2226=1,"",IF(B2226=2,C2225,SES_Alpha*C2225+(1-SES_Alpha)*G2225))</f>
        <v>86.2434521490405</v>
      </c>
      <c r="H2226" s="33" t="n">
        <f aca="false">IF(D2226="","",D2226-C2226)</f>
        <v>16</v>
      </c>
      <c r="I2226" s="33" t="n">
        <f aca="false">IF(E2226="","",E2226-C2226)</f>
        <v>13.5</v>
      </c>
      <c r="J2226" s="33" t="n">
        <f aca="false">IF(F2226="","",F2226-C2226)</f>
        <v>10.25</v>
      </c>
      <c r="K2226" s="33" t="n">
        <f aca="false">IF(G2226="","",G2226-C2226)</f>
        <v>14.2434521490405</v>
      </c>
      <c r="L2226" s="33" t="n">
        <f aca="false">IF(H2226="","",ABS(H2226))</f>
        <v>16</v>
      </c>
      <c r="M2226" s="33" t="n">
        <f aca="false">IF(I2226="","",ABS(I2226))</f>
        <v>13.5</v>
      </c>
      <c r="N2226" s="33" t="n">
        <f aca="false">IF(J2226="","",ABS(J2226))</f>
        <v>10.25</v>
      </c>
      <c r="O2226" s="33" t="n">
        <f aca="false">IF(K2226="","",ABS(K2226))</f>
        <v>14.2434521490405</v>
      </c>
      <c r="P2226" s="34" t="str">
        <f aca="false">IF(B2226&gt;=Eval_Start_Week,"YES","")</f>
        <v/>
      </c>
      <c r="Q2226" s="34" t="str">
        <f aca="false">IF(AND(B2226&gt;=Cal_Start_Week,B2226&lt;=Cal_End_Week),"YES","")</f>
        <v>YES</v>
      </c>
    </row>
    <row r="2227" customFormat="false" ht="15" hidden="false" customHeight="false" outlineLevel="0" collapsed="false">
      <c r="A2227" s="31" t="str">
        <f aca="false">Demand_History!C2227</f>
        <v>BED-002</v>
      </c>
      <c r="B2227" s="31" t="n">
        <f aca="false">Demand_History!A2227</f>
        <v>42</v>
      </c>
      <c r="C2227" s="32" t="n">
        <f aca="false">Demand_History!D2227</f>
        <v>59</v>
      </c>
      <c r="D2227" s="33" t="n">
        <f aca="false">IF(B2227&gt;=2,C2226,"")</f>
        <v>72</v>
      </c>
      <c r="E2227" s="33" t="n">
        <f aca="false">IF(B2227&gt;=5,AVERAGE(C2223:C2226),"")</f>
        <v>85</v>
      </c>
      <c r="F2227" s="33" t="n">
        <f aca="false">IF(B2227&gt;=9,AVERAGE(C2219:C2226),"")</f>
        <v>82</v>
      </c>
      <c r="G2227" s="33" t="n">
        <f aca="false">IF(B2227=1,"",IF(B2227=2,C2226,SES_Alpha*C2226+(1-SES_Alpha)*G2226))</f>
        <v>81.9704165043284</v>
      </c>
      <c r="H2227" s="33" t="n">
        <f aca="false">IF(D2227="","",D2227-C2227)</f>
        <v>13</v>
      </c>
      <c r="I2227" s="33" t="n">
        <f aca="false">IF(E2227="","",E2227-C2227)</f>
        <v>26</v>
      </c>
      <c r="J2227" s="33" t="n">
        <f aca="false">IF(F2227="","",F2227-C2227)</f>
        <v>23</v>
      </c>
      <c r="K2227" s="33" t="n">
        <f aca="false">IF(G2227="","",G2227-C2227)</f>
        <v>22.9704165043284</v>
      </c>
      <c r="L2227" s="33" t="n">
        <f aca="false">IF(H2227="","",ABS(H2227))</f>
        <v>13</v>
      </c>
      <c r="M2227" s="33" t="n">
        <f aca="false">IF(I2227="","",ABS(I2227))</f>
        <v>26</v>
      </c>
      <c r="N2227" s="33" t="n">
        <f aca="false">IF(J2227="","",ABS(J2227))</f>
        <v>23</v>
      </c>
      <c r="O2227" s="33" t="n">
        <f aca="false">IF(K2227="","",ABS(K2227))</f>
        <v>22.9704165043284</v>
      </c>
      <c r="P2227" s="34" t="str">
        <f aca="false">IF(B2227&gt;=Eval_Start_Week,"YES","")</f>
        <v/>
      </c>
      <c r="Q2227" s="34" t="str">
        <f aca="false">IF(AND(B2227&gt;=Cal_Start_Week,B2227&lt;=Cal_End_Week),"YES","")</f>
        <v>YES</v>
      </c>
    </row>
    <row r="2228" customFormat="false" ht="15" hidden="false" customHeight="false" outlineLevel="0" collapsed="false">
      <c r="A2228" s="31" t="str">
        <f aca="false">Demand_History!C2228</f>
        <v>BED-002</v>
      </c>
      <c r="B2228" s="31" t="n">
        <f aca="false">Demand_History!A2228</f>
        <v>43</v>
      </c>
      <c r="C2228" s="32" t="n">
        <f aca="false">Demand_History!D2228</f>
        <v>82</v>
      </c>
      <c r="D2228" s="33" t="n">
        <f aca="false">IF(B2228&gt;=2,C2227,"")</f>
        <v>59</v>
      </c>
      <c r="E2228" s="33" t="n">
        <f aca="false">IF(B2228&gt;=5,AVERAGE(C2224:C2227),"")</f>
        <v>78</v>
      </c>
      <c r="F2228" s="33" t="n">
        <f aca="false">IF(B2228&gt;=9,AVERAGE(C2220:C2227),"")</f>
        <v>80.625</v>
      </c>
      <c r="G2228" s="33" t="n">
        <f aca="false">IF(B2228=1,"",IF(B2228=2,C2227,SES_Alpha*C2227+(1-SES_Alpha)*G2227))</f>
        <v>75.0792915530299</v>
      </c>
      <c r="H2228" s="33" t="n">
        <f aca="false">IF(D2228="","",D2228-C2228)</f>
        <v>-23</v>
      </c>
      <c r="I2228" s="33" t="n">
        <f aca="false">IF(E2228="","",E2228-C2228)</f>
        <v>-4</v>
      </c>
      <c r="J2228" s="33" t="n">
        <f aca="false">IF(F2228="","",F2228-C2228)</f>
        <v>-1.375</v>
      </c>
      <c r="K2228" s="33" t="n">
        <f aca="false">IF(G2228="","",G2228-C2228)</f>
        <v>-6.92070844697015</v>
      </c>
      <c r="L2228" s="33" t="n">
        <f aca="false">IF(H2228="","",ABS(H2228))</f>
        <v>23</v>
      </c>
      <c r="M2228" s="33" t="n">
        <f aca="false">IF(I2228="","",ABS(I2228))</f>
        <v>4</v>
      </c>
      <c r="N2228" s="33" t="n">
        <f aca="false">IF(J2228="","",ABS(J2228))</f>
        <v>1.375</v>
      </c>
      <c r="O2228" s="33" t="n">
        <f aca="false">IF(K2228="","",ABS(K2228))</f>
        <v>6.92070844697015</v>
      </c>
      <c r="P2228" s="34" t="str">
        <f aca="false">IF(B2228&gt;=Eval_Start_Week,"YES","")</f>
        <v/>
      </c>
      <c r="Q2228" s="34" t="str">
        <f aca="false">IF(AND(B2228&gt;=Cal_Start_Week,B2228&lt;=Cal_End_Week),"YES","")</f>
        <v>YES</v>
      </c>
    </row>
    <row r="2229" customFormat="false" ht="15" hidden="false" customHeight="false" outlineLevel="0" collapsed="false">
      <c r="A2229" s="31" t="str">
        <f aca="false">Demand_History!C2229</f>
        <v>BED-002</v>
      </c>
      <c r="B2229" s="31" t="n">
        <f aca="false">Demand_History!A2229</f>
        <v>44</v>
      </c>
      <c r="C2229" s="32" t="n">
        <f aca="false">Demand_History!D2229</f>
        <v>87</v>
      </c>
      <c r="D2229" s="33" t="n">
        <f aca="false">IF(B2229&gt;=2,C2228,"")</f>
        <v>82</v>
      </c>
      <c r="E2229" s="33" t="n">
        <f aca="false">IF(B2229&gt;=5,AVERAGE(C2225:C2228),"")</f>
        <v>75.25</v>
      </c>
      <c r="F2229" s="33" t="n">
        <f aca="false">IF(B2229&gt;=9,AVERAGE(C2221:C2228),"")</f>
        <v>80.125</v>
      </c>
      <c r="G2229" s="33" t="n">
        <f aca="false">IF(B2229=1,"",IF(B2229=2,C2228,SES_Alpha*C2228+(1-SES_Alpha)*G2228))</f>
        <v>77.1555040871209</v>
      </c>
      <c r="H2229" s="33" t="n">
        <f aca="false">IF(D2229="","",D2229-C2229)</f>
        <v>-5</v>
      </c>
      <c r="I2229" s="33" t="n">
        <f aca="false">IF(E2229="","",E2229-C2229)</f>
        <v>-11.75</v>
      </c>
      <c r="J2229" s="33" t="n">
        <f aca="false">IF(F2229="","",F2229-C2229)</f>
        <v>-6.875</v>
      </c>
      <c r="K2229" s="33" t="n">
        <f aca="false">IF(G2229="","",G2229-C2229)</f>
        <v>-9.84449591287911</v>
      </c>
      <c r="L2229" s="33" t="n">
        <f aca="false">IF(H2229="","",ABS(H2229))</f>
        <v>5</v>
      </c>
      <c r="M2229" s="33" t="n">
        <f aca="false">IF(I2229="","",ABS(I2229))</f>
        <v>11.75</v>
      </c>
      <c r="N2229" s="33" t="n">
        <f aca="false">IF(J2229="","",ABS(J2229))</f>
        <v>6.875</v>
      </c>
      <c r="O2229" s="33" t="n">
        <f aca="false">IF(K2229="","",ABS(K2229))</f>
        <v>9.84449591287911</v>
      </c>
      <c r="P2229" s="34" t="str">
        <f aca="false">IF(B2229&gt;=Eval_Start_Week,"YES","")</f>
        <v/>
      </c>
      <c r="Q2229" s="34" t="str">
        <f aca="false">IF(AND(B2229&gt;=Cal_Start_Week,B2229&lt;=Cal_End_Week),"YES","")</f>
        <v>YES</v>
      </c>
    </row>
    <row r="2230" customFormat="false" ht="15" hidden="false" customHeight="false" outlineLevel="0" collapsed="false">
      <c r="A2230" s="31" t="str">
        <f aca="false">Demand_History!C2230</f>
        <v>BED-002</v>
      </c>
      <c r="B2230" s="31" t="n">
        <f aca="false">Demand_History!A2230</f>
        <v>45</v>
      </c>
      <c r="C2230" s="32" t="n">
        <f aca="false">Demand_History!D2230</f>
        <v>82</v>
      </c>
      <c r="D2230" s="33" t="n">
        <f aca="false">IF(B2230&gt;=2,C2229,"")</f>
        <v>87</v>
      </c>
      <c r="E2230" s="33" t="n">
        <f aca="false">IF(B2230&gt;=5,AVERAGE(C2226:C2229),"")</f>
        <v>75</v>
      </c>
      <c r="F2230" s="33" t="n">
        <f aca="false">IF(B2230&gt;=9,AVERAGE(C2222:C2229),"")</f>
        <v>80.25</v>
      </c>
      <c r="G2230" s="33" t="n">
        <f aca="false">IF(B2230=1,"",IF(B2230=2,C2229,SES_Alpha*C2229+(1-SES_Alpha)*G2229))</f>
        <v>80.1088528609846</v>
      </c>
      <c r="H2230" s="33" t="n">
        <f aca="false">IF(D2230="","",D2230-C2230)</f>
        <v>5</v>
      </c>
      <c r="I2230" s="33" t="n">
        <f aca="false">IF(E2230="","",E2230-C2230)</f>
        <v>-7</v>
      </c>
      <c r="J2230" s="33" t="n">
        <f aca="false">IF(F2230="","",F2230-C2230)</f>
        <v>-1.75</v>
      </c>
      <c r="K2230" s="33" t="n">
        <f aca="false">IF(G2230="","",G2230-C2230)</f>
        <v>-1.89114713901539</v>
      </c>
      <c r="L2230" s="33" t="n">
        <f aca="false">IF(H2230="","",ABS(H2230))</f>
        <v>5</v>
      </c>
      <c r="M2230" s="33" t="n">
        <f aca="false">IF(I2230="","",ABS(I2230))</f>
        <v>7</v>
      </c>
      <c r="N2230" s="33" t="n">
        <f aca="false">IF(J2230="","",ABS(J2230))</f>
        <v>1.75</v>
      </c>
      <c r="O2230" s="33" t="n">
        <f aca="false">IF(K2230="","",ABS(K2230))</f>
        <v>1.89114713901539</v>
      </c>
      <c r="P2230" s="34" t="str">
        <f aca="false">IF(B2230&gt;=Eval_Start_Week,"YES","")</f>
        <v/>
      </c>
      <c r="Q2230" s="34" t="str">
        <f aca="false">IF(AND(B2230&gt;=Cal_Start_Week,B2230&lt;=Cal_End_Week),"YES","")</f>
        <v>YES</v>
      </c>
    </row>
    <row r="2231" customFormat="false" ht="15" hidden="false" customHeight="false" outlineLevel="0" collapsed="false">
      <c r="A2231" s="31" t="str">
        <f aca="false">Demand_History!C2231</f>
        <v>BED-002</v>
      </c>
      <c r="B2231" s="31" t="n">
        <f aca="false">Demand_History!A2231</f>
        <v>46</v>
      </c>
      <c r="C2231" s="32" t="n">
        <f aca="false">Demand_History!D2231</f>
        <v>80</v>
      </c>
      <c r="D2231" s="33" t="n">
        <f aca="false">IF(B2231&gt;=2,C2230,"")</f>
        <v>82</v>
      </c>
      <c r="E2231" s="33" t="n">
        <f aca="false">IF(B2231&gt;=5,AVERAGE(C2227:C2230),"")</f>
        <v>77.5</v>
      </c>
      <c r="F2231" s="33" t="n">
        <f aca="false">IF(B2231&gt;=9,AVERAGE(C2223:C2230),"")</f>
        <v>81.25</v>
      </c>
      <c r="G2231" s="33" t="n">
        <f aca="false">IF(B2231=1,"",IF(B2231=2,C2230,SES_Alpha*C2230+(1-SES_Alpha)*G2230))</f>
        <v>80.6761970026892</v>
      </c>
      <c r="H2231" s="33" t="n">
        <f aca="false">IF(D2231="","",D2231-C2231)</f>
        <v>2</v>
      </c>
      <c r="I2231" s="33" t="n">
        <f aca="false">IF(E2231="","",E2231-C2231)</f>
        <v>-2.5</v>
      </c>
      <c r="J2231" s="33" t="n">
        <f aca="false">IF(F2231="","",F2231-C2231)</f>
        <v>1.25</v>
      </c>
      <c r="K2231" s="33" t="n">
        <f aca="false">IF(G2231="","",G2231-C2231)</f>
        <v>0.676197002689221</v>
      </c>
      <c r="L2231" s="33" t="n">
        <f aca="false">IF(H2231="","",ABS(H2231))</f>
        <v>2</v>
      </c>
      <c r="M2231" s="33" t="n">
        <f aca="false">IF(I2231="","",ABS(I2231))</f>
        <v>2.5</v>
      </c>
      <c r="N2231" s="33" t="n">
        <f aca="false">IF(J2231="","",ABS(J2231))</f>
        <v>1.25</v>
      </c>
      <c r="O2231" s="33" t="n">
        <f aca="false">IF(K2231="","",ABS(K2231))</f>
        <v>0.676197002689221</v>
      </c>
      <c r="P2231" s="34" t="str">
        <f aca="false">IF(B2231&gt;=Eval_Start_Week,"YES","")</f>
        <v/>
      </c>
      <c r="Q2231" s="34" t="str">
        <f aca="false">IF(AND(B2231&gt;=Cal_Start_Week,B2231&lt;=Cal_End_Week),"YES","")</f>
        <v>YES</v>
      </c>
    </row>
    <row r="2232" customFormat="false" ht="15" hidden="false" customHeight="false" outlineLevel="0" collapsed="false">
      <c r="A2232" s="31" t="str">
        <f aca="false">Demand_History!C2232</f>
        <v>BED-002</v>
      </c>
      <c r="B2232" s="31" t="n">
        <f aca="false">Demand_History!A2232</f>
        <v>47</v>
      </c>
      <c r="C2232" s="32" t="n">
        <f aca="false">Demand_History!D2232</f>
        <v>76</v>
      </c>
      <c r="D2232" s="33" t="n">
        <f aca="false">IF(B2232&gt;=2,C2231,"")</f>
        <v>80</v>
      </c>
      <c r="E2232" s="33" t="n">
        <f aca="false">IF(B2232&gt;=5,AVERAGE(C2228:C2231),"")</f>
        <v>82.75</v>
      </c>
      <c r="F2232" s="33" t="n">
        <f aca="false">IF(B2232&gt;=9,AVERAGE(C2224:C2231),"")</f>
        <v>80.375</v>
      </c>
      <c r="G2232" s="33" t="n">
        <f aca="false">IF(B2232=1,"",IF(B2232=2,C2231,SES_Alpha*C2231+(1-SES_Alpha)*G2231))</f>
        <v>80.4733379018825</v>
      </c>
      <c r="H2232" s="33" t="n">
        <f aca="false">IF(D2232="","",D2232-C2232)</f>
        <v>4</v>
      </c>
      <c r="I2232" s="33" t="n">
        <f aca="false">IF(E2232="","",E2232-C2232)</f>
        <v>6.75</v>
      </c>
      <c r="J2232" s="33" t="n">
        <f aca="false">IF(F2232="","",F2232-C2232)</f>
        <v>4.375</v>
      </c>
      <c r="K2232" s="33" t="n">
        <f aca="false">IF(G2232="","",G2232-C2232)</f>
        <v>4.47333790188245</v>
      </c>
      <c r="L2232" s="33" t="n">
        <f aca="false">IF(H2232="","",ABS(H2232))</f>
        <v>4</v>
      </c>
      <c r="M2232" s="33" t="n">
        <f aca="false">IF(I2232="","",ABS(I2232))</f>
        <v>6.75</v>
      </c>
      <c r="N2232" s="33" t="n">
        <f aca="false">IF(J2232="","",ABS(J2232))</f>
        <v>4.375</v>
      </c>
      <c r="O2232" s="33" t="n">
        <f aca="false">IF(K2232="","",ABS(K2232))</f>
        <v>4.47333790188245</v>
      </c>
      <c r="P2232" s="34" t="str">
        <f aca="false">IF(B2232&gt;=Eval_Start_Week,"YES","")</f>
        <v/>
      </c>
      <c r="Q2232" s="34" t="str">
        <f aca="false">IF(AND(B2232&gt;=Cal_Start_Week,B2232&lt;=Cal_End_Week),"YES","")</f>
        <v>YES</v>
      </c>
    </row>
    <row r="2233" customFormat="false" ht="15" hidden="false" customHeight="false" outlineLevel="0" collapsed="false">
      <c r="A2233" s="31" t="str">
        <f aca="false">Demand_History!C2233</f>
        <v>BED-002</v>
      </c>
      <c r="B2233" s="31" t="n">
        <f aca="false">Demand_History!A2233</f>
        <v>48</v>
      </c>
      <c r="C2233" s="32" t="n">
        <f aca="false">Demand_History!D2233</f>
        <v>94</v>
      </c>
      <c r="D2233" s="33" t="n">
        <f aca="false">IF(B2233&gt;=2,C2232,"")</f>
        <v>76</v>
      </c>
      <c r="E2233" s="33" t="n">
        <f aca="false">IF(B2233&gt;=5,AVERAGE(C2229:C2232),"")</f>
        <v>81.25</v>
      </c>
      <c r="F2233" s="33" t="n">
        <f aca="false">IF(B2233&gt;=9,AVERAGE(C2225:C2232),"")</f>
        <v>78.25</v>
      </c>
      <c r="G2233" s="33" t="n">
        <f aca="false">IF(B2233=1,"",IF(B2233=2,C2232,SES_Alpha*C2232+(1-SES_Alpha)*G2232))</f>
        <v>79.1313365313177</v>
      </c>
      <c r="H2233" s="33" t="n">
        <f aca="false">IF(D2233="","",D2233-C2233)</f>
        <v>-18</v>
      </c>
      <c r="I2233" s="33" t="n">
        <f aca="false">IF(E2233="","",E2233-C2233)</f>
        <v>-12.75</v>
      </c>
      <c r="J2233" s="33" t="n">
        <f aca="false">IF(F2233="","",F2233-C2233)</f>
        <v>-15.75</v>
      </c>
      <c r="K2233" s="33" t="n">
        <f aca="false">IF(G2233="","",G2233-C2233)</f>
        <v>-14.8686634686823</v>
      </c>
      <c r="L2233" s="33" t="n">
        <f aca="false">IF(H2233="","",ABS(H2233))</f>
        <v>18</v>
      </c>
      <c r="M2233" s="33" t="n">
        <f aca="false">IF(I2233="","",ABS(I2233))</f>
        <v>12.75</v>
      </c>
      <c r="N2233" s="33" t="n">
        <f aca="false">IF(J2233="","",ABS(J2233))</f>
        <v>15.75</v>
      </c>
      <c r="O2233" s="33" t="n">
        <f aca="false">IF(K2233="","",ABS(K2233))</f>
        <v>14.8686634686823</v>
      </c>
      <c r="P2233" s="34" t="str">
        <f aca="false">IF(B2233&gt;=Eval_Start_Week,"YES","")</f>
        <v/>
      </c>
      <c r="Q2233" s="34" t="str">
        <f aca="false">IF(AND(B2233&gt;=Cal_Start_Week,B2233&lt;=Cal_End_Week),"YES","")</f>
        <v>YES</v>
      </c>
    </row>
    <row r="2234" customFormat="false" ht="15" hidden="false" customHeight="false" outlineLevel="0" collapsed="false">
      <c r="A2234" s="31" t="str">
        <f aca="false">Demand_History!C2234</f>
        <v>BED-002</v>
      </c>
      <c r="B2234" s="31" t="n">
        <f aca="false">Demand_History!A2234</f>
        <v>49</v>
      </c>
      <c r="C2234" s="32" t="n">
        <f aca="false">Demand_History!D2234</f>
        <v>84</v>
      </c>
      <c r="D2234" s="33" t="n">
        <f aca="false">IF(B2234&gt;=2,C2233,"")</f>
        <v>94</v>
      </c>
      <c r="E2234" s="33" t="n">
        <f aca="false">IF(B2234&gt;=5,AVERAGE(C2230:C2233),"")</f>
        <v>83</v>
      </c>
      <c r="F2234" s="33" t="n">
        <f aca="false">IF(B2234&gt;=9,AVERAGE(C2226:C2233),"")</f>
        <v>79</v>
      </c>
      <c r="G2234" s="33" t="n">
        <f aca="false">IF(B2234=1,"",IF(B2234=2,C2233,SES_Alpha*C2233+(1-SES_Alpha)*G2233))</f>
        <v>83.5919355719224</v>
      </c>
      <c r="H2234" s="33" t="n">
        <f aca="false">IF(D2234="","",D2234-C2234)</f>
        <v>10</v>
      </c>
      <c r="I2234" s="33" t="n">
        <f aca="false">IF(E2234="","",E2234-C2234)</f>
        <v>-1</v>
      </c>
      <c r="J2234" s="33" t="n">
        <f aca="false">IF(F2234="","",F2234-C2234)</f>
        <v>-5</v>
      </c>
      <c r="K2234" s="33" t="n">
        <f aca="false">IF(G2234="","",G2234-C2234)</f>
        <v>-0.408064428077608</v>
      </c>
      <c r="L2234" s="33" t="n">
        <f aca="false">IF(H2234="","",ABS(H2234))</f>
        <v>10</v>
      </c>
      <c r="M2234" s="33" t="n">
        <f aca="false">IF(I2234="","",ABS(I2234))</f>
        <v>1</v>
      </c>
      <c r="N2234" s="33" t="n">
        <f aca="false">IF(J2234="","",ABS(J2234))</f>
        <v>5</v>
      </c>
      <c r="O2234" s="33" t="n">
        <f aca="false">IF(K2234="","",ABS(K2234))</f>
        <v>0.408064428077608</v>
      </c>
      <c r="P2234" s="34" t="str">
        <f aca="false">IF(B2234&gt;=Eval_Start_Week,"YES","")</f>
        <v/>
      </c>
      <c r="Q2234" s="34" t="str">
        <f aca="false">IF(AND(B2234&gt;=Cal_Start_Week,B2234&lt;=Cal_End_Week),"YES","")</f>
        <v>YES</v>
      </c>
    </row>
    <row r="2235" customFormat="false" ht="15" hidden="false" customHeight="false" outlineLevel="0" collapsed="false">
      <c r="A2235" s="31" t="str">
        <f aca="false">Demand_History!C2235</f>
        <v>BED-002</v>
      </c>
      <c r="B2235" s="31" t="n">
        <f aca="false">Demand_History!A2235</f>
        <v>50</v>
      </c>
      <c r="C2235" s="32" t="n">
        <f aca="false">Demand_History!D2235</f>
        <v>87</v>
      </c>
      <c r="D2235" s="33" t="n">
        <f aca="false">IF(B2235&gt;=2,C2234,"")</f>
        <v>84</v>
      </c>
      <c r="E2235" s="33" t="n">
        <f aca="false">IF(B2235&gt;=5,AVERAGE(C2231:C2234),"")</f>
        <v>83.5</v>
      </c>
      <c r="F2235" s="33" t="n">
        <f aca="false">IF(B2235&gt;=9,AVERAGE(C2227:C2234),"")</f>
        <v>80.5</v>
      </c>
      <c r="G2235" s="33" t="n">
        <f aca="false">IF(B2235=1,"",IF(B2235=2,C2234,SES_Alpha*C2234+(1-SES_Alpha)*G2234))</f>
        <v>83.7143549003457</v>
      </c>
      <c r="H2235" s="33" t="n">
        <f aca="false">IF(D2235="","",D2235-C2235)</f>
        <v>-3</v>
      </c>
      <c r="I2235" s="33" t="n">
        <f aca="false">IF(E2235="","",E2235-C2235)</f>
        <v>-3.5</v>
      </c>
      <c r="J2235" s="33" t="n">
        <f aca="false">IF(F2235="","",F2235-C2235)</f>
        <v>-6.5</v>
      </c>
      <c r="K2235" s="33" t="n">
        <f aca="false">IF(G2235="","",G2235-C2235)</f>
        <v>-3.28564509965433</v>
      </c>
      <c r="L2235" s="33" t="n">
        <f aca="false">IF(H2235="","",ABS(H2235))</f>
        <v>3</v>
      </c>
      <c r="M2235" s="33" t="n">
        <f aca="false">IF(I2235="","",ABS(I2235))</f>
        <v>3.5</v>
      </c>
      <c r="N2235" s="33" t="n">
        <f aca="false">IF(J2235="","",ABS(J2235))</f>
        <v>6.5</v>
      </c>
      <c r="O2235" s="33" t="n">
        <f aca="false">IF(K2235="","",ABS(K2235))</f>
        <v>3.28564509965433</v>
      </c>
      <c r="P2235" s="34" t="str">
        <f aca="false">IF(B2235&gt;=Eval_Start_Week,"YES","")</f>
        <v/>
      </c>
      <c r="Q2235" s="34" t="str">
        <f aca="false">IF(AND(B2235&gt;=Cal_Start_Week,B2235&lt;=Cal_End_Week),"YES","")</f>
        <v>YES</v>
      </c>
    </row>
    <row r="2236" customFormat="false" ht="15" hidden="false" customHeight="false" outlineLevel="0" collapsed="false">
      <c r="A2236" s="31" t="str">
        <f aca="false">Demand_History!C2236</f>
        <v>BED-002</v>
      </c>
      <c r="B2236" s="31" t="n">
        <f aca="false">Demand_History!A2236</f>
        <v>51</v>
      </c>
      <c r="C2236" s="32" t="n">
        <f aca="false">Demand_History!D2236</f>
        <v>73</v>
      </c>
      <c r="D2236" s="33" t="n">
        <f aca="false">IF(B2236&gt;=2,C2235,"")</f>
        <v>87</v>
      </c>
      <c r="E2236" s="33" t="n">
        <f aca="false">IF(B2236&gt;=5,AVERAGE(C2232:C2235),"")</f>
        <v>85.25</v>
      </c>
      <c r="F2236" s="33" t="n">
        <f aca="false">IF(B2236&gt;=9,AVERAGE(C2228:C2235),"")</f>
        <v>84</v>
      </c>
      <c r="G2236" s="33" t="n">
        <f aca="false">IF(B2236=1,"",IF(B2236=2,C2235,SES_Alpha*C2235+(1-SES_Alpha)*G2235))</f>
        <v>84.700048430242</v>
      </c>
      <c r="H2236" s="33" t="n">
        <f aca="false">IF(D2236="","",D2236-C2236)</f>
        <v>14</v>
      </c>
      <c r="I2236" s="33" t="n">
        <f aca="false">IF(E2236="","",E2236-C2236)</f>
        <v>12.25</v>
      </c>
      <c r="J2236" s="33" t="n">
        <f aca="false">IF(F2236="","",F2236-C2236)</f>
        <v>11</v>
      </c>
      <c r="K2236" s="33" t="n">
        <f aca="false">IF(G2236="","",G2236-C2236)</f>
        <v>11.700048430242</v>
      </c>
      <c r="L2236" s="33" t="n">
        <f aca="false">IF(H2236="","",ABS(H2236))</f>
        <v>14</v>
      </c>
      <c r="M2236" s="33" t="n">
        <f aca="false">IF(I2236="","",ABS(I2236))</f>
        <v>12.25</v>
      </c>
      <c r="N2236" s="33" t="n">
        <f aca="false">IF(J2236="","",ABS(J2236))</f>
        <v>11</v>
      </c>
      <c r="O2236" s="33" t="n">
        <f aca="false">IF(K2236="","",ABS(K2236))</f>
        <v>11.700048430242</v>
      </c>
      <c r="P2236" s="34" t="str">
        <f aca="false">IF(B2236&gt;=Eval_Start_Week,"YES","")</f>
        <v/>
      </c>
      <c r="Q2236" s="34" t="str">
        <f aca="false">IF(AND(B2236&gt;=Cal_Start_Week,B2236&lt;=Cal_End_Week),"YES","")</f>
        <v>YES</v>
      </c>
    </row>
    <row r="2237" customFormat="false" ht="15" hidden="false" customHeight="false" outlineLevel="0" collapsed="false">
      <c r="A2237" s="31" t="str">
        <f aca="false">Demand_History!C2237</f>
        <v>BED-002</v>
      </c>
      <c r="B2237" s="31" t="n">
        <f aca="false">Demand_History!A2237</f>
        <v>52</v>
      </c>
      <c r="C2237" s="32" t="n">
        <f aca="false">Demand_History!D2237</f>
        <v>77</v>
      </c>
      <c r="D2237" s="33" t="n">
        <f aca="false">IF(B2237&gt;=2,C2236,"")</f>
        <v>73</v>
      </c>
      <c r="E2237" s="33" t="n">
        <f aca="false">IF(B2237&gt;=5,AVERAGE(C2233:C2236),"")</f>
        <v>84.5</v>
      </c>
      <c r="F2237" s="33" t="n">
        <f aca="false">IF(B2237&gt;=9,AVERAGE(C2229:C2236),"")</f>
        <v>82.875</v>
      </c>
      <c r="G2237" s="33" t="n">
        <f aca="false">IF(B2237=1,"",IF(B2237=2,C2236,SES_Alpha*C2236+(1-SES_Alpha)*G2236))</f>
        <v>81.1900339011694</v>
      </c>
      <c r="H2237" s="33" t="n">
        <f aca="false">IF(D2237="","",D2237-C2237)</f>
        <v>-4</v>
      </c>
      <c r="I2237" s="33" t="n">
        <f aca="false">IF(E2237="","",E2237-C2237)</f>
        <v>7.5</v>
      </c>
      <c r="J2237" s="33" t="n">
        <f aca="false">IF(F2237="","",F2237-C2237)</f>
        <v>5.875</v>
      </c>
      <c r="K2237" s="33" t="n">
        <f aca="false">IF(G2237="","",G2237-C2237)</f>
        <v>4.19003390116937</v>
      </c>
      <c r="L2237" s="33" t="n">
        <f aca="false">IF(H2237="","",ABS(H2237))</f>
        <v>4</v>
      </c>
      <c r="M2237" s="33" t="n">
        <f aca="false">IF(I2237="","",ABS(I2237))</f>
        <v>7.5</v>
      </c>
      <c r="N2237" s="33" t="n">
        <f aca="false">IF(J2237="","",ABS(J2237))</f>
        <v>5.875</v>
      </c>
      <c r="O2237" s="33" t="n">
        <f aca="false">IF(K2237="","",ABS(K2237))</f>
        <v>4.19003390116937</v>
      </c>
      <c r="P2237" s="34" t="str">
        <f aca="false">IF(B2237&gt;=Eval_Start_Week,"YES","")</f>
        <v/>
      </c>
      <c r="Q2237" s="34" t="str">
        <f aca="false">IF(AND(B2237&gt;=Cal_Start_Week,B2237&lt;=Cal_End_Week),"YES","")</f>
        <v>YES</v>
      </c>
    </row>
    <row r="2238" customFormat="false" ht="15" hidden="false" customHeight="false" outlineLevel="0" collapsed="false">
      <c r="A2238" s="31" t="str">
        <f aca="false">Demand_History!C2238</f>
        <v>BED-002</v>
      </c>
      <c r="B2238" s="31" t="n">
        <f aca="false">Demand_History!A2238</f>
        <v>53</v>
      </c>
      <c r="C2238" s="32" t="n">
        <f aca="false">Demand_History!D2238</f>
        <v>87</v>
      </c>
      <c r="D2238" s="33" t="n">
        <f aca="false">IF(B2238&gt;=2,C2237,"")</f>
        <v>77</v>
      </c>
      <c r="E2238" s="33" t="n">
        <f aca="false">IF(B2238&gt;=5,AVERAGE(C2234:C2237),"")</f>
        <v>80.25</v>
      </c>
      <c r="F2238" s="33" t="n">
        <f aca="false">IF(B2238&gt;=9,AVERAGE(C2230:C2237),"")</f>
        <v>81.625</v>
      </c>
      <c r="G2238" s="33" t="n">
        <f aca="false">IF(B2238=1,"",IF(B2238=2,C2237,SES_Alpha*C2237+(1-SES_Alpha)*G2237))</f>
        <v>79.9330237308186</v>
      </c>
      <c r="H2238" s="33" t="n">
        <f aca="false">IF(D2238="","",D2238-C2238)</f>
        <v>-10</v>
      </c>
      <c r="I2238" s="33" t="n">
        <f aca="false">IF(E2238="","",E2238-C2238)</f>
        <v>-6.75</v>
      </c>
      <c r="J2238" s="33" t="n">
        <f aca="false">IF(F2238="","",F2238-C2238)</f>
        <v>-5.375</v>
      </c>
      <c r="K2238" s="33" t="n">
        <f aca="false">IF(G2238="","",G2238-C2238)</f>
        <v>-7.06697626918145</v>
      </c>
      <c r="L2238" s="33" t="n">
        <f aca="false">IF(H2238="","",ABS(H2238))</f>
        <v>10</v>
      </c>
      <c r="M2238" s="33" t="n">
        <f aca="false">IF(I2238="","",ABS(I2238))</f>
        <v>6.75</v>
      </c>
      <c r="N2238" s="33" t="n">
        <f aca="false">IF(J2238="","",ABS(J2238))</f>
        <v>5.375</v>
      </c>
      <c r="O2238" s="33" t="n">
        <f aca="false">IF(K2238="","",ABS(K2238))</f>
        <v>7.06697626918145</v>
      </c>
      <c r="P2238" s="34" t="str">
        <f aca="false">IF(B2238&gt;=Eval_Start_Week,"YES","")</f>
        <v>YES</v>
      </c>
      <c r="Q2238" s="34" t="str">
        <f aca="false">IF(AND(B2238&gt;=Cal_Start_Week,B2238&lt;=Cal_End_Week),"YES","")</f>
        <v>YES</v>
      </c>
    </row>
    <row r="2239" customFormat="false" ht="15" hidden="false" customHeight="false" outlineLevel="0" collapsed="false">
      <c r="A2239" s="31" t="str">
        <f aca="false">Demand_History!C2239</f>
        <v>BED-002</v>
      </c>
      <c r="B2239" s="31" t="n">
        <f aca="false">Demand_History!A2239</f>
        <v>54</v>
      </c>
      <c r="C2239" s="32" t="n">
        <f aca="false">Demand_History!D2239</f>
        <v>72</v>
      </c>
      <c r="D2239" s="33" t="n">
        <f aca="false">IF(B2239&gt;=2,C2238,"")</f>
        <v>87</v>
      </c>
      <c r="E2239" s="33" t="n">
        <f aca="false">IF(B2239&gt;=5,AVERAGE(C2235:C2238),"")</f>
        <v>81</v>
      </c>
      <c r="F2239" s="33" t="n">
        <f aca="false">IF(B2239&gt;=9,AVERAGE(C2231:C2238),"")</f>
        <v>82.25</v>
      </c>
      <c r="G2239" s="33" t="n">
        <f aca="false">IF(B2239=1,"",IF(B2239=2,C2238,SES_Alpha*C2238+(1-SES_Alpha)*G2238))</f>
        <v>82.053116611573</v>
      </c>
      <c r="H2239" s="33" t="n">
        <f aca="false">IF(D2239="","",D2239-C2239)</f>
        <v>15</v>
      </c>
      <c r="I2239" s="33" t="n">
        <f aca="false">IF(E2239="","",E2239-C2239)</f>
        <v>9</v>
      </c>
      <c r="J2239" s="33" t="n">
        <f aca="false">IF(F2239="","",F2239-C2239)</f>
        <v>10.25</v>
      </c>
      <c r="K2239" s="33" t="n">
        <f aca="false">IF(G2239="","",G2239-C2239)</f>
        <v>10.053116611573</v>
      </c>
      <c r="L2239" s="33" t="n">
        <f aca="false">IF(H2239="","",ABS(H2239))</f>
        <v>15</v>
      </c>
      <c r="M2239" s="33" t="n">
        <f aca="false">IF(I2239="","",ABS(I2239))</f>
        <v>9</v>
      </c>
      <c r="N2239" s="33" t="n">
        <f aca="false">IF(J2239="","",ABS(J2239))</f>
        <v>10.25</v>
      </c>
      <c r="O2239" s="33" t="n">
        <f aca="false">IF(K2239="","",ABS(K2239))</f>
        <v>10.053116611573</v>
      </c>
      <c r="P2239" s="34" t="str">
        <f aca="false">IF(B2239&gt;=Eval_Start_Week,"YES","")</f>
        <v>YES</v>
      </c>
      <c r="Q2239" s="34" t="str">
        <f aca="false">IF(AND(B2239&gt;=Cal_Start_Week,B2239&lt;=Cal_End_Week),"YES","")</f>
        <v>YES</v>
      </c>
    </row>
    <row r="2240" customFormat="false" ht="15" hidden="false" customHeight="false" outlineLevel="0" collapsed="false">
      <c r="A2240" s="31" t="str">
        <f aca="false">Demand_History!C2240</f>
        <v>BED-002</v>
      </c>
      <c r="B2240" s="31" t="n">
        <f aca="false">Demand_History!A2240</f>
        <v>55</v>
      </c>
      <c r="C2240" s="32" t="n">
        <f aca="false">Demand_History!D2240</f>
        <v>69</v>
      </c>
      <c r="D2240" s="33" t="n">
        <f aca="false">IF(B2240&gt;=2,C2239,"")</f>
        <v>72</v>
      </c>
      <c r="E2240" s="33" t="n">
        <f aca="false">IF(B2240&gt;=5,AVERAGE(C2236:C2239),"")</f>
        <v>77.25</v>
      </c>
      <c r="F2240" s="33" t="n">
        <f aca="false">IF(B2240&gt;=9,AVERAGE(C2232:C2239),"")</f>
        <v>81.25</v>
      </c>
      <c r="G2240" s="33" t="n">
        <f aca="false">IF(B2240=1,"",IF(B2240=2,C2239,SES_Alpha*C2239+(1-SES_Alpha)*G2239))</f>
        <v>79.0371816281011</v>
      </c>
      <c r="H2240" s="33" t="n">
        <f aca="false">IF(D2240="","",D2240-C2240)</f>
        <v>3</v>
      </c>
      <c r="I2240" s="33" t="n">
        <f aca="false">IF(E2240="","",E2240-C2240)</f>
        <v>8.25</v>
      </c>
      <c r="J2240" s="33" t="n">
        <f aca="false">IF(F2240="","",F2240-C2240)</f>
        <v>12.25</v>
      </c>
      <c r="K2240" s="33" t="n">
        <f aca="false">IF(G2240="","",G2240-C2240)</f>
        <v>10.0371816281011</v>
      </c>
      <c r="L2240" s="33" t="n">
        <f aca="false">IF(H2240="","",ABS(H2240))</f>
        <v>3</v>
      </c>
      <c r="M2240" s="33" t="n">
        <f aca="false">IF(I2240="","",ABS(I2240))</f>
        <v>8.25</v>
      </c>
      <c r="N2240" s="33" t="n">
        <f aca="false">IF(J2240="","",ABS(J2240))</f>
        <v>12.25</v>
      </c>
      <c r="O2240" s="33" t="n">
        <f aca="false">IF(K2240="","",ABS(K2240))</f>
        <v>10.0371816281011</v>
      </c>
      <c r="P2240" s="34" t="str">
        <f aca="false">IF(B2240&gt;=Eval_Start_Week,"YES","")</f>
        <v>YES</v>
      </c>
      <c r="Q2240" s="34" t="str">
        <f aca="false">IF(AND(B2240&gt;=Cal_Start_Week,B2240&lt;=Cal_End_Week),"YES","")</f>
        <v>YES</v>
      </c>
    </row>
    <row r="2241" customFormat="false" ht="15" hidden="false" customHeight="false" outlineLevel="0" collapsed="false">
      <c r="A2241" s="31" t="str">
        <f aca="false">Demand_History!C2241</f>
        <v>BED-002</v>
      </c>
      <c r="B2241" s="31" t="n">
        <f aca="false">Demand_History!A2241</f>
        <v>56</v>
      </c>
      <c r="C2241" s="32" t="n">
        <f aca="false">Demand_History!D2241</f>
        <v>81</v>
      </c>
      <c r="D2241" s="33" t="n">
        <f aca="false">IF(B2241&gt;=2,C2240,"")</f>
        <v>69</v>
      </c>
      <c r="E2241" s="33" t="n">
        <f aca="false">IF(B2241&gt;=5,AVERAGE(C2237:C2240),"")</f>
        <v>76.25</v>
      </c>
      <c r="F2241" s="33" t="n">
        <f aca="false">IF(B2241&gt;=9,AVERAGE(C2233:C2240),"")</f>
        <v>80.375</v>
      </c>
      <c r="G2241" s="33" t="n">
        <f aca="false">IF(B2241=1,"",IF(B2241=2,C2240,SES_Alpha*C2240+(1-SES_Alpha)*G2240))</f>
        <v>76.0260271396708</v>
      </c>
      <c r="H2241" s="33" t="n">
        <f aca="false">IF(D2241="","",D2241-C2241)</f>
        <v>-12</v>
      </c>
      <c r="I2241" s="33" t="n">
        <f aca="false">IF(E2241="","",E2241-C2241)</f>
        <v>-4.75</v>
      </c>
      <c r="J2241" s="33" t="n">
        <f aca="false">IF(F2241="","",F2241-C2241)</f>
        <v>-0.625</v>
      </c>
      <c r="K2241" s="33" t="n">
        <f aca="false">IF(G2241="","",G2241-C2241)</f>
        <v>-4.97397286032924</v>
      </c>
      <c r="L2241" s="33" t="n">
        <f aca="false">IF(H2241="","",ABS(H2241))</f>
        <v>12</v>
      </c>
      <c r="M2241" s="33" t="n">
        <f aca="false">IF(I2241="","",ABS(I2241))</f>
        <v>4.75</v>
      </c>
      <c r="N2241" s="33" t="n">
        <f aca="false">IF(J2241="","",ABS(J2241))</f>
        <v>0.625</v>
      </c>
      <c r="O2241" s="33" t="n">
        <f aca="false">IF(K2241="","",ABS(K2241))</f>
        <v>4.97397286032924</v>
      </c>
      <c r="P2241" s="34" t="str">
        <f aca="false">IF(B2241&gt;=Eval_Start_Week,"YES","")</f>
        <v>YES</v>
      </c>
      <c r="Q2241" s="34" t="str">
        <f aca="false">IF(AND(B2241&gt;=Cal_Start_Week,B2241&lt;=Cal_End_Week),"YES","")</f>
        <v>YES</v>
      </c>
    </row>
    <row r="2242" customFormat="false" ht="15" hidden="false" customHeight="false" outlineLevel="0" collapsed="false">
      <c r="A2242" s="31" t="str">
        <f aca="false">Demand_History!C2242</f>
        <v>BED-002</v>
      </c>
      <c r="B2242" s="31" t="n">
        <f aca="false">Demand_History!A2242</f>
        <v>57</v>
      </c>
      <c r="C2242" s="32" t="n">
        <f aca="false">Demand_History!D2242</f>
        <v>100</v>
      </c>
      <c r="D2242" s="33" t="n">
        <f aca="false">IF(B2242&gt;=2,C2241,"")</f>
        <v>81</v>
      </c>
      <c r="E2242" s="33" t="n">
        <f aca="false">IF(B2242&gt;=5,AVERAGE(C2238:C2241),"")</f>
        <v>77.25</v>
      </c>
      <c r="F2242" s="33" t="n">
        <f aca="false">IF(B2242&gt;=9,AVERAGE(C2234:C2241),"")</f>
        <v>78.75</v>
      </c>
      <c r="G2242" s="33" t="n">
        <f aca="false">IF(B2242=1,"",IF(B2242=2,C2241,SES_Alpha*C2241+(1-SES_Alpha)*G2241))</f>
        <v>77.5182189977695</v>
      </c>
      <c r="H2242" s="33" t="n">
        <f aca="false">IF(D2242="","",D2242-C2242)</f>
        <v>-19</v>
      </c>
      <c r="I2242" s="33" t="n">
        <f aca="false">IF(E2242="","",E2242-C2242)</f>
        <v>-22.75</v>
      </c>
      <c r="J2242" s="33" t="n">
        <f aca="false">IF(F2242="","",F2242-C2242)</f>
        <v>-21.25</v>
      </c>
      <c r="K2242" s="33" t="n">
        <f aca="false">IF(G2242="","",G2242-C2242)</f>
        <v>-22.4817810022305</v>
      </c>
      <c r="L2242" s="33" t="n">
        <f aca="false">IF(H2242="","",ABS(H2242))</f>
        <v>19</v>
      </c>
      <c r="M2242" s="33" t="n">
        <f aca="false">IF(I2242="","",ABS(I2242))</f>
        <v>22.75</v>
      </c>
      <c r="N2242" s="33" t="n">
        <f aca="false">IF(J2242="","",ABS(J2242))</f>
        <v>21.25</v>
      </c>
      <c r="O2242" s="33" t="n">
        <f aca="false">IF(K2242="","",ABS(K2242))</f>
        <v>22.4817810022305</v>
      </c>
      <c r="P2242" s="34" t="str">
        <f aca="false">IF(B2242&gt;=Eval_Start_Week,"YES","")</f>
        <v>YES</v>
      </c>
      <c r="Q2242" s="34" t="str">
        <f aca="false">IF(AND(B2242&gt;=Cal_Start_Week,B2242&lt;=Cal_End_Week),"YES","")</f>
        <v>YES</v>
      </c>
    </row>
    <row r="2243" customFormat="false" ht="15" hidden="false" customHeight="false" outlineLevel="0" collapsed="false">
      <c r="A2243" s="31" t="str">
        <f aca="false">Demand_History!C2243</f>
        <v>BED-002</v>
      </c>
      <c r="B2243" s="31" t="n">
        <f aca="false">Demand_History!A2243</f>
        <v>58</v>
      </c>
      <c r="C2243" s="32" t="n">
        <f aca="false">Demand_History!D2243</f>
        <v>87</v>
      </c>
      <c r="D2243" s="33" t="n">
        <f aca="false">IF(B2243&gt;=2,C2242,"")</f>
        <v>100</v>
      </c>
      <c r="E2243" s="33" t="n">
        <f aca="false">IF(B2243&gt;=5,AVERAGE(C2239:C2242),"")</f>
        <v>80.5</v>
      </c>
      <c r="F2243" s="33" t="n">
        <f aca="false">IF(B2243&gt;=9,AVERAGE(C2235:C2242),"")</f>
        <v>80.75</v>
      </c>
      <c r="G2243" s="33" t="n">
        <f aca="false">IF(B2243=1,"",IF(B2243=2,C2242,SES_Alpha*C2242+(1-SES_Alpha)*G2242))</f>
        <v>84.2627532984387</v>
      </c>
      <c r="H2243" s="33" t="n">
        <f aca="false">IF(D2243="","",D2243-C2243)</f>
        <v>13</v>
      </c>
      <c r="I2243" s="33" t="n">
        <f aca="false">IF(E2243="","",E2243-C2243)</f>
        <v>-6.5</v>
      </c>
      <c r="J2243" s="33" t="n">
        <f aca="false">IF(F2243="","",F2243-C2243)</f>
        <v>-6.25</v>
      </c>
      <c r="K2243" s="33" t="n">
        <f aca="false">IF(G2243="","",G2243-C2243)</f>
        <v>-2.73724670156133</v>
      </c>
      <c r="L2243" s="33" t="n">
        <f aca="false">IF(H2243="","",ABS(H2243))</f>
        <v>13</v>
      </c>
      <c r="M2243" s="33" t="n">
        <f aca="false">IF(I2243="","",ABS(I2243))</f>
        <v>6.5</v>
      </c>
      <c r="N2243" s="33" t="n">
        <f aca="false">IF(J2243="","",ABS(J2243))</f>
        <v>6.25</v>
      </c>
      <c r="O2243" s="33" t="n">
        <f aca="false">IF(K2243="","",ABS(K2243))</f>
        <v>2.73724670156133</v>
      </c>
      <c r="P2243" s="34" t="str">
        <f aca="false">IF(B2243&gt;=Eval_Start_Week,"YES","")</f>
        <v>YES</v>
      </c>
      <c r="Q2243" s="34" t="str">
        <f aca="false">IF(AND(B2243&gt;=Cal_Start_Week,B2243&lt;=Cal_End_Week),"YES","")</f>
        <v>YES</v>
      </c>
    </row>
    <row r="2244" customFormat="false" ht="15" hidden="false" customHeight="false" outlineLevel="0" collapsed="false">
      <c r="A2244" s="31" t="str">
        <f aca="false">Demand_History!C2244</f>
        <v>BED-002</v>
      </c>
      <c r="B2244" s="31" t="n">
        <f aca="false">Demand_History!A2244</f>
        <v>59</v>
      </c>
      <c r="C2244" s="32" t="n">
        <f aca="false">Demand_History!D2244</f>
        <v>103</v>
      </c>
      <c r="D2244" s="33" t="n">
        <f aca="false">IF(B2244&gt;=2,C2243,"")</f>
        <v>87</v>
      </c>
      <c r="E2244" s="33" t="n">
        <f aca="false">IF(B2244&gt;=5,AVERAGE(C2240:C2243),"")</f>
        <v>84.25</v>
      </c>
      <c r="F2244" s="33" t="n">
        <f aca="false">IF(B2244&gt;=9,AVERAGE(C2236:C2243),"")</f>
        <v>80.75</v>
      </c>
      <c r="G2244" s="33" t="n">
        <f aca="false">IF(B2244=1,"",IF(B2244=2,C2243,SES_Alpha*C2243+(1-SES_Alpha)*G2243))</f>
        <v>85.0839273089071</v>
      </c>
      <c r="H2244" s="33" t="n">
        <f aca="false">IF(D2244="","",D2244-C2244)</f>
        <v>-16</v>
      </c>
      <c r="I2244" s="33" t="n">
        <f aca="false">IF(E2244="","",E2244-C2244)</f>
        <v>-18.75</v>
      </c>
      <c r="J2244" s="33" t="n">
        <f aca="false">IF(F2244="","",F2244-C2244)</f>
        <v>-22.25</v>
      </c>
      <c r="K2244" s="33" t="n">
        <f aca="false">IF(G2244="","",G2244-C2244)</f>
        <v>-17.9160726910929</v>
      </c>
      <c r="L2244" s="33" t="n">
        <f aca="false">IF(H2244="","",ABS(H2244))</f>
        <v>16</v>
      </c>
      <c r="M2244" s="33" t="n">
        <f aca="false">IF(I2244="","",ABS(I2244))</f>
        <v>18.75</v>
      </c>
      <c r="N2244" s="33" t="n">
        <f aca="false">IF(J2244="","",ABS(J2244))</f>
        <v>22.25</v>
      </c>
      <c r="O2244" s="33" t="n">
        <f aca="false">IF(K2244="","",ABS(K2244))</f>
        <v>17.9160726910929</v>
      </c>
      <c r="P2244" s="34" t="str">
        <f aca="false">IF(B2244&gt;=Eval_Start_Week,"YES","")</f>
        <v>YES</v>
      </c>
      <c r="Q2244" s="34" t="str">
        <f aca="false">IF(AND(B2244&gt;=Cal_Start_Week,B2244&lt;=Cal_End_Week),"YES","")</f>
        <v>YES</v>
      </c>
    </row>
    <row r="2245" customFormat="false" ht="15" hidden="false" customHeight="false" outlineLevel="0" collapsed="false">
      <c r="A2245" s="31" t="str">
        <f aca="false">Demand_History!C2245</f>
        <v>BED-002</v>
      </c>
      <c r="B2245" s="31" t="n">
        <f aca="false">Demand_History!A2245</f>
        <v>60</v>
      </c>
      <c r="C2245" s="32" t="n">
        <f aca="false">Demand_History!D2245</f>
        <v>83</v>
      </c>
      <c r="D2245" s="33" t="n">
        <f aca="false">IF(B2245&gt;=2,C2244,"")</f>
        <v>103</v>
      </c>
      <c r="E2245" s="33" t="n">
        <f aca="false">IF(B2245&gt;=5,AVERAGE(C2241:C2244),"")</f>
        <v>92.75</v>
      </c>
      <c r="F2245" s="33" t="n">
        <f aca="false">IF(B2245&gt;=9,AVERAGE(C2237:C2244),"")</f>
        <v>84.5</v>
      </c>
      <c r="G2245" s="33" t="n">
        <f aca="false">IF(B2245=1,"",IF(B2245=2,C2244,SES_Alpha*C2244+(1-SES_Alpha)*G2244))</f>
        <v>90.4587491162349</v>
      </c>
      <c r="H2245" s="33" t="n">
        <f aca="false">IF(D2245="","",D2245-C2245)</f>
        <v>20</v>
      </c>
      <c r="I2245" s="33" t="n">
        <f aca="false">IF(E2245="","",E2245-C2245)</f>
        <v>9.75</v>
      </c>
      <c r="J2245" s="33" t="n">
        <f aca="false">IF(F2245="","",F2245-C2245)</f>
        <v>1.5</v>
      </c>
      <c r="K2245" s="33" t="n">
        <f aca="false">IF(G2245="","",G2245-C2245)</f>
        <v>7.45874911623494</v>
      </c>
      <c r="L2245" s="33" t="n">
        <f aca="false">IF(H2245="","",ABS(H2245))</f>
        <v>20</v>
      </c>
      <c r="M2245" s="33" t="n">
        <f aca="false">IF(I2245="","",ABS(I2245))</f>
        <v>9.75</v>
      </c>
      <c r="N2245" s="33" t="n">
        <f aca="false">IF(J2245="","",ABS(J2245))</f>
        <v>1.5</v>
      </c>
      <c r="O2245" s="33" t="n">
        <f aca="false">IF(K2245="","",ABS(K2245))</f>
        <v>7.45874911623494</v>
      </c>
      <c r="P2245" s="34" t="str">
        <f aca="false">IF(B2245&gt;=Eval_Start_Week,"YES","")</f>
        <v>YES</v>
      </c>
      <c r="Q2245" s="34" t="str">
        <f aca="false">IF(AND(B2245&gt;=Cal_Start_Week,B2245&lt;=Cal_End_Week),"YES","")</f>
        <v>YES</v>
      </c>
    </row>
    <row r="2246" customFormat="false" ht="15" hidden="false" customHeight="false" outlineLevel="0" collapsed="false">
      <c r="A2246" s="31" t="str">
        <f aca="false">Demand_History!C2246</f>
        <v>BED-002</v>
      </c>
      <c r="B2246" s="31" t="n">
        <f aca="false">Demand_History!A2246</f>
        <v>61</v>
      </c>
      <c r="C2246" s="32" t="n">
        <f aca="false">Demand_History!D2246</f>
        <v>81</v>
      </c>
      <c r="D2246" s="33" t="n">
        <f aca="false">IF(B2246&gt;=2,C2245,"")</f>
        <v>83</v>
      </c>
      <c r="E2246" s="33" t="n">
        <f aca="false">IF(B2246&gt;=5,AVERAGE(C2242:C2245),"")</f>
        <v>93.25</v>
      </c>
      <c r="F2246" s="33" t="n">
        <f aca="false">IF(B2246&gt;=9,AVERAGE(C2238:C2245),"")</f>
        <v>85.25</v>
      </c>
      <c r="G2246" s="33" t="n">
        <f aca="false">IF(B2246=1,"",IF(B2246=2,C2245,SES_Alpha*C2245+(1-SES_Alpha)*G2245))</f>
        <v>88.2211243813645</v>
      </c>
      <c r="H2246" s="33" t="n">
        <f aca="false">IF(D2246="","",D2246-C2246)</f>
        <v>2</v>
      </c>
      <c r="I2246" s="33" t="n">
        <f aca="false">IF(E2246="","",E2246-C2246)</f>
        <v>12.25</v>
      </c>
      <c r="J2246" s="33" t="n">
        <f aca="false">IF(F2246="","",F2246-C2246)</f>
        <v>4.25</v>
      </c>
      <c r="K2246" s="33" t="n">
        <f aca="false">IF(G2246="","",G2246-C2246)</f>
        <v>7.22112438136446</v>
      </c>
      <c r="L2246" s="33" t="n">
        <f aca="false">IF(H2246="","",ABS(H2246))</f>
        <v>2</v>
      </c>
      <c r="M2246" s="33" t="n">
        <f aca="false">IF(I2246="","",ABS(I2246))</f>
        <v>12.25</v>
      </c>
      <c r="N2246" s="33" t="n">
        <f aca="false">IF(J2246="","",ABS(J2246))</f>
        <v>4.25</v>
      </c>
      <c r="O2246" s="33" t="n">
        <f aca="false">IF(K2246="","",ABS(K2246))</f>
        <v>7.22112438136446</v>
      </c>
      <c r="P2246" s="34" t="str">
        <f aca="false">IF(B2246&gt;=Eval_Start_Week,"YES","")</f>
        <v>YES</v>
      </c>
      <c r="Q2246" s="34" t="str">
        <f aca="false">IF(AND(B2246&gt;=Cal_Start_Week,B2246&lt;=Cal_End_Week),"YES","")</f>
        <v>YES</v>
      </c>
    </row>
    <row r="2247" customFormat="false" ht="15" hidden="false" customHeight="false" outlineLevel="0" collapsed="false">
      <c r="A2247" s="31" t="str">
        <f aca="false">Demand_History!C2247</f>
        <v>BED-002</v>
      </c>
      <c r="B2247" s="31" t="n">
        <f aca="false">Demand_History!A2247</f>
        <v>62</v>
      </c>
      <c r="C2247" s="32" t="n">
        <f aca="false">Demand_History!D2247</f>
        <v>68</v>
      </c>
      <c r="D2247" s="33" t="n">
        <f aca="false">IF(B2247&gt;=2,C2246,"")</f>
        <v>81</v>
      </c>
      <c r="E2247" s="33" t="n">
        <f aca="false">IF(B2247&gt;=5,AVERAGE(C2243:C2246),"")</f>
        <v>88.5</v>
      </c>
      <c r="F2247" s="33" t="n">
        <f aca="false">IF(B2247&gt;=9,AVERAGE(C2239:C2246),"")</f>
        <v>84.5</v>
      </c>
      <c r="G2247" s="33" t="n">
        <f aca="false">IF(B2247=1,"",IF(B2247=2,C2246,SES_Alpha*C2246+(1-SES_Alpha)*G2246))</f>
        <v>86.0547870669551</v>
      </c>
      <c r="H2247" s="33" t="n">
        <f aca="false">IF(D2247="","",D2247-C2247)</f>
        <v>13</v>
      </c>
      <c r="I2247" s="33" t="n">
        <f aca="false">IF(E2247="","",E2247-C2247)</f>
        <v>20.5</v>
      </c>
      <c r="J2247" s="33" t="n">
        <f aca="false">IF(F2247="","",F2247-C2247)</f>
        <v>16.5</v>
      </c>
      <c r="K2247" s="33" t="n">
        <f aca="false">IF(G2247="","",G2247-C2247)</f>
        <v>18.0547870669551</v>
      </c>
      <c r="L2247" s="33" t="n">
        <f aca="false">IF(H2247="","",ABS(H2247))</f>
        <v>13</v>
      </c>
      <c r="M2247" s="33" t="n">
        <f aca="false">IF(I2247="","",ABS(I2247))</f>
        <v>20.5</v>
      </c>
      <c r="N2247" s="33" t="n">
        <f aca="false">IF(J2247="","",ABS(J2247))</f>
        <v>16.5</v>
      </c>
      <c r="O2247" s="33" t="n">
        <f aca="false">IF(K2247="","",ABS(K2247))</f>
        <v>18.0547870669551</v>
      </c>
      <c r="P2247" s="34" t="str">
        <f aca="false">IF(B2247&gt;=Eval_Start_Week,"YES","")</f>
        <v>YES</v>
      </c>
      <c r="Q2247" s="34" t="str">
        <f aca="false">IF(AND(B2247&gt;=Cal_Start_Week,B2247&lt;=Cal_End_Week),"YES","")</f>
        <v>YES</v>
      </c>
    </row>
    <row r="2248" customFormat="false" ht="15" hidden="false" customHeight="false" outlineLevel="0" collapsed="false">
      <c r="A2248" s="31" t="str">
        <f aca="false">Demand_History!C2248</f>
        <v>BED-002</v>
      </c>
      <c r="B2248" s="31" t="n">
        <f aca="false">Demand_History!A2248</f>
        <v>63</v>
      </c>
      <c r="C2248" s="32" t="n">
        <f aca="false">Demand_History!D2248</f>
        <v>78</v>
      </c>
      <c r="D2248" s="33" t="n">
        <f aca="false">IF(B2248&gt;=2,C2247,"")</f>
        <v>68</v>
      </c>
      <c r="E2248" s="33" t="n">
        <f aca="false">IF(B2248&gt;=5,AVERAGE(C2244:C2247),"")</f>
        <v>83.75</v>
      </c>
      <c r="F2248" s="33" t="n">
        <f aca="false">IF(B2248&gt;=9,AVERAGE(C2240:C2247),"")</f>
        <v>84</v>
      </c>
      <c r="G2248" s="33" t="n">
        <f aca="false">IF(B2248=1,"",IF(B2248=2,C2247,SES_Alpha*C2247+(1-SES_Alpha)*G2247))</f>
        <v>80.6383509468686</v>
      </c>
      <c r="H2248" s="33" t="n">
        <f aca="false">IF(D2248="","",D2248-C2248)</f>
        <v>-10</v>
      </c>
      <c r="I2248" s="33" t="n">
        <f aca="false">IF(E2248="","",E2248-C2248)</f>
        <v>5.75</v>
      </c>
      <c r="J2248" s="33" t="n">
        <f aca="false">IF(F2248="","",F2248-C2248)</f>
        <v>6</v>
      </c>
      <c r="K2248" s="33" t="n">
        <f aca="false">IF(G2248="","",G2248-C2248)</f>
        <v>2.63835094686857</v>
      </c>
      <c r="L2248" s="33" t="n">
        <f aca="false">IF(H2248="","",ABS(H2248))</f>
        <v>10</v>
      </c>
      <c r="M2248" s="33" t="n">
        <f aca="false">IF(I2248="","",ABS(I2248))</f>
        <v>5.75</v>
      </c>
      <c r="N2248" s="33" t="n">
        <f aca="false">IF(J2248="","",ABS(J2248))</f>
        <v>6</v>
      </c>
      <c r="O2248" s="33" t="n">
        <f aca="false">IF(K2248="","",ABS(K2248))</f>
        <v>2.63835094686857</v>
      </c>
      <c r="P2248" s="34" t="str">
        <f aca="false">IF(B2248&gt;=Eval_Start_Week,"YES","")</f>
        <v>YES</v>
      </c>
      <c r="Q2248" s="34" t="str">
        <f aca="false">IF(AND(B2248&gt;=Cal_Start_Week,B2248&lt;=Cal_End_Week),"YES","")</f>
        <v>YES</v>
      </c>
    </row>
    <row r="2249" customFormat="false" ht="15" hidden="false" customHeight="false" outlineLevel="0" collapsed="false">
      <c r="A2249" s="31" t="str">
        <f aca="false">Demand_History!C2249</f>
        <v>BED-002</v>
      </c>
      <c r="B2249" s="31" t="n">
        <f aca="false">Demand_History!A2249</f>
        <v>64</v>
      </c>
      <c r="C2249" s="32" t="n">
        <f aca="false">Demand_History!D2249</f>
        <v>103</v>
      </c>
      <c r="D2249" s="33" t="n">
        <f aca="false">IF(B2249&gt;=2,C2248,"")</f>
        <v>78</v>
      </c>
      <c r="E2249" s="33" t="n">
        <f aca="false">IF(B2249&gt;=5,AVERAGE(C2245:C2248),"")</f>
        <v>77.5</v>
      </c>
      <c r="F2249" s="33" t="n">
        <f aca="false">IF(B2249&gt;=9,AVERAGE(C2241:C2248),"")</f>
        <v>85.125</v>
      </c>
      <c r="G2249" s="33" t="n">
        <f aca="false">IF(B2249=1,"",IF(B2249=2,C2248,SES_Alpha*C2248+(1-SES_Alpha)*G2248))</f>
        <v>79.846845662808</v>
      </c>
      <c r="H2249" s="33" t="n">
        <f aca="false">IF(D2249="","",D2249-C2249)</f>
        <v>-25</v>
      </c>
      <c r="I2249" s="33" t="n">
        <f aca="false">IF(E2249="","",E2249-C2249)</f>
        <v>-25.5</v>
      </c>
      <c r="J2249" s="33" t="n">
        <f aca="false">IF(F2249="","",F2249-C2249)</f>
        <v>-17.875</v>
      </c>
      <c r="K2249" s="33" t="n">
        <f aca="false">IF(G2249="","",G2249-C2249)</f>
        <v>-23.153154337192</v>
      </c>
      <c r="L2249" s="33" t="n">
        <f aca="false">IF(H2249="","",ABS(H2249))</f>
        <v>25</v>
      </c>
      <c r="M2249" s="33" t="n">
        <f aca="false">IF(I2249="","",ABS(I2249))</f>
        <v>25.5</v>
      </c>
      <c r="N2249" s="33" t="n">
        <f aca="false">IF(J2249="","",ABS(J2249))</f>
        <v>17.875</v>
      </c>
      <c r="O2249" s="33" t="n">
        <f aca="false">IF(K2249="","",ABS(K2249))</f>
        <v>23.153154337192</v>
      </c>
      <c r="P2249" s="34" t="str">
        <f aca="false">IF(B2249&gt;=Eval_Start_Week,"YES","")</f>
        <v>YES</v>
      </c>
      <c r="Q2249" s="34" t="str">
        <f aca="false">IF(AND(B2249&gt;=Cal_Start_Week,B2249&lt;=Cal_End_Week),"YES","")</f>
        <v>YES</v>
      </c>
    </row>
    <row r="2250" customFormat="false" ht="15" hidden="false" customHeight="false" outlineLevel="0" collapsed="false">
      <c r="A2250" s="31" t="str">
        <f aca="false">Demand_History!C2250</f>
        <v>BED-002</v>
      </c>
      <c r="B2250" s="31" t="n">
        <f aca="false">Demand_History!A2250</f>
        <v>65</v>
      </c>
      <c r="C2250" s="32" t="n">
        <f aca="false">Demand_History!D2250</f>
        <v>89</v>
      </c>
      <c r="D2250" s="33" t="n">
        <f aca="false">IF(B2250&gt;=2,C2249,"")</f>
        <v>103</v>
      </c>
      <c r="E2250" s="33" t="n">
        <f aca="false">IF(B2250&gt;=5,AVERAGE(C2246:C2249),"")</f>
        <v>82.5</v>
      </c>
      <c r="F2250" s="33" t="n">
        <f aca="false">IF(B2250&gt;=9,AVERAGE(C2242:C2249),"")</f>
        <v>87.875</v>
      </c>
      <c r="G2250" s="33" t="n">
        <f aca="false">IF(B2250=1,"",IF(B2250=2,C2249,SES_Alpha*C2249+(1-SES_Alpha)*G2249))</f>
        <v>86.7927919639656</v>
      </c>
      <c r="H2250" s="33" t="n">
        <f aca="false">IF(D2250="","",D2250-C2250)</f>
        <v>14</v>
      </c>
      <c r="I2250" s="33" t="n">
        <f aca="false">IF(E2250="","",E2250-C2250)</f>
        <v>-6.5</v>
      </c>
      <c r="J2250" s="33" t="n">
        <f aca="false">IF(F2250="","",F2250-C2250)</f>
        <v>-1.125</v>
      </c>
      <c r="K2250" s="33" t="n">
        <f aca="false">IF(G2250="","",G2250-C2250)</f>
        <v>-2.20720803603442</v>
      </c>
      <c r="L2250" s="33" t="n">
        <f aca="false">IF(H2250="","",ABS(H2250))</f>
        <v>14</v>
      </c>
      <c r="M2250" s="33" t="n">
        <f aca="false">IF(I2250="","",ABS(I2250))</f>
        <v>6.5</v>
      </c>
      <c r="N2250" s="33" t="n">
        <f aca="false">IF(J2250="","",ABS(J2250))</f>
        <v>1.125</v>
      </c>
      <c r="O2250" s="33" t="n">
        <f aca="false">IF(K2250="","",ABS(K2250))</f>
        <v>2.20720803603442</v>
      </c>
      <c r="P2250" s="34" t="str">
        <f aca="false">IF(B2250&gt;=Eval_Start_Week,"YES","")</f>
        <v>YES</v>
      </c>
      <c r="Q2250" s="34" t="str">
        <f aca="false">IF(AND(B2250&gt;=Cal_Start_Week,B2250&lt;=Cal_End_Week),"YES","")</f>
        <v>YES</v>
      </c>
    </row>
    <row r="2251" customFormat="false" ht="15" hidden="false" customHeight="false" outlineLevel="0" collapsed="false">
      <c r="A2251" s="31" t="str">
        <f aca="false">Demand_History!C2251</f>
        <v>BED-002</v>
      </c>
      <c r="B2251" s="31" t="n">
        <f aca="false">Demand_History!A2251</f>
        <v>66</v>
      </c>
      <c r="C2251" s="32" t="n">
        <f aca="false">Demand_History!D2251</f>
        <v>94</v>
      </c>
      <c r="D2251" s="33" t="n">
        <f aca="false">IF(B2251&gt;=2,C2250,"")</f>
        <v>89</v>
      </c>
      <c r="E2251" s="33" t="n">
        <f aca="false">IF(B2251&gt;=5,AVERAGE(C2247:C2250),"")</f>
        <v>84.5</v>
      </c>
      <c r="F2251" s="33" t="n">
        <f aca="false">IF(B2251&gt;=9,AVERAGE(C2243:C2250),"")</f>
        <v>86.5</v>
      </c>
      <c r="G2251" s="33" t="n">
        <f aca="false">IF(B2251=1,"",IF(B2251=2,C2250,SES_Alpha*C2250+(1-SES_Alpha)*G2250))</f>
        <v>87.4549543747759</v>
      </c>
      <c r="H2251" s="33" t="n">
        <f aca="false">IF(D2251="","",D2251-C2251)</f>
        <v>-5</v>
      </c>
      <c r="I2251" s="33" t="n">
        <f aca="false">IF(E2251="","",E2251-C2251)</f>
        <v>-9.5</v>
      </c>
      <c r="J2251" s="33" t="n">
        <f aca="false">IF(F2251="","",F2251-C2251)</f>
        <v>-7.5</v>
      </c>
      <c r="K2251" s="33" t="n">
        <f aca="false">IF(G2251="","",G2251-C2251)</f>
        <v>-6.54504562522409</v>
      </c>
      <c r="L2251" s="33" t="n">
        <f aca="false">IF(H2251="","",ABS(H2251))</f>
        <v>5</v>
      </c>
      <c r="M2251" s="33" t="n">
        <f aca="false">IF(I2251="","",ABS(I2251))</f>
        <v>9.5</v>
      </c>
      <c r="N2251" s="33" t="n">
        <f aca="false">IF(J2251="","",ABS(J2251))</f>
        <v>7.5</v>
      </c>
      <c r="O2251" s="33" t="n">
        <f aca="false">IF(K2251="","",ABS(K2251))</f>
        <v>6.54504562522409</v>
      </c>
      <c r="P2251" s="34" t="str">
        <f aca="false">IF(B2251&gt;=Eval_Start_Week,"YES","")</f>
        <v>YES</v>
      </c>
      <c r="Q2251" s="34" t="str">
        <f aca="false">IF(AND(B2251&gt;=Cal_Start_Week,B2251&lt;=Cal_End_Week),"YES","")</f>
        <v>YES</v>
      </c>
    </row>
    <row r="2252" customFormat="false" ht="15" hidden="false" customHeight="false" outlineLevel="0" collapsed="false">
      <c r="A2252" s="31" t="str">
        <f aca="false">Demand_History!C2252</f>
        <v>BED-002</v>
      </c>
      <c r="B2252" s="31" t="n">
        <f aca="false">Demand_History!A2252</f>
        <v>67</v>
      </c>
      <c r="C2252" s="32" t="n">
        <f aca="false">Demand_History!D2252</f>
        <v>94</v>
      </c>
      <c r="D2252" s="33" t="n">
        <f aca="false">IF(B2252&gt;=2,C2251,"")</f>
        <v>94</v>
      </c>
      <c r="E2252" s="33" t="n">
        <f aca="false">IF(B2252&gt;=5,AVERAGE(C2248:C2251),"")</f>
        <v>91</v>
      </c>
      <c r="F2252" s="33" t="n">
        <f aca="false">IF(B2252&gt;=9,AVERAGE(C2244:C2251),"")</f>
        <v>87.375</v>
      </c>
      <c r="G2252" s="33" t="n">
        <f aca="false">IF(B2252=1,"",IF(B2252=2,C2251,SES_Alpha*C2251+(1-SES_Alpha)*G2251))</f>
        <v>89.4184680623431</v>
      </c>
      <c r="H2252" s="33" t="n">
        <f aca="false">IF(D2252="","",D2252-C2252)</f>
        <v>0</v>
      </c>
      <c r="I2252" s="33" t="n">
        <f aca="false">IF(E2252="","",E2252-C2252)</f>
        <v>-3</v>
      </c>
      <c r="J2252" s="33" t="n">
        <f aca="false">IF(F2252="","",F2252-C2252)</f>
        <v>-6.625</v>
      </c>
      <c r="K2252" s="33" t="n">
        <f aca="false">IF(G2252="","",G2252-C2252)</f>
        <v>-4.58153193765686</v>
      </c>
      <c r="L2252" s="33" t="n">
        <f aca="false">IF(H2252="","",ABS(H2252))</f>
        <v>0</v>
      </c>
      <c r="M2252" s="33" t="n">
        <f aca="false">IF(I2252="","",ABS(I2252))</f>
        <v>3</v>
      </c>
      <c r="N2252" s="33" t="n">
        <f aca="false">IF(J2252="","",ABS(J2252))</f>
        <v>6.625</v>
      </c>
      <c r="O2252" s="33" t="n">
        <f aca="false">IF(K2252="","",ABS(K2252))</f>
        <v>4.58153193765686</v>
      </c>
      <c r="P2252" s="34" t="str">
        <f aca="false">IF(B2252&gt;=Eval_Start_Week,"YES","")</f>
        <v>YES</v>
      </c>
      <c r="Q2252" s="34" t="str">
        <f aca="false">IF(AND(B2252&gt;=Cal_Start_Week,B2252&lt;=Cal_End_Week),"YES","")</f>
        <v>YES</v>
      </c>
    </row>
    <row r="2253" customFormat="false" ht="15" hidden="false" customHeight="false" outlineLevel="0" collapsed="false">
      <c r="A2253" s="31" t="str">
        <f aca="false">Demand_History!C2253</f>
        <v>BED-002</v>
      </c>
      <c r="B2253" s="31" t="n">
        <f aca="false">Demand_History!A2253</f>
        <v>68</v>
      </c>
      <c r="C2253" s="32" t="n">
        <f aca="false">Demand_History!D2253</f>
        <v>85</v>
      </c>
      <c r="D2253" s="33" t="n">
        <f aca="false">IF(B2253&gt;=2,C2252,"")</f>
        <v>94</v>
      </c>
      <c r="E2253" s="33" t="n">
        <f aca="false">IF(B2253&gt;=5,AVERAGE(C2249:C2252),"")</f>
        <v>95</v>
      </c>
      <c r="F2253" s="33" t="n">
        <f aca="false">IF(B2253&gt;=9,AVERAGE(C2245:C2252),"")</f>
        <v>86.25</v>
      </c>
      <c r="G2253" s="33" t="n">
        <f aca="false">IF(B2253=1,"",IF(B2253=2,C2252,SES_Alpha*C2252+(1-SES_Alpha)*G2252))</f>
        <v>90.7929276436402</v>
      </c>
      <c r="H2253" s="33" t="n">
        <f aca="false">IF(D2253="","",D2253-C2253)</f>
        <v>9</v>
      </c>
      <c r="I2253" s="33" t="n">
        <f aca="false">IF(E2253="","",E2253-C2253)</f>
        <v>10</v>
      </c>
      <c r="J2253" s="33" t="n">
        <f aca="false">IF(F2253="","",F2253-C2253)</f>
        <v>1.25</v>
      </c>
      <c r="K2253" s="33" t="n">
        <f aca="false">IF(G2253="","",G2253-C2253)</f>
        <v>5.7929276436402</v>
      </c>
      <c r="L2253" s="33" t="n">
        <f aca="false">IF(H2253="","",ABS(H2253))</f>
        <v>9</v>
      </c>
      <c r="M2253" s="33" t="n">
        <f aca="false">IF(I2253="","",ABS(I2253))</f>
        <v>10</v>
      </c>
      <c r="N2253" s="33" t="n">
        <f aca="false">IF(J2253="","",ABS(J2253))</f>
        <v>1.25</v>
      </c>
      <c r="O2253" s="33" t="n">
        <f aca="false">IF(K2253="","",ABS(K2253))</f>
        <v>5.7929276436402</v>
      </c>
      <c r="P2253" s="34" t="str">
        <f aca="false">IF(B2253&gt;=Eval_Start_Week,"YES","")</f>
        <v>YES</v>
      </c>
      <c r="Q2253" s="34" t="str">
        <f aca="false">IF(AND(B2253&gt;=Cal_Start_Week,B2253&lt;=Cal_End_Week),"YES","")</f>
        <v>YES</v>
      </c>
    </row>
    <row r="2254" customFormat="false" ht="15" hidden="false" customHeight="false" outlineLevel="0" collapsed="false">
      <c r="A2254" s="31" t="str">
        <f aca="false">Demand_History!C2254</f>
        <v>BED-002</v>
      </c>
      <c r="B2254" s="31" t="n">
        <f aca="false">Demand_History!A2254</f>
        <v>69</v>
      </c>
      <c r="C2254" s="32" t="n">
        <f aca="false">Demand_History!D2254</f>
        <v>82</v>
      </c>
      <c r="D2254" s="33" t="n">
        <f aca="false">IF(B2254&gt;=2,C2253,"")</f>
        <v>85</v>
      </c>
      <c r="E2254" s="33" t="n">
        <f aca="false">IF(B2254&gt;=5,AVERAGE(C2250:C2253),"")</f>
        <v>90.5</v>
      </c>
      <c r="F2254" s="33" t="n">
        <f aca="false">IF(B2254&gt;=9,AVERAGE(C2246:C2253),"")</f>
        <v>86.5</v>
      </c>
      <c r="G2254" s="33" t="n">
        <f aca="false">IF(B2254=1,"",IF(B2254=2,C2253,SES_Alpha*C2253+(1-SES_Alpha)*G2253))</f>
        <v>89.0550493505481</v>
      </c>
      <c r="H2254" s="33" t="n">
        <f aca="false">IF(D2254="","",D2254-C2254)</f>
        <v>3</v>
      </c>
      <c r="I2254" s="33" t="n">
        <f aca="false">IF(E2254="","",E2254-C2254)</f>
        <v>8.5</v>
      </c>
      <c r="J2254" s="33" t="n">
        <f aca="false">IF(F2254="","",F2254-C2254)</f>
        <v>4.5</v>
      </c>
      <c r="K2254" s="33" t="n">
        <f aca="false">IF(G2254="","",G2254-C2254)</f>
        <v>7.05504935054813</v>
      </c>
      <c r="L2254" s="33" t="n">
        <f aca="false">IF(H2254="","",ABS(H2254))</f>
        <v>3</v>
      </c>
      <c r="M2254" s="33" t="n">
        <f aca="false">IF(I2254="","",ABS(I2254))</f>
        <v>8.5</v>
      </c>
      <c r="N2254" s="33" t="n">
        <f aca="false">IF(J2254="","",ABS(J2254))</f>
        <v>4.5</v>
      </c>
      <c r="O2254" s="33" t="n">
        <f aca="false">IF(K2254="","",ABS(K2254))</f>
        <v>7.05504935054813</v>
      </c>
      <c r="P2254" s="34" t="str">
        <f aca="false">IF(B2254&gt;=Eval_Start_Week,"YES","")</f>
        <v>YES</v>
      </c>
      <c r="Q2254" s="34" t="str">
        <f aca="false">IF(AND(B2254&gt;=Cal_Start_Week,B2254&lt;=Cal_End_Week),"YES","")</f>
        <v>YES</v>
      </c>
    </row>
    <row r="2255" customFormat="false" ht="15" hidden="false" customHeight="false" outlineLevel="0" collapsed="false">
      <c r="A2255" s="31" t="str">
        <f aca="false">Demand_History!C2255</f>
        <v>BED-002</v>
      </c>
      <c r="B2255" s="31" t="n">
        <f aca="false">Demand_History!A2255</f>
        <v>70</v>
      </c>
      <c r="C2255" s="32" t="n">
        <f aca="false">Demand_History!D2255</f>
        <v>86</v>
      </c>
      <c r="D2255" s="33" t="n">
        <f aca="false">IF(B2255&gt;=2,C2254,"")</f>
        <v>82</v>
      </c>
      <c r="E2255" s="33" t="n">
        <f aca="false">IF(B2255&gt;=5,AVERAGE(C2251:C2254),"")</f>
        <v>88.75</v>
      </c>
      <c r="F2255" s="33" t="n">
        <f aca="false">IF(B2255&gt;=9,AVERAGE(C2247:C2254),"")</f>
        <v>86.625</v>
      </c>
      <c r="G2255" s="33" t="n">
        <f aca="false">IF(B2255=1,"",IF(B2255=2,C2254,SES_Alpha*C2254+(1-SES_Alpha)*G2254))</f>
        <v>86.9385345453837</v>
      </c>
      <c r="H2255" s="33" t="n">
        <f aca="false">IF(D2255="","",D2255-C2255)</f>
        <v>-4</v>
      </c>
      <c r="I2255" s="33" t="n">
        <f aca="false">IF(E2255="","",E2255-C2255)</f>
        <v>2.75</v>
      </c>
      <c r="J2255" s="33" t="n">
        <f aca="false">IF(F2255="","",F2255-C2255)</f>
        <v>0.625</v>
      </c>
      <c r="K2255" s="33" t="n">
        <f aca="false">IF(G2255="","",G2255-C2255)</f>
        <v>0.938534545383689</v>
      </c>
      <c r="L2255" s="33" t="n">
        <f aca="false">IF(H2255="","",ABS(H2255))</f>
        <v>4</v>
      </c>
      <c r="M2255" s="33" t="n">
        <f aca="false">IF(I2255="","",ABS(I2255))</f>
        <v>2.75</v>
      </c>
      <c r="N2255" s="33" t="n">
        <f aca="false">IF(J2255="","",ABS(J2255))</f>
        <v>0.625</v>
      </c>
      <c r="O2255" s="33" t="n">
        <f aca="false">IF(K2255="","",ABS(K2255))</f>
        <v>0.938534545383689</v>
      </c>
      <c r="P2255" s="34" t="str">
        <f aca="false">IF(B2255&gt;=Eval_Start_Week,"YES","")</f>
        <v>YES</v>
      </c>
      <c r="Q2255" s="34" t="str">
        <f aca="false">IF(AND(B2255&gt;=Cal_Start_Week,B2255&lt;=Cal_End_Week),"YES","")</f>
        <v>YES</v>
      </c>
    </row>
    <row r="2256" customFormat="false" ht="15" hidden="false" customHeight="false" outlineLevel="0" collapsed="false">
      <c r="A2256" s="31" t="str">
        <f aca="false">Demand_History!C2256</f>
        <v>BED-002</v>
      </c>
      <c r="B2256" s="31" t="n">
        <f aca="false">Demand_History!A2256</f>
        <v>71</v>
      </c>
      <c r="C2256" s="32" t="n">
        <f aca="false">Demand_History!D2256</f>
        <v>93</v>
      </c>
      <c r="D2256" s="33" t="n">
        <f aca="false">IF(B2256&gt;=2,C2255,"")</f>
        <v>86</v>
      </c>
      <c r="E2256" s="33" t="n">
        <f aca="false">IF(B2256&gt;=5,AVERAGE(C2252:C2255),"")</f>
        <v>86.75</v>
      </c>
      <c r="F2256" s="33" t="n">
        <f aca="false">IF(B2256&gt;=9,AVERAGE(C2248:C2255),"")</f>
        <v>88.875</v>
      </c>
      <c r="G2256" s="33" t="n">
        <f aca="false">IF(B2256=1,"",IF(B2256=2,C2255,SES_Alpha*C2255+(1-SES_Alpha)*G2255))</f>
        <v>86.6569741817686</v>
      </c>
      <c r="H2256" s="33" t="n">
        <f aca="false">IF(D2256="","",D2256-C2256)</f>
        <v>-7</v>
      </c>
      <c r="I2256" s="33" t="n">
        <f aca="false">IF(E2256="","",E2256-C2256)</f>
        <v>-6.25</v>
      </c>
      <c r="J2256" s="33" t="n">
        <f aca="false">IF(F2256="","",F2256-C2256)</f>
        <v>-4.125</v>
      </c>
      <c r="K2256" s="33" t="n">
        <f aca="false">IF(G2256="","",G2256-C2256)</f>
        <v>-6.34302581823143</v>
      </c>
      <c r="L2256" s="33" t="n">
        <f aca="false">IF(H2256="","",ABS(H2256))</f>
        <v>7</v>
      </c>
      <c r="M2256" s="33" t="n">
        <f aca="false">IF(I2256="","",ABS(I2256))</f>
        <v>6.25</v>
      </c>
      <c r="N2256" s="33" t="n">
        <f aca="false">IF(J2256="","",ABS(J2256))</f>
        <v>4.125</v>
      </c>
      <c r="O2256" s="33" t="n">
        <f aca="false">IF(K2256="","",ABS(K2256))</f>
        <v>6.34302581823143</v>
      </c>
      <c r="P2256" s="34" t="str">
        <f aca="false">IF(B2256&gt;=Eval_Start_Week,"YES","")</f>
        <v>YES</v>
      </c>
      <c r="Q2256" s="34" t="str">
        <f aca="false">IF(AND(B2256&gt;=Cal_Start_Week,B2256&lt;=Cal_End_Week),"YES","")</f>
        <v>YES</v>
      </c>
    </row>
    <row r="2257" customFormat="false" ht="15" hidden="false" customHeight="false" outlineLevel="0" collapsed="false">
      <c r="A2257" s="31" t="str">
        <f aca="false">Demand_History!C2257</f>
        <v>BED-002</v>
      </c>
      <c r="B2257" s="31" t="n">
        <f aca="false">Demand_History!A2257</f>
        <v>72</v>
      </c>
      <c r="C2257" s="32" t="n">
        <f aca="false">Demand_History!D2257</f>
        <v>91</v>
      </c>
      <c r="D2257" s="33" t="n">
        <f aca="false">IF(B2257&gt;=2,C2256,"")</f>
        <v>93</v>
      </c>
      <c r="E2257" s="33" t="n">
        <f aca="false">IF(B2257&gt;=5,AVERAGE(C2253:C2256),"")</f>
        <v>86.5</v>
      </c>
      <c r="F2257" s="33" t="n">
        <f aca="false">IF(B2257&gt;=9,AVERAGE(C2249:C2256),"")</f>
        <v>90.75</v>
      </c>
      <c r="G2257" s="33" t="n">
        <f aca="false">IF(B2257=1,"",IF(B2257=2,C2256,SES_Alpha*C2256+(1-SES_Alpha)*G2256))</f>
        <v>88.559881927238</v>
      </c>
      <c r="H2257" s="33" t="n">
        <f aca="false">IF(D2257="","",D2257-C2257)</f>
        <v>2</v>
      </c>
      <c r="I2257" s="33" t="n">
        <f aca="false">IF(E2257="","",E2257-C2257)</f>
        <v>-4.5</v>
      </c>
      <c r="J2257" s="33" t="n">
        <f aca="false">IF(F2257="","",F2257-C2257)</f>
        <v>-0.25</v>
      </c>
      <c r="K2257" s="33" t="n">
        <f aca="false">IF(G2257="","",G2257-C2257)</f>
        <v>-2.440118072762</v>
      </c>
      <c r="L2257" s="33" t="n">
        <f aca="false">IF(H2257="","",ABS(H2257))</f>
        <v>2</v>
      </c>
      <c r="M2257" s="33" t="n">
        <f aca="false">IF(I2257="","",ABS(I2257))</f>
        <v>4.5</v>
      </c>
      <c r="N2257" s="33" t="n">
        <f aca="false">IF(J2257="","",ABS(J2257))</f>
        <v>0.25</v>
      </c>
      <c r="O2257" s="33" t="n">
        <f aca="false">IF(K2257="","",ABS(K2257))</f>
        <v>2.440118072762</v>
      </c>
      <c r="P2257" s="34" t="str">
        <f aca="false">IF(B2257&gt;=Eval_Start_Week,"YES","")</f>
        <v>YES</v>
      </c>
      <c r="Q2257" s="34" t="str">
        <f aca="false">IF(AND(B2257&gt;=Cal_Start_Week,B2257&lt;=Cal_End_Week),"YES","")</f>
        <v>YES</v>
      </c>
    </row>
    <row r="2258" customFormat="false" ht="15" hidden="false" customHeight="false" outlineLevel="0" collapsed="false">
      <c r="A2258" s="31" t="str">
        <f aca="false">Demand_History!C2258</f>
        <v>BED-002</v>
      </c>
      <c r="B2258" s="31" t="n">
        <f aca="false">Demand_History!A2258</f>
        <v>73</v>
      </c>
      <c r="C2258" s="32" t="n">
        <f aca="false">Demand_History!D2258</f>
        <v>91</v>
      </c>
      <c r="D2258" s="33" t="n">
        <f aca="false">IF(B2258&gt;=2,C2257,"")</f>
        <v>91</v>
      </c>
      <c r="E2258" s="33" t="n">
        <f aca="false">IF(B2258&gt;=5,AVERAGE(C2254:C2257),"")</f>
        <v>88</v>
      </c>
      <c r="F2258" s="33" t="n">
        <f aca="false">IF(B2258&gt;=9,AVERAGE(C2250:C2257),"")</f>
        <v>89.25</v>
      </c>
      <c r="G2258" s="33" t="n">
        <f aca="false">IF(B2258=1,"",IF(B2258=2,C2257,SES_Alpha*C2257+(1-SES_Alpha)*G2257))</f>
        <v>89.2919173490666</v>
      </c>
      <c r="H2258" s="33" t="n">
        <f aca="false">IF(D2258="","",D2258-C2258)</f>
        <v>0</v>
      </c>
      <c r="I2258" s="33" t="n">
        <f aca="false">IF(E2258="","",E2258-C2258)</f>
        <v>-3</v>
      </c>
      <c r="J2258" s="33" t="n">
        <f aca="false">IF(F2258="","",F2258-C2258)</f>
        <v>-1.75</v>
      </c>
      <c r="K2258" s="33" t="n">
        <f aca="false">IF(G2258="","",G2258-C2258)</f>
        <v>-1.70808265093341</v>
      </c>
      <c r="L2258" s="33" t="n">
        <f aca="false">IF(H2258="","",ABS(H2258))</f>
        <v>0</v>
      </c>
      <c r="M2258" s="33" t="n">
        <f aca="false">IF(I2258="","",ABS(I2258))</f>
        <v>3</v>
      </c>
      <c r="N2258" s="33" t="n">
        <f aca="false">IF(J2258="","",ABS(J2258))</f>
        <v>1.75</v>
      </c>
      <c r="O2258" s="33" t="n">
        <f aca="false">IF(K2258="","",ABS(K2258))</f>
        <v>1.70808265093341</v>
      </c>
      <c r="P2258" s="34" t="str">
        <f aca="false">IF(B2258&gt;=Eval_Start_Week,"YES","")</f>
        <v>YES</v>
      </c>
      <c r="Q2258" s="34" t="str">
        <f aca="false">IF(AND(B2258&gt;=Cal_Start_Week,B2258&lt;=Cal_End_Week),"YES","")</f>
        <v>YES</v>
      </c>
    </row>
    <row r="2259" customFormat="false" ht="15" hidden="false" customHeight="false" outlineLevel="0" collapsed="false">
      <c r="A2259" s="31" t="str">
        <f aca="false">Demand_History!C2259</f>
        <v>BED-002</v>
      </c>
      <c r="B2259" s="31" t="n">
        <f aca="false">Demand_History!A2259</f>
        <v>74</v>
      </c>
      <c r="C2259" s="32" t="n">
        <f aca="false">Demand_History!D2259</f>
        <v>87</v>
      </c>
      <c r="D2259" s="33" t="n">
        <f aca="false">IF(B2259&gt;=2,C2258,"")</f>
        <v>91</v>
      </c>
      <c r="E2259" s="33" t="n">
        <f aca="false">IF(B2259&gt;=5,AVERAGE(C2255:C2258),"")</f>
        <v>90.25</v>
      </c>
      <c r="F2259" s="33" t="n">
        <f aca="false">IF(B2259&gt;=9,AVERAGE(C2251:C2258),"")</f>
        <v>89.5</v>
      </c>
      <c r="G2259" s="33" t="n">
        <f aca="false">IF(B2259=1,"",IF(B2259=2,C2258,SES_Alpha*C2258+(1-SES_Alpha)*G2258))</f>
        <v>89.8043421443466</v>
      </c>
      <c r="H2259" s="33" t="n">
        <f aca="false">IF(D2259="","",D2259-C2259)</f>
        <v>4</v>
      </c>
      <c r="I2259" s="33" t="n">
        <f aca="false">IF(E2259="","",E2259-C2259)</f>
        <v>3.25</v>
      </c>
      <c r="J2259" s="33" t="n">
        <f aca="false">IF(F2259="","",F2259-C2259)</f>
        <v>2.5</v>
      </c>
      <c r="K2259" s="33" t="n">
        <f aca="false">IF(G2259="","",G2259-C2259)</f>
        <v>2.80434214434661</v>
      </c>
      <c r="L2259" s="33" t="n">
        <f aca="false">IF(H2259="","",ABS(H2259))</f>
        <v>4</v>
      </c>
      <c r="M2259" s="33" t="n">
        <f aca="false">IF(I2259="","",ABS(I2259))</f>
        <v>3.25</v>
      </c>
      <c r="N2259" s="33" t="n">
        <f aca="false">IF(J2259="","",ABS(J2259))</f>
        <v>2.5</v>
      </c>
      <c r="O2259" s="33" t="n">
        <f aca="false">IF(K2259="","",ABS(K2259))</f>
        <v>2.80434214434661</v>
      </c>
      <c r="P2259" s="34" t="str">
        <f aca="false">IF(B2259&gt;=Eval_Start_Week,"YES","")</f>
        <v>YES</v>
      </c>
      <c r="Q2259" s="34" t="str">
        <f aca="false">IF(AND(B2259&gt;=Cal_Start_Week,B2259&lt;=Cal_End_Week),"YES","")</f>
        <v>YES</v>
      </c>
    </row>
    <row r="2260" customFormat="false" ht="15" hidden="false" customHeight="false" outlineLevel="0" collapsed="false">
      <c r="A2260" s="31" t="str">
        <f aca="false">Demand_History!C2260</f>
        <v>BED-002</v>
      </c>
      <c r="B2260" s="31" t="n">
        <f aca="false">Demand_History!A2260</f>
        <v>75</v>
      </c>
      <c r="C2260" s="32" t="n">
        <f aca="false">Demand_History!D2260</f>
        <v>75</v>
      </c>
      <c r="D2260" s="33" t="n">
        <f aca="false">IF(B2260&gt;=2,C2259,"")</f>
        <v>87</v>
      </c>
      <c r="E2260" s="33" t="n">
        <f aca="false">IF(B2260&gt;=5,AVERAGE(C2256:C2259),"")</f>
        <v>90.5</v>
      </c>
      <c r="F2260" s="33" t="n">
        <f aca="false">IF(B2260&gt;=9,AVERAGE(C2252:C2259),"")</f>
        <v>88.625</v>
      </c>
      <c r="G2260" s="33" t="n">
        <f aca="false">IF(B2260=1,"",IF(B2260=2,C2259,SES_Alpha*C2259+(1-SES_Alpha)*G2259))</f>
        <v>88.9630395010426</v>
      </c>
      <c r="H2260" s="33" t="n">
        <f aca="false">IF(D2260="","",D2260-C2260)</f>
        <v>12</v>
      </c>
      <c r="I2260" s="33" t="n">
        <f aca="false">IF(E2260="","",E2260-C2260)</f>
        <v>15.5</v>
      </c>
      <c r="J2260" s="33" t="n">
        <f aca="false">IF(F2260="","",F2260-C2260)</f>
        <v>13.625</v>
      </c>
      <c r="K2260" s="33" t="n">
        <f aca="false">IF(G2260="","",G2260-C2260)</f>
        <v>13.9630395010426</v>
      </c>
      <c r="L2260" s="33" t="n">
        <f aca="false">IF(H2260="","",ABS(H2260))</f>
        <v>12</v>
      </c>
      <c r="M2260" s="33" t="n">
        <f aca="false">IF(I2260="","",ABS(I2260))</f>
        <v>15.5</v>
      </c>
      <c r="N2260" s="33" t="n">
        <f aca="false">IF(J2260="","",ABS(J2260))</f>
        <v>13.625</v>
      </c>
      <c r="O2260" s="33" t="n">
        <f aca="false">IF(K2260="","",ABS(K2260))</f>
        <v>13.9630395010426</v>
      </c>
      <c r="P2260" s="34" t="str">
        <f aca="false">IF(B2260&gt;=Eval_Start_Week,"YES","")</f>
        <v>YES</v>
      </c>
      <c r="Q2260" s="34" t="str">
        <f aca="false">IF(AND(B2260&gt;=Cal_Start_Week,B2260&lt;=Cal_End_Week),"YES","")</f>
        <v>YES</v>
      </c>
    </row>
    <row r="2261" customFormat="false" ht="15" hidden="false" customHeight="false" outlineLevel="0" collapsed="false">
      <c r="A2261" s="31" t="str">
        <f aca="false">Demand_History!C2261</f>
        <v>BED-002</v>
      </c>
      <c r="B2261" s="31" t="n">
        <f aca="false">Demand_History!A2261</f>
        <v>76</v>
      </c>
      <c r="C2261" s="32" t="n">
        <f aca="false">Demand_History!D2261</f>
        <v>82</v>
      </c>
      <c r="D2261" s="33" t="n">
        <f aca="false">IF(B2261&gt;=2,C2260,"")</f>
        <v>75</v>
      </c>
      <c r="E2261" s="33" t="n">
        <f aca="false">IF(B2261&gt;=5,AVERAGE(C2257:C2260),"")</f>
        <v>86</v>
      </c>
      <c r="F2261" s="33" t="n">
        <f aca="false">IF(B2261&gt;=9,AVERAGE(C2253:C2260),"")</f>
        <v>86.25</v>
      </c>
      <c r="G2261" s="33" t="n">
        <f aca="false">IF(B2261=1,"",IF(B2261=2,C2260,SES_Alpha*C2260+(1-SES_Alpha)*G2260))</f>
        <v>84.7741276507298</v>
      </c>
      <c r="H2261" s="33" t="n">
        <f aca="false">IF(D2261="","",D2261-C2261)</f>
        <v>-7</v>
      </c>
      <c r="I2261" s="33" t="n">
        <f aca="false">IF(E2261="","",E2261-C2261)</f>
        <v>4</v>
      </c>
      <c r="J2261" s="33" t="n">
        <f aca="false">IF(F2261="","",F2261-C2261)</f>
        <v>4.25</v>
      </c>
      <c r="K2261" s="33" t="n">
        <f aca="false">IF(G2261="","",G2261-C2261)</f>
        <v>2.77412765072982</v>
      </c>
      <c r="L2261" s="33" t="n">
        <f aca="false">IF(H2261="","",ABS(H2261))</f>
        <v>7</v>
      </c>
      <c r="M2261" s="33" t="n">
        <f aca="false">IF(I2261="","",ABS(I2261))</f>
        <v>4</v>
      </c>
      <c r="N2261" s="33" t="n">
        <f aca="false">IF(J2261="","",ABS(J2261))</f>
        <v>4.25</v>
      </c>
      <c r="O2261" s="33" t="n">
        <f aca="false">IF(K2261="","",ABS(K2261))</f>
        <v>2.77412765072982</v>
      </c>
      <c r="P2261" s="34" t="str">
        <f aca="false">IF(B2261&gt;=Eval_Start_Week,"YES","")</f>
        <v>YES</v>
      </c>
      <c r="Q2261" s="34" t="str">
        <f aca="false">IF(AND(B2261&gt;=Cal_Start_Week,B2261&lt;=Cal_End_Week),"YES","")</f>
        <v>YES</v>
      </c>
    </row>
    <row r="2262" customFormat="false" ht="15" hidden="false" customHeight="false" outlineLevel="0" collapsed="false">
      <c r="A2262" s="31" t="str">
        <f aca="false">Demand_History!C2262</f>
        <v>BED-002</v>
      </c>
      <c r="B2262" s="31" t="n">
        <f aca="false">Demand_History!A2262</f>
        <v>77</v>
      </c>
      <c r="C2262" s="32" t="n">
        <f aca="false">Demand_History!D2262</f>
        <v>73</v>
      </c>
      <c r="D2262" s="33" t="n">
        <f aca="false">IF(B2262&gt;=2,C2261,"")</f>
        <v>82</v>
      </c>
      <c r="E2262" s="33" t="n">
        <f aca="false">IF(B2262&gt;=5,AVERAGE(C2258:C2261),"")</f>
        <v>83.75</v>
      </c>
      <c r="F2262" s="33" t="n">
        <f aca="false">IF(B2262&gt;=9,AVERAGE(C2254:C2261),"")</f>
        <v>85.875</v>
      </c>
      <c r="G2262" s="33" t="n">
        <f aca="false">IF(B2262=1,"",IF(B2262=2,C2261,SES_Alpha*C2261+(1-SES_Alpha)*G2261))</f>
        <v>83.9418893555109</v>
      </c>
      <c r="H2262" s="33" t="n">
        <f aca="false">IF(D2262="","",D2262-C2262)</f>
        <v>9</v>
      </c>
      <c r="I2262" s="33" t="n">
        <f aca="false">IF(E2262="","",E2262-C2262)</f>
        <v>10.75</v>
      </c>
      <c r="J2262" s="33" t="n">
        <f aca="false">IF(F2262="","",F2262-C2262)</f>
        <v>12.875</v>
      </c>
      <c r="K2262" s="33" t="n">
        <f aca="false">IF(G2262="","",G2262-C2262)</f>
        <v>10.9418893555109</v>
      </c>
      <c r="L2262" s="33" t="n">
        <f aca="false">IF(H2262="","",ABS(H2262))</f>
        <v>9</v>
      </c>
      <c r="M2262" s="33" t="n">
        <f aca="false">IF(I2262="","",ABS(I2262))</f>
        <v>10.75</v>
      </c>
      <c r="N2262" s="33" t="n">
        <f aca="false">IF(J2262="","",ABS(J2262))</f>
        <v>12.875</v>
      </c>
      <c r="O2262" s="33" t="n">
        <f aca="false">IF(K2262="","",ABS(K2262))</f>
        <v>10.9418893555109</v>
      </c>
      <c r="P2262" s="34" t="str">
        <f aca="false">IF(B2262&gt;=Eval_Start_Week,"YES","")</f>
        <v>YES</v>
      </c>
      <c r="Q2262" s="34" t="str">
        <f aca="false">IF(AND(B2262&gt;=Cal_Start_Week,B2262&lt;=Cal_End_Week),"YES","")</f>
        <v>YES</v>
      </c>
    </row>
    <row r="2263" customFormat="false" ht="15" hidden="false" customHeight="false" outlineLevel="0" collapsed="false">
      <c r="A2263" s="31" t="str">
        <f aca="false">Demand_History!C2263</f>
        <v>BED-002</v>
      </c>
      <c r="B2263" s="31" t="n">
        <f aca="false">Demand_History!A2263</f>
        <v>78</v>
      </c>
      <c r="C2263" s="32" t="n">
        <f aca="false">Demand_History!D2263</f>
        <v>98</v>
      </c>
      <c r="D2263" s="33" t="n">
        <f aca="false">IF(B2263&gt;=2,C2262,"")</f>
        <v>73</v>
      </c>
      <c r="E2263" s="33" t="n">
        <f aca="false">IF(B2263&gt;=5,AVERAGE(C2259:C2262),"")</f>
        <v>79.25</v>
      </c>
      <c r="F2263" s="33" t="n">
        <f aca="false">IF(B2263&gt;=9,AVERAGE(C2255:C2262),"")</f>
        <v>84.75</v>
      </c>
      <c r="G2263" s="33" t="n">
        <f aca="false">IF(B2263=1,"",IF(B2263=2,C2262,SES_Alpha*C2262+(1-SES_Alpha)*G2262))</f>
        <v>80.6593225488576</v>
      </c>
      <c r="H2263" s="33" t="n">
        <f aca="false">IF(D2263="","",D2263-C2263)</f>
        <v>-25</v>
      </c>
      <c r="I2263" s="33" t="n">
        <f aca="false">IF(E2263="","",E2263-C2263)</f>
        <v>-18.75</v>
      </c>
      <c r="J2263" s="33" t="n">
        <f aca="false">IF(F2263="","",F2263-C2263)</f>
        <v>-13.25</v>
      </c>
      <c r="K2263" s="33" t="n">
        <f aca="false">IF(G2263="","",G2263-C2263)</f>
        <v>-17.3406774511424</v>
      </c>
      <c r="L2263" s="33" t="n">
        <f aca="false">IF(H2263="","",ABS(H2263))</f>
        <v>25</v>
      </c>
      <c r="M2263" s="33" t="n">
        <f aca="false">IF(I2263="","",ABS(I2263))</f>
        <v>18.75</v>
      </c>
      <c r="N2263" s="33" t="n">
        <f aca="false">IF(J2263="","",ABS(J2263))</f>
        <v>13.25</v>
      </c>
      <c r="O2263" s="33" t="n">
        <f aca="false">IF(K2263="","",ABS(K2263))</f>
        <v>17.3406774511424</v>
      </c>
      <c r="P2263" s="34" t="str">
        <f aca="false">IF(B2263&gt;=Eval_Start_Week,"YES","")</f>
        <v>YES</v>
      </c>
      <c r="Q2263" s="34" t="str">
        <f aca="false">IF(AND(B2263&gt;=Cal_Start_Week,B2263&lt;=Cal_End_Week),"YES","")</f>
        <v>YES</v>
      </c>
    </row>
    <row r="2264" customFormat="false" ht="15" hidden="false" customHeight="false" outlineLevel="0" collapsed="false">
      <c r="A2264" s="31" t="str">
        <f aca="false">Demand_History!C2264</f>
        <v>BED-002</v>
      </c>
      <c r="B2264" s="31" t="n">
        <f aca="false">Demand_History!A2264</f>
        <v>79</v>
      </c>
      <c r="C2264" s="32" t="n">
        <f aca="false">Demand_History!D2264</f>
        <v>59</v>
      </c>
      <c r="D2264" s="33" t="n">
        <f aca="false">IF(B2264&gt;=2,C2263,"")</f>
        <v>98</v>
      </c>
      <c r="E2264" s="33" t="n">
        <f aca="false">IF(B2264&gt;=5,AVERAGE(C2260:C2263),"")</f>
        <v>82</v>
      </c>
      <c r="F2264" s="33" t="n">
        <f aca="false">IF(B2264&gt;=9,AVERAGE(C2256:C2263),"")</f>
        <v>86.25</v>
      </c>
      <c r="G2264" s="33" t="n">
        <f aca="false">IF(B2264=1,"",IF(B2264=2,C2263,SES_Alpha*C2263+(1-SES_Alpha)*G2263))</f>
        <v>85.8615257842003</v>
      </c>
      <c r="H2264" s="33" t="n">
        <f aca="false">IF(D2264="","",D2264-C2264)</f>
        <v>39</v>
      </c>
      <c r="I2264" s="33" t="n">
        <f aca="false">IF(E2264="","",E2264-C2264)</f>
        <v>23</v>
      </c>
      <c r="J2264" s="33" t="n">
        <f aca="false">IF(F2264="","",F2264-C2264)</f>
        <v>27.25</v>
      </c>
      <c r="K2264" s="33" t="n">
        <f aca="false">IF(G2264="","",G2264-C2264)</f>
        <v>26.8615257842003</v>
      </c>
      <c r="L2264" s="33" t="n">
        <f aca="false">IF(H2264="","",ABS(H2264))</f>
        <v>39</v>
      </c>
      <c r="M2264" s="33" t="n">
        <f aca="false">IF(I2264="","",ABS(I2264))</f>
        <v>23</v>
      </c>
      <c r="N2264" s="33" t="n">
        <f aca="false">IF(J2264="","",ABS(J2264))</f>
        <v>27.25</v>
      </c>
      <c r="O2264" s="33" t="n">
        <f aca="false">IF(K2264="","",ABS(K2264))</f>
        <v>26.8615257842003</v>
      </c>
      <c r="P2264" s="34" t="str">
        <f aca="false">IF(B2264&gt;=Eval_Start_Week,"YES","")</f>
        <v>YES</v>
      </c>
      <c r="Q2264" s="34" t="str">
        <f aca="false">IF(AND(B2264&gt;=Cal_Start_Week,B2264&lt;=Cal_End_Week),"YES","")</f>
        <v>YES</v>
      </c>
    </row>
    <row r="2265" customFormat="false" ht="15" hidden="false" customHeight="false" outlineLevel="0" collapsed="false">
      <c r="A2265" s="31" t="str">
        <f aca="false">Demand_History!C2265</f>
        <v>BED-002</v>
      </c>
      <c r="B2265" s="31" t="n">
        <f aca="false">Demand_History!A2265</f>
        <v>80</v>
      </c>
      <c r="C2265" s="32" t="n">
        <f aca="false">Demand_History!D2265</f>
        <v>82</v>
      </c>
      <c r="D2265" s="33" t="n">
        <f aca="false">IF(B2265&gt;=2,C2264,"")</f>
        <v>59</v>
      </c>
      <c r="E2265" s="33" t="n">
        <f aca="false">IF(B2265&gt;=5,AVERAGE(C2261:C2264),"")</f>
        <v>78</v>
      </c>
      <c r="F2265" s="33" t="n">
        <f aca="false">IF(B2265&gt;=9,AVERAGE(C2257:C2264),"")</f>
        <v>82</v>
      </c>
      <c r="G2265" s="33" t="n">
        <f aca="false">IF(B2265=1,"",IF(B2265=2,C2264,SES_Alpha*C2264+(1-SES_Alpha)*G2264))</f>
        <v>77.8030680489402</v>
      </c>
      <c r="H2265" s="33" t="n">
        <f aca="false">IF(D2265="","",D2265-C2265)</f>
        <v>-23</v>
      </c>
      <c r="I2265" s="33" t="n">
        <f aca="false">IF(E2265="","",E2265-C2265)</f>
        <v>-4</v>
      </c>
      <c r="J2265" s="33" t="n">
        <f aca="false">IF(F2265="","",F2265-C2265)</f>
        <v>0</v>
      </c>
      <c r="K2265" s="33" t="n">
        <f aca="false">IF(G2265="","",G2265-C2265)</f>
        <v>-4.19693195105978</v>
      </c>
      <c r="L2265" s="33" t="n">
        <f aca="false">IF(H2265="","",ABS(H2265))</f>
        <v>23</v>
      </c>
      <c r="M2265" s="33" t="n">
        <f aca="false">IF(I2265="","",ABS(I2265))</f>
        <v>4</v>
      </c>
      <c r="N2265" s="33" t="n">
        <f aca="false">IF(J2265="","",ABS(J2265))</f>
        <v>0</v>
      </c>
      <c r="O2265" s="33" t="n">
        <f aca="false">IF(K2265="","",ABS(K2265))</f>
        <v>4.19693195105978</v>
      </c>
      <c r="P2265" s="34" t="str">
        <f aca="false">IF(B2265&gt;=Eval_Start_Week,"YES","")</f>
        <v>YES</v>
      </c>
      <c r="Q2265" s="34" t="str">
        <f aca="false">IF(AND(B2265&gt;=Cal_Start_Week,B2265&lt;=Cal_End_Week),"YES","")</f>
        <v>YES</v>
      </c>
    </row>
    <row r="2266" customFormat="false" ht="15" hidden="false" customHeight="false" outlineLevel="0" collapsed="false">
      <c r="A2266" s="31" t="str">
        <f aca="false">Demand_History!C2266</f>
        <v>BED-002</v>
      </c>
      <c r="B2266" s="31" t="n">
        <f aca="false">Demand_History!A2266</f>
        <v>81</v>
      </c>
      <c r="C2266" s="32" t="n">
        <f aca="false">Demand_History!D2266</f>
        <v>115</v>
      </c>
      <c r="D2266" s="33" t="n">
        <f aca="false">IF(B2266&gt;=2,C2265,"")</f>
        <v>82</v>
      </c>
      <c r="E2266" s="33" t="n">
        <f aca="false">IF(B2266&gt;=5,AVERAGE(C2262:C2265),"")</f>
        <v>78</v>
      </c>
      <c r="F2266" s="33" t="n">
        <f aca="false">IF(B2266&gt;=9,AVERAGE(C2258:C2265),"")</f>
        <v>80.875</v>
      </c>
      <c r="G2266" s="33" t="n">
        <f aca="false">IF(B2266=1,"",IF(B2266=2,C2265,SES_Alpha*C2265+(1-SES_Alpha)*G2265))</f>
        <v>79.0621476342582</v>
      </c>
      <c r="H2266" s="33" t="n">
        <f aca="false">IF(D2266="","",D2266-C2266)</f>
        <v>-33</v>
      </c>
      <c r="I2266" s="33" t="n">
        <f aca="false">IF(E2266="","",E2266-C2266)</f>
        <v>-37</v>
      </c>
      <c r="J2266" s="33" t="n">
        <f aca="false">IF(F2266="","",F2266-C2266)</f>
        <v>-34.125</v>
      </c>
      <c r="K2266" s="33" t="n">
        <f aca="false">IF(G2266="","",G2266-C2266)</f>
        <v>-35.9378523657419</v>
      </c>
      <c r="L2266" s="33" t="n">
        <f aca="false">IF(H2266="","",ABS(H2266))</f>
        <v>33</v>
      </c>
      <c r="M2266" s="33" t="n">
        <f aca="false">IF(I2266="","",ABS(I2266))</f>
        <v>37</v>
      </c>
      <c r="N2266" s="33" t="n">
        <f aca="false">IF(J2266="","",ABS(J2266))</f>
        <v>34.125</v>
      </c>
      <c r="O2266" s="33" t="n">
        <f aca="false">IF(K2266="","",ABS(K2266))</f>
        <v>35.9378523657419</v>
      </c>
      <c r="P2266" s="34" t="str">
        <f aca="false">IF(B2266&gt;=Eval_Start_Week,"YES","")</f>
        <v>YES</v>
      </c>
      <c r="Q2266" s="34" t="str">
        <f aca="false">IF(AND(B2266&gt;=Cal_Start_Week,B2266&lt;=Cal_End_Week),"YES","")</f>
        <v>YES</v>
      </c>
    </row>
    <row r="2267" customFormat="false" ht="15" hidden="false" customHeight="false" outlineLevel="0" collapsed="false">
      <c r="A2267" s="31" t="str">
        <f aca="false">Demand_History!C2267</f>
        <v>BED-002</v>
      </c>
      <c r="B2267" s="31" t="n">
        <f aca="false">Demand_History!A2267</f>
        <v>82</v>
      </c>
      <c r="C2267" s="32" t="n">
        <f aca="false">Demand_History!D2267</f>
        <v>81</v>
      </c>
      <c r="D2267" s="33" t="n">
        <f aca="false">IF(B2267&gt;=2,C2266,"")</f>
        <v>115</v>
      </c>
      <c r="E2267" s="33" t="n">
        <f aca="false">IF(B2267&gt;=5,AVERAGE(C2263:C2266),"")</f>
        <v>88.5</v>
      </c>
      <c r="F2267" s="33" t="n">
        <f aca="false">IF(B2267&gt;=9,AVERAGE(C2259:C2266),"")</f>
        <v>83.875</v>
      </c>
      <c r="G2267" s="33" t="n">
        <f aca="false">IF(B2267=1,"",IF(B2267=2,C2266,SES_Alpha*C2266+(1-SES_Alpha)*G2266))</f>
        <v>89.8435033439807</v>
      </c>
      <c r="H2267" s="33" t="n">
        <f aca="false">IF(D2267="","",D2267-C2267)</f>
        <v>34</v>
      </c>
      <c r="I2267" s="33" t="n">
        <f aca="false">IF(E2267="","",E2267-C2267)</f>
        <v>7.5</v>
      </c>
      <c r="J2267" s="33" t="n">
        <f aca="false">IF(F2267="","",F2267-C2267)</f>
        <v>2.875</v>
      </c>
      <c r="K2267" s="33" t="n">
        <f aca="false">IF(G2267="","",G2267-C2267)</f>
        <v>8.8435033439807</v>
      </c>
      <c r="L2267" s="33" t="n">
        <f aca="false">IF(H2267="","",ABS(H2267))</f>
        <v>34</v>
      </c>
      <c r="M2267" s="33" t="n">
        <f aca="false">IF(I2267="","",ABS(I2267))</f>
        <v>7.5</v>
      </c>
      <c r="N2267" s="33" t="n">
        <f aca="false">IF(J2267="","",ABS(J2267))</f>
        <v>2.875</v>
      </c>
      <c r="O2267" s="33" t="n">
        <f aca="false">IF(K2267="","",ABS(K2267))</f>
        <v>8.8435033439807</v>
      </c>
      <c r="P2267" s="34" t="str">
        <f aca="false">IF(B2267&gt;=Eval_Start_Week,"YES","")</f>
        <v>YES</v>
      </c>
      <c r="Q2267" s="34" t="str">
        <f aca="false">IF(AND(B2267&gt;=Cal_Start_Week,B2267&lt;=Cal_End_Week),"YES","")</f>
        <v>YES</v>
      </c>
    </row>
    <row r="2268" customFormat="false" ht="15" hidden="false" customHeight="false" outlineLevel="0" collapsed="false">
      <c r="A2268" s="31" t="str">
        <f aca="false">Demand_History!C2268</f>
        <v>BED-002</v>
      </c>
      <c r="B2268" s="31" t="n">
        <f aca="false">Demand_History!A2268</f>
        <v>83</v>
      </c>
      <c r="C2268" s="32" t="n">
        <f aca="false">Demand_History!D2268</f>
        <v>71</v>
      </c>
      <c r="D2268" s="33" t="n">
        <f aca="false">IF(B2268&gt;=2,C2267,"")</f>
        <v>81</v>
      </c>
      <c r="E2268" s="33" t="n">
        <f aca="false">IF(B2268&gt;=5,AVERAGE(C2264:C2267),"")</f>
        <v>84.25</v>
      </c>
      <c r="F2268" s="33" t="n">
        <f aca="false">IF(B2268&gt;=9,AVERAGE(C2260:C2267),"")</f>
        <v>83.125</v>
      </c>
      <c r="G2268" s="33" t="n">
        <f aca="false">IF(B2268=1,"",IF(B2268=2,C2267,SES_Alpha*C2267+(1-SES_Alpha)*G2267))</f>
        <v>87.1904523407865</v>
      </c>
      <c r="H2268" s="33" t="n">
        <f aca="false">IF(D2268="","",D2268-C2268)</f>
        <v>10</v>
      </c>
      <c r="I2268" s="33" t="n">
        <f aca="false">IF(E2268="","",E2268-C2268)</f>
        <v>13.25</v>
      </c>
      <c r="J2268" s="33" t="n">
        <f aca="false">IF(F2268="","",F2268-C2268)</f>
        <v>12.125</v>
      </c>
      <c r="K2268" s="33" t="n">
        <f aca="false">IF(G2268="","",G2268-C2268)</f>
        <v>16.1904523407865</v>
      </c>
      <c r="L2268" s="33" t="n">
        <f aca="false">IF(H2268="","",ABS(H2268))</f>
        <v>10</v>
      </c>
      <c r="M2268" s="33" t="n">
        <f aca="false">IF(I2268="","",ABS(I2268))</f>
        <v>13.25</v>
      </c>
      <c r="N2268" s="33" t="n">
        <f aca="false">IF(J2268="","",ABS(J2268))</f>
        <v>12.125</v>
      </c>
      <c r="O2268" s="33" t="n">
        <f aca="false">IF(K2268="","",ABS(K2268))</f>
        <v>16.1904523407865</v>
      </c>
      <c r="P2268" s="34" t="str">
        <f aca="false">IF(B2268&gt;=Eval_Start_Week,"YES","")</f>
        <v>YES</v>
      </c>
      <c r="Q2268" s="34" t="str">
        <f aca="false">IF(AND(B2268&gt;=Cal_Start_Week,B2268&lt;=Cal_End_Week),"YES","")</f>
        <v>YES</v>
      </c>
    </row>
    <row r="2269" customFormat="false" ht="15" hidden="false" customHeight="false" outlineLevel="0" collapsed="false">
      <c r="A2269" s="31" t="str">
        <f aca="false">Demand_History!C2269</f>
        <v>BED-002</v>
      </c>
      <c r="B2269" s="31" t="n">
        <f aca="false">Demand_History!A2269</f>
        <v>84</v>
      </c>
      <c r="C2269" s="32" t="n">
        <f aca="false">Demand_History!D2269</f>
        <v>85</v>
      </c>
      <c r="D2269" s="33" t="n">
        <f aca="false">IF(B2269&gt;=2,C2268,"")</f>
        <v>71</v>
      </c>
      <c r="E2269" s="33" t="n">
        <f aca="false">IF(B2269&gt;=5,AVERAGE(C2265:C2268),"")</f>
        <v>87.25</v>
      </c>
      <c r="F2269" s="33" t="n">
        <f aca="false">IF(B2269&gt;=9,AVERAGE(C2261:C2268),"")</f>
        <v>82.625</v>
      </c>
      <c r="G2269" s="33" t="n">
        <f aca="false">IF(B2269=1,"",IF(B2269=2,C2268,SES_Alpha*C2268+(1-SES_Alpha)*G2268))</f>
        <v>82.3333166385505</v>
      </c>
      <c r="H2269" s="33" t="n">
        <f aca="false">IF(D2269="","",D2269-C2269)</f>
        <v>-14</v>
      </c>
      <c r="I2269" s="33" t="n">
        <f aca="false">IF(E2269="","",E2269-C2269)</f>
        <v>2.25</v>
      </c>
      <c r="J2269" s="33" t="n">
        <f aca="false">IF(F2269="","",F2269-C2269)</f>
        <v>-2.375</v>
      </c>
      <c r="K2269" s="33" t="n">
        <f aca="false">IF(G2269="","",G2269-C2269)</f>
        <v>-2.66668336144946</v>
      </c>
      <c r="L2269" s="33" t="n">
        <f aca="false">IF(H2269="","",ABS(H2269))</f>
        <v>14</v>
      </c>
      <c r="M2269" s="33" t="n">
        <f aca="false">IF(I2269="","",ABS(I2269))</f>
        <v>2.25</v>
      </c>
      <c r="N2269" s="33" t="n">
        <f aca="false">IF(J2269="","",ABS(J2269))</f>
        <v>2.375</v>
      </c>
      <c r="O2269" s="33" t="n">
        <f aca="false">IF(K2269="","",ABS(K2269))</f>
        <v>2.66668336144946</v>
      </c>
      <c r="P2269" s="34" t="str">
        <f aca="false">IF(B2269&gt;=Eval_Start_Week,"YES","")</f>
        <v>YES</v>
      </c>
      <c r="Q2269" s="34" t="str">
        <f aca="false">IF(AND(B2269&gt;=Cal_Start_Week,B2269&lt;=Cal_End_Week),"YES","")</f>
        <v>YES</v>
      </c>
    </row>
    <row r="2270" customFormat="false" ht="15" hidden="false" customHeight="false" outlineLevel="0" collapsed="false">
      <c r="A2270" s="31" t="str">
        <f aca="false">Demand_History!C2270</f>
        <v>BED-002</v>
      </c>
      <c r="B2270" s="31" t="n">
        <f aca="false">Demand_History!A2270</f>
        <v>85</v>
      </c>
      <c r="C2270" s="32" t="n">
        <f aca="false">Demand_History!D2270</f>
        <v>101</v>
      </c>
      <c r="D2270" s="33" t="n">
        <f aca="false">IF(B2270&gt;=2,C2269,"")</f>
        <v>85</v>
      </c>
      <c r="E2270" s="33" t="n">
        <f aca="false">IF(B2270&gt;=5,AVERAGE(C2266:C2269),"")</f>
        <v>88</v>
      </c>
      <c r="F2270" s="33" t="n">
        <f aca="false">IF(B2270&gt;=9,AVERAGE(C2262:C2269),"")</f>
        <v>83</v>
      </c>
      <c r="G2270" s="33" t="n">
        <f aca="false">IF(B2270=1,"",IF(B2270=2,C2269,SES_Alpha*C2269+(1-SES_Alpha)*G2269))</f>
        <v>83.1333216469854</v>
      </c>
      <c r="H2270" s="33" t="n">
        <f aca="false">IF(D2270="","",D2270-C2270)</f>
        <v>-16</v>
      </c>
      <c r="I2270" s="33" t="n">
        <f aca="false">IF(E2270="","",E2270-C2270)</f>
        <v>-13</v>
      </c>
      <c r="J2270" s="33" t="n">
        <f aca="false">IF(F2270="","",F2270-C2270)</f>
        <v>-18</v>
      </c>
      <c r="K2270" s="33" t="n">
        <f aca="false">IF(G2270="","",G2270-C2270)</f>
        <v>-17.8666783530146</v>
      </c>
      <c r="L2270" s="33" t="n">
        <f aca="false">IF(H2270="","",ABS(H2270))</f>
        <v>16</v>
      </c>
      <c r="M2270" s="33" t="n">
        <f aca="false">IF(I2270="","",ABS(I2270))</f>
        <v>13</v>
      </c>
      <c r="N2270" s="33" t="n">
        <f aca="false">IF(J2270="","",ABS(J2270))</f>
        <v>18</v>
      </c>
      <c r="O2270" s="33" t="n">
        <f aca="false">IF(K2270="","",ABS(K2270))</f>
        <v>17.8666783530146</v>
      </c>
      <c r="P2270" s="34" t="str">
        <f aca="false">IF(B2270&gt;=Eval_Start_Week,"YES","")</f>
        <v>YES</v>
      </c>
      <c r="Q2270" s="34" t="str">
        <f aca="false">IF(AND(B2270&gt;=Cal_Start_Week,B2270&lt;=Cal_End_Week),"YES","")</f>
        <v>YES</v>
      </c>
    </row>
    <row r="2271" customFormat="false" ht="15" hidden="false" customHeight="false" outlineLevel="0" collapsed="false">
      <c r="A2271" s="31" t="str">
        <f aca="false">Demand_History!C2271</f>
        <v>BED-002</v>
      </c>
      <c r="B2271" s="31" t="n">
        <f aca="false">Demand_History!A2271</f>
        <v>86</v>
      </c>
      <c r="C2271" s="32" t="n">
        <f aca="false">Demand_History!D2271</f>
        <v>83</v>
      </c>
      <c r="D2271" s="33" t="n">
        <f aca="false">IF(B2271&gt;=2,C2270,"")</f>
        <v>101</v>
      </c>
      <c r="E2271" s="33" t="n">
        <f aca="false">IF(B2271&gt;=5,AVERAGE(C2267:C2270),"")</f>
        <v>84.5</v>
      </c>
      <c r="F2271" s="33" t="n">
        <f aca="false">IF(B2271&gt;=9,AVERAGE(C2263:C2270),"")</f>
        <v>86.5</v>
      </c>
      <c r="G2271" s="33" t="n">
        <f aca="false">IF(B2271=1,"",IF(B2271=2,C2270,SES_Alpha*C2270+(1-SES_Alpha)*G2270))</f>
        <v>88.4933251528898</v>
      </c>
      <c r="H2271" s="33" t="n">
        <f aca="false">IF(D2271="","",D2271-C2271)</f>
        <v>18</v>
      </c>
      <c r="I2271" s="33" t="n">
        <f aca="false">IF(E2271="","",E2271-C2271)</f>
        <v>1.5</v>
      </c>
      <c r="J2271" s="33" t="n">
        <f aca="false">IF(F2271="","",F2271-C2271)</f>
        <v>3.5</v>
      </c>
      <c r="K2271" s="33" t="n">
        <f aca="false">IF(G2271="","",G2271-C2271)</f>
        <v>5.49332515288975</v>
      </c>
      <c r="L2271" s="33" t="n">
        <f aca="false">IF(H2271="","",ABS(H2271))</f>
        <v>18</v>
      </c>
      <c r="M2271" s="33" t="n">
        <f aca="false">IF(I2271="","",ABS(I2271))</f>
        <v>1.5</v>
      </c>
      <c r="N2271" s="33" t="n">
        <f aca="false">IF(J2271="","",ABS(J2271))</f>
        <v>3.5</v>
      </c>
      <c r="O2271" s="33" t="n">
        <f aca="false">IF(K2271="","",ABS(K2271))</f>
        <v>5.49332515288975</v>
      </c>
      <c r="P2271" s="34" t="str">
        <f aca="false">IF(B2271&gt;=Eval_Start_Week,"YES","")</f>
        <v>YES</v>
      </c>
      <c r="Q2271" s="34" t="str">
        <f aca="false">IF(AND(B2271&gt;=Cal_Start_Week,B2271&lt;=Cal_End_Week),"YES","")</f>
        <v>YES</v>
      </c>
    </row>
    <row r="2272" customFormat="false" ht="15" hidden="false" customHeight="false" outlineLevel="0" collapsed="false">
      <c r="A2272" s="31" t="str">
        <f aca="false">Demand_History!C2272</f>
        <v>BED-002</v>
      </c>
      <c r="B2272" s="31" t="n">
        <f aca="false">Demand_History!A2272</f>
        <v>87</v>
      </c>
      <c r="C2272" s="32" t="n">
        <f aca="false">Demand_History!D2272</f>
        <v>93</v>
      </c>
      <c r="D2272" s="33" t="n">
        <f aca="false">IF(B2272&gt;=2,C2271,"")</f>
        <v>83</v>
      </c>
      <c r="E2272" s="33" t="n">
        <f aca="false">IF(B2272&gt;=5,AVERAGE(C2268:C2271),"")</f>
        <v>85</v>
      </c>
      <c r="F2272" s="33" t="n">
        <f aca="false">IF(B2272&gt;=9,AVERAGE(C2264:C2271),"")</f>
        <v>84.625</v>
      </c>
      <c r="G2272" s="33" t="n">
        <f aca="false">IF(B2272=1,"",IF(B2272=2,C2271,SES_Alpha*C2271+(1-SES_Alpha)*G2271))</f>
        <v>86.8453276070228</v>
      </c>
      <c r="H2272" s="33" t="n">
        <f aca="false">IF(D2272="","",D2272-C2272)</f>
        <v>-10</v>
      </c>
      <c r="I2272" s="33" t="n">
        <f aca="false">IF(E2272="","",E2272-C2272)</f>
        <v>-8</v>
      </c>
      <c r="J2272" s="33" t="n">
        <f aca="false">IF(F2272="","",F2272-C2272)</f>
        <v>-8.375</v>
      </c>
      <c r="K2272" s="33" t="n">
        <f aca="false">IF(G2272="","",G2272-C2272)</f>
        <v>-6.15467239297718</v>
      </c>
      <c r="L2272" s="33" t="n">
        <f aca="false">IF(H2272="","",ABS(H2272))</f>
        <v>10</v>
      </c>
      <c r="M2272" s="33" t="n">
        <f aca="false">IF(I2272="","",ABS(I2272))</f>
        <v>8</v>
      </c>
      <c r="N2272" s="33" t="n">
        <f aca="false">IF(J2272="","",ABS(J2272))</f>
        <v>8.375</v>
      </c>
      <c r="O2272" s="33" t="n">
        <f aca="false">IF(K2272="","",ABS(K2272))</f>
        <v>6.15467239297718</v>
      </c>
      <c r="P2272" s="34" t="str">
        <f aca="false">IF(B2272&gt;=Eval_Start_Week,"YES","")</f>
        <v>YES</v>
      </c>
      <c r="Q2272" s="34" t="str">
        <f aca="false">IF(AND(B2272&gt;=Cal_Start_Week,B2272&lt;=Cal_End_Week),"YES","")</f>
        <v>YES</v>
      </c>
    </row>
    <row r="2273" customFormat="false" ht="15" hidden="false" customHeight="false" outlineLevel="0" collapsed="false">
      <c r="A2273" s="31" t="str">
        <f aca="false">Demand_History!C2273</f>
        <v>BED-002</v>
      </c>
      <c r="B2273" s="31" t="n">
        <f aca="false">Demand_History!A2273</f>
        <v>88</v>
      </c>
      <c r="C2273" s="32" t="n">
        <f aca="false">Demand_History!D2273</f>
        <v>86</v>
      </c>
      <c r="D2273" s="33" t="n">
        <f aca="false">IF(B2273&gt;=2,C2272,"")</f>
        <v>93</v>
      </c>
      <c r="E2273" s="33" t="n">
        <f aca="false">IF(B2273&gt;=5,AVERAGE(C2269:C2272),"")</f>
        <v>90.5</v>
      </c>
      <c r="F2273" s="33" t="n">
        <f aca="false">IF(B2273&gt;=9,AVERAGE(C2265:C2272),"")</f>
        <v>88.875</v>
      </c>
      <c r="G2273" s="33" t="n">
        <f aca="false">IF(B2273=1,"",IF(B2273=2,C2272,SES_Alpha*C2272+(1-SES_Alpha)*G2272))</f>
        <v>88.691729324916</v>
      </c>
      <c r="H2273" s="33" t="n">
        <f aca="false">IF(D2273="","",D2273-C2273)</f>
        <v>7</v>
      </c>
      <c r="I2273" s="33" t="n">
        <f aca="false">IF(E2273="","",E2273-C2273)</f>
        <v>4.5</v>
      </c>
      <c r="J2273" s="33" t="n">
        <f aca="false">IF(F2273="","",F2273-C2273)</f>
        <v>2.875</v>
      </c>
      <c r="K2273" s="33" t="n">
        <f aca="false">IF(G2273="","",G2273-C2273)</f>
        <v>2.69172932491597</v>
      </c>
      <c r="L2273" s="33" t="n">
        <f aca="false">IF(H2273="","",ABS(H2273))</f>
        <v>7</v>
      </c>
      <c r="M2273" s="33" t="n">
        <f aca="false">IF(I2273="","",ABS(I2273))</f>
        <v>4.5</v>
      </c>
      <c r="N2273" s="33" t="n">
        <f aca="false">IF(J2273="","",ABS(J2273))</f>
        <v>2.875</v>
      </c>
      <c r="O2273" s="33" t="n">
        <f aca="false">IF(K2273="","",ABS(K2273))</f>
        <v>2.69172932491597</v>
      </c>
      <c r="P2273" s="34" t="str">
        <f aca="false">IF(B2273&gt;=Eval_Start_Week,"YES","")</f>
        <v>YES</v>
      </c>
      <c r="Q2273" s="34" t="str">
        <f aca="false">IF(AND(B2273&gt;=Cal_Start_Week,B2273&lt;=Cal_End_Week),"YES","")</f>
        <v>YES</v>
      </c>
    </row>
    <row r="2274" customFormat="false" ht="15" hidden="false" customHeight="false" outlineLevel="0" collapsed="false">
      <c r="A2274" s="31" t="str">
        <f aca="false">Demand_History!C2274</f>
        <v>BED-002</v>
      </c>
      <c r="B2274" s="31" t="n">
        <f aca="false">Demand_History!A2274</f>
        <v>89</v>
      </c>
      <c r="C2274" s="32" t="n">
        <f aca="false">Demand_History!D2274</f>
        <v>80</v>
      </c>
      <c r="D2274" s="33" t="n">
        <f aca="false">IF(B2274&gt;=2,C2273,"")</f>
        <v>86</v>
      </c>
      <c r="E2274" s="33" t="n">
        <f aca="false">IF(B2274&gt;=5,AVERAGE(C2270:C2273),"")</f>
        <v>90.75</v>
      </c>
      <c r="F2274" s="33" t="n">
        <f aca="false">IF(B2274&gt;=9,AVERAGE(C2266:C2273),"")</f>
        <v>89.375</v>
      </c>
      <c r="G2274" s="33" t="n">
        <f aca="false">IF(B2274=1,"",IF(B2274=2,C2273,SES_Alpha*C2273+(1-SES_Alpha)*G2273))</f>
        <v>87.8842105274412</v>
      </c>
      <c r="H2274" s="33" t="n">
        <f aca="false">IF(D2274="","",D2274-C2274)</f>
        <v>6</v>
      </c>
      <c r="I2274" s="33" t="n">
        <f aca="false">IF(E2274="","",E2274-C2274)</f>
        <v>10.75</v>
      </c>
      <c r="J2274" s="33" t="n">
        <f aca="false">IF(F2274="","",F2274-C2274)</f>
        <v>9.375</v>
      </c>
      <c r="K2274" s="33" t="n">
        <f aca="false">IF(G2274="","",G2274-C2274)</f>
        <v>7.88421052744117</v>
      </c>
      <c r="L2274" s="33" t="n">
        <f aca="false">IF(H2274="","",ABS(H2274))</f>
        <v>6</v>
      </c>
      <c r="M2274" s="33" t="n">
        <f aca="false">IF(I2274="","",ABS(I2274))</f>
        <v>10.75</v>
      </c>
      <c r="N2274" s="33" t="n">
        <f aca="false">IF(J2274="","",ABS(J2274))</f>
        <v>9.375</v>
      </c>
      <c r="O2274" s="33" t="n">
        <f aca="false">IF(K2274="","",ABS(K2274))</f>
        <v>7.88421052744117</v>
      </c>
      <c r="P2274" s="34" t="str">
        <f aca="false">IF(B2274&gt;=Eval_Start_Week,"YES","")</f>
        <v>YES</v>
      </c>
      <c r="Q2274" s="34" t="str">
        <f aca="false">IF(AND(B2274&gt;=Cal_Start_Week,B2274&lt;=Cal_End_Week),"YES","")</f>
        <v/>
      </c>
    </row>
    <row r="2275" customFormat="false" ht="15" hidden="false" customHeight="false" outlineLevel="0" collapsed="false">
      <c r="A2275" s="31" t="str">
        <f aca="false">Demand_History!C2275</f>
        <v>BED-002</v>
      </c>
      <c r="B2275" s="31" t="n">
        <f aca="false">Demand_History!A2275</f>
        <v>90</v>
      </c>
      <c r="C2275" s="32" t="n">
        <f aca="false">Demand_History!D2275</f>
        <v>124</v>
      </c>
      <c r="D2275" s="33" t="n">
        <f aca="false">IF(B2275&gt;=2,C2274,"")</f>
        <v>80</v>
      </c>
      <c r="E2275" s="33" t="n">
        <f aca="false">IF(B2275&gt;=5,AVERAGE(C2271:C2274),"")</f>
        <v>85.5</v>
      </c>
      <c r="F2275" s="33" t="n">
        <f aca="false">IF(B2275&gt;=9,AVERAGE(C2267:C2274),"")</f>
        <v>85</v>
      </c>
      <c r="G2275" s="33" t="n">
        <f aca="false">IF(B2275=1,"",IF(B2275=2,C2274,SES_Alpha*C2274+(1-SES_Alpha)*G2274))</f>
        <v>85.5189473692088</v>
      </c>
      <c r="H2275" s="33" t="n">
        <f aca="false">IF(D2275="","",D2275-C2275)</f>
        <v>-44</v>
      </c>
      <c r="I2275" s="33" t="n">
        <f aca="false">IF(E2275="","",E2275-C2275)</f>
        <v>-38.5</v>
      </c>
      <c r="J2275" s="33" t="n">
        <f aca="false">IF(F2275="","",F2275-C2275)</f>
        <v>-39</v>
      </c>
      <c r="K2275" s="33" t="n">
        <f aca="false">IF(G2275="","",G2275-C2275)</f>
        <v>-38.4810526307912</v>
      </c>
      <c r="L2275" s="33" t="n">
        <f aca="false">IF(H2275="","",ABS(H2275))</f>
        <v>44</v>
      </c>
      <c r="M2275" s="33" t="n">
        <f aca="false">IF(I2275="","",ABS(I2275))</f>
        <v>38.5</v>
      </c>
      <c r="N2275" s="33" t="n">
        <f aca="false">IF(J2275="","",ABS(J2275))</f>
        <v>39</v>
      </c>
      <c r="O2275" s="33" t="n">
        <f aca="false">IF(K2275="","",ABS(K2275))</f>
        <v>38.4810526307912</v>
      </c>
      <c r="P2275" s="34" t="str">
        <f aca="false">IF(B2275&gt;=Eval_Start_Week,"YES","")</f>
        <v>YES</v>
      </c>
      <c r="Q2275" s="34" t="str">
        <f aca="false">IF(AND(B2275&gt;=Cal_Start_Week,B2275&lt;=Cal_End_Week),"YES","")</f>
        <v/>
      </c>
    </row>
    <row r="2276" customFormat="false" ht="15" hidden="false" customHeight="false" outlineLevel="0" collapsed="false">
      <c r="A2276" s="31" t="str">
        <f aca="false">Demand_History!C2276</f>
        <v>BED-002</v>
      </c>
      <c r="B2276" s="31" t="n">
        <f aca="false">Demand_History!A2276</f>
        <v>91</v>
      </c>
      <c r="C2276" s="32" t="n">
        <f aca="false">Demand_History!D2276</f>
        <v>86</v>
      </c>
      <c r="D2276" s="33" t="n">
        <f aca="false">IF(B2276&gt;=2,C2275,"")</f>
        <v>124</v>
      </c>
      <c r="E2276" s="33" t="n">
        <f aca="false">IF(B2276&gt;=5,AVERAGE(C2272:C2275),"")</f>
        <v>95.75</v>
      </c>
      <c r="F2276" s="33" t="n">
        <f aca="false">IF(B2276&gt;=9,AVERAGE(C2268:C2275),"")</f>
        <v>90.375</v>
      </c>
      <c r="G2276" s="33" t="n">
        <f aca="false">IF(B2276=1,"",IF(B2276=2,C2275,SES_Alpha*C2275+(1-SES_Alpha)*G2275))</f>
        <v>97.0632631584462</v>
      </c>
      <c r="H2276" s="33" t="n">
        <f aca="false">IF(D2276="","",D2276-C2276)</f>
        <v>38</v>
      </c>
      <c r="I2276" s="33" t="n">
        <f aca="false">IF(E2276="","",E2276-C2276)</f>
        <v>9.75</v>
      </c>
      <c r="J2276" s="33" t="n">
        <f aca="false">IF(F2276="","",F2276-C2276)</f>
        <v>4.375</v>
      </c>
      <c r="K2276" s="33" t="n">
        <f aca="false">IF(G2276="","",G2276-C2276)</f>
        <v>11.0632631584462</v>
      </c>
      <c r="L2276" s="33" t="n">
        <f aca="false">IF(H2276="","",ABS(H2276))</f>
        <v>38</v>
      </c>
      <c r="M2276" s="33" t="n">
        <f aca="false">IF(I2276="","",ABS(I2276))</f>
        <v>9.75</v>
      </c>
      <c r="N2276" s="33" t="n">
        <f aca="false">IF(J2276="","",ABS(J2276))</f>
        <v>4.375</v>
      </c>
      <c r="O2276" s="33" t="n">
        <f aca="false">IF(K2276="","",ABS(K2276))</f>
        <v>11.0632631584462</v>
      </c>
      <c r="P2276" s="34" t="str">
        <f aca="false">IF(B2276&gt;=Eval_Start_Week,"YES","")</f>
        <v>YES</v>
      </c>
      <c r="Q2276" s="34" t="str">
        <f aca="false">IF(AND(B2276&gt;=Cal_Start_Week,B2276&lt;=Cal_End_Week),"YES","")</f>
        <v/>
      </c>
    </row>
    <row r="2277" customFormat="false" ht="15" hidden="false" customHeight="false" outlineLevel="0" collapsed="false">
      <c r="A2277" s="31" t="str">
        <f aca="false">Demand_History!C2277</f>
        <v>BED-002</v>
      </c>
      <c r="B2277" s="31" t="n">
        <f aca="false">Demand_History!A2277</f>
        <v>92</v>
      </c>
      <c r="C2277" s="32" t="n">
        <f aca="false">Demand_History!D2277</f>
        <v>78</v>
      </c>
      <c r="D2277" s="33" t="n">
        <f aca="false">IF(B2277&gt;=2,C2276,"")</f>
        <v>86</v>
      </c>
      <c r="E2277" s="33" t="n">
        <f aca="false">IF(B2277&gt;=5,AVERAGE(C2273:C2276),"")</f>
        <v>94</v>
      </c>
      <c r="F2277" s="33" t="n">
        <f aca="false">IF(B2277&gt;=9,AVERAGE(C2269:C2276),"")</f>
        <v>92.25</v>
      </c>
      <c r="G2277" s="33" t="n">
        <f aca="false">IF(B2277=1,"",IF(B2277=2,C2276,SES_Alpha*C2276+(1-SES_Alpha)*G2276))</f>
        <v>93.7442842109123</v>
      </c>
      <c r="H2277" s="33" t="n">
        <f aca="false">IF(D2277="","",D2277-C2277)</f>
        <v>8</v>
      </c>
      <c r="I2277" s="33" t="n">
        <f aca="false">IF(E2277="","",E2277-C2277)</f>
        <v>16</v>
      </c>
      <c r="J2277" s="33" t="n">
        <f aca="false">IF(F2277="","",F2277-C2277)</f>
        <v>14.25</v>
      </c>
      <c r="K2277" s="33" t="n">
        <f aca="false">IF(G2277="","",G2277-C2277)</f>
        <v>15.7442842109123</v>
      </c>
      <c r="L2277" s="33" t="n">
        <f aca="false">IF(H2277="","",ABS(H2277))</f>
        <v>8</v>
      </c>
      <c r="M2277" s="33" t="n">
        <f aca="false">IF(I2277="","",ABS(I2277))</f>
        <v>16</v>
      </c>
      <c r="N2277" s="33" t="n">
        <f aca="false">IF(J2277="","",ABS(J2277))</f>
        <v>14.25</v>
      </c>
      <c r="O2277" s="33" t="n">
        <f aca="false">IF(K2277="","",ABS(K2277))</f>
        <v>15.7442842109123</v>
      </c>
      <c r="P2277" s="34" t="str">
        <f aca="false">IF(B2277&gt;=Eval_Start_Week,"YES","")</f>
        <v>YES</v>
      </c>
      <c r="Q2277" s="34" t="str">
        <f aca="false">IF(AND(B2277&gt;=Cal_Start_Week,B2277&lt;=Cal_End_Week),"YES","")</f>
        <v/>
      </c>
    </row>
    <row r="2278" customFormat="false" ht="15" hidden="false" customHeight="false" outlineLevel="0" collapsed="false">
      <c r="A2278" s="31" t="str">
        <f aca="false">Demand_History!C2278</f>
        <v>BED-002</v>
      </c>
      <c r="B2278" s="31" t="n">
        <f aca="false">Demand_History!A2278</f>
        <v>93</v>
      </c>
      <c r="C2278" s="32" t="n">
        <f aca="false">Demand_History!D2278</f>
        <v>79</v>
      </c>
      <c r="D2278" s="33" t="n">
        <f aca="false">IF(B2278&gt;=2,C2277,"")</f>
        <v>78</v>
      </c>
      <c r="E2278" s="33" t="n">
        <f aca="false">IF(B2278&gt;=5,AVERAGE(C2274:C2277),"")</f>
        <v>92</v>
      </c>
      <c r="F2278" s="33" t="n">
        <f aca="false">IF(B2278&gt;=9,AVERAGE(C2270:C2277),"")</f>
        <v>91.375</v>
      </c>
      <c r="G2278" s="33" t="n">
        <f aca="false">IF(B2278=1,"",IF(B2278=2,C2277,SES_Alpha*C2277+(1-SES_Alpha)*G2277))</f>
        <v>89.0209989476386</v>
      </c>
      <c r="H2278" s="33" t="n">
        <f aca="false">IF(D2278="","",D2278-C2278)</f>
        <v>-1</v>
      </c>
      <c r="I2278" s="33" t="n">
        <f aca="false">IF(E2278="","",E2278-C2278)</f>
        <v>13</v>
      </c>
      <c r="J2278" s="33" t="n">
        <f aca="false">IF(F2278="","",F2278-C2278)</f>
        <v>12.375</v>
      </c>
      <c r="K2278" s="33" t="n">
        <f aca="false">IF(G2278="","",G2278-C2278)</f>
        <v>10.0209989476386</v>
      </c>
      <c r="L2278" s="33" t="n">
        <f aca="false">IF(H2278="","",ABS(H2278))</f>
        <v>1</v>
      </c>
      <c r="M2278" s="33" t="n">
        <f aca="false">IF(I2278="","",ABS(I2278))</f>
        <v>13</v>
      </c>
      <c r="N2278" s="33" t="n">
        <f aca="false">IF(J2278="","",ABS(J2278))</f>
        <v>12.375</v>
      </c>
      <c r="O2278" s="33" t="n">
        <f aca="false">IF(K2278="","",ABS(K2278))</f>
        <v>10.0209989476386</v>
      </c>
      <c r="P2278" s="34" t="str">
        <f aca="false">IF(B2278&gt;=Eval_Start_Week,"YES","")</f>
        <v>YES</v>
      </c>
      <c r="Q2278" s="34" t="str">
        <f aca="false">IF(AND(B2278&gt;=Cal_Start_Week,B2278&lt;=Cal_End_Week),"YES","")</f>
        <v/>
      </c>
    </row>
    <row r="2279" customFormat="false" ht="15" hidden="false" customHeight="false" outlineLevel="0" collapsed="false">
      <c r="A2279" s="31" t="str">
        <f aca="false">Demand_History!C2279</f>
        <v>BED-002</v>
      </c>
      <c r="B2279" s="31" t="n">
        <f aca="false">Demand_History!A2279</f>
        <v>94</v>
      </c>
      <c r="C2279" s="32" t="n">
        <f aca="false">Demand_History!D2279</f>
        <v>90</v>
      </c>
      <c r="D2279" s="33" t="n">
        <f aca="false">IF(B2279&gt;=2,C2278,"")</f>
        <v>79</v>
      </c>
      <c r="E2279" s="33" t="n">
        <f aca="false">IF(B2279&gt;=5,AVERAGE(C2275:C2278),"")</f>
        <v>91.75</v>
      </c>
      <c r="F2279" s="33" t="n">
        <f aca="false">IF(B2279&gt;=9,AVERAGE(C2271:C2278),"")</f>
        <v>88.625</v>
      </c>
      <c r="G2279" s="33" t="n">
        <f aca="false">IF(B2279=1,"",IF(B2279=2,C2278,SES_Alpha*C2278+(1-SES_Alpha)*G2278))</f>
        <v>86.014699263347</v>
      </c>
      <c r="H2279" s="33" t="n">
        <f aca="false">IF(D2279="","",D2279-C2279)</f>
        <v>-11</v>
      </c>
      <c r="I2279" s="33" t="n">
        <f aca="false">IF(E2279="","",E2279-C2279)</f>
        <v>1.75</v>
      </c>
      <c r="J2279" s="33" t="n">
        <f aca="false">IF(F2279="","",F2279-C2279)</f>
        <v>-1.375</v>
      </c>
      <c r="K2279" s="33" t="n">
        <f aca="false">IF(G2279="","",G2279-C2279)</f>
        <v>-3.98530073665297</v>
      </c>
      <c r="L2279" s="33" t="n">
        <f aca="false">IF(H2279="","",ABS(H2279))</f>
        <v>11</v>
      </c>
      <c r="M2279" s="33" t="n">
        <f aca="false">IF(I2279="","",ABS(I2279))</f>
        <v>1.75</v>
      </c>
      <c r="N2279" s="33" t="n">
        <f aca="false">IF(J2279="","",ABS(J2279))</f>
        <v>1.375</v>
      </c>
      <c r="O2279" s="33" t="n">
        <f aca="false">IF(K2279="","",ABS(K2279))</f>
        <v>3.98530073665297</v>
      </c>
      <c r="P2279" s="34" t="str">
        <f aca="false">IF(B2279&gt;=Eval_Start_Week,"YES","")</f>
        <v>YES</v>
      </c>
      <c r="Q2279" s="34" t="str">
        <f aca="false">IF(AND(B2279&gt;=Cal_Start_Week,B2279&lt;=Cal_End_Week),"YES","")</f>
        <v/>
      </c>
    </row>
    <row r="2280" customFormat="false" ht="15" hidden="false" customHeight="false" outlineLevel="0" collapsed="false">
      <c r="A2280" s="31" t="str">
        <f aca="false">Demand_History!C2280</f>
        <v>BED-002</v>
      </c>
      <c r="B2280" s="31" t="n">
        <f aca="false">Demand_History!A2280</f>
        <v>95</v>
      </c>
      <c r="C2280" s="32" t="n">
        <f aca="false">Demand_History!D2280</f>
        <v>90</v>
      </c>
      <c r="D2280" s="33" t="n">
        <f aca="false">IF(B2280&gt;=2,C2279,"")</f>
        <v>90</v>
      </c>
      <c r="E2280" s="33" t="n">
        <f aca="false">IF(B2280&gt;=5,AVERAGE(C2276:C2279),"")</f>
        <v>83.25</v>
      </c>
      <c r="F2280" s="33" t="n">
        <f aca="false">IF(B2280&gt;=9,AVERAGE(C2272:C2279),"")</f>
        <v>89.5</v>
      </c>
      <c r="G2280" s="33" t="n">
        <f aca="false">IF(B2280=1,"",IF(B2280=2,C2279,SES_Alpha*C2279+(1-SES_Alpha)*G2279))</f>
        <v>87.2102894843429</v>
      </c>
      <c r="H2280" s="33" t="n">
        <f aca="false">IF(D2280="","",D2280-C2280)</f>
        <v>0</v>
      </c>
      <c r="I2280" s="33" t="n">
        <f aca="false">IF(E2280="","",E2280-C2280)</f>
        <v>-6.75</v>
      </c>
      <c r="J2280" s="33" t="n">
        <f aca="false">IF(F2280="","",F2280-C2280)</f>
        <v>-0.5</v>
      </c>
      <c r="K2280" s="33" t="n">
        <f aca="false">IF(G2280="","",G2280-C2280)</f>
        <v>-2.78971051565708</v>
      </c>
      <c r="L2280" s="33" t="n">
        <f aca="false">IF(H2280="","",ABS(H2280))</f>
        <v>0</v>
      </c>
      <c r="M2280" s="33" t="n">
        <f aca="false">IF(I2280="","",ABS(I2280))</f>
        <v>6.75</v>
      </c>
      <c r="N2280" s="33" t="n">
        <f aca="false">IF(J2280="","",ABS(J2280))</f>
        <v>0.5</v>
      </c>
      <c r="O2280" s="33" t="n">
        <f aca="false">IF(K2280="","",ABS(K2280))</f>
        <v>2.78971051565708</v>
      </c>
      <c r="P2280" s="34" t="str">
        <f aca="false">IF(B2280&gt;=Eval_Start_Week,"YES","")</f>
        <v>YES</v>
      </c>
      <c r="Q2280" s="34" t="str">
        <f aca="false">IF(AND(B2280&gt;=Cal_Start_Week,B2280&lt;=Cal_End_Week),"YES","")</f>
        <v/>
      </c>
    </row>
    <row r="2281" customFormat="false" ht="15" hidden="false" customHeight="false" outlineLevel="0" collapsed="false">
      <c r="A2281" s="31" t="str">
        <f aca="false">Demand_History!C2281</f>
        <v>BED-002</v>
      </c>
      <c r="B2281" s="31" t="n">
        <f aca="false">Demand_History!A2281</f>
        <v>96</v>
      </c>
      <c r="C2281" s="32" t="n">
        <f aca="false">Demand_History!D2281</f>
        <v>95</v>
      </c>
      <c r="D2281" s="33" t="n">
        <f aca="false">IF(B2281&gt;=2,C2280,"")</f>
        <v>90</v>
      </c>
      <c r="E2281" s="33" t="n">
        <f aca="false">IF(B2281&gt;=5,AVERAGE(C2277:C2280),"")</f>
        <v>84.25</v>
      </c>
      <c r="F2281" s="33" t="n">
        <f aca="false">IF(B2281&gt;=9,AVERAGE(C2273:C2280),"")</f>
        <v>89.125</v>
      </c>
      <c r="G2281" s="33" t="n">
        <f aca="false">IF(B2281=1,"",IF(B2281=2,C2280,SES_Alpha*C2280+(1-SES_Alpha)*G2280))</f>
        <v>88.0472026390401</v>
      </c>
      <c r="H2281" s="33" t="n">
        <f aca="false">IF(D2281="","",D2281-C2281)</f>
        <v>-5</v>
      </c>
      <c r="I2281" s="33" t="n">
        <f aca="false">IF(E2281="","",E2281-C2281)</f>
        <v>-10.75</v>
      </c>
      <c r="J2281" s="33" t="n">
        <f aca="false">IF(F2281="","",F2281-C2281)</f>
        <v>-5.875</v>
      </c>
      <c r="K2281" s="33" t="n">
        <f aca="false">IF(G2281="","",G2281-C2281)</f>
        <v>-6.95279736095995</v>
      </c>
      <c r="L2281" s="33" t="n">
        <f aca="false">IF(H2281="","",ABS(H2281))</f>
        <v>5</v>
      </c>
      <c r="M2281" s="33" t="n">
        <f aca="false">IF(I2281="","",ABS(I2281))</f>
        <v>10.75</v>
      </c>
      <c r="N2281" s="33" t="n">
        <f aca="false">IF(J2281="","",ABS(J2281))</f>
        <v>5.875</v>
      </c>
      <c r="O2281" s="33" t="n">
        <f aca="false">IF(K2281="","",ABS(K2281))</f>
        <v>6.95279736095995</v>
      </c>
      <c r="P2281" s="34" t="str">
        <f aca="false">IF(B2281&gt;=Eval_Start_Week,"YES","")</f>
        <v>YES</v>
      </c>
      <c r="Q2281" s="34" t="str">
        <f aca="false">IF(AND(B2281&gt;=Cal_Start_Week,B2281&lt;=Cal_End_Week),"YES","")</f>
        <v/>
      </c>
    </row>
    <row r="2282" customFormat="false" ht="15" hidden="false" customHeight="false" outlineLevel="0" collapsed="false">
      <c r="A2282" s="31" t="str">
        <f aca="false">Demand_History!C2282</f>
        <v>BED-002</v>
      </c>
      <c r="B2282" s="31" t="n">
        <f aca="false">Demand_History!A2282</f>
        <v>97</v>
      </c>
      <c r="C2282" s="32" t="n">
        <f aca="false">Demand_History!D2282</f>
        <v>87</v>
      </c>
      <c r="D2282" s="33" t="n">
        <f aca="false">IF(B2282&gt;=2,C2281,"")</f>
        <v>95</v>
      </c>
      <c r="E2282" s="33" t="n">
        <f aca="false">IF(B2282&gt;=5,AVERAGE(C2278:C2281),"")</f>
        <v>88.5</v>
      </c>
      <c r="F2282" s="33" t="n">
        <f aca="false">IF(B2282&gt;=9,AVERAGE(C2274:C2281),"")</f>
        <v>90.25</v>
      </c>
      <c r="G2282" s="33" t="n">
        <f aca="false">IF(B2282=1,"",IF(B2282=2,C2281,SES_Alpha*C2281+(1-SES_Alpha)*G2281))</f>
        <v>90.133041847328</v>
      </c>
      <c r="H2282" s="33" t="n">
        <f aca="false">IF(D2282="","",D2282-C2282)</f>
        <v>8</v>
      </c>
      <c r="I2282" s="33" t="n">
        <f aca="false">IF(E2282="","",E2282-C2282)</f>
        <v>1.5</v>
      </c>
      <c r="J2282" s="33" t="n">
        <f aca="false">IF(F2282="","",F2282-C2282)</f>
        <v>3.25</v>
      </c>
      <c r="K2282" s="33" t="n">
        <f aca="false">IF(G2282="","",G2282-C2282)</f>
        <v>3.13304184732803</v>
      </c>
      <c r="L2282" s="33" t="n">
        <f aca="false">IF(H2282="","",ABS(H2282))</f>
        <v>8</v>
      </c>
      <c r="M2282" s="33" t="n">
        <f aca="false">IF(I2282="","",ABS(I2282))</f>
        <v>1.5</v>
      </c>
      <c r="N2282" s="33" t="n">
        <f aca="false">IF(J2282="","",ABS(J2282))</f>
        <v>3.25</v>
      </c>
      <c r="O2282" s="33" t="n">
        <f aca="false">IF(K2282="","",ABS(K2282))</f>
        <v>3.13304184732803</v>
      </c>
      <c r="P2282" s="34" t="str">
        <f aca="false">IF(B2282&gt;=Eval_Start_Week,"YES","")</f>
        <v>YES</v>
      </c>
      <c r="Q2282" s="34" t="str">
        <f aca="false">IF(AND(B2282&gt;=Cal_Start_Week,B2282&lt;=Cal_End_Week),"YES","")</f>
        <v/>
      </c>
    </row>
    <row r="2283" customFormat="false" ht="15" hidden="false" customHeight="false" outlineLevel="0" collapsed="false">
      <c r="A2283" s="31" t="str">
        <f aca="false">Demand_History!C2283</f>
        <v>BED-002</v>
      </c>
      <c r="B2283" s="31" t="n">
        <f aca="false">Demand_History!A2283</f>
        <v>98</v>
      </c>
      <c r="C2283" s="32" t="n">
        <f aca="false">Demand_History!D2283</f>
        <v>67</v>
      </c>
      <c r="D2283" s="33" t="n">
        <f aca="false">IF(B2283&gt;=2,C2282,"")</f>
        <v>87</v>
      </c>
      <c r="E2283" s="33" t="n">
        <f aca="false">IF(B2283&gt;=5,AVERAGE(C2279:C2282),"")</f>
        <v>90.5</v>
      </c>
      <c r="F2283" s="33" t="n">
        <f aca="false">IF(B2283&gt;=9,AVERAGE(C2275:C2282),"")</f>
        <v>91.125</v>
      </c>
      <c r="G2283" s="33" t="n">
        <f aca="false">IF(B2283=1,"",IF(B2283=2,C2282,SES_Alpha*C2282+(1-SES_Alpha)*G2282))</f>
        <v>89.1931292931296</v>
      </c>
      <c r="H2283" s="33" t="n">
        <f aca="false">IF(D2283="","",D2283-C2283)</f>
        <v>20</v>
      </c>
      <c r="I2283" s="33" t="n">
        <f aca="false">IF(E2283="","",E2283-C2283)</f>
        <v>23.5</v>
      </c>
      <c r="J2283" s="33" t="n">
        <f aca="false">IF(F2283="","",F2283-C2283)</f>
        <v>24.125</v>
      </c>
      <c r="K2283" s="33" t="n">
        <f aca="false">IF(G2283="","",G2283-C2283)</f>
        <v>22.1931292931296</v>
      </c>
      <c r="L2283" s="33" t="n">
        <f aca="false">IF(H2283="","",ABS(H2283))</f>
        <v>20</v>
      </c>
      <c r="M2283" s="33" t="n">
        <f aca="false">IF(I2283="","",ABS(I2283))</f>
        <v>23.5</v>
      </c>
      <c r="N2283" s="33" t="n">
        <f aca="false">IF(J2283="","",ABS(J2283))</f>
        <v>24.125</v>
      </c>
      <c r="O2283" s="33" t="n">
        <f aca="false">IF(K2283="","",ABS(K2283))</f>
        <v>22.1931292931296</v>
      </c>
      <c r="P2283" s="34" t="str">
        <f aca="false">IF(B2283&gt;=Eval_Start_Week,"YES","")</f>
        <v>YES</v>
      </c>
      <c r="Q2283" s="34" t="str">
        <f aca="false">IF(AND(B2283&gt;=Cal_Start_Week,B2283&lt;=Cal_End_Week),"YES","")</f>
        <v/>
      </c>
    </row>
    <row r="2284" customFormat="false" ht="15" hidden="false" customHeight="false" outlineLevel="0" collapsed="false">
      <c r="A2284" s="31" t="str">
        <f aca="false">Demand_History!C2284</f>
        <v>BED-002</v>
      </c>
      <c r="B2284" s="31" t="n">
        <f aca="false">Demand_History!A2284</f>
        <v>99</v>
      </c>
      <c r="C2284" s="32" t="n">
        <f aca="false">Demand_History!D2284</f>
        <v>92</v>
      </c>
      <c r="D2284" s="33" t="n">
        <f aca="false">IF(B2284&gt;=2,C2283,"")</f>
        <v>67</v>
      </c>
      <c r="E2284" s="33" t="n">
        <f aca="false">IF(B2284&gt;=5,AVERAGE(C2280:C2283),"")</f>
        <v>84.75</v>
      </c>
      <c r="F2284" s="33" t="n">
        <f aca="false">IF(B2284&gt;=9,AVERAGE(C2276:C2283),"")</f>
        <v>84</v>
      </c>
      <c r="G2284" s="33" t="n">
        <f aca="false">IF(B2284=1,"",IF(B2284=2,C2283,SES_Alpha*C2283+(1-SES_Alpha)*G2283))</f>
        <v>82.5351905051907</v>
      </c>
      <c r="H2284" s="33" t="n">
        <f aca="false">IF(D2284="","",D2284-C2284)</f>
        <v>-25</v>
      </c>
      <c r="I2284" s="33" t="n">
        <f aca="false">IF(E2284="","",E2284-C2284)</f>
        <v>-7.25</v>
      </c>
      <c r="J2284" s="33" t="n">
        <f aca="false">IF(F2284="","",F2284-C2284)</f>
        <v>-8</v>
      </c>
      <c r="K2284" s="33" t="n">
        <f aca="false">IF(G2284="","",G2284-C2284)</f>
        <v>-9.46480949480927</v>
      </c>
      <c r="L2284" s="33" t="n">
        <f aca="false">IF(H2284="","",ABS(H2284))</f>
        <v>25</v>
      </c>
      <c r="M2284" s="33" t="n">
        <f aca="false">IF(I2284="","",ABS(I2284))</f>
        <v>7.25</v>
      </c>
      <c r="N2284" s="33" t="n">
        <f aca="false">IF(J2284="","",ABS(J2284))</f>
        <v>8</v>
      </c>
      <c r="O2284" s="33" t="n">
        <f aca="false">IF(K2284="","",ABS(K2284))</f>
        <v>9.46480949480927</v>
      </c>
      <c r="P2284" s="34" t="str">
        <f aca="false">IF(B2284&gt;=Eval_Start_Week,"YES","")</f>
        <v>YES</v>
      </c>
      <c r="Q2284" s="34" t="str">
        <f aca="false">IF(AND(B2284&gt;=Cal_Start_Week,B2284&lt;=Cal_End_Week),"YES","")</f>
        <v/>
      </c>
    </row>
    <row r="2285" customFormat="false" ht="15" hidden="false" customHeight="false" outlineLevel="0" collapsed="false">
      <c r="A2285" s="31" t="str">
        <f aca="false">Demand_History!C2285</f>
        <v>BED-002</v>
      </c>
      <c r="B2285" s="31" t="n">
        <f aca="false">Demand_History!A2285</f>
        <v>100</v>
      </c>
      <c r="C2285" s="32" t="n">
        <f aca="false">Demand_History!D2285</f>
        <v>81</v>
      </c>
      <c r="D2285" s="33" t="n">
        <f aca="false">IF(B2285&gt;=2,C2284,"")</f>
        <v>92</v>
      </c>
      <c r="E2285" s="33" t="n">
        <f aca="false">IF(B2285&gt;=5,AVERAGE(C2281:C2284),"")</f>
        <v>85.25</v>
      </c>
      <c r="F2285" s="33" t="n">
        <f aca="false">IF(B2285&gt;=9,AVERAGE(C2277:C2284),"")</f>
        <v>84.75</v>
      </c>
      <c r="G2285" s="33" t="n">
        <f aca="false">IF(B2285=1,"",IF(B2285=2,C2284,SES_Alpha*C2284+(1-SES_Alpha)*G2284))</f>
        <v>85.3746333536335</v>
      </c>
      <c r="H2285" s="33" t="n">
        <f aca="false">IF(D2285="","",D2285-C2285)</f>
        <v>11</v>
      </c>
      <c r="I2285" s="33" t="n">
        <f aca="false">IF(E2285="","",E2285-C2285)</f>
        <v>4.25</v>
      </c>
      <c r="J2285" s="33" t="n">
        <f aca="false">IF(F2285="","",F2285-C2285)</f>
        <v>3.75</v>
      </c>
      <c r="K2285" s="33" t="n">
        <f aca="false">IF(G2285="","",G2285-C2285)</f>
        <v>4.3746333536335</v>
      </c>
      <c r="L2285" s="33" t="n">
        <f aca="false">IF(H2285="","",ABS(H2285))</f>
        <v>11</v>
      </c>
      <c r="M2285" s="33" t="n">
        <f aca="false">IF(I2285="","",ABS(I2285))</f>
        <v>4.25</v>
      </c>
      <c r="N2285" s="33" t="n">
        <f aca="false">IF(J2285="","",ABS(J2285))</f>
        <v>3.75</v>
      </c>
      <c r="O2285" s="33" t="n">
        <f aca="false">IF(K2285="","",ABS(K2285))</f>
        <v>4.3746333536335</v>
      </c>
      <c r="P2285" s="34" t="str">
        <f aca="false">IF(B2285&gt;=Eval_Start_Week,"YES","")</f>
        <v>YES</v>
      </c>
      <c r="Q2285" s="34" t="str">
        <f aca="false">IF(AND(B2285&gt;=Cal_Start_Week,B2285&lt;=Cal_End_Week),"YES","")</f>
        <v/>
      </c>
    </row>
    <row r="2286" customFormat="false" ht="15" hidden="false" customHeight="false" outlineLevel="0" collapsed="false">
      <c r="A2286" s="31" t="str">
        <f aca="false">Demand_History!C2286</f>
        <v>BED-002</v>
      </c>
      <c r="B2286" s="31" t="n">
        <f aca="false">Demand_History!A2286</f>
        <v>101</v>
      </c>
      <c r="C2286" s="32" t="n">
        <f aca="false">Demand_History!D2286</f>
        <v>81</v>
      </c>
      <c r="D2286" s="33" t="n">
        <f aca="false">IF(B2286&gt;=2,C2285,"")</f>
        <v>81</v>
      </c>
      <c r="E2286" s="33" t="n">
        <f aca="false">IF(B2286&gt;=5,AVERAGE(C2282:C2285),"")</f>
        <v>81.75</v>
      </c>
      <c r="F2286" s="33" t="n">
        <f aca="false">IF(B2286&gt;=9,AVERAGE(C2278:C2285),"")</f>
        <v>85.125</v>
      </c>
      <c r="G2286" s="33" t="n">
        <f aca="false">IF(B2286=1,"",IF(B2286=2,C2285,SES_Alpha*C2285+(1-SES_Alpha)*G2285))</f>
        <v>84.0622433475434</v>
      </c>
      <c r="H2286" s="33" t="n">
        <f aca="false">IF(D2286="","",D2286-C2286)</f>
        <v>0</v>
      </c>
      <c r="I2286" s="33" t="n">
        <f aca="false">IF(E2286="","",E2286-C2286)</f>
        <v>0.75</v>
      </c>
      <c r="J2286" s="33" t="n">
        <f aca="false">IF(F2286="","",F2286-C2286)</f>
        <v>4.125</v>
      </c>
      <c r="K2286" s="33" t="n">
        <f aca="false">IF(G2286="","",G2286-C2286)</f>
        <v>3.06224334754344</v>
      </c>
      <c r="L2286" s="33" t="n">
        <f aca="false">IF(H2286="","",ABS(H2286))</f>
        <v>0</v>
      </c>
      <c r="M2286" s="33" t="n">
        <f aca="false">IF(I2286="","",ABS(I2286))</f>
        <v>0.75</v>
      </c>
      <c r="N2286" s="33" t="n">
        <f aca="false">IF(J2286="","",ABS(J2286))</f>
        <v>4.125</v>
      </c>
      <c r="O2286" s="33" t="n">
        <f aca="false">IF(K2286="","",ABS(K2286))</f>
        <v>3.06224334754344</v>
      </c>
      <c r="P2286" s="34" t="str">
        <f aca="false">IF(B2286&gt;=Eval_Start_Week,"YES","")</f>
        <v>YES</v>
      </c>
      <c r="Q2286" s="34" t="str">
        <f aca="false">IF(AND(B2286&gt;=Cal_Start_Week,B2286&lt;=Cal_End_Week),"YES","")</f>
        <v/>
      </c>
    </row>
    <row r="2287" customFormat="false" ht="15" hidden="false" customHeight="false" outlineLevel="0" collapsed="false">
      <c r="A2287" s="31" t="str">
        <f aca="false">Demand_History!C2287</f>
        <v>BED-002</v>
      </c>
      <c r="B2287" s="31" t="n">
        <f aca="false">Demand_History!A2287</f>
        <v>102</v>
      </c>
      <c r="C2287" s="32" t="n">
        <f aca="false">Demand_History!D2287</f>
        <v>67</v>
      </c>
      <c r="D2287" s="33" t="n">
        <f aca="false">IF(B2287&gt;=2,C2286,"")</f>
        <v>81</v>
      </c>
      <c r="E2287" s="33" t="n">
        <f aca="false">IF(B2287&gt;=5,AVERAGE(C2283:C2286),"")</f>
        <v>80.25</v>
      </c>
      <c r="F2287" s="33" t="n">
        <f aca="false">IF(B2287&gt;=9,AVERAGE(C2279:C2286),"")</f>
        <v>85.375</v>
      </c>
      <c r="G2287" s="33" t="n">
        <f aca="false">IF(B2287=1,"",IF(B2287=2,C2286,SES_Alpha*C2286+(1-SES_Alpha)*G2286))</f>
        <v>83.1435703432804</v>
      </c>
      <c r="H2287" s="33" t="n">
        <f aca="false">IF(D2287="","",D2287-C2287)</f>
        <v>14</v>
      </c>
      <c r="I2287" s="33" t="n">
        <f aca="false">IF(E2287="","",E2287-C2287)</f>
        <v>13.25</v>
      </c>
      <c r="J2287" s="33" t="n">
        <f aca="false">IF(F2287="","",F2287-C2287)</f>
        <v>18.375</v>
      </c>
      <c r="K2287" s="33" t="n">
        <f aca="false">IF(G2287="","",G2287-C2287)</f>
        <v>16.1435703432804</v>
      </c>
      <c r="L2287" s="33" t="n">
        <f aca="false">IF(H2287="","",ABS(H2287))</f>
        <v>14</v>
      </c>
      <c r="M2287" s="33" t="n">
        <f aca="false">IF(I2287="","",ABS(I2287))</f>
        <v>13.25</v>
      </c>
      <c r="N2287" s="33" t="n">
        <f aca="false">IF(J2287="","",ABS(J2287))</f>
        <v>18.375</v>
      </c>
      <c r="O2287" s="33" t="n">
        <f aca="false">IF(K2287="","",ABS(K2287))</f>
        <v>16.1435703432804</v>
      </c>
      <c r="P2287" s="34" t="str">
        <f aca="false">IF(B2287&gt;=Eval_Start_Week,"YES","")</f>
        <v>YES</v>
      </c>
      <c r="Q2287" s="34" t="str">
        <f aca="false">IF(AND(B2287&gt;=Cal_Start_Week,B2287&lt;=Cal_End_Week),"YES","")</f>
        <v/>
      </c>
    </row>
    <row r="2288" customFormat="false" ht="15" hidden="false" customHeight="false" outlineLevel="0" collapsed="false">
      <c r="A2288" s="31" t="str">
        <f aca="false">Demand_History!C2288</f>
        <v>BED-002</v>
      </c>
      <c r="B2288" s="31" t="n">
        <f aca="false">Demand_History!A2288</f>
        <v>103</v>
      </c>
      <c r="C2288" s="32" t="n">
        <f aca="false">Demand_History!D2288</f>
        <v>78</v>
      </c>
      <c r="D2288" s="33" t="n">
        <f aca="false">IF(B2288&gt;=2,C2287,"")</f>
        <v>67</v>
      </c>
      <c r="E2288" s="33" t="n">
        <f aca="false">IF(B2288&gt;=5,AVERAGE(C2284:C2287),"")</f>
        <v>80.25</v>
      </c>
      <c r="F2288" s="33" t="n">
        <f aca="false">IF(B2288&gt;=9,AVERAGE(C2280:C2287),"")</f>
        <v>82.5</v>
      </c>
      <c r="G2288" s="33" t="n">
        <f aca="false">IF(B2288=1,"",IF(B2288=2,C2287,SES_Alpha*C2287+(1-SES_Alpha)*G2287))</f>
        <v>78.3004992402963</v>
      </c>
      <c r="H2288" s="33" t="n">
        <f aca="false">IF(D2288="","",D2288-C2288)</f>
        <v>-11</v>
      </c>
      <c r="I2288" s="33" t="n">
        <f aca="false">IF(E2288="","",E2288-C2288)</f>
        <v>2.25</v>
      </c>
      <c r="J2288" s="33" t="n">
        <f aca="false">IF(F2288="","",F2288-C2288)</f>
        <v>4.5</v>
      </c>
      <c r="K2288" s="33" t="n">
        <f aca="false">IF(G2288="","",G2288-C2288)</f>
        <v>0.300499240296276</v>
      </c>
      <c r="L2288" s="33" t="n">
        <f aca="false">IF(H2288="","",ABS(H2288))</f>
        <v>11</v>
      </c>
      <c r="M2288" s="33" t="n">
        <f aca="false">IF(I2288="","",ABS(I2288))</f>
        <v>2.25</v>
      </c>
      <c r="N2288" s="33" t="n">
        <f aca="false">IF(J2288="","",ABS(J2288))</f>
        <v>4.5</v>
      </c>
      <c r="O2288" s="33" t="n">
        <f aca="false">IF(K2288="","",ABS(K2288))</f>
        <v>0.300499240296276</v>
      </c>
      <c r="P2288" s="34" t="str">
        <f aca="false">IF(B2288&gt;=Eval_Start_Week,"YES","")</f>
        <v>YES</v>
      </c>
      <c r="Q2288" s="34" t="str">
        <f aca="false">IF(AND(B2288&gt;=Cal_Start_Week,B2288&lt;=Cal_End_Week),"YES","")</f>
        <v/>
      </c>
    </row>
    <row r="2289" customFormat="false" ht="15" hidden="false" customHeight="false" outlineLevel="0" collapsed="false">
      <c r="A2289" s="31" t="str">
        <f aca="false">Demand_History!C2289</f>
        <v>BED-002</v>
      </c>
      <c r="B2289" s="31" t="n">
        <f aca="false">Demand_History!A2289</f>
        <v>104</v>
      </c>
      <c r="C2289" s="32" t="n">
        <f aca="false">Demand_History!D2289</f>
        <v>76</v>
      </c>
      <c r="D2289" s="33" t="n">
        <f aca="false">IF(B2289&gt;=2,C2288,"")</f>
        <v>78</v>
      </c>
      <c r="E2289" s="33" t="n">
        <f aca="false">IF(B2289&gt;=5,AVERAGE(C2285:C2288),"")</f>
        <v>76.75</v>
      </c>
      <c r="F2289" s="33" t="n">
        <f aca="false">IF(B2289&gt;=9,AVERAGE(C2281:C2288),"")</f>
        <v>81</v>
      </c>
      <c r="G2289" s="33" t="n">
        <f aca="false">IF(B2289=1,"",IF(B2289=2,C2288,SES_Alpha*C2288+(1-SES_Alpha)*G2288))</f>
        <v>78.2103494682074</v>
      </c>
      <c r="H2289" s="33" t="n">
        <f aca="false">IF(D2289="","",D2289-C2289)</f>
        <v>2</v>
      </c>
      <c r="I2289" s="33" t="n">
        <f aca="false">IF(E2289="","",E2289-C2289)</f>
        <v>0.75</v>
      </c>
      <c r="J2289" s="33" t="n">
        <f aca="false">IF(F2289="","",F2289-C2289)</f>
        <v>5</v>
      </c>
      <c r="K2289" s="33" t="n">
        <f aca="false">IF(G2289="","",G2289-C2289)</f>
        <v>2.2103494682074</v>
      </c>
      <c r="L2289" s="33" t="n">
        <f aca="false">IF(H2289="","",ABS(H2289))</f>
        <v>2</v>
      </c>
      <c r="M2289" s="33" t="n">
        <f aca="false">IF(I2289="","",ABS(I2289))</f>
        <v>0.75</v>
      </c>
      <c r="N2289" s="33" t="n">
        <f aca="false">IF(J2289="","",ABS(J2289))</f>
        <v>5</v>
      </c>
      <c r="O2289" s="33" t="n">
        <f aca="false">IF(K2289="","",ABS(K2289))</f>
        <v>2.2103494682074</v>
      </c>
      <c r="P2289" s="34" t="str">
        <f aca="false">IF(B2289&gt;=Eval_Start_Week,"YES","")</f>
        <v>YES</v>
      </c>
      <c r="Q2289" s="34" t="str">
        <f aca="false">IF(AND(B2289&gt;=Cal_Start_Week,B2289&lt;=Cal_End_Week),"YES","")</f>
        <v/>
      </c>
    </row>
    <row r="2290" customFormat="false" ht="15" hidden="false" customHeight="false" outlineLevel="0" collapsed="false">
      <c r="A2290" s="31" t="str">
        <f aca="false">Demand_History!C2290</f>
        <v>BED-003</v>
      </c>
      <c r="B2290" s="31" t="n">
        <f aca="false">Demand_History!A2290</f>
        <v>1</v>
      </c>
      <c r="C2290" s="32" t="n">
        <f aca="false">Demand_History!D2290</f>
        <v>23</v>
      </c>
      <c r="D2290" s="33" t="str">
        <f aca="false">IF(B2290&gt;=2,C2289,"")</f>
        <v/>
      </c>
      <c r="E2290" s="33" t="str">
        <f aca="false">IF(B2290&gt;=5,AVERAGE(C2286:C2289),"")</f>
        <v/>
      </c>
      <c r="F2290" s="33" t="str">
        <f aca="false">IF(B2290&gt;=9,AVERAGE(C2282:C2289),"")</f>
        <v/>
      </c>
      <c r="G2290" s="33" t="str">
        <f aca="false">IF(B2290=1,"",IF(B2290=2,C2289,SES_Alpha*C2289+(1-SES_Alpha)*G2289))</f>
        <v/>
      </c>
      <c r="H2290" s="33" t="str">
        <f aca="false">IF(D2290="","",D2290-C2290)</f>
        <v/>
      </c>
      <c r="I2290" s="33" t="str">
        <f aca="false">IF(E2290="","",E2290-C2290)</f>
        <v/>
      </c>
      <c r="J2290" s="33" t="str">
        <f aca="false">IF(F2290="","",F2290-C2290)</f>
        <v/>
      </c>
      <c r="K2290" s="33" t="str">
        <f aca="false">IF(G2290="","",G2290-C2290)</f>
        <v/>
      </c>
      <c r="L2290" s="33" t="str">
        <f aca="false">IF(H2290="","",ABS(H2290))</f>
        <v/>
      </c>
      <c r="M2290" s="33" t="str">
        <f aca="false">IF(I2290="","",ABS(I2290))</f>
        <v/>
      </c>
      <c r="N2290" s="33" t="str">
        <f aca="false">IF(J2290="","",ABS(J2290))</f>
        <v/>
      </c>
      <c r="O2290" s="33" t="str">
        <f aca="false">IF(K2290="","",ABS(K2290))</f>
        <v/>
      </c>
      <c r="P2290" s="34" t="str">
        <f aca="false">IF(B2290&gt;=Eval_Start_Week,"YES","")</f>
        <v/>
      </c>
      <c r="Q2290" s="34" t="str">
        <f aca="false">IF(AND(B2290&gt;=Cal_Start_Week,B2290&lt;=Cal_End_Week),"YES","")</f>
        <v/>
      </c>
    </row>
    <row r="2291" customFormat="false" ht="15" hidden="false" customHeight="false" outlineLevel="0" collapsed="false">
      <c r="A2291" s="31" t="str">
        <f aca="false">Demand_History!C2291</f>
        <v>BED-003</v>
      </c>
      <c r="B2291" s="31" t="n">
        <f aca="false">Demand_History!A2291</f>
        <v>2</v>
      </c>
      <c r="C2291" s="32" t="n">
        <f aca="false">Demand_History!D2291</f>
        <v>51</v>
      </c>
      <c r="D2291" s="33" t="n">
        <f aca="false">IF(B2291&gt;=2,C2290,"")</f>
        <v>23</v>
      </c>
      <c r="E2291" s="33" t="str">
        <f aca="false">IF(B2291&gt;=5,AVERAGE(C2287:C2290),"")</f>
        <v/>
      </c>
      <c r="F2291" s="33" t="str">
        <f aca="false">IF(B2291&gt;=9,AVERAGE(C2283:C2290),"")</f>
        <v/>
      </c>
      <c r="G2291" s="33" t="n">
        <f aca="false">IF(B2291=1,"",IF(B2291=2,C2290,SES_Alpha*C2290+(1-SES_Alpha)*G2290))</f>
        <v>23</v>
      </c>
      <c r="H2291" s="33" t="n">
        <f aca="false">IF(D2291="","",D2291-C2291)</f>
        <v>-28</v>
      </c>
      <c r="I2291" s="33" t="str">
        <f aca="false">IF(E2291="","",E2291-C2291)</f>
        <v/>
      </c>
      <c r="J2291" s="33" t="str">
        <f aca="false">IF(F2291="","",F2291-C2291)</f>
        <v/>
      </c>
      <c r="K2291" s="33" t="n">
        <f aca="false">IF(G2291="","",G2291-C2291)</f>
        <v>-28</v>
      </c>
      <c r="L2291" s="33" t="n">
        <f aca="false">IF(H2291="","",ABS(H2291))</f>
        <v>28</v>
      </c>
      <c r="M2291" s="33" t="str">
        <f aca="false">IF(I2291="","",ABS(I2291))</f>
        <v/>
      </c>
      <c r="N2291" s="33" t="str">
        <f aca="false">IF(J2291="","",ABS(J2291))</f>
        <v/>
      </c>
      <c r="O2291" s="33" t="n">
        <f aca="false">IF(K2291="","",ABS(K2291))</f>
        <v>28</v>
      </c>
      <c r="P2291" s="34" t="str">
        <f aca="false">IF(B2291&gt;=Eval_Start_Week,"YES","")</f>
        <v/>
      </c>
      <c r="Q2291" s="34" t="str">
        <f aca="false">IF(AND(B2291&gt;=Cal_Start_Week,B2291&lt;=Cal_End_Week),"YES","")</f>
        <v/>
      </c>
    </row>
    <row r="2292" customFormat="false" ht="15" hidden="false" customHeight="false" outlineLevel="0" collapsed="false">
      <c r="A2292" s="31" t="str">
        <f aca="false">Demand_History!C2292</f>
        <v>BED-003</v>
      </c>
      <c r="B2292" s="31" t="n">
        <f aca="false">Demand_History!A2292</f>
        <v>3</v>
      </c>
      <c r="C2292" s="32" t="n">
        <f aca="false">Demand_History!D2292</f>
        <v>52</v>
      </c>
      <c r="D2292" s="33" t="n">
        <f aca="false">IF(B2292&gt;=2,C2291,"")</f>
        <v>51</v>
      </c>
      <c r="E2292" s="33" t="str">
        <f aca="false">IF(B2292&gt;=5,AVERAGE(C2288:C2291),"")</f>
        <v/>
      </c>
      <c r="F2292" s="33" t="str">
        <f aca="false">IF(B2292&gt;=9,AVERAGE(C2284:C2291),"")</f>
        <v/>
      </c>
      <c r="G2292" s="33" t="n">
        <f aca="false">IF(B2292=1,"",IF(B2292=2,C2291,SES_Alpha*C2291+(1-SES_Alpha)*G2291))</f>
        <v>31.4</v>
      </c>
      <c r="H2292" s="33" t="n">
        <f aca="false">IF(D2292="","",D2292-C2292)</f>
        <v>-1</v>
      </c>
      <c r="I2292" s="33" t="str">
        <f aca="false">IF(E2292="","",E2292-C2292)</f>
        <v/>
      </c>
      <c r="J2292" s="33" t="str">
        <f aca="false">IF(F2292="","",F2292-C2292)</f>
        <v/>
      </c>
      <c r="K2292" s="33" t="n">
        <f aca="false">IF(G2292="","",G2292-C2292)</f>
        <v>-20.6</v>
      </c>
      <c r="L2292" s="33" t="n">
        <f aca="false">IF(H2292="","",ABS(H2292))</f>
        <v>1</v>
      </c>
      <c r="M2292" s="33" t="str">
        <f aca="false">IF(I2292="","",ABS(I2292))</f>
        <v/>
      </c>
      <c r="N2292" s="33" t="str">
        <f aca="false">IF(J2292="","",ABS(J2292))</f>
        <v/>
      </c>
      <c r="O2292" s="33" t="n">
        <f aca="false">IF(K2292="","",ABS(K2292))</f>
        <v>20.6</v>
      </c>
      <c r="P2292" s="34" t="str">
        <f aca="false">IF(B2292&gt;=Eval_Start_Week,"YES","")</f>
        <v/>
      </c>
      <c r="Q2292" s="34" t="str">
        <f aca="false">IF(AND(B2292&gt;=Cal_Start_Week,B2292&lt;=Cal_End_Week),"YES","")</f>
        <v/>
      </c>
    </row>
    <row r="2293" customFormat="false" ht="15" hidden="false" customHeight="false" outlineLevel="0" collapsed="false">
      <c r="A2293" s="31" t="str">
        <f aca="false">Demand_History!C2293</f>
        <v>BED-003</v>
      </c>
      <c r="B2293" s="31" t="n">
        <f aca="false">Demand_History!A2293</f>
        <v>4</v>
      </c>
      <c r="C2293" s="32" t="n">
        <f aca="false">Demand_History!D2293</f>
        <v>29</v>
      </c>
      <c r="D2293" s="33" t="n">
        <f aca="false">IF(B2293&gt;=2,C2292,"")</f>
        <v>52</v>
      </c>
      <c r="E2293" s="33" t="str">
        <f aca="false">IF(B2293&gt;=5,AVERAGE(C2289:C2292),"")</f>
        <v/>
      </c>
      <c r="F2293" s="33" t="str">
        <f aca="false">IF(B2293&gt;=9,AVERAGE(C2285:C2292),"")</f>
        <v/>
      </c>
      <c r="G2293" s="33" t="n">
        <f aca="false">IF(B2293=1,"",IF(B2293=2,C2292,SES_Alpha*C2292+(1-SES_Alpha)*G2292))</f>
        <v>37.58</v>
      </c>
      <c r="H2293" s="33" t="n">
        <f aca="false">IF(D2293="","",D2293-C2293)</f>
        <v>23</v>
      </c>
      <c r="I2293" s="33" t="str">
        <f aca="false">IF(E2293="","",E2293-C2293)</f>
        <v/>
      </c>
      <c r="J2293" s="33" t="str">
        <f aca="false">IF(F2293="","",F2293-C2293)</f>
        <v/>
      </c>
      <c r="K2293" s="33" t="n">
        <f aca="false">IF(G2293="","",G2293-C2293)</f>
        <v>8.58</v>
      </c>
      <c r="L2293" s="33" t="n">
        <f aca="false">IF(H2293="","",ABS(H2293))</f>
        <v>23</v>
      </c>
      <c r="M2293" s="33" t="str">
        <f aca="false">IF(I2293="","",ABS(I2293))</f>
        <v/>
      </c>
      <c r="N2293" s="33" t="str">
        <f aca="false">IF(J2293="","",ABS(J2293))</f>
        <v/>
      </c>
      <c r="O2293" s="33" t="n">
        <f aca="false">IF(K2293="","",ABS(K2293))</f>
        <v>8.58</v>
      </c>
      <c r="P2293" s="34" t="str">
        <f aca="false">IF(B2293&gt;=Eval_Start_Week,"YES","")</f>
        <v/>
      </c>
      <c r="Q2293" s="34" t="str">
        <f aca="false">IF(AND(B2293&gt;=Cal_Start_Week,B2293&lt;=Cal_End_Week),"YES","")</f>
        <v/>
      </c>
    </row>
    <row r="2294" customFormat="false" ht="15" hidden="false" customHeight="false" outlineLevel="0" collapsed="false">
      <c r="A2294" s="31" t="str">
        <f aca="false">Demand_History!C2294</f>
        <v>BED-003</v>
      </c>
      <c r="B2294" s="31" t="n">
        <f aca="false">Demand_History!A2294</f>
        <v>5</v>
      </c>
      <c r="C2294" s="32" t="n">
        <f aca="false">Demand_History!D2294</f>
        <v>39</v>
      </c>
      <c r="D2294" s="33" t="n">
        <f aca="false">IF(B2294&gt;=2,C2293,"")</f>
        <v>29</v>
      </c>
      <c r="E2294" s="33" t="n">
        <f aca="false">IF(B2294&gt;=5,AVERAGE(C2290:C2293),"")</f>
        <v>38.75</v>
      </c>
      <c r="F2294" s="33" t="str">
        <f aca="false">IF(B2294&gt;=9,AVERAGE(C2286:C2293),"")</f>
        <v/>
      </c>
      <c r="G2294" s="33" t="n">
        <f aca="false">IF(B2294=1,"",IF(B2294=2,C2293,SES_Alpha*C2293+(1-SES_Alpha)*G2293))</f>
        <v>35.006</v>
      </c>
      <c r="H2294" s="33" t="n">
        <f aca="false">IF(D2294="","",D2294-C2294)</f>
        <v>-10</v>
      </c>
      <c r="I2294" s="33" t="n">
        <f aca="false">IF(E2294="","",E2294-C2294)</f>
        <v>-0.25</v>
      </c>
      <c r="J2294" s="33" t="str">
        <f aca="false">IF(F2294="","",F2294-C2294)</f>
        <v/>
      </c>
      <c r="K2294" s="33" t="n">
        <f aca="false">IF(G2294="","",G2294-C2294)</f>
        <v>-3.994</v>
      </c>
      <c r="L2294" s="33" t="n">
        <f aca="false">IF(H2294="","",ABS(H2294))</f>
        <v>10</v>
      </c>
      <c r="M2294" s="33" t="n">
        <f aca="false">IF(I2294="","",ABS(I2294))</f>
        <v>0.25</v>
      </c>
      <c r="N2294" s="33" t="str">
        <f aca="false">IF(J2294="","",ABS(J2294))</f>
        <v/>
      </c>
      <c r="O2294" s="33" t="n">
        <f aca="false">IF(K2294="","",ABS(K2294))</f>
        <v>3.994</v>
      </c>
      <c r="P2294" s="34" t="str">
        <f aca="false">IF(B2294&gt;=Eval_Start_Week,"YES","")</f>
        <v/>
      </c>
      <c r="Q2294" s="34" t="str">
        <f aca="false">IF(AND(B2294&gt;=Cal_Start_Week,B2294&lt;=Cal_End_Week),"YES","")</f>
        <v/>
      </c>
    </row>
    <row r="2295" customFormat="false" ht="15" hidden="false" customHeight="false" outlineLevel="0" collapsed="false">
      <c r="A2295" s="31" t="str">
        <f aca="false">Demand_History!C2295</f>
        <v>BED-003</v>
      </c>
      <c r="B2295" s="31" t="n">
        <f aca="false">Demand_History!A2295</f>
        <v>6</v>
      </c>
      <c r="C2295" s="32" t="n">
        <f aca="false">Demand_History!D2295</f>
        <v>34</v>
      </c>
      <c r="D2295" s="33" t="n">
        <f aca="false">IF(B2295&gt;=2,C2294,"")</f>
        <v>39</v>
      </c>
      <c r="E2295" s="33" t="n">
        <f aca="false">IF(B2295&gt;=5,AVERAGE(C2291:C2294),"")</f>
        <v>42.75</v>
      </c>
      <c r="F2295" s="33" t="str">
        <f aca="false">IF(B2295&gt;=9,AVERAGE(C2287:C2294),"")</f>
        <v/>
      </c>
      <c r="G2295" s="33" t="n">
        <f aca="false">IF(B2295=1,"",IF(B2295=2,C2294,SES_Alpha*C2294+(1-SES_Alpha)*G2294))</f>
        <v>36.2042</v>
      </c>
      <c r="H2295" s="33" t="n">
        <f aca="false">IF(D2295="","",D2295-C2295)</f>
        <v>5</v>
      </c>
      <c r="I2295" s="33" t="n">
        <f aca="false">IF(E2295="","",E2295-C2295)</f>
        <v>8.75</v>
      </c>
      <c r="J2295" s="33" t="str">
        <f aca="false">IF(F2295="","",F2295-C2295)</f>
        <v/>
      </c>
      <c r="K2295" s="33" t="n">
        <f aca="false">IF(G2295="","",G2295-C2295)</f>
        <v>2.2042</v>
      </c>
      <c r="L2295" s="33" t="n">
        <f aca="false">IF(H2295="","",ABS(H2295))</f>
        <v>5</v>
      </c>
      <c r="M2295" s="33" t="n">
        <f aca="false">IF(I2295="","",ABS(I2295))</f>
        <v>8.75</v>
      </c>
      <c r="N2295" s="33" t="str">
        <f aca="false">IF(J2295="","",ABS(J2295))</f>
        <v/>
      </c>
      <c r="O2295" s="33" t="n">
        <f aca="false">IF(K2295="","",ABS(K2295))</f>
        <v>2.2042</v>
      </c>
      <c r="P2295" s="34" t="str">
        <f aca="false">IF(B2295&gt;=Eval_Start_Week,"YES","")</f>
        <v/>
      </c>
      <c r="Q2295" s="34" t="str">
        <f aca="false">IF(AND(B2295&gt;=Cal_Start_Week,B2295&lt;=Cal_End_Week),"YES","")</f>
        <v/>
      </c>
    </row>
    <row r="2296" customFormat="false" ht="15" hidden="false" customHeight="false" outlineLevel="0" collapsed="false">
      <c r="A2296" s="31" t="str">
        <f aca="false">Demand_History!C2296</f>
        <v>BED-003</v>
      </c>
      <c r="B2296" s="31" t="n">
        <f aca="false">Demand_History!A2296</f>
        <v>7</v>
      </c>
      <c r="C2296" s="32" t="n">
        <f aca="false">Demand_History!D2296</f>
        <v>67</v>
      </c>
      <c r="D2296" s="33" t="n">
        <f aca="false">IF(B2296&gt;=2,C2295,"")</f>
        <v>34</v>
      </c>
      <c r="E2296" s="33" t="n">
        <f aca="false">IF(B2296&gt;=5,AVERAGE(C2292:C2295),"")</f>
        <v>38.5</v>
      </c>
      <c r="F2296" s="33" t="str">
        <f aca="false">IF(B2296&gt;=9,AVERAGE(C2288:C2295),"")</f>
        <v/>
      </c>
      <c r="G2296" s="33" t="n">
        <f aca="false">IF(B2296=1,"",IF(B2296=2,C2295,SES_Alpha*C2295+(1-SES_Alpha)*G2295))</f>
        <v>35.54294</v>
      </c>
      <c r="H2296" s="33" t="n">
        <f aca="false">IF(D2296="","",D2296-C2296)</f>
        <v>-33</v>
      </c>
      <c r="I2296" s="33" t="n">
        <f aca="false">IF(E2296="","",E2296-C2296)</f>
        <v>-28.5</v>
      </c>
      <c r="J2296" s="33" t="str">
        <f aca="false">IF(F2296="","",F2296-C2296)</f>
        <v/>
      </c>
      <c r="K2296" s="33" t="n">
        <f aca="false">IF(G2296="","",G2296-C2296)</f>
        <v>-31.45706</v>
      </c>
      <c r="L2296" s="33" t="n">
        <f aca="false">IF(H2296="","",ABS(H2296))</f>
        <v>33</v>
      </c>
      <c r="M2296" s="33" t="n">
        <f aca="false">IF(I2296="","",ABS(I2296))</f>
        <v>28.5</v>
      </c>
      <c r="N2296" s="33" t="str">
        <f aca="false">IF(J2296="","",ABS(J2296))</f>
        <v/>
      </c>
      <c r="O2296" s="33" t="n">
        <f aca="false">IF(K2296="","",ABS(K2296))</f>
        <v>31.45706</v>
      </c>
      <c r="P2296" s="34" t="str">
        <f aca="false">IF(B2296&gt;=Eval_Start_Week,"YES","")</f>
        <v/>
      </c>
      <c r="Q2296" s="34" t="str">
        <f aca="false">IF(AND(B2296&gt;=Cal_Start_Week,B2296&lt;=Cal_End_Week),"YES","")</f>
        <v/>
      </c>
    </row>
    <row r="2297" customFormat="false" ht="15" hidden="false" customHeight="false" outlineLevel="0" collapsed="false">
      <c r="A2297" s="31" t="str">
        <f aca="false">Demand_History!C2297</f>
        <v>BED-003</v>
      </c>
      <c r="B2297" s="31" t="n">
        <f aca="false">Demand_History!A2297</f>
        <v>8</v>
      </c>
      <c r="C2297" s="32" t="n">
        <f aca="false">Demand_History!D2297</f>
        <v>4</v>
      </c>
      <c r="D2297" s="33" t="n">
        <f aca="false">IF(B2297&gt;=2,C2296,"")</f>
        <v>67</v>
      </c>
      <c r="E2297" s="33" t="n">
        <f aca="false">IF(B2297&gt;=5,AVERAGE(C2293:C2296),"")</f>
        <v>42.25</v>
      </c>
      <c r="F2297" s="33" t="str">
        <f aca="false">IF(B2297&gt;=9,AVERAGE(C2289:C2296),"")</f>
        <v/>
      </c>
      <c r="G2297" s="33" t="n">
        <f aca="false">IF(B2297=1,"",IF(B2297=2,C2296,SES_Alpha*C2296+(1-SES_Alpha)*G2296))</f>
        <v>44.980058</v>
      </c>
      <c r="H2297" s="33" t="n">
        <f aca="false">IF(D2297="","",D2297-C2297)</f>
        <v>63</v>
      </c>
      <c r="I2297" s="33" t="n">
        <f aca="false">IF(E2297="","",E2297-C2297)</f>
        <v>38.25</v>
      </c>
      <c r="J2297" s="33" t="str">
        <f aca="false">IF(F2297="","",F2297-C2297)</f>
        <v/>
      </c>
      <c r="K2297" s="33" t="n">
        <f aca="false">IF(G2297="","",G2297-C2297)</f>
        <v>40.980058</v>
      </c>
      <c r="L2297" s="33" t="n">
        <f aca="false">IF(H2297="","",ABS(H2297))</f>
        <v>63</v>
      </c>
      <c r="M2297" s="33" t="n">
        <f aca="false">IF(I2297="","",ABS(I2297))</f>
        <v>38.25</v>
      </c>
      <c r="N2297" s="33" t="str">
        <f aca="false">IF(J2297="","",ABS(J2297))</f>
        <v/>
      </c>
      <c r="O2297" s="33" t="n">
        <f aca="false">IF(K2297="","",ABS(K2297))</f>
        <v>40.980058</v>
      </c>
      <c r="P2297" s="34" t="str">
        <f aca="false">IF(B2297&gt;=Eval_Start_Week,"YES","")</f>
        <v/>
      </c>
      <c r="Q2297" s="34" t="str">
        <f aca="false">IF(AND(B2297&gt;=Cal_Start_Week,B2297&lt;=Cal_End_Week),"YES","")</f>
        <v/>
      </c>
    </row>
    <row r="2298" customFormat="false" ht="15" hidden="false" customHeight="false" outlineLevel="0" collapsed="false">
      <c r="A2298" s="31" t="str">
        <f aca="false">Demand_History!C2298</f>
        <v>BED-003</v>
      </c>
      <c r="B2298" s="31" t="n">
        <f aca="false">Demand_History!A2298</f>
        <v>9</v>
      </c>
      <c r="C2298" s="32" t="n">
        <f aca="false">Demand_History!D2298</f>
        <v>44</v>
      </c>
      <c r="D2298" s="33" t="n">
        <f aca="false">IF(B2298&gt;=2,C2297,"")</f>
        <v>4</v>
      </c>
      <c r="E2298" s="33" t="n">
        <f aca="false">IF(B2298&gt;=5,AVERAGE(C2294:C2297),"")</f>
        <v>36</v>
      </c>
      <c r="F2298" s="33" t="n">
        <f aca="false">IF(B2298&gt;=9,AVERAGE(C2290:C2297),"")</f>
        <v>37.375</v>
      </c>
      <c r="G2298" s="33" t="n">
        <f aca="false">IF(B2298=1,"",IF(B2298=2,C2297,SES_Alpha*C2297+(1-SES_Alpha)*G2297))</f>
        <v>32.6860406</v>
      </c>
      <c r="H2298" s="33" t="n">
        <f aca="false">IF(D2298="","",D2298-C2298)</f>
        <v>-40</v>
      </c>
      <c r="I2298" s="33" t="n">
        <f aca="false">IF(E2298="","",E2298-C2298)</f>
        <v>-8</v>
      </c>
      <c r="J2298" s="33" t="n">
        <f aca="false">IF(F2298="","",F2298-C2298)</f>
        <v>-6.625</v>
      </c>
      <c r="K2298" s="33" t="n">
        <f aca="false">IF(G2298="","",G2298-C2298)</f>
        <v>-11.3139594</v>
      </c>
      <c r="L2298" s="33" t="n">
        <f aca="false">IF(H2298="","",ABS(H2298))</f>
        <v>40</v>
      </c>
      <c r="M2298" s="33" t="n">
        <f aca="false">IF(I2298="","",ABS(I2298))</f>
        <v>8</v>
      </c>
      <c r="N2298" s="33" t="n">
        <f aca="false">IF(J2298="","",ABS(J2298))</f>
        <v>6.625</v>
      </c>
      <c r="O2298" s="33" t="n">
        <f aca="false">IF(K2298="","",ABS(K2298))</f>
        <v>11.3139594</v>
      </c>
      <c r="P2298" s="34" t="str">
        <f aca="false">IF(B2298&gt;=Eval_Start_Week,"YES","")</f>
        <v/>
      </c>
      <c r="Q2298" s="34" t="str">
        <f aca="false">IF(AND(B2298&gt;=Cal_Start_Week,B2298&lt;=Cal_End_Week),"YES","")</f>
        <v/>
      </c>
    </row>
    <row r="2299" customFormat="false" ht="15" hidden="false" customHeight="false" outlineLevel="0" collapsed="false">
      <c r="A2299" s="31" t="str">
        <f aca="false">Demand_History!C2299</f>
        <v>BED-003</v>
      </c>
      <c r="B2299" s="31" t="n">
        <f aca="false">Demand_History!A2299</f>
        <v>10</v>
      </c>
      <c r="C2299" s="32" t="n">
        <f aca="false">Demand_History!D2299</f>
        <v>19</v>
      </c>
      <c r="D2299" s="33" t="n">
        <f aca="false">IF(B2299&gt;=2,C2298,"")</f>
        <v>44</v>
      </c>
      <c r="E2299" s="33" t="n">
        <f aca="false">IF(B2299&gt;=5,AVERAGE(C2295:C2298),"")</f>
        <v>37.25</v>
      </c>
      <c r="F2299" s="33" t="n">
        <f aca="false">IF(B2299&gt;=9,AVERAGE(C2291:C2298),"")</f>
        <v>40</v>
      </c>
      <c r="G2299" s="33" t="n">
        <f aca="false">IF(B2299=1,"",IF(B2299=2,C2298,SES_Alpha*C2298+(1-SES_Alpha)*G2298))</f>
        <v>36.08022842</v>
      </c>
      <c r="H2299" s="33" t="n">
        <f aca="false">IF(D2299="","",D2299-C2299)</f>
        <v>25</v>
      </c>
      <c r="I2299" s="33" t="n">
        <f aca="false">IF(E2299="","",E2299-C2299)</f>
        <v>18.25</v>
      </c>
      <c r="J2299" s="33" t="n">
        <f aca="false">IF(F2299="","",F2299-C2299)</f>
        <v>21</v>
      </c>
      <c r="K2299" s="33" t="n">
        <f aca="false">IF(G2299="","",G2299-C2299)</f>
        <v>17.08022842</v>
      </c>
      <c r="L2299" s="33" t="n">
        <f aca="false">IF(H2299="","",ABS(H2299))</f>
        <v>25</v>
      </c>
      <c r="M2299" s="33" t="n">
        <f aca="false">IF(I2299="","",ABS(I2299))</f>
        <v>18.25</v>
      </c>
      <c r="N2299" s="33" t="n">
        <f aca="false">IF(J2299="","",ABS(J2299))</f>
        <v>21</v>
      </c>
      <c r="O2299" s="33" t="n">
        <f aca="false">IF(K2299="","",ABS(K2299))</f>
        <v>17.08022842</v>
      </c>
      <c r="P2299" s="34" t="str">
        <f aca="false">IF(B2299&gt;=Eval_Start_Week,"YES","")</f>
        <v/>
      </c>
      <c r="Q2299" s="34" t="str">
        <f aca="false">IF(AND(B2299&gt;=Cal_Start_Week,B2299&lt;=Cal_End_Week),"YES","")</f>
        <v/>
      </c>
    </row>
    <row r="2300" customFormat="false" ht="15" hidden="false" customHeight="false" outlineLevel="0" collapsed="false">
      <c r="A2300" s="31" t="str">
        <f aca="false">Demand_History!C2300</f>
        <v>BED-003</v>
      </c>
      <c r="B2300" s="31" t="n">
        <f aca="false">Demand_History!A2300</f>
        <v>11</v>
      </c>
      <c r="C2300" s="32" t="n">
        <f aca="false">Demand_History!D2300</f>
        <v>42</v>
      </c>
      <c r="D2300" s="33" t="n">
        <f aca="false">IF(B2300&gt;=2,C2299,"")</f>
        <v>19</v>
      </c>
      <c r="E2300" s="33" t="n">
        <f aca="false">IF(B2300&gt;=5,AVERAGE(C2296:C2299),"")</f>
        <v>33.5</v>
      </c>
      <c r="F2300" s="33" t="n">
        <f aca="false">IF(B2300&gt;=9,AVERAGE(C2292:C2299),"")</f>
        <v>36</v>
      </c>
      <c r="G2300" s="33" t="n">
        <f aca="false">IF(B2300=1,"",IF(B2300=2,C2299,SES_Alpha*C2299+(1-SES_Alpha)*G2299))</f>
        <v>30.956159894</v>
      </c>
      <c r="H2300" s="33" t="n">
        <f aca="false">IF(D2300="","",D2300-C2300)</f>
        <v>-23</v>
      </c>
      <c r="I2300" s="33" t="n">
        <f aca="false">IF(E2300="","",E2300-C2300)</f>
        <v>-8.5</v>
      </c>
      <c r="J2300" s="33" t="n">
        <f aca="false">IF(F2300="","",F2300-C2300)</f>
        <v>-6</v>
      </c>
      <c r="K2300" s="33" t="n">
        <f aca="false">IF(G2300="","",G2300-C2300)</f>
        <v>-11.043840106</v>
      </c>
      <c r="L2300" s="33" t="n">
        <f aca="false">IF(H2300="","",ABS(H2300))</f>
        <v>23</v>
      </c>
      <c r="M2300" s="33" t="n">
        <f aca="false">IF(I2300="","",ABS(I2300))</f>
        <v>8.5</v>
      </c>
      <c r="N2300" s="33" t="n">
        <f aca="false">IF(J2300="","",ABS(J2300))</f>
        <v>6</v>
      </c>
      <c r="O2300" s="33" t="n">
        <f aca="false">IF(K2300="","",ABS(K2300))</f>
        <v>11.043840106</v>
      </c>
      <c r="P2300" s="34" t="str">
        <f aca="false">IF(B2300&gt;=Eval_Start_Week,"YES","")</f>
        <v/>
      </c>
      <c r="Q2300" s="34" t="str">
        <f aca="false">IF(AND(B2300&gt;=Cal_Start_Week,B2300&lt;=Cal_End_Week),"YES","")</f>
        <v/>
      </c>
    </row>
    <row r="2301" customFormat="false" ht="15" hidden="false" customHeight="false" outlineLevel="0" collapsed="false">
      <c r="A2301" s="31" t="str">
        <f aca="false">Demand_History!C2301</f>
        <v>BED-003</v>
      </c>
      <c r="B2301" s="31" t="n">
        <f aca="false">Demand_History!A2301</f>
        <v>12</v>
      </c>
      <c r="C2301" s="32" t="n">
        <f aca="false">Demand_History!D2301</f>
        <v>66</v>
      </c>
      <c r="D2301" s="33" t="n">
        <f aca="false">IF(B2301&gt;=2,C2300,"")</f>
        <v>42</v>
      </c>
      <c r="E2301" s="33" t="n">
        <f aca="false">IF(B2301&gt;=5,AVERAGE(C2297:C2300),"")</f>
        <v>27.25</v>
      </c>
      <c r="F2301" s="33" t="n">
        <f aca="false">IF(B2301&gt;=9,AVERAGE(C2293:C2300),"")</f>
        <v>34.75</v>
      </c>
      <c r="G2301" s="33" t="n">
        <f aca="false">IF(B2301=1,"",IF(B2301=2,C2300,SES_Alpha*C2300+(1-SES_Alpha)*G2300))</f>
        <v>34.2693119258</v>
      </c>
      <c r="H2301" s="33" t="n">
        <f aca="false">IF(D2301="","",D2301-C2301)</f>
        <v>-24</v>
      </c>
      <c r="I2301" s="33" t="n">
        <f aca="false">IF(E2301="","",E2301-C2301)</f>
        <v>-38.75</v>
      </c>
      <c r="J2301" s="33" t="n">
        <f aca="false">IF(F2301="","",F2301-C2301)</f>
        <v>-31.25</v>
      </c>
      <c r="K2301" s="33" t="n">
        <f aca="false">IF(G2301="","",G2301-C2301)</f>
        <v>-31.7306880742</v>
      </c>
      <c r="L2301" s="33" t="n">
        <f aca="false">IF(H2301="","",ABS(H2301))</f>
        <v>24</v>
      </c>
      <c r="M2301" s="33" t="n">
        <f aca="false">IF(I2301="","",ABS(I2301))</f>
        <v>38.75</v>
      </c>
      <c r="N2301" s="33" t="n">
        <f aca="false">IF(J2301="","",ABS(J2301))</f>
        <v>31.25</v>
      </c>
      <c r="O2301" s="33" t="n">
        <f aca="false">IF(K2301="","",ABS(K2301))</f>
        <v>31.7306880742</v>
      </c>
      <c r="P2301" s="34" t="str">
        <f aca="false">IF(B2301&gt;=Eval_Start_Week,"YES","")</f>
        <v/>
      </c>
      <c r="Q2301" s="34" t="str">
        <f aca="false">IF(AND(B2301&gt;=Cal_Start_Week,B2301&lt;=Cal_End_Week),"YES","")</f>
        <v/>
      </c>
    </row>
    <row r="2302" customFormat="false" ht="15" hidden="false" customHeight="false" outlineLevel="0" collapsed="false">
      <c r="A2302" s="31" t="str">
        <f aca="false">Demand_History!C2302</f>
        <v>BED-003</v>
      </c>
      <c r="B2302" s="31" t="n">
        <f aca="false">Demand_History!A2302</f>
        <v>13</v>
      </c>
      <c r="C2302" s="32" t="n">
        <f aca="false">Demand_History!D2302</f>
        <v>38</v>
      </c>
      <c r="D2302" s="33" t="n">
        <f aca="false">IF(B2302&gt;=2,C2301,"")</f>
        <v>66</v>
      </c>
      <c r="E2302" s="33" t="n">
        <f aca="false">IF(B2302&gt;=5,AVERAGE(C2298:C2301),"")</f>
        <v>42.75</v>
      </c>
      <c r="F2302" s="33" t="n">
        <f aca="false">IF(B2302&gt;=9,AVERAGE(C2294:C2301),"")</f>
        <v>39.375</v>
      </c>
      <c r="G2302" s="33" t="n">
        <f aca="false">IF(B2302=1,"",IF(B2302=2,C2301,SES_Alpha*C2301+(1-SES_Alpha)*G2301))</f>
        <v>43.78851834806</v>
      </c>
      <c r="H2302" s="33" t="n">
        <f aca="false">IF(D2302="","",D2302-C2302)</f>
        <v>28</v>
      </c>
      <c r="I2302" s="33" t="n">
        <f aca="false">IF(E2302="","",E2302-C2302)</f>
        <v>4.75</v>
      </c>
      <c r="J2302" s="33" t="n">
        <f aca="false">IF(F2302="","",F2302-C2302)</f>
        <v>1.375</v>
      </c>
      <c r="K2302" s="33" t="n">
        <f aca="false">IF(G2302="","",G2302-C2302)</f>
        <v>5.78851834806</v>
      </c>
      <c r="L2302" s="33" t="n">
        <f aca="false">IF(H2302="","",ABS(H2302))</f>
        <v>28</v>
      </c>
      <c r="M2302" s="33" t="n">
        <f aca="false">IF(I2302="","",ABS(I2302))</f>
        <v>4.75</v>
      </c>
      <c r="N2302" s="33" t="n">
        <f aca="false">IF(J2302="","",ABS(J2302))</f>
        <v>1.375</v>
      </c>
      <c r="O2302" s="33" t="n">
        <f aca="false">IF(K2302="","",ABS(K2302))</f>
        <v>5.78851834806</v>
      </c>
      <c r="P2302" s="34" t="str">
        <f aca="false">IF(B2302&gt;=Eval_Start_Week,"YES","")</f>
        <v/>
      </c>
      <c r="Q2302" s="34" t="str">
        <f aca="false">IF(AND(B2302&gt;=Cal_Start_Week,B2302&lt;=Cal_End_Week),"YES","")</f>
        <v/>
      </c>
    </row>
    <row r="2303" customFormat="false" ht="15" hidden="false" customHeight="false" outlineLevel="0" collapsed="false">
      <c r="A2303" s="31" t="str">
        <f aca="false">Demand_History!C2303</f>
        <v>BED-003</v>
      </c>
      <c r="B2303" s="31" t="n">
        <f aca="false">Demand_History!A2303</f>
        <v>14</v>
      </c>
      <c r="C2303" s="32" t="n">
        <f aca="false">Demand_History!D2303</f>
        <v>53</v>
      </c>
      <c r="D2303" s="33" t="n">
        <f aca="false">IF(B2303&gt;=2,C2302,"")</f>
        <v>38</v>
      </c>
      <c r="E2303" s="33" t="n">
        <f aca="false">IF(B2303&gt;=5,AVERAGE(C2299:C2302),"")</f>
        <v>41.25</v>
      </c>
      <c r="F2303" s="33" t="n">
        <f aca="false">IF(B2303&gt;=9,AVERAGE(C2295:C2302),"")</f>
        <v>39.25</v>
      </c>
      <c r="G2303" s="33" t="n">
        <f aca="false">IF(B2303=1,"",IF(B2303=2,C2302,SES_Alpha*C2302+(1-SES_Alpha)*G2302))</f>
        <v>42.051962843642</v>
      </c>
      <c r="H2303" s="33" t="n">
        <f aca="false">IF(D2303="","",D2303-C2303)</f>
        <v>-15</v>
      </c>
      <c r="I2303" s="33" t="n">
        <f aca="false">IF(E2303="","",E2303-C2303)</f>
        <v>-11.75</v>
      </c>
      <c r="J2303" s="33" t="n">
        <f aca="false">IF(F2303="","",F2303-C2303)</f>
        <v>-13.75</v>
      </c>
      <c r="K2303" s="33" t="n">
        <f aca="false">IF(G2303="","",G2303-C2303)</f>
        <v>-10.948037156358</v>
      </c>
      <c r="L2303" s="33" t="n">
        <f aca="false">IF(H2303="","",ABS(H2303))</f>
        <v>15</v>
      </c>
      <c r="M2303" s="33" t="n">
        <f aca="false">IF(I2303="","",ABS(I2303))</f>
        <v>11.75</v>
      </c>
      <c r="N2303" s="33" t="n">
        <f aca="false">IF(J2303="","",ABS(J2303))</f>
        <v>13.75</v>
      </c>
      <c r="O2303" s="33" t="n">
        <f aca="false">IF(K2303="","",ABS(K2303))</f>
        <v>10.948037156358</v>
      </c>
      <c r="P2303" s="34" t="str">
        <f aca="false">IF(B2303&gt;=Eval_Start_Week,"YES","")</f>
        <v/>
      </c>
      <c r="Q2303" s="34" t="str">
        <f aca="false">IF(AND(B2303&gt;=Cal_Start_Week,B2303&lt;=Cal_End_Week),"YES","")</f>
        <v/>
      </c>
    </row>
    <row r="2304" customFormat="false" ht="15" hidden="false" customHeight="false" outlineLevel="0" collapsed="false">
      <c r="A2304" s="31" t="str">
        <f aca="false">Demand_History!C2304</f>
        <v>BED-003</v>
      </c>
      <c r="B2304" s="31" t="n">
        <f aca="false">Demand_History!A2304</f>
        <v>15</v>
      </c>
      <c r="C2304" s="32" t="n">
        <f aca="false">Demand_History!D2304</f>
        <v>34</v>
      </c>
      <c r="D2304" s="33" t="n">
        <f aca="false">IF(B2304&gt;=2,C2303,"")</f>
        <v>53</v>
      </c>
      <c r="E2304" s="33" t="n">
        <f aca="false">IF(B2304&gt;=5,AVERAGE(C2300:C2303),"")</f>
        <v>49.75</v>
      </c>
      <c r="F2304" s="33" t="n">
        <f aca="false">IF(B2304&gt;=9,AVERAGE(C2296:C2303),"")</f>
        <v>41.625</v>
      </c>
      <c r="G2304" s="33" t="n">
        <f aca="false">IF(B2304=1,"",IF(B2304=2,C2303,SES_Alpha*C2303+(1-SES_Alpha)*G2303))</f>
        <v>45.3363739905494</v>
      </c>
      <c r="H2304" s="33" t="n">
        <f aca="false">IF(D2304="","",D2304-C2304)</f>
        <v>19</v>
      </c>
      <c r="I2304" s="33" t="n">
        <f aca="false">IF(E2304="","",E2304-C2304)</f>
        <v>15.75</v>
      </c>
      <c r="J2304" s="33" t="n">
        <f aca="false">IF(F2304="","",F2304-C2304)</f>
        <v>7.625</v>
      </c>
      <c r="K2304" s="33" t="n">
        <f aca="false">IF(G2304="","",G2304-C2304)</f>
        <v>11.3363739905494</v>
      </c>
      <c r="L2304" s="33" t="n">
        <f aca="false">IF(H2304="","",ABS(H2304))</f>
        <v>19</v>
      </c>
      <c r="M2304" s="33" t="n">
        <f aca="false">IF(I2304="","",ABS(I2304))</f>
        <v>15.75</v>
      </c>
      <c r="N2304" s="33" t="n">
        <f aca="false">IF(J2304="","",ABS(J2304))</f>
        <v>7.625</v>
      </c>
      <c r="O2304" s="33" t="n">
        <f aca="false">IF(K2304="","",ABS(K2304))</f>
        <v>11.3363739905494</v>
      </c>
      <c r="P2304" s="34" t="str">
        <f aca="false">IF(B2304&gt;=Eval_Start_Week,"YES","")</f>
        <v/>
      </c>
      <c r="Q2304" s="34" t="str">
        <f aca="false">IF(AND(B2304&gt;=Cal_Start_Week,B2304&lt;=Cal_End_Week),"YES","")</f>
        <v/>
      </c>
    </row>
    <row r="2305" customFormat="false" ht="15" hidden="false" customHeight="false" outlineLevel="0" collapsed="false">
      <c r="A2305" s="31" t="str">
        <f aca="false">Demand_History!C2305</f>
        <v>BED-003</v>
      </c>
      <c r="B2305" s="31" t="n">
        <f aca="false">Demand_History!A2305</f>
        <v>16</v>
      </c>
      <c r="C2305" s="32" t="n">
        <f aca="false">Demand_History!D2305</f>
        <v>86</v>
      </c>
      <c r="D2305" s="33" t="n">
        <f aca="false">IF(B2305&gt;=2,C2304,"")</f>
        <v>34</v>
      </c>
      <c r="E2305" s="33" t="n">
        <f aca="false">IF(B2305&gt;=5,AVERAGE(C2301:C2304),"")</f>
        <v>47.75</v>
      </c>
      <c r="F2305" s="33" t="n">
        <f aca="false">IF(B2305&gt;=9,AVERAGE(C2297:C2304),"")</f>
        <v>37.5</v>
      </c>
      <c r="G2305" s="33" t="n">
        <f aca="false">IF(B2305=1,"",IF(B2305=2,C2304,SES_Alpha*C2304+(1-SES_Alpha)*G2304))</f>
        <v>41.9354617933846</v>
      </c>
      <c r="H2305" s="33" t="n">
        <f aca="false">IF(D2305="","",D2305-C2305)</f>
        <v>-52</v>
      </c>
      <c r="I2305" s="33" t="n">
        <f aca="false">IF(E2305="","",E2305-C2305)</f>
        <v>-38.25</v>
      </c>
      <c r="J2305" s="33" t="n">
        <f aca="false">IF(F2305="","",F2305-C2305)</f>
        <v>-48.5</v>
      </c>
      <c r="K2305" s="33" t="n">
        <f aca="false">IF(G2305="","",G2305-C2305)</f>
        <v>-44.0645382066154</v>
      </c>
      <c r="L2305" s="33" t="n">
        <f aca="false">IF(H2305="","",ABS(H2305))</f>
        <v>52</v>
      </c>
      <c r="M2305" s="33" t="n">
        <f aca="false">IF(I2305="","",ABS(I2305))</f>
        <v>38.25</v>
      </c>
      <c r="N2305" s="33" t="n">
        <f aca="false">IF(J2305="","",ABS(J2305))</f>
        <v>48.5</v>
      </c>
      <c r="O2305" s="33" t="n">
        <f aca="false">IF(K2305="","",ABS(K2305))</f>
        <v>44.0645382066154</v>
      </c>
      <c r="P2305" s="34" t="str">
        <f aca="false">IF(B2305&gt;=Eval_Start_Week,"YES","")</f>
        <v/>
      </c>
      <c r="Q2305" s="34" t="str">
        <f aca="false">IF(AND(B2305&gt;=Cal_Start_Week,B2305&lt;=Cal_End_Week),"YES","")</f>
        <v/>
      </c>
    </row>
    <row r="2306" customFormat="false" ht="15" hidden="false" customHeight="false" outlineLevel="0" collapsed="false">
      <c r="A2306" s="31" t="str">
        <f aca="false">Demand_History!C2306</f>
        <v>BED-003</v>
      </c>
      <c r="B2306" s="31" t="n">
        <f aca="false">Demand_History!A2306</f>
        <v>17</v>
      </c>
      <c r="C2306" s="32" t="n">
        <f aca="false">Demand_History!D2306</f>
        <v>67</v>
      </c>
      <c r="D2306" s="33" t="n">
        <f aca="false">IF(B2306&gt;=2,C2305,"")</f>
        <v>86</v>
      </c>
      <c r="E2306" s="33" t="n">
        <f aca="false">IF(B2306&gt;=5,AVERAGE(C2302:C2305),"")</f>
        <v>52.75</v>
      </c>
      <c r="F2306" s="33" t="n">
        <f aca="false">IF(B2306&gt;=9,AVERAGE(C2298:C2305),"")</f>
        <v>47.75</v>
      </c>
      <c r="G2306" s="33" t="n">
        <f aca="false">IF(B2306=1,"",IF(B2306=2,C2305,SES_Alpha*C2305+(1-SES_Alpha)*G2305))</f>
        <v>55.1548232553692</v>
      </c>
      <c r="H2306" s="33" t="n">
        <f aca="false">IF(D2306="","",D2306-C2306)</f>
        <v>19</v>
      </c>
      <c r="I2306" s="33" t="n">
        <f aca="false">IF(E2306="","",E2306-C2306)</f>
        <v>-14.25</v>
      </c>
      <c r="J2306" s="33" t="n">
        <f aca="false">IF(F2306="","",F2306-C2306)</f>
        <v>-19.25</v>
      </c>
      <c r="K2306" s="33" t="n">
        <f aca="false">IF(G2306="","",G2306-C2306)</f>
        <v>-11.8451767446308</v>
      </c>
      <c r="L2306" s="33" t="n">
        <f aca="false">IF(H2306="","",ABS(H2306))</f>
        <v>19</v>
      </c>
      <c r="M2306" s="33" t="n">
        <f aca="false">IF(I2306="","",ABS(I2306))</f>
        <v>14.25</v>
      </c>
      <c r="N2306" s="33" t="n">
        <f aca="false">IF(J2306="","",ABS(J2306))</f>
        <v>19.25</v>
      </c>
      <c r="O2306" s="33" t="n">
        <f aca="false">IF(K2306="","",ABS(K2306))</f>
        <v>11.8451767446308</v>
      </c>
      <c r="P2306" s="34" t="str">
        <f aca="false">IF(B2306&gt;=Eval_Start_Week,"YES","")</f>
        <v/>
      </c>
      <c r="Q2306" s="34" t="str">
        <f aca="false">IF(AND(B2306&gt;=Cal_Start_Week,B2306&lt;=Cal_End_Week),"YES","")</f>
        <v/>
      </c>
    </row>
    <row r="2307" customFormat="false" ht="15" hidden="false" customHeight="false" outlineLevel="0" collapsed="false">
      <c r="A2307" s="31" t="str">
        <f aca="false">Demand_History!C2307</f>
        <v>BED-003</v>
      </c>
      <c r="B2307" s="31" t="n">
        <f aca="false">Demand_History!A2307</f>
        <v>18</v>
      </c>
      <c r="C2307" s="32" t="n">
        <f aca="false">Demand_History!D2307</f>
        <v>71</v>
      </c>
      <c r="D2307" s="33" t="n">
        <f aca="false">IF(B2307&gt;=2,C2306,"")</f>
        <v>67</v>
      </c>
      <c r="E2307" s="33" t="n">
        <f aca="false">IF(B2307&gt;=5,AVERAGE(C2303:C2306),"")</f>
        <v>60</v>
      </c>
      <c r="F2307" s="33" t="n">
        <f aca="false">IF(B2307&gt;=9,AVERAGE(C2299:C2306),"")</f>
        <v>50.625</v>
      </c>
      <c r="G2307" s="33" t="n">
        <f aca="false">IF(B2307=1,"",IF(B2307=2,C2306,SES_Alpha*C2306+(1-SES_Alpha)*G2306))</f>
        <v>58.7083762787584</v>
      </c>
      <c r="H2307" s="33" t="n">
        <f aca="false">IF(D2307="","",D2307-C2307)</f>
        <v>-4</v>
      </c>
      <c r="I2307" s="33" t="n">
        <f aca="false">IF(E2307="","",E2307-C2307)</f>
        <v>-11</v>
      </c>
      <c r="J2307" s="33" t="n">
        <f aca="false">IF(F2307="","",F2307-C2307)</f>
        <v>-20.375</v>
      </c>
      <c r="K2307" s="33" t="n">
        <f aca="false">IF(G2307="","",G2307-C2307)</f>
        <v>-12.2916237212416</v>
      </c>
      <c r="L2307" s="33" t="n">
        <f aca="false">IF(H2307="","",ABS(H2307))</f>
        <v>4</v>
      </c>
      <c r="M2307" s="33" t="n">
        <f aca="false">IF(I2307="","",ABS(I2307))</f>
        <v>11</v>
      </c>
      <c r="N2307" s="33" t="n">
        <f aca="false">IF(J2307="","",ABS(J2307))</f>
        <v>20.375</v>
      </c>
      <c r="O2307" s="33" t="n">
        <f aca="false">IF(K2307="","",ABS(K2307))</f>
        <v>12.2916237212416</v>
      </c>
      <c r="P2307" s="34" t="str">
        <f aca="false">IF(B2307&gt;=Eval_Start_Week,"YES","")</f>
        <v/>
      </c>
      <c r="Q2307" s="34" t="str">
        <f aca="false">IF(AND(B2307&gt;=Cal_Start_Week,B2307&lt;=Cal_End_Week),"YES","")</f>
        <v/>
      </c>
    </row>
    <row r="2308" customFormat="false" ht="15" hidden="false" customHeight="false" outlineLevel="0" collapsed="false">
      <c r="A2308" s="31" t="str">
        <f aca="false">Demand_History!C2308</f>
        <v>BED-003</v>
      </c>
      <c r="B2308" s="31" t="n">
        <f aca="false">Demand_History!A2308</f>
        <v>19</v>
      </c>
      <c r="C2308" s="32" t="n">
        <f aca="false">Demand_History!D2308</f>
        <v>26</v>
      </c>
      <c r="D2308" s="33" t="n">
        <f aca="false">IF(B2308&gt;=2,C2307,"")</f>
        <v>71</v>
      </c>
      <c r="E2308" s="33" t="n">
        <f aca="false">IF(B2308&gt;=5,AVERAGE(C2304:C2307),"")</f>
        <v>64.5</v>
      </c>
      <c r="F2308" s="33" t="n">
        <f aca="false">IF(B2308&gt;=9,AVERAGE(C2300:C2307),"")</f>
        <v>57.125</v>
      </c>
      <c r="G2308" s="33" t="n">
        <f aca="false">IF(B2308=1,"",IF(B2308=2,C2307,SES_Alpha*C2307+(1-SES_Alpha)*G2307))</f>
        <v>62.3958633951309</v>
      </c>
      <c r="H2308" s="33" t="n">
        <f aca="false">IF(D2308="","",D2308-C2308)</f>
        <v>45</v>
      </c>
      <c r="I2308" s="33" t="n">
        <f aca="false">IF(E2308="","",E2308-C2308)</f>
        <v>38.5</v>
      </c>
      <c r="J2308" s="33" t="n">
        <f aca="false">IF(F2308="","",F2308-C2308)</f>
        <v>31.125</v>
      </c>
      <c r="K2308" s="33" t="n">
        <f aca="false">IF(G2308="","",G2308-C2308)</f>
        <v>36.3958633951309</v>
      </c>
      <c r="L2308" s="33" t="n">
        <f aca="false">IF(H2308="","",ABS(H2308))</f>
        <v>45</v>
      </c>
      <c r="M2308" s="33" t="n">
        <f aca="false">IF(I2308="","",ABS(I2308))</f>
        <v>38.5</v>
      </c>
      <c r="N2308" s="33" t="n">
        <f aca="false">IF(J2308="","",ABS(J2308))</f>
        <v>31.125</v>
      </c>
      <c r="O2308" s="33" t="n">
        <f aca="false">IF(K2308="","",ABS(K2308))</f>
        <v>36.3958633951309</v>
      </c>
      <c r="P2308" s="34" t="str">
        <f aca="false">IF(B2308&gt;=Eval_Start_Week,"YES","")</f>
        <v/>
      </c>
      <c r="Q2308" s="34" t="str">
        <f aca="false">IF(AND(B2308&gt;=Cal_Start_Week,B2308&lt;=Cal_End_Week),"YES","")</f>
        <v/>
      </c>
    </row>
    <row r="2309" customFormat="false" ht="15" hidden="false" customHeight="false" outlineLevel="0" collapsed="false">
      <c r="A2309" s="31" t="str">
        <f aca="false">Demand_History!C2309</f>
        <v>BED-003</v>
      </c>
      <c r="B2309" s="31" t="n">
        <f aca="false">Demand_History!A2309</f>
        <v>20</v>
      </c>
      <c r="C2309" s="32" t="n">
        <f aca="false">Demand_History!D2309</f>
        <v>30</v>
      </c>
      <c r="D2309" s="33" t="n">
        <f aca="false">IF(B2309&gt;=2,C2308,"")</f>
        <v>26</v>
      </c>
      <c r="E2309" s="33" t="n">
        <f aca="false">IF(B2309&gt;=5,AVERAGE(C2305:C2308),"")</f>
        <v>62.5</v>
      </c>
      <c r="F2309" s="33" t="n">
        <f aca="false">IF(B2309&gt;=9,AVERAGE(C2301:C2308),"")</f>
        <v>55.125</v>
      </c>
      <c r="G2309" s="33" t="n">
        <f aca="false">IF(B2309=1,"",IF(B2309=2,C2308,SES_Alpha*C2308+(1-SES_Alpha)*G2308))</f>
        <v>51.4771043765916</v>
      </c>
      <c r="H2309" s="33" t="n">
        <f aca="false">IF(D2309="","",D2309-C2309)</f>
        <v>-4</v>
      </c>
      <c r="I2309" s="33" t="n">
        <f aca="false">IF(E2309="","",E2309-C2309)</f>
        <v>32.5</v>
      </c>
      <c r="J2309" s="33" t="n">
        <f aca="false">IF(F2309="","",F2309-C2309)</f>
        <v>25.125</v>
      </c>
      <c r="K2309" s="33" t="n">
        <f aca="false">IF(G2309="","",G2309-C2309)</f>
        <v>21.4771043765916</v>
      </c>
      <c r="L2309" s="33" t="n">
        <f aca="false">IF(H2309="","",ABS(H2309))</f>
        <v>4</v>
      </c>
      <c r="M2309" s="33" t="n">
        <f aca="false">IF(I2309="","",ABS(I2309))</f>
        <v>32.5</v>
      </c>
      <c r="N2309" s="33" t="n">
        <f aca="false">IF(J2309="","",ABS(J2309))</f>
        <v>25.125</v>
      </c>
      <c r="O2309" s="33" t="n">
        <f aca="false">IF(K2309="","",ABS(K2309))</f>
        <v>21.4771043765916</v>
      </c>
      <c r="P2309" s="34" t="str">
        <f aca="false">IF(B2309&gt;=Eval_Start_Week,"YES","")</f>
        <v/>
      </c>
      <c r="Q2309" s="34" t="str">
        <f aca="false">IF(AND(B2309&gt;=Cal_Start_Week,B2309&lt;=Cal_End_Week),"YES","")</f>
        <v/>
      </c>
    </row>
    <row r="2310" customFormat="false" ht="15" hidden="false" customHeight="false" outlineLevel="0" collapsed="false">
      <c r="A2310" s="31" t="str">
        <f aca="false">Demand_History!C2310</f>
        <v>BED-003</v>
      </c>
      <c r="B2310" s="31" t="n">
        <f aca="false">Demand_History!A2310</f>
        <v>21</v>
      </c>
      <c r="C2310" s="32" t="n">
        <f aca="false">Demand_History!D2310</f>
        <v>70</v>
      </c>
      <c r="D2310" s="33" t="n">
        <f aca="false">IF(B2310&gt;=2,C2309,"")</f>
        <v>30</v>
      </c>
      <c r="E2310" s="33" t="n">
        <f aca="false">IF(B2310&gt;=5,AVERAGE(C2306:C2309),"")</f>
        <v>48.5</v>
      </c>
      <c r="F2310" s="33" t="n">
        <f aca="false">IF(B2310&gt;=9,AVERAGE(C2302:C2309),"")</f>
        <v>50.625</v>
      </c>
      <c r="G2310" s="33" t="n">
        <f aca="false">IF(B2310=1,"",IF(B2310=2,C2309,SES_Alpha*C2309+(1-SES_Alpha)*G2309))</f>
        <v>45.0339730636141</v>
      </c>
      <c r="H2310" s="33" t="n">
        <f aca="false">IF(D2310="","",D2310-C2310)</f>
        <v>-40</v>
      </c>
      <c r="I2310" s="33" t="n">
        <f aca="false">IF(E2310="","",E2310-C2310)</f>
        <v>-21.5</v>
      </c>
      <c r="J2310" s="33" t="n">
        <f aca="false">IF(F2310="","",F2310-C2310)</f>
        <v>-19.375</v>
      </c>
      <c r="K2310" s="33" t="n">
        <f aca="false">IF(G2310="","",G2310-C2310)</f>
        <v>-24.9660269363859</v>
      </c>
      <c r="L2310" s="33" t="n">
        <f aca="false">IF(H2310="","",ABS(H2310))</f>
        <v>40</v>
      </c>
      <c r="M2310" s="33" t="n">
        <f aca="false">IF(I2310="","",ABS(I2310))</f>
        <v>21.5</v>
      </c>
      <c r="N2310" s="33" t="n">
        <f aca="false">IF(J2310="","",ABS(J2310))</f>
        <v>19.375</v>
      </c>
      <c r="O2310" s="33" t="n">
        <f aca="false">IF(K2310="","",ABS(K2310))</f>
        <v>24.9660269363859</v>
      </c>
      <c r="P2310" s="34" t="str">
        <f aca="false">IF(B2310&gt;=Eval_Start_Week,"YES","")</f>
        <v/>
      </c>
      <c r="Q2310" s="34" t="str">
        <f aca="false">IF(AND(B2310&gt;=Cal_Start_Week,B2310&lt;=Cal_End_Week),"YES","")</f>
        <v/>
      </c>
    </row>
    <row r="2311" customFormat="false" ht="15" hidden="false" customHeight="false" outlineLevel="0" collapsed="false">
      <c r="A2311" s="31" t="str">
        <f aca="false">Demand_History!C2311</f>
        <v>BED-003</v>
      </c>
      <c r="B2311" s="31" t="n">
        <f aca="false">Demand_History!A2311</f>
        <v>22</v>
      </c>
      <c r="C2311" s="32" t="n">
        <f aca="false">Demand_History!D2311</f>
        <v>46</v>
      </c>
      <c r="D2311" s="33" t="n">
        <f aca="false">IF(B2311&gt;=2,C2310,"")</f>
        <v>70</v>
      </c>
      <c r="E2311" s="33" t="n">
        <f aca="false">IF(B2311&gt;=5,AVERAGE(C2307:C2310),"")</f>
        <v>49.25</v>
      </c>
      <c r="F2311" s="33" t="n">
        <f aca="false">IF(B2311&gt;=9,AVERAGE(C2303:C2310),"")</f>
        <v>54.625</v>
      </c>
      <c r="G2311" s="33" t="n">
        <f aca="false">IF(B2311=1,"",IF(B2311=2,C2310,SES_Alpha*C2310+(1-SES_Alpha)*G2310))</f>
        <v>52.5237811445299</v>
      </c>
      <c r="H2311" s="33" t="n">
        <f aca="false">IF(D2311="","",D2311-C2311)</f>
        <v>24</v>
      </c>
      <c r="I2311" s="33" t="n">
        <f aca="false">IF(E2311="","",E2311-C2311)</f>
        <v>3.25</v>
      </c>
      <c r="J2311" s="33" t="n">
        <f aca="false">IF(F2311="","",F2311-C2311)</f>
        <v>8.625</v>
      </c>
      <c r="K2311" s="33" t="n">
        <f aca="false">IF(G2311="","",G2311-C2311)</f>
        <v>6.52378114452989</v>
      </c>
      <c r="L2311" s="33" t="n">
        <f aca="false">IF(H2311="","",ABS(H2311))</f>
        <v>24</v>
      </c>
      <c r="M2311" s="33" t="n">
        <f aca="false">IF(I2311="","",ABS(I2311))</f>
        <v>3.25</v>
      </c>
      <c r="N2311" s="33" t="n">
        <f aca="false">IF(J2311="","",ABS(J2311))</f>
        <v>8.625</v>
      </c>
      <c r="O2311" s="33" t="n">
        <f aca="false">IF(K2311="","",ABS(K2311))</f>
        <v>6.52378114452989</v>
      </c>
      <c r="P2311" s="34" t="str">
        <f aca="false">IF(B2311&gt;=Eval_Start_Week,"YES","")</f>
        <v/>
      </c>
      <c r="Q2311" s="34" t="str">
        <f aca="false">IF(AND(B2311&gt;=Cal_Start_Week,B2311&lt;=Cal_End_Week),"YES","")</f>
        <v/>
      </c>
    </row>
    <row r="2312" customFormat="false" ht="15" hidden="false" customHeight="false" outlineLevel="0" collapsed="false">
      <c r="A2312" s="31" t="str">
        <f aca="false">Demand_History!C2312</f>
        <v>BED-003</v>
      </c>
      <c r="B2312" s="31" t="n">
        <f aca="false">Demand_History!A2312</f>
        <v>23</v>
      </c>
      <c r="C2312" s="32" t="n">
        <f aca="false">Demand_History!D2312</f>
        <v>45</v>
      </c>
      <c r="D2312" s="33" t="n">
        <f aca="false">IF(B2312&gt;=2,C2311,"")</f>
        <v>46</v>
      </c>
      <c r="E2312" s="33" t="n">
        <f aca="false">IF(B2312&gt;=5,AVERAGE(C2308:C2311),"")</f>
        <v>43</v>
      </c>
      <c r="F2312" s="33" t="n">
        <f aca="false">IF(B2312&gt;=9,AVERAGE(C2304:C2311),"")</f>
        <v>53.75</v>
      </c>
      <c r="G2312" s="33" t="n">
        <f aca="false">IF(B2312=1,"",IF(B2312=2,C2311,SES_Alpha*C2311+(1-SES_Alpha)*G2311))</f>
        <v>50.5666468011709</v>
      </c>
      <c r="H2312" s="33" t="n">
        <f aca="false">IF(D2312="","",D2312-C2312)</f>
        <v>1</v>
      </c>
      <c r="I2312" s="33" t="n">
        <f aca="false">IF(E2312="","",E2312-C2312)</f>
        <v>-2</v>
      </c>
      <c r="J2312" s="33" t="n">
        <f aca="false">IF(F2312="","",F2312-C2312)</f>
        <v>8.75</v>
      </c>
      <c r="K2312" s="33" t="n">
        <f aca="false">IF(G2312="","",G2312-C2312)</f>
        <v>5.56664680117092</v>
      </c>
      <c r="L2312" s="33" t="n">
        <f aca="false">IF(H2312="","",ABS(H2312))</f>
        <v>1</v>
      </c>
      <c r="M2312" s="33" t="n">
        <f aca="false">IF(I2312="","",ABS(I2312))</f>
        <v>2</v>
      </c>
      <c r="N2312" s="33" t="n">
        <f aca="false">IF(J2312="","",ABS(J2312))</f>
        <v>8.75</v>
      </c>
      <c r="O2312" s="33" t="n">
        <f aca="false">IF(K2312="","",ABS(K2312))</f>
        <v>5.56664680117092</v>
      </c>
      <c r="P2312" s="34" t="str">
        <f aca="false">IF(B2312&gt;=Eval_Start_Week,"YES","")</f>
        <v/>
      </c>
      <c r="Q2312" s="34" t="str">
        <f aca="false">IF(AND(B2312&gt;=Cal_Start_Week,B2312&lt;=Cal_End_Week),"YES","")</f>
        <v/>
      </c>
    </row>
    <row r="2313" customFormat="false" ht="15" hidden="false" customHeight="false" outlineLevel="0" collapsed="false">
      <c r="A2313" s="31" t="str">
        <f aca="false">Demand_History!C2313</f>
        <v>BED-003</v>
      </c>
      <c r="B2313" s="31" t="n">
        <f aca="false">Demand_History!A2313</f>
        <v>24</v>
      </c>
      <c r="C2313" s="32" t="n">
        <f aca="false">Demand_History!D2313</f>
        <v>56</v>
      </c>
      <c r="D2313" s="33" t="n">
        <f aca="false">IF(B2313&gt;=2,C2312,"")</f>
        <v>45</v>
      </c>
      <c r="E2313" s="33" t="n">
        <f aca="false">IF(B2313&gt;=5,AVERAGE(C2309:C2312),"")</f>
        <v>47.75</v>
      </c>
      <c r="F2313" s="33" t="n">
        <f aca="false">IF(B2313&gt;=9,AVERAGE(C2305:C2312),"")</f>
        <v>55.125</v>
      </c>
      <c r="G2313" s="33" t="n">
        <f aca="false">IF(B2313=1,"",IF(B2313=2,C2312,SES_Alpha*C2312+(1-SES_Alpha)*G2312))</f>
        <v>48.8966527608196</v>
      </c>
      <c r="H2313" s="33" t="n">
        <f aca="false">IF(D2313="","",D2313-C2313)</f>
        <v>-11</v>
      </c>
      <c r="I2313" s="33" t="n">
        <f aca="false">IF(E2313="","",E2313-C2313)</f>
        <v>-8.25</v>
      </c>
      <c r="J2313" s="33" t="n">
        <f aca="false">IF(F2313="","",F2313-C2313)</f>
        <v>-0.875</v>
      </c>
      <c r="K2313" s="33" t="n">
        <f aca="false">IF(G2313="","",G2313-C2313)</f>
        <v>-7.10334723918036</v>
      </c>
      <c r="L2313" s="33" t="n">
        <f aca="false">IF(H2313="","",ABS(H2313))</f>
        <v>11</v>
      </c>
      <c r="M2313" s="33" t="n">
        <f aca="false">IF(I2313="","",ABS(I2313))</f>
        <v>8.25</v>
      </c>
      <c r="N2313" s="33" t="n">
        <f aca="false">IF(J2313="","",ABS(J2313))</f>
        <v>0.875</v>
      </c>
      <c r="O2313" s="33" t="n">
        <f aca="false">IF(K2313="","",ABS(K2313))</f>
        <v>7.10334723918036</v>
      </c>
      <c r="P2313" s="34" t="str">
        <f aca="false">IF(B2313&gt;=Eval_Start_Week,"YES","")</f>
        <v/>
      </c>
      <c r="Q2313" s="34" t="str">
        <f aca="false">IF(AND(B2313&gt;=Cal_Start_Week,B2313&lt;=Cal_End_Week),"YES","")</f>
        <v/>
      </c>
    </row>
    <row r="2314" customFormat="false" ht="15" hidden="false" customHeight="false" outlineLevel="0" collapsed="false">
      <c r="A2314" s="31" t="str">
        <f aca="false">Demand_History!C2314</f>
        <v>BED-003</v>
      </c>
      <c r="B2314" s="31" t="n">
        <f aca="false">Demand_History!A2314</f>
        <v>25</v>
      </c>
      <c r="C2314" s="32" t="n">
        <f aca="false">Demand_History!D2314</f>
        <v>27</v>
      </c>
      <c r="D2314" s="33" t="n">
        <f aca="false">IF(B2314&gt;=2,C2313,"")</f>
        <v>56</v>
      </c>
      <c r="E2314" s="33" t="n">
        <f aca="false">IF(B2314&gt;=5,AVERAGE(C2310:C2313),"")</f>
        <v>54.25</v>
      </c>
      <c r="F2314" s="33" t="n">
        <f aca="false">IF(B2314&gt;=9,AVERAGE(C2306:C2313),"")</f>
        <v>51.375</v>
      </c>
      <c r="G2314" s="33" t="n">
        <f aca="false">IF(B2314=1,"",IF(B2314=2,C2313,SES_Alpha*C2313+(1-SES_Alpha)*G2313))</f>
        <v>51.0276569325738</v>
      </c>
      <c r="H2314" s="33" t="n">
        <f aca="false">IF(D2314="","",D2314-C2314)</f>
        <v>29</v>
      </c>
      <c r="I2314" s="33" t="n">
        <f aca="false">IF(E2314="","",E2314-C2314)</f>
        <v>27.25</v>
      </c>
      <c r="J2314" s="33" t="n">
        <f aca="false">IF(F2314="","",F2314-C2314)</f>
        <v>24.375</v>
      </c>
      <c r="K2314" s="33" t="n">
        <f aca="false">IF(G2314="","",G2314-C2314)</f>
        <v>24.0276569325738</v>
      </c>
      <c r="L2314" s="33" t="n">
        <f aca="false">IF(H2314="","",ABS(H2314))</f>
        <v>29</v>
      </c>
      <c r="M2314" s="33" t="n">
        <f aca="false">IF(I2314="","",ABS(I2314))</f>
        <v>27.25</v>
      </c>
      <c r="N2314" s="33" t="n">
        <f aca="false">IF(J2314="","",ABS(J2314))</f>
        <v>24.375</v>
      </c>
      <c r="O2314" s="33" t="n">
        <f aca="false">IF(K2314="","",ABS(K2314))</f>
        <v>24.0276569325738</v>
      </c>
      <c r="P2314" s="34" t="str">
        <f aca="false">IF(B2314&gt;=Eval_Start_Week,"YES","")</f>
        <v/>
      </c>
      <c r="Q2314" s="34" t="str">
        <f aca="false">IF(AND(B2314&gt;=Cal_Start_Week,B2314&lt;=Cal_End_Week),"YES","")</f>
        <v/>
      </c>
    </row>
    <row r="2315" customFormat="false" ht="15" hidden="false" customHeight="false" outlineLevel="0" collapsed="false">
      <c r="A2315" s="31" t="str">
        <f aca="false">Demand_History!C2315</f>
        <v>BED-003</v>
      </c>
      <c r="B2315" s="31" t="n">
        <f aca="false">Demand_History!A2315</f>
        <v>26</v>
      </c>
      <c r="C2315" s="32" t="n">
        <f aca="false">Demand_History!D2315</f>
        <v>64</v>
      </c>
      <c r="D2315" s="33" t="n">
        <f aca="false">IF(B2315&gt;=2,C2314,"")</f>
        <v>27</v>
      </c>
      <c r="E2315" s="33" t="n">
        <f aca="false">IF(B2315&gt;=5,AVERAGE(C2311:C2314),"")</f>
        <v>43.5</v>
      </c>
      <c r="F2315" s="33" t="n">
        <f aca="false">IF(B2315&gt;=9,AVERAGE(C2307:C2314),"")</f>
        <v>46.375</v>
      </c>
      <c r="G2315" s="33" t="n">
        <f aca="false">IF(B2315=1,"",IF(B2315=2,C2314,SES_Alpha*C2314+(1-SES_Alpha)*G2314))</f>
        <v>43.8193598528016</v>
      </c>
      <c r="H2315" s="33" t="n">
        <f aca="false">IF(D2315="","",D2315-C2315)</f>
        <v>-37</v>
      </c>
      <c r="I2315" s="33" t="n">
        <f aca="false">IF(E2315="","",E2315-C2315)</f>
        <v>-20.5</v>
      </c>
      <c r="J2315" s="33" t="n">
        <f aca="false">IF(F2315="","",F2315-C2315)</f>
        <v>-17.625</v>
      </c>
      <c r="K2315" s="33" t="n">
        <f aca="false">IF(G2315="","",G2315-C2315)</f>
        <v>-20.1806401471984</v>
      </c>
      <c r="L2315" s="33" t="n">
        <f aca="false">IF(H2315="","",ABS(H2315))</f>
        <v>37</v>
      </c>
      <c r="M2315" s="33" t="n">
        <f aca="false">IF(I2315="","",ABS(I2315))</f>
        <v>20.5</v>
      </c>
      <c r="N2315" s="33" t="n">
        <f aca="false">IF(J2315="","",ABS(J2315))</f>
        <v>17.625</v>
      </c>
      <c r="O2315" s="33" t="n">
        <f aca="false">IF(K2315="","",ABS(K2315))</f>
        <v>20.1806401471984</v>
      </c>
      <c r="P2315" s="34" t="str">
        <f aca="false">IF(B2315&gt;=Eval_Start_Week,"YES","")</f>
        <v/>
      </c>
      <c r="Q2315" s="34" t="str">
        <f aca="false">IF(AND(B2315&gt;=Cal_Start_Week,B2315&lt;=Cal_End_Week),"YES","")</f>
        <v/>
      </c>
    </row>
    <row r="2316" customFormat="false" ht="15" hidden="false" customHeight="false" outlineLevel="0" collapsed="false">
      <c r="A2316" s="31" t="str">
        <f aca="false">Demand_History!C2316</f>
        <v>BED-003</v>
      </c>
      <c r="B2316" s="31" t="n">
        <f aca="false">Demand_History!A2316</f>
        <v>27</v>
      </c>
      <c r="C2316" s="32" t="n">
        <f aca="false">Demand_History!D2316</f>
        <v>50</v>
      </c>
      <c r="D2316" s="33" t="n">
        <f aca="false">IF(B2316&gt;=2,C2315,"")</f>
        <v>64</v>
      </c>
      <c r="E2316" s="33" t="n">
        <f aca="false">IF(B2316&gt;=5,AVERAGE(C2312:C2315),"")</f>
        <v>48</v>
      </c>
      <c r="F2316" s="33" t="n">
        <f aca="false">IF(B2316&gt;=9,AVERAGE(C2308:C2315),"")</f>
        <v>45.5</v>
      </c>
      <c r="G2316" s="33" t="n">
        <f aca="false">IF(B2316=1,"",IF(B2316=2,C2315,SES_Alpha*C2315+(1-SES_Alpha)*G2315))</f>
        <v>49.8735518969611</v>
      </c>
      <c r="H2316" s="33" t="n">
        <f aca="false">IF(D2316="","",D2316-C2316)</f>
        <v>14</v>
      </c>
      <c r="I2316" s="33" t="n">
        <f aca="false">IF(E2316="","",E2316-C2316)</f>
        <v>-2</v>
      </c>
      <c r="J2316" s="33" t="n">
        <f aca="false">IF(F2316="","",F2316-C2316)</f>
        <v>-4.5</v>
      </c>
      <c r="K2316" s="33" t="n">
        <f aca="false">IF(G2316="","",G2316-C2316)</f>
        <v>-0.126448103038868</v>
      </c>
      <c r="L2316" s="33" t="n">
        <f aca="false">IF(H2316="","",ABS(H2316))</f>
        <v>14</v>
      </c>
      <c r="M2316" s="33" t="n">
        <f aca="false">IF(I2316="","",ABS(I2316))</f>
        <v>2</v>
      </c>
      <c r="N2316" s="33" t="n">
        <f aca="false">IF(J2316="","",ABS(J2316))</f>
        <v>4.5</v>
      </c>
      <c r="O2316" s="33" t="n">
        <f aca="false">IF(K2316="","",ABS(K2316))</f>
        <v>0.126448103038868</v>
      </c>
      <c r="P2316" s="34" t="str">
        <f aca="false">IF(B2316&gt;=Eval_Start_Week,"YES","")</f>
        <v/>
      </c>
      <c r="Q2316" s="34" t="str">
        <f aca="false">IF(AND(B2316&gt;=Cal_Start_Week,B2316&lt;=Cal_End_Week),"YES","")</f>
        <v/>
      </c>
    </row>
    <row r="2317" customFormat="false" ht="15" hidden="false" customHeight="false" outlineLevel="0" collapsed="false">
      <c r="A2317" s="31" t="str">
        <f aca="false">Demand_History!C2317</f>
        <v>BED-003</v>
      </c>
      <c r="B2317" s="31" t="n">
        <f aca="false">Demand_History!A2317</f>
        <v>28</v>
      </c>
      <c r="C2317" s="32" t="n">
        <f aca="false">Demand_History!D2317</f>
        <v>59</v>
      </c>
      <c r="D2317" s="33" t="n">
        <f aca="false">IF(B2317&gt;=2,C2316,"")</f>
        <v>50</v>
      </c>
      <c r="E2317" s="33" t="n">
        <f aca="false">IF(B2317&gt;=5,AVERAGE(C2313:C2316),"")</f>
        <v>49.25</v>
      </c>
      <c r="F2317" s="33" t="n">
        <f aca="false">IF(B2317&gt;=9,AVERAGE(C2309:C2316),"")</f>
        <v>48.5</v>
      </c>
      <c r="G2317" s="33" t="n">
        <f aca="false">IF(B2317=1,"",IF(B2317=2,C2316,SES_Alpha*C2316+(1-SES_Alpha)*G2316))</f>
        <v>49.9114863278728</v>
      </c>
      <c r="H2317" s="33" t="n">
        <f aca="false">IF(D2317="","",D2317-C2317)</f>
        <v>-9</v>
      </c>
      <c r="I2317" s="33" t="n">
        <f aca="false">IF(E2317="","",E2317-C2317)</f>
        <v>-9.75</v>
      </c>
      <c r="J2317" s="33" t="n">
        <f aca="false">IF(F2317="","",F2317-C2317)</f>
        <v>-10.5</v>
      </c>
      <c r="K2317" s="33" t="n">
        <f aca="false">IF(G2317="","",G2317-C2317)</f>
        <v>-9.08851367212721</v>
      </c>
      <c r="L2317" s="33" t="n">
        <f aca="false">IF(H2317="","",ABS(H2317))</f>
        <v>9</v>
      </c>
      <c r="M2317" s="33" t="n">
        <f aca="false">IF(I2317="","",ABS(I2317))</f>
        <v>9.75</v>
      </c>
      <c r="N2317" s="33" t="n">
        <f aca="false">IF(J2317="","",ABS(J2317))</f>
        <v>10.5</v>
      </c>
      <c r="O2317" s="33" t="n">
        <f aca="false">IF(K2317="","",ABS(K2317))</f>
        <v>9.08851367212721</v>
      </c>
      <c r="P2317" s="34" t="str">
        <f aca="false">IF(B2317&gt;=Eval_Start_Week,"YES","")</f>
        <v/>
      </c>
      <c r="Q2317" s="34" t="str">
        <f aca="false">IF(AND(B2317&gt;=Cal_Start_Week,B2317&lt;=Cal_End_Week),"YES","")</f>
        <v/>
      </c>
    </row>
    <row r="2318" customFormat="false" ht="15" hidden="false" customHeight="false" outlineLevel="0" collapsed="false">
      <c r="A2318" s="31" t="str">
        <f aca="false">Demand_History!C2318</f>
        <v>BED-003</v>
      </c>
      <c r="B2318" s="31" t="n">
        <f aca="false">Demand_History!A2318</f>
        <v>29</v>
      </c>
      <c r="C2318" s="32" t="n">
        <f aca="false">Demand_History!D2318</f>
        <v>38</v>
      </c>
      <c r="D2318" s="33" t="n">
        <f aca="false">IF(B2318&gt;=2,C2317,"")</f>
        <v>59</v>
      </c>
      <c r="E2318" s="33" t="n">
        <f aca="false">IF(B2318&gt;=5,AVERAGE(C2314:C2317),"")</f>
        <v>50</v>
      </c>
      <c r="F2318" s="33" t="n">
        <f aca="false">IF(B2318&gt;=9,AVERAGE(C2310:C2317),"")</f>
        <v>52.125</v>
      </c>
      <c r="G2318" s="33" t="n">
        <f aca="false">IF(B2318=1,"",IF(B2318=2,C2317,SES_Alpha*C2317+(1-SES_Alpha)*G2317))</f>
        <v>52.638040429511</v>
      </c>
      <c r="H2318" s="33" t="n">
        <f aca="false">IF(D2318="","",D2318-C2318)</f>
        <v>21</v>
      </c>
      <c r="I2318" s="33" t="n">
        <f aca="false">IF(E2318="","",E2318-C2318)</f>
        <v>12</v>
      </c>
      <c r="J2318" s="33" t="n">
        <f aca="false">IF(F2318="","",F2318-C2318)</f>
        <v>14.125</v>
      </c>
      <c r="K2318" s="33" t="n">
        <f aca="false">IF(G2318="","",G2318-C2318)</f>
        <v>14.638040429511</v>
      </c>
      <c r="L2318" s="33" t="n">
        <f aca="false">IF(H2318="","",ABS(H2318))</f>
        <v>21</v>
      </c>
      <c r="M2318" s="33" t="n">
        <f aca="false">IF(I2318="","",ABS(I2318))</f>
        <v>12</v>
      </c>
      <c r="N2318" s="33" t="n">
        <f aca="false">IF(J2318="","",ABS(J2318))</f>
        <v>14.125</v>
      </c>
      <c r="O2318" s="33" t="n">
        <f aca="false">IF(K2318="","",ABS(K2318))</f>
        <v>14.638040429511</v>
      </c>
      <c r="P2318" s="34" t="str">
        <f aca="false">IF(B2318&gt;=Eval_Start_Week,"YES","")</f>
        <v/>
      </c>
      <c r="Q2318" s="34" t="str">
        <f aca="false">IF(AND(B2318&gt;=Cal_Start_Week,B2318&lt;=Cal_End_Week),"YES","")</f>
        <v/>
      </c>
    </row>
    <row r="2319" customFormat="false" ht="15" hidden="false" customHeight="false" outlineLevel="0" collapsed="false">
      <c r="A2319" s="31" t="str">
        <f aca="false">Demand_History!C2319</f>
        <v>BED-003</v>
      </c>
      <c r="B2319" s="31" t="n">
        <f aca="false">Demand_History!A2319</f>
        <v>30</v>
      </c>
      <c r="C2319" s="32" t="n">
        <f aca="false">Demand_History!D2319</f>
        <v>59</v>
      </c>
      <c r="D2319" s="33" t="n">
        <f aca="false">IF(B2319&gt;=2,C2318,"")</f>
        <v>38</v>
      </c>
      <c r="E2319" s="33" t="n">
        <f aca="false">IF(B2319&gt;=5,AVERAGE(C2315:C2318),"")</f>
        <v>52.75</v>
      </c>
      <c r="F2319" s="33" t="n">
        <f aca="false">IF(B2319&gt;=9,AVERAGE(C2311:C2318),"")</f>
        <v>48.125</v>
      </c>
      <c r="G2319" s="33" t="n">
        <f aca="false">IF(B2319=1,"",IF(B2319=2,C2318,SES_Alpha*C2318+(1-SES_Alpha)*G2318))</f>
        <v>48.2466283006577</v>
      </c>
      <c r="H2319" s="33" t="n">
        <f aca="false">IF(D2319="","",D2319-C2319)</f>
        <v>-21</v>
      </c>
      <c r="I2319" s="33" t="n">
        <f aca="false">IF(E2319="","",E2319-C2319)</f>
        <v>-6.25</v>
      </c>
      <c r="J2319" s="33" t="n">
        <f aca="false">IF(F2319="","",F2319-C2319)</f>
        <v>-10.875</v>
      </c>
      <c r="K2319" s="33" t="n">
        <f aca="false">IF(G2319="","",G2319-C2319)</f>
        <v>-10.7533716993423</v>
      </c>
      <c r="L2319" s="33" t="n">
        <f aca="false">IF(H2319="","",ABS(H2319))</f>
        <v>21</v>
      </c>
      <c r="M2319" s="33" t="n">
        <f aca="false">IF(I2319="","",ABS(I2319))</f>
        <v>6.25</v>
      </c>
      <c r="N2319" s="33" t="n">
        <f aca="false">IF(J2319="","",ABS(J2319))</f>
        <v>10.875</v>
      </c>
      <c r="O2319" s="33" t="n">
        <f aca="false">IF(K2319="","",ABS(K2319))</f>
        <v>10.7533716993423</v>
      </c>
      <c r="P2319" s="34" t="str">
        <f aca="false">IF(B2319&gt;=Eval_Start_Week,"YES","")</f>
        <v/>
      </c>
      <c r="Q2319" s="34" t="str">
        <f aca="false">IF(AND(B2319&gt;=Cal_Start_Week,B2319&lt;=Cal_End_Week),"YES","")</f>
        <v/>
      </c>
    </row>
    <row r="2320" customFormat="false" ht="15" hidden="false" customHeight="false" outlineLevel="0" collapsed="false">
      <c r="A2320" s="31" t="str">
        <f aca="false">Demand_History!C2320</f>
        <v>BED-003</v>
      </c>
      <c r="B2320" s="31" t="n">
        <f aca="false">Demand_History!A2320</f>
        <v>31</v>
      </c>
      <c r="C2320" s="32" t="n">
        <f aca="false">Demand_History!D2320</f>
        <v>37</v>
      </c>
      <c r="D2320" s="33" t="n">
        <f aca="false">IF(B2320&gt;=2,C2319,"")</f>
        <v>59</v>
      </c>
      <c r="E2320" s="33" t="n">
        <f aca="false">IF(B2320&gt;=5,AVERAGE(C2316:C2319),"")</f>
        <v>51.5</v>
      </c>
      <c r="F2320" s="33" t="n">
        <f aca="false">IF(B2320&gt;=9,AVERAGE(C2312:C2319),"")</f>
        <v>49.75</v>
      </c>
      <c r="G2320" s="33" t="n">
        <f aca="false">IF(B2320=1,"",IF(B2320=2,C2319,SES_Alpha*C2319+(1-SES_Alpha)*G2319))</f>
        <v>51.4726398104604</v>
      </c>
      <c r="H2320" s="33" t="n">
        <f aca="false">IF(D2320="","",D2320-C2320)</f>
        <v>22</v>
      </c>
      <c r="I2320" s="33" t="n">
        <f aca="false">IF(E2320="","",E2320-C2320)</f>
        <v>14.5</v>
      </c>
      <c r="J2320" s="33" t="n">
        <f aca="false">IF(F2320="","",F2320-C2320)</f>
        <v>12.75</v>
      </c>
      <c r="K2320" s="33" t="n">
        <f aca="false">IF(G2320="","",G2320-C2320)</f>
        <v>14.4726398104604</v>
      </c>
      <c r="L2320" s="33" t="n">
        <f aca="false">IF(H2320="","",ABS(H2320))</f>
        <v>22</v>
      </c>
      <c r="M2320" s="33" t="n">
        <f aca="false">IF(I2320="","",ABS(I2320))</f>
        <v>14.5</v>
      </c>
      <c r="N2320" s="33" t="n">
        <f aca="false">IF(J2320="","",ABS(J2320))</f>
        <v>12.75</v>
      </c>
      <c r="O2320" s="33" t="n">
        <f aca="false">IF(K2320="","",ABS(K2320))</f>
        <v>14.4726398104604</v>
      </c>
      <c r="P2320" s="34" t="str">
        <f aca="false">IF(B2320&gt;=Eval_Start_Week,"YES","")</f>
        <v/>
      </c>
      <c r="Q2320" s="34" t="str">
        <f aca="false">IF(AND(B2320&gt;=Cal_Start_Week,B2320&lt;=Cal_End_Week),"YES","")</f>
        <v/>
      </c>
    </row>
    <row r="2321" customFormat="false" ht="15" hidden="false" customHeight="false" outlineLevel="0" collapsed="false">
      <c r="A2321" s="31" t="str">
        <f aca="false">Demand_History!C2321</f>
        <v>BED-003</v>
      </c>
      <c r="B2321" s="31" t="n">
        <f aca="false">Demand_History!A2321</f>
        <v>32</v>
      </c>
      <c r="C2321" s="32" t="n">
        <f aca="false">Demand_History!D2321</f>
        <v>68</v>
      </c>
      <c r="D2321" s="33" t="n">
        <f aca="false">IF(B2321&gt;=2,C2320,"")</f>
        <v>37</v>
      </c>
      <c r="E2321" s="33" t="n">
        <f aca="false">IF(B2321&gt;=5,AVERAGE(C2317:C2320),"")</f>
        <v>48.25</v>
      </c>
      <c r="F2321" s="33" t="n">
        <f aca="false">IF(B2321&gt;=9,AVERAGE(C2313:C2320),"")</f>
        <v>48.75</v>
      </c>
      <c r="G2321" s="33" t="n">
        <f aca="false">IF(B2321=1,"",IF(B2321=2,C2320,SES_Alpha*C2320+(1-SES_Alpha)*G2320))</f>
        <v>47.1308478673223</v>
      </c>
      <c r="H2321" s="33" t="n">
        <f aca="false">IF(D2321="","",D2321-C2321)</f>
        <v>-31</v>
      </c>
      <c r="I2321" s="33" t="n">
        <f aca="false">IF(E2321="","",E2321-C2321)</f>
        <v>-19.75</v>
      </c>
      <c r="J2321" s="33" t="n">
        <f aca="false">IF(F2321="","",F2321-C2321)</f>
        <v>-19.25</v>
      </c>
      <c r="K2321" s="33" t="n">
        <f aca="false">IF(G2321="","",G2321-C2321)</f>
        <v>-20.8691521326777</v>
      </c>
      <c r="L2321" s="33" t="n">
        <f aca="false">IF(H2321="","",ABS(H2321))</f>
        <v>31</v>
      </c>
      <c r="M2321" s="33" t="n">
        <f aca="false">IF(I2321="","",ABS(I2321))</f>
        <v>19.75</v>
      </c>
      <c r="N2321" s="33" t="n">
        <f aca="false">IF(J2321="","",ABS(J2321))</f>
        <v>19.25</v>
      </c>
      <c r="O2321" s="33" t="n">
        <f aca="false">IF(K2321="","",ABS(K2321))</f>
        <v>20.8691521326777</v>
      </c>
      <c r="P2321" s="34" t="str">
        <f aca="false">IF(B2321&gt;=Eval_Start_Week,"YES","")</f>
        <v/>
      </c>
      <c r="Q2321" s="34" t="str">
        <f aca="false">IF(AND(B2321&gt;=Cal_Start_Week,B2321&lt;=Cal_End_Week),"YES","")</f>
        <v/>
      </c>
    </row>
    <row r="2322" customFormat="false" ht="15" hidden="false" customHeight="false" outlineLevel="0" collapsed="false">
      <c r="A2322" s="31" t="str">
        <f aca="false">Demand_History!C2322</f>
        <v>BED-003</v>
      </c>
      <c r="B2322" s="31" t="n">
        <f aca="false">Demand_History!A2322</f>
        <v>33</v>
      </c>
      <c r="C2322" s="32" t="n">
        <f aca="false">Demand_History!D2322</f>
        <v>71</v>
      </c>
      <c r="D2322" s="33" t="n">
        <f aca="false">IF(B2322&gt;=2,C2321,"")</f>
        <v>68</v>
      </c>
      <c r="E2322" s="33" t="n">
        <f aca="false">IF(B2322&gt;=5,AVERAGE(C2318:C2321),"")</f>
        <v>50.5</v>
      </c>
      <c r="F2322" s="33" t="n">
        <f aca="false">IF(B2322&gt;=9,AVERAGE(C2314:C2321),"")</f>
        <v>50.25</v>
      </c>
      <c r="G2322" s="33" t="n">
        <f aca="false">IF(B2322=1,"",IF(B2322=2,C2321,SES_Alpha*C2321+(1-SES_Alpha)*G2321))</f>
        <v>53.3915935071256</v>
      </c>
      <c r="H2322" s="33" t="n">
        <f aca="false">IF(D2322="","",D2322-C2322)</f>
        <v>-3</v>
      </c>
      <c r="I2322" s="33" t="n">
        <f aca="false">IF(E2322="","",E2322-C2322)</f>
        <v>-20.5</v>
      </c>
      <c r="J2322" s="33" t="n">
        <f aca="false">IF(F2322="","",F2322-C2322)</f>
        <v>-20.75</v>
      </c>
      <c r="K2322" s="33" t="n">
        <f aca="false">IF(G2322="","",G2322-C2322)</f>
        <v>-17.6084064928744</v>
      </c>
      <c r="L2322" s="33" t="n">
        <f aca="false">IF(H2322="","",ABS(H2322))</f>
        <v>3</v>
      </c>
      <c r="M2322" s="33" t="n">
        <f aca="false">IF(I2322="","",ABS(I2322))</f>
        <v>20.5</v>
      </c>
      <c r="N2322" s="33" t="n">
        <f aca="false">IF(J2322="","",ABS(J2322))</f>
        <v>20.75</v>
      </c>
      <c r="O2322" s="33" t="n">
        <f aca="false">IF(K2322="","",ABS(K2322))</f>
        <v>17.6084064928744</v>
      </c>
      <c r="P2322" s="34" t="str">
        <f aca="false">IF(B2322&gt;=Eval_Start_Week,"YES","")</f>
        <v/>
      </c>
      <c r="Q2322" s="34" t="str">
        <f aca="false">IF(AND(B2322&gt;=Cal_Start_Week,B2322&lt;=Cal_End_Week),"YES","")</f>
        <v/>
      </c>
    </row>
    <row r="2323" customFormat="false" ht="15" hidden="false" customHeight="false" outlineLevel="0" collapsed="false">
      <c r="A2323" s="31" t="str">
        <f aca="false">Demand_History!C2323</f>
        <v>BED-003</v>
      </c>
      <c r="B2323" s="31" t="n">
        <f aca="false">Demand_History!A2323</f>
        <v>34</v>
      </c>
      <c r="C2323" s="32" t="n">
        <f aca="false">Demand_History!D2323</f>
        <v>67</v>
      </c>
      <c r="D2323" s="33" t="n">
        <f aca="false">IF(B2323&gt;=2,C2322,"")</f>
        <v>71</v>
      </c>
      <c r="E2323" s="33" t="n">
        <f aca="false">IF(B2323&gt;=5,AVERAGE(C2319:C2322),"")</f>
        <v>58.75</v>
      </c>
      <c r="F2323" s="33" t="n">
        <f aca="false">IF(B2323&gt;=9,AVERAGE(C2315:C2322),"")</f>
        <v>55.75</v>
      </c>
      <c r="G2323" s="33" t="n">
        <f aca="false">IF(B2323=1,"",IF(B2323=2,C2322,SES_Alpha*C2322+(1-SES_Alpha)*G2322))</f>
        <v>58.6741154549879</v>
      </c>
      <c r="H2323" s="33" t="n">
        <f aca="false">IF(D2323="","",D2323-C2323)</f>
        <v>4</v>
      </c>
      <c r="I2323" s="33" t="n">
        <f aca="false">IF(E2323="","",E2323-C2323)</f>
        <v>-8.25</v>
      </c>
      <c r="J2323" s="33" t="n">
        <f aca="false">IF(F2323="","",F2323-C2323)</f>
        <v>-11.25</v>
      </c>
      <c r="K2323" s="33" t="n">
        <f aca="false">IF(G2323="","",G2323-C2323)</f>
        <v>-8.3258845450121</v>
      </c>
      <c r="L2323" s="33" t="n">
        <f aca="false">IF(H2323="","",ABS(H2323))</f>
        <v>4</v>
      </c>
      <c r="M2323" s="33" t="n">
        <f aca="false">IF(I2323="","",ABS(I2323))</f>
        <v>8.25</v>
      </c>
      <c r="N2323" s="33" t="n">
        <f aca="false">IF(J2323="","",ABS(J2323))</f>
        <v>11.25</v>
      </c>
      <c r="O2323" s="33" t="n">
        <f aca="false">IF(K2323="","",ABS(K2323))</f>
        <v>8.3258845450121</v>
      </c>
      <c r="P2323" s="34" t="str">
        <f aca="false">IF(B2323&gt;=Eval_Start_Week,"YES","")</f>
        <v/>
      </c>
      <c r="Q2323" s="34" t="str">
        <f aca="false">IF(AND(B2323&gt;=Cal_Start_Week,B2323&lt;=Cal_End_Week),"YES","")</f>
        <v/>
      </c>
    </row>
    <row r="2324" customFormat="false" ht="15" hidden="false" customHeight="false" outlineLevel="0" collapsed="false">
      <c r="A2324" s="31" t="str">
        <f aca="false">Demand_History!C2324</f>
        <v>BED-003</v>
      </c>
      <c r="B2324" s="31" t="n">
        <f aca="false">Demand_History!A2324</f>
        <v>35</v>
      </c>
      <c r="C2324" s="32" t="n">
        <f aca="false">Demand_History!D2324</f>
        <v>59</v>
      </c>
      <c r="D2324" s="33" t="n">
        <f aca="false">IF(B2324&gt;=2,C2323,"")</f>
        <v>67</v>
      </c>
      <c r="E2324" s="33" t="n">
        <f aca="false">IF(B2324&gt;=5,AVERAGE(C2320:C2323),"")</f>
        <v>60.75</v>
      </c>
      <c r="F2324" s="33" t="n">
        <f aca="false">IF(B2324&gt;=9,AVERAGE(C2316:C2323),"")</f>
        <v>56.125</v>
      </c>
      <c r="G2324" s="33" t="n">
        <f aca="false">IF(B2324=1,"",IF(B2324=2,C2323,SES_Alpha*C2323+(1-SES_Alpha)*G2323))</f>
        <v>61.1718808184915</v>
      </c>
      <c r="H2324" s="33" t="n">
        <f aca="false">IF(D2324="","",D2324-C2324)</f>
        <v>8</v>
      </c>
      <c r="I2324" s="33" t="n">
        <f aca="false">IF(E2324="","",E2324-C2324)</f>
        <v>1.75</v>
      </c>
      <c r="J2324" s="33" t="n">
        <f aca="false">IF(F2324="","",F2324-C2324)</f>
        <v>-2.875</v>
      </c>
      <c r="K2324" s="33" t="n">
        <f aca="false">IF(G2324="","",G2324-C2324)</f>
        <v>2.17188081849153</v>
      </c>
      <c r="L2324" s="33" t="n">
        <f aca="false">IF(H2324="","",ABS(H2324))</f>
        <v>8</v>
      </c>
      <c r="M2324" s="33" t="n">
        <f aca="false">IF(I2324="","",ABS(I2324))</f>
        <v>1.75</v>
      </c>
      <c r="N2324" s="33" t="n">
        <f aca="false">IF(J2324="","",ABS(J2324))</f>
        <v>2.875</v>
      </c>
      <c r="O2324" s="33" t="n">
        <f aca="false">IF(K2324="","",ABS(K2324))</f>
        <v>2.17188081849153</v>
      </c>
      <c r="P2324" s="34" t="str">
        <f aca="false">IF(B2324&gt;=Eval_Start_Week,"YES","")</f>
        <v/>
      </c>
      <c r="Q2324" s="34" t="str">
        <f aca="false">IF(AND(B2324&gt;=Cal_Start_Week,B2324&lt;=Cal_End_Week),"YES","")</f>
        <v/>
      </c>
    </row>
    <row r="2325" customFormat="false" ht="15" hidden="false" customHeight="false" outlineLevel="0" collapsed="false">
      <c r="A2325" s="31" t="str">
        <f aca="false">Demand_History!C2325</f>
        <v>BED-003</v>
      </c>
      <c r="B2325" s="31" t="n">
        <f aca="false">Demand_History!A2325</f>
        <v>36</v>
      </c>
      <c r="C2325" s="32" t="n">
        <f aca="false">Demand_History!D2325</f>
        <v>62</v>
      </c>
      <c r="D2325" s="33" t="n">
        <f aca="false">IF(B2325&gt;=2,C2324,"")</f>
        <v>59</v>
      </c>
      <c r="E2325" s="33" t="n">
        <f aca="false">IF(B2325&gt;=5,AVERAGE(C2321:C2324),"")</f>
        <v>66.25</v>
      </c>
      <c r="F2325" s="33" t="n">
        <f aca="false">IF(B2325&gt;=9,AVERAGE(C2317:C2324),"")</f>
        <v>57.25</v>
      </c>
      <c r="G2325" s="33" t="n">
        <f aca="false">IF(B2325=1,"",IF(B2325=2,C2324,SES_Alpha*C2324+(1-SES_Alpha)*G2324))</f>
        <v>60.5203165729441</v>
      </c>
      <c r="H2325" s="33" t="n">
        <f aca="false">IF(D2325="","",D2325-C2325)</f>
        <v>-3</v>
      </c>
      <c r="I2325" s="33" t="n">
        <f aca="false">IF(E2325="","",E2325-C2325)</f>
        <v>4.25</v>
      </c>
      <c r="J2325" s="33" t="n">
        <f aca="false">IF(F2325="","",F2325-C2325)</f>
        <v>-4.75</v>
      </c>
      <c r="K2325" s="33" t="n">
        <f aca="false">IF(G2325="","",G2325-C2325)</f>
        <v>-1.47968342705593</v>
      </c>
      <c r="L2325" s="33" t="n">
        <f aca="false">IF(H2325="","",ABS(H2325))</f>
        <v>3</v>
      </c>
      <c r="M2325" s="33" t="n">
        <f aca="false">IF(I2325="","",ABS(I2325))</f>
        <v>4.25</v>
      </c>
      <c r="N2325" s="33" t="n">
        <f aca="false">IF(J2325="","",ABS(J2325))</f>
        <v>4.75</v>
      </c>
      <c r="O2325" s="33" t="n">
        <f aca="false">IF(K2325="","",ABS(K2325))</f>
        <v>1.47968342705593</v>
      </c>
      <c r="P2325" s="34" t="str">
        <f aca="false">IF(B2325&gt;=Eval_Start_Week,"YES","")</f>
        <v/>
      </c>
      <c r="Q2325" s="34" t="str">
        <f aca="false">IF(AND(B2325&gt;=Cal_Start_Week,B2325&lt;=Cal_End_Week),"YES","")</f>
        <v/>
      </c>
    </row>
    <row r="2326" customFormat="false" ht="15" hidden="false" customHeight="false" outlineLevel="0" collapsed="false">
      <c r="A2326" s="31" t="str">
        <f aca="false">Demand_History!C2326</f>
        <v>BED-003</v>
      </c>
      <c r="B2326" s="31" t="n">
        <f aca="false">Demand_History!A2326</f>
        <v>37</v>
      </c>
      <c r="C2326" s="32" t="n">
        <f aca="false">Demand_History!D2326</f>
        <v>0</v>
      </c>
      <c r="D2326" s="33" t="n">
        <f aca="false">IF(B2326&gt;=2,C2325,"")</f>
        <v>62</v>
      </c>
      <c r="E2326" s="33" t="n">
        <f aca="false">IF(B2326&gt;=5,AVERAGE(C2322:C2325),"")</f>
        <v>64.75</v>
      </c>
      <c r="F2326" s="33" t="n">
        <f aca="false">IF(B2326&gt;=9,AVERAGE(C2318:C2325),"")</f>
        <v>57.625</v>
      </c>
      <c r="G2326" s="33" t="n">
        <f aca="false">IF(B2326=1,"",IF(B2326=2,C2325,SES_Alpha*C2325+(1-SES_Alpha)*G2325))</f>
        <v>60.9642216010608</v>
      </c>
      <c r="H2326" s="33" t="n">
        <f aca="false">IF(D2326="","",D2326-C2326)</f>
        <v>62</v>
      </c>
      <c r="I2326" s="33" t="n">
        <f aca="false">IF(E2326="","",E2326-C2326)</f>
        <v>64.75</v>
      </c>
      <c r="J2326" s="33" t="n">
        <f aca="false">IF(F2326="","",F2326-C2326)</f>
        <v>57.625</v>
      </c>
      <c r="K2326" s="33" t="n">
        <f aca="false">IF(G2326="","",G2326-C2326)</f>
        <v>60.9642216010608</v>
      </c>
      <c r="L2326" s="33" t="n">
        <f aca="false">IF(H2326="","",ABS(H2326))</f>
        <v>62</v>
      </c>
      <c r="M2326" s="33" t="n">
        <f aca="false">IF(I2326="","",ABS(I2326))</f>
        <v>64.75</v>
      </c>
      <c r="N2326" s="33" t="n">
        <f aca="false">IF(J2326="","",ABS(J2326))</f>
        <v>57.625</v>
      </c>
      <c r="O2326" s="33" t="n">
        <f aca="false">IF(K2326="","",ABS(K2326))</f>
        <v>60.9642216010608</v>
      </c>
      <c r="P2326" s="34" t="str">
        <f aca="false">IF(B2326&gt;=Eval_Start_Week,"YES","")</f>
        <v/>
      </c>
      <c r="Q2326" s="34" t="str">
        <f aca="false">IF(AND(B2326&gt;=Cal_Start_Week,B2326&lt;=Cal_End_Week),"YES","")</f>
        <v>YES</v>
      </c>
    </row>
    <row r="2327" customFormat="false" ht="15" hidden="false" customHeight="false" outlineLevel="0" collapsed="false">
      <c r="A2327" s="31" t="str">
        <f aca="false">Demand_History!C2327</f>
        <v>BED-003</v>
      </c>
      <c r="B2327" s="31" t="n">
        <f aca="false">Demand_History!A2327</f>
        <v>38</v>
      </c>
      <c r="C2327" s="32" t="n">
        <f aca="false">Demand_History!D2327</f>
        <v>65</v>
      </c>
      <c r="D2327" s="33" t="n">
        <f aca="false">IF(B2327&gt;=2,C2326,"")</f>
        <v>0</v>
      </c>
      <c r="E2327" s="33" t="n">
        <f aca="false">IF(B2327&gt;=5,AVERAGE(C2323:C2326),"")</f>
        <v>47</v>
      </c>
      <c r="F2327" s="33" t="n">
        <f aca="false">IF(B2327&gt;=9,AVERAGE(C2319:C2326),"")</f>
        <v>52.875</v>
      </c>
      <c r="G2327" s="33" t="n">
        <f aca="false">IF(B2327=1,"",IF(B2327=2,C2326,SES_Alpha*C2326+(1-SES_Alpha)*G2326))</f>
        <v>42.6749551207426</v>
      </c>
      <c r="H2327" s="33" t="n">
        <f aca="false">IF(D2327="","",D2327-C2327)</f>
        <v>-65</v>
      </c>
      <c r="I2327" s="33" t="n">
        <f aca="false">IF(E2327="","",E2327-C2327)</f>
        <v>-18</v>
      </c>
      <c r="J2327" s="33" t="n">
        <f aca="false">IF(F2327="","",F2327-C2327)</f>
        <v>-12.125</v>
      </c>
      <c r="K2327" s="33" t="n">
        <f aca="false">IF(G2327="","",G2327-C2327)</f>
        <v>-22.3250448792574</v>
      </c>
      <c r="L2327" s="33" t="n">
        <f aca="false">IF(H2327="","",ABS(H2327))</f>
        <v>65</v>
      </c>
      <c r="M2327" s="33" t="n">
        <f aca="false">IF(I2327="","",ABS(I2327))</f>
        <v>18</v>
      </c>
      <c r="N2327" s="33" t="n">
        <f aca="false">IF(J2327="","",ABS(J2327))</f>
        <v>12.125</v>
      </c>
      <c r="O2327" s="33" t="n">
        <f aca="false">IF(K2327="","",ABS(K2327))</f>
        <v>22.3250448792574</v>
      </c>
      <c r="P2327" s="34" t="str">
        <f aca="false">IF(B2327&gt;=Eval_Start_Week,"YES","")</f>
        <v/>
      </c>
      <c r="Q2327" s="34" t="str">
        <f aca="false">IF(AND(B2327&gt;=Cal_Start_Week,B2327&lt;=Cal_End_Week),"YES","")</f>
        <v>YES</v>
      </c>
    </row>
    <row r="2328" customFormat="false" ht="15" hidden="false" customHeight="false" outlineLevel="0" collapsed="false">
      <c r="A2328" s="31" t="str">
        <f aca="false">Demand_History!C2328</f>
        <v>BED-003</v>
      </c>
      <c r="B2328" s="31" t="n">
        <f aca="false">Demand_History!A2328</f>
        <v>39</v>
      </c>
      <c r="C2328" s="32" t="n">
        <f aca="false">Demand_History!D2328</f>
        <v>45</v>
      </c>
      <c r="D2328" s="33" t="n">
        <f aca="false">IF(B2328&gt;=2,C2327,"")</f>
        <v>65</v>
      </c>
      <c r="E2328" s="33" t="n">
        <f aca="false">IF(B2328&gt;=5,AVERAGE(C2324:C2327),"")</f>
        <v>46.5</v>
      </c>
      <c r="F2328" s="33" t="n">
        <f aca="false">IF(B2328&gt;=9,AVERAGE(C2320:C2327),"")</f>
        <v>53.625</v>
      </c>
      <c r="G2328" s="33" t="n">
        <f aca="false">IF(B2328=1,"",IF(B2328=2,C2327,SES_Alpha*C2327+(1-SES_Alpha)*G2327))</f>
        <v>49.3724685845198</v>
      </c>
      <c r="H2328" s="33" t="n">
        <f aca="false">IF(D2328="","",D2328-C2328)</f>
        <v>20</v>
      </c>
      <c r="I2328" s="33" t="n">
        <f aca="false">IF(E2328="","",E2328-C2328)</f>
        <v>1.5</v>
      </c>
      <c r="J2328" s="33" t="n">
        <f aca="false">IF(F2328="","",F2328-C2328)</f>
        <v>8.625</v>
      </c>
      <c r="K2328" s="33" t="n">
        <f aca="false">IF(G2328="","",G2328-C2328)</f>
        <v>4.37246858451981</v>
      </c>
      <c r="L2328" s="33" t="n">
        <f aca="false">IF(H2328="","",ABS(H2328))</f>
        <v>20</v>
      </c>
      <c r="M2328" s="33" t="n">
        <f aca="false">IF(I2328="","",ABS(I2328))</f>
        <v>1.5</v>
      </c>
      <c r="N2328" s="33" t="n">
        <f aca="false">IF(J2328="","",ABS(J2328))</f>
        <v>8.625</v>
      </c>
      <c r="O2328" s="33" t="n">
        <f aca="false">IF(K2328="","",ABS(K2328))</f>
        <v>4.37246858451981</v>
      </c>
      <c r="P2328" s="34" t="str">
        <f aca="false">IF(B2328&gt;=Eval_Start_Week,"YES","")</f>
        <v/>
      </c>
      <c r="Q2328" s="34" t="str">
        <f aca="false">IF(AND(B2328&gt;=Cal_Start_Week,B2328&lt;=Cal_End_Week),"YES","")</f>
        <v>YES</v>
      </c>
    </row>
    <row r="2329" customFormat="false" ht="15" hidden="false" customHeight="false" outlineLevel="0" collapsed="false">
      <c r="A2329" s="31" t="str">
        <f aca="false">Demand_History!C2329</f>
        <v>BED-003</v>
      </c>
      <c r="B2329" s="31" t="n">
        <f aca="false">Demand_History!A2329</f>
        <v>40</v>
      </c>
      <c r="C2329" s="32" t="n">
        <f aca="false">Demand_History!D2329</f>
        <v>52</v>
      </c>
      <c r="D2329" s="33" t="n">
        <f aca="false">IF(B2329&gt;=2,C2328,"")</f>
        <v>45</v>
      </c>
      <c r="E2329" s="33" t="n">
        <f aca="false">IF(B2329&gt;=5,AVERAGE(C2325:C2328),"")</f>
        <v>43</v>
      </c>
      <c r="F2329" s="33" t="n">
        <f aca="false">IF(B2329&gt;=9,AVERAGE(C2321:C2328),"")</f>
        <v>54.625</v>
      </c>
      <c r="G2329" s="33" t="n">
        <f aca="false">IF(B2329=1,"",IF(B2329=2,C2328,SES_Alpha*C2328+(1-SES_Alpha)*G2328))</f>
        <v>48.0607280091639</v>
      </c>
      <c r="H2329" s="33" t="n">
        <f aca="false">IF(D2329="","",D2329-C2329)</f>
        <v>-7</v>
      </c>
      <c r="I2329" s="33" t="n">
        <f aca="false">IF(E2329="","",E2329-C2329)</f>
        <v>-9</v>
      </c>
      <c r="J2329" s="33" t="n">
        <f aca="false">IF(F2329="","",F2329-C2329)</f>
        <v>2.625</v>
      </c>
      <c r="K2329" s="33" t="n">
        <f aca="false">IF(G2329="","",G2329-C2329)</f>
        <v>-3.93927199083614</v>
      </c>
      <c r="L2329" s="33" t="n">
        <f aca="false">IF(H2329="","",ABS(H2329))</f>
        <v>7</v>
      </c>
      <c r="M2329" s="33" t="n">
        <f aca="false">IF(I2329="","",ABS(I2329))</f>
        <v>9</v>
      </c>
      <c r="N2329" s="33" t="n">
        <f aca="false">IF(J2329="","",ABS(J2329))</f>
        <v>2.625</v>
      </c>
      <c r="O2329" s="33" t="n">
        <f aca="false">IF(K2329="","",ABS(K2329))</f>
        <v>3.93927199083614</v>
      </c>
      <c r="P2329" s="34" t="str">
        <f aca="false">IF(B2329&gt;=Eval_Start_Week,"YES","")</f>
        <v/>
      </c>
      <c r="Q2329" s="34" t="str">
        <f aca="false">IF(AND(B2329&gt;=Cal_Start_Week,B2329&lt;=Cal_End_Week),"YES","")</f>
        <v>YES</v>
      </c>
    </row>
    <row r="2330" customFormat="false" ht="15" hidden="false" customHeight="false" outlineLevel="0" collapsed="false">
      <c r="A2330" s="31" t="str">
        <f aca="false">Demand_History!C2330</f>
        <v>BED-003</v>
      </c>
      <c r="B2330" s="31" t="n">
        <f aca="false">Demand_History!A2330</f>
        <v>41</v>
      </c>
      <c r="C2330" s="32" t="n">
        <f aca="false">Demand_History!D2330</f>
        <v>45</v>
      </c>
      <c r="D2330" s="33" t="n">
        <f aca="false">IF(B2330&gt;=2,C2329,"")</f>
        <v>52</v>
      </c>
      <c r="E2330" s="33" t="n">
        <f aca="false">IF(B2330&gt;=5,AVERAGE(C2326:C2329),"")</f>
        <v>40.5</v>
      </c>
      <c r="F2330" s="33" t="n">
        <f aca="false">IF(B2330&gt;=9,AVERAGE(C2322:C2329),"")</f>
        <v>52.625</v>
      </c>
      <c r="G2330" s="33" t="n">
        <f aca="false">IF(B2330=1,"",IF(B2330=2,C2329,SES_Alpha*C2329+(1-SES_Alpha)*G2329))</f>
        <v>49.2425096064147</v>
      </c>
      <c r="H2330" s="33" t="n">
        <f aca="false">IF(D2330="","",D2330-C2330)</f>
        <v>7</v>
      </c>
      <c r="I2330" s="33" t="n">
        <f aca="false">IF(E2330="","",E2330-C2330)</f>
        <v>-4.5</v>
      </c>
      <c r="J2330" s="33" t="n">
        <f aca="false">IF(F2330="","",F2330-C2330)</f>
        <v>7.625</v>
      </c>
      <c r="K2330" s="33" t="n">
        <f aca="false">IF(G2330="","",G2330-C2330)</f>
        <v>4.2425096064147</v>
      </c>
      <c r="L2330" s="33" t="n">
        <f aca="false">IF(H2330="","",ABS(H2330))</f>
        <v>7</v>
      </c>
      <c r="M2330" s="33" t="n">
        <f aca="false">IF(I2330="","",ABS(I2330))</f>
        <v>4.5</v>
      </c>
      <c r="N2330" s="33" t="n">
        <f aca="false">IF(J2330="","",ABS(J2330))</f>
        <v>7.625</v>
      </c>
      <c r="O2330" s="33" t="n">
        <f aca="false">IF(K2330="","",ABS(K2330))</f>
        <v>4.2425096064147</v>
      </c>
      <c r="P2330" s="34" t="str">
        <f aca="false">IF(B2330&gt;=Eval_Start_Week,"YES","")</f>
        <v/>
      </c>
      <c r="Q2330" s="34" t="str">
        <f aca="false">IF(AND(B2330&gt;=Cal_Start_Week,B2330&lt;=Cal_End_Week),"YES","")</f>
        <v>YES</v>
      </c>
    </row>
    <row r="2331" customFormat="false" ht="15" hidden="false" customHeight="false" outlineLevel="0" collapsed="false">
      <c r="A2331" s="31" t="str">
        <f aca="false">Demand_History!C2331</f>
        <v>BED-003</v>
      </c>
      <c r="B2331" s="31" t="n">
        <f aca="false">Demand_History!A2331</f>
        <v>42</v>
      </c>
      <c r="C2331" s="32" t="n">
        <f aca="false">Demand_History!D2331</f>
        <v>24</v>
      </c>
      <c r="D2331" s="33" t="n">
        <f aca="false">IF(B2331&gt;=2,C2330,"")</f>
        <v>45</v>
      </c>
      <c r="E2331" s="33" t="n">
        <f aca="false">IF(B2331&gt;=5,AVERAGE(C2327:C2330),"")</f>
        <v>51.75</v>
      </c>
      <c r="F2331" s="33" t="n">
        <f aca="false">IF(B2331&gt;=9,AVERAGE(C2323:C2330),"")</f>
        <v>49.375</v>
      </c>
      <c r="G2331" s="33" t="n">
        <f aca="false">IF(B2331=1,"",IF(B2331=2,C2330,SES_Alpha*C2330+(1-SES_Alpha)*G2330))</f>
        <v>47.9697567244903</v>
      </c>
      <c r="H2331" s="33" t="n">
        <f aca="false">IF(D2331="","",D2331-C2331)</f>
        <v>21</v>
      </c>
      <c r="I2331" s="33" t="n">
        <f aca="false">IF(E2331="","",E2331-C2331)</f>
        <v>27.75</v>
      </c>
      <c r="J2331" s="33" t="n">
        <f aca="false">IF(F2331="","",F2331-C2331)</f>
        <v>25.375</v>
      </c>
      <c r="K2331" s="33" t="n">
        <f aca="false">IF(G2331="","",G2331-C2331)</f>
        <v>23.9697567244903</v>
      </c>
      <c r="L2331" s="33" t="n">
        <f aca="false">IF(H2331="","",ABS(H2331))</f>
        <v>21</v>
      </c>
      <c r="M2331" s="33" t="n">
        <f aca="false">IF(I2331="","",ABS(I2331))</f>
        <v>27.75</v>
      </c>
      <c r="N2331" s="33" t="n">
        <f aca="false">IF(J2331="","",ABS(J2331))</f>
        <v>25.375</v>
      </c>
      <c r="O2331" s="33" t="n">
        <f aca="false">IF(K2331="","",ABS(K2331))</f>
        <v>23.9697567244903</v>
      </c>
      <c r="P2331" s="34" t="str">
        <f aca="false">IF(B2331&gt;=Eval_Start_Week,"YES","")</f>
        <v/>
      </c>
      <c r="Q2331" s="34" t="str">
        <f aca="false">IF(AND(B2331&gt;=Cal_Start_Week,B2331&lt;=Cal_End_Week),"YES","")</f>
        <v>YES</v>
      </c>
    </row>
    <row r="2332" customFormat="false" ht="15" hidden="false" customHeight="false" outlineLevel="0" collapsed="false">
      <c r="A2332" s="31" t="str">
        <f aca="false">Demand_History!C2332</f>
        <v>BED-003</v>
      </c>
      <c r="B2332" s="31" t="n">
        <f aca="false">Demand_History!A2332</f>
        <v>43</v>
      </c>
      <c r="C2332" s="32" t="n">
        <f aca="false">Demand_History!D2332</f>
        <v>40</v>
      </c>
      <c r="D2332" s="33" t="n">
        <f aca="false">IF(B2332&gt;=2,C2331,"")</f>
        <v>24</v>
      </c>
      <c r="E2332" s="33" t="n">
        <f aca="false">IF(B2332&gt;=5,AVERAGE(C2328:C2331),"")</f>
        <v>41.5</v>
      </c>
      <c r="F2332" s="33" t="n">
        <f aca="false">IF(B2332&gt;=9,AVERAGE(C2324:C2331),"")</f>
        <v>44</v>
      </c>
      <c r="G2332" s="33" t="n">
        <f aca="false">IF(B2332=1,"",IF(B2332=2,C2331,SES_Alpha*C2331+(1-SES_Alpha)*G2331))</f>
        <v>40.7788297071432</v>
      </c>
      <c r="H2332" s="33" t="n">
        <f aca="false">IF(D2332="","",D2332-C2332)</f>
        <v>-16</v>
      </c>
      <c r="I2332" s="33" t="n">
        <f aca="false">IF(E2332="","",E2332-C2332)</f>
        <v>1.5</v>
      </c>
      <c r="J2332" s="33" t="n">
        <f aca="false">IF(F2332="","",F2332-C2332)</f>
        <v>4</v>
      </c>
      <c r="K2332" s="33" t="n">
        <f aca="false">IF(G2332="","",G2332-C2332)</f>
        <v>0.778829707143203</v>
      </c>
      <c r="L2332" s="33" t="n">
        <f aca="false">IF(H2332="","",ABS(H2332))</f>
        <v>16</v>
      </c>
      <c r="M2332" s="33" t="n">
        <f aca="false">IF(I2332="","",ABS(I2332))</f>
        <v>1.5</v>
      </c>
      <c r="N2332" s="33" t="n">
        <f aca="false">IF(J2332="","",ABS(J2332))</f>
        <v>4</v>
      </c>
      <c r="O2332" s="33" t="n">
        <f aca="false">IF(K2332="","",ABS(K2332))</f>
        <v>0.778829707143203</v>
      </c>
      <c r="P2332" s="34" t="str">
        <f aca="false">IF(B2332&gt;=Eval_Start_Week,"YES","")</f>
        <v/>
      </c>
      <c r="Q2332" s="34" t="str">
        <f aca="false">IF(AND(B2332&gt;=Cal_Start_Week,B2332&lt;=Cal_End_Week),"YES","")</f>
        <v>YES</v>
      </c>
    </row>
    <row r="2333" customFormat="false" ht="15" hidden="false" customHeight="false" outlineLevel="0" collapsed="false">
      <c r="A2333" s="31" t="str">
        <f aca="false">Demand_History!C2333</f>
        <v>BED-003</v>
      </c>
      <c r="B2333" s="31" t="n">
        <f aca="false">Demand_History!A2333</f>
        <v>44</v>
      </c>
      <c r="C2333" s="32" t="n">
        <f aca="false">Demand_History!D2333</f>
        <v>62</v>
      </c>
      <c r="D2333" s="33" t="n">
        <f aca="false">IF(B2333&gt;=2,C2332,"")</f>
        <v>40</v>
      </c>
      <c r="E2333" s="33" t="n">
        <f aca="false">IF(B2333&gt;=5,AVERAGE(C2329:C2332),"")</f>
        <v>40.25</v>
      </c>
      <c r="F2333" s="33" t="n">
        <f aca="false">IF(B2333&gt;=9,AVERAGE(C2325:C2332),"")</f>
        <v>41.625</v>
      </c>
      <c r="G2333" s="33" t="n">
        <f aca="false">IF(B2333=1,"",IF(B2333=2,C2332,SES_Alpha*C2332+(1-SES_Alpha)*G2332))</f>
        <v>40.5451807950002</v>
      </c>
      <c r="H2333" s="33" t="n">
        <f aca="false">IF(D2333="","",D2333-C2333)</f>
        <v>-22</v>
      </c>
      <c r="I2333" s="33" t="n">
        <f aca="false">IF(E2333="","",E2333-C2333)</f>
        <v>-21.75</v>
      </c>
      <c r="J2333" s="33" t="n">
        <f aca="false">IF(F2333="","",F2333-C2333)</f>
        <v>-20.375</v>
      </c>
      <c r="K2333" s="33" t="n">
        <f aca="false">IF(G2333="","",G2333-C2333)</f>
        <v>-21.4548192049998</v>
      </c>
      <c r="L2333" s="33" t="n">
        <f aca="false">IF(H2333="","",ABS(H2333))</f>
        <v>22</v>
      </c>
      <c r="M2333" s="33" t="n">
        <f aca="false">IF(I2333="","",ABS(I2333))</f>
        <v>21.75</v>
      </c>
      <c r="N2333" s="33" t="n">
        <f aca="false">IF(J2333="","",ABS(J2333))</f>
        <v>20.375</v>
      </c>
      <c r="O2333" s="33" t="n">
        <f aca="false">IF(K2333="","",ABS(K2333))</f>
        <v>21.4548192049998</v>
      </c>
      <c r="P2333" s="34" t="str">
        <f aca="false">IF(B2333&gt;=Eval_Start_Week,"YES","")</f>
        <v/>
      </c>
      <c r="Q2333" s="34" t="str">
        <f aca="false">IF(AND(B2333&gt;=Cal_Start_Week,B2333&lt;=Cal_End_Week),"YES","")</f>
        <v>YES</v>
      </c>
    </row>
    <row r="2334" customFormat="false" ht="15" hidden="false" customHeight="false" outlineLevel="0" collapsed="false">
      <c r="A2334" s="31" t="str">
        <f aca="false">Demand_History!C2334</f>
        <v>BED-003</v>
      </c>
      <c r="B2334" s="31" t="n">
        <f aca="false">Demand_History!A2334</f>
        <v>45</v>
      </c>
      <c r="C2334" s="32" t="n">
        <f aca="false">Demand_History!D2334</f>
        <v>76</v>
      </c>
      <c r="D2334" s="33" t="n">
        <f aca="false">IF(B2334&gt;=2,C2333,"")</f>
        <v>62</v>
      </c>
      <c r="E2334" s="33" t="n">
        <f aca="false">IF(B2334&gt;=5,AVERAGE(C2330:C2333),"")</f>
        <v>42.75</v>
      </c>
      <c r="F2334" s="33" t="n">
        <f aca="false">IF(B2334&gt;=9,AVERAGE(C2326:C2333),"")</f>
        <v>41.625</v>
      </c>
      <c r="G2334" s="33" t="n">
        <f aca="false">IF(B2334=1,"",IF(B2334=2,C2333,SES_Alpha*C2333+(1-SES_Alpha)*G2333))</f>
        <v>46.9816265565002</v>
      </c>
      <c r="H2334" s="33" t="n">
        <f aca="false">IF(D2334="","",D2334-C2334)</f>
        <v>-14</v>
      </c>
      <c r="I2334" s="33" t="n">
        <f aca="false">IF(E2334="","",E2334-C2334)</f>
        <v>-33.25</v>
      </c>
      <c r="J2334" s="33" t="n">
        <f aca="false">IF(F2334="","",F2334-C2334)</f>
        <v>-34.375</v>
      </c>
      <c r="K2334" s="33" t="n">
        <f aca="false">IF(G2334="","",G2334-C2334)</f>
        <v>-29.0183734434998</v>
      </c>
      <c r="L2334" s="33" t="n">
        <f aca="false">IF(H2334="","",ABS(H2334))</f>
        <v>14</v>
      </c>
      <c r="M2334" s="33" t="n">
        <f aca="false">IF(I2334="","",ABS(I2334))</f>
        <v>33.25</v>
      </c>
      <c r="N2334" s="33" t="n">
        <f aca="false">IF(J2334="","",ABS(J2334))</f>
        <v>34.375</v>
      </c>
      <c r="O2334" s="33" t="n">
        <f aca="false">IF(K2334="","",ABS(K2334))</f>
        <v>29.0183734434998</v>
      </c>
      <c r="P2334" s="34" t="str">
        <f aca="false">IF(B2334&gt;=Eval_Start_Week,"YES","")</f>
        <v/>
      </c>
      <c r="Q2334" s="34" t="str">
        <f aca="false">IF(AND(B2334&gt;=Cal_Start_Week,B2334&lt;=Cal_End_Week),"YES","")</f>
        <v>YES</v>
      </c>
    </row>
    <row r="2335" customFormat="false" ht="15" hidden="false" customHeight="false" outlineLevel="0" collapsed="false">
      <c r="A2335" s="31" t="str">
        <f aca="false">Demand_History!C2335</f>
        <v>BED-003</v>
      </c>
      <c r="B2335" s="31" t="n">
        <f aca="false">Demand_History!A2335</f>
        <v>46</v>
      </c>
      <c r="C2335" s="32" t="n">
        <f aca="false">Demand_History!D2335</f>
        <v>39</v>
      </c>
      <c r="D2335" s="33" t="n">
        <f aca="false">IF(B2335&gt;=2,C2334,"")</f>
        <v>76</v>
      </c>
      <c r="E2335" s="33" t="n">
        <f aca="false">IF(B2335&gt;=5,AVERAGE(C2331:C2334),"")</f>
        <v>50.5</v>
      </c>
      <c r="F2335" s="33" t="n">
        <f aca="false">IF(B2335&gt;=9,AVERAGE(C2327:C2334),"")</f>
        <v>51.125</v>
      </c>
      <c r="G2335" s="33" t="n">
        <f aca="false">IF(B2335=1,"",IF(B2335=2,C2334,SES_Alpha*C2334+(1-SES_Alpha)*G2334))</f>
        <v>55.6871385895501</v>
      </c>
      <c r="H2335" s="33" t="n">
        <f aca="false">IF(D2335="","",D2335-C2335)</f>
        <v>37</v>
      </c>
      <c r="I2335" s="33" t="n">
        <f aca="false">IF(E2335="","",E2335-C2335)</f>
        <v>11.5</v>
      </c>
      <c r="J2335" s="33" t="n">
        <f aca="false">IF(F2335="","",F2335-C2335)</f>
        <v>12.125</v>
      </c>
      <c r="K2335" s="33" t="n">
        <f aca="false">IF(G2335="","",G2335-C2335)</f>
        <v>16.6871385895501</v>
      </c>
      <c r="L2335" s="33" t="n">
        <f aca="false">IF(H2335="","",ABS(H2335))</f>
        <v>37</v>
      </c>
      <c r="M2335" s="33" t="n">
        <f aca="false">IF(I2335="","",ABS(I2335))</f>
        <v>11.5</v>
      </c>
      <c r="N2335" s="33" t="n">
        <f aca="false">IF(J2335="","",ABS(J2335))</f>
        <v>12.125</v>
      </c>
      <c r="O2335" s="33" t="n">
        <f aca="false">IF(K2335="","",ABS(K2335))</f>
        <v>16.6871385895501</v>
      </c>
      <c r="P2335" s="34" t="str">
        <f aca="false">IF(B2335&gt;=Eval_Start_Week,"YES","")</f>
        <v/>
      </c>
      <c r="Q2335" s="34" t="str">
        <f aca="false">IF(AND(B2335&gt;=Cal_Start_Week,B2335&lt;=Cal_End_Week),"YES","")</f>
        <v>YES</v>
      </c>
    </row>
    <row r="2336" customFormat="false" ht="15" hidden="false" customHeight="false" outlineLevel="0" collapsed="false">
      <c r="A2336" s="31" t="str">
        <f aca="false">Demand_History!C2336</f>
        <v>BED-003</v>
      </c>
      <c r="B2336" s="31" t="n">
        <f aca="false">Demand_History!A2336</f>
        <v>47</v>
      </c>
      <c r="C2336" s="32" t="n">
        <f aca="false">Demand_History!D2336</f>
        <v>33</v>
      </c>
      <c r="D2336" s="33" t="n">
        <f aca="false">IF(B2336&gt;=2,C2335,"")</f>
        <v>39</v>
      </c>
      <c r="E2336" s="33" t="n">
        <f aca="false">IF(B2336&gt;=5,AVERAGE(C2332:C2335),"")</f>
        <v>54.25</v>
      </c>
      <c r="F2336" s="33" t="n">
        <f aca="false">IF(B2336&gt;=9,AVERAGE(C2328:C2335),"")</f>
        <v>47.875</v>
      </c>
      <c r="G2336" s="33" t="n">
        <f aca="false">IF(B2336=1,"",IF(B2336=2,C2335,SES_Alpha*C2335+(1-SES_Alpha)*G2335))</f>
        <v>50.6809970126851</v>
      </c>
      <c r="H2336" s="33" t="n">
        <f aca="false">IF(D2336="","",D2336-C2336)</f>
        <v>6</v>
      </c>
      <c r="I2336" s="33" t="n">
        <f aca="false">IF(E2336="","",E2336-C2336)</f>
        <v>21.25</v>
      </c>
      <c r="J2336" s="33" t="n">
        <f aca="false">IF(F2336="","",F2336-C2336)</f>
        <v>14.875</v>
      </c>
      <c r="K2336" s="33" t="n">
        <f aca="false">IF(G2336="","",G2336-C2336)</f>
        <v>17.6809970126851</v>
      </c>
      <c r="L2336" s="33" t="n">
        <f aca="false">IF(H2336="","",ABS(H2336))</f>
        <v>6</v>
      </c>
      <c r="M2336" s="33" t="n">
        <f aca="false">IF(I2336="","",ABS(I2336))</f>
        <v>21.25</v>
      </c>
      <c r="N2336" s="33" t="n">
        <f aca="false">IF(J2336="","",ABS(J2336))</f>
        <v>14.875</v>
      </c>
      <c r="O2336" s="33" t="n">
        <f aca="false">IF(K2336="","",ABS(K2336))</f>
        <v>17.6809970126851</v>
      </c>
      <c r="P2336" s="34" t="str">
        <f aca="false">IF(B2336&gt;=Eval_Start_Week,"YES","")</f>
        <v/>
      </c>
      <c r="Q2336" s="34" t="str">
        <f aca="false">IF(AND(B2336&gt;=Cal_Start_Week,B2336&lt;=Cal_End_Week),"YES","")</f>
        <v>YES</v>
      </c>
    </row>
    <row r="2337" customFormat="false" ht="15" hidden="false" customHeight="false" outlineLevel="0" collapsed="false">
      <c r="A2337" s="31" t="str">
        <f aca="false">Demand_History!C2337</f>
        <v>BED-003</v>
      </c>
      <c r="B2337" s="31" t="n">
        <f aca="false">Demand_History!A2337</f>
        <v>48</v>
      </c>
      <c r="C2337" s="32" t="n">
        <f aca="false">Demand_History!D2337</f>
        <v>77</v>
      </c>
      <c r="D2337" s="33" t="n">
        <f aca="false">IF(B2337&gt;=2,C2336,"")</f>
        <v>33</v>
      </c>
      <c r="E2337" s="33" t="n">
        <f aca="false">IF(B2337&gt;=5,AVERAGE(C2333:C2336),"")</f>
        <v>52.5</v>
      </c>
      <c r="F2337" s="33" t="n">
        <f aca="false">IF(B2337&gt;=9,AVERAGE(C2329:C2336),"")</f>
        <v>46.375</v>
      </c>
      <c r="G2337" s="33" t="n">
        <f aca="false">IF(B2337=1,"",IF(B2337=2,C2336,SES_Alpha*C2336+(1-SES_Alpha)*G2336))</f>
        <v>45.3766979088796</v>
      </c>
      <c r="H2337" s="33" t="n">
        <f aca="false">IF(D2337="","",D2337-C2337)</f>
        <v>-44</v>
      </c>
      <c r="I2337" s="33" t="n">
        <f aca="false">IF(E2337="","",E2337-C2337)</f>
        <v>-24.5</v>
      </c>
      <c r="J2337" s="33" t="n">
        <f aca="false">IF(F2337="","",F2337-C2337)</f>
        <v>-30.625</v>
      </c>
      <c r="K2337" s="33" t="n">
        <f aca="false">IF(G2337="","",G2337-C2337)</f>
        <v>-31.6233020911204</v>
      </c>
      <c r="L2337" s="33" t="n">
        <f aca="false">IF(H2337="","",ABS(H2337))</f>
        <v>44</v>
      </c>
      <c r="M2337" s="33" t="n">
        <f aca="false">IF(I2337="","",ABS(I2337))</f>
        <v>24.5</v>
      </c>
      <c r="N2337" s="33" t="n">
        <f aca="false">IF(J2337="","",ABS(J2337))</f>
        <v>30.625</v>
      </c>
      <c r="O2337" s="33" t="n">
        <f aca="false">IF(K2337="","",ABS(K2337))</f>
        <v>31.6233020911204</v>
      </c>
      <c r="P2337" s="34" t="str">
        <f aca="false">IF(B2337&gt;=Eval_Start_Week,"YES","")</f>
        <v/>
      </c>
      <c r="Q2337" s="34" t="str">
        <f aca="false">IF(AND(B2337&gt;=Cal_Start_Week,B2337&lt;=Cal_End_Week),"YES","")</f>
        <v>YES</v>
      </c>
    </row>
    <row r="2338" customFormat="false" ht="15" hidden="false" customHeight="false" outlineLevel="0" collapsed="false">
      <c r="A2338" s="31" t="str">
        <f aca="false">Demand_History!C2338</f>
        <v>BED-003</v>
      </c>
      <c r="B2338" s="31" t="n">
        <f aca="false">Demand_History!A2338</f>
        <v>49</v>
      </c>
      <c r="C2338" s="32" t="n">
        <f aca="false">Demand_History!D2338</f>
        <v>34</v>
      </c>
      <c r="D2338" s="33" t="n">
        <f aca="false">IF(B2338&gt;=2,C2337,"")</f>
        <v>77</v>
      </c>
      <c r="E2338" s="33" t="n">
        <f aca="false">IF(B2338&gt;=5,AVERAGE(C2334:C2337),"")</f>
        <v>56.25</v>
      </c>
      <c r="F2338" s="33" t="n">
        <f aca="false">IF(B2338&gt;=9,AVERAGE(C2330:C2337),"")</f>
        <v>49.5</v>
      </c>
      <c r="G2338" s="33" t="n">
        <f aca="false">IF(B2338=1,"",IF(B2338=2,C2337,SES_Alpha*C2337+(1-SES_Alpha)*G2337))</f>
        <v>54.8636885362157</v>
      </c>
      <c r="H2338" s="33" t="n">
        <f aca="false">IF(D2338="","",D2338-C2338)</f>
        <v>43</v>
      </c>
      <c r="I2338" s="33" t="n">
        <f aca="false">IF(E2338="","",E2338-C2338)</f>
        <v>22.25</v>
      </c>
      <c r="J2338" s="33" t="n">
        <f aca="false">IF(F2338="","",F2338-C2338)</f>
        <v>15.5</v>
      </c>
      <c r="K2338" s="33" t="n">
        <f aca="false">IF(G2338="","",G2338-C2338)</f>
        <v>20.8636885362157</v>
      </c>
      <c r="L2338" s="33" t="n">
        <f aca="false">IF(H2338="","",ABS(H2338))</f>
        <v>43</v>
      </c>
      <c r="M2338" s="33" t="n">
        <f aca="false">IF(I2338="","",ABS(I2338))</f>
        <v>22.25</v>
      </c>
      <c r="N2338" s="33" t="n">
        <f aca="false">IF(J2338="","",ABS(J2338))</f>
        <v>15.5</v>
      </c>
      <c r="O2338" s="33" t="n">
        <f aca="false">IF(K2338="","",ABS(K2338))</f>
        <v>20.8636885362157</v>
      </c>
      <c r="P2338" s="34" t="str">
        <f aca="false">IF(B2338&gt;=Eval_Start_Week,"YES","")</f>
        <v/>
      </c>
      <c r="Q2338" s="34" t="str">
        <f aca="false">IF(AND(B2338&gt;=Cal_Start_Week,B2338&lt;=Cal_End_Week),"YES","")</f>
        <v>YES</v>
      </c>
    </row>
    <row r="2339" customFormat="false" ht="15" hidden="false" customHeight="false" outlineLevel="0" collapsed="false">
      <c r="A2339" s="31" t="str">
        <f aca="false">Demand_History!C2339</f>
        <v>BED-003</v>
      </c>
      <c r="B2339" s="31" t="n">
        <f aca="false">Demand_History!A2339</f>
        <v>50</v>
      </c>
      <c r="C2339" s="32" t="n">
        <f aca="false">Demand_History!D2339</f>
        <v>88</v>
      </c>
      <c r="D2339" s="33" t="n">
        <f aca="false">IF(B2339&gt;=2,C2338,"")</f>
        <v>34</v>
      </c>
      <c r="E2339" s="33" t="n">
        <f aca="false">IF(B2339&gt;=5,AVERAGE(C2335:C2338),"")</f>
        <v>45.75</v>
      </c>
      <c r="F2339" s="33" t="n">
        <f aca="false">IF(B2339&gt;=9,AVERAGE(C2331:C2338),"")</f>
        <v>48.125</v>
      </c>
      <c r="G2339" s="33" t="n">
        <f aca="false">IF(B2339=1,"",IF(B2339=2,C2338,SES_Alpha*C2338+(1-SES_Alpha)*G2338))</f>
        <v>48.604581975351</v>
      </c>
      <c r="H2339" s="33" t="n">
        <f aca="false">IF(D2339="","",D2339-C2339)</f>
        <v>-54</v>
      </c>
      <c r="I2339" s="33" t="n">
        <f aca="false">IF(E2339="","",E2339-C2339)</f>
        <v>-42.25</v>
      </c>
      <c r="J2339" s="33" t="n">
        <f aca="false">IF(F2339="","",F2339-C2339)</f>
        <v>-39.875</v>
      </c>
      <c r="K2339" s="33" t="n">
        <f aca="false">IF(G2339="","",G2339-C2339)</f>
        <v>-39.395418024649</v>
      </c>
      <c r="L2339" s="33" t="n">
        <f aca="false">IF(H2339="","",ABS(H2339))</f>
        <v>54</v>
      </c>
      <c r="M2339" s="33" t="n">
        <f aca="false">IF(I2339="","",ABS(I2339))</f>
        <v>42.25</v>
      </c>
      <c r="N2339" s="33" t="n">
        <f aca="false">IF(J2339="","",ABS(J2339))</f>
        <v>39.875</v>
      </c>
      <c r="O2339" s="33" t="n">
        <f aca="false">IF(K2339="","",ABS(K2339))</f>
        <v>39.395418024649</v>
      </c>
      <c r="P2339" s="34" t="str">
        <f aca="false">IF(B2339&gt;=Eval_Start_Week,"YES","")</f>
        <v/>
      </c>
      <c r="Q2339" s="34" t="str">
        <f aca="false">IF(AND(B2339&gt;=Cal_Start_Week,B2339&lt;=Cal_End_Week),"YES","")</f>
        <v>YES</v>
      </c>
    </row>
    <row r="2340" customFormat="false" ht="15" hidden="false" customHeight="false" outlineLevel="0" collapsed="false">
      <c r="A2340" s="31" t="str">
        <f aca="false">Demand_History!C2340</f>
        <v>BED-003</v>
      </c>
      <c r="B2340" s="31" t="n">
        <f aca="false">Demand_History!A2340</f>
        <v>51</v>
      </c>
      <c r="C2340" s="32" t="n">
        <f aca="false">Demand_History!D2340</f>
        <v>51</v>
      </c>
      <c r="D2340" s="33" t="n">
        <f aca="false">IF(B2340&gt;=2,C2339,"")</f>
        <v>88</v>
      </c>
      <c r="E2340" s="33" t="n">
        <f aca="false">IF(B2340&gt;=5,AVERAGE(C2336:C2339),"")</f>
        <v>58</v>
      </c>
      <c r="F2340" s="33" t="n">
        <f aca="false">IF(B2340&gt;=9,AVERAGE(C2332:C2339),"")</f>
        <v>56.125</v>
      </c>
      <c r="G2340" s="33" t="n">
        <f aca="false">IF(B2340=1,"",IF(B2340=2,C2339,SES_Alpha*C2339+(1-SES_Alpha)*G2339))</f>
        <v>60.4232073827457</v>
      </c>
      <c r="H2340" s="33" t="n">
        <f aca="false">IF(D2340="","",D2340-C2340)</f>
        <v>37</v>
      </c>
      <c r="I2340" s="33" t="n">
        <f aca="false">IF(E2340="","",E2340-C2340)</f>
        <v>7</v>
      </c>
      <c r="J2340" s="33" t="n">
        <f aca="false">IF(F2340="","",F2340-C2340)</f>
        <v>5.125</v>
      </c>
      <c r="K2340" s="33" t="n">
        <f aca="false">IF(G2340="","",G2340-C2340)</f>
        <v>9.42320738274568</v>
      </c>
      <c r="L2340" s="33" t="n">
        <f aca="false">IF(H2340="","",ABS(H2340))</f>
        <v>37</v>
      </c>
      <c r="M2340" s="33" t="n">
        <f aca="false">IF(I2340="","",ABS(I2340))</f>
        <v>7</v>
      </c>
      <c r="N2340" s="33" t="n">
        <f aca="false">IF(J2340="","",ABS(J2340))</f>
        <v>5.125</v>
      </c>
      <c r="O2340" s="33" t="n">
        <f aca="false">IF(K2340="","",ABS(K2340))</f>
        <v>9.42320738274568</v>
      </c>
      <c r="P2340" s="34" t="str">
        <f aca="false">IF(B2340&gt;=Eval_Start_Week,"YES","")</f>
        <v/>
      </c>
      <c r="Q2340" s="34" t="str">
        <f aca="false">IF(AND(B2340&gt;=Cal_Start_Week,B2340&lt;=Cal_End_Week),"YES","")</f>
        <v>YES</v>
      </c>
    </row>
    <row r="2341" customFormat="false" ht="15" hidden="false" customHeight="false" outlineLevel="0" collapsed="false">
      <c r="A2341" s="31" t="str">
        <f aca="false">Demand_History!C2341</f>
        <v>BED-003</v>
      </c>
      <c r="B2341" s="31" t="n">
        <f aca="false">Demand_History!A2341</f>
        <v>52</v>
      </c>
      <c r="C2341" s="32" t="n">
        <f aca="false">Demand_History!D2341</f>
        <v>34</v>
      </c>
      <c r="D2341" s="33" t="n">
        <f aca="false">IF(B2341&gt;=2,C2340,"")</f>
        <v>51</v>
      </c>
      <c r="E2341" s="33" t="n">
        <f aca="false">IF(B2341&gt;=5,AVERAGE(C2337:C2340),"")</f>
        <v>62.5</v>
      </c>
      <c r="F2341" s="33" t="n">
        <f aca="false">IF(B2341&gt;=9,AVERAGE(C2333:C2340),"")</f>
        <v>57.5</v>
      </c>
      <c r="G2341" s="33" t="n">
        <f aca="false">IF(B2341=1,"",IF(B2341=2,C2340,SES_Alpha*C2340+(1-SES_Alpha)*G2340))</f>
        <v>57.596245167922</v>
      </c>
      <c r="H2341" s="33" t="n">
        <f aca="false">IF(D2341="","",D2341-C2341)</f>
        <v>17</v>
      </c>
      <c r="I2341" s="33" t="n">
        <f aca="false">IF(E2341="","",E2341-C2341)</f>
        <v>28.5</v>
      </c>
      <c r="J2341" s="33" t="n">
        <f aca="false">IF(F2341="","",F2341-C2341)</f>
        <v>23.5</v>
      </c>
      <c r="K2341" s="33" t="n">
        <f aca="false">IF(G2341="","",G2341-C2341)</f>
        <v>23.596245167922</v>
      </c>
      <c r="L2341" s="33" t="n">
        <f aca="false">IF(H2341="","",ABS(H2341))</f>
        <v>17</v>
      </c>
      <c r="M2341" s="33" t="n">
        <f aca="false">IF(I2341="","",ABS(I2341))</f>
        <v>28.5</v>
      </c>
      <c r="N2341" s="33" t="n">
        <f aca="false">IF(J2341="","",ABS(J2341))</f>
        <v>23.5</v>
      </c>
      <c r="O2341" s="33" t="n">
        <f aca="false">IF(K2341="","",ABS(K2341))</f>
        <v>23.596245167922</v>
      </c>
      <c r="P2341" s="34" t="str">
        <f aca="false">IF(B2341&gt;=Eval_Start_Week,"YES","")</f>
        <v/>
      </c>
      <c r="Q2341" s="34" t="str">
        <f aca="false">IF(AND(B2341&gt;=Cal_Start_Week,B2341&lt;=Cal_End_Week),"YES","")</f>
        <v>YES</v>
      </c>
    </row>
    <row r="2342" customFormat="false" ht="15" hidden="false" customHeight="false" outlineLevel="0" collapsed="false">
      <c r="A2342" s="31" t="str">
        <f aca="false">Demand_History!C2342</f>
        <v>BED-003</v>
      </c>
      <c r="B2342" s="31" t="n">
        <f aca="false">Demand_History!A2342</f>
        <v>53</v>
      </c>
      <c r="C2342" s="32" t="n">
        <f aca="false">Demand_History!D2342</f>
        <v>68</v>
      </c>
      <c r="D2342" s="33" t="n">
        <f aca="false">IF(B2342&gt;=2,C2341,"")</f>
        <v>34</v>
      </c>
      <c r="E2342" s="33" t="n">
        <f aca="false">IF(B2342&gt;=5,AVERAGE(C2338:C2341),"")</f>
        <v>51.75</v>
      </c>
      <c r="F2342" s="33" t="n">
        <f aca="false">IF(B2342&gt;=9,AVERAGE(C2334:C2341),"")</f>
        <v>54</v>
      </c>
      <c r="G2342" s="33" t="n">
        <f aca="false">IF(B2342=1,"",IF(B2342=2,C2341,SES_Alpha*C2341+(1-SES_Alpha)*G2341))</f>
        <v>50.5173716175454</v>
      </c>
      <c r="H2342" s="33" t="n">
        <f aca="false">IF(D2342="","",D2342-C2342)</f>
        <v>-34</v>
      </c>
      <c r="I2342" s="33" t="n">
        <f aca="false">IF(E2342="","",E2342-C2342)</f>
        <v>-16.25</v>
      </c>
      <c r="J2342" s="33" t="n">
        <f aca="false">IF(F2342="","",F2342-C2342)</f>
        <v>-14</v>
      </c>
      <c r="K2342" s="33" t="n">
        <f aca="false">IF(G2342="","",G2342-C2342)</f>
        <v>-17.4826283824546</v>
      </c>
      <c r="L2342" s="33" t="n">
        <f aca="false">IF(H2342="","",ABS(H2342))</f>
        <v>34</v>
      </c>
      <c r="M2342" s="33" t="n">
        <f aca="false">IF(I2342="","",ABS(I2342))</f>
        <v>16.25</v>
      </c>
      <c r="N2342" s="33" t="n">
        <f aca="false">IF(J2342="","",ABS(J2342))</f>
        <v>14</v>
      </c>
      <c r="O2342" s="33" t="n">
        <f aca="false">IF(K2342="","",ABS(K2342))</f>
        <v>17.4826283824546</v>
      </c>
      <c r="P2342" s="34" t="str">
        <f aca="false">IF(B2342&gt;=Eval_Start_Week,"YES","")</f>
        <v>YES</v>
      </c>
      <c r="Q2342" s="34" t="str">
        <f aca="false">IF(AND(B2342&gt;=Cal_Start_Week,B2342&lt;=Cal_End_Week),"YES","")</f>
        <v>YES</v>
      </c>
    </row>
    <row r="2343" customFormat="false" ht="15" hidden="false" customHeight="false" outlineLevel="0" collapsed="false">
      <c r="A2343" s="31" t="str">
        <f aca="false">Demand_History!C2343</f>
        <v>BED-003</v>
      </c>
      <c r="B2343" s="31" t="n">
        <f aca="false">Demand_History!A2343</f>
        <v>54</v>
      </c>
      <c r="C2343" s="32" t="n">
        <f aca="false">Demand_History!D2343</f>
        <v>81</v>
      </c>
      <c r="D2343" s="33" t="n">
        <f aca="false">IF(B2343&gt;=2,C2342,"")</f>
        <v>68</v>
      </c>
      <c r="E2343" s="33" t="n">
        <f aca="false">IF(B2343&gt;=5,AVERAGE(C2339:C2342),"")</f>
        <v>60.25</v>
      </c>
      <c r="F2343" s="33" t="n">
        <f aca="false">IF(B2343&gt;=9,AVERAGE(C2335:C2342),"")</f>
        <v>53</v>
      </c>
      <c r="G2343" s="33" t="n">
        <f aca="false">IF(B2343=1,"",IF(B2343=2,C2342,SES_Alpha*C2342+(1-SES_Alpha)*G2342))</f>
        <v>55.7621601322818</v>
      </c>
      <c r="H2343" s="33" t="n">
        <f aca="false">IF(D2343="","",D2343-C2343)</f>
        <v>-13</v>
      </c>
      <c r="I2343" s="33" t="n">
        <f aca="false">IF(E2343="","",E2343-C2343)</f>
        <v>-20.75</v>
      </c>
      <c r="J2343" s="33" t="n">
        <f aca="false">IF(F2343="","",F2343-C2343)</f>
        <v>-28</v>
      </c>
      <c r="K2343" s="33" t="n">
        <f aca="false">IF(G2343="","",G2343-C2343)</f>
        <v>-25.2378398677182</v>
      </c>
      <c r="L2343" s="33" t="n">
        <f aca="false">IF(H2343="","",ABS(H2343))</f>
        <v>13</v>
      </c>
      <c r="M2343" s="33" t="n">
        <f aca="false">IF(I2343="","",ABS(I2343))</f>
        <v>20.75</v>
      </c>
      <c r="N2343" s="33" t="n">
        <f aca="false">IF(J2343="","",ABS(J2343))</f>
        <v>28</v>
      </c>
      <c r="O2343" s="33" t="n">
        <f aca="false">IF(K2343="","",ABS(K2343))</f>
        <v>25.2378398677182</v>
      </c>
      <c r="P2343" s="34" t="str">
        <f aca="false">IF(B2343&gt;=Eval_Start_Week,"YES","")</f>
        <v>YES</v>
      </c>
      <c r="Q2343" s="34" t="str">
        <f aca="false">IF(AND(B2343&gt;=Cal_Start_Week,B2343&lt;=Cal_End_Week),"YES","")</f>
        <v>YES</v>
      </c>
    </row>
    <row r="2344" customFormat="false" ht="15" hidden="false" customHeight="false" outlineLevel="0" collapsed="false">
      <c r="A2344" s="31" t="str">
        <f aca="false">Demand_History!C2344</f>
        <v>BED-003</v>
      </c>
      <c r="B2344" s="31" t="n">
        <f aca="false">Demand_History!A2344</f>
        <v>55</v>
      </c>
      <c r="C2344" s="32" t="n">
        <f aca="false">Demand_History!D2344</f>
        <v>24</v>
      </c>
      <c r="D2344" s="33" t="n">
        <f aca="false">IF(B2344&gt;=2,C2343,"")</f>
        <v>81</v>
      </c>
      <c r="E2344" s="33" t="n">
        <f aca="false">IF(B2344&gt;=5,AVERAGE(C2340:C2343),"")</f>
        <v>58.5</v>
      </c>
      <c r="F2344" s="33" t="n">
        <f aca="false">IF(B2344&gt;=9,AVERAGE(C2336:C2343),"")</f>
        <v>58.25</v>
      </c>
      <c r="G2344" s="33" t="n">
        <f aca="false">IF(B2344=1,"",IF(B2344=2,C2343,SES_Alpha*C2343+(1-SES_Alpha)*G2343))</f>
        <v>63.3335120925972</v>
      </c>
      <c r="H2344" s="33" t="n">
        <f aca="false">IF(D2344="","",D2344-C2344)</f>
        <v>57</v>
      </c>
      <c r="I2344" s="33" t="n">
        <f aca="false">IF(E2344="","",E2344-C2344)</f>
        <v>34.5</v>
      </c>
      <c r="J2344" s="33" t="n">
        <f aca="false">IF(F2344="","",F2344-C2344)</f>
        <v>34.25</v>
      </c>
      <c r="K2344" s="33" t="n">
        <f aca="false">IF(G2344="","",G2344-C2344)</f>
        <v>39.3335120925972</v>
      </c>
      <c r="L2344" s="33" t="n">
        <f aca="false">IF(H2344="","",ABS(H2344))</f>
        <v>57</v>
      </c>
      <c r="M2344" s="33" t="n">
        <f aca="false">IF(I2344="","",ABS(I2344))</f>
        <v>34.5</v>
      </c>
      <c r="N2344" s="33" t="n">
        <f aca="false">IF(J2344="","",ABS(J2344))</f>
        <v>34.25</v>
      </c>
      <c r="O2344" s="33" t="n">
        <f aca="false">IF(K2344="","",ABS(K2344))</f>
        <v>39.3335120925972</v>
      </c>
      <c r="P2344" s="34" t="str">
        <f aca="false">IF(B2344&gt;=Eval_Start_Week,"YES","")</f>
        <v>YES</v>
      </c>
      <c r="Q2344" s="34" t="str">
        <f aca="false">IF(AND(B2344&gt;=Cal_Start_Week,B2344&lt;=Cal_End_Week),"YES","")</f>
        <v>YES</v>
      </c>
    </row>
    <row r="2345" customFormat="false" ht="15" hidden="false" customHeight="false" outlineLevel="0" collapsed="false">
      <c r="A2345" s="31" t="str">
        <f aca="false">Demand_History!C2345</f>
        <v>BED-003</v>
      </c>
      <c r="B2345" s="31" t="n">
        <f aca="false">Demand_History!A2345</f>
        <v>56</v>
      </c>
      <c r="C2345" s="32" t="n">
        <f aca="false">Demand_History!D2345</f>
        <v>79</v>
      </c>
      <c r="D2345" s="33" t="n">
        <f aca="false">IF(B2345&gt;=2,C2344,"")</f>
        <v>24</v>
      </c>
      <c r="E2345" s="33" t="n">
        <f aca="false">IF(B2345&gt;=5,AVERAGE(C2341:C2344),"")</f>
        <v>51.75</v>
      </c>
      <c r="F2345" s="33" t="n">
        <f aca="false">IF(B2345&gt;=9,AVERAGE(C2337:C2344),"")</f>
        <v>57.125</v>
      </c>
      <c r="G2345" s="33" t="n">
        <f aca="false">IF(B2345=1,"",IF(B2345=2,C2344,SES_Alpha*C2344+(1-SES_Alpha)*G2344))</f>
        <v>51.5334584648181</v>
      </c>
      <c r="H2345" s="33" t="n">
        <f aca="false">IF(D2345="","",D2345-C2345)</f>
        <v>-55</v>
      </c>
      <c r="I2345" s="33" t="n">
        <f aca="false">IF(E2345="","",E2345-C2345)</f>
        <v>-27.25</v>
      </c>
      <c r="J2345" s="33" t="n">
        <f aca="false">IF(F2345="","",F2345-C2345)</f>
        <v>-21.875</v>
      </c>
      <c r="K2345" s="33" t="n">
        <f aca="false">IF(G2345="","",G2345-C2345)</f>
        <v>-27.4665415351819</v>
      </c>
      <c r="L2345" s="33" t="n">
        <f aca="false">IF(H2345="","",ABS(H2345))</f>
        <v>55</v>
      </c>
      <c r="M2345" s="33" t="n">
        <f aca="false">IF(I2345="","",ABS(I2345))</f>
        <v>27.25</v>
      </c>
      <c r="N2345" s="33" t="n">
        <f aca="false">IF(J2345="","",ABS(J2345))</f>
        <v>21.875</v>
      </c>
      <c r="O2345" s="33" t="n">
        <f aca="false">IF(K2345="","",ABS(K2345))</f>
        <v>27.4665415351819</v>
      </c>
      <c r="P2345" s="34" t="str">
        <f aca="false">IF(B2345&gt;=Eval_Start_Week,"YES","")</f>
        <v>YES</v>
      </c>
      <c r="Q2345" s="34" t="str">
        <f aca="false">IF(AND(B2345&gt;=Cal_Start_Week,B2345&lt;=Cal_End_Week),"YES","")</f>
        <v>YES</v>
      </c>
    </row>
    <row r="2346" customFormat="false" ht="15" hidden="false" customHeight="false" outlineLevel="0" collapsed="false">
      <c r="A2346" s="31" t="str">
        <f aca="false">Demand_History!C2346</f>
        <v>BED-003</v>
      </c>
      <c r="B2346" s="31" t="n">
        <f aca="false">Demand_History!A2346</f>
        <v>57</v>
      </c>
      <c r="C2346" s="32" t="n">
        <f aca="false">Demand_History!D2346</f>
        <v>45</v>
      </c>
      <c r="D2346" s="33" t="n">
        <f aca="false">IF(B2346&gt;=2,C2345,"")</f>
        <v>79</v>
      </c>
      <c r="E2346" s="33" t="n">
        <f aca="false">IF(B2346&gt;=5,AVERAGE(C2342:C2345),"")</f>
        <v>63</v>
      </c>
      <c r="F2346" s="33" t="n">
        <f aca="false">IF(B2346&gt;=9,AVERAGE(C2338:C2345),"")</f>
        <v>57.375</v>
      </c>
      <c r="G2346" s="33" t="n">
        <f aca="false">IF(B2346=1,"",IF(B2346=2,C2345,SES_Alpha*C2345+(1-SES_Alpha)*G2345))</f>
        <v>59.7734209253726</v>
      </c>
      <c r="H2346" s="33" t="n">
        <f aca="false">IF(D2346="","",D2346-C2346)</f>
        <v>34</v>
      </c>
      <c r="I2346" s="33" t="n">
        <f aca="false">IF(E2346="","",E2346-C2346)</f>
        <v>18</v>
      </c>
      <c r="J2346" s="33" t="n">
        <f aca="false">IF(F2346="","",F2346-C2346)</f>
        <v>12.375</v>
      </c>
      <c r="K2346" s="33" t="n">
        <f aca="false">IF(G2346="","",G2346-C2346)</f>
        <v>14.7734209253726</v>
      </c>
      <c r="L2346" s="33" t="n">
        <f aca="false">IF(H2346="","",ABS(H2346))</f>
        <v>34</v>
      </c>
      <c r="M2346" s="33" t="n">
        <f aca="false">IF(I2346="","",ABS(I2346))</f>
        <v>18</v>
      </c>
      <c r="N2346" s="33" t="n">
        <f aca="false">IF(J2346="","",ABS(J2346))</f>
        <v>12.375</v>
      </c>
      <c r="O2346" s="33" t="n">
        <f aca="false">IF(K2346="","",ABS(K2346))</f>
        <v>14.7734209253726</v>
      </c>
      <c r="P2346" s="34" t="str">
        <f aca="false">IF(B2346&gt;=Eval_Start_Week,"YES","")</f>
        <v>YES</v>
      </c>
      <c r="Q2346" s="34" t="str">
        <f aca="false">IF(AND(B2346&gt;=Cal_Start_Week,B2346&lt;=Cal_End_Week),"YES","")</f>
        <v>YES</v>
      </c>
    </row>
    <row r="2347" customFormat="false" ht="15" hidden="false" customHeight="false" outlineLevel="0" collapsed="false">
      <c r="A2347" s="31" t="str">
        <f aca="false">Demand_History!C2347</f>
        <v>BED-003</v>
      </c>
      <c r="B2347" s="31" t="n">
        <f aca="false">Demand_History!A2347</f>
        <v>58</v>
      </c>
      <c r="C2347" s="32" t="n">
        <f aca="false">Demand_History!D2347</f>
        <v>77</v>
      </c>
      <c r="D2347" s="33" t="n">
        <f aca="false">IF(B2347&gt;=2,C2346,"")</f>
        <v>45</v>
      </c>
      <c r="E2347" s="33" t="n">
        <f aca="false">IF(B2347&gt;=5,AVERAGE(C2343:C2346),"")</f>
        <v>57.25</v>
      </c>
      <c r="F2347" s="33" t="n">
        <f aca="false">IF(B2347&gt;=9,AVERAGE(C2339:C2346),"")</f>
        <v>58.75</v>
      </c>
      <c r="G2347" s="33" t="n">
        <f aca="false">IF(B2347=1,"",IF(B2347=2,C2346,SES_Alpha*C2346+(1-SES_Alpha)*G2346))</f>
        <v>55.3413946477608</v>
      </c>
      <c r="H2347" s="33" t="n">
        <f aca="false">IF(D2347="","",D2347-C2347)</f>
        <v>-32</v>
      </c>
      <c r="I2347" s="33" t="n">
        <f aca="false">IF(E2347="","",E2347-C2347)</f>
        <v>-19.75</v>
      </c>
      <c r="J2347" s="33" t="n">
        <f aca="false">IF(F2347="","",F2347-C2347)</f>
        <v>-18.25</v>
      </c>
      <c r="K2347" s="33" t="n">
        <f aca="false">IF(G2347="","",G2347-C2347)</f>
        <v>-21.6586053522392</v>
      </c>
      <c r="L2347" s="33" t="n">
        <f aca="false">IF(H2347="","",ABS(H2347))</f>
        <v>32</v>
      </c>
      <c r="M2347" s="33" t="n">
        <f aca="false">IF(I2347="","",ABS(I2347))</f>
        <v>19.75</v>
      </c>
      <c r="N2347" s="33" t="n">
        <f aca="false">IF(J2347="","",ABS(J2347))</f>
        <v>18.25</v>
      </c>
      <c r="O2347" s="33" t="n">
        <f aca="false">IF(K2347="","",ABS(K2347))</f>
        <v>21.6586053522392</v>
      </c>
      <c r="P2347" s="34" t="str">
        <f aca="false">IF(B2347&gt;=Eval_Start_Week,"YES","")</f>
        <v>YES</v>
      </c>
      <c r="Q2347" s="34" t="str">
        <f aca="false">IF(AND(B2347&gt;=Cal_Start_Week,B2347&lt;=Cal_End_Week),"YES","")</f>
        <v>YES</v>
      </c>
    </row>
    <row r="2348" customFormat="false" ht="15" hidden="false" customHeight="false" outlineLevel="0" collapsed="false">
      <c r="A2348" s="31" t="str">
        <f aca="false">Demand_History!C2348</f>
        <v>BED-003</v>
      </c>
      <c r="B2348" s="31" t="n">
        <f aca="false">Demand_History!A2348</f>
        <v>59</v>
      </c>
      <c r="C2348" s="32" t="n">
        <f aca="false">Demand_History!D2348</f>
        <v>43</v>
      </c>
      <c r="D2348" s="33" t="n">
        <f aca="false">IF(B2348&gt;=2,C2347,"")</f>
        <v>77</v>
      </c>
      <c r="E2348" s="33" t="n">
        <f aca="false">IF(B2348&gt;=5,AVERAGE(C2344:C2347),"")</f>
        <v>56.25</v>
      </c>
      <c r="F2348" s="33" t="n">
        <f aca="false">IF(B2348&gt;=9,AVERAGE(C2340:C2347),"")</f>
        <v>57.375</v>
      </c>
      <c r="G2348" s="33" t="n">
        <f aca="false">IF(B2348=1,"",IF(B2348=2,C2347,SES_Alpha*C2347+(1-SES_Alpha)*G2347))</f>
        <v>61.8389762534326</v>
      </c>
      <c r="H2348" s="33" t="n">
        <f aca="false">IF(D2348="","",D2348-C2348)</f>
        <v>34</v>
      </c>
      <c r="I2348" s="33" t="n">
        <f aca="false">IF(E2348="","",E2348-C2348)</f>
        <v>13.25</v>
      </c>
      <c r="J2348" s="33" t="n">
        <f aca="false">IF(F2348="","",F2348-C2348)</f>
        <v>14.375</v>
      </c>
      <c r="K2348" s="33" t="n">
        <f aca="false">IF(G2348="","",G2348-C2348)</f>
        <v>18.8389762534326</v>
      </c>
      <c r="L2348" s="33" t="n">
        <f aca="false">IF(H2348="","",ABS(H2348))</f>
        <v>34</v>
      </c>
      <c r="M2348" s="33" t="n">
        <f aca="false">IF(I2348="","",ABS(I2348))</f>
        <v>13.25</v>
      </c>
      <c r="N2348" s="33" t="n">
        <f aca="false">IF(J2348="","",ABS(J2348))</f>
        <v>14.375</v>
      </c>
      <c r="O2348" s="33" t="n">
        <f aca="false">IF(K2348="","",ABS(K2348))</f>
        <v>18.8389762534326</v>
      </c>
      <c r="P2348" s="34" t="str">
        <f aca="false">IF(B2348&gt;=Eval_Start_Week,"YES","")</f>
        <v>YES</v>
      </c>
      <c r="Q2348" s="34" t="str">
        <f aca="false">IF(AND(B2348&gt;=Cal_Start_Week,B2348&lt;=Cal_End_Week),"YES","")</f>
        <v>YES</v>
      </c>
    </row>
    <row r="2349" customFormat="false" ht="15" hidden="false" customHeight="false" outlineLevel="0" collapsed="false">
      <c r="A2349" s="31" t="str">
        <f aca="false">Demand_History!C2349</f>
        <v>BED-003</v>
      </c>
      <c r="B2349" s="31" t="n">
        <f aca="false">Demand_History!A2349</f>
        <v>60</v>
      </c>
      <c r="C2349" s="32" t="n">
        <f aca="false">Demand_History!D2349</f>
        <v>21</v>
      </c>
      <c r="D2349" s="33" t="n">
        <f aca="false">IF(B2349&gt;=2,C2348,"")</f>
        <v>43</v>
      </c>
      <c r="E2349" s="33" t="n">
        <f aca="false">IF(B2349&gt;=5,AVERAGE(C2345:C2348),"")</f>
        <v>61</v>
      </c>
      <c r="F2349" s="33" t="n">
        <f aca="false">IF(B2349&gt;=9,AVERAGE(C2341:C2348),"")</f>
        <v>56.375</v>
      </c>
      <c r="G2349" s="33" t="n">
        <f aca="false">IF(B2349=1,"",IF(B2349=2,C2348,SES_Alpha*C2348+(1-SES_Alpha)*G2348))</f>
        <v>56.1872833774028</v>
      </c>
      <c r="H2349" s="33" t="n">
        <f aca="false">IF(D2349="","",D2349-C2349)</f>
        <v>22</v>
      </c>
      <c r="I2349" s="33" t="n">
        <f aca="false">IF(E2349="","",E2349-C2349)</f>
        <v>40</v>
      </c>
      <c r="J2349" s="33" t="n">
        <f aca="false">IF(F2349="","",F2349-C2349)</f>
        <v>35.375</v>
      </c>
      <c r="K2349" s="33" t="n">
        <f aca="false">IF(G2349="","",G2349-C2349)</f>
        <v>35.1872833774028</v>
      </c>
      <c r="L2349" s="33" t="n">
        <f aca="false">IF(H2349="","",ABS(H2349))</f>
        <v>22</v>
      </c>
      <c r="M2349" s="33" t="n">
        <f aca="false">IF(I2349="","",ABS(I2349))</f>
        <v>40</v>
      </c>
      <c r="N2349" s="33" t="n">
        <f aca="false">IF(J2349="","",ABS(J2349))</f>
        <v>35.375</v>
      </c>
      <c r="O2349" s="33" t="n">
        <f aca="false">IF(K2349="","",ABS(K2349))</f>
        <v>35.1872833774028</v>
      </c>
      <c r="P2349" s="34" t="str">
        <f aca="false">IF(B2349&gt;=Eval_Start_Week,"YES","")</f>
        <v>YES</v>
      </c>
      <c r="Q2349" s="34" t="str">
        <f aca="false">IF(AND(B2349&gt;=Cal_Start_Week,B2349&lt;=Cal_End_Week),"YES","")</f>
        <v>YES</v>
      </c>
    </row>
    <row r="2350" customFormat="false" ht="15" hidden="false" customHeight="false" outlineLevel="0" collapsed="false">
      <c r="A2350" s="31" t="str">
        <f aca="false">Demand_History!C2350</f>
        <v>BED-003</v>
      </c>
      <c r="B2350" s="31" t="n">
        <f aca="false">Demand_History!A2350</f>
        <v>61</v>
      </c>
      <c r="C2350" s="32" t="n">
        <f aca="false">Demand_History!D2350</f>
        <v>59</v>
      </c>
      <c r="D2350" s="33" t="n">
        <f aca="false">IF(B2350&gt;=2,C2349,"")</f>
        <v>21</v>
      </c>
      <c r="E2350" s="33" t="n">
        <f aca="false">IF(B2350&gt;=5,AVERAGE(C2346:C2349),"")</f>
        <v>46.5</v>
      </c>
      <c r="F2350" s="33" t="n">
        <f aca="false">IF(B2350&gt;=9,AVERAGE(C2342:C2349),"")</f>
        <v>54.75</v>
      </c>
      <c r="G2350" s="33" t="n">
        <f aca="false">IF(B2350=1,"",IF(B2350=2,C2349,SES_Alpha*C2349+(1-SES_Alpha)*G2349))</f>
        <v>45.631098364182</v>
      </c>
      <c r="H2350" s="33" t="n">
        <f aca="false">IF(D2350="","",D2350-C2350)</f>
        <v>-38</v>
      </c>
      <c r="I2350" s="33" t="n">
        <f aca="false">IF(E2350="","",E2350-C2350)</f>
        <v>-12.5</v>
      </c>
      <c r="J2350" s="33" t="n">
        <f aca="false">IF(F2350="","",F2350-C2350)</f>
        <v>-4.25</v>
      </c>
      <c r="K2350" s="33" t="n">
        <f aca="false">IF(G2350="","",G2350-C2350)</f>
        <v>-13.368901635818</v>
      </c>
      <c r="L2350" s="33" t="n">
        <f aca="false">IF(H2350="","",ABS(H2350))</f>
        <v>38</v>
      </c>
      <c r="M2350" s="33" t="n">
        <f aca="false">IF(I2350="","",ABS(I2350))</f>
        <v>12.5</v>
      </c>
      <c r="N2350" s="33" t="n">
        <f aca="false">IF(J2350="","",ABS(J2350))</f>
        <v>4.25</v>
      </c>
      <c r="O2350" s="33" t="n">
        <f aca="false">IF(K2350="","",ABS(K2350))</f>
        <v>13.368901635818</v>
      </c>
      <c r="P2350" s="34" t="str">
        <f aca="false">IF(B2350&gt;=Eval_Start_Week,"YES","")</f>
        <v>YES</v>
      </c>
      <c r="Q2350" s="34" t="str">
        <f aca="false">IF(AND(B2350&gt;=Cal_Start_Week,B2350&lt;=Cal_End_Week),"YES","")</f>
        <v>YES</v>
      </c>
    </row>
    <row r="2351" customFormat="false" ht="15" hidden="false" customHeight="false" outlineLevel="0" collapsed="false">
      <c r="A2351" s="31" t="str">
        <f aca="false">Demand_History!C2351</f>
        <v>BED-003</v>
      </c>
      <c r="B2351" s="31" t="n">
        <f aca="false">Demand_History!A2351</f>
        <v>62</v>
      </c>
      <c r="C2351" s="32" t="n">
        <f aca="false">Demand_History!D2351</f>
        <v>67</v>
      </c>
      <c r="D2351" s="33" t="n">
        <f aca="false">IF(B2351&gt;=2,C2350,"")</f>
        <v>59</v>
      </c>
      <c r="E2351" s="33" t="n">
        <f aca="false">IF(B2351&gt;=5,AVERAGE(C2347:C2350),"")</f>
        <v>50</v>
      </c>
      <c r="F2351" s="33" t="n">
        <f aca="false">IF(B2351&gt;=9,AVERAGE(C2343:C2350),"")</f>
        <v>53.625</v>
      </c>
      <c r="G2351" s="33" t="n">
        <f aca="false">IF(B2351=1,"",IF(B2351=2,C2350,SES_Alpha*C2350+(1-SES_Alpha)*G2350))</f>
        <v>49.6417688549274</v>
      </c>
      <c r="H2351" s="33" t="n">
        <f aca="false">IF(D2351="","",D2351-C2351)</f>
        <v>-8</v>
      </c>
      <c r="I2351" s="33" t="n">
        <f aca="false">IF(E2351="","",E2351-C2351)</f>
        <v>-17</v>
      </c>
      <c r="J2351" s="33" t="n">
        <f aca="false">IF(F2351="","",F2351-C2351)</f>
        <v>-13.375</v>
      </c>
      <c r="K2351" s="33" t="n">
        <f aca="false">IF(G2351="","",G2351-C2351)</f>
        <v>-17.3582311450726</v>
      </c>
      <c r="L2351" s="33" t="n">
        <f aca="false">IF(H2351="","",ABS(H2351))</f>
        <v>8</v>
      </c>
      <c r="M2351" s="33" t="n">
        <f aca="false">IF(I2351="","",ABS(I2351))</f>
        <v>17</v>
      </c>
      <c r="N2351" s="33" t="n">
        <f aca="false">IF(J2351="","",ABS(J2351))</f>
        <v>13.375</v>
      </c>
      <c r="O2351" s="33" t="n">
        <f aca="false">IF(K2351="","",ABS(K2351))</f>
        <v>17.3582311450726</v>
      </c>
      <c r="P2351" s="34" t="str">
        <f aca="false">IF(B2351&gt;=Eval_Start_Week,"YES","")</f>
        <v>YES</v>
      </c>
      <c r="Q2351" s="34" t="str">
        <f aca="false">IF(AND(B2351&gt;=Cal_Start_Week,B2351&lt;=Cal_End_Week),"YES","")</f>
        <v>YES</v>
      </c>
    </row>
    <row r="2352" customFormat="false" ht="15" hidden="false" customHeight="false" outlineLevel="0" collapsed="false">
      <c r="A2352" s="31" t="str">
        <f aca="false">Demand_History!C2352</f>
        <v>BED-003</v>
      </c>
      <c r="B2352" s="31" t="n">
        <f aca="false">Demand_History!A2352</f>
        <v>63</v>
      </c>
      <c r="C2352" s="32" t="n">
        <f aca="false">Demand_History!D2352</f>
        <v>89</v>
      </c>
      <c r="D2352" s="33" t="n">
        <f aca="false">IF(B2352&gt;=2,C2351,"")</f>
        <v>67</v>
      </c>
      <c r="E2352" s="33" t="n">
        <f aca="false">IF(B2352&gt;=5,AVERAGE(C2348:C2351),"")</f>
        <v>47.5</v>
      </c>
      <c r="F2352" s="33" t="n">
        <f aca="false">IF(B2352&gt;=9,AVERAGE(C2344:C2351),"")</f>
        <v>51.875</v>
      </c>
      <c r="G2352" s="33" t="n">
        <f aca="false">IF(B2352=1,"",IF(B2352=2,C2351,SES_Alpha*C2351+(1-SES_Alpha)*G2351))</f>
        <v>54.8492381984491</v>
      </c>
      <c r="H2352" s="33" t="n">
        <f aca="false">IF(D2352="","",D2352-C2352)</f>
        <v>-22</v>
      </c>
      <c r="I2352" s="33" t="n">
        <f aca="false">IF(E2352="","",E2352-C2352)</f>
        <v>-41.5</v>
      </c>
      <c r="J2352" s="33" t="n">
        <f aca="false">IF(F2352="","",F2352-C2352)</f>
        <v>-37.125</v>
      </c>
      <c r="K2352" s="33" t="n">
        <f aca="false">IF(G2352="","",G2352-C2352)</f>
        <v>-34.1507618015509</v>
      </c>
      <c r="L2352" s="33" t="n">
        <f aca="false">IF(H2352="","",ABS(H2352))</f>
        <v>22</v>
      </c>
      <c r="M2352" s="33" t="n">
        <f aca="false">IF(I2352="","",ABS(I2352))</f>
        <v>41.5</v>
      </c>
      <c r="N2352" s="33" t="n">
        <f aca="false">IF(J2352="","",ABS(J2352))</f>
        <v>37.125</v>
      </c>
      <c r="O2352" s="33" t="n">
        <f aca="false">IF(K2352="","",ABS(K2352))</f>
        <v>34.1507618015509</v>
      </c>
      <c r="P2352" s="34" t="str">
        <f aca="false">IF(B2352&gt;=Eval_Start_Week,"YES","")</f>
        <v>YES</v>
      </c>
      <c r="Q2352" s="34" t="str">
        <f aca="false">IF(AND(B2352&gt;=Cal_Start_Week,B2352&lt;=Cal_End_Week),"YES","")</f>
        <v>YES</v>
      </c>
    </row>
    <row r="2353" customFormat="false" ht="15" hidden="false" customHeight="false" outlineLevel="0" collapsed="false">
      <c r="A2353" s="31" t="str">
        <f aca="false">Demand_History!C2353</f>
        <v>BED-003</v>
      </c>
      <c r="B2353" s="31" t="n">
        <f aca="false">Demand_History!A2353</f>
        <v>64</v>
      </c>
      <c r="C2353" s="32" t="n">
        <f aca="false">Demand_History!D2353</f>
        <v>82</v>
      </c>
      <c r="D2353" s="33" t="n">
        <f aca="false">IF(B2353&gt;=2,C2352,"")</f>
        <v>89</v>
      </c>
      <c r="E2353" s="33" t="n">
        <f aca="false">IF(B2353&gt;=5,AVERAGE(C2349:C2352),"")</f>
        <v>59</v>
      </c>
      <c r="F2353" s="33" t="n">
        <f aca="false">IF(B2353&gt;=9,AVERAGE(C2345:C2352),"")</f>
        <v>60</v>
      </c>
      <c r="G2353" s="33" t="n">
        <f aca="false">IF(B2353=1,"",IF(B2353=2,C2352,SES_Alpha*C2352+(1-SES_Alpha)*G2352))</f>
        <v>65.0944667389144</v>
      </c>
      <c r="H2353" s="33" t="n">
        <f aca="false">IF(D2353="","",D2353-C2353)</f>
        <v>7</v>
      </c>
      <c r="I2353" s="33" t="n">
        <f aca="false">IF(E2353="","",E2353-C2353)</f>
        <v>-23</v>
      </c>
      <c r="J2353" s="33" t="n">
        <f aca="false">IF(F2353="","",F2353-C2353)</f>
        <v>-22</v>
      </c>
      <c r="K2353" s="33" t="n">
        <f aca="false">IF(G2353="","",G2353-C2353)</f>
        <v>-16.9055332610856</v>
      </c>
      <c r="L2353" s="33" t="n">
        <f aca="false">IF(H2353="","",ABS(H2353))</f>
        <v>7</v>
      </c>
      <c r="M2353" s="33" t="n">
        <f aca="false">IF(I2353="","",ABS(I2353))</f>
        <v>23</v>
      </c>
      <c r="N2353" s="33" t="n">
        <f aca="false">IF(J2353="","",ABS(J2353))</f>
        <v>22</v>
      </c>
      <c r="O2353" s="33" t="n">
        <f aca="false">IF(K2353="","",ABS(K2353))</f>
        <v>16.9055332610856</v>
      </c>
      <c r="P2353" s="34" t="str">
        <f aca="false">IF(B2353&gt;=Eval_Start_Week,"YES","")</f>
        <v>YES</v>
      </c>
      <c r="Q2353" s="34" t="str">
        <f aca="false">IF(AND(B2353&gt;=Cal_Start_Week,B2353&lt;=Cal_End_Week),"YES","")</f>
        <v>YES</v>
      </c>
    </row>
    <row r="2354" customFormat="false" ht="15" hidden="false" customHeight="false" outlineLevel="0" collapsed="false">
      <c r="A2354" s="31" t="str">
        <f aca="false">Demand_History!C2354</f>
        <v>BED-003</v>
      </c>
      <c r="B2354" s="31" t="n">
        <f aca="false">Demand_History!A2354</f>
        <v>65</v>
      </c>
      <c r="C2354" s="32" t="n">
        <f aca="false">Demand_History!D2354</f>
        <v>63</v>
      </c>
      <c r="D2354" s="33" t="n">
        <f aca="false">IF(B2354&gt;=2,C2353,"")</f>
        <v>82</v>
      </c>
      <c r="E2354" s="33" t="n">
        <f aca="false">IF(B2354&gt;=5,AVERAGE(C2350:C2353),"")</f>
        <v>74.25</v>
      </c>
      <c r="F2354" s="33" t="n">
        <f aca="false">IF(B2354&gt;=9,AVERAGE(C2346:C2353),"")</f>
        <v>60.375</v>
      </c>
      <c r="G2354" s="33" t="n">
        <f aca="false">IF(B2354=1,"",IF(B2354=2,C2353,SES_Alpha*C2353+(1-SES_Alpha)*G2353))</f>
        <v>70.1661267172401</v>
      </c>
      <c r="H2354" s="33" t="n">
        <f aca="false">IF(D2354="","",D2354-C2354)</f>
        <v>19</v>
      </c>
      <c r="I2354" s="33" t="n">
        <f aca="false">IF(E2354="","",E2354-C2354)</f>
        <v>11.25</v>
      </c>
      <c r="J2354" s="33" t="n">
        <f aca="false">IF(F2354="","",F2354-C2354)</f>
        <v>-2.625</v>
      </c>
      <c r="K2354" s="33" t="n">
        <f aca="false">IF(G2354="","",G2354-C2354)</f>
        <v>7.16612671724008</v>
      </c>
      <c r="L2354" s="33" t="n">
        <f aca="false">IF(H2354="","",ABS(H2354))</f>
        <v>19</v>
      </c>
      <c r="M2354" s="33" t="n">
        <f aca="false">IF(I2354="","",ABS(I2354))</f>
        <v>11.25</v>
      </c>
      <c r="N2354" s="33" t="n">
        <f aca="false">IF(J2354="","",ABS(J2354))</f>
        <v>2.625</v>
      </c>
      <c r="O2354" s="33" t="n">
        <f aca="false">IF(K2354="","",ABS(K2354))</f>
        <v>7.16612671724008</v>
      </c>
      <c r="P2354" s="34" t="str">
        <f aca="false">IF(B2354&gt;=Eval_Start_Week,"YES","")</f>
        <v>YES</v>
      </c>
      <c r="Q2354" s="34" t="str">
        <f aca="false">IF(AND(B2354&gt;=Cal_Start_Week,B2354&lt;=Cal_End_Week),"YES","")</f>
        <v>YES</v>
      </c>
    </row>
    <row r="2355" customFormat="false" ht="15" hidden="false" customHeight="false" outlineLevel="0" collapsed="false">
      <c r="A2355" s="31" t="str">
        <f aca="false">Demand_History!C2355</f>
        <v>BED-003</v>
      </c>
      <c r="B2355" s="31" t="n">
        <f aca="false">Demand_History!A2355</f>
        <v>66</v>
      </c>
      <c r="C2355" s="32" t="n">
        <f aca="false">Demand_History!D2355</f>
        <v>46</v>
      </c>
      <c r="D2355" s="33" t="n">
        <f aca="false">IF(B2355&gt;=2,C2354,"")</f>
        <v>63</v>
      </c>
      <c r="E2355" s="33" t="n">
        <f aca="false">IF(B2355&gt;=5,AVERAGE(C2351:C2354),"")</f>
        <v>75.25</v>
      </c>
      <c r="F2355" s="33" t="n">
        <f aca="false">IF(B2355&gt;=9,AVERAGE(C2347:C2354),"")</f>
        <v>62.625</v>
      </c>
      <c r="G2355" s="33" t="n">
        <f aca="false">IF(B2355=1,"",IF(B2355=2,C2354,SES_Alpha*C2354+(1-SES_Alpha)*G2354))</f>
        <v>68.016288702068</v>
      </c>
      <c r="H2355" s="33" t="n">
        <f aca="false">IF(D2355="","",D2355-C2355)</f>
        <v>17</v>
      </c>
      <c r="I2355" s="33" t="n">
        <f aca="false">IF(E2355="","",E2355-C2355)</f>
        <v>29.25</v>
      </c>
      <c r="J2355" s="33" t="n">
        <f aca="false">IF(F2355="","",F2355-C2355)</f>
        <v>16.625</v>
      </c>
      <c r="K2355" s="33" t="n">
        <f aca="false">IF(G2355="","",G2355-C2355)</f>
        <v>22.016288702068</v>
      </c>
      <c r="L2355" s="33" t="n">
        <f aca="false">IF(H2355="","",ABS(H2355))</f>
        <v>17</v>
      </c>
      <c r="M2355" s="33" t="n">
        <f aca="false">IF(I2355="","",ABS(I2355))</f>
        <v>29.25</v>
      </c>
      <c r="N2355" s="33" t="n">
        <f aca="false">IF(J2355="","",ABS(J2355))</f>
        <v>16.625</v>
      </c>
      <c r="O2355" s="33" t="n">
        <f aca="false">IF(K2355="","",ABS(K2355))</f>
        <v>22.016288702068</v>
      </c>
      <c r="P2355" s="34" t="str">
        <f aca="false">IF(B2355&gt;=Eval_Start_Week,"YES","")</f>
        <v>YES</v>
      </c>
      <c r="Q2355" s="34" t="str">
        <f aca="false">IF(AND(B2355&gt;=Cal_Start_Week,B2355&lt;=Cal_End_Week),"YES","")</f>
        <v>YES</v>
      </c>
    </row>
    <row r="2356" customFormat="false" ht="15" hidden="false" customHeight="false" outlineLevel="0" collapsed="false">
      <c r="A2356" s="31" t="str">
        <f aca="false">Demand_History!C2356</f>
        <v>BED-003</v>
      </c>
      <c r="B2356" s="31" t="n">
        <f aca="false">Demand_History!A2356</f>
        <v>67</v>
      </c>
      <c r="C2356" s="32" t="n">
        <f aca="false">Demand_History!D2356</f>
        <v>40</v>
      </c>
      <c r="D2356" s="33" t="n">
        <f aca="false">IF(B2356&gt;=2,C2355,"")</f>
        <v>46</v>
      </c>
      <c r="E2356" s="33" t="n">
        <f aca="false">IF(B2356&gt;=5,AVERAGE(C2352:C2355),"")</f>
        <v>70</v>
      </c>
      <c r="F2356" s="33" t="n">
        <f aca="false">IF(B2356&gt;=9,AVERAGE(C2348:C2355),"")</f>
        <v>58.75</v>
      </c>
      <c r="G2356" s="33" t="n">
        <f aca="false">IF(B2356=1,"",IF(B2356=2,C2355,SES_Alpha*C2355+(1-SES_Alpha)*G2355))</f>
        <v>61.4114020914476</v>
      </c>
      <c r="H2356" s="33" t="n">
        <f aca="false">IF(D2356="","",D2356-C2356)</f>
        <v>6</v>
      </c>
      <c r="I2356" s="33" t="n">
        <f aca="false">IF(E2356="","",E2356-C2356)</f>
        <v>30</v>
      </c>
      <c r="J2356" s="33" t="n">
        <f aca="false">IF(F2356="","",F2356-C2356)</f>
        <v>18.75</v>
      </c>
      <c r="K2356" s="33" t="n">
        <f aca="false">IF(G2356="","",G2356-C2356)</f>
        <v>21.4114020914476</v>
      </c>
      <c r="L2356" s="33" t="n">
        <f aca="false">IF(H2356="","",ABS(H2356))</f>
        <v>6</v>
      </c>
      <c r="M2356" s="33" t="n">
        <f aca="false">IF(I2356="","",ABS(I2356))</f>
        <v>30</v>
      </c>
      <c r="N2356" s="33" t="n">
        <f aca="false">IF(J2356="","",ABS(J2356))</f>
        <v>18.75</v>
      </c>
      <c r="O2356" s="33" t="n">
        <f aca="false">IF(K2356="","",ABS(K2356))</f>
        <v>21.4114020914476</v>
      </c>
      <c r="P2356" s="34" t="str">
        <f aca="false">IF(B2356&gt;=Eval_Start_Week,"YES","")</f>
        <v>YES</v>
      </c>
      <c r="Q2356" s="34" t="str">
        <f aca="false">IF(AND(B2356&gt;=Cal_Start_Week,B2356&lt;=Cal_End_Week),"YES","")</f>
        <v>YES</v>
      </c>
    </row>
    <row r="2357" customFormat="false" ht="15" hidden="false" customHeight="false" outlineLevel="0" collapsed="false">
      <c r="A2357" s="31" t="str">
        <f aca="false">Demand_History!C2357</f>
        <v>BED-003</v>
      </c>
      <c r="B2357" s="31" t="n">
        <f aca="false">Demand_History!A2357</f>
        <v>68</v>
      </c>
      <c r="C2357" s="32" t="n">
        <f aca="false">Demand_History!D2357</f>
        <v>45</v>
      </c>
      <c r="D2357" s="33" t="n">
        <f aca="false">IF(B2357&gt;=2,C2356,"")</f>
        <v>40</v>
      </c>
      <c r="E2357" s="33" t="n">
        <f aca="false">IF(B2357&gt;=5,AVERAGE(C2353:C2356),"")</f>
        <v>57.75</v>
      </c>
      <c r="F2357" s="33" t="n">
        <f aca="false">IF(B2357&gt;=9,AVERAGE(C2349:C2356),"")</f>
        <v>58.375</v>
      </c>
      <c r="G2357" s="33" t="n">
        <f aca="false">IF(B2357=1,"",IF(B2357=2,C2356,SES_Alpha*C2356+(1-SES_Alpha)*G2356))</f>
        <v>54.9879814640133</v>
      </c>
      <c r="H2357" s="33" t="n">
        <f aca="false">IF(D2357="","",D2357-C2357)</f>
        <v>-5</v>
      </c>
      <c r="I2357" s="33" t="n">
        <f aca="false">IF(E2357="","",E2357-C2357)</f>
        <v>12.75</v>
      </c>
      <c r="J2357" s="33" t="n">
        <f aca="false">IF(F2357="","",F2357-C2357)</f>
        <v>13.375</v>
      </c>
      <c r="K2357" s="33" t="n">
        <f aca="false">IF(G2357="","",G2357-C2357)</f>
        <v>9.98798146401333</v>
      </c>
      <c r="L2357" s="33" t="n">
        <f aca="false">IF(H2357="","",ABS(H2357))</f>
        <v>5</v>
      </c>
      <c r="M2357" s="33" t="n">
        <f aca="false">IF(I2357="","",ABS(I2357))</f>
        <v>12.75</v>
      </c>
      <c r="N2357" s="33" t="n">
        <f aca="false">IF(J2357="","",ABS(J2357))</f>
        <v>13.375</v>
      </c>
      <c r="O2357" s="33" t="n">
        <f aca="false">IF(K2357="","",ABS(K2357))</f>
        <v>9.98798146401333</v>
      </c>
      <c r="P2357" s="34" t="str">
        <f aca="false">IF(B2357&gt;=Eval_Start_Week,"YES","")</f>
        <v>YES</v>
      </c>
      <c r="Q2357" s="34" t="str">
        <f aca="false">IF(AND(B2357&gt;=Cal_Start_Week,B2357&lt;=Cal_End_Week),"YES","")</f>
        <v>YES</v>
      </c>
    </row>
    <row r="2358" customFormat="false" ht="15" hidden="false" customHeight="false" outlineLevel="0" collapsed="false">
      <c r="A2358" s="31" t="str">
        <f aca="false">Demand_History!C2358</f>
        <v>BED-003</v>
      </c>
      <c r="B2358" s="31" t="n">
        <f aca="false">Demand_History!A2358</f>
        <v>69</v>
      </c>
      <c r="C2358" s="32" t="n">
        <f aca="false">Demand_History!D2358</f>
        <v>35</v>
      </c>
      <c r="D2358" s="33" t="n">
        <f aca="false">IF(B2358&gt;=2,C2357,"")</f>
        <v>45</v>
      </c>
      <c r="E2358" s="33" t="n">
        <f aca="false">IF(B2358&gt;=5,AVERAGE(C2354:C2357),"")</f>
        <v>48.5</v>
      </c>
      <c r="F2358" s="33" t="n">
        <f aca="false">IF(B2358&gt;=9,AVERAGE(C2350:C2357),"")</f>
        <v>61.375</v>
      </c>
      <c r="G2358" s="33" t="n">
        <f aca="false">IF(B2358=1,"",IF(B2358=2,C2357,SES_Alpha*C2357+(1-SES_Alpha)*G2357))</f>
        <v>51.9915870248093</v>
      </c>
      <c r="H2358" s="33" t="n">
        <f aca="false">IF(D2358="","",D2358-C2358)</f>
        <v>10</v>
      </c>
      <c r="I2358" s="33" t="n">
        <f aca="false">IF(E2358="","",E2358-C2358)</f>
        <v>13.5</v>
      </c>
      <c r="J2358" s="33" t="n">
        <f aca="false">IF(F2358="","",F2358-C2358)</f>
        <v>26.375</v>
      </c>
      <c r="K2358" s="33" t="n">
        <f aca="false">IF(G2358="","",G2358-C2358)</f>
        <v>16.9915870248093</v>
      </c>
      <c r="L2358" s="33" t="n">
        <f aca="false">IF(H2358="","",ABS(H2358))</f>
        <v>10</v>
      </c>
      <c r="M2358" s="33" t="n">
        <f aca="false">IF(I2358="","",ABS(I2358))</f>
        <v>13.5</v>
      </c>
      <c r="N2358" s="33" t="n">
        <f aca="false">IF(J2358="","",ABS(J2358))</f>
        <v>26.375</v>
      </c>
      <c r="O2358" s="33" t="n">
        <f aca="false">IF(K2358="","",ABS(K2358))</f>
        <v>16.9915870248093</v>
      </c>
      <c r="P2358" s="34" t="str">
        <f aca="false">IF(B2358&gt;=Eval_Start_Week,"YES","")</f>
        <v>YES</v>
      </c>
      <c r="Q2358" s="34" t="str">
        <f aca="false">IF(AND(B2358&gt;=Cal_Start_Week,B2358&lt;=Cal_End_Week),"YES","")</f>
        <v>YES</v>
      </c>
    </row>
    <row r="2359" customFormat="false" ht="15" hidden="false" customHeight="false" outlineLevel="0" collapsed="false">
      <c r="A2359" s="31" t="str">
        <f aca="false">Demand_History!C2359</f>
        <v>BED-003</v>
      </c>
      <c r="B2359" s="31" t="n">
        <f aca="false">Demand_History!A2359</f>
        <v>70</v>
      </c>
      <c r="C2359" s="32" t="n">
        <f aca="false">Demand_History!D2359</f>
        <v>45</v>
      </c>
      <c r="D2359" s="33" t="n">
        <f aca="false">IF(B2359&gt;=2,C2358,"")</f>
        <v>35</v>
      </c>
      <c r="E2359" s="33" t="n">
        <f aca="false">IF(B2359&gt;=5,AVERAGE(C2355:C2358),"")</f>
        <v>41.5</v>
      </c>
      <c r="F2359" s="33" t="n">
        <f aca="false">IF(B2359&gt;=9,AVERAGE(C2351:C2358),"")</f>
        <v>58.375</v>
      </c>
      <c r="G2359" s="33" t="n">
        <f aca="false">IF(B2359=1,"",IF(B2359=2,C2358,SES_Alpha*C2358+(1-SES_Alpha)*G2358))</f>
        <v>46.8941109173665</v>
      </c>
      <c r="H2359" s="33" t="n">
        <f aca="false">IF(D2359="","",D2359-C2359)</f>
        <v>-10</v>
      </c>
      <c r="I2359" s="33" t="n">
        <f aca="false">IF(E2359="","",E2359-C2359)</f>
        <v>-3.5</v>
      </c>
      <c r="J2359" s="33" t="n">
        <f aca="false">IF(F2359="","",F2359-C2359)</f>
        <v>13.375</v>
      </c>
      <c r="K2359" s="33" t="n">
        <f aca="false">IF(G2359="","",G2359-C2359)</f>
        <v>1.89411091736653</v>
      </c>
      <c r="L2359" s="33" t="n">
        <f aca="false">IF(H2359="","",ABS(H2359))</f>
        <v>10</v>
      </c>
      <c r="M2359" s="33" t="n">
        <f aca="false">IF(I2359="","",ABS(I2359))</f>
        <v>3.5</v>
      </c>
      <c r="N2359" s="33" t="n">
        <f aca="false">IF(J2359="","",ABS(J2359))</f>
        <v>13.375</v>
      </c>
      <c r="O2359" s="33" t="n">
        <f aca="false">IF(K2359="","",ABS(K2359))</f>
        <v>1.89411091736653</v>
      </c>
      <c r="P2359" s="34" t="str">
        <f aca="false">IF(B2359&gt;=Eval_Start_Week,"YES","")</f>
        <v>YES</v>
      </c>
      <c r="Q2359" s="34" t="str">
        <f aca="false">IF(AND(B2359&gt;=Cal_Start_Week,B2359&lt;=Cal_End_Week),"YES","")</f>
        <v>YES</v>
      </c>
    </row>
    <row r="2360" customFormat="false" ht="15" hidden="false" customHeight="false" outlineLevel="0" collapsed="false">
      <c r="A2360" s="31" t="str">
        <f aca="false">Demand_History!C2360</f>
        <v>BED-003</v>
      </c>
      <c r="B2360" s="31" t="n">
        <f aca="false">Demand_History!A2360</f>
        <v>71</v>
      </c>
      <c r="C2360" s="32" t="n">
        <f aca="false">Demand_History!D2360</f>
        <v>3</v>
      </c>
      <c r="D2360" s="33" t="n">
        <f aca="false">IF(B2360&gt;=2,C2359,"")</f>
        <v>45</v>
      </c>
      <c r="E2360" s="33" t="n">
        <f aca="false">IF(B2360&gt;=5,AVERAGE(C2356:C2359),"")</f>
        <v>41.25</v>
      </c>
      <c r="F2360" s="33" t="n">
        <f aca="false">IF(B2360&gt;=9,AVERAGE(C2352:C2359),"")</f>
        <v>55.625</v>
      </c>
      <c r="G2360" s="33" t="n">
        <f aca="false">IF(B2360=1,"",IF(B2360=2,C2359,SES_Alpha*C2359+(1-SES_Alpha)*G2359))</f>
        <v>46.3258776421566</v>
      </c>
      <c r="H2360" s="33" t="n">
        <f aca="false">IF(D2360="","",D2360-C2360)</f>
        <v>42</v>
      </c>
      <c r="I2360" s="33" t="n">
        <f aca="false">IF(E2360="","",E2360-C2360)</f>
        <v>38.25</v>
      </c>
      <c r="J2360" s="33" t="n">
        <f aca="false">IF(F2360="","",F2360-C2360)</f>
        <v>52.625</v>
      </c>
      <c r="K2360" s="33" t="n">
        <f aca="false">IF(G2360="","",G2360-C2360)</f>
        <v>43.3258776421566</v>
      </c>
      <c r="L2360" s="33" t="n">
        <f aca="false">IF(H2360="","",ABS(H2360))</f>
        <v>42</v>
      </c>
      <c r="M2360" s="33" t="n">
        <f aca="false">IF(I2360="","",ABS(I2360))</f>
        <v>38.25</v>
      </c>
      <c r="N2360" s="33" t="n">
        <f aca="false">IF(J2360="","",ABS(J2360))</f>
        <v>52.625</v>
      </c>
      <c r="O2360" s="33" t="n">
        <f aca="false">IF(K2360="","",ABS(K2360))</f>
        <v>43.3258776421566</v>
      </c>
      <c r="P2360" s="34" t="str">
        <f aca="false">IF(B2360&gt;=Eval_Start_Week,"YES","")</f>
        <v>YES</v>
      </c>
      <c r="Q2360" s="34" t="str">
        <f aca="false">IF(AND(B2360&gt;=Cal_Start_Week,B2360&lt;=Cal_End_Week),"YES","")</f>
        <v>YES</v>
      </c>
    </row>
    <row r="2361" customFormat="false" ht="15" hidden="false" customHeight="false" outlineLevel="0" collapsed="false">
      <c r="A2361" s="31" t="str">
        <f aca="false">Demand_History!C2361</f>
        <v>BED-003</v>
      </c>
      <c r="B2361" s="31" t="n">
        <f aca="false">Demand_History!A2361</f>
        <v>72</v>
      </c>
      <c r="C2361" s="32" t="n">
        <f aca="false">Demand_History!D2361</f>
        <v>53</v>
      </c>
      <c r="D2361" s="33" t="n">
        <f aca="false">IF(B2361&gt;=2,C2360,"")</f>
        <v>3</v>
      </c>
      <c r="E2361" s="33" t="n">
        <f aca="false">IF(B2361&gt;=5,AVERAGE(C2357:C2360),"")</f>
        <v>32</v>
      </c>
      <c r="F2361" s="33" t="n">
        <f aca="false">IF(B2361&gt;=9,AVERAGE(C2353:C2360),"")</f>
        <v>44.875</v>
      </c>
      <c r="G2361" s="33" t="n">
        <f aca="false">IF(B2361=1,"",IF(B2361=2,C2360,SES_Alpha*C2360+(1-SES_Alpha)*G2360))</f>
        <v>33.3281143495096</v>
      </c>
      <c r="H2361" s="33" t="n">
        <f aca="false">IF(D2361="","",D2361-C2361)</f>
        <v>-50</v>
      </c>
      <c r="I2361" s="33" t="n">
        <f aca="false">IF(E2361="","",E2361-C2361)</f>
        <v>-21</v>
      </c>
      <c r="J2361" s="33" t="n">
        <f aca="false">IF(F2361="","",F2361-C2361)</f>
        <v>-8.125</v>
      </c>
      <c r="K2361" s="33" t="n">
        <f aca="false">IF(G2361="","",G2361-C2361)</f>
        <v>-19.6718856504904</v>
      </c>
      <c r="L2361" s="33" t="n">
        <f aca="false">IF(H2361="","",ABS(H2361))</f>
        <v>50</v>
      </c>
      <c r="M2361" s="33" t="n">
        <f aca="false">IF(I2361="","",ABS(I2361))</f>
        <v>21</v>
      </c>
      <c r="N2361" s="33" t="n">
        <f aca="false">IF(J2361="","",ABS(J2361))</f>
        <v>8.125</v>
      </c>
      <c r="O2361" s="33" t="n">
        <f aca="false">IF(K2361="","",ABS(K2361))</f>
        <v>19.6718856504904</v>
      </c>
      <c r="P2361" s="34" t="str">
        <f aca="false">IF(B2361&gt;=Eval_Start_Week,"YES","")</f>
        <v>YES</v>
      </c>
      <c r="Q2361" s="34" t="str">
        <f aca="false">IF(AND(B2361&gt;=Cal_Start_Week,B2361&lt;=Cal_End_Week),"YES","")</f>
        <v>YES</v>
      </c>
    </row>
    <row r="2362" customFormat="false" ht="15" hidden="false" customHeight="false" outlineLevel="0" collapsed="false">
      <c r="A2362" s="31" t="str">
        <f aca="false">Demand_History!C2362</f>
        <v>BED-003</v>
      </c>
      <c r="B2362" s="31" t="n">
        <f aca="false">Demand_History!A2362</f>
        <v>73</v>
      </c>
      <c r="C2362" s="32" t="n">
        <f aca="false">Demand_History!D2362</f>
        <v>49</v>
      </c>
      <c r="D2362" s="33" t="n">
        <f aca="false">IF(B2362&gt;=2,C2361,"")</f>
        <v>53</v>
      </c>
      <c r="E2362" s="33" t="n">
        <f aca="false">IF(B2362&gt;=5,AVERAGE(C2358:C2361),"")</f>
        <v>34</v>
      </c>
      <c r="F2362" s="33" t="n">
        <f aca="false">IF(B2362&gt;=9,AVERAGE(C2354:C2361),"")</f>
        <v>41.25</v>
      </c>
      <c r="G2362" s="33" t="n">
        <f aca="false">IF(B2362=1,"",IF(B2362=2,C2361,SES_Alpha*C2361+(1-SES_Alpha)*G2361))</f>
        <v>39.2296800446567</v>
      </c>
      <c r="H2362" s="33" t="n">
        <f aca="false">IF(D2362="","",D2362-C2362)</f>
        <v>4</v>
      </c>
      <c r="I2362" s="33" t="n">
        <f aca="false">IF(E2362="","",E2362-C2362)</f>
        <v>-15</v>
      </c>
      <c r="J2362" s="33" t="n">
        <f aca="false">IF(F2362="","",F2362-C2362)</f>
        <v>-7.75</v>
      </c>
      <c r="K2362" s="33" t="n">
        <f aca="false">IF(G2362="","",G2362-C2362)</f>
        <v>-9.77031995534329</v>
      </c>
      <c r="L2362" s="33" t="n">
        <f aca="false">IF(H2362="","",ABS(H2362))</f>
        <v>4</v>
      </c>
      <c r="M2362" s="33" t="n">
        <f aca="false">IF(I2362="","",ABS(I2362))</f>
        <v>15</v>
      </c>
      <c r="N2362" s="33" t="n">
        <f aca="false">IF(J2362="","",ABS(J2362))</f>
        <v>7.75</v>
      </c>
      <c r="O2362" s="33" t="n">
        <f aca="false">IF(K2362="","",ABS(K2362))</f>
        <v>9.77031995534329</v>
      </c>
      <c r="P2362" s="34" t="str">
        <f aca="false">IF(B2362&gt;=Eval_Start_Week,"YES","")</f>
        <v>YES</v>
      </c>
      <c r="Q2362" s="34" t="str">
        <f aca="false">IF(AND(B2362&gt;=Cal_Start_Week,B2362&lt;=Cal_End_Week),"YES","")</f>
        <v>YES</v>
      </c>
    </row>
    <row r="2363" customFormat="false" ht="15" hidden="false" customHeight="false" outlineLevel="0" collapsed="false">
      <c r="A2363" s="31" t="str">
        <f aca="false">Demand_History!C2363</f>
        <v>BED-003</v>
      </c>
      <c r="B2363" s="31" t="n">
        <f aca="false">Demand_History!A2363</f>
        <v>74</v>
      </c>
      <c r="C2363" s="32" t="n">
        <f aca="false">Demand_History!D2363</f>
        <v>97</v>
      </c>
      <c r="D2363" s="33" t="n">
        <f aca="false">IF(B2363&gt;=2,C2362,"")</f>
        <v>49</v>
      </c>
      <c r="E2363" s="33" t="n">
        <f aca="false">IF(B2363&gt;=5,AVERAGE(C2359:C2362),"")</f>
        <v>37.5</v>
      </c>
      <c r="F2363" s="33" t="n">
        <f aca="false">IF(B2363&gt;=9,AVERAGE(C2355:C2362),"")</f>
        <v>39.5</v>
      </c>
      <c r="G2363" s="33" t="n">
        <f aca="false">IF(B2363=1,"",IF(B2363=2,C2362,SES_Alpha*C2362+(1-SES_Alpha)*G2362))</f>
        <v>42.1607760312597</v>
      </c>
      <c r="H2363" s="33" t="n">
        <f aca="false">IF(D2363="","",D2363-C2363)</f>
        <v>-48</v>
      </c>
      <c r="I2363" s="33" t="n">
        <f aca="false">IF(E2363="","",E2363-C2363)</f>
        <v>-59.5</v>
      </c>
      <c r="J2363" s="33" t="n">
        <f aca="false">IF(F2363="","",F2363-C2363)</f>
        <v>-57.5</v>
      </c>
      <c r="K2363" s="33" t="n">
        <f aca="false">IF(G2363="","",G2363-C2363)</f>
        <v>-54.8392239687403</v>
      </c>
      <c r="L2363" s="33" t="n">
        <f aca="false">IF(H2363="","",ABS(H2363))</f>
        <v>48</v>
      </c>
      <c r="M2363" s="33" t="n">
        <f aca="false">IF(I2363="","",ABS(I2363))</f>
        <v>59.5</v>
      </c>
      <c r="N2363" s="33" t="n">
        <f aca="false">IF(J2363="","",ABS(J2363))</f>
        <v>57.5</v>
      </c>
      <c r="O2363" s="33" t="n">
        <f aca="false">IF(K2363="","",ABS(K2363))</f>
        <v>54.8392239687403</v>
      </c>
      <c r="P2363" s="34" t="str">
        <f aca="false">IF(B2363&gt;=Eval_Start_Week,"YES","")</f>
        <v>YES</v>
      </c>
      <c r="Q2363" s="34" t="str">
        <f aca="false">IF(AND(B2363&gt;=Cal_Start_Week,B2363&lt;=Cal_End_Week),"YES","")</f>
        <v>YES</v>
      </c>
    </row>
    <row r="2364" customFormat="false" ht="15" hidden="false" customHeight="false" outlineLevel="0" collapsed="false">
      <c r="A2364" s="31" t="str">
        <f aca="false">Demand_History!C2364</f>
        <v>BED-003</v>
      </c>
      <c r="B2364" s="31" t="n">
        <f aca="false">Demand_History!A2364</f>
        <v>75</v>
      </c>
      <c r="C2364" s="32" t="n">
        <f aca="false">Demand_History!D2364</f>
        <v>64</v>
      </c>
      <c r="D2364" s="33" t="n">
        <f aca="false">IF(B2364&gt;=2,C2363,"")</f>
        <v>97</v>
      </c>
      <c r="E2364" s="33" t="n">
        <f aca="false">IF(B2364&gt;=5,AVERAGE(C2360:C2363),"")</f>
        <v>50.5</v>
      </c>
      <c r="F2364" s="33" t="n">
        <f aca="false">IF(B2364&gt;=9,AVERAGE(C2356:C2363),"")</f>
        <v>45.875</v>
      </c>
      <c r="G2364" s="33" t="n">
        <f aca="false">IF(B2364=1,"",IF(B2364=2,C2363,SES_Alpha*C2363+(1-SES_Alpha)*G2363))</f>
        <v>58.6125432218818</v>
      </c>
      <c r="H2364" s="33" t="n">
        <f aca="false">IF(D2364="","",D2364-C2364)</f>
        <v>33</v>
      </c>
      <c r="I2364" s="33" t="n">
        <f aca="false">IF(E2364="","",E2364-C2364)</f>
        <v>-13.5</v>
      </c>
      <c r="J2364" s="33" t="n">
        <f aca="false">IF(F2364="","",F2364-C2364)</f>
        <v>-18.125</v>
      </c>
      <c r="K2364" s="33" t="n">
        <f aca="false">IF(G2364="","",G2364-C2364)</f>
        <v>-5.38745677811822</v>
      </c>
      <c r="L2364" s="33" t="n">
        <f aca="false">IF(H2364="","",ABS(H2364))</f>
        <v>33</v>
      </c>
      <c r="M2364" s="33" t="n">
        <f aca="false">IF(I2364="","",ABS(I2364))</f>
        <v>13.5</v>
      </c>
      <c r="N2364" s="33" t="n">
        <f aca="false">IF(J2364="","",ABS(J2364))</f>
        <v>18.125</v>
      </c>
      <c r="O2364" s="33" t="n">
        <f aca="false">IF(K2364="","",ABS(K2364))</f>
        <v>5.38745677811822</v>
      </c>
      <c r="P2364" s="34" t="str">
        <f aca="false">IF(B2364&gt;=Eval_Start_Week,"YES","")</f>
        <v>YES</v>
      </c>
      <c r="Q2364" s="34" t="str">
        <f aca="false">IF(AND(B2364&gt;=Cal_Start_Week,B2364&lt;=Cal_End_Week),"YES","")</f>
        <v>YES</v>
      </c>
    </row>
    <row r="2365" customFormat="false" ht="15" hidden="false" customHeight="false" outlineLevel="0" collapsed="false">
      <c r="A2365" s="31" t="str">
        <f aca="false">Demand_History!C2365</f>
        <v>BED-003</v>
      </c>
      <c r="B2365" s="31" t="n">
        <f aca="false">Demand_History!A2365</f>
        <v>76</v>
      </c>
      <c r="C2365" s="32" t="n">
        <f aca="false">Demand_History!D2365</f>
        <v>41</v>
      </c>
      <c r="D2365" s="33" t="n">
        <f aca="false">IF(B2365&gt;=2,C2364,"")</f>
        <v>64</v>
      </c>
      <c r="E2365" s="33" t="n">
        <f aca="false">IF(B2365&gt;=5,AVERAGE(C2361:C2364),"")</f>
        <v>65.75</v>
      </c>
      <c r="F2365" s="33" t="n">
        <f aca="false">IF(B2365&gt;=9,AVERAGE(C2357:C2364),"")</f>
        <v>48.875</v>
      </c>
      <c r="G2365" s="33" t="n">
        <f aca="false">IF(B2365=1,"",IF(B2365=2,C2364,SES_Alpha*C2364+(1-SES_Alpha)*G2364))</f>
        <v>60.2287802553173</v>
      </c>
      <c r="H2365" s="33" t="n">
        <f aca="false">IF(D2365="","",D2365-C2365)</f>
        <v>23</v>
      </c>
      <c r="I2365" s="33" t="n">
        <f aca="false">IF(E2365="","",E2365-C2365)</f>
        <v>24.75</v>
      </c>
      <c r="J2365" s="33" t="n">
        <f aca="false">IF(F2365="","",F2365-C2365)</f>
        <v>7.875</v>
      </c>
      <c r="K2365" s="33" t="n">
        <f aca="false">IF(G2365="","",G2365-C2365)</f>
        <v>19.2287802553172</v>
      </c>
      <c r="L2365" s="33" t="n">
        <f aca="false">IF(H2365="","",ABS(H2365))</f>
        <v>23</v>
      </c>
      <c r="M2365" s="33" t="n">
        <f aca="false">IF(I2365="","",ABS(I2365))</f>
        <v>24.75</v>
      </c>
      <c r="N2365" s="33" t="n">
        <f aca="false">IF(J2365="","",ABS(J2365))</f>
        <v>7.875</v>
      </c>
      <c r="O2365" s="33" t="n">
        <f aca="false">IF(K2365="","",ABS(K2365))</f>
        <v>19.2287802553172</v>
      </c>
      <c r="P2365" s="34" t="str">
        <f aca="false">IF(B2365&gt;=Eval_Start_Week,"YES","")</f>
        <v>YES</v>
      </c>
      <c r="Q2365" s="34" t="str">
        <f aca="false">IF(AND(B2365&gt;=Cal_Start_Week,B2365&lt;=Cal_End_Week),"YES","")</f>
        <v>YES</v>
      </c>
    </row>
    <row r="2366" customFormat="false" ht="15" hidden="false" customHeight="false" outlineLevel="0" collapsed="false">
      <c r="A2366" s="31" t="str">
        <f aca="false">Demand_History!C2366</f>
        <v>BED-003</v>
      </c>
      <c r="B2366" s="31" t="n">
        <f aca="false">Demand_History!A2366</f>
        <v>77</v>
      </c>
      <c r="C2366" s="32" t="n">
        <f aca="false">Demand_History!D2366</f>
        <v>60</v>
      </c>
      <c r="D2366" s="33" t="n">
        <f aca="false">IF(B2366&gt;=2,C2365,"")</f>
        <v>41</v>
      </c>
      <c r="E2366" s="33" t="n">
        <f aca="false">IF(B2366&gt;=5,AVERAGE(C2362:C2365),"")</f>
        <v>62.75</v>
      </c>
      <c r="F2366" s="33" t="n">
        <f aca="false">IF(B2366&gt;=9,AVERAGE(C2358:C2365),"")</f>
        <v>48.375</v>
      </c>
      <c r="G2366" s="33" t="n">
        <f aca="false">IF(B2366=1,"",IF(B2366=2,C2365,SES_Alpha*C2365+(1-SES_Alpha)*G2365))</f>
        <v>54.4601461787221</v>
      </c>
      <c r="H2366" s="33" t="n">
        <f aca="false">IF(D2366="","",D2366-C2366)</f>
        <v>-19</v>
      </c>
      <c r="I2366" s="33" t="n">
        <f aca="false">IF(E2366="","",E2366-C2366)</f>
        <v>2.75</v>
      </c>
      <c r="J2366" s="33" t="n">
        <f aca="false">IF(F2366="","",F2366-C2366)</f>
        <v>-11.625</v>
      </c>
      <c r="K2366" s="33" t="n">
        <f aca="false">IF(G2366="","",G2366-C2366)</f>
        <v>-5.53985382127793</v>
      </c>
      <c r="L2366" s="33" t="n">
        <f aca="false">IF(H2366="","",ABS(H2366))</f>
        <v>19</v>
      </c>
      <c r="M2366" s="33" t="n">
        <f aca="false">IF(I2366="","",ABS(I2366))</f>
        <v>2.75</v>
      </c>
      <c r="N2366" s="33" t="n">
        <f aca="false">IF(J2366="","",ABS(J2366))</f>
        <v>11.625</v>
      </c>
      <c r="O2366" s="33" t="n">
        <f aca="false">IF(K2366="","",ABS(K2366))</f>
        <v>5.53985382127793</v>
      </c>
      <c r="P2366" s="34" t="str">
        <f aca="false">IF(B2366&gt;=Eval_Start_Week,"YES","")</f>
        <v>YES</v>
      </c>
      <c r="Q2366" s="34" t="str">
        <f aca="false">IF(AND(B2366&gt;=Cal_Start_Week,B2366&lt;=Cal_End_Week),"YES","")</f>
        <v>YES</v>
      </c>
    </row>
    <row r="2367" customFormat="false" ht="15" hidden="false" customHeight="false" outlineLevel="0" collapsed="false">
      <c r="A2367" s="31" t="str">
        <f aca="false">Demand_History!C2367</f>
        <v>BED-003</v>
      </c>
      <c r="B2367" s="31" t="n">
        <f aca="false">Demand_History!A2367</f>
        <v>78</v>
      </c>
      <c r="C2367" s="32" t="n">
        <f aca="false">Demand_History!D2367</f>
        <v>27</v>
      </c>
      <c r="D2367" s="33" t="n">
        <f aca="false">IF(B2367&gt;=2,C2366,"")</f>
        <v>60</v>
      </c>
      <c r="E2367" s="33" t="n">
        <f aca="false">IF(B2367&gt;=5,AVERAGE(C2363:C2366),"")</f>
        <v>65.5</v>
      </c>
      <c r="F2367" s="33" t="n">
        <f aca="false">IF(B2367&gt;=9,AVERAGE(C2359:C2366),"")</f>
        <v>51.5</v>
      </c>
      <c r="G2367" s="33" t="n">
        <f aca="false">IF(B2367=1,"",IF(B2367=2,C2366,SES_Alpha*C2366+(1-SES_Alpha)*G2366))</f>
        <v>56.1221023251054</v>
      </c>
      <c r="H2367" s="33" t="n">
        <f aca="false">IF(D2367="","",D2367-C2367)</f>
        <v>33</v>
      </c>
      <c r="I2367" s="33" t="n">
        <f aca="false">IF(E2367="","",E2367-C2367)</f>
        <v>38.5</v>
      </c>
      <c r="J2367" s="33" t="n">
        <f aca="false">IF(F2367="","",F2367-C2367)</f>
        <v>24.5</v>
      </c>
      <c r="K2367" s="33" t="n">
        <f aca="false">IF(G2367="","",G2367-C2367)</f>
        <v>29.1221023251054</v>
      </c>
      <c r="L2367" s="33" t="n">
        <f aca="false">IF(H2367="","",ABS(H2367))</f>
        <v>33</v>
      </c>
      <c r="M2367" s="33" t="n">
        <f aca="false">IF(I2367="","",ABS(I2367))</f>
        <v>38.5</v>
      </c>
      <c r="N2367" s="33" t="n">
        <f aca="false">IF(J2367="","",ABS(J2367))</f>
        <v>24.5</v>
      </c>
      <c r="O2367" s="33" t="n">
        <f aca="false">IF(K2367="","",ABS(K2367))</f>
        <v>29.1221023251054</v>
      </c>
      <c r="P2367" s="34" t="str">
        <f aca="false">IF(B2367&gt;=Eval_Start_Week,"YES","")</f>
        <v>YES</v>
      </c>
      <c r="Q2367" s="34" t="str">
        <f aca="false">IF(AND(B2367&gt;=Cal_Start_Week,B2367&lt;=Cal_End_Week),"YES","")</f>
        <v>YES</v>
      </c>
    </row>
    <row r="2368" customFormat="false" ht="15" hidden="false" customHeight="false" outlineLevel="0" collapsed="false">
      <c r="A2368" s="31" t="str">
        <f aca="false">Demand_History!C2368</f>
        <v>BED-003</v>
      </c>
      <c r="B2368" s="31" t="n">
        <f aca="false">Demand_History!A2368</f>
        <v>79</v>
      </c>
      <c r="C2368" s="32" t="n">
        <f aca="false">Demand_History!D2368</f>
        <v>39</v>
      </c>
      <c r="D2368" s="33" t="n">
        <f aca="false">IF(B2368&gt;=2,C2367,"")</f>
        <v>27</v>
      </c>
      <c r="E2368" s="33" t="n">
        <f aca="false">IF(B2368&gt;=5,AVERAGE(C2364:C2367),"")</f>
        <v>48</v>
      </c>
      <c r="F2368" s="33" t="n">
        <f aca="false">IF(B2368&gt;=9,AVERAGE(C2360:C2367),"")</f>
        <v>49.25</v>
      </c>
      <c r="G2368" s="33" t="n">
        <f aca="false">IF(B2368=1,"",IF(B2368=2,C2367,SES_Alpha*C2367+(1-SES_Alpha)*G2367))</f>
        <v>47.3854716275738</v>
      </c>
      <c r="H2368" s="33" t="n">
        <f aca="false">IF(D2368="","",D2368-C2368)</f>
        <v>-12</v>
      </c>
      <c r="I2368" s="33" t="n">
        <f aca="false">IF(E2368="","",E2368-C2368)</f>
        <v>9</v>
      </c>
      <c r="J2368" s="33" t="n">
        <f aca="false">IF(F2368="","",F2368-C2368)</f>
        <v>10.25</v>
      </c>
      <c r="K2368" s="33" t="n">
        <f aca="false">IF(G2368="","",G2368-C2368)</f>
        <v>8.38547162757381</v>
      </c>
      <c r="L2368" s="33" t="n">
        <f aca="false">IF(H2368="","",ABS(H2368))</f>
        <v>12</v>
      </c>
      <c r="M2368" s="33" t="n">
        <f aca="false">IF(I2368="","",ABS(I2368))</f>
        <v>9</v>
      </c>
      <c r="N2368" s="33" t="n">
        <f aca="false">IF(J2368="","",ABS(J2368))</f>
        <v>10.25</v>
      </c>
      <c r="O2368" s="33" t="n">
        <f aca="false">IF(K2368="","",ABS(K2368))</f>
        <v>8.38547162757381</v>
      </c>
      <c r="P2368" s="34" t="str">
        <f aca="false">IF(B2368&gt;=Eval_Start_Week,"YES","")</f>
        <v>YES</v>
      </c>
      <c r="Q2368" s="34" t="str">
        <f aca="false">IF(AND(B2368&gt;=Cal_Start_Week,B2368&lt;=Cal_End_Week),"YES","")</f>
        <v>YES</v>
      </c>
    </row>
    <row r="2369" customFormat="false" ht="15" hidden="false" customHeight="false" outlineLevel="0" collapsed="false">
      <c r="A2369" s="31" t="str">
        <f aca="false">Demand_History!C2369</f>
        <v>BED-003</v>
      </c>
      <c r="B2369" s="31" t="n">
        <f aca="false">Demand_History!A2369</f>
        <v>80</v>
      </c>
      <c r="C2369" s="32" t="n">
        <f aca="false">Demand_History!D2369</f>
        <v>16</v>
      </c>
      <c r="D2369" s="33" t="n">
        <f aca="false">IF(B2369&gt;=2,C2368,"")</f>
        <v>39</v>
      </c>
      <c r="E2369" s="33" t="n">
        <f aca="false">IF(B2369&gt;=5,AVERAGE(C2365:C2368),"")</f>
        <v>41.75</v>
      </c>
      <c r="F2369" s="33" t="n">
        <f aca="false">IF(B2369&gt;=9,AVERAGE(C2361:C2368),"")</f>
        <v>53.75</v>
      </c>
      <c r="G2369" s="33" t="n">
        <f aca="false">IF(B2369=1,"",IF(B2369=2,C2368,SES_Alpha*C2368+(1-SES_Alpha)*G2368))</f>
        <v>44.8698301393017</v>
      </c>
      <c r="H2369" s="33" t="n">
        <f aca="false">IF(D2369="","",D2369-C2369)</f>
        <v>23</v>
      </c>
      <c r="I2369" s="33" t="n">
        <f aca="false">IF(E2369="","",E2369-C2369)</f>
        <v>25.75</v>
      </c>
      <c r="J2369" s="33" t="n">
        <f aca="false">IF(F2369="","",F2369-C2369)</f>
        <v>37.75</v>
      </c>
      <c r="K2369" s="33" t="n">
        <f aca="false">IF(G2369="","",G2369-C2369)</f>
        <v>28.8698301393017</v>
      </c>
      <c r="L2369" s="33" t="n">
        <f aca="false">IF(H2369="","",ABS(H2369))</f>
        <v>23</v>
      </c>
      <c r="M2369" s="33" t="n">
        <f aca="false">IF(I2369="","",ABS(I2369))</f>
        <v>25.75</v>
      </c>
      <c r="N2369" s="33" t="n">
        <f aca="false">IF(J2369="","",ABS(J2369))</f>
        <v>37.75</v>
      </c>
      <c r="O2369" s="33" t="n">
        <f aca="false">IF(K2369="","",ABS(K2369))</f>
        <v>28.8698301393017</v>
      </c>
      <c r="P2369" s="34" t="str">
        <f aca="false">IF(B2369&gt;=Eval_Start_Week,"YES","")</f>
        <v>YES</v>
      </c>
      <c r="Q2369" s="34" t="str">
        <f aca="false">IF(AND(B2369&gt;=Cal_Start_Week,B2369&lt;=Cal_End_Week),"YES","")</f>
        <v>YES</v>
      </c>
    </row>
    <row r="2370" customFormat="false" ht="15" hidden="false" customHeight="false" outlineLevel="0" collapsed="false">
      <c r="A2370" s="31" t="str">
        <f aca="false">Demand_History!C2370</f>
        <v>BED-003</v>
      </c>
      <c r="B2370" s="31" t="n">
        <f aca="false">Demand_History!A2370</f>
        <v>81</v>
      </c>
      <c r="C2370" s="32" t="n">
        <f aca="false">Demand_History!D2370</f>
        <v>76</v>
      </c>
      <c r="D2370" s="33" t="n">
        <f aca="false">IF(B2370&gt;=2,C2369,"")</f>
        <v>16</v>
      </c>
      <c r="E2370" s="33" t="n">
        <f aca="false">IF(B2370&gt;=5,AVERAGE(C2366:C2369),"")</f>
        <v>35.5</v>
      </c>
      <c r="F2370" s="33" t="n">
        <f aca="false">IF(B2370&gt;=9,AVERAGE(C2362:C2369),"")</f>
        <v>49.125</v>
      </c>
      <c r="G2370" s="33" t="n">
        <f aca="false">IF(B2370=1,"",IF(B2370=2,C2369,SES_Alpha*C2369+(1-SES_Alpha)*G2369))</f>
        <v>36.2088810975112</v>
      </c>
      <c r="H2370" s="33" t="n">
        <f aca="false">IF(D2370="","",D2370-C2370)</f>
        <v>-60</v>
      </c>
      <c r="I2370" s="33" t="n">
        <f aca="false">IF(E2370="","",E2370-C2370)</f>
        <v>-40.5</v>
      </c>
      <c r="J2370" s="33" t="n">
        <f aca="false">IF(F2370="","",F2370-C2370)</f>
        <v>-26.875</v>
      </c>
      <c r="K2370" s="33" t="n">
        <f aca="false">IF(G2370="","",G2370-C2370)</f>
        <v>-39.7911189024888</v>
      </c>
      <c r="L2370" s="33" t="n">
        <f aca="false">IF(H2370="","",ABS(H2370))</f>
        <v>60</v>
      </c>
      <c r="M2370" s="33" t="n">
        <f aca="false">IF(I2370="","",ABS(I2370))</f>
        <v>40.5</v>
      </c>
      <c r="N2370" s="33" t="n">
        <f aca="false">IF(J2370="","",ABS(J2370))</f>
        <v>26.875</v>
      </c>
      <c r="O2370" s="33" t="n">
        <f aca="false">IF(K2370="","",ABS(K2370))</f>
        <v>39.7911189024888</v>
      </c>
      <c r="P2370" s="34" t="str">
        <f aca="false">IF(B2370&gt;=Eval_Start_Week,"YES","")</f>
        <v>YES</v>
      </c>
      <c r="Q2370" s="34" t="str">
        <f aca="false">IF(AND(B2370&gt;=Cal_Start_Week,B2370&lt;=Cal_End_Week),"YES","")</f>
        <v>YES</v>
      </c>
    </row>
    <row r="2371" customFormat="false" ht="15" hidden="false" customHeight="false" outlineLevel="0" collapsed="false">
      <c r="A2371" s="31" t="str">
        <f aca="false">Demand_History!C2371</f>
        <v>BED-003</v>
      </c>
      <c r="B2371" s="31" t="n">
        <f aca="false">Demand_History!A2371</f>
        <v>82</v>
      </c>
      <c r="C2371" s="32" t="n">
        <f aca="false">Demand_History!D2371</f>
        <v>61</v>
      </c>
      <c r="D2371" s="33" t="n">
        <f aca="false">IF(B2371&gt;=2,C2370,"")</f>
        <v>76</v>
      </c>
      <c r="E2371" s="33" t="n">
        <f aca="false">IF(B2371&gt;=5,AVERAGE(C2367:C2370),"")</f>
        <v>39.5</v>
      </c>
      <c r="F2371" s="33" t="n">
        <f aca="false">IF(B2371&gt;=9,AVERAGE(C2363:C2370),"")</f>
        <v>52.5</v>
      </c>
      <c r="G2371" s="33" t="n">
        <f aca="false">IF(B2371=1,"",IF(B2371=2,C2370,SES_Alpha*C2370+(1-SES_Alpha)*G2370))</f>
        <v>48.1462167682578</v>
      </c>
      <c r="H2371" s="33" t="n">
        <f aca="false">IF(D2371="","",D2371-C2371)</f>
        <v>15</v>
      </c>
      <c r="I2371" s="33" t="n">
        <f aca="false">IF(E2371="","",E2371-C2371)</f>
        <v>-21.5</v>
      </c>
      <c r="J2371" s="33" t="n">
        <f aca="false">IF(F2371="","",F2371-C2371)</f>
        <v>-8.5</v>
      </c>
      <c r="K2371" s="33" t="n">
        <f aca="false">IF(G2371="","",G2371-C2371)</f>
        <v>-12.8537832317422</v>
      </c>
      <c r="L2371" s="33" t="n">
        <f aca="false">IF(H2371="","",ABS(H2371))</f>
        <v>15</v>
      </c>
      <c r="M2371" s="33" t="n">
        <f aca="false">IF(I2371="","",ABS(I2371))</f>
        <v>21.5</v>
      </c>
      <c r="N2371" s="33" t="n">
        <f aca="false">IF(J2371="","",ABS(J2371))</f>
        <v>8.5</v>
      </c>
      <c r="O2371" s="33" t="n">
        <f aca="false">IF(K2371="","",ABS(K2371))</f>
        <v>12.8537832317422</v>
      </c>
      <c r="P2371" s="34" t="str">
        <f aca="false">IF(B2371&gt;=Eval_Start_Week,"YES","")</f>
        <v>YES</v>
      </c>
      <c r="Q2371" s="34" t="str">
        <f aca="false">IF(AND(B2371&gt;=Cal_Start_Week,B2371&lt;=Cal_End_Week),"YES","")</f>
        <v>YES</v>
      </c>
    </row>
    <row r="2372" customFormat="false" ht="15" hidden="false" customHeight="false" outlineLevel="0" collapsed="false">
      <c r="A2372" s="31" t="str">
        <f aca="false">Demand_History!C2372</f>
        <v>BED-003</v>
      </c>
      <c r="B2372" s="31" t="n">
        <f aca="false">Demand_History!A2372</f>
        <v>83</v>
      </c>
      <c r="C2372" s="32" t="n">
        <f aca="false">Demand_History!D2372</f>
        <v>28</v>
      </c>
      <c r="D2372" s="33" t="n">
        <f aca="false">IF(B2372&gt;=2,C2371,"")</f>
        <v>61</v>
      </c>
      <c r="E2372" s="33" t="n">
        <f aca="false">IF(B2372&gt;=5,AVERAGE(C2368:C2371),"")</f>
        <v>48</v>
      </c>
      <c r="F2372" s="33" t="n">
        <f aca="false">IF(B2372&gt;=9,AVERAGE(C2364:C2371),"")</f>
        <v>48</v>
      </c>
      <c r="G2372" s="33" t="n">
        <f aca="false">IF(B2372=1,"",IF(B2372=2,C2371,SES_Alpha*C2371+(1-SES_Alpha)*G2371))</f>
        <v>52.0023517377805</v>
      </c>
      <c r="H2372" s="33" t="n">
        <f aca="false">IF(D2372="","",D2372-C2372)</f>
        <v>33</v>
      </c>
      <c r="I2372" s="33" t="n">
        <f aca="false">IF(E2372="","",E2372-C2372)</f>
        <v>20</v>
      </c>
      <c r="J2372" s="33" t="n">
        <f aca="false">IF(F2372="","",F2372-C2372)</f>
        <v>20</v>
      </c>
      <c r="K2372" s="33" t="n">
        <f aca="false">IF(G2372="","",G2372-C2372)</f>
        <v>24.0023517377805</v>
      </c>
      <c r="L2372" s="33" t="n">
        <f aca="false">IF(H2372="","",ABS(H2372))</f>
        <v>33</v>
      </c>
      <c r="M2372" s="33" t="n">
        <f aca="false">IF(I2372="","",ABS(I2372))</f>
        <v>20</v>
      </c>
      <c r="N2372" s="33" t="n">
        <f aca="false">IF(J2372="","",ABS(J2372))</f>
        <v>20</v>
      </c>
      <c r="O2372" s="33" t="n">
        <f aca="false">IF(K2372="","",ABS(K2372))</f>
        <v>24.0023517377805</v>
      </c>
      <c r="P2372" s="34" t="str">
        <f aca="false">IF(B2372&gt;=Eval_Start_Week,"YES","")</f>
        <v>YES</v>
      </c>
      <c r="Q2372" s="34" t="str">
        <f aca="false">IF(AND(B2372&gt;=Cal_Start_Week,B2372&lt;=Cal_End_Week),"YES","")</f>
        <v>YES</v>
      </c>
    </row>
    <row r="2373" customFormat="false" ht="15" hidden="false" customHeight="false" outlineLevel="0" collapsed="false">
      <c r="A2373" s="31" t="str">
        <f aca="false">Demand_History!C2373</f>
        <v>BED-003</v>
      </c>
      <c r="B2373" s="31" t="n">
        <f aca="false">Demand_History!A2373</f>
        <v>84</v>
      </c>
      <c r="C2373" s="32" t="n">
        <f aca="false">Demand_History!D2373</f>
        <v>49</v>
      </c>
      <c r="D2373" s="33" t="n">
        <f aca="false">IF(B2373&gt;=2,C2372,"")</f>
        <v>28</v>
      </c>
      <c r="E2373" s="33" t="n">
        <f aca="false">IF(B2373&gt;=5,AVERAGE(C2369:C2372),"")</f>
        <v>45.25</v>
      </c>
      <c r="F2373" s="33" t="n">
        <f aca="false">IF(B2373&gt;=9,AVERAGE(C2365:C2372),"")</f>
        <v>43.5</v>
      </c>
      <c r="G2373" s="33" t="n">
        <f aca="false">IF(B2373=1,"",IF(B2373=2,C2372,SES_Alpha*C2372+(1-SES_Alpha)*G2372))</f>
        <v>44.8016462164463</v>
      </c>
      <c r="H2373" s="33" t="n">
        <f aca="false">IF(D2373="","",D2373-C2373)</f>
        <v>-21</v>
      </c>
      <c r="I2373" s="33" t="n">
        <f aca="false">IF(E2373="","",E2373-C2373)</f>
        <v>-3.75</v>
      </c>
      <c r="J2373" s="33" t="n">
        <f aca="false">IF(F2373="","",F2373-C2373)</f>
        <v>-5.5</v>
      </c>
      <c r="K2373" s="33" t="n">
        <f aca="false">IF(G2373="","",G2373-C2373)</f>
        <v>-4.19835378355367</v>
      </c>
      <c r="L2373" s="33" t="n">
        <f aca="false">IF(H2373="","",ABS(H2373))</f>
        <v>21</v>
      </c>
      <c r="M2373" s="33" t="n">
        <f aca="false">IF(I2373="","",ABS(I2373))</f>
        <v>3.75</v>
      </c>
      <c r="N2373" s="33" t="n">
        <f aca="false">IF(J2373="","",ABS(J2373))</f>
        <v>5.5</v>
      </c>
      <c r="O2373" s="33" t="n">
        <f aca="false">IF(K2373="","",ABS(K2373))</f>
        <v>4.19835378355367</v>
      </c>
      <c r="P2373" s="34" t="str">
        <f aca="false">IF(B2373&gt;=Eval_Start_Week,"YES","")</f>
        <v>YES</v>
      </c>
      <c r="Q2373" s="34" t="str">
        <f aca="false">IF(AND(B2373&gt;=Cal_Start_Week,B2373&lt;=Cal_End_Week),"YES","")</f>
        <v>YES</v>
      </c>
    </row>
    <row r="2374" customFormat="false" ht="15" hidden="false" customHeight="false" outlineLevel="0" collapsed="false">
      <c r="A2374" s="31" t="str">
        <f aca="false">Demand_History!C2374</f>
        <v>BED-003</v>
      </c>
      <c r="B2374" s="31" t="n">
        <f aca="false">Demand_History!A2374</f>
        <v>85</v>
      </c>
      <c r="C2374" s="32" t="n">
        <f aca="false">Demand_History!D2374</f>
        <v>67</v>
      </c>
      <c r="D2374" s="33" t="n">
        <f aca="false">IF(B2374&gt;=2,C2373,"")</f>
        <v>49</v>
      </c>
      <c r="E2374" s="33" t="n">
        <f aca="false">IF(B2374&gt;=5,AVERAGE(C2370:C2373),"")</f>
        <v>53.5</v>
      </c>
      <c r="F2374" s="33" t="n">
        <f aca="false">IF(B2374&gt;=9,AVERAGE(C2366:C2373),"")</f>
        <v>44.5</v>
      </c>
      <c r="G2374" s="33" t="n">
        <f aca="false">IF(B2374=1,"",IF(B2374=2,C2373,SES_Alpha*C2373+(1-SES_Alpha)*G2373))</f>
        <v>46.0611523515124</v>
      </c>
      <c r="H2374" s="33" t="n">
        <f aca="false">IF(D2374="","",D2374-C2374)</f>
        <v>-18</v>
      </c>
      <c r="I2374" s="33" t="n">
        <f aca="false">IF(E2374="","",E2374-C2374)</f>
        <v>-13.5</v>
      </c>
      <c r="J2374" s="33" t="n">
        <f aca="false">IF(F2374="","",F2374-C2374)</f>
        <v>-22.5</v>
      </c>
      <c r="K2374" s="33" t="n">
        <f aca="false">IF(G2374="","",G2374-C2374)</f>
        <v>-20.9388476484876</v>
      </c>
      <c r="L2374" s="33" t="n">
        <f aca="false">IF(H2374="","",ABS(H2374))</f>
        <v>18</v>
      </c>
      <c r="M2374" s="33" t="n">
        <f aca="false">IF(I2374="","",ABS(I2374))</f>
        <v>13.5</v>
      </c>
      <c r="N2374" s="33" t="n">
        <f aca="false">IF(J2374="","",ABS(J2374))</f>
        <v>22.5</v>
      </c>
      <c r="O2374" s="33" t="n">
        <f aca="false">IF(K2374="","",ABS(K2374))</f>
        <v>20.9388476484876</v>
      </c>
      <c r="P2374" s="34" t="str">
        <f aca="false">IF(B2374&gt;=Eval_Start_Week,"YES","")</f>
        <v>YES</v>
      </c>
      <c r="Q2374" s="34" t="str">
        <f aca="false">IF(AND(B2374&gt;=Cal_Start_Week,B2374&lt;=Cal_End_Week),"YES","")</f>
        <v>YES</v>
      </c>
    </row>
    <row r="2375" customFormat="false" ht="15" hidden="false" customHeight="false" outlineLevel="0" collapsed="false">
      <c r="A2375" s="31" t="str">
        <f aca="false">Demand_History!C2375</f>
        <v>BED-003</v>
      </c>
      <c r="B2375" s="31" t="n">
        <f aca="false">Demand_History!A2375</f>
        <v>86</v>
      </c>
      <c r="C2375" s="32" t="n">
        <f aca="false">Demand_History!D2375</f>
        <v>59</v>
      </c>
      <c r="D2375" s="33" t="n">
        <f aca="false">IF(B2375&gt;=2,C2374,"")</f>
        <v>67</v>
      </c>
      <c r="E2375" s="33" t="n">
        <f aca="false">IF(B2375&gt;=5,AVERAGE(C2371:C2374),"")</f>
        <v>51.25</v>
      </c>
      <c r="F2375" s="33" t="n">
        <f aca="false">IF(B2375&gt;=9,AVERAGE(C2367:C2374),"")</f>
        <v>45.375</v>
      </c>
      <c r="G2375" s="33" t="n">
        <f aca="false">IF(B2375=1,"",IF(B2375=2,C2374,SES_Alpha*C2374+(1-SES_Alpha)*G2374))</f>
        <v>52.3428066460587</v>
      </c>
      <c r="H2375" s="33" t="n">
        <f aca="false">IF(D2375="","",D2375-C2375)</f>
        <v>8</v>
      </c>
      <c r="I2375" s="33" t="n">
        <f aca="false">IF(E2375="","",E2375-C2375)</f>
        <v>-7.75</v>
      </c>
      <c r="J2375" s="33" t="n">
        <f aca="false">IF(F2375="","",F2375-C2375)</f>
        <v>-13.625</v>
      </c>
      <c r="K2375" s="33" t="n">
        <f aca="false">IF(G2375="","",G2375-C2375)</f>
        <v>-6.65719335394131</v>
      </c>
      <c r="L2375" s="33" t="n">
        <f aca="false">IF(H2375="","",ABS(H2375))</f>
        <v>8</v>
      </c>
      <c r="M2375" s="33" t="n">
        <f aca="false">IF(I2375="","",ABS(I2375))</f>
        <v>7.75</v>
      </c>
      <c r="N2375" s="33" t="n">
        <f aca="false">IF(J2375="","",ABS(J2375))</f>
        <v>13.625</v>
      </c>
      <c r="O2375" s="33" t="n">
        <f aca="false">IF(K2375="","",ABS(K2375))</f>
        <v>6.65719335394131</v>
      </c>
      <c r="P2375" s="34" t="str">
        <f aca="false">IF(B2375&gt;=Eval_Start_Week,"YES","")</f>
        <v>YES</v>
      </c>
      <c r="Q2375" s="34" t="str">
        <f aca="false">IF(AND(B2375&gt;=Cal_Start_Week,B2375&lt;=Cal_End_Week),"YES","")</f>
        <v>YES</v>
      </c>
    </row>
    <row r="2376" customFormat="false" ht="15" hidden="false" customHeight="false" outlineLevel="0" collapsed="false">
      <c r="A2376" s="31" t="str">
        <f aca="false">Demand_History!C2376</f>
        <v>BED-003</v>
      </c>
      <c r="B2376" s="31" t="n">
        <f aca="false">Demand_History!A2376</f>
        <v>87</v>
      </c>
      <c r="C2376" s="32" t="n">
        <f aca="false">Demand_History!D2376</f>
        <v>57</v>
      </c>
      <c r="D2376" s="33" t="n">
        <f aca="false">IF(B2376&gt;=2,C2375,"")</f>
        <v>59</v>
      </c>
      <c r="E2376" s="33" t="n">
        <f aca="false">IF(B2376&gt;=5,AVERAGE(C2372:C2375),"")</f>
        <v>50.75</v>
      </c>
      <c r="F2376" s="33" t="n">
        <f aca="false">IF(B2376&gt;=9,AVERAGE(C2368:C2375),"")</f>
        <v>49.375</v>
      </c>
      <c r="G2376" s="33" t="n">
        <f aca="false">IF(B2376=1,"",IF(B2376=2,C2375,SES_Alpha*C2375+(1-SES_Alpha)*G2375))</f>
        <v>54.3399646522411</v>
      </c>
      <c r="H2376" s="33" t="n">
        <f aca="false">IF(D2376="","",D2376-C2376)</f>
        <v>2</v>
      </c>
      <c r="I2376" s="33" t="n">
        <f aca="false">IF(E2376="","",E2376-C2376)</f>
        <v>-6.25</v>
      </c>
      <c r="J2376" s="33" t="n">
        <f aca="false">IF(F2376="","",F2376-C2376)</f>
        <v>-7.625</v>
      </c>
      <c r="K2376" s="33" t="n">
        <f aca="false">IF(G2376="","",G2376-C2376)</f>
        <v>-2.66003534775892</v>
      </c>
      <c r="L2376" s="33" t="n">
        <f aca="false">IF(H2376="","",ABS(H2376))</f>
        <v>2</v>
      </c>
      <c r="M2376" s="33" t="n">
        <f aca="false">IF(I2376="","",ABS(I2376))</f>
        <v>6.25</v>
      </c>
      <c r="N2376" s="33" t="n">
        <f aca="false">IF(J2376="","",ABS(J2376))</f>
        <v>7.625</v>
      </c>
      <c r="O2376" s="33" t="n">
        <f aca="false">IF(K2376="","",ABS(K2376))</f>
        <v>2.66003534775892</v>
      </c>
      <c r="P2376" s="34" t="str">
        <f aca="false">IF(B2376&gt;=Eval_Start_Week,"YES","")</f>
        <v>YES</v>
      </c>
      <c r="Q2376" s="34" t="str">
        <f aca="false">IF(AND(B2376&gt;=Cal_Start_Week,B2376&lt;=Cal_End_Week),"YES","")</f>
        <v>YES</v>
      </c>
    </row>
    <row r="2377" customFormat="false" ht="15" hidden="false" customHeight="false" outlineLevel="0" collapsed="false">
      <c r="A2377" s="31" t="str">
        <f aca="false">Demand_History!C2377</f>
        <v>BED-003</v>
      </c>
      <c r="B2377" s="31" t="n">
        <f aca="false">Demand_History!A2377</f>
        <v>88</v>
      </c>
      <c r="C2377" s="32" t="n">
        <f aca="false">Demand_History!D2377</f>
        <v>34</v>
      </c>
      <c r="D2377" s="33" t="n">
        <f aca="false">IF(B2377&gt;=2,C2376,"")</f>
        <v>57</v>
      </c>
      <c r="E2377" s="33" t="n">
        <f aca="false">IF(B2377&gt;=5,AVERAGE(C2373:C2376),"")</f>
        <v>58</v>
      </c>
      <c r="F2377" s="33" t="n">
        <f aca="false">IF(B2377&gt;=9,AVERAGE(C2369:C2376),"")</f>
        <v>51.625</v>
      </c>
      <c r="G2377" s="33" t="n">
        <f aca="false">IF(B2377=1,"",IF(B2377=2,C2376,SES_Alpha*C2376+(1-SES_Alpha)*G2376))</f>
        <v>55.1379752565688</v>
      </c>
      <c r="H2377" s="33" t="n">
        <f aca="false">IF(D2377="","",D2377-C2377)</f>
        <v>23</v>
      </c>
      <c r="I2377" s="33" t="n">
        <f aca="false">IF(E2377="","",E2377-C2377)</f>
        <v>24</v>
      </c>
      <c r="J2377" s="33" t="n">
        <f aca="false">IF(F2377="","",F2377-C2377)</f>
        <v>17.625</v>
      </c>
      <c r="K2377" s="33" t="n">
        <f aca="false">IF(G2377="","",G2377-C2377)</f>
        <v>21.1379752565688</v>
      </c>
      <c r="L2377" s="33" t="n">
        <f aca="false">IF(H2377="","",ABS(H2377))</f>
        <v>23</v>
      </c>
      <c r="M2377" s="33" t="n">
        <f aca="false">IF(I2377="","",ABS(I2377))</f>
        <v>24</v>
      </c>
      <c r="N2377" s="33" t="n">
        <f aca="false">IF(J2377="","",ABS(J2377))</f>
        <v>17.625</v>
      </c>
      <c r="O2377" s="33" t="n">
        <f aca="false">IF(K2377="","",ABS(K2377))</f>
        <v>21.1379752565688</v>
      </c>
      <c r="P2377" s="34" t="str">
        <f aca="false">IF(B2377&gt;=Eval_Start_Week,"YES","")</f>
        <v>YES</v>
      </c>
      <c r="Q2377" s="34" t="str">
        <f aca="false">IF(AND(B2377&gt;=Cal_Start_Week,B2377&lt;=Cal_End_Week),"YES","")</f>
        <v>YES</v>
      </c>
    </row>
    <row r="2378" customFormat="false" ht="15" hidden="false" customHeight="false" outlineLevel="0" collapsed="false">
      <c r="A2378" s="31" t="str">
        <f aca="false">Demand_History!C2378</f>
        <v>BED-003</v>
      </c>
      <c r="B2378" s="31" t="n">
        <f aca="false">Demand_History!A2378</f>
        <v>89</v>
      </c>
      <c r="C2378" s="32" t="n">
        <f aca="false">Demand_History!D2378</f>
        <v>38</v>
      </c>
      <c r="D2378" s="33" t="n">
        <f aca="false">IF(B2378&gt;=2,C2377,"")</f>
        <v>34</v>
      </c>
      <c r="E2378" s="33" t="n">
        <f aca="false">IF(B2378&gt;=5,AVERAGE(C2374:C2377),"")</f>
        <v>54.25</v>
      </c>
      <c r="F2378" s="33" t="n">
        <f aca="false">IF(B2378&gt;=9,AVERAGE(C2370:C2377),"")</f>
        <v>53.875</v>
      </c>
      <c r="G2378" s="33" t="n">
        <f aca="false">IF(B2378=1,"",IF(B2378=2,C2377,SES_Alpha*C2377+(1-SES_Alpha)*G2377))</f>
        <v>48.7965826795981</v>
      </c>
      <c r="H2378" s="33" t="n">
        <f aca="false">IF(D2378="","",D2378-C2378)</f>
        <v>-4</v>
      </c>
      <c r="I2378" s="33" t="n">
        <f aca="false">IF(E2378="","",E2378-C2378)</f>
        <v>16.25</v>
      </c>
      <c r="J2378" s="33" t="n">
        <f aca="false">IF(F2378="","",F2378-C2378)</f>
        <v>15.875</v>
      </c>
      <c r="K2378" s="33" t="n">
        <f aca="false">IF(G2378="","",G2378-C2378)</f>
        <v>10.7965826795981</v>
      </c>
      <c r="L2378" s="33" t="n">
        <f aca="false">IF(H2378="","",ABS(H2378))</f>
        <v>4</v>
      </c>
      <c r="M2378" s="33" t="n">
        <f aca="false">IF(I2378="","",ABS(I2378))</f>
        <v>16.25</v>
      </c>
      <c r="N2378" s="33" t="n">
        <f aca="false">IF(J2378="","",ABS(J2378))</f>
        <v>15.875</v>
      </c>
      <c r="O2378" s="33" t="n">
        <f aca="false">IF(K2378="","",ABS(K2378))</f>
        <v>10.7965826795981</v>
      </c>
      <c r="P2378" s="34" t="str">
        <f aca="false">IF(B2378&gt;=Eval_Start_Week,"YES","")</f>
        <v>YES</v>
      </c>
      <c r="Q2378" s="34" t="str">
        <f aca="false">IF(AND(B2378&gt;=Cal_Start_Week,B2378&lt;=Cal_End_Week),"YES","")</f>
        <v/>
      </c>
    </row>
    <row r="2379" customFormat="false" ht="15" hidden="false" customHeight="false" outlineLevel="0" collapsed="false">
      <c r="A2379" s="31" t="str">
        <f aca="false">Demand_History!C2379</f>
        <v>BED-003</v>
      </c>
      <c r="B2379" s="31" t="n">
        <f aca="false">Demand_History!A2379</f>
        <v>90</v>
      </c>
      <c r="C2379" s="32" t="n">
        <f aca="false">Demand_History!D2379</f>
        <v>52</v>
      </c>
      <c r="D2379" s="33" t="n">
        <f aca="false">IF(B2379&gt;=2,C2378,"")</f>
        <v>38</v>
      </c>
      <c r="E2379" s="33" t="n">
        <f aca="false">IF(B2379&gt;=5,AVERAGE(C2375:C2378),"")</f>
        <v>47</v>
      </c>
      <c r="F2379" s="33" t="n">
        <f aca="false">IF(B2379&gt;=9,AVERAGE(C2371:C2378),"")</f>
        <v>49.125</v>
      </c>
      <c r="G2379" s="33" t="n">
        <f aca="false">IF(B2379=1,"",IF(B2379=2,C2378,SES_Alpha*C2378+(1-SES_Alpha)*G2378))</f>
        <v>45.5576078757187</v>
      </c>
      <c r="H2379" s="33" t="n">
        <f aca="false">IF(D2379="","",D2379-C2379)</f>
        <v>-14</v>
      </c>
      <c r="I2379" s="33" t="n">
        <f aca="false">IF(E2379="","",E2379-C2379)</f>
        <v>-5</v>
      </c>
      <c r="J2379" s="33" t="n">
        <f aca="false">IF(F2379="","",F2379-C2379)</f>
        <v>-2.875</v>
      </c>
      <c r="K2379" s="33" t="n">
        <f aca="false">IF(G2379="","",G2379-C2379)</f>
        <v>-6.44239212428132</v>
      </c>
      <c r="L2379" s="33" t="n">
        <f aca="false">IF(H2379="","",ABS(H2379))</f>
        <v>14</v>
      </c>
      <c r="M2379" s="33" t="n">
        <f aca="false">IF(I2379="","",ABS(I2379))</f>
        <v>5</v>
      </c>
      <c r="N2379" s="33" t="n">
        <f aca="false">IF(J2379="","",ABS(J2379))</f>
        <v>2.875</v>
      </c>
      <c r="O2379" s="33" t="n">
        <f aca="false">IF(K2379="","",ABS(K2379))</f>
        <v>6.44239212428132</v>
      </c>
      <c r="P2379" s="34" t="str">
        <f aca="false">IF(B2379&gt;=Eval_Start_Week,"YES","")</f>
        <v>YES</v>
      </c>
      <c r="Q2379" s="34" t="str">
        <f aca="false">IF(AND(B2379&gt;=Cal_Start_Week,B2379&lt;=Cal_End_Week),"YES","")</f>
        <v/>
      </c>
    </row>
    <row r="2380" customFormat="false" ht="15" hidden="false" customHeight="false" outlineLevel="0" collapsed="false">
      <c r="A2380" s="31" t="str">
        <f aca="false">Demand_History!C2380</f>
        <v>BED-003</v>
      </c>
      <c r="B2380" s="31" t="n">
        <f aca="false">Demand_History!A2380</f>
        <v>91</v>
      </c>
      <c r="C2380" s="32" t="n">
        <f aca="false">Demand_History!D2380</f>
        <v>67</v>
      </c>
      <c r="D2380" s="33" t="n">
        <f aca="false">IF(B2380&gt;=2,C2379,"")</f>
        <v>52</v>
      </c>
      <c r="E2380" s="33" t="n">
        <f aca="false">IF(B2380&gt;=5,AVERAGE(C2376:C2379),"")</f>
        <v>45.25</v>
      </c>
      <c r="F2380" s="33" t="n">
        <f aca="false">IF(B2380&gt;=9,AVERAGE(C2372:C2379),"")</f>
        <v>48</v>
      </c>
      <c r="G2380" s="33" t="n">
        <f aca="false">IF(B2380=1,"",IF(B2380=2,C2379,SES_Alpha*C2379+(1-SES_Alpha)*G2379))</f>
        <v>47.4903255130031</v>
      </c>
      <c r="H2380" s="33" t="n">
        <f aca="false">IF(D2380="","",D2380-C2380)</f>
        <v>-15</v>
      </c>
      <c r="I2380" s="33" t="n">
        <f aca="false">IF(E2380="","",E2380-C2380)</f>
        <v>-21.75</v>
      </c>
      <c r="J2380" s="33" t="n">
        <f aca="false">IF(F2380="","",F2380-C2380)</f>
        <v>-19</v>
      </c>
      <c r="K2380" s="33" t="n">
        <f aca="false">IF(G2380="","",G2380-C2380)</f>
        <v>-19.5096744869969</v>
      </c>
      <c r="L2380" s="33" t="n">
        <f aca="false">IF(H2380="","",ABS(H2380))</f>
        <v>15</v>
      </c>
      <c r="M2380" s="33" t="n">
        <f aca="false">IF(I2380="","",ABS(I2380))</f>
        <v>21.75</v>
      </c>
      <c r="N2380" s="33" t="n">
        <f aca="false">IF(J2380="","",ABS(J2380))</f>
        <v>19</v>
      </c>
      <c r="O2380" s="33" t="n">
        <f aca="false">IF(K2380="","",ABS(K2380))</f>
        <v>19.5096744869969</v>
      </c>
      <c r="P2380" s="34" t="str">
        <f aca="false">IF(B2380&gt;=Eval_Start_Week,"YES","")</f>
        <v>YES</v>
      </c>
      <c r="Q2380" s="34" t="str">
        <f aca="false">IF(AND(B2380&gt;=Cal_Start_Week,B2380&lt;=Cal_End_Week),"YES","")</f>
        <v/>
      </c>
    </row>
    <row r="2381" customFormat="false" ht="15" hidden="false" customHeight="false" outlineLevel="0" collapsed="false">
      <c r="A2381" s="31" t="str">
        <f aca="false">Demand_History!C2381</f>
        <v>BED-003</v>
      </c>
      <c r="B2381" s="31" t="n">
        <f aca="false">Demand_History!A2381</f>
        <v>92</v>
      </c>
      <c r="C2381" s="32" t="n">
        <f aca="false">Demand_History!D2381</f>
        <v>35</v>
      </c>
      <c r="D2381" s="33" t="n">
        <f aca="false">IF(B2381&gt;=2,C2380,"")</f>
        <v>67</v>
      </c>
      <c r="E2381" s="33" t="n">
        <f aca="false">IF(B2381&gt;=5,AVERAGE(C2377:C2380),"")</f>
        <v>47.75</v>
      </c>
      <c r="F2381" s="33" t="n">
        <f aca="false">IF(B2381&gt;=9,AVERAGE(C2373:C2380),"")</f>
        <v>52.875</v>
      </c>
      <c r="G2381" s="33" t="n">
        <f aca="false">IF(B2381=1,"",IF(B2381=2,C2380,SES_Alpha*C2380+(1-SES_Alpha)*G2380))</f>
        <v>53.3432278591021</v>
      </c>
      <c r="H2381" s="33" t="n">
        <f aca="false">IF(D2381="","",D2381-C2381)</f>
        <v>32</v>
      </c>
      <c r="I2381" s="33" t="n">
        <f aca="false">IF(E2381="","",E2381-C2381)</f>
        <v>12.75</v>
      </c>
      <c r="J2381" s="33" t="n">
        <f aca="false">IF(F2381="","",F2381-C2381)</f>
        <v>17.875</v>
      </c>
      <c r="K2381" s="33" t="n">
        <f aca="false">IF(G2381="","",G2381-C2381)</f>
        <v>18.3432278591021</v>
      </c>
      <c r="L2381" s="33" t="n">
        <f aca="false">IF(H2381="","",ABS(H2381))</f>
        <v>32</v>
      </c>
      <c r="M2381" s="33" t="n">
        <f aca="false">IF(I2381="","",ABS(I2381))</f>
        <v>12.75</v>
      </c>
      <c r="N2381" s="33" t="n">
        <f aca="false">IF(J2381="","",ABS(J2381))</f>
        <v>17.875</v>
      </c>
      <c r="O2381" s="33" t="n">
        <f aca="false">IF(K2381="","",ABS(K2381))</f>
        <v>18.3432278591021</v>
      </c>
      <c r="P2381" s="34" t="str">
        <f aca="false">IF(B2381&gt;=Eval_Start_Week,"YES","")</f>
        <v>YES</v>
      </c>
      <c r="Q2381" s="34" t="str">
        <f aca="false">IF(AND(B2381&gt;=Cal_Start_Week,B2381&lt;=Cal_End_Week),"YES","")</f>
        <v/>
      </c>
    </row>
    <row r="2382" customFormat="false" ht="15" hidden="false" customHeight="false" outlineLevel="0" collapsed="false">
      <c r="A2382" s="31" t="str">
        <f aca="false">Demand_History!C2382</f>
        <v>BED-003</v>
      </c>
      <c r="B2382" s="31" t="n">
        <f aca="false">Demand_History!A2382</f>
        <v>93</v>
      </c>
      <c r="C2382" s="32" t="n">
        <f aca="false">Demand_History!D2382</f>
        <v>29</v>
      </c>
      <c r="D2382" s="33" t="n">
        <f aca="false">IF(B2382&gt;=2,C2381,"")</f>
        <v>35</v>
      </c>
      <c r="E2382" s="33" t="n">
        <f aca="false">IF(B2382&gt;=5,AVERAGE(C2378:C2381),"")</f>
        <v>48</v>
      </c>
      <c r="F2382" s="33" t="n">
        <f aca="false">IF(B2382&gt;=9,AVERAGE(C2374:C2381),"")</f>
        <v>51.125</v>
      </c>
      <c r="G2382" s="33" t="n">
        <f aca="false">IF(B2382=1,"",IF(B2382=2,C2381,SES_Alpha*C2381+(1-SES_Alpha)*G2381))</f>
        <v>47.8402595013715</v>
      </c>
      <c r="H2382" s="33" t="n">
        <f aca="false">IF(D2382="","",D2382-C2382)</f>
        <v>6</v>
      </c>
      <c r="I2382" s="33" t="n">
        <f aca="false">IF(E2382="","",E2382-C2382)</f>
        <v>19</v>
      </c>
      <c r="J2382" s="33" t="n">
        <f aca="false">IF(F2382="","",F2382-C2382)</f>
        <v>22.125</v>
      </c>
      <c r="K2382" s="33" t="n">
        <f aca="false">IF(G2382="","",G2382-C2382)</f>
        <v>18.8402595013715</v>
      </c>
      <c r="L2382" s="33" t="n">
        <f aca="false">IF(H2382="","",ABS(H2382))</f>
        <v>6</v>
      </c>
      <c r="M2382" s="33" t="n">
        <f aca="false">IF(I2382="","",ABS(I2382))</f>
        <v>19</v>
      </c>
      <c r="N2382" s="33" t="n">
        <f aca="false">IF(J2382="","",ABS(J2382))</f>
        <v>22.125</v>
      </c>
      <c r="O2382" s="33" t="n">
        <f aca="false">IF(K2382="","",ABS(K2382))</f>
        <v>18.8402595013715</v>
      </c>
      <c r="P2382" s="34" t="str">
        <f aca="false">IF(B2382&gt;=Eval_Start_Week,"YES","")</f>
        <v>YES</v>
      </c>
      <c r="Q2382" s="34" t="str">
        <f aca="false">IF(AND(B2382&gt;=Cal_Start_Week,B2382&lt;=Cal_End_Week),"YES","")</f>
        <v/>
      </c>
    </row>
    <row r="2383" customFormat="false" ht="15" hidden="false" customHeight="false" outlineLevel="0" collapsed="false">
      <c r="A2383" s="31" t="str">
        <f aca="false">Demand_History!C2383</f>
        <v>BED-003</v>
      </c>
      <c r="B2383" s="31" t="n">
        <f aca="false">Demand_History!A2383</f>
        <v>94</v>
      </c>
      <c r="C2383" s="32" t="n">
        <f aca="false">Demand_History!D2383</f>
        <v>71</v>
      </c>
      <c r="D2383" s="33" t="n">
        <f aca="false">IF(B2383&gt;=2,C2382,"")</f>
        <v>29</v>
      </c>
      <c r="E2383" s="33" t="n">
        <f aca="false">IF(B2383&gt;=5,AVERAGE(C2379:C2382),"")</f>
        <v>45.75</v>
      </c>
      <c r="F2383" s="33" t="n">
        <f aca="false">IF(B2383&gt;=9,AVERAGE(C2375:C2382),"")</f>
        <v>46.375</v>
      </c>
      <c r="G2383" s="33" t="n">
        <f aca="false">IF(B2383=1,"",IF(B2383=2,C2382,SES_Alpha*C2382+(1-SES_Alpha)*G2382))</f>
        <v>42.1881816509601</v>
      </c>
      <c r="H2383" s="33" t="n">
        <f aca="false">IF(D2383="","",D2383-C2383)</f>
        <v>-42</v>
      </c>
      <c r="I2383" s="33" t="n">
        <f aca="false">IF(E2383="","",E2383-C2383)</f>
        <v>-25.25</v>
      </c>
      <c r="J2383" s="33" t="n">
        <f aca="false">IF(F2383="","",F2383-C2383)</f>
        <v>-24.625</v>
      </c>
      <c r="K2383" s="33" t="n">
        <f aca="false">IF(G2383="","",G2383-C2383)</f>
        <v>-28.81181834904</v>
      </c>
      <c r="L2383" s="33" t="n">
        <f aca="false">IF(H2383="","",ABS(H2383))</f>
        <v>42</v>
      </c>
      <c r="M2383" s="33" t="n">
        <f aca="false">IF(I2383="","",ABS(I2383))</f>
        <v>25.25</v>
      </c>
      <c r="N2383" s="33" t="n">
        <f aca="false">IF(J2383="","",ABS(J2383))</f>
        <v>24.625</v>
      </c>
      <c r="O2383" s="33" t="n">
        <f aca="false">IF(K2383="","",ABS(K2383))</f>
        <v>28.81181834904</v>
      </c>
      <c r="P2383" s="34" t="str">
        <f aca="false">IF(B2383&gt;=Eval_Start_Week,"YES","")</f>
        <v>YES</v>
      </c>
      <c r="Q2383" s="34" t="str">
        <f aca="false">IF(AND(B2383&gt;=Cal_Start_Week,B2383&lt;=Cal_End_Week),"YES","")</f>
        <v/>
      </c>
    </row>
    <row r="2384" customFormat="false" ht="15" hidden="false" customHeight="false" outlineLevel="0" collapsed="false">
      <c r="A2384" s="31" t="str">
        <f aca="false">Demand_History!C2384</f>
        <v>BED-003</v>
      </c>
      <c r="B2384" s="31" t="n">
        <f aca="false">Demand_History!A2384</f>
        <v>95</v>
      </c>
      <c r="C2384" s="32" t="n">
        <f aca="false">Demand_History!D2384</f>
        <v>33</v>
      </c>
      <c r="D2384" s="33" t="n">
        <f aca="false">IF(B2384&gt;=2,C2383,"")</f>
        <v>71</v>
      </c>
      <c r="E2384" s="33" t="n">
        <f aca="false">IF(B2384&gt;=5,AVERAGE(C2380:C2383),"")</f>
        <v>50.5</v>
      </c>
      <c r="F2384" s="33" t="n">
        <f aca="false">IF(B2384&gt;=9,AVERAGE(C2376:C2383),"")</f>
        <v>47.875</v>
      </c>
      <c r="G2384" s="33" t="n">
        <f aca="false">IF(B2384=1,"",IF(B2384=2,C2383,SES_Alpha*C2383+(1-SES_Alpha)*G2383))</f>
        <v>50.831727155672</v>
      </c>
      <c r="H2384" s="33" t="n">
        <f aca="false">IF(D2384="","",D2384-C2384)</f>
        <v>38</v>
      </c>
      <c r="I2384" s="33" t="n">
        <f aca="false">IF(E2384="","",E2384-C2384)</f>
        <v>17.5</v>
      </c>
      <c r="J2384" s="33" t="n">
        <f aca="false">IF(F2384="","",F2384-C2384)</f>
        <v>14.875</v>
      </c>
      <c r="K2384" s="33" t="n">
        <f aca="false">IF(G2384="","",G2384-C2384)</f>
        <v>17.831727155672</v>
      </c>
      <c r="L2384" s="33" t="n">
        <f aca="false">IF(H2384="","",ABS(H2384))</f>
        <v>38</v>
      </c>
      <c r="M2384" s="33" t="n">
        <f aca="false">IF(I2384="","",ABS(I2384))</f>
        <v>17.5</v>
      </c>
      <c r="N2384" s="33" t="n">
        <f aca="false">IF(J2384="","",ABS(J2384))</f>
        <v>14.875</v>
      </c>
      <c r="O2384" s="33" t="n">
        <f aca="false">IF(K2384="","",ABS(K2384))</f>
        <v>17.831727155672</v>
      </c>
      <c r="P2384" s="34" t="str">
        <f aca="false">IF(B2384&gt;=Eval_Start_Week,"YES","")</f>
        <v>YES</v>
      </c>
      <c r="Q2384" s="34" t="str">
        <f aca="false">IF(AND(B2384&gt;=Cal_Start_Week,B2384&lt;=Cal_End_Week),"YES","")</f>
        <v/>
      </c>
    </row>
    <row r="2385" customFormat="false" ht="15" hidden="false" customHeight="false" outlineLevel="0" collapsed="false">
      <c r="A2385" s="31" t="str">
        <f aca="false">Demand_History!C2385</f>
        <v>BED-003</v>
      </c>
      <c r="B2385" s="31" t="n">
        <f aca="false">Demand_History!A2385</f>
        <v>96</v>
      </c>
      <c r="C2385" s="32" t="n">
        <f aca="false">Demand_History!D2385</f>
        <v>70</v>
      </c>
      <c r="D2385" s="33" t="n">
        <f aca="false">IF(B2385&gt;=2,C2384,"")</f>
        <v>33</v>
      </c>
      <c r="E2385" s="33" t="n">
        <f aca="false">IF(B2385&gt;=5,AVERAGE(C2381:C2384),"")</f>
        <v>42</v>
      </c>
      <c r="F2385" s="33" t="n">
        <f aca="false">IF(B2385&gt;=9,AVERAGE(C2377:C2384),"")</f>
        <v>44.875</v>
      </c>
      <c r="G2385" s="33" t="n">
        <f aca="false">IF(B2385=1,"",IF(B2385=2,C2384,SES_Alpha*C2384+(1-SES_Alpha)*G2384))</f>
        <v>45.4822090089704</v>
      </c>
      <c r="H2385" s="33" t="n">
        <f aca="false">IF(D2385="","",D2385-C2385)</f>
        <v>-37</v>
      </c>
      <c r="I2385" s="33" t="n">
        <f aca="false">IF(E2385="","",E2385-C2385)</f>
        <v>-28</v>
      </c>
      <c r="J2385" s="33" t="n">
        <f aca="false">IF(F2385="","",F2385-C2385)</f>
        <v>-25.125</v>
      </c>
      <c r="K2385" s="33" t="n">
        <f aca="false">IF(G2385="","",G2385-C2385)</f>
        <v>-24.5177909910296</v>
      </c>
      <c r="L2385" s="33" t="n">
        <f aca="false">IF(H2385="","",ABS(H2385))</f>
        <v>37</v>
      </c>
      <c r="M2385" s="33" t="n">
        <f aca="false">IF(I2385="","",ABS(I2385))</f>
        <v>28</v>
      </c>
      <c r="N2385" s="33" t="n">
        <f aca="false">IF(J2385="","",ABS(J2385))</f>
        <v>25.125</v>
      </c>
      <c r="O2385" s="33" t="n">
        <f aca="false">IF(K2385="","",ABS(K2385))</f>
        <v>24.5177909910296</v>
      </c>
      <c r="P2385" s="34" t="str">
        <f aca="false">IF(B2385&gt;=Eval_Start_Week,"YES","")</f>
        <v>YES</v>
      </c>
      <c r="Q2385" s="34" t="str">
        <f aca="false">IF(AND(B2385&gt;=Cal_Start_Week,B2385&lt;=Cal_End_Week),"YES","")</f>
        <v/>
      </c>
    </row>
    <row r="2386" customFormat="false" ht="15" hidden="false" customHeight="false" outlineLevel="0" collapsed="false">
      <c r="A2386" s="31" t="str">
        <f aca="false">Demand_History!C2386</f>
        <v>BED-003</v>
      </c>
      <c r="B2386" s="31" t="n">
        <f aca="false">Demand_History!A2386</f>
        <v>97</v>
      </c>
      <c r="C2386" s="32" t="n">
        <f aca="false">Demand_History!D2386</f>
        <v>54</v>
      </c>
      <c r="D2386" s="33" t="n">
        <f aca="false">IF(B2386&gt;=2,C2385,"")</f>
        <v>70</v>
      </c>
      <c r="E2386" s="33" t="n">
        <f aca="false">IF(B2386&gt;=5,AVERAGE(C2382:C2385),"")</f>
        <v>50.75</v>
      </c>
      <c r="F2386" s="33" t="n">
        <f aca="false">IF(B2386&gt;=9,AVERAGE(C2378:C2385),"")</f>
        <v>49.375</v>
      </c>
      <c r="G2386" s="33" t="n">
        <f aca="false">IF(B2386=1,"",IF(B2386=2,C2385,SES_Alpha*C2385+(1-SES_Alpha)*G2385))</f>
        <v>52.8375463062793</v>
      </c>
      <c r="H2386" s="33" t="n">
        <f aca="false">IF(D2386="","",D2386-C2386)</f>
        <v>16</v>
      </c>
      <c r="I2386" s="33" t="n">
        <f aca="false">IF(E2386="","",E2386-C2386)</f>
        <v>-3.25</v>
      </c>
      <c r="J2386" s="33" t="n">
        <f aca="false">IF(F2386="","",F2386-C2386)</f>
        <v>-4.625</v>
      </c>
      <c r="K2386" s="33" t="n">
        <f aca="false">IF(G2386="","",G2386-C2386)</f>
        <v>-1.16245369372071</v>
      </c>
      <c r="L2386" s="33" t="n">
        <f aca="false">IF(H2386="","",ABS(H2386))</f>
        <v>16</v>
      </c>
      <c r="M2386" s="33" t="n">
        <f aca="false">IF(I2386="","",ABS(I2386))</f>
        <v>3.25</v>
      </c>
      <c r="N2386" s="33" t="n">
        <f aca="false">IF(J2386="","",ABS(J2386))</f>
        <v>4.625</v>
      </c>
      <c r="O2386" s="33" t="n">
        <f aca="false">IF(K2386="","",ABS(K2386))</f>
        <v>1.16245369372071</v>
      </c>
      <c r="P2386" s="34" t="str">
        <f aca="false">IF(B2386&gt;=Eval_Start_Week,"YES","")</f>
        <v>YES</v>
      </c>
      <c r="Q2386" s="34" t="str">
        <f aca="false">IF(AND(B2386&gt;=Cal_Start_Week,B2386&lt;=Cal_End_Week),"YES","")</f>
        <v/>
      </c>
    </row>
    <row r="2387" customFormat="false" ht="15" hidden="false" customHeight="false" outlineLevel="0" collapsed="false">
      <c r="A2387" s="31" t="str">
        <f aca="false">Demand_History!C2387</f>
        <v>BED-003</v>
      </c>
      <c r="B2387" s="31" t="n">
        <f aca="false">Demand_History!A2387</f>
        <v>98</v>
      </c>
      <c r="C2387" s="32" t="n">
        <f aca="false">Demand_History!D2387</f>
        <v>66</v>
      </c>
      <c r="D2387" s="33" t="n">
        <f aca="false">IF(B2387&gt;=2,C2386,"")</f>
        <v>54</v>
      </c>
      <c r="E2387" s="33" t="n">
        <f aca="false">IF(B2387&gt;=5,AVERAGE(C2383:C2386),"")</f>
        <v>57</v>
      </c>
      <c r="F2387" s="33" t="n">
        <f aca="false">IF(B2387&gt;=9,AVERAGE(C2379:C2386),"")</f>
        <v>51.375</v>
      </c>
      <c r="G2387" s="33" t="n">
        <f aca="false">IF(B2387=1,"",IF(B2387=2,C2386,SES_Alpha*C2386+(1-SES_Alpha)*G2386))</f>
        <v>53.1862824143955</v>
      </c>
      <c r="H2387" s="33" t="n">
        <f aca="false">IF(D2387="","",D2387-C2387)</f>
        <v>-12</v>
      </c>
      <c r="I2387" s="33" t="n">
        <f aca="false">IF(E2387="","",E2387-C2387)</f>
        <v>-9</v>
      </c>
      <c r="J2387" s="33" t="n">
        <f aca="false">IF(F2387="","",F2387-C2387)</f>
        <v>-14.625</v>
      </c>
      <c r="K2387" s="33" t="n">
        <f aca="false">IF(G2387="","",G2387-C2387)</f>
        <v>-12.8137175856045</v>
      </c>
      <c r="L2387" s="33" t="n">
        <f aca="false">IF(H2387="","",ABS(H2387))</f>
        <v>12</v>
      </c>
      <c r="M2387" s="33" t="n">
        <f aca="false">IF(I2387="","",ABS(I2387))</f>
        <v>9</v>
      </c>
      <c r="N2387" s="33" t="n">
        <f aca="false">IF(J2387="","",ABS(J2387))</f>
        <v>14.625</v>
      </c>
      <c r="O2387" s="33" t="n">
        <f aca="false">IF(K2387="","",ABS(K2387))</f>
        <v>12.8137175856045</v>
      </c>
      <c r="P2387" s="34" t="str">
        <f aca="false">IF(B2387&gt;=Eval_Start_Week,"YES","")</f>
        <v>YES</v>
      </c>
      <c r="Q2387" s="34" t="str">
        <f aca="false">IF(AND(B2387&gt;=Cal_Start_Week,B2387&lt;=Cal_End_Week),"YES","")</f>
        <v/>
      </c>
    </row>
    <row r="2388" customFormat="false" ht="15" hidden="false" customHeight="false" outlineLevel="0" collapsed="false">
      <c r="A2388" s="31" t="str">
        <f aca="false">Demand_History!C2388</f>
        <v>BED-003</v>
      </c>
      <c r="B2388" s="31" t="n">
        <f aca="false">Demand_History!A2388</f>
        <v>99</v>
      </c>
      <c r="C2388" s="32" t="n">
        <f aca="false">Demand_History!D2388</f>
        <v>82</v>
      </c>
      <c r="D2388" s="33" t="n">
        <f aca="false">IF(B2388&gt;=2,C2387,"")</f>
        <v>66</v>
      </c>
      <c r="E2388" s="33" t="n">
        <f aca="false">IF(B2388&gt;=5,AVERAGE(C2384:C2387),"")</f>
        <v>55.75</v>
      </c>
      <c r="F2388" s="33" t="n">
        <f aca="false">IF(B2388&gt;=9,AVERAGE(C2380:C2387),"")</f>
        <v>53.125</v>
      </c>
      <c r="G2388" s="33" t="n">
        <f aca="false">IF(B2388=1,"",IF(B2388=2,C2387,SES_Alpha*C2387+(1-SES_Alpha)*G2387))</f>
        <v>57.0303976900769</v>
      </c>
      <c r="H2388" s="33" t="n">
        <f aca="false">IF(D2388="","",D2388-C2388)</f>
        <v>-16</v>
      </c>
      <c r="I2388" s="33" t="n">
        <f aca="false">IF(E2388="","",E2388-C2388)</f>
        <v>-26.25</v>
      </c>
      <c r="J2388" s="33" t="n">
        <f aca="false">IF(F2388="","",F2388-C2388)</f>
        <v>-28.875</v>
      </c>
      <c r="K2388" s="33" t="n">
        <f aca="false">IF(G2388="","",G2388-C2388)</f>
        <v>-24.9696023099231</v>
      </c>
      <c r="L2388" s="33" t="n">
        <f aca="false">IF(H2388="","",ABS(H2388))</f>
        <v>16</v>
      </c>
      <c r="M2388" s="33" t="n">
        <f aca="false">IF(I2388="","",ABS(I2388))</f>
        <v>26.25</v>
      </c>
      <c r="N2388" s="33" t="n">
        <f aca="false">IF(J2388="","",ABS(J2388))</f>
        <v>28.875</v>
      </c>
      <c r="O2388" s="33" t="n">
        <f aca="false">IF(K2388="","",ABS(K2388))</f>
        <v>24.9696023099231</v>
      </c>
      <c r="P2388" s="34" t="str">
        <f aca="false">IF(B2388&gt;=Eval_Start_Week,"YES","")</f>
        <v>YES</v>
      </c>
      <c r="Q2388" s="34" t="str">
        <f aca="false">IF(AND(B2388&gt;=Cal_Start_Week,B2388&lt;=Cal_End_Week),"YES","")</f>
        <v/>
      </c>
    </row>
    <row r="2389" customFormat="false" ht="15" hidden="false" customHeight="false" outlineLevel="0" collapsed="false">
      <c r="A2389" s="31" t="str">
        <f aca="false">Demand_History!C2389</f>
        <v>BED-003</v>
      </c>
      <c r="B2389" s="31" t="n">
        <f aca="false">Demand_History!A2389</f>
        <v>100</v>
      </c>
      <c r="C2389" s="32" t="n">
        <f aca="false">Demand_History!D2389</f>
        <v>63</v>
      </c>
      <c r="D2389" s="33" t="n">
        <f aca="false">IF(B2389&gt;=2,C2388,"")</f>
        <v>82</v>
      </c>
      <c r="E2389" s="33" t="n">
        <f aca="false">IF(B2389&gt;=5,AVERAGE(C2385:C2388),"")</f>
        <v>68</v>
      </c>
      <c r="F2389" s="33" t="n">
        <f aca="false">IF(B2389&gt;=9,AVERAGE(C2381:C2388),"")</f>
        <v>55</v>
      </c>
      <c r="G2389" s="33" t="n">
        <f aca="false">IF(B2389=1,"",IF(B2389=2,C2388,SES_Alpha*C2388+(1-SES_Alpha)*G2388))</f>
        <v>64.5212783830538</v>
      </c>
      <c r="H2389" s="33" t="n">
        <f aca="false">IF(D2389="","",D2389-C2389)</f>
        <v>19</v>
      </c>
      <c r="I2389" s="33" t="n">
        <f aca="false">IF(E2389="","",E2389-C2389)</f>
        <v>5</v>
      </c>
      <c r="J2389" s="33" t="n">
        <f aca="false">IF(F2389="","",F2389-C2389)</f>
        <v>-8</v>
      </c>
      <c r="K2389" s="33" t="n">
        <f aca="false">IF(G2389="","",G2389-C2389)</f>
        <v>1.5212783830538</v>
      </c>
      <c r="L2389" s="33" t="n">
        <f aca="false">IF(H2389="","",ABS(H2389))</f>
        <v>19</v>
      </c>
      <c r="M2389" s="33" t="n">
        <f aca="false">IF(I2389="","",ABS(I2389))</f>
        <v>5</v>
      </c>
      <c r="N2389" s="33" t="n">
        <f aca="false">IF(J2389="","",ABS(J2389))</f>
        <v>8</v>
      </c>
      <c r="O2389" s="33" t="n">
        <f aca="false">IF(K2389="","",ABS(K2389))</f>
        <v>1.5212783830538</v>
      </c>
      <c r="P2389" s="34" t="str">
        <f aca="false">IF(B2389&gt;=Eval_Start_Week,"YES","")</f>
        <v>YES</v>
      </c>
      <c r="Q2389" s="34" t="str">
        <f aca="false">IF(AND(B2389&gt;=Cal_Start_Week,B2389&lt;=Cal_End_Week),"YES","")</f>
        <v/>
      </c>
    </row>
    <row r="2390" customFormat="false" ht="15" hidden="false" customHeight="false" outlineLevel="0" collapsed="false">
      <c r="A2390" s="31" t="str">
        <f aca="false">Demand_History!C2390</f>
        <v>BED-003</v>
      </c>
      <c r="B2390" s="31" t="n">
        <f aca="false">Demand_History!A2390</f>
        <v>101</v>
      </c>
      <c r="C2390" s="32" t="n">
        <f aca="false">Demand_History!D2390</f>
        <v>64</v>
      </c>
      <c r="D2390" s="33" t="n">
        <f aca="false">IF(B2390&gt;=2,C2389,"")</f>
        <v>63</v>
      </c>
      <c r="E2390" s="33" t="n">
        <f aca="false">IF(B2390&gt;=5,AVERAGE(C2386:C2389),"")</f>
        <v>66.25</v>
      </c>
      <c r="F2390" s="33" t="n">
        <f aca="false">IF(B2390&gt;=9,AVERAGE(C2382:C2389),"")</f>
        <v>58.5</v>
      </c>
      <c r="G2390" s="33" t="n">
        <f aca="false">IF(B2390=1,"",IF(B2390=2,C2389,SES_Alpha*C2389+(1-SES_Alpha)*G2389))</f>
        <v>64.0648948681377</v>
      </c>
      <c r="H2390" s="33" t="n">
        <f aca="false">IF(D2390="","",D2390-C2390)</f>
        <v>-1</v>
      </c>
      <c r="I2390" s="33" t="n">
        <f aca="false">IF(E2390="","",E2390-C2390)</f>
        <v>2.25</v>
      </c>
      <c r="J2390" s="33" t="n">
        <f aca="false">IF(F2390="","",F2390-C2390)</f>
        <v>-5.5</v>
      </c>
      <c r="K2390" s="33" t="n">
        <f aca="false">IF(G2390="","",G2390-C2390)</f>
        <v>0.0648948681376567</v>
      </c>
      <c r="L2390" s="33" t="n">
        <f aca="false">IF(H2390="","",ABS(H2390))</f>
        <v>1</v>
      </c>
      <c r="M2390" s="33" t="n">
        <f aca="false">IF(I2390="","",ABS(I2390))</f>
        <v>2.25</v>
      </c>
      <c r="N2390" s="33" t="n">
        <f aca="false">IF(J2390="","",ABS(J2390))</f>
        <v>5.5</v>
      </c>
      <c r="O2390" s="33" t="n">
        <f aca="false">IF(K2390="","",ABS(K2390))</f>
        <v>0.0648948681376567</v>
      </c>
      <c r="P2390" s="34" t="str">
        <f aca="false">IF(B2390&gt;=Eval_Start_Week,"YES","")</f>
        <v>YES</v>
      </c>
      <c r="Q2390" s="34" t="str">
        <f aca="false">IF(AND(B2390&gt;=Cal_Start_Week,B2390&lt;=Cal_End_Week),"YES","")</f>
        <v/>
      </c>
    </row>
    <row r="2391" customFormat="false" ht="15" hidden="false" customHeight="false" outlineLevel="0" collapsed="false">
      <c r="A2391" s="31" t="str">
        <f aca="false">Demand_History!C2391</f>
        <v>BED-003</v>
      </c>
      <c r="B2391" s="31" t="n">
        <f aca="false">Demand_History!A2391</f>
        <v>102</v>
      </c>
      <c r="C2391" s="32" t="n">
        <f aca="false">Demand_History!D2391</f>
        <v>33</v>
      </c>
      <c r="D2391" s="33" t="n">
        <f aca="false">IF(B2391&gt;=2,C2390,"")</f>
        <v>64</v>
      </c>
      <c r="E2391" s="33" t="n">
        <f aca="false">IF(B2391&gt;=5,AVERAGE(C2387:C2390),"")</f>
        <v>68.75</v>
      </c>
      <c r="F2391" s="33" t="n">
        <f aca="false">IF(B2391&gt;=9,AVERAGE(C2383:C2390),"")</f>
        <v>62.875</v>
      </c>
      <c r="G2391" s="33" t="n">
        <f aca="false">IF(B2391=1,"",IF(B2391=2,C2390,SES_Alpha*C2390+(1-SES_Alpha)*G2390))</f>
        <v>64.0454264076964</v>
      </c>
      <c r="H2391" s="33" t="n">
        <f aca="false">IF(D2391="","",D2391-C2391)</f>
        <v>31</v>
      </c>
      <c r="I2391" s="33" t="n">
        <f aca="false">IF(E2391="","",E2391-C2391)</f>
        <v>35.75</v>
      </c>
      <c r="J2391" s="33" t="n">
        <f aca="false">IF(F2391="","",F2391-C2391)</f>
        <v>29.875</v>
      </c>
      <c r="K2391" s="33" t="n">
        <f aca="false">IF(G2391="","",G2391-C2391)</f>
        <v>31.0454264076964</v>
      </c>
      <c r="L2391" s="33" t="n">
        <f aca="false">IF(H2391="","",ABS(H2391))</f>
        <v>31</v>
      </c>
      <c r="M2391" s="33" t="n">
        <f aca="false">IF(I2391="","",ABS(I2391))</f>
        <v>35.75</v>
      </c>
      <c r="N2391" s="33" t="n">
        <f aca="false">IF(J2391="","",ABS(J2391))</f>
        <v>29.875</v>
      </c>
      <c r="O2391" s="33" t="n">
        <f aca="false">IF(K2391="","",ABS(K2391))</f>
        <v>31.0454264076964</v>
      </c>
      <c r="P2391" s="34" t="str">
        <f aca="false">IF(B2391&gt;=Eval_Start_Week,"YES","")</f>
        <v>YES</v>
      </c>
      <c r="Q2391" s="34" t="str">
        <f aca="false">IF(AND(B2391&gt;=Cal_Start_Week,B2391&lt;=Cal_End_Week),"YES","")</f>
        <v/>
      </c>
    </row>
    <row r="2392" customFormat="false" ht="15" hidden="false" customHeight="false" outlineLevel="0" collapsed="false">
      <c r="A2392" s="31" t="str">
        <f aca="false">Demand_History!C2392</f>
        <v>BED-003</v>
      </c>
      <c r="B2392" s="31" t="n">
        <f aca="false">Demand_History!A2392</f>
        <v>103</v>
      </c>
      <c r="C2392" s="32" t="n">
        <f aca="false">Demand_History!D2392</f>
        <v>37</v>
      </c>
      <c r="D2392" s="33" t="n">
        <f aca="false">IF(B2392&gt;=2,C2391,"")</f>
        <v>33</v>
      </c>
      <c r="E2392" s="33" t="n">
        <f aca="false">IF(B2392&gt;=5,AVERAGE(C2388:C2391),"")</f>
        <v>60.5</v>
      </c>
      <c r="F2392" s="33" t="n">
        <f aca="false">IF(B2392&gt;=9,AVERAGE(C2384:C2391),"")</f>
        <v>58.125</v>
      </c>
      <c r="G2392" s="33" t="n">
        <f aca="false">IF(B2392=1,"",IF(B2392=2,C2391,SES_Alpha*C2391+(1-SES_Alpha)*G2391))</f>
        <v>54.7317984853874</v>
      </c>
      <c r="H2392" s="33" t="n">
        <f aca="false">IF(D2392="","",D2392-C2392)</f>
        <v>-4</v>
      </c>
      <c r="I2392" s="33" t="n">
        <f aca="false">IF(E2392="","",E2392-C2392)</f>
        <v>23.5</v>
      </c>
      <c r="J2392" s="33" t="n">
        <f aca="false">IF(F2392="","",F2392-C2392)</f>
        <v>21.125</v>
      </c>
      <c r="K2392" s="33" t="n">
        <f aca="false">IF(G2392="","",G2392-C2392)</f>
        <v>17.7317984853874</v>
      </c>
      <c r="L2392" s="33" t="n">
        <f aca="false">IF(H2392="","",ABS(H2392))</f>
        <v>4</v>
      </c>
      <c r="M2392" s="33" t="n">
        <f aca="false">IF(I2392="","",ABS(I2392))</f>
        <v>23.5</v>
      </c>
      <c r="N2392" s="33" t="n">
        <f aca="false">IF(J2392="","",ABS(J2392))</f>
        <v>21.125</v>
      </c>
      <c r="O2392" s="33" t="n">
        <f aca="false">IF(K2392="","",ABS(K2392))</f>
        <v>17.7317984853874</v>
      </c>
      <c r="P2392" s="34" t="str">
        <f aca="false">IF(B2392&gt;=Eval_Start_Week,"YES","")</f>
        <v>YES</v>
      </c>
      <c r="Q2392" s="34" t="str">
        <f aca="false">IF(AND(B2392&gt;=Cal_Start_Week,B2392&lt;=Cal_End_Week),"YES","")</f>
        <v/>
      </c>
    </row>
    <row r="2393" customFormat="false" ht="15" hidden="false" customHeight="false" outlineLevel="0" collapsed="false">
      <c r="A2393" s="31" t="str">
        <f aca="false">Demand_History!C2393</f>
        <v>BED-003</v>
      </c>
      <c r="B2393" s="31" t="n">
        <f aca="false">Demand_History!A2393</f>
        <v>104</v>
      </c>
      <c r="C2393" s="32" t="n">
        <f aca="false">Demand_History!D2393</f>
        <v>62</v>
      </c>
      <c r="D2393" s="33" t="n">
        <f aca="false">IF(B2393&gt;=2,C2392,"")</f>
        <v>37</v>
      </c>
      <c r="E2393" s="33" t="n">
        <f aca="false">IF(B2393&gt;=5,AVERAGE(C2389:C2392),"")</f>
        <v>49.25</v>
      </c>
      <c r="F2393" s="33" t="n">
        <f aca="false">IF(B2393&gt;=9,AVERAGE(C2385:C2392),"")</f>
        <v>58.625</v>
      </c>
      <c r="G2393" s="33" t="n">
        <f aca="false">IF(B2393=1,"",IF(B2393=2,C2392,SES_Alpha*C2392+(1-SES_Alpha)*G2392))</f>
        <v>49.4122589397712</v>
      </c>
      <c r="H2393" s="33" t="n">
        <f aca="false">IF(D2393="","",D2393-C2393)</f>
        <v>-25</v>
      </c>
      <c r="I2393" s="33" t="n">
        <f aca="false">IF(E2393="","",E2393-C2393)</f>
        <v>-12.75</v>
      </c>
      <c r="J2393" s="33" t="n">
        <f aca="false">IF(F2393="","",F2393-C2393)</f>
        <v>-3.375</v>
      </c>
      <c r="K2393" s="33" t="n">
        <f aca="false">IF(G2393="","",G2393-C2393)</f>
        <v>-12.5877410602288</v>
      </c>
      <c r="L2393" s="33" t="n">
        <f aca="false">IF(H2393="","",ABS(H2393))</f>
        <v>25</v>
      </c>
      <c r="M2393" s="33" t="n">
        <f aca="false">IF(I2393="","",ABS(I2393))</f>
        <v>12.75</v>
      </c>
      <c r="N2393" s="33" t="n">
        <f aca="false">IF(J2393="","",ABS(J2393))</f>
        <v>3.375</v>
      </c>
      <c r="O2393" s="33" t="n">
        <f aca="false">IF(K2393="","",ABS(K2393))</f>
        <v>12.5877410602288</v>
      </c>
      <c r="P2393" s="34" t="str">
        <f aca="false">IF(B2393&gt;=Eval_Start_Week,"YES","")</f>
        <v>YES</v>
      </c>
      <c r="Q2393" s="34" t="str">
        <f aca="false">IF(AND(B2393&gt;=Cal_Start_Week,B2393&lt;=Cal_End_Week),"YES","")</f>
        <v/>
      </c>
    </row>
    <row r="2394" customFormat="false" ht="15" hidden="false" customHeight="false" outlineLevel="0" collapsed="false">
      <c r="A2394" s="31" t="str">
        <f aca="false">Demand_History!C2394</f>
        <v>BED-004</v>
      </c>
      <c r="B2394" s="31" t="n">
        <f aca="false">Demand_History!A2394</f>
        <v>1</v>
      </c>
      <c r="C2394" s="32" t="n">
        <f aca="false">Demand_History!D2394</f>
        <v>43</v>
      </c>
      <c r="D2394" s="33" t="str">
        <f aca="false">IF(B2394&gt;=2,C2393,"")</f>
        <v/>
      </c>
      <c r="E2394" s="33" t="str">
        <f aca="false">IF(B2394&gt;=5,AVERAGE(C2390:C2393),"")</f>
        <v/>
      </c>
      <c r="F2394" s="33" t="str">
        <f aca="false">IF(B2394&gt;=9,AVERAGE(C2386:C2393),"")</f>
        <v/>
      </c>
      <c r="G2394" s="33" t="str">
        <f aca="false">IF(B2394=1,"",IF(B2394=2,C2393,SES_Alpha*C2393+(1-SES_Alpha)*G2393))</f>
        <v/>
      </c>
      <c r="H2394" s="33" t="str">
        <f aca="false">IF(D2394="","",D2394-C2394)</f>
        <v/>
      </c>
      <c r="I2394" s="33" t="str">
        <f aca="false">IF(E2394="","",E2394-C2394)</f>
        <v/>
      </c>
      <c r="J2394" s="33" t="str">
        <f aca="false">IF(F2394="","",F2394-C2394)</f>
        <v/>
      </c>
      <c r="K2394" s="33" t="str">
        <f aca="false">IF(G2394="","",G2394-C2394)</f>
        <v/>
      </c>
      <c r="L2394" s="33" t="str">
        <f aca="false">IF(H2394="","",ABS(H2394))</f>
        <v/>
      </c>
      <c r="M2394" s="33" t="str">
        <f aca="false">IF(I2394="","",ABS(I2394))</f>
        <v/>
      </c>
      <c r="N2394" s="33" t="str">
        <f aca="false">IF(J2394="","",ABS(J2394))</f>
        <v/>
      </c>
      <c r="O2394" s="33" t="str">
        <f aca="false">IF(K2394="","",ABS(K2394))</f>
        <v/>
      </c>
      <c r="P2394" s="34" t="str">
        <f aca="false">IF(B2394&gt;=Eval_Start_Week,"YES","")</f>
        <v/>
      </c>
      <c r="Q2394" s="34" t="str">
        <f aca="false">IF(AND(B2394&gt;=Cal_Start_Week,B2394&lt;=Cal_End_Week),"YES","")</f>
        <v/>
      </c>
    </row>
    <row r="2395" customFormat="false" ht="15" hidden="false" customHeight="false" outlineLevel="0" collapsed="false">
      <c r="A2395" s="31" t="str">
        <f aca="false">Demand_History!C2395</f>
        <v>BED-004</v>
      </c>
      <c r="B2395" s="31" t="n">
        <f aca="false">Demand_History!A2395</f>
        <v>2</v>
      </c>
      <c r="C2395" s="32" t="n">
        <f aca="false">Demand_History!D2395</f>
        <v>43</v>
      </c>
      <c r="D2395" s="33" t="n">
        <f aca="false">IF(B2395&gt;=2,C2394,"")</f>
        <v>43</v>
      </c>
      <c r="E2395" s="33" t="str">
        <f aca="false">IF(B2395&gt;=5,AVERAGE(C2391:C2394),"")</f>
        <v/>
      </c>
      <c r="F2395" s="33" t="str">
        <f aca="false">IF(B2395&gt;=9,AVERAGE(C2387:C2394),"")</f>
        <v/>
      </c>
      <c r="G2395" s="33" t="n">
        <f aca="false">IF(B2395=1,"",IF(B2395=2,C2394,SES_Alpha*C2394+(1-SES_Alpha)*G2394))</f>
        <v>43</v>
      </c>
      <c r="H2395" s="33" t="n">
        <f aca="false">IF(D2395="","",D2395-C2395)</f>
        <v>0</v>
      </c>
      <c r="I2395" s="33" t="str">
        <f aca="false">IF(E2395="","",E2395-C2395)</f>
        <v/>
      </c>
      <c r="J2395" s="33" t="str">
        <f aca="false">IF(F2395="","",F2395-C2395)</f>
        <v/>
      </c>
      <c r="K2395" s="33" t="n">
        <f aca="false">IF(G2395="","",G2395-C2395)</f>
        <v>0</v>
      </c>
      <c r="L2395" s="33" t="n">
        <f aca="false">IF(H2395="","",ABS(H2395))</f>
        <v>0</v>
      </c>
      <c r="M2395" s="33" t="str">
        <f aca="false">IF(I2395="","",ABS(I2395))</f>
        <v/>
      </c>
      <c r="N2395" s="33" t="str">
        <f aca="false">IF(J2395="","",ABS(J2395))</f>
        <v/>
      </c>
      <c r="O2395" s="33" t="n">
        <f aca="false">IF(K2395="","",ABS(K2395))</f>
        <v>0</v>
      </c>
      <c r="P2395" s="34" t="str">
        <f aca="false">IF(B2395&gt;=Eval_Start_Week,"YES","")</f>
        <v/>
      </c>
      <c r="Q2395" s="34" t="str">
        <f aca="false">IF(AND(B2395&gt;=Cal_Start_Week,B2395&lt;=Cal_End_Week),"YES","")</f>
        <v/>
      </c>
    </row>
    <row r="2396" customFormat="false" ht="15" hidden="false" customHeight="false" outlineLevel="0" collapsed="false">
      <c r="A2396" s="31" t="str">
        <f aca="false">Demand_History!C2396</f>
        <v>BED-004</v>
      </c>
      <c r="B2396" s="31" t="n">
        <f aca="false">Demand_History!A2396</f>
        <v>3</v>
      </c>
      <c r="C2396" s="32" t="n">
        <f aca="false">Demand_History!D2396</f>
        <v>48</v>
      </c>
      <c r="D2396" s="33" t="n">
        <f aca="false">IF(B2396&gt;=2,C2395,"")</f>
        <v>43</v>
      </c>
      <c r="E2396" s="33" t="str">
        <f aca="false">IF(B2396&gt;=5,AVERAGE(C2392:C2395),"")</f>
        <v/>
      </c>
      <c r="F2396" s="33" t="str">
        <f aca="false">IF(B2396&gt;=9,AVERAGE(C2388:C2395),"")</f>
        <v/>
      </c>
      <c r="G2396" s="33" t="n">
        <f aca="false">IF(B2396=1,"",IF(B2396=2,C2395,SES_Alpha*C2395+(1-SES_Alpha)*G2395))</f>
        <v>43</v>
      </c>
      <c r="H2396" s="33" t="n">
        <f aca="false">IF(D2396="","",D2396-C2396)</f>
        <v>-5</v>
      </c>
      <c r="I2396" s="33" t="str">
        <f aca="false">IF(E2396="","",E2396-C2396)</f>
        <v/>
      </c>
      <c r="J2396" s="33" t="str">
        <f aca="false">IF(F2396="","",F2396-C2396)</f>
        <v/>
      </c>
      <c r="K2396" s="33" t="n">
        <f aca="false">IF(G2396="","",G2396-C2396)</f>
        <v>-5</v>
      </c>
      <c r="L2396" s="33" t="n">
        <f aca="false">IF(H2396="","",ABS(H2396))</f>
        <v>5</v>
      </c>
      <c r="M2396" s="33" t="str">
        <f aca="false">IF(I2396="","",ABS(I2396))</f>
        <v/>
      </c>
      <c r="N2396" s="33" t="str">
        <f aca="false">IF(J2396="","",ABS(J2396))</f>
        <v/>
      </c>
      <c r="O2396" s="33" t="n">
        <f aca="false">IF(K2396="","",ABS(K2396))</f>
        <v>5</v>
      </c>
      <c r="P2396" s="34" t="str">
        <f aca="false">IF(B2396&gt;=Eval_Start_Week,"YES","")</f>
        <v/>
      </c>
      <c r="Q2396" s="34" t="str">
        <f aca="false">IF(AND(B2396&gt;=Cal_Start_Week,B2396&lt;=Cal_End_Week),"YES","")</f>
        <v/>
      </c>
    </row>
    <row r="2397" customFormat="false" ht="15" hidden="false" customHeight="false" outlineLevel="0" collapsed="false">
      <c r="A2397" s="31" t="str">
        <f aca="false">Demand_History!C2397</f>
        <v>BED-004</v>
      </c>
      <c r="B2397" s="31" t="n">
        <f aca="false">Demand_History!A2397</f>
        <v>4</v>
      </c>
      <c r="C2397" s="32" t="n">
        <f aca="false">Demand_History!D2397</f>
        <v>39</v>
      </c>
      <c r="D2397" s="33" t="n">
        <f aca="false">IF(B2397&gt;=2,C2396,"")</f>
        <v>48</v>
      </c>
      <c r="E2397" s="33" t="str">
        <f aca="false">IF(B2397&gt;=5,AVERAGE(C2393:C2396),"")</f>
        <v/>
      </c>
      <c r="F2397" s="33" t="str">
        <f aca="false">IF(B2397&gt;=9,AVERAGE(C2389:C2396),"")</f>
        <v/>
      </c>
      <c r="G2397" s="33" t="n">
        <f aca="false">IF(B2397=1,"",IF(B2397=2,C2396,SES_Alpha*C2396+(1-SES_Alpha)*G2396))</f>
        <v>44.5</v>
      </c>
      <c r="H2397" s="33" t="n">
        <f aca="false">IF(D2397="","",D2397-C2397)</f>
        <v>9</v>
      </c>
      <c r="I2397" s="33" t="str">
        <f aca="false">IF(E2397="","",E2397-C2397)</f>
        <v/>
      </c>
      <c r="J2397" s="33" t="str">
        <f aca="false">IF(F2397="","",F2397-C2397)</f>
        <v/>
      </c>
      <c r="K2397" s="33" t="n">
        <f aca="false">IF(G2397="","",G2397-C2397)</f>
        <v>5.5</v>
      </c>
      <c r="L2397" s="33" t="n">
        <f aca="false">IF(H2397="","",ABS(H2397))</f>
        <v>9</v>
      </c>
      <c r="M2397" s="33" t="str">
        <f aca="false">IF(I2397="","",ABS(I2397))</f>
        <v/>
      </c>
      <c r="N2397" s="33" t="str">
        <f aca="false">IF(J2397="","",ABS(J2397))</f>
        <v/>
      </c>
      <c r="O2397" s="33" t="n">
        <f aca="false">IF(K2397="","",ABS(K2397))</f>
        <v>5.5</v>
      </c>
      <c r="P2397" s="34" t="str">
        <f aca="false">IF(B2397&gt;=Eval_Start_Week,"YES","")</f>
        <v/>
      </c>
      <c r="Q2397" s="34" t="str">
        <f aca="false">IF(AND(B2397&gt;=Cal_Start_Week,B2397&lt;=Cal_End_Week),"YES","")</f>
        <v/>
      </c>
    </row>
    <row r="2398" customFormat="false" ht="15" hidden="false" customHeight="false" outlineLevel="0" collapsed="false">
      <c r="A2398" s="31" t="str">
        <f aca="false">Demand_History!C2398</f>
        <v>BED-004</v>
      </c>
      <c r="B2398" s="31" t="n">
        <f aca="false">Demand_History!A2398</f>
        <v>5</v>
      </c>
      <c r="C2398" s="32" t="n">
        <f aca="false">Demand_History!D2398</f>
        <v>38</v>
      </c>
      <c r="D2398" s="33" t="n">
        <f aca="false">IF(B2398&gt;=2,C2397,"")</f>
        <v>39</v>
      </c>
      <c r="E2398" s="33" t="n">
        <f aca="false">IF(B2398&gt;=5,AVERAGE(C2394:C2397),"")</f>
        <v>43.25</v>
      </c>
      <c r="F2398" s="33" t="str">
        <f aca="false">IF(B2398&gt;=9,AVERAGE(C2390:C2397),"")</f>
        <v/>
      </c>
      <c r="G2398" s="33" t="n">
        <f aca="false">IF(B2398=1,"",IF(B2398=2,C2397,SES_Alpha*C2397+(1-SES_Alpha)*G2397))</f>
        <v>42.85</v>
      </c>
      <c r="H2398" s="33" t="n">
        <f aca="false">IF(D2398="","",D2398-C2398)</f>
        <v>1</v>
      </c>
      <c r="I2398" s="33" t="n">
        <f aca="false">IF(E2398="","",E2398-C2398)</f>
        <v>5.25</v>
      </c>
      <c r="J2398" s="33" t="str">
        <f aca="false">IF(F2398="","",F2398-C2398)</f>
        <v/>
      </c>
      <c r="K2398" s="33" t="n">
        <f aca="false">IF(G2398="","",G2398-C2398)</f>
        <v>4.84999999999999</v>
      </c>
      <c r="L2398" s="33" t="n">
        <f aca="false">IF(H2398="","",ABS(H2398))</f>
        <v>1</v>
      </c>
      <c r="M2398" s="33" t="n">
        <f aca="false">IF(I2398="","",ABS(I2398))</f>
        <v>5.25</v>
      </c>
      <c r="N2398" s="33" t="str">
        <f aca="false">IF(J2398="","",ABS(J2398))</f>
        <v/>
      </c>
      <c r="O2398" s="33" t="n">
        <f aca="false">IF(K2398="","",ABS(K2398))</f>
        <v>4.84999999999999</v>
      </c>
      <c r="P2398" s="34" t="str">
        <f aca="false">IF(B2398&gt;=Eval_Start_Week,"YES","")</f>
        <v/>
      </c>
      <c r="Q2398" s="34" t="str">
        <f aca="false">IF(AND(B2398&gt;=Cal_Start_Week,B2398&lt;=Cal_End_Week),"YES","")</f>
        <v/>
      </c>
    </row>
    <row r="2399" customFormat="false" ht="15" hidden="false" customHeight="false" outlineLevel="0" collapsed="false">
      <c r="A2399" s="31" t="str">
        <f aca="false">Demand_History!C2399</f>
        <v>BED-004</v>
      </c>
      <c r="B2399" s="31" t="n">
        <f aca="false">Demand_History!A2399</f>
        <v>6</v>
      </c>
      <c r="C2399" s="32" t="n">
        <f aca="false">Demand_History!D2399</f>
        <v>43</v>
      </c>
      <c r="D2399" s="33" t="n">
        <f aca="false">IF(B2399&gt;=2,C2398,"")</f>
        <v>38</v>
      </c>
      <c r="E2399" s="33" t="n">
        <f aca="false">IF(B2399&gt;=5,AVERAGE(C2395:C2398),"")</f>
        <v>42</v>
      </c>
      <c r="F2399" s="33" t="str">
        <f aca="false">IF(B2399&gt;=9,AVERAGE(C2391:C2398),"")</f>
        <v/>
      </c>
      <c r="G2399" s="33" t="n">
        <f aca="false">IF(B2399=1,"",IF(B2399=2,C2398,SES_Alpha*C2398+(1-SES_Alpha)*G2398))</f>
        <v>41.395</v>
      </c>
      <c r="H2399" s="33" t="n">
        <f aca="false">IF(D2399="","",D2399-C2399)</f>
        <v>-5</v>
      </c>
      <c r="I2399" s="33" t="n">
        <f aca="false">IF(E2399="","",E2399-C2399)</f>
        <v>-1</v>
      </c>
      <c r="J2399" s="33" t="str">
        <f aca="false">IF(F2399="","",F2399-C2399)</f>
        <v/>
      </c>
      <c r="K2399" s="33" t="n">
        <f aca="false">IF(G2399="","",G2399-C2399)</f>
        <v>-1.605</v>
      </c>
      <c r="L2399" s="33" t="n">
        <f aca="false">IF(H2399="","",ABS(H2399))</f>
        <v>5</v>
      </c>
      <c r="M2399" s="33" t="n">
        <f aca="false">IF(I2399="","",ABS(I2399))</f>
        <v>1</v>
      </c>
      <c r="N2399" s="33" t="str">
        <f aca="false">IF(J2399="","",ABS(J2399))</f>
        <v/>
      </c>
      <c r="O2399" s="33" t="n">
        <f aca="false">IF(K2399="","",ABS(K2399))</f>
        <v>1.605</v>
      </c>
      <c r="P2399" s="34" t="str">
        <f aca="false">IF(B2399&gt;=Eval_Start_Week,"YES","")</f>
        <v/>
      </c>
      <c r="Q2399" s="34" t="str">
        <f aca="false">IF(AND(B2399&gt;=Cal_Start_Week,B2399&lt;=Cal_End_Week),"YES","")</f>
        <v/>
      </c>
    </row>
    <row r="2400" customFormat="false" ht="15" hidden="false" customHeight="false" outlineLevel="0" collapsed="false">
      <c r="A2400" s="31" t="str">
        <f aca="false">Demand_History!C2400</f>
        <v>BED-004</v>
      </c>
      <c r="B2400" s="31" t="n">
        <f aca="false">Demand_History!A2400</f>
        <v>7</v>
      </c>
      <c r="C2400" s="32" t="n">
        <f aca="false">Demand_History!D2400</f>
        <v>38</v>
      </c>
      <c r="D2400" s="33" t="n">
        <f aca="false">IF(B2400&gt;=2,C2399,"")</f>
        <v>43</v>
      </c>
      <c r="E2400" s="33" t="n">
        <f aca="false">IF(B2400&gt;=5,AVERAGE(C2396:C2399),"")</f>
        <v>42</v>
      </c>
      <c r="F2400" s="33" t="str">
        <f aca="false">IF(B2400&gt;=9,AVERAGE(C2392:C2399),"")</f>
        <v/>
      </c>
      <c r="G2400" s="33" t="n">
        <f aca="false">IF(B2400=1,"",IF(B2400=2,C2399,SES_Alpha*C2399+(1-SES_Alpha)*G2399))</f>
        <v>41.8765</v>
      </c>
      <c r="H2400" s="33" t="n">
        <f aca="false">IF(D2400="","",D2400-C2400)</f>
        <v>5</v>
      </c>
      <c r="I2400" s="33" t="n">
        <f aca="false">IF(E2400="","",E2400-C2400)</f>
        <v>4</v>
      </c>
      <c r="J2400" s="33" t="str">
        <f aca="false">IF(F2400="","",F2400-C2400)</f>
        <v/>
      </c>
      <c r="K2400" s="33" t="n">
        <f aca="false">IF(G2400="","",G2400-C2400)</f>
        <v>3.87649999999999</v>
      </c>
      <c r="L2400" s="33" t="n">
        <f aca="false">IF(H2400="","",ABS(H2400))</f>
        <v>5</v>
      </c>
      <c r="M2400" s="33" t="n">
        <f aca="false">IF(I2400="","",ABS(I2400))</f>
        <v>4</v>
      </c>
      <c r="N2400" s="33" t="str">
        <f aca="false">IF(J2400="","",ABS(J2400))</f>
        <v/>
      </c>
      <c r="O2400" s="33" t="n">
        <f aca="false">IF(K2400="","",ABS(K2400))</f>
        <v>3.87649999999999</v>
      </c>
      <c r="P2400" s="34" t="str">
        <f aca="false">IF(B2400&gt;=Eval_Start_Week,"YES","")</f>
        <v/>
      </c>
      <c r="Q2400" s="34" t="str">
        <f aca="false">IF(AND(B2400&gt;=Cal_Start_Week,B2400&lt;=Cal_End_Week),"YES","")</f>
        <v/>
      </c>
    </row>
    <row r="2401" customFormat="false" ht="15" hidden="false" customHeight="false" outlineLevel="0" collapsed="false">
      <c r="A2401" s="31" t="str">
        <f aca="false">Demand_History!C2401</f>
        <v>BED-004</v>
      </c>
      <c r="B2401" s="31" t="n">
        <f aca="false">Demand_History!A2401</f>
        <v>8</v>
      </c>
      <c r="C2401" s="32" t="n">
        <f aca="false">Demand_History!D2401</f>
        <v>38</v>
      </c>
      <c r="D2401" s="33" t="n">
        <f aca="false">IF(B2401&gt;=2,C2400,"")</f>
        <v>38</v>
      </c>
      <c r="E2401" s="33" t="n">
        <f aca="false">IF(B2401&gt;=5,AVERAGE(C2397:C2400),"")</f>
        <v>39.5</v>
      </c>
      <c r="F2401" s="33" t="str">
        <f aca="false">IF(B2401&gt;=9,AVERAGE(C2393:C2400),"")</f>
        <v/>
      </c>
      <c r="G2401" s="33" t="n">
        <f aca="false">IF(B2401=1,"",IF(B2401=2,C2400,SES_Alpha*C2400+(1-SES_Alpha)*G2400))</f>
        <v>40.71355</v>
      </c>
      <c r="H2401" s="33" t="n">
        <f aca="false">IF(D2401="","",D2401-C2401)</f>
        <v>0</v>
      </c>
      <c r="I2401" s="33" t="n">
        <f aca="false">IF(E2401="","",E2401-C2401)</f>
        <v>1.5</v>
      </c>
      <c r="J2401" s="33" t="str">
        <f aca="false">IF(F2401="","",F2401-C2401)</f>
        <v/>
      </c>
      <c r="K2401" s="33" t="n">
        <f aca="false">IF(G2401="","",G2401-C2401)</f>
        <v>2.71354999999999</v>
      </c>
      <c r="L2401" s="33" t="n">
        <f aca="false">IF(H2401="","",ABS(H2401))</f>
        <v>0</v>
      </c>
      <c r="M2401" s="33" t="n">
        <f aca="false">IF(I2401="","",ABS(I2401))</f>
        <v>1.5</v>
      </c>
      <c r="N2401" s="33" t="str">
        <f aca="false">IF(J2401="","",ABS(J2401))</f>
        <v/>
      </c>
      <c r="O2401" s="33" t="n">
        <f aca="false">IF(K2401="","",ABS(K2401))</f>
        <v>2.71354999999999</v>
      </c>
      <c r="P2401" s="34" t="str">
        <f aca="false">IF(B2401&gt;=Eval_Start_Week,"YES","")</f>
        <v/>
      </c>
      <c r="Q2401" s="34" t="str">
        <f aca="false">IF(AND(B2401&gt;=Cal_Start_Week,B2401&lt;=Cal_End_Week),"YES","")</f>
        <v/>
      </c>
    </row>
    <row r="2402" customFormat="false" ht="15" hidden="false" customHeight="false" outlineLevel="0" collapsed="false">
      <c r="A2402" s="31" t="str">
        <f aca="false">Demand_History!C2402</f>
        <v>BED-004</v>
      </c>
      <c r="B2402" s="31" t="n">
        <f aca="false">Demand_History!A2402</f>
        <v>9</v>
      </c>
      <c r="C2402" s="32" t="n">
        <f aca="false">Demand_History!D2402</f>
        <v>33</v>
      </c>
      <c r="D2402" s="33" t="n">
        <f aca="false">IF(B2402&gt;=2,C2401,"")</f>
        <v>38</v>
      </c>
      <c r="E2402" s="33" t="n">
        <f aca="false">IF(B2402&gt;=5,AVERAGE(C2398:C2401),"")</f>
        <v>39.25</v>
      </c>
      <c r="F2402" s="33" t="n">
        <f aca="false">IF(B2402&gt;=9,AVERAGE(C2394:C2401),"")</f>
        <v>41.25</v>
      </c>
      <c r="G2402" s="33" t="n">
        <f aca="false">IF(B2402=1,"",IF(B2402=2,C2401,SES_Alpha*C2401+(1-SES_Alpha)*G2401))</f>
        <v>39.899485</v>
      </c>
      <c r="H2402" s="33" t="n">
        <f aca="false">IF(D2402="","",D2402-C2402)</f>
        <v>5</v>
      </c>
      <c r="I2402" s="33" t="n">
        <f aca="false">IF(E2402="","",E2402-C2402)</f>
        <v>6.25</v>
      </c>
      <c r="J2402" s="33" t="n">
        <f aca="false">IF(F2402="","",F2402-C2402)</f>
        <v>8.25</v>
      </c>
      <c r="K2402" s="33" t="n">
        <f aca="false">IF(G2402="","",G2402-C2402)</f>
        <v>6.89948499999999</v>
      </c>
      <c r="L2402" s="33" t="n">
        <f aca="false">IF(H2402="","",ABS(H2402))</f>
        <v>5</v>
      </c>
      <c r="M2402" s="33" t="n">
        <f aca="false">IF(I2402="","",ABS(I2402))</f>
        <v>6.25</v>
      </c>
      <c r="N2402" s="33" t="n">
        <f aca="false">IF(J2402="","",ABS(J2402))</f>
        <v>8.25</v>
      </c>
      <c r="O2402" s="33" t="n">
        <f aca="false">IF(K2402="","",ABS(K2402))</f>
        <v>6.89948499999999</v>
      </c>
      <c r="P2402" s="34" t="str">
        <f aca="false">IF(B2402&gt;=Eval_Start_Week,"YES","")</f>
        <v/>
      </c>
      <c r="Q2402" s="34" t="str">
        <f aca="false">IF(AND(B2402&gt;=Cal_Start_Week,B2402&lt;=Cal_End_Week),"YES","")</f>
        <v/>
      </c>
    </row>
    <row r="2403" customFormat="false" ht="15" hidden="false" customHeight="false" outlineLevel="0" collapsed="false">
      <c r="A2403" s="31" t="str">
        <f aca="false">Demand_History!C2403</f>
        <v>BED-004</v>
      </c>
      <c r="B2403" s="31" t="n">
        <f aca="false">Demand_History!A2403</f>
        <v>10</v>
      </c>
      <c r="C2403" s="32" t="n">
        <f aca="false">Demand_History!D2403</f>
        <v>45</v>
      </c>
      <c r="D2403" s="33" t="n">
        <f aca="false">IF(B2403&gt;=2,C2402,"")</f>
        <v>33</v>
      </c>
      <c r="E2403" s="33" t="n">
        <f aca="false">IF(B2403&gt;=5,AVERAGE(C2399:C2402),"")</f>
        <v>38</v>
      </c>
      <c r="F2403" s="33" t="n">
        <f aca="false">IF(B2403&gt;=9,AVERAGE(C2395:C2402),"")</f>
        <v>40</v>
      </c>
      <c r="G2403" s="33" t="n">
        <f aca="false">IF(B2403=1,"",IF(B2403=2,C2402,SES_Alpha*C2402+(1-SES_Alpha)*G2402))</f>
        <v>37.8296395</v>
      </c>
      <c r="H2403" s="33" t="n">
        <f aca="false">IF(D2403="","",D2403-C2403)</f>
        <v>-12</v>
      </c>
      <c r="I2403" s="33" t="n">
        <f aca="false">IF(E2403="","",E2403-C2403)</f>
        <v>-7</v>
      </c>
      <c r="J2403" s="33" t="n">
        <f aca="false">IF(F2403="","",F2403-C2403)</f>
        <v>-5</v>
      </c>
      <c r="K2403" s="33" t="n">
        <f aca="false">IF(G2403="","",G2403-C2403)</f>
        <v>-7.17036050000001</v>
      </c>
      <c r="L2403" s="33" t="n">
        <f aca="false">IF(H2403="","",ABS(H2403))</f>
        <v>12</v>
      </c>
      <c r="M2403" s="33" t="n">
        <f aca="false">IF(I2403="","",ABS(I2403))</f>
        <v>7</v>
      </c>
      <c r="N2403" s="33" t="n">
        <f aca="false">IF(J2403="","",ABS(J2403))</f>
        <v>5</v>
      </c>
      <c r="O2403" s="33" t="n">
        <f aca="false">IF(K2403="","",ABS(K2403))</f>
        <v>7.17036050000001</v>
      </c>
      <c r="P2403" s="34" t="str">
        <f aca="false">IF(B2403&gt;=Eval_Start_Week,"YES","")</f>
        <v/>
      </c>
      <c r="Q2403" s="34" t="str">
        <f aca="false">IF(AND(B2403&gt;=Cal_Start_Week,B2403&lt;=Cal_End_Week),"YES","")</f>
        <v/>
      </c>
    </row>
    <row r="2404" customFormat="false" ht="15" hidden="false" customHeight="false" outlineLevel="0" collapsed="false">
      <c r="A2404" s="31" t="str">
        <f aca="false">Demand_History!C2404</f>
        <v>BED-004</v>
      </c>
      <c r="B2404" s="31" t="n">
        <f aca="false">Demand_History!A2404</f>
        <v>11</v>
      </c>
      <c r="C2404" s="32" t="n">
        <f aca="false">Demand_History!D2404</f>
        <v>34</v>
      </c>
      <c r="D2404" s="33" t="n">
        <f aca="false">IF(B2404&gt;=2,C2403,"")</f>
        <v>45</v>
      </c>
      <c r="E2404" s="33" t="n">
        <f aca="false">IF(B2404&gt;=5,AVERAGE(C2400:C2403),"")</f>
        <v>38.5</v>
      </c>
      <c r="F2404" s="33" t="n">
        <f aca="false">IF(B2404&gt;=9,AVERAGE(C2396:C2403),"")</f>
        <v>40.25</v>
      </c>
      <c r="G2404" s="33" t="n">
        <f aca="false">IF(B2404=1,"",IF(B2404=2,C2403,SES_Alpha*C2403+(1-SES_Alpha)*G2403))</f>
        <v>39.98074765</v>
      </c>
      <c r="H2404" s="33" t="n">
        <f aca="false">IF(D2404="","",D2404-C2404)</f>
        <v>11</v>
      </c>
      <c r="I2404" s="33" t="n">
        <f aca="false">IF(E2404="","",E2404-C2404)</f>
        <v>4.5</v>
      </c>
      <c r="J2404" s="33" t="n">
        <f aca="false">IF(F2404="","",F2404-C2404)</f>
        <v>6.25</v>
      </c>
      <c r="K2404" s="33" t="n">
        <f aca="false">IF(G2404="","",G2404-C2404)</f>
        <v>5.98074765</v>
      </c>
      <c r="L2404" s="33" t="n">
        <f aca="false">IF(H2404="","",ABS(H2404))</f>
        <v>11</v>
      </c>
      <c r="M2404" s="33" t="n">
        <f aca="false">IF(I2404="","",ABS(I2404))</f>
        <v>4.5</v>
      </c>
      <c r="N2404" s="33" t="n">
        <f aca="false">IF(J2404="","",ABS(J2404))</f>
        <v>6.25</v>
      </c>
      <c r="O2404" s="33" t="n">
        <f aca="false">IF(K2404="","",ABS(K2404))</f>
        <v>5.98074765</v>
      </c>
      <c r="P2404" s="34" t="str">
        <f aca="false">IF(B2404&gt;=Eval_Start_Week,"YES","")</f>
        <v/>
      </c>
      <c r="Q2404" s="34" t="str">
        <f aca="false">IF(AND(B2404&gt;=Cal_Start_Week,B2404&lt;=Cal_End_Week),"YES","")</f>
        <v/>
      </c>
    </row>
    <row r="2405" customFormat="false" ht="15" hidden="false" customHeight="false" outlineLevel="0" collapsed="false">
      <c r="A2405" s="31" t="str">
        <f aca="false">Demand_History!C2405</f>
        <v>BED-004</v>
      </c>
      <c r="B2405" s="31" t="n">
        <f aca="false">Demand_History!A2405</f>
        <v>12</v>
      </c>
      <c r="C2405" s="32" t="n">
        <f aca="false">Demand_History!D2405</f>
        <v>43</v>
      </c>
      <c r="D2405" s="33" t="n">
        <f aca="false">IF(B2405&gt;=2,C2404,"")</f>
        <v>34</v>
      </c>
      <c r="E2405" s="33" t="n">
        <f aca="false">IF(B2405&gt;=5,AVERAGE(C2401:C2404),"")</f>
        <v>37.5</v>
      </c>
      <c r="F2405" s="33" t="n">
        <f aca="false">IF(B2405&gt;=9,AVERAGE(C2397:C2404),"")</f>
        <v>38.5</v>
      </c>
      <c r="G2405" s="33" t="n">
        <f aca="false">IF(B2405=1,"",IF(B2405=2,C2404,SES_Alpha*C2404+(1-SES_Alpha)*G2404))</f>
        <v>38.186523355</v>
      </c>
      <c r="H2405" s="33" t="n">
        <f aca="false">IF(D2405="","",D2405-C2405)</f>
        <v>-9</v>
      </c>
      <c r="I2405" s="33" t="n">
        <f aca="false">IF(E2405="","",E2405-C2405)</f>
        <v>-5.5</v>
      </c>
      <c r="J2405" s="33" t="n">
        <f aca="false">IF(F2405="","",F2405-C2405)</f>
        <v>-4.5</v>
      </c>
      <c r="K2405" s="33" t="n">
        <f aca="false">IF(G2405="","",G2405-C2405)</f>
        <v>-4.81347664500001</v>
      </c>
      <c r="L2405" s="33" t="n">
        <f aca="false">IF(H2405="","",ABS(H2405))</f>
        <v>9</v>
      </c>
      <c r="M2405" s="33" t="n">
        <f aca="false">IF(I2405="","",ABS(I2405))</f>
        <v>5.5</v>
      </c>
      <c r="N2405" s="33" t="n">
        <f aca="false">IF(J2405="","",ABS(J2405))</f>
        <v>4.5</v>
      </c>
      <c r="O2405" s="33" t="n">
        <f aca="false">IF(K2405="","",ABS(K2405))</f>
        <v>4.81347664500001</v>
      </c>
      <c r="P2405" s="34" t="str">
        <f aca="false">IF(B2405&gt;=Eval_Start_Week,"YES","")</f>
        <v/>
      </c>
      <c r="Q2405" s="34" t="str">
        <f aca="false">IF(AND(B2405&gt;=Cal_Start_Week,B2405&lt;=Cal_End_Week),"YES","")</f>
        <v/>
      </c>
    </row>
    <row r="2406" customFormat="false" ht="15" hidden="false" customHeight="false" outlineLevel="0" collapsed="false">
      <c r="A2406" s="31" t="str">
        <f aca="false">Demand_History!C2406</f>
        <v>BED-004</v>
      </c>
      <c r="B2406" s="31" t="n">
        <f aca="false">Demand_History!A2406</f>
        <v>13</v>
      </c>
      <c r="C2406" s="32" t="n">
        <f aca="false">Demand_History!D2406</f>
        <v>32</v>
      </c>
      <c r="D2406" s="33" t="n">
        <f aca="false">IF(B2406&gt;=2,C2405,"")</f>
        <v>43</v>
      </c>
      <c r="E2406" s="33" t="n">
        <f aca="false">IF(B2406&gt;=5,AVERAGE(C2402:C2405),"")</f>
        <v>38.75</v>
      </c>
      <c r="F2406" s="33" t="n">
        <f aca="false">IF(B2406&gt;=9,AVERAGE(C2398:C2405),"")</f>
        <v>39</v>
      </c>
      <c r="G2406" s="33" t="n">
        <f aca="false">IF(B2406=1,"",IF(B2406=2,C2405,SES_Alpha*C2405+(1-SES_Alpha)*G2405))</f>
        <v>39.6305663485</v>
      </c>
      <c r="H2406" s="33" t="n">
        <f aca="false">IF(D2406="","",D2406-C2406)</f>
        <v>11</v>
      </c>
      <c r="I2406" s="33" t="n">
        <f aca="false">IF(E2406="","",E2406-C2406)</f>
        <v>6.75</v>
      </c>
      <c r="J2406" s="33" t="n">
        <f aca="false">IF(F2406="","",F2406-C2406)</f>
        <v>7</v>
      </c>
      <c r="K2406" s="33" t="n">
        <f aca="false">IF(G2406="","",G2406-C2406)</f>
        <v>7.63056634849999</v>
      </c>
      <c r="L2406" s="33" t="n">
        <f aca="false">IF(H2406="","",ABS(H2406))</f>
        <v>11</v>
      </c>
      <c r="M2406" s="33" t="n">
        <f aca="false">IF(I2406="","",ABS(I2406))</f>
        <v>6.75</v>
      </c>
      <c r="N2406" s="33" t="n">
        <f aca="false">IF(J2406="","",ABS(J2406))</f>
        <v>7</v>
      </c>
      <c r="O2406" s="33" t="n">
        <f aca="false">IF(K2406="","",ABS(K2406))</f>
        <v>7.63056634849999</v>
      </c>
      <c r="P2406" s="34" t="str">
        <f aca="false">IF(B2406&gt;=Eval_Start_Week,"YES","")</f>
        <v/>
      </c>
      <c r="Q2406" s="34" t="str">
        <f aca="false">IF(AND(B2406&gt;=Cal_Start_Week,B2406&lt;=Cal_End_Week),"YES","")</f>
        <v/>
      </c>
    </row>
    <row r="2407" customFormat="false" ht="15" hidden="false" customHeight="false" outlineLevel="0" collapsed="false">
      <c r="A2407" s="31" t="str">
        <f aca="false">Demand_History!C2407</f>
        <v>BED-004</v>
      </c>
      <c r="B2407" s="31" t="n">
        <f aca="false">Demand_History!A2407</f>
        <v>14</v>
      </c>
      <c r="C2407" s="32" t="n">
        <f aca="false">Demand_History!D2407</f>
        <v>47</v>
      </c>
      <c r="D2407" s="33" t="n">
        <f aca="false">IF(B2407&gt;=2,C2406,"")</f>
        <v>32</v>
      </c>
      <c r="E2407" s="33" t="n">
        <f aca="false">IF(B2407&gt;=5,AVERAGE(C2403:C2406),"")</f>
        <v>38.5</v>
      </c>
      <c r="F2407" s="33" t="n">
        <f aca="false">IF(B2407&gt;=9,AVERAGE(C2399:C2406),"")</f>
        <v>38.25</v>
      </c>
      <c r="G2407" s="33" t="n">
        <f aca="false">IF(B2407=1,"",IF(B2407=2,C2406,SES_Alpha*C2406+(1-SES_Alpha)*G2406))</f>
        <v>37.34139644395</v>
      </c>
      <c r="H2407" s="33" t="n">
        <f aca="false">IF(D2407="","",D2407-C2407)</f>
        <v>-15</v>
      </c>
      <c r="I2407" s="33" t="n">
        <f aca="false">IF(E2407="","",E2407-C2407)</f>
        <v>-8.5</v>
      </c>
      <c r="J2407" s="33" t="n">
        <f aca="false">IF(F2407="","",F2407-C2407)</f>
        <v>-8.75</v>
      </c>
      <c r="K2407" s="33" t="n">
        <f aca="false">IF(G2407="","",G2407-C2407)</f>
        <v>-9.65860355605001</v>
      </c>
      <c r="L2407" s="33" t="n">
        <f aca="false">IF(H2407="","",ABS(H2407))</f>
        <v>15</v>
      </c>
      <c r="M2407" s="33" t="n">
        <f aca="false">IF(I2407="","",ABS(I2407))</f>
        <v>8.5</v>
      </c>
      <c r="N2407" s="33" t="n">
        <f aca="false">IF(J2407="","",ABS(J2407))</f>
        <v>8.75</v>
      </c>
      <c r="O2407" s="33" t="n">
        <f aca="false">IF(K2407="","",ABS(K2407))</f>
        <v>9.65860355605001</v>
      </c>
      <c r="P2407" s="34" t="str">
        <f aca="false">IF(B2407&gt;=Eval_Start_Week,"YES","")</f>
        <v/>
      </c>
      <c r="Q2407" s="34" t="str">
        <f aca="false">IF(AND(B2407&gt;=Cal_Start_Week,B2407&lt;=Cal_End_Week),"YES","")</f>
        <v/>
      </c>
    </row>
    <row r="2408" customFormat="false" ht="15" hidden="false" customHeight="false" outlineLevel="0" collapsed="false">
      <c r="A2408" s="31" t="str">
        <f aca="false">Demand_History!C2408</f>
        <v>BED-004</v>
      </c>
      <c r="B2408" s="31" t="n">
        <f aca="false">Demand_History!A2408</f>
        <v>15</v>
      </c>
      <c r="C2408" s="32" t="n">
        <f aca="false">Demand_History!D2408</f>
        <v>35</v>
      </c>
      <c r="D2408" s="33" t="n">
        <f aca="false">IF(B2408&gt;=2,C2407,"")</f>
        <v>47</v>
      </c>
      <c r="E2408" s="33" t="n">
        <f aca="false">IF(B2408&gt;=5,AVERAGE(C2404:C2407),"")</f>
        <v>39</v>
      </c>
      <c r="F2408" s="33" t="n">
        <f aca="false">IF(B2408&gt;=9,AVERAGE(C2400:C2407),"")</f>
        <v>38.75</v>
      </c>
      <c r="G2408" s="33" t="n">
        <f aca="false">IF(B2408=1,"",IF(B2408=2,C2407,SES_Alpha*C2407+(1-SES_Alpha)*G2407))</f>
        <v>40.238977510765</v>
      </c>
      <c r="H2408" s="33" t="n">
        <f aca="false">IF(D2408="","",D2408-C2408)</f>
        <v>12</v>
      </c>
      <c r="I2408" s="33" t="n">
        <f aca="false">IF(E2408="","",E2408-C2408)</f>
        <v>4</v>
      </c>
      <c r="J2408" s="33" t="n">
        <f aca="false">IF(F2408="","",F2408-C2408)</f>
        <v>3.75</v>
      </c>
      <c r="K2408" s="33" t="n">
        <f aca="false">IF(G2408="","",G2408-C2408)</f>
        <v>5.23897751076499</v>
      </c>
      <c r="L2408" s="33" t="n">
        <f aca="false">IF(H2408="","",ABS(H2408))</f>
        <v>12</v>
      </c>
      <c r="M2408" s="33" t="n">
        <f aca="false">IF(I2408="","",ABS(I2408))</f>
        <v>4</v>
      </c>
      <c r="N2408" s="33" t="n">
        <f aca="false">IF(J2408="","",ABS(J2408))</f>
        <v>3.75</v>
      </c>
      <c r="O2408" s="33" t="n">
        <f aca="false">IF(K2408="","",ABS(K2408))</f>
        <v>5.23897751076499</v>
      </c>
      <c r="P2408" s="34" t="str">
        <f aca="false">IF(B2408&gt;=Eval_Start_Week,"YES","")</f>
        <v/>
      </c>
      <c r="Q2408" s="34" t="str">
        <f aca="false">IF(AND(B2408&gt;=Cal_Start_Week,B2408&lt;=Cal_End_Week),"YES","")</f>
        <v/>
      </c>
    </row>
    <row r="2409" customFormat="false" ht="15" hidden="false" customHeight="false" outlineLevel="0" collapsed="false">
      <c r="A2409" s="31" t="str">
        <f aca="false">Demand_History!C2409</f>
        <v>BED-004</v>
      </c>
      <c r="B2409" s="31" t="n">
        <f aca="false">Demand_History!A2409</f>
        <v>16</v>
      </c>
      <c r="C2409" s="32" t="n">
        <f aca="false">Demand_History!D2409</f>
        <v>47</v>
      </c>
      <c r="D2409" s="33" t="n">
        <f aca="false">IF(B2409&gt;=2,C2408,"")</f>
        <v>35</v>
      </c>
      <c r="E2409" s="33" t="n">
        <f aca="false">IF(B2409&gt;=5,AVERAGE(C2405:C2408),"")</f>
        <v>39.25</v>
      </c>
      <c r="F2409" s="33" t="n">
        <f aca="false">IF(B2409&gt;=9,AVERAGE(C2401:C2408),"")</f>
        <v>38.375</v>
      </c>
      <c r="G2409" s="33" t="n">
        <f aca="false">IF(B2409=1,"",IF(B2409=2,C2408,SES_Alpha*C2408+(1-SES_Alpha)*G2408))</f>
        <v>38.6672842575355</v>
      </c>
      <c r="H2409" s="33" t="n">
        <f aca="false">IF(D2409="","",D2409-C2409)</f>
        <v>-12</v>
      </c>
      <c r="I2409" s="33" t="n">
        <f aca="false">IF(E2409="","",E2409-C2409)</f>
        <v>-7.75</v>
      </c>
      <c r="J2409" s="33" t="n">
        <f aca="false">IF(F2409="","",F2409-C2409)</f>
        <v>-8.625</v>
      </c>
      <c r="K2409" s="33" t="n">
        <f aca="false">IF(G2409="","",G2409-C2409)</f>
        <v>-8.33271574246451</v>
      </c>
      <c r="L2409" s="33" t="n">
        <f aca="false">IF(H2409="","",ABS(H2409))</f>
        <v>12</v>
      </c>
      <c r="M2409" s="33" t="n">
        <f aca="false">IF(I2409="","",ABS(I2409))</f>
        <v>7.75</v>
      </c>
      <c r="N2409" s="33" t="n">
        <f aca="false">IF(J2409="","",ABS(J2409))</f>
        <v>8.625</v>
      </c>
      <c r="O2409" s="33" t="n">
        <f aca="false">IF(K2409="","",ABS(K2409))</f>
        <v>8.33271574246451</v>
      </c>
      <c r="P2409" s="34" t="str">
        <f aca="false">IF(B2409&gt;=Eval_Start_Week,"YES","")</f>
        <v/>
      </c>
      <c r="Q2409" s="34" t="str">
        <f aca="false">IF(AND(B2409&gt;=Cal_Start_Week,B2409&lt;=Cal_End_Week),"YES","")</f>
        <v/>
      </c>
    </row>
    <row r="2410" customFormat="false" ht="15" hidden="false" customHeight="false" outlineLevel="0" collapsed="false">
      <c r="A2410" s="31" t="str">
        <f aca="false">Demand_History!C2410</f>
        <v>BED-004</v>
      </c>
      <c r="B2410" s="31" t="n">
        <f aca="false">Demand_History!A2410</f>
        <v>17</v>
      </c>
      <c r="C2410" s="32" t="n">
        <f aca="false">Demand_History!D2410</f>
        <v>33</v>
      </c>
      <c r="D2410" s="33" t="n">
        <f aca="false">IF(B2410&gt;=2,C2409,"")</f>
        <v>47</v>
      </c>
      <c r="E2410" s="33" t="n">
        <f aca="false">IF(B2410&gt;=5,AVERAGE(C2406:C2409),"")</f>
        <v>40.25</v>
      </c>
      <c r="F2410" s="33" t="n">
        <f aca="false">IF(B2410&gt;=9,AVERAGE(C2402:C2409),"")</f>
        <v>39.5</v>
      </c>
      <c r="G2410" s="33" t="n">
        <f aca="false">IF(B2410=1,"",IF(B2410=2,C2409,SES_Alpha*C2409+(1-SES_Alpha)*G2409))</f>
        <v>41.1670989802748</v>
      </c>
      <c r="H2410" s="33" t="n">
        <f aca="false">IF(D2410="","",D2410-C2410)</f>
        <v>14</v>
      </c>
      <c r="I2410" s="33" t="n">
        <f aca="false">IF(E2410="","",E2410-C2410)</f>
        <v>7.25</v>
      </c>
      <c r="J2410" s="33" t="n">
        <f aca="false">IF(F2410="","",F2410-C2410)</f>
        <v>6.5</v>
      </c>
      <c r="K2410" s="33" t="n">
        <f aca="false">IF(G2410="","",G2410-C2410)</f>
        <v>8.16709898027484</v>
      </c>
      <c r="L2410" s="33" t="n">
        <f aca="false">IF(H2410="","",ABS(H2410))</f>
        <v>14</v>
      </c>
      <c r="M2410" s="33" t="n">
        <f aca="false">IF(I2410="","",ABS(I2410))</f>
        <v>7.25</v>
      </c>
      <c r="N2410" s="33" t="n">
        <f aca="false">IF(J2410="","",ABS(J2410))</f>
        <v>6.5</v>
      </c>
      <c r="O2410" s="33" t="n">
        <f aca="false">IF(K2410="","",ABS(K2410))</f>
        <v>8.16709898027484</v>
      </c>
      <c r="P2410" s="34" t="str">
        <f aca="false">IF(B2410&gt;=Eval_Start_Week,"YES","")</f>
        <v/>
      </c>
      <c r="Q2410" s="34" t="str">
        <f aca="false">IF(AND(B2410&gt;=Cal_Start_Week,B2410&lt;=Cal_End_Week),"YES","")</f>
        <v/>
      </c>
    </row>
    <row r="2411" customFormat="false" ht="15" hidden="false" customHeight="false" outlineLevel="0" collapsed="false">
      <c r="A2411" s="31" t="str">
        <f aca="false">Demand_History!C2411</f>
        <v>BED-004</v>
      </c>
      <c r="B2411" s="31" t="n">
        <f aca="false">Demand_History!A2411</f>
        <v>18</v>
      </c>
      <c r="C2411" s="32" t="n">
        <f aca="false">Demand_History!D2411</f>
        <v>40</v>
      </c>
      <c r="D2411" s="33" t="n">
        <f aca="false">IF(B2411&gt;=2,C2410,"")</f>
        <v>33</v>
      </c>
      <c r="E2411" s="33" t="n">
        <f aca="false">IF(B2411&gt;=5,AVERAGE(C2407:C2410),"")</f>
        <v>40.5</v>
      </c>
      <c r="F2411" s="33" t="n">
        <f aca="false">IF(B2411&gt;=9,AVERAGE(C2403:C2410),"")</f>
        <v>39.5</v>
      </c>
      <c r="G2411" s="33" t="n">
        <f aca="false">IF(B2411=1,"",IF(B2411=2,C2410,SES_Alpha*C2410+(1-SES_Alpha)*G2410))</f>
        <v>38.7169692861924</v>
      </c>
      <c r="H2411" s="33" t="n">
        <f aca="false">IF(D2411="","",D2411-C2411)</f>
        <v>-7</v>
      </c>
      <c r="I2411" s="33" t="n">
        <f aca="false">IF(E2411="","",E2411-C2411)</f>
        <v>0.5</v>
      </c>
      <c r="J2411" s="33" t="n">
        <f aca="false">IF(F2411="","",F2411-C2411)</f>
        <v>-0.5</v>
      </c>
      <c r="K2411" s="33" t="n">
        <f aca="false">IF(G2411="","",G2411-C2411)</f>
        <v>-1.28303071380761</v>
      </c>
      <c r="L2411" s="33" t="n">
        <f aca="false">IF(H2411="","",ABS(H2411))</f>
        <v>7</v>
      </c>
      <c r="M2411" s="33" t="n">
        <f aca="false">IF(I2411="","",ABS(I2411))</f>
        <v>0.5</v>
      </c>
      <c r="N2411" s="33" t="n">
        <f aca="false">IF(J2411="","",ABS(J2411))</f>
        <v>0.5</v>
      </c>
      <c r="O2411" s="33" t="n">
        <f aca="false">IF(K2411="","",ABS(K2411))</f>
        <v>1.28303071380761</v>
      </c>
      <c r="P2411" s="34" t="str">
        <f aca="false">IF(B2411&gt;=Eval_Start_Week,"YES","")</f>
        <v/>
      </c>
      <c r="Q2411" s="34" t="str">
        <f aca="false">IF(AND(B2411&gt;=Cal_Start_Week,B2411&lt;=Cal_End_Week),"YES","")</f>
        <v/>
      </c>
    </row>
    <row r="2412" customFormat="false" ht="15" hidden="false" customHeight="false" outlineLevel="0" collapsed="false">
      <c r="A2412" s="31" t="str">
        <f aca="false">Demand_History!C2412</f>
        <v>BED-004</v>
      </c>
      <c r="B2412" s="31" t="n">
        <f aca="false">Demand_History!A2412</f>
        <v>19</v>
      </c>
      <c r="C2412" s="32" t="n">
        <f aca="false">Demand_History!D2412</f>
        <v>50</v>
      </c>
      <c r="D2412" s="33" t="n">
        <f aca="false">IF(B2412&gt;=2,C2411,"")</f>
        <v>40</v>
      </c>
      <c r="E2412" s="33" t="n">
        <f aca="false">IF(B2412&gt;=5,AVERAGE(C2408:C2411),"")</f>
        <v>38.75</v>
      </c>
      <c r="F2412" s="33" t="n">
        <f aca="false">IF(B2412&gt;=9,AVERAGE(C2404:C2411),"")</f>
        <v>38.875</v>
      </c>
      <c r="G2412" s="33" t="n">
        <f aca="false">IF(B2412=1,"",IF(B2412=2,C2411,SES_Alpha*C2411+(1-SES_Alpha)*G2411))</f>
        <v>39.1018785003347</v>
      </c>
      <c r="H2412" s="33" t="n">
        <f aca="false">IF(D2412="","",D2412-C2412)</f>
        <v>-10</v>
      </c>
      <c r="I2412" s="33" t="n">
        <f aca="false">IF(E2412="","",E2412-C2412)</f>
        <v>-11.25</v>
      </c>
      <c r="J2412" s="33" t="n">
        <f aca="false">IF(F2412="","",F2412-C2412)</f>
        <v>-11.125</v>
      </c>
      <c r="K2412" s="33" t="n">
        <f aca="false">IF(G2412="","",G2412-C2412)</f>
        <v>-10.8981214996653</v>
      </c>
      <c r="L2412" s="33" t="n">
        <f aca="false">IF(H2412="","",ABS(H2412))</f>
        <v>10</v>
      </c>
      <c r="M2412" s="33" t="n">
        <f aca="false">IF(I2412="","",ABS(I2412))</f>
        <v>11.25</v>
      </c>
      <c r="N2412" s="33" t="n">
        <f aca="false">IF(J2412="","",ABS(J2412))</f>
        <v>11.125</v>
      </c>
      <c r="O2412" s="33" t="n">
        <f aca="false">IF(K2412="","",ABS(K2412))</f>
        <v>10.8981214996653</v>
      </c>
      <c r="P2412" s="34" t="str">
        <f aca="false">IF(B2412&gt;=Eval_Start_Week,"YES","")</f>
        <v/>
      </c>
      <c r="Q2412" s="34" t="str">
        <f aca="false">IF(AND(B2412&gt;=Cal_Start_Week,B2412&lt;=Cal_End_Week),"YES","")</f>
        <v/>
      </c>
    </row>
    <row r="2413" customFormat="false" ht="15" hidden="false" customHeight="false" outlineLevel="0" collapsed="false">
      <c r="A2413" s="31" t="str">
        <f aca="false">Demand_History!C2413</f>
        <v>BED-004</v>
      </c>
      <c r="B2413" s="31" t="n">
        <f aca="false">Demand_History!A2413</f>
        <v>20</v>
      </c>
      <c r="C2413" s="32" t="n">
        <f aca="false">Demand_History!D2413</f>
        <v>38</v>
      </c>
      <c r="D2413" s="33" t="n">
        <f aca="false">IF(B2413&gt;=2,C2412,"")</f>
        <v>50</v>
      </c>
      <c r="E2413" s="33" t="n">
        <f aca="false">IF(B2413&gt;=5,AVERAGE(C2409:C2412),"")</f>
        <v>42.5</v>
      </c>
      <c r="F2413" s="33" t="n">
        <f aca="false">IF(B2413&gt;=9,AVERAGE(C2405:C2412),"")</f>
        <v>40.875</v>
      </c>
      <c r="G2413" s="33" t="n">
        <f aca="false">IF(B2413=1,"",IF(B2413=2,C2412,SES_Alpha*C2412+(1-SES_Alpha)*G2412))</f>
        <v>42.3713149502343</v>
      </c>
      <c r="H2413" s="33" t="n">
        <f aca="false">IF(D2413="","",D2413-C2413)</f>
        <v>12</v>
      </c>
      <c r="I2413" s="33" t="n">
        <f aca="false">IF(E2413="","",E2413-C2413)</f>
        <v>4.5</v>
      </c>
      <c r="J2413" s="33" t="n">
        <f aca="false">IF(F2413="","",F2413-C2413)</f>
        <v>2.875</v>
      </c>
      <c r="K2413" s="33" t="n">
        <f aca="false">IF(G2413="","",G2413-C2413)</f>
        <v>4.37131495023426</v>
      </c>
      <c r="L2413" s="33" t="n">
        <f aca="false">IF(H2413="","",ABS(H2413))</f>
        <v>12</v>
      </c>
      <c r="M2413" s="33" t="n">
        <f aca="false">IF(I2413="","",ABS(I2413))</f>
        <v>4.5</v>
      </c>
      <c r="N2413" s="33" t="n">
        <f aca="false">IF(J2413="","",ABS(J2413))</f>
        <v>2.875</v>
      </c>
      <c r="O2413" s="33" t="n">
        <f aca="false">IF(K2413="","",ABS(K2413))</f>
        <v>4.37131495023426</v>
      </c>
      <c r="P2413" s="34" t="str">
        <f aca="false">IF(B2413&gt;=Eval_Start_Week,"YES","")</f>
        <v/>
      </c>
      <c r="Q2413" s="34" t="str">
        <f aca="false">IF(AND(B2413&gt;=Cal_Start_Week,B2413&lt;=Cal_End_Week),"YES","")</f>
        <v/>
      </c>
    </row>
    <row r="2414" customFormat="false" ht="15" hidden="false" customHeight="false" outlineLevel="0" collapsed="false">
      <c r="A2414" s="31" t="str">
        <f aca="false">Demand_History!C2414</f>
        <v>BED-004</v>
      </c>
      <c r="B2414" s="31" t="n">
        <f aca="false">Demand_History!A2414</f>
        <v>21</v>
      </c>
      <c r="C2414" s="32" t="n">
        <f aca="false">Demand_History!D2414</f>
        <v>44</v>
      </c>
      <c r="D2414" s="33" t="n">
        <f aca="false">IF(B2414&gt;=2,C2413,"")</f>
        <v>38</v>
      </c>
      <c r="E2414" s="33" t="n">
        <f aca="false">IF(B2414&gt;=5,AVERAGE(C2410:C2413),"")</f>
        <v>40.25</v>
      </c>
      <c r="F2414" s="33" t="n">
        <f aca="false">IF(B2414&gt;=9,AVERAGE(C2406:C2413),"")</f>
        <v>40.25</v>
      </c>
      <c r="G2414" s="33" t="n">
        <f aca="false">IF(B2414=1,"",IF(B2414=2,C2413,SES_Alpha*C2413+(1-SES_Alpha)*G2413))</f>
        <v>41.059920465164</v>
      </c>
      <c r="H2414" s="33" t="n">
        <f aca="false">IF(D2414="","",D2414-C2414)</f>
        <v>-6</v>
      </c>
      <c r="I2414" s="33" t="n">
        <f aca="false">IF(E2414="","",E2414-C2414)</f>
        <v>-3.75</v>
      </c>
      <c r="J2414" s="33" t="n">
        <f aca="false">IF(F2414="","",F2414-C2414)</f>
        <v>-3.75</v>
      </c>
      <c r="K2414" s="33" t="n">
        <f aca="false">IF(G2414="","",G2414-C2414)</f>
        <v>-2.94007953483602</v>
      </c>
      <c r="L2414" s="33" t="n">
        <f aca="false">IF(H2414="","",ABS(H2414))</f>
        <v>6</v>
      </c>
      <c r="M2414" s="33" t="n">
        <f aca="false">IF(I2414="","",ABS(I2414))</f>
        <v>3.75</v>
      </c>
      <c r="N2414" s="33" t="n">
        <f aca="false">IF(J2414="","",ABS(J2414))</f>
        <v>3.75</v>
      </c>
      <c r="O2414" s="33" t="n">
        <f aca="false">IF(K2414="","",ABS(K2414))</f>
        <v>2.94007953483602</v>
      </c>
      <c r="P2414" s="34" t="str">
        <f aca="false">IF(B2414&gt;=Eval_Start_Week,"YES","")</f>
        <v/>
      </c>
      <c r="Q2414" s="34" t="str">
        <f aca="false">IF(AND(B2414&gt;=Cal_Start_Week,B2414&lt;=Cal_End_Week),"YES","")</f>
        <v/>
      </c>
    </row>
    <row r="2415" customFormat="false" ht="15" hidden="false" customHeight="false" outlineLevel="0" collapsed="false">
      <c r="A2415" s="31" t="str">
        <f aca="false">Demand_History!C2415</f>
        <v>BED-004</v>
      </c>
      <c r="B2415" s="31" t="n">
        <f aca="false">Demand_History!A2415</f>
        <v>22</v>
      </c>
      <c r="C2415" s="32" t="n">
        <f aca="false">Demand_History!D2415</f>
        <v>41</v>
      </c>
      <c r="D2415" s="33" t="n">
        <f aca="false">IF(B2415&gt;=2,C2414,"")</f>
        <v>44</v>
      </c>
      <c r="E2415" s="33" t="n">
        <f aca="false">IF(B2415&gt;=5,AVERAGE(C2411:C2414),"")</f>
        <v>43</v>
      </c>
      <c r="F2415" s="33" t="n">
        <f aca="false">IF(B2415&gt;=9,AVERAGE(C2407:C2414),"")</f>
        <v>41.75</v>
      </c>
      <c r="G2415" s="33" t="n">
        <f aca="false">IF(B2415=1,"",IF(B2415=2,C2414,SES_Alpha*C2414+(1-SES_Alpha)*G2414))</f>
        <v>41.9419443256148</v>
      </c>
      <c r="H2415" s="33" t="n">
        <f aca="false">IF(D2415="","",D2415-C2415)</f>
        <v>3</v>
      </c>
      <c r="I2415" s="33" t="n">
        <f aca="false">IF(E2415="","",E2415-C2415)</f>
        <v>2</v>
      </c>
      <c r="J2415" s="33" t="n">
        <f aca="false">IF(F2415="","",F2415-C2415)</f>
        <v>0.75</v>
      </c>
      <c r="K2415" s="33" t="n">
        <f aca="false">IF(G2415="","",G2415-C2415)</f>
        <v>0.941944325614784</v>
      </c>
      <c r="L2415" s="33" t="n">
        <f aca="false">IF(H2415="","",ABS(H2415))</f>
        <v>3</v>
      </c>
      <c r="M2415" s="33" t="n">
        <f aca="false">IF(I2415="","",ABS(I2415))</f>
        <v>2</v>
      </c>
      <c r="N2415" s="33" t="n">
        <f aca="false">IF(J2415="","",ABS(J2415))</f>
        <v>0.75</v>
      </c>
      <c r="O2415" s="33" t="n">
        <f aca="false">IF(K2415="","",ABS(K2415))</f>
        <v>0.941944325614784</v>
      </c>
      <c r="P2415" s="34" t="str">
        <f aca="false">IF(B2415&gt;=Eval_Start_Week,"YES","")</f>
        <v/>
      </c>
      <c r="Q2415" s="34" t="str">
        <f aca="false">IF(AND(B2415&gt;=Cal_Start_Week,B2415&lt;=Cal_End_Week),"YES","")</f>
        <v/>
      </c>
    </row>
    <row r="2416" customFormat="false" ht="15" hidden="false" customHeight="false" outlineLevel="0" collapsed="false">
      <c r="A2416" s="31" t="str">
        <f aca="false">Demand_History!C2416</f>
        <v>BED-004</v>
      </c>
      <c r="B2416" s="31" t="n">
        <f aca="false">Demand_History!A2416</f>
        <v>23</v>
      </c>
      <c r="C2416" s="32" t="n">
        <f aca="false">Demand_History!D2416</f>
        <v>30</v>
      </c>
      <c r="D2416" s="33" t="n">
        <f aca="false">IF(B2416&gt;=2,C2415,"")</f>
        <v>41</v>
      </c>
      <c r="E2416" s="33" t="n">
        <f aca="false">IF(B2416&gt;=5,AVERAGE(C2412:C2415),"")</f>
        <v>43.25</v>
      </c>
      <c r="F2416" s="33" t="n">
        <f aca="false">IF(B2416&gt;=9,AVERAGE(C2408:C2415),"")</f>
        <v>41</v>
      </c>
      <c r="G2416" s="33" t="n">
        <f aca="false">IF(B2416=1,"",IF(B2416=2,C2415,SES_Alpha*C2415+(1-SES_Alpha)*G2415))</f>
        <v>41.6593610279303</v>
      </c>
      <c r="H2416" s="33" t="n">
        <f aca="false">IF(D2416="","",D2416-C2416)</f>
        <v>11</v>
      </c>
      <c r="I2416" s="33" t="n">
        <f aca="false">IF(E2416="","",E2416-C2416)</f>
        <v>13.25</v>
      </c>
      <c r="J2416" s="33" t="n">
        <f aca="false">IF(F2416="","",F2416-C2416)</f>
        <v>11</v>
      </c>
      <c r="K2416" s="33" t="n">
        <f aca="false">IF(G2416="","",G2416-C2416)</f>
        <v>11.6593610279303</v>
      </c>
      <c r="L2416" s="33" t="n">
        <f aca="false">IF(H2416="","",ABS(H2416))</f>
        <v>11</v>
      </c>
      <c r="M2416" s="33" t="n">
        <f aca="false">IF(I2416="","",ABS(I2416))</f>
        <v>13.25</v>
      </c>
      <c r="N2416" s="33" t="n">
        <f aca="false">IF(J2416="","",ABS(J2416))</f>
        <v>11</v>
      </c>
      <c r="O2416" s="33" t="n">
        <f aca="false">IF(K2416="","",ABS(K2416))</f>
        <v>11.6593610279303</v>
      </c>
      <c r="P2416" s="34" t="str">
        <f aca="false">IF(B2416&gt;=Eval_Start_Week,"YES","")</f>
        <v/>
      </c>
      <c r="Q2416" s="34" t="str">
        <f aca="false">IF(AND(B2416&gt;=Cal_Start_Week,B2416&lt;=Cal_End_Week),"YES","")</f>
        <v/>
      </c>
    </row>
    <row r="2417" customFormat="false" ht="15" hidden="false" customHeight="false" outlineLevel="0" collapsed="false">
      <c r="A2417" s="31" t="str">
        <f aca="false">Demand_History!C2417</f>
        <v>BED-004</v>
      </c>
      <c r="B2417" s="31" t="n">
        <f aca="false">Demand_History!A2417</f>
        <v>24</v>
      </c>
      <c r="C2417" s="32" t="n">
        <f aca="false">Demand_History!D2417</f>
        <v>47</v>
      </c>
      <c r="D2417" s="33" t="n">
        <f aca="false">IF(B2417&gt;=2,C2416,"")</f>
        <v>30</v>
      </c>
      <c r="E2417" s="33" t="n">
        <f aca="false">IF(B2417&gt;=5,AVERAGE(C2413:C2416),"")</f>
        <v>38.25</v>
      </c>
      <c r="F2417" s="33" t="n">
        <f aca="false">IF(B2417&gt;=9,AVERAGE(C2409:C2416),"")</f>
        <v>40.375</v>
      </c>
      <c r="G2417" s="33" t="n">
        <f aca="false">IF(B2417=1,"",IF(B2417=2,C2416,SES_Alpha*C2416+(1-SES_Alpha)*G2416))</f>
        <v>38.1615527195512</v>
      </c>
      <c r="H2417" s="33" t="n">
        <f aca="false">IF(D2417="","",D2417-C2417)</f>
        <v>-17</v>
      </c>
      <c r="I2417" s="33" t="n">
        <f aca="false">IF(E2417="","",E2417-C2417)</f>
        <v>-8.75</v>
      </c>
      <c r="J2417" s="33" t="n">
        <f aca="false">IF(F2417="","",F2417-C2417)</f>
        <v>-6.625</v>
      </c>
      <c r="K2417" s="33" t="n">
        <f aca="false">IF(G2417="","",G2417-C2417)</f>
        <v>-8.83844728044876</v>
      </c>
      <c r="L2417" s="33" t="n">
        <f aca="false">IF(H2417="","",ABS(H2417))</f>
        <v>17</v>
      </c>
      <c r="M2417" s="33" t="n">
        <f aca="false">IF(I2417="","",ABS(I2417))</f>
        <v>8.75</v>
      </c>
      <c r="N2417" s="33" t="n">
        <f aca="false">IF(J2417="","",ABS(J2417))</f>
        <v>6.625</v>
      </c>
      <c r="O2417" s="33" t="n">
        <f aca="false">IF(K2417="","",ABS(K2417))</f>
        <v>8.83844728044876</v>
      </c>
      <c r="P2417" s="34" t="str">
        <f aca="false">IF(B2417&gt;=Eval_Start_Week,"YES","")</f>
        <v/>
      </c>
      <c r="Q2417" s="34" t="str">
        <f aca="false">IF(AND(B2417&gt;=Cal_Start_Week,B2417&lt;=Cal_End_Week),"YES","")</f>
        <v/>
      </c>
    </row>
    <row r="2418" customFormat="false" ht="15" hidden="false" customHeight="false" outlineLevel="0" collapsed="false">
      <c r="A2418" s="31" t="str">
        <f aca="false">Demand_History!C2418</f>
        <v>BED-004</v>
      </c>
      <c r="B2418" s="31" t="n">
        <f aca="false">Demand_History!A2418</f>
        <v>25</v>
      </c>
      <c r="C2418" s="32" t="n">
        <f aca="false">Demand_History!D2418</f>
        <v>48</v>
      </c>
      <c r="D2418" s="33" t="n">
        <f aca="false">IF(B2418&gt;=2,C2417,"")</f>
        <v>47</v>
      </c>
      <c r="E2418" s="33" t="n">
        <f aca="false">IF(B2418&gt;=5,AVERAGE(C2414:C2417),"")</f>
        <v>40.5</v>
      </c>
      <c r="F2418" s="33" t="n">
        <f aca="false">IF(B2418&gt;=9,AVERAGE(C2410:C2417),"")</f>
        <v>40.375</v>
      </c>
      <c r="G2418" s="33" t="n">
        <f aca="false">IF(B2418=1,"",IF(B2418=2,C2417,SES_Alpha*C2417+(1-SES_Alpha)*G2417))</f>
        <v>40.8130869036859</v>
      </c>
      <c r="H2418" s="33" t="n">
        <f aca="false">IF(D2418="","",D2418-C2418)</f>
        <v>-1</v>
      </c>
      <c r="I2418" s="33" t="n">
        <f aca="false">IF(E2418="","",E2418-C2418)</f>
        <v>-7.5</v>
      </c>
      <c r="J2418" s="33" t="n">
        <f aca="false">IF(F2418="","",F2418-C2418)</f>
        <v>-7.625</v>
      </c>
      <c r="K2418" s="33" t="n">
        <f aca="false">IF(G2418="","",G2418-C2418)</f>
        <v>-7.18691309631414</v>
      </c>
      <c r="L2418" s="33" t="n">
        <f aca="false">IF(H2418="","",ABS(H2418))</f>
        <v>1</v>
      </c>
      <c r="M2418" s="33" t="n">
        <f aca="false">IF(I2418="","",ABS(I2418))</f>
        <v>7.5</v>
      </c>
      <c r="N2418" s="33" t="n">
        <f aca="false">IF(J2418="","",ABS(J2418))</f>
        <v>7.625</v>
      </c>
      <c r="O2418" s="33" t="n">
        <f aca="false">IF(K2418="","",ABS(K2418))</f>
        <v>7.18691309631414</v>
      </c>
      <c r="P2418" s="34" t="str">
        <f aca="false">IF(B2418&gt;=Eval_Start_Week,"YES","")</f>
        <v/>
      </c>
      <c r="Q2418" s="34" t="str">
        <f aca="false">IF(AND(B2418&gt;=Cal_Start_Week,B2418&lt;=Cal_End_Week),"YES","")</f>
        <v/>
      </c>
    </row>
    <row r="2419" customFormat="false" ht="15" hidden="false" customHeight="false" outlineLevel="0" collapsed="false">
      <c r="A2419" s="31" t="str">
        <f aca="false">Demand_History!C2419</f>
        <v>BED-004</v>
      </c>
      <c r="B2419" s="31" t="n">
        <f aca="false">Demand_History!A2419</f>
        <v>26</v>
      </c>
      <c r="C2419" s="32" t="n">
        <f aca="false">Demand_History!D2419</f>
        <v>39</v>
      </c>
      <c r="D2419" s="33" t="n">
        <f aca="false">IF(B2419&gt;=2,C2418,"")</f>
        <v>48</v>
      </c>
      <c r="E2419" s="33" t="n">
        <f aca="false">IF(B2419&gt;=5,AVERAGE(C2415:C2418),"")</f>
        <v>41.5</v>
      </c>
      <c r="F2419" s="33" t="n">
        <f aca="false">IF(B2419&gt;=9,AVERAGE(C2411:C2418),"")</f>
        <v>42.25</v>
      </c>
      <c r="G2419" s="33" t="n">
        <f aca="false">IF(B2419=1,"",IF(B2419=2,C2418,SES_Alpha*C2418+(1-SES_Alpha)*G2418))</f>
        <v>42.9691608325801</v>
      </c>
      <c r="H2419" s="33" t="n">
        <f aca="false">IF(D2419="","",D2419-C2419)</f>
        <v>9</v>
      </c>
      <c r="I2419" s="33" t="n">
        <f aca="false">IF(E2419="","",E2419-C2419)</f>
        <v>2.5</v>
      </c>
      <c r="J2419" s="33" t="n">
        <f aca="false">IF(F2419="","",F2419-C2419)</f>
        <v>3.25</v>
      </c>
      <c r="K2419" s="33" t="n">
        <f aca="false">IF(G2419="","",G2419-C2419)</f>
        <v>3.9691608325801</v>
      </c>
      <c r="L2419" s="33" t="n">
        <f aca="false">IF(H2419="","",ABS(H2419))</f>
        <v>9</v>
      </c>
      <c r="M2419" s="33" t="n">
        <f aca="false">IF(I2419="","",ABS(I2419))</f>
        <v>2.5</v>
      </c>
      <c r="N2419" s="33" t="n">
        <f aca="false">IF(J2419="","",ABS(J2419))</f>
        <v>3.25</v>
      </c>
      <c r="O2419" s="33" t="n">
        <f aca="false">IF(K2419="","",ABS(K2419))</f>
        <v>3.9691608325801</v>
      </c>
      <c r="P2419" s="34" t="str">
        <f aca="false">IF(B2419&gt;=Eval_Start_Week,"YES","")</f>
        <v/>
      </c>
      <c r="Q2419" s="34" t="str">
        <f aca="false">IF(AND(B2419&gt;=Cal_Start_Week,B2419&lt;=Cal_End_Week),"YES","")</f>
        <v/>
      </c>
    </row>
    <row r="2420" customFormat="false" ht="15" hidden="false" customHeight="false" outlineLevel="0" collapsed="false">
      <c r="A2420" s="31" t="str">
        <f aca="false">Demand_History!C2420</f>
        <v>BED-004</v>
      </c>
      <c r="B2420" s="31" t="n">
        <f aca="false">Demand_History!A2420</f>
        <v>27</v>
      </c>
      <c r="C2420" s="32" t="n">
        <f aca="false">Demand_History!D2420</f>
        <v>50</v>
      </c>
      <c r="D2420" s="33" t="n">
        <f aca="false">IF(B2420&gt;=2,C2419,"")</f>
        <v>39</v>
      </c>
      <c r="E2420" s="33" t="n">
        <f aca="false">IF(B2420&gt;=5,AVERAGE(C2416:C2419),"")</f>
        <v>41</v>
      </c>
      <c r="F2420" s="33" t="n">
        <f aca="false">IF(B2420&gt;=9,AVERAGE(C2412:C2419),"")</f>
        <v>42.125</v>
      </c>
      <c r="G2420" s="33" t="n">
        <f aca="false">IF(B2420=1,"",IF(B2420=2,C2419,SES_Alpha*C2419+(1-SES_Alpha)*G2419))</f>
        <v>41.7784125828061</v>
      </c>
      <c r="H2420" s="33" t="n">
        <f aca="false">IF(D2420="","",D2420-C2420)</f>
        <v>-11</v>
      </c>
      <c r="I2420" s="33" t="n">
        <f aca="false">IF(E2420="","",E2420-C2420)</f>
        <v>-9</v>
      </c>
      <c r="J2420" s="33" t="n">
        <f aca="false">IF(F2420="","",F2420-C2420)</f>
        <v>-7.875</v>
      </c>
      <c r="K2420" s="33" t="n">
        <f aca="false">IF(G2420="","",G2420-C2420)</f>
        <v>-8.22158741719393</v>
      </c>
      <c r="L2420" s="33" t="n">
        <f aca="false">IF(H2420="","",ABS(H2420))</f>
        <v>11</v>
      </c>
      <c r="M2420" s="33" t="n">
        <f aca="false">IF(I2420="","",ABS(I2420))</f>
        <v>9</v>
      </c>
      <c r="N2420" s="33" t="n">
        <f aca="false">IF(J2420="","",ABS(J2420))</f>
        <v>7.875</v>
      </c>
      <c r="O2420" s="33" t="n">
        <f aca="false">IF(K2420="","",ABS(K2420))</f>
        <v>8.22158741719393</v>
      </c>
      <c r="P2420" s="34" t="str">
        <f aca="false">IF(B2420&gt;=Eval_Start_Week,"YES","")</f>
        <v/>
      </c>
      <c r="Q2420" s="34" t="str">
        <f aca="false">IF(AND(B2420&gt;=Cal_Start_Week,B2420&lt;=Cal_End_Week),"YES","")</f>
        <v/>
      </c>
    </row>
    <row r="2421" customFormat="false" ht="15" hidden="false" customHeight="false" outlineLevel="0" collapsed="false">
      <c r="A2421" s="31" t="str">
        <f aca="false">Demand_History!C2421</f>
        <v>BED-004</v>
      </c>
      <c r="B2421" s="31" t="n">
        <f aca="false">Demand_History!A2421</f>
        <v>28</v>
      </c>
      <c r="C2421" s="32" t="n">
        <f aca="false">Demand_History!D2421</f>
        <v>41</v>
      </c>
      <c r="D2421" s="33" t="n">
        <f aca="false">IF(B2421&gt;=2,C2420,"")</f>
        <v>50</v>
      </c>
      <c r="E2421" s="33" t="n">
        <f aca="false">IF(B2421&gt;=5,AVERAGE(C2417:C2420),"")</f>
        <v>46</v>
      </c>
      <c r="F2421" s="33" t="n">
        <f aca="false">IF(B2421&gt;=9,AVERAGE(C2413:C2420),"")</f>
        <v>42.125</v>
      </c>
      <c r="G2421" s="33" t="n">
        <f aca="false">IF(B2421=1,"",IF(B2421=2,C2420,SES_Alpha*C2420+(1-SES_Alpha)*G2420))</f>
        <v>44.2448888079642</v>
      </c>
      <c r="H2421" s="33" t="n">
        <f aca="false">IF(D2421="","",D2421-C2421)</f>
        <v>9</v>
      </c>
      <c r="I2421" s="33" t="n">
        <f aca="false">IF(E2421="","",E2421-C2421)</f>
        <v>5</v>
      </c>
      <c r="J2421" s="33" t="n">
        <f aca="false">IF(F2421="","",F2421-C2421)</f>
        <v>1.125</v>
      </c>
      <c r="K2421" s="33" t="n">
        <f aca="false">IF(G2421="","",G2421-C2421)</f>
        <v>3.24488880796424</v>
      </c>
      <c r="L2421" s="33" t="n">
        <f aca="false">IF(H2421="","",ABS(H2421))</f>
        <v>9</v>
      </c>
      <c r="M2421" s="33" t="n">
        <f aca="false">IF(I2421="","",ABS(I2421))</f>
        <v>5</v>
      </c>
      <c r="N2421" s="33" t="n">
        <f aca="false">IF(J2421="","",ABS(J2421))</f>
        <v>1.125</v>
      </c>
      <c r="O2421" s="33" t="n">
        <f aca="false">IF(K2421="","",ABS(K2421))</f>
        <v>3.24488880796424</v>
      </c>
      <c r="P2421" s="34" t="str">
        <f aca="false">IF(B2421&gt;=Eval_Start_Week,"YES","")</f>
        <v/>
      </c>
      <c r="Q2421" s="34" t="str">
        <f aca="false">IF(AND(B2421&gt;=Cal_Start_Week,B2421&lt;=Cal_End_Week),"YES","")</f>
        <v/>
      </c>
    </row>
    <row r="2422" customFormat="false" ht="15" hidden="false" customHeight="false" outlineLevel="0" collapsed="false">
      <c r="A2422" s="31" t="str">
        <f aca="false">Demand_History!C2422</f>
        <v>BED-004</v>
      </c>
      <c r="B2422" s="31" t="n">
        <f aca="false">Demand_History!A2422</f>
        <v>29</v>
      </c>
      <c r="C2422" s="32" t="n">
        <f aca="false">Demand_History!D2422</f>
        <v>40</v>
      </c>
      <c r="D2422" s="33" t="n">
        <f aca="false">IF(B2422&gt;=2,C2421,"")</f>
        <v>41</v>
      </c>
      <c r="E2422" s="33" t="n">
        <f aca="false">IF(B2422&gt;=5,AVERAGE(C2418:C2421),"")</f>
        <v>44.5</v>
      </c>
      <c r="F2422" s="33" t="n">
        <f aca="false">IF(B2422&gt;=9,AVERAGE(C2414:C2421),"")</f>
        <v>42.5</v>
      </c>
      <c r="G2422" s="33" t="n">
        <f aca="false">IF(B2422=1,"",IF(B2422=2,C2421,SES_Alpha*C2421+(1-SES_Alpha)*G2421))</f>
        <v>43.271422165575</v>
      </c>
      <c r="H2422" s="33" t="n">
        <f aca="false">IF(D2422="","",D2422-C2422)</f>
        <v>1</v>
      </c>
      <c r="I2422" s="33" t="n">
        <f aca="false">IF(E2422="","",E2422-C2422)</f>
        <v>4.5</v>
      </c>
      <c r="J2422" s="33" t="n">
        <f aca="false">IF(F2422="","",F2422-C2422)</f>
        <v>2.5</v>
      </c>
      <c r="K2422" s="33" t="n">
        <f aca="false">IF(G2422="","",G2422-C2422)</f>
        <v>3.27142216557497</v>
      </c>
      <c r="L2422" s="33" t="n">
        <f aca="false">IF(H2422="","",ABS(H2422))</f>
        <v>1</v>
      </c>
      <c r="M2422" s="33" t="n">
        <f aca="false">IF(I2422="","",ABS(I2422))</f>
        <v>4.5</v>
      </c>
      <c r="N2422" s="33" t="n">
        <f aca="false">IF(J2422="","",ABS(J2422))</f>
        <v>2.5</v>
      </c>
      <c r="O2422" s="33" t="n">
        <f aca="false">IF(K2422="","",ABS(K2422))</f>
        <v>3.27142216557497</v>
      </c>
      <c r="P2422" s="34" t="str">
        <f aca="false">IF(B2422&gt;=Eval_Start_Week,"YES","")</f>
        <v/>
      </c>
      <c r="Q2422" s="34" t="str">
        <f aca="false">IF(AND(B2422&gt;=Cal_Start_Week,B2422&lt;=Cal_End_Week),"YES","")</f>
        <v/>
      </c>
    </row>
    <row r="2423" customFormat="false" ht="15" hidden="false" customHeight="false" outlineLevel="0" collapsed="false">
      <c r="A2423" s="31" t="str">
        <f aca="false">Demand_History!C2423</f>
        <v>BED-004</v>
      </c>
      <c r="B2423" s="31" t="n">
        <f aca="false">Demand_History!A2423</f>
        <v>30</v>
      </c>
      <c r="C2423" s="32" t="n">
        <f aca="false">Demand_History!D2423</f>
        <v>47</v>
      </c>
      <c r="D2423" s="33" t="n">
        <f aca="false">IF(B2423&gt;=2,C2422,"")</f>
        <v>40</v>
      </c>
      <c r="E2423" s="33" t="n">
        <f aca="false">IF(B2423&gt;=5,AVERAGE(C2419:C2422),"")</f>
        <v>42.5</v>
      </c>
      <c r="F2423" s="33" t="n">
        <f aca="false">IF(B2423&gt;=9,AVERAGE(C2415:C2422),"")</f>
        <v>42</v>
      </c>
      <c r="G2423" s="33" t="n">
        <f aca="false">IF(B2423=1,"",IF(B2423=2,C2422,SES_Alpha*C2422+(1-SES_Alpha)*G2422))</f>
        <v>42.2899955159025</v>
      </c>
      <c r="H2423" s="33" t="n">
        <f aca="false">IF(D2423="","",D2423-C2423)</f>
        <v>-7</v>
      </c>
      <c r="I2423" s="33" t="n">
        <f aca="false">IF(E2423="","",E2423-C2423)</f>
        <v>-4.5</v>
      </c>
      <c r="J2423" s="33" t="n">
        <f aca="false">IF(F2423="","",F2423-C2423)</f>
        <v>-5</v>
      </c>
      <c r="K2423" s="33" t="n">
        <f aca="false">IF(G2423="","",G2423-C2423)</f>
        <v>-4.71000448409752</v>
      </c>
      <c r="L2423" s="33" t="n">
        <f aca="false">IF(H2423="","",ABS(H2423))</f>
        <v>7</v>
      </c>
      <c r="M2423" s="33" t="n">
        <f aca="false">IF(I2423="","",ABS(I2423))</f>
        <v>4.5</v>
      </c>
      <c r="N2423" s="33" t="n">
        <f aca="false">IF(J2423="","",ABS(J2423))</f>
        <v>5</v>
      </c>
      <c r="O2423" s="33" t="n">
        <f aca="false">IF(K2423="","",ABS(K2423))</f>
        <v>4.71000448409752</v>
      </c>
      <c r="P2423" s="34" t="str">
        <f aca="false">IF(B2423&gt;=Eval_Start_Week,"YES","")</f>
        <v/>
      </c>
      <c r="Q2423" s="34" t="str">
        <f aca="false">IF(AND(B2423&gt;=Cal_Start_Week,B2423&lt;=Cal_End_Week),"YES","")</f>
        <v/>
      </c>
    </row>
    <row r="2424" customFormat="false" ht="15" hidden="false" customHeight="false" outlineLevel="0" collapsed="false">
      <c r="A2424" s="31" t="str">
        <f aca="false">Demand_History!C2424</f>
        <v>BED-004</v>
      </c>
      <c r="B2424" s="31" t="n">
        <f aca="false">Demand_History!A2424</f>
        <v>31</v>
      </c>
      <c r="C2424" s="32" t="n">
        <f aca="false">Demand_History!D2424</f>
        <v>43</v>
      </c>
      <c r="D2424" s="33" t="n">
        <f aca="false">IF(B2424&gt;=2,C2423,"")</f>
        <v>47</v>
      </c>
      <c r="E2424" s="33" t="n">
        <f aca="false">IF(B2424&gt;=5,AVERAGE(C2420:C2423),"")</f>
        <v>44.5</v>
      </c>
      <c r="F2424" s="33" t="n">
        <f aca="false">IF(B2424&gt;=9,AVERAGE(C2416:C2423),"")</f>
        <v>42.75</v>
      </c>
      <c r="G2424" s="33" t="n">
        <f aca="false">IF(B2424=1,"",IF(B2424=2,C2423,SES_Alpha*C2423+(1-SES_Alpha)*G2423))</f>
        <v>43.7029968611317</v>
      </c>
      <c r="H2424" s="33" t="n">
        <f aca="false">IF(D2424="","",D2424-C2424)</f>
        <v>4</v>
      </c>
      <c r="I2424" s="33" t="n">
        <f aca="false">IF(E2424="","",E2424-C2424)</f>
        <v>1.5</v>
      </c>
      <c r="J2424" s="33" t="n">
        <f aca="false">IF(F2424="","",F2424-C2424)</f>
        <v>-0.25</v>
      </c>
      <c r="K2424" s="33" t="n">
        <f aca="false">IF(G2424="","",G2424-C2424)</f>
        <v>0.70299686113173</v>
      </c>
      <c r="L2424" s="33" t="n">
        <f aca="false">IF(H2424="","",ABS(H2424))</f>
        <v>4</v>
      </c>
      <c r="M2424" s="33" t="n">
        <f aca="false">IF(I2424="","",ABS(I2424))</f>
        <v>1.5</v>
      </c>
      <c r="N2424" s="33" t="n">
        <f aca="false">IF(J2424="","",ABS(J2424))</f>
        <v>0.25</v>
      </c>
      <c r="O2424" s="33" t="n">
        <f aca="false">IF(K2424="","",ABS(K2424))</f>
        <v>0.70299686113173</v>
      </c>
      <c r="P2424" s="34" t="str">
        <f aca="false">IF(B2424&gt;=Eval_Start_Week,"YES","")</f>
        <v/>
      </c>
      <c r="Q2424" s="34" t="str">
        <f aca="false">IF(AND(B2424&gt;=Cal_Start_Week,B2424&lt;=Cal_End_Week),"YES","")</f>
        <v/>
      </c>
    </row>
    <row r="2425" customFormat="false" ht="15" hidden="false" customHeight="false" outlineLevel="0" collapsed="false">
      <c r="A2425" s="31" t="str">
        <f aca="false">Demand_History!C2425</f>
        <v>BED-004</v>
      </c>
      <c r="B2425" s="31" t="n">
        <f aca="false">Demand_History!A2425</f>
        <v>32</v>
      </c>
      <c r="C2425" s="32" t="n">
        <f aca="false">Demand_History!D2425</f>
        <v>64</v>
      </c>
      <c r="D2425" s="33" t="n">
        <f aca="false">IF(B2425&gt;=2,C2424,"")</f>
        <v>43</v>
      </c>
      <c r="E2425" s="33" t="n">
        <f aca="false">IF(B2425&gt;=5,AVERAGE(C2421:C2424),"")</f>
        <v>42.75</v>
      </c>
      <c r="F2425" s="33" t="n">
        <f aca="false">IF(B2425&gt;=9,AVERAGE(C2417:C2424),"")</f>
        <v>44.375</v>
      </c>
      <c r="G2425" s="33" t="n">
        <f aca="false">IF(B2425=1,"",IF(B2425=2,C2424,SES_Alpha*C2424+(1-SES_Alpha)*G2424))</f>
        <v>43.4920978027922</v>
      </c>
      <c r="H2425" s="33" t="n">
        <f aca="false">IF(D2425="","",D2425-C2425)</f>
        <v>-21</v>
      </c>
      <c r="I2425" s="33" t="n">
        <f aca="false">IF(E2425="","",E2425-C2425)</f>
        <v>-21.25</v>
      </c>
      <c r="J2425" s="33" t="n">
        <f aca="false">IF(F2425="","",F2425-C2425)</f>
        <v>-19.625</v>
      </c>
      <c r="K2425" s="33" t="n">
        <f aca="false">IF(G2425="","",G2425-C2425)</f>
        <v>-20.5079021972078</v>
      </c>
      <c r="L2425" s="33" t="n">
        <f aca="false">IF(H2425="","",ABS(H2425))</f>
        <v>21</v>
      </c>
      <c r="M2425" s="33" t="n">
        <f aca="false">IF(I2425="","",ABS(I2425))</f>
        <v>21.25</v>
      </c>
      <c r="N2425" s="33" t="n">
        <f aca="false">IF(J2425="","",ABS(J2425))</f>
        <v>19.625</v>
      </c>
      <c r="O2425" s="33" t="n">
        <f aca="false">IF(K2425="","",ABS(K2425))</f>
        <v>20.5079021972078</v>
      </c>
      <c r="P2425" s="34" t="str">
        <f aca="false">IF(B2425&gt;=Eval_Start_Week,"YES","")</f>
        <v/>
      </c>
      <c r="Q2425" s="34" t="str">
        <f aca="false">IF(AND(B2425&gt;=Cal_Start_Week,B2425&lt;=Cal_End_Week),"YES","")</f>
        <v/>
      </c>
    </row>
    <row r="2426" customFormat="false" ht="15" hidden="false" customHeight="false" outlineLevel="0" collapsed="false">
      <c r="A2426" s="31" t="str">
        <f aca="false">Demand_History!C2426</f>
        <v>BED-004</v>
      </c>
      <c r="B2426" s="31" t="n">
        <f aca="false">Demand_History!A2426</f>
        <v>33</v>
      </c>
      <c r="C2426" s="32" t="n">
        <f aca="false">Demand_History!D2426</f>
        <v>38</v>
      </c>
      <c r="D2426" s="33" t="n">
        <f aca="false">IF(B2426&gt;=2,C2425,"")</f>
        <v>64</v>
      </c>
      <c r="E2426" s="33" t="n">
        <f aca="false">IF(B2426&gt;=5,AVERAGE(C2422:C2425),"")</f>
        <v>48.5</v>
      </c>
      <c r="F2426" s="33" t="n">
        <f aca="false">IF(B2426&gt;=9,AVERAGE(C2418:C2425),"")</f>
        <v>46.5</v>
      </c>
      <c r="G2426" s="33" t="n">
        <f aca="false">IF(B2426=1,"",IF(B2426=2,C2425,SES_Alpha*C2425+(1-SES_Alpha)*G2425))</f>
        <v>49.6444684619545</v>
      </c>
      <c r="H2426" s="33" t="n">
        <f aca="false">IF(D2426="","",D2426-C2426)</f>
        <v>26</v>
      </c>
      <c r="I2426" s="33" t="n">
        <f aca="false">IF(E2426="","",E2426-C2426)</f>
        <v>10.5</v>
      </c>
      <c r="J2426" s="33" t="n">
        <f aca="false">IF(F2426="","",F2426-C2426)</f>
        <v>8.5</v>
      </c>
      <c r="K2426" s="33" t="n">
        <f aca="false">IF(G2426="","",G2426-C2426)</f>
        <v>11.6444684619545</v>
      </c>
      <c r="L2426" s="33" t="n">
        <f aca="false">IF(H2426="","",ABS(H2426))</f>
        <v>26</v>
      </c>
      <c r="M2426" s="33" t="n">
        <f aca="false">IF(I2426="","",ABS(I2426))</f>
        <v>10.5</v>
      </c>
      <c r="N2426" s="33" t="n">
        <f aca="false">IF(J2426="","",ABS(J2426))</f>
        <v>8.5</v>
      </c>
      <c r="O2426" s="33" t="n">
        <f aca="false">IF(K2426="","",ABS(K2426))</f>
        <v>11.6444684619545</v>
      </c>
      <c r="P2426" s="34" t="str">
        <f aca="false">IF(B2426&gt;=Eval_Start_Week,"YES","")</f>
        <v/>
      </c>
      <c r="Q2426" s="34" t="str">
        <f aca="false">IF(AND(B2426&gt;=Cal_Start_Week,B2426&lt;=Cal_End_Week),"YES","")</f>
        <v/>
      </c>
    </row>
    <row r="2427" customFormat="false" ht="15" hidden="false" customHeight="false" outlineLevel="0" collapsed="false">
      <c r="A2427" s="31" t="str">
        <f aca="false">Demand_History!C2427</f>
        <v>BED-004</v>
      </c>
      <c r="B2427" s="31" t="n">
        <f aca="false">Demand_History!A2427</f>
        <v>34</v>
      </c>
      <c r="C2427" s="32" t="n">
        <f aca="false">Demand_History!D2427</f>
        <v>54</v>
      </c>
      <c r="D2427" s="33" t="n">
        <f aca="false">IF(B2427&gt;=2,C2426,"")</f>
        <v>38</v>
      </c>
      <c r="E2427" s="33" t="n">
        <f aca="false">IF(B2427&gt;=5,AVERAGE(C2423:C2426),"")</f>
        <v>48</v>
      </c>
      <c r="F2427" s="33" t="n">
        <f aca="false">IF(B2427&gt;=9,AVERAGE(C2419:C2426),"")</f>
        <v>45.25</v>
      </c>
      <c r="G2427" s="33" t="n">
        <f aca="false">IF(B2427=1,"",IF(B2427=2,C2426,SES_Alpha*C2426+(1-SES_Alpha)*G2426))</f>
        <v>46.1511279233682</v>
      </c>
      <c r="H2427" s="33" t="n">
        <f aca="false">IF(D2427="","",D2427-C2427)</f>
        <v>-16</v>
      </c>
      <c r="I2427" s="33" t="n">
        <f aca="false">IF(E2427="","",E2427-C2427)</f>
        <v>-6</v>
      </c>
      <c r="J2427" s="33" t="n">
        <f aca="false">IF(F2427="","",F2427-C2427)</f>
        <v>-8.75</v>
      </c>
      <c r="K2427" s="33" t="n">
        <f aca="false">IF(G2427="","",G2427-C2427)</f>
        <v>-7.84887207663182</v>
      </c>
      <c r="L2427" s="33" t="n">
        <f aca="false">IF(H2427="","",ABS(H2427))</f>
        <v>16</v>
      </c>
      <c r="M2427" s="33" t="n">
        <f aca="false">IF(I2427="","",ABS(I2427))</f>
        <v>6</v>
      </c>
      <c r="N2427" s="33" t="n">
        <f aca="false">IF(J2427="","",ABS(J2427))</f>
        <v>8.75</v>
      </c>
      <c r="O2427" s="33" t="n">
        <f aca="false">IF(K2427="","",ABS(K2427))</f>
        <v>7.84887207663182</v>
      </c>
      <c r="P2427" s="34" t="str">
        <f aca="false">IF(B2427&gt;=Eval_Start_Week,"YES","")</f>
        <v/>
      </c>
      <c r="Q2427" s="34" t="str">
        <f aca="false">IF(AND(B2427&gt;=Cal_Start_Week,B2427&lt;=Cal_End_Week),"YES","")</f>
        <v/>
      </c>
    </row>
    <row r="2428" customFormat="false" ht="15" hidden="false" customHeight="false" outlineLevel="0" collapsed="false">
      <c r="A2428" s="31" t="str">
        <f aca="false">Demand_History!C2428</f>
        <v>BED-004</v>
      </c>
      <c r="B2428" s="31" t="n">
        <f aca="false">Demand_History!A2428</f>
        <v>35</v>
      </c>
      <c r="C2428" s="32" t="n">
        <f aca="false">Demand_History!D2428</f>
        <v>56</v>
      </c>
      <c r="D2428" s="33" t="n">
        <f aca="false">IF(B2428&gt;=2,C2427,"")</f>
        <v>54</v>
      </c>
      <c r="E2428" s="33" t="n">
        <f aca="false">IF(B2428&gt;=5,AVERAGE(C2424:C2427),"")</f>
        <v>49.75</v>
      </c>
      <c r="F2428" s="33" t="n">
        <f aca="false">IF(B2428&gt;=9,AVERAGE(C2420:C2427),"")</f>
        <v>47.125</v>
      </c>
      <c r="G2428" s="33" t="n">
        <f aca="false">IF(B2428=1,"",IF(B2428=2,C2427,SES_Alpha*C2427+(1-SES_Alpha)*G2427))</f>
        <v>48.5057895463577</v>
      </c>
      <c r="H2428" s="33" t="n">
        <f aca="false">IF(D2428="","",D2428-C2428)</f>
        <v>-2</v>
      </c>
      <c r="I2428" s="33" t="n">
        <f aca="false">IF(E2428="","",E2428-C2428)</f>
        <v>-6.25</v>
      </c>
      <c r="J2428" s="33" t="n">
        <f aca="false">IF(F2428="","",F2428-C2428)</f>
        <v>-8.875</v>
      </c>
      <c r="K2428" s="33" t="n">
        <f aca="false">IF(G2428="","",G2428-C2428)</f>
        <v>-7.49421045364228</v>
      </c>
      <c r="L2428" s="33" t="n">
        <f aca="false">IF(H2428="","",ABS(H2428))</f>
        <v>2</v>
      </c>
      <c r="M2428" s="33" t="n">
        <f aca="false">IF(I2428="","",ABS(I2428))</f>
        <v>6.25</v>
      </c>
      <c r="N2428" s="33" t="n">
        <f aca="false">IF(J2428="","",ABS(J2428))</f>
        <v>8.875</v>
      </c>
      <c r="O2428" s="33" t="n">
        <f aca="false">IF(K2428="","",ABS(K2428))</f>
        <v>7.49421045364228</v>
      </c>
      <c r="P2428" s="34" t="str">
        <f aca="false">IF(B2428&gt;=Eval_Start_Week,"YES","")</f>
        <v/>
      </c>
      <c r="Q2428" s="34" t="str">
        <f aca="false">IF(AND(B2428&gt;=Cal_Start_Week,B2428&lt;=Cal_End_Week),"YES","")</f>
        <v/>
      </c>
    </row>
    <row r="2429" customFormat="false" ht="15" hidden="false" customHeight="false" outlineLevel="0" collapsed="false">
      <c r="A2429" s="31" t="str">
        <f aca="false">Demand_History!C2429</f>
        <v>BED-004</v>
      </c>
      <c r="B2429" s="31" t="n">
        <f aca="false">Demand_History!A2429</f>
        <v>36</v>
      </c>
      <c r="C2429" s="32" t="n">
        <f aca="false">Demand_History!D2429</f>
        <v>36</v>
      </c>
      <c r="D2429" s="33" t="n">
        <f aca="false">IF(B2429&gt;=2,C2428,"")</f>
        <v>56</v>
      </c>
      <c r="E2429" s="33" t="n">
        <f aca="false">IF(B2429&gt;=5,AVERAGE(C2425:C2428),"")</f>
        <v>53</v>
      </c>
      <c r="F2429" s="33" t="n">
        <f aca="false">IF(B2429&gt;=9,AVERAGE(C2421:C2428),"")</f>
        <v>47.875</v>
      </c>
      <c r="G2429" s="33" t="n">
        <f aca="false">IF(B2429=1,"",IF(B2429=2,C2428,SES_Alpha*C2428+(1-SES_Alpha)*G2428))</f>
        <v>50.7540526824504</v>
      </c>
      <c r="H2429" s="33" t="n">
        <f aca="false">IF(D2429="","",D2429-C2429)</f>
        <v>20</v>
      </c>
      <c r="I2429" s="33" t="n">
        <f aca="false">IF(E2429="","",E2429-C2429)</f>
        <v>17</v>
      </c>
      <c r="J2429" s="33" t="n">
        <f aca="false">IF(F2429="","",F2429-C2429)</f>
        <v>11.875</v>
      </c>
      <c r="K2429" s="33" t="n">
        <f aca="false">IF(G2429="","",G2429-C2429)</f>
        <v>14.7540526824504</v>
      </c>
      <c r="L2429" s="33" t="n">
        <f aca="false">IF(H2429="","",ABS(H2429))</f>
        <v>20</v>
      </c>
      <c r="M2429" s="33" t="n">
        <f aca="false">IF(I2429="","",ABS(I2429))</f>
        <v>17</v>
      </c>
      <c r="N2429" s="33" t="n">
        <f aca="false">IF(J2429="","",ABS(J2429))</f>
        <v>11.875</v>
      </c>
      <c r="O2429" s="33" t="n">
        <f aca="false">IF(K2429="","",ABS(K2429))</f>
        <v>14.7540526824504</v>
      </c>
      <c r="P2429" s="34" t="str">
        <f aca="false">IF(B2429&gt;=Eval_Start_Week,"YES","")</f>
        <v/>
      </c>
      <c r="Q2429" s="34" t="str">
        <f aca="false">IF(AND(B2429&gt;=Cal_Start_Week,B2429&lt;=Cal_End_Week),"YES","")</f>
        <v/>
      </c>
    </row>
    <row r="2430" customFormat="false" ht="15" hidden="false" customHeight="false" outlineLevel="0" collapsed="false">
      <c r="A2430" s="31" t="str">
        <f aca="false">Demand_History!C2430</f>
        <v>BED-004</v>
      </c>
      <c r="B2430" s="31" t="n">
        <f aca="false">Demand_History!A2430</f>
        <v>37</v>
      </c>
      <c r="C2430" s="32" t="n">
        <f aca="false">Demand_History!D2430</f>
        <v>38</v>
      </c>
      <c r="D2430" s="33" t="n">
        <f aca="false">IF(B2430&gt;=2,C2429,"")</f>
        <v>36</v>
      </c>
      <c r="E2430" s="33" t="n">
        <f aca="false">IF(B2430&gt;=5,AVERAGE(C2426:C2429),"")</f>
        <v>46</v>
      </c>
      <c r="F2430" s="33" t="n">
        <f aca="false">IF(B2430&gt;=9,AVERAGE(C2422:C2429),"")</f>
        <v>47.25</v>
      </c>
      <c r="G2430" s="33" t="n">
        <f aca="false">IF(B2430=1,"",IF(B2430=2,C2429,SES_Alpha*C2429+(1-SES_Alpha)*G2429))</f>
        <v>46.3278368777153</v>
      </c>
      <c r="H2430" s="33" t="n">
        <f aca="false">IF(D2430="","",D2430-C2430)</f>
        <v>-2</v>
      </c>
      <c r="I2430" s="33" t="n">
        <f aca="false">IF(E2430="","",E2430-C2430)</f>
        <v>8</v>
      </c>
      <c r="J2430" s="33" t="n">
        <f aca="false">IF(F2430="","",F2430-C2430)</f>
        <v>9.25</v>
      </c>
      <c r="K2430" s="33" t="n">
        <f aca="false">IF(G2430="","",G2430-C2430)</f>
        <v>8.32783687771528</v>
      </c>
      <c r="L2430" s="33" t="n">
        <f aca="false">IF(H2430="","",ABS(H2430))</f>
        <v>2</v>
      </c>
      <c r="M2430" s="33" t="n">
        <f aca="false">IF(I2430="","",ABS(I2430))</f>
        <v>8</v>
      </c>
      <c r="N2430" s="33" t="n">
        <f aca="false">IF(J2430="","",ABS(J2430))</f>
        <v>9.25</v>
      </c>
      <c r="O2430" s="33" t="n">
        <f aca="false">IF(K2430="","",ABS(K2430))</f>
        <v>8.32783687771528</v>
      </c>
      <c r="P2430" s="34" t="str">
        <f aca="false">IF(B2430&gt;=Eval_Start_Week,"YES","")</f>
        <v/>
      </c>
      <c r="Q2430" s="34" t="str">
        <f aca="false">IF(AND(B2430&gt;=Cal_Start_Week,B2430&lt;=Cal_End_Week),"YES","")</f>
        <v>YES</v>
      </c>
    </row>
    <row r="2431" customFormat="false" ht="15" hidden="false" customHeight="false" outlineLevel="0" collapsed="false">
      <c r="A2431" s="31" t="str">
        <f aca="false">Demand_History!C2431</f>
        <v>BED-004</v>
      </c>
      <c r="B2431" s="31" t="n">
        <f aca="false">Demand_History!A2431</f>
        <v>38</v>
      </c>
      <c r="C2431" s="32" t="n">
        <f aca="false">Demand_History!D2431</f>
        <v>55</v>
      </c>
      <c r="D2431" s="33" t="n">
        <f aca="false">IF(B2431&gt;=2,C2430,"")</f>
        <v>38</v>
      </c>
      <c r="E2431" s="33" t="n">
        <f aca="false">IF(B2431&gt;=5,AVERAGE(C2427:C2430),"")</f>
        <v>46</v>
      </c>
      <c r="F2431" s="33" t="n">
        <f aca="false">IF(B2431&gt;=9,AVERAGE(C2423:C2430),"")</f>
        <v>47</v>
      </c>
      <c r="G2431" s="33" t="n">
        <f aca="false">IF(B2431=1,"",IF(B2431=2,C2430,SES_Alpha*C2430+(1-SES_Alpha)*G2430))</f>
        <v>43.8294858144007</v>
      </c>
      <c r="H2431" s="33" t="n">
        <f aca="false">IF(D2431="","",D2431-C2431)</f>
        <v>-17</v>
      </c>
      <c r="I2431" s="33" t="n">
        <f aca="false">IF(E2431="","",E2431-C2431)</f>
        <v>-9</v>
      </c>
      <c r="J2431" s="33" t="n">
        <f aca="false">IF(F2431="","",F2431-C2431)</f>
        <v>-8</v>
      </c>
      <c r="K2431" s="33" t="n">
        <f aca="false">IF(G2431="","",G2431-C2431)</f>
        <v>-11.1705141855993</v>
      </c>
      <c r="L2431" s="33" t="n">
        <f aca="false">IF(H2431="","",ABS(H2431))</f>
        <v>17</v>
      </c>
      <c r="M2431" s="33" t="n">
        <f aca="false">IF(I2431="","",ABS(I2431))</f>
        <v>9</v>
      </c>
      <c r="N2431" s="33" t="n">
        <f aca="false">IF(J2431="","",ABS(J2431))</f>
        <v>8</v>
      </c>
      <c r="O2431" s="33" t="n">
        <f aca="false">IF(K2431="","",ABS(K2431))</f>
        <v>11.1705141855993</v>
      </c>
      <c r="P2431" s="34" t="str">
        <f aca="false">IF(B2431&gt;=Eval_Start_Week,"YES","")</f>
        <v/>
      </c>
      <c r="Q2431" s="34" t="str">
        <f aca="false">IF(AND(B2431&gt;=Cal_Start_Week,B2431&lt;=Cal_End_Week),"YES","")</f>
        <v>YES</v>
      </c>
    </row>
    <row r="2432" customFormat="false" ht="15" hidden="false" customHeight="false" outlineLevel="0" collapsed="false">
      <c r="A2432" s="31" t="str">
        <f aca="false">Demand_History!C2432</f>
        <v>BED-004</v>
      </c>
      <c r="B2432" s="31" t="n">
        <f aca="false">Demand_History!A2432</f>
        <v>39</v>
      </c>
      <c r="C2432" s="32" t="n">
        <f aca="false">Demand_History!D2432</f>
        <v>48</v>
      </c>
      <c r="D2432" s="33" t="n">
        <f aca="false">IF(B2432&gt;=2,C2431,"")</f>
        <v>55</v>
      </c>
      <c r="E2432" s="33" t="n">
        <f aca="false">IF(B2432&gt;=5,AVERAGE(C2428:C2431),"")</f>
        <v>46.25</v>
      </c>
      <c r="F2432" s="33" t="n">
        <f aca="false">IF(B2432&gt;=9,AVERAGE(C2424:C2431),"")</f>
        <v>48</v>
      </c>
      <c r="G2432" s="33" t="n">
        <f aca="false">IF(B2432=1,"",IF(B2432=2,C2431,SES_Alpha*C2431+(1-SES_Alpha)*G2431))</f>
        <v>47.1806400700805</v>
      </c>
      <c r="H2432" s="33" t="n">
        <f aca="false">IF(D2432="","",D2432-C2432)</f>
        <v>7</v>
      </c>
      <c r="I2432" s="33" t="n">
        <f aca="false">IF(E2432="","",E2432-C2432)</f>
        <v>-1.75</v>
      </c>
      <c r="J2432" s="33" t="n">
        <f aca="false">IF(F2432="","",F2432-C2432)</f>
        <v>0</v>
      </c>
      <c r="K2432" s="33" t="n">
        <f aca="false">IF(G2432="","",G2432-C2432)</f>
        <v>-0.819359929919514</v>
      </c>
      <c r="L2432" s="33" t="n">
        <f aca="false">IF(H2432="","",ABS(H2432))</f>
        <v>7</v>
      </c>
      <c r="M2432" s="33" t="n">
        <f aca="false">IF(I2432="","",ABS(I2432))</f>
        <v>1.75</v>
      </c>
      <c r="N2432" s="33" t="n">
        <f aca="false">IF(J2432="","",ABS(J2432))</f>
        <v>0</v>
      </c>
      <c r="O2432" s="33" t="n">
        <f aca="false">IF(K2432="","",ABS(K2432))</f>
        <v>0.819359929919514</v>
      </c>
      <c r="P2432" s="34" t="str">
        <f aca="false">IF(B2432&gt;=Eval_Start_Week,"YES","")</f>
        <v/>
      </c>
      <c r="Q2432" s="34" t="str">
        <f aca="false">IF(AND(B2432&gt;=Cal_Start_Week,B2432&lt;=Cal_End_Week),"YES","")</f>
        <v>YES</v>
      </c>
    </row>
    <row r="2433" customFormat="false" ht="15" hidden="false" customHeight="false" outlineLevel="0" collapsed="false">
      <c r="A2433" s="31" t="str">
        <f aca="false">Demand_History!C2433</f>
        <v>BED-004</v>
      </c>
      <c r="B2433" s="31" t="n">
        <f aca="false">Demand_History!A2433</f>
        <v>40</v>
      </c>
      <c r="C2433" s="32" t="n">
        <f aca="false">Demand_History!D2433</f>
        <v>54</v>
      </c>
      <c r="D2433" s="33" t="n">
        <f aca="false">IF(B2433&gt;=2,C2432,"")</f>
        <v>48</v>
      </c>
      <c r="E2433" s="33" t="n">
        <f aca="false">IF(B2433&gt;=5,AVERAGE(C2429:C2432),"")</f>
        <v>44.25</v>
      </c>
      <c r="F2433" s="33" t="n">
        <f aca="false">IF(B2433&gt;=9,AVERAGE(C2425:C2432),"")</f>
        <v>48.625</v>
      </c>
      <c r="G2433" s="33" t="n">
        <f aca="false">IF(B2433=1,"",IF(B2433=2,C2432,SES_Alpha*C2432+(1-SES_Alpha)*G2432))</f>
        <v>47.4264480490563</v>
      </c>
      <c r="H2433" s="33" t="n">
        <f aca="false">IF(D2433="","",D2433-C2433)</f>
        <v>-6</v>
      </c>
      <c r="I2433" s="33" t="n">
        <f aca="false">IF(E2433="","",E2433-C2433)</f>
        <v>-9.75</v>
      </c>
      <c r="J2433" s="33" t="n">
        <f aca="false">IF(F2433="","",F2433-C2433)</f>
        <v>-5.375</v>
      </c>
      <c r="K2433" s="33" t="n">
        <f aca="false">IF(G2433="","",G2433-C2433)</f>
        <v>-6.57355195094366</v>
      </c>
      <c r="L2433" s="33" t="n">
        <f aca="false">IF(H2433="","",ABS(H2433))</f>
        <v>6</v>
      </c>
      <c r="M2433" s="33" t="n">
        <f aca="false">IF(I2433="","",ABS(I2433))</f>
        <v>9.75</v>
      </c>
      <c r="N2433" s="33" t="n">
        <f aca="false">IF(J2433="","",ABS(J2433))</f>
        <v>5.375</v>
      </c>
      <c r="O2433" s="33" t="n">
        <f aca="false">IF(K2433="","",ABS(K2433))</f>
        <v>6.57355195094366</v>
      </c>
      <c r="P2433" s="34" t="str">
        <f aca="false">IF(B2433&gt;=Eval_Start_Week,"YES","")</f>
        <v/>
      </c>
      <c r="Q2433" s="34" t="str">
        <f aca="false">IF(AND(B2433&gt;=Cal_Start_Week,B2433&lt;=Cal_End_Week),"YES","")</f>
        <v>YES</v>
      </c>
    </row>
    <row r="2434" customFormat="false" ht="15" hidden="false" customHeight="false" outlineLevel="0" collapsed="false">
      <c r="A2434" s="31" t="str">
        <f aca="false">Demand_History!C2434</f>
        <v>BED-004</v>
      </c>
      <c r="B2434" s="31" t="n">
        <f aca="false">Demand_History!A2434</f>
        <v>41</v>
      </c>
      <c r="C2434" s="32" t="n">
        <f aca="false">Demand_History!D2434</f>
        <v>60</v>
      </c>
      <c r="D2434" s="33" t="n">
        <f aca="false">IF(B2434&gt;=2,C2433,"")</f>
        <v>54</v>
      </c>
      <c r="E2434" s="33" t="n">
        <f aca="false">IF(B2434&gt;=5,AVERAGE(C2430:C2433),"")</f>
        <v>48.75</v>
      </c>
      <c r="F2434" s="33" t="n">
        <f aca="false">IF(B2434&gt;=9,AVERAGE(C2426:C2433),"")</f>
        <v>47.375</v>
      </c>
      <c r="G2434" s="33" t="n">
        <f aca="false">IF(B2434=1,"",IF(B2434=2,C2433,SES_Alpha*C2433+(1-SES_Alpha)*G2433))</f>
        <v>49.3985136343394</v>
      </c>
      <c r="H2434" s="33" t="n">
        <f aca="false">IF(D2434="","",D2434-C2434)</f>
        <v>-6</v>
      </c>
      <c r="I2434" s="33" t="n">
        <f aca="false">IF(E2434="","",E2434-C2434)</f>
        <v>-11.25</v>
      </c>
      <c r="J2434" s="33" t="n">
        <f aca="false">IF(F2434="","",F2434-C2434)</f>
        <v>-12.625</v>
      </c>
      <c r="K2434" s="33" t="n">
        <f aca="false">IF(G2434="","",G2434-C2434)</f>
        <v>-10.6014863656606</v>
      </c>
      <c r="L2434" s="33" t="n">
        <f aca="false">IF(H2434="","",ABS(H2434))</f>
        <v>6</v>
      </c>
      <c r="M2434" s="33" t="n">
        <f aca="false">IF(I2434="","",ABS(I2434))</f>
        <v>11.25</v>
      </c>
      <c r="N2434" s="33" t="n">
        <f aca="false">IF(J2434="","",ABS(J2434))</f>
        <v>12.625</v>
      </c>
      <c r="O2434" s="33" t="n">
        <f aca="false">IF(K2434="","",ABS(K2434))</f>
        <v>10.6014863656606</v>
      </c>
      <c r="P2434" s="34" t="str">
        <f aca="false">IF(B2434&gt;=Eval_Start_Week,"YES","")</f>
        <v/>
      </c>
      <c r="Q2434" s="34" t="str">
        <f aca="false">IF(AND(B2434&gt;=Cal_Start_Week,B2434&lt;=Cal_End_Week),"YES","")</f>
        <v>YES</v>
      </c>
    </row>
    <row r="2435" customFormat="false" ht="15" hidden="false" customHeight="false" outlineLevel="0" collapsed="false">
      <c r="A2435" s="31" t="str">
        <f aca="false">Demand_History!C2435</f>
        <v>BED-004</v>
      </c>
      <c r="B2435" s="31" t="n">
        <f aca="false">Demand_History!A2435</f>
        <v>42</v>
      </c>
      <c r="C2435" s="32" t="n">
        <f aca="false">Demand_History!D2435</f>
        <v>49</v>
      </c>
      <c r="D2435" s="33" t="n">
        <f aca="false">IF(B2435&gt;=2,C2434,"")</f>
        <v>60</v>
      </c>
      <c r="E2435" s="33" t="n">
        <f aca="false">IF(B2435&gt;=5,AVERAGE(C2431:C2434),"")</f>
        <v>54.25</v>
      </c>
      <c r="F2435" s="33" t="n">
        <f aca="false">IF(B2435&gt;=9,AVERAGE(C2427:C2434),"")</f>
        <v>50.125</v>
      </c>
      <c r="G2435" s="33" t="n">
        <f aca="false">IF(B2435=1,"",IF(B2435=2,C2434,SES_Alpha*C2434+(1-SES_Alpha)*G2434))</f>
        <v>52.5789595440376</v>
      </c>
      <c r="H2435" s="33" t="n">
        <f aca="false">IF(D2435="","",D2435-C2435)</f>
        <v>11</v>
      </c>
      <c r="I2435" s="33" t="n">
        <f aca="false">IF(E2435="","",E2435-C2435)</f>
        <v>5.25</v>
      </c>
      <c r="J2435" s="33" t="n">
        <f aca="false">IF(F2435="","",F2435-C2435)</f>
        <v>1.125</v>
      </c>
      <c r="K2435" s="33" t="n">
        <f aca="false">IF(G2435="","",G2435-C2435)</f>
        <v>3.5789595440376</v>
      </c>
      <c r="L2435" s="33" t="n">
        <f aca="false">IF(H2435="","",ABS(H2435))</f>
        <v>11</v>
      </c>
      <c r="M2435" s="33" t="n">
        <f aca="false">IF(I2435="","",ABS(I2435))</f>
        <v>5.25</v>
      </c>
      <c r="N2435" s="33" t="n">
        <f aca="false">IF(J2435="","",ABS(J2435))</f>
        <v>1.125</v>
      </c>
      <c r="O2435" s="33" t="n">
        <f aca="false">IF(K2435="","",ABS(K2435))</f>
        <v>3.5789595440376</v>
      </c>
      <c r="P2435" s="34" t="str">
        <f aca="false">IF(B2435&gt;=Eval_Start_Week,"YES","")</f>
        <v/>
      </c>
      <c r="Q2435" s="34" t="str">
        <f aca="false">IF(AND(B2435&gt;=Cal_Start_Week,B2435&lt;=Cal_End_Week),"YES","")</f>
        <v>YES</v>
      </c>
    </row>
    <row r="2436" customFormat="false" ht="15" hidden="false" customHeight="false" outlineLevel="0" collapsed="false">
      <c r="A2436" s="31" t="str">
        <f aca="false">Demand_History!C2436</f>
        <v>BED-004</v>
      </c>
      <c r="B2436" s="31" t="n">
        <f aca="false">Demand_History!A2436</f>
        <v>43</v>
      </c>
      <c r="C2436" s="32" t="n">
        <f aca="false">Demand_History!D2436</f>
        <v>45</v>
      </c>
      <c r="D2436" s="33" t="n">
        <f aca="false">IF(B2436&gt;=2,C2435,"")</f>
        <v>49</v>
      </c>
      <c r="E2436" s="33" t="n">
        <f aca="false">IF(B2436&gt;=5,AVERAGE(C2432:C2435),"")</f>
        <v>52.75</v>
      </c>
      <c r="F2436" s="33" t="n">
        <f aca="false">IF(B2436&gt;=9,AVERAGE(C2428:C2435),"")</f>
        <v>49.5</v>
      </c>
      <c r="G2436" s="33" t="n">
        <f aca="false">IF(B2436=1,"",IF(B2436=2,C2435,SES_Alpha*C2435+(1-SES_Alpha)*G2435))</f>
        <v>51.5052716808263</v>
      </c>
      <c r="H2436" s="33" t="n">
        <f aca="false">IF(D2436="","",D2436-C2436)</f>
        <v>4</v>
      </c>
      <c r="I2436" s="33" t="n">
        <f aca="false">IF(E2436="","",E2436-C2436)</f>
        <v>7.75</v>
      </c>
      <c r="J2436" s="33" t="n">
        <f aca="false">IF(F2436="","",F2436-C2436)</f>
        <v>4.5</v>
      </c>
      <c r="K2436" s="33" t="n">
        <f aca="false">IF(G2436="","",G2436-C2436)</f>
        <v>6.50527168082631</v>
      </c>
      <c r="L2436" s="33" t="n">
        <f aca="false">IF(H2436="","",ABS(H2436))</f>
        <v>4</v>
      </c>
      <c r="M2436" s="33" t="n">
        <f aca="false">IF(I2436="","",ABS(I2436))</f>
        <v>7.75</v>
      </c>
      <c r="N2436" s="33" t="n">
        <f aca="false">IF(J2436="","",ABS(J2436))</f>
        <v>4.5</v>
      </c>
      <c r="O2436" s="33" t="n">
        <f aca="false">IF(K2436="","",ABS(K2436))</f>
        <v>6.50527168082631</v>
      </c>
      <c r="P2436" s="34" t="str">
        <f aca="false">IF(B2436&gt;=Eval_Start_Week,"YES","")</f>
        <v/>
      </c>
      <c r="Q2436" s="34" t="str">
        <f aca="false">IF(AND(B2436&gt;=Cal_Start_Week,B2436&lt;=Cal_End_Week),"YES","")</f>
        <v>YES</v>
      </c>
    </row>
    <row r="2437" customFormat="false" ht="15" hidden="false" customHeight="false" outlineLevel="0" collapsed="false">
      <c r="A2437" s="31" t="str">
        <f aca="false">Demand_History!C2437</f>
        <v>BED-004</v>
      </c>
      <c r="B2437" s="31" t="n">
        <f aca="false">Demand_History!A2437</f>
        <v>44</v>
      </c>
      <c r="C2437" s="32" t="n">
        <f aca="false">Demand_History!D2437</f>
        <v>33</v>
      </c>
      <c r="D2437" s="33" t="n">
        <f aca="false">IF(B2437&gt;=2,C2436,"")</f>
        <v>45</v>
      </c>
      <c r="E2437" s="33" t="n">
        <f aca="false">IF(B2437&gt;=5,AVERAGE(C2433:C2436),"")</f>
        <v>52</v>
      </c>
      <c r="F2437" s="33" t="n">
        <f aca="false">IF(B2437&gt;=9,AVERAGE(C2429:C2436),"")</f>
        <v>48.125</v>
      </c>
      <c r="G2437" s="33" t="n">
        <f aca="false">IF(B2437=1,"",IF(B2437=2,C2436,SES_Alpha*C2436+(1-SES_Alpha)*G2436))</f>
        <v>49.5536901765784</v>
      </c>
      <c r="H2437" s="33" t="n">
        <f aca="false">IF(D2437="","",D2437-C2437)</f>
        <v>12</v>
      </c>
      <c r="I2437" s="33" t="n">
        <f aca="false">IF(E2437="","",E2437-C2437)</f>
        <v>19</v>
      </c>
      <c r="J2437" s="33" t="n">
        <f aca="false">IF(F2437="","",F2437-C2437)</f>
        <v>15.125</v>
      </c>
      <c r="K2437" s="33" t="n">
        <f aca="false">IF(G2437="","",G2437-C2437)</f>
        <v>16.5536901765784</v>
      </c>
      <c r="L2437" s="33" t="n">
        <f aca="false">IF(H2437="","",ABS(H2437))</f>
        <v>12</v>
      </c>
      <c r="M2437" s="33" t="n">
        <f aca="false">IF(I2437="","",ABS(I2437))</f>
        <v>19</v>
      </c>
      <c r="N2437" s="33" t="n">
        <f aca="false">IF(J2437="","",ABS(J2437))</f>
        <v>15.125</v>
      </c>
      <c r="O2437" s="33" t="n">
        <f aca="false">IF(K2437="","",ABS(K2437))</f>
        <v>16.5536901765784</v>
      </c>
      <c r="P2437" s="34" t="str">
        <f aca="false">IF(B2437&gt;=Eval_Start_Week,"YES","")</f>
        <v/>
      </c>
      <c r="Q2437" s="34" t="str">
        <f aca="false">IF(AND(B2437&gt;=Cal_Start_Week,B2437&lt;=Cal_End_Week),"YES","")</f>
        <v>YES</v>
      </c>
    </row>
    <row r="2438" customFormat="false" ht="15" hidden="false" customHeight="false" outlineLevel="0" collapsed="false">
      <c r="A2438" s="31" t="str">
        <f aca="false">Demand_History!C2438</f>
        <v>BED-004</v>
      </c>
      <c r="B2438" s="31" t="n">
        <f aca="false">Demand_History!A2438</f>
        <v>45</v>
      </c>
      <c r="C2438" s="32" t="n">
        <f aca="false">Demand_History!D2438</f>
        <v>55</v>
      </c>
      <c r="D2438" s="33" t="n">
        <f aca="false">IF(B2438&gt;=2,C2437,"")</f>
        <v>33</v>
      </c>
      <c r="E2438" s="33" t="n">
        <f aca="false">IF(B2438&gt;=5,AVERAGE(C2434:C2437),"")</f>
        <v>46.75</v>
      </c>
      <c r="F2438" s="33" t="n">
        <f aca="false">IF(B2438&gt;=9,AVERAGE(C2430:C2437),"")</f>
        <v>47.75</v>
      </c>
      <c r="G2438" s="33" t="n">
        <f aca="false">IF(B2438=1,"",IF(B2438=2,C2437,SES_Alpha*C2437+(1-SES_Alpha)*G2437))</f>
        <v>44.5875831236049</v>
      </c>
      <c r="H2438" s="33" t="n">
        <f aca="false">IF(D2438="","",D2438-C2438)</f>
        <v>-22</v>
      </c>
      <c r="I2438" s="33" t="n">
        <f aca="false">IF(E2438="","",E2438-C2438)</f>
        <v>-8.25</v>
      </c>
      <c r="J2438" s="33" t="n">
        <f aca="false">IF(F2438="","",F2438-C2438)</f>
        <v>-7.25</v>
      </c>
      <c r="K2438" s="33" t="n">
        <f aca="false">IF(G2438="","",G2438-C2438)</f>
        <v>-10.4124168763951</v>
      </c>
      <c r="L2438" s="33" t="n">
        <f aca="false">IF(H2438="","",ABS(H2438))</f>
        <v>22</v>
      </c>
      <c r="M2438" s="33" t="n">
        <f aca="false">IF(I2438="","",ABS(I2438))</f>
        <v>8.25</v>
      </c>
      <c r="N2438" s="33" t="n">
        <f aca="false">IF(J2438="","",ABS(J2438))</f>
        <v>7.25</v>
      </c>
      <c r="O2438" s="33" t="n">
        <f aca="false">IF(K2438="","",ABS(K2438))</f>
        <v>10.4124168763951</v>
      </c>
      <c r="P2438" s="34" t="str">
        <f aca="false">IF(B2438&gt;=Eval_Start_Week,"YES","")</f>
        <v/>
      </c>
      <c r="Q2438" s="34" t="str">
        <f aca="false">IF(AND(B2438&gt;=Cal_Start_Week,B2438&lt;=Cal_End_Week),"YES","")</f>
        <v>YES</v>
      </c>
    </row>
    <row r="2439" customFormat="false" ht="15" hidden="false" customHeight="false" outlineLevel="0" collapsed="false">
      <c r="A2439" s="31" t="str">
        <f aca="false">Demand_History!C2439</f>
        <v>BED-004</v>
      </c>
      <c r="B2439" s="31" t="n">
        <f aca="false">Demand_History!A2439</f>
        <v>46</v>
      </c>
      <c r="C2439" s="32" t="n">
        <f aca="false">Demand_History!D2439</f>
        <v>47</v>
      </c>
      <c r="D2439" s="33" t="n">
        <f aca="false">IF(B2439&gt;=2,C2438,"")</f>
        <v>55</v>
      </c>
      <c r="E2439" s="33" t="n">
        <f aca="false">IF(B2439&gt;=5,AVERAGE(C2435:C2438),"")</f>
        <v>45.5</v>
      </c>
      <c r="F2439" s="33" t="n">
        <f aca="false">IF(B2439&gt;=9,AVERAGE(C2431:C2438),"")</f>
        <v>49.875</v>
      </c>
      <c r="G2439" s="33" t="n">
        <f aca="false">IF(B2439=1,"",IF(B2439=2,C2438,SES_Alpha*C2438+(1-SES_Alpha)*G2438))</f>
        <v>47.7113081865234</v>
      </c>
      <c r="H2439" s="33" t="n">
        <f aca="false">IF(D2439="","",D2439-C2439)</f>
        <v>8</v>
      </c>
      <c r="I2439" s="33" t="n">
        <f aca="false">IF(E2439="","",E2439-C2439)</f>
        <v>-1.5</v>
      </c>
      <c r="J2439" s="33" t="n">
        <f aca="false">IF(F2439="","",F2439-C2439)</f>
        <v>2.875</v>
      </c>
      <c r="K2439" s="33" t="n">
        <f aca="false">IF(G2439="","",G2439-C2439)</f>
        <v>0.711308186523418</v>
      </c>
      <c r="L2439" s="33" t="n">
        <f aca="false">IF(H2439="","",ABS(H2439))</f>
        <v>8</v>
      </c>
      <c r="M2439" s="33" t="n">
        <f aca="false">IF(I2439="","",ABS(I2439))</f>
        <v>1.5</v>
      </c>
      <c r="N2439" s="33" t="n">
        <f aca="false">IF(J2439="","",ABS(J2439))</f>
        <v>2.875</v>
      </c>
      <c r="O2439" s="33" t="n">
        <f aca="false">IF(K2439="","",ABS(K2439))</f>
        <v>0.711308186523418</v>
      </c>
      <c r="P2439" s="34" t="str">
        <f aca="false">IF(B2439&gt;=Eval_Start_Week,"YES","")</f>
        <v/>
      </c>
      <c r="Q2439" s="34" t="str">
        <f aca="false">IF(AND(B2439&gt;=Cal_Start_Week,B2439&lt;=Cal_End_Week),"YES","")</f>
        <v>YES</v>
      </c>
    </row>
    <row r="2440" customFormat="false" ht="15" hidden="false" customHeight="false" outlineLevel="0" collapsed="false">
      <c r="A2440" s="31" t="str">
        <f aca="false">Demand_History!C2440</f>
        <v>BED-004</v>
      </c>
      <c r="B2440" s="31" t="n">
        <f aca="false">Demand_History!A2440</f>
        <v>47</v>
      </c>
      <c r="C2440" s="32" t="n">
        <f aca="false">Demand_History!D2440</f>
        <v>57</v>
      </c>
      <c r="D2440" s="33" t="n">
        <f aca="false">IF(B2440&gt;=2,C2439,"")</f>
        <v>47</v>
      </c>
      <c r="E2440" s="33" t="n">
        <f aca="false">IF(B2440&gt;=5,AVERAGE(C2436:C2439),"")</f>
        <v>45</v>
      </c>
      <c r="F2440" s="33" t="n">
        <f aca="false">IF(B2440&gt;=9,AVERAGE(C2432:C2439),"")</f>
        <v>48.875</v>
      </c>
      <c r="G2440" s="33" t="n">
        <f aca="false">IF(B2440=1,"",IF(B2440=2,C2439,SES_Alpha*C2439+(1-SES_Alpha)*G2439))</f>
        <v>47.4979157305664</v>
      </c>
      <c r="H2440" s="33" t="n">
        <f aca="false">IF(D2440="","",D2440-C2440)</f>
        <v>-10</v>
      </c>
      <c r="I2440" s="33" t="n">
        <f aca="false">IF(E2440="","",E2440-C2440)</f>
        <v>-12</v>
      </c>
      <c r="J2440" s="33" t="n">
        <f aca="false">IF(F2440="","",F2440-C2440)</f>
        <v>-8.125</v>
      </c>
      <c r="K2440" s="33" t="n">
        <f aca="false">IF(G2440="","",G2440-C2440)</f>
        <v>-9.50208426943361</v>
      </c>
      <c r="L2440" s="33" t="n">
        <f aca="false">IF(H2440="","",ABS(H2440))</f>
        <v>10</v>
      </c>
      <c r="M2440" s="33" t="n">
        <f aca="false">IF(I2440="","",ABS(I2440))</f>
        <v>12</v>
      </c>
      <c r="N2440" s="33" t="n">
        <f aca="false">IF(J2440="","",ABS(J2440))</f>
        <v>8.125</v>
      </c>
      <c r="O2440" s="33" t="n">
        <f aca="false">IF(K2440="","",ABS(K2440))</f>
        <v>9.50208426943361</v>
      </c>
      <c r="P2440" s="34" t="str">
        <f aca="false">IF(B2440&gt;=Eval_Start_Week,"YES","")</f>
        <v/>
      </c>
      <c r="Q2440" s="34" t="str">
        <f aca="false">IF(AND(B2440&gt;=Cal_Start_Week,B2440&lt;=Cal_End_Week),"YES","")</f>
        <v>YES</v>
      </c>
    </row>
    <row r="2441" customFormat="false" ht="15" hidden="false" customHeight="false" outlineLevel="0" collapsed="false">
      <c r="A2441" s="31" t="str">
        <f aca="false">Demand_History!C2441</f>
        <v>BED-004</v>
      </c>
      <c r="B2441" s="31" t="n">
        <f aca="false">Demand_History!A2441</f>
        <v>48</v>
      </c>
      <c r="C2441" s="32" t="n">
        <f aca="false">Demand_History!D2441</f>
        <v>56</v>
      </c>
      <c r="D2441" s="33" t="n">
        <f aca="false">IF(B2441&gt;=2,C2440,"")</f>
        <v>57</v>
      </c>
      <c r="E2441" s="33" t="n">
        <f aca="false">IF(B2441&gt;=5,AVERAGE(C2437:C2440),"")</f>
        <v>48</v>
      </c>
      <c r="F2441" s="33" t="n">
        <f aca="false">IF(B2441&gt;=9,AVERAGE(C2433:C2440),"")</f>
        <v>50</v>
      </c>
      <c r="G2441" s="33" t="n">
        <f aca="false">IF(B2441=1,"",IF(B2441=2,C2440,SES_Alpha*C2440+(1-SES_Alpha)*G2440))</f>
        <v>50.3485410113965</v>
      </c>
      <c r="H2441" s="33" t="n">
        <f aca="false">IF(D2441="","",D2441-C2441)</f>
        <v>1</v>
      </c>
      <c r="I2441" s="33" t="n">
        <f aca="false">IF(E2441="","",E2441-C2441)</f>
        <v>-8</v>
      </c>
      <c r="J2441" s="33" t="n">
        <f aca="false">IF(F2441="","",F2441-C2441)</f>
        <v>-6</v>
      </c>
      <c r="K2441" s="33" t="n">
        <f aca="false">IF(G2441="","",G2441-C2441)</f>
        <v>-5.65145898860354</v>
      </c>
      <c r="L2441" s="33" t="n">
        <f aca="false">IF(H2441="","",ABS(H2441))</f>
        <v>1</v>
      </c>
      <c r="M2441" s="33" t="n">
        <f aca="false">IF(I2441="","",ABS(I2441))</f>
        <v>8</v>
      </c>
      <c r="N2441" s="33" t="n">
        <f aca="false">IF(J2441="","",ABS(J2441))</f>
        <v>6</v>
      </c>
      <c r="O2441" s="33" t="n">
        <f aca="false">IF(K2441="","",ABS(K2441))</f>
        <v>5.65145898860354</v>
      </c>
      <c r="P2441" s="34" t="str">
        <f aca="false">IF(B2441&gt;=Eval_Start_Week,"YES","")</f>
        <v/>
      </c>
      <c r="Q2441" s="34" t="str">
        <f aca="false">IF(AND(B2441&gt;=Cal_Start_Week,B2441&lt;=Cal_End_Week),"YES","")</f>
        <v>YES</v>
      </c>
    </row>
    <row r="2442" customFormat="false" ht="15" hidden="false" customHeight="false" outlineLevel="0" collapsed="false">
      <c r="A2442" s="31" t="str">
        <f aca="false">Demand_History!C2442</f>
        <v>BED-004</v>
      </c>
      <c r="B2442" s="31" t="n">
        <f aca="false">Demand_History!A2442</f>
        <v>49</v>
      </c>
      <c r="C2442" s="32" t="n">
        <f aca="false">Demand_History!D2442</f>
        <v>44</v>
      </c>
      <c r="D2442" s="33" t="n">
        <f aca="false">IF(B2442&gt;=2,C2441,"")</f>
        <v>56</v>
      </c>
      <c r="E2442" s="33" t="n">
        <f aca="false">IF(B2442&gt;=5,AVERAGE(C2438:C2441),"")</f>
        <v>53.75</v>
      </c>
      <c r="F2442" s="33" t="n">
        <f aca="false">IF(B2442&gt;=9,AVERAGE(C2434:C2441),"")</f>
        <v>50.25</v>
      </c>
      <c r="G2442" s="33" t="n">
        <f aca="false">IF(B2442=1,"",IF(B2442=2,C2441,SES_Alpha*C2441+(1-SES_Alpha)*G2441))</f>
        <v>52.0439787079775</v>
      </c>
      <c r="H2442" s="33" t="n">
        <f aca="false">IF(D2442="","",D2442-C2442)</f>
        <v>12</v>
      </c>
      <c r="I2442" s="33" t="n">
        <f aca="false">IF(E2442="","",E2442-C2442)</f>
        <v>9.75</v>
      </c>
      <c r="J2442" s="33" t="n">
        <f aca="false">IF(F2442="","",F2442-C2442)</f>
        <v>6.25</v>
      </c>
      <c r="K2442" s="33" t="n">
        <f aca="false">IF(G2442="","",G2442-C2442)</f>
        <v>8.04397870797752</v>
      </c>
      <c r="L2442" s="33" t="n">
        <f aca="false">IF(H2442="","",ABS(H2442))</f>
        <v>12</v>
      </c>
      <c r="M2442" s="33" t="n">
        <f aca="false">IF(I2442="","",ABS(I2442))</f>
        <v>9.75</v>
      </c>
      <c r="N2442" s="33" t="n">
        <f aca="false">IF(J2442="","",ABS(J2442))</f>
        <v>6.25</v>
      </c>
      <c r="O2442" s="33" t="n">
        <f aca="false">IF(K2442="","",ABS(K2442))</f>
        <v>8.04397870797752</v>
      </c>
      <c r="P2442" s="34" t="str">
        <f aca="false">IF(B2442&gt;=Eval_Start_Week,"YES","")</f>
        <v/>
      </c>
      <c r="Q2442" s="34" t="str">
        <f aca="false">IF(AND(B2442&gt;=Cal_Start_Week,B2442&lt;=Cal_End_Week),"YES","")</f>
        <v>YES</v>
      </c>
    </row>
    <row r="2443" customFormat="false" ht="15" hidden="false" customHeight="false" outlineLevel="0" collapsed="false">
      <c r="A2443" s="31" t="str">
        <f aca="false">Demand_History!C2443</f>
        <v>BED-004</v>
      </c>
      <c r="B2443" s="31" t="n">
        <f aca="false">Demand_History!A2443</f>
        <v>50</v>
      </c>
      <c r="C2443" s="32" t="n">
        <f aca="false">Demand_History!D2443</f>
        <v>69</v>
      </c>
      <c r="D2443" s="33" t="n">
        <f aca="false">IF(B2443&gt;=2,C2442,"")</f>
        <v>44</v>
      </c>
      <c r="E2443" s="33" t="n">
        <f aca="false">IF(B2443&gt;=5,AVERAGE(C2439:C2442),"")</f>
        <v>51</v>
      </c>
      <c r="F2443" s="33" t="n">
        <f aca="false">IF(B2443&gt;=9,AVERAGE(C2435:C2442),"")</f>
        <v>48.25</v>
      </c>
      <c r="G2443" s="33" t="n">
        <f aca="false">IF(B2443=1,"",IF(B2443=2,C2442,SES_Alpha*C2442+(1-SES_Alpha)*G2442))</f>
        <v>49.6307850955843</v>
      </c>
      <c r="H2443" s="33" t="n">
        <f aca="false">IF(D2443="","",D2443-C2443)</f>
        <v>-25</v>
      </c>
      <c r="I2443" s="33" t="n">
        <f aca="false">IF(E2443="","",E2443-C2443)</f>
        <v>-18</v>
      </c>
      <c r="J2443" s="33" t="n">
        <f aca="false">IF(F2443="","",F2443-C2443)</f>
        <v>-20.75</v>
      </c>
      <c r="K2443" s="33" t="n">
        <f aca="false">IF(G2443="","",G2443-C2443)</f>
        <v>-19.3692149044157</v>
      </c>
      <c r="L2443" s="33" t="n">
        <f aca="false">IF(H2443="","",ABS(H2443))</f>
        <v>25</v>
      </c>
      <c r="M2443" s="33" t="n">
        <f aca="false">IF(I2443="","",ABS(I2443))</f>
        <v>18</v>
      </c>
      <c r="N2443" s="33" t="n">
        <f aca="false">IF(J2443="","",ABS(J2443))</f>
        <v>20.75</v>
      </c>
      <c r="O2443" s="33" t="n">
        <f aca="false">IF(K2443="","",ABS(K2443))</f>
        <v>19.3692149044157</v>
      </c>
      <c r="P2443" s="34" t="str">
        <f aca="false">IF(B2443&gt;=Eval_Start_Week,"YES","")</f>
        <v/>
      </c>
      <c r="Q2443" s="34" t="str">
        <f aca="false">IF(AND(B2443&gt;=Cal_Start_Week,B2443&lt;=Cal_End_Week),"YES","")</f>
        <v>YES</v>
      </c>
    </row>
    <row r="2444" customFormat="false" ht="15" hidden="false" customHeight="false" outlineLevel="0" collapsed="false">
      <c r="A2444" s="31" t="str">
        <f aca="false">Demand_History!C2444</f>
        <v>BED-004</v>
      </c>
      <c r="B2444" s="31" t="n">
        <f aca="false">Demand_History!A2444</f>
        <v>51</v>
      </c>
      <c r="C2444" s="32" t="n">
        <f aca="false">Demand_History!D2444</f>
        <v>64</v>
      </c>
      <c r="D2444" s="33" t="n">
        <f aca="false">IF(B2444&gt;=2,C2443,"")</f>
        <v>69</v>
      </c>
      <c r="E2444" s="33" t="n">
        <f aca="false">IF(B2444&gt;=5,AVERAGE(C2440:C2443),"")</f>
        <v>56.5</v>
      </c>
      <c r="F2444" s="33" t="n">
        <f aca="false">IF(B2444&gt;=9,AVERAGE(C2436:C2443),"")</f>
        <v>50.75</v>
      </c>
      <c r="G2444" s="33" t="n">
        <f aca="false">IF(B2444=1,"",IF(B2444=2,C2443,SES_Alpha*C2443+(1-SES_Alpha)*G2443))</f>
        <v>55.441549566909</v>
      </c>
      <c r="H2444" s="33" t="n">
        <f aca="false">IF(D2444="","",D2444-C2444)</f>
        <v>5</v>
      </c>
      <c r="I2444" s="33" t="n">
        <f aca="false">IF(E2444="","",E2444-C2444)</f>
        <v>-7.5</v>
      </c>
      <c r="J2444" s="33" t="n">
        <f aca="false">IF(F2444="","",F2444-C2444)</f>
        <v>-13.25</v>
      </c>
      <c r="K2444" s="33" t="n">
        <f aca="false">IF(G2444="","",G2444-C2444)</f>
        <v>-8.55845043309103</v>
      </c>
      <c r="L2444" s="33" t="n">
        <f aca="false">IF(H2444="","",ABS(H2444))</f>
        <v>5</v>
      </c>
      <c r="M2444" s="33" t="n">
        <f aca="false">IF(I2444="","",ABS(I2444))</f>
        <v>7.5</v>
      </c>
      <c r="N2444" s="33" t="n">
        <f aca="false">IF(J2444="","",ABS(J2444))</f>
        <v>13.25</v>
      </c>
      <c r="O2444" s="33" t="n">
        <f aca="false">IF(K2444="","",ABS(K2444))</f>
        <v>8.55845043309103</v>
      </c>
      <c r="P2444" s="34" t="str">
        <f aca="false">IF(B2444&gt;=Eval_Start_Week,"YES","")</f>
        <v/>
      </c>
      <c r="Q2444" s="34" t="str">
        <f aca="false">IF(AND(B2444&gt;=Cal_Start_Week,B2444&lt;=Cal_End_Week),"YES","")</f>
        <v>YES</v>
      </c>
    </row>
    <row r="2445" customFormat="false" ht="15" hidden="false" customHeight="false" outlineLevel="0" collapsed="false">
      <c r="A2445" s="31" t="str">
        <f aca="false">Demand_History!C2445</f>
        <v>BED-004</v>
      </c>
      <c r="B2445" s="31" t="n">
        <f aca="false">Demand_History!A2445</f>
        <v>52</v>
      </c>
      <c r="C2445" s="32" t="n">
        <f aca="false">Demand_History!D2445</f>
        <v>63</v>
      </c>
      <c r="D2445" s="33" t="n">
        <f aca="false">IF(B2445&gt;=2,C2444,"")</f>
        <v>64</v>
      </c>
      <c r="E2445" s="33" t="n">
        <f aca="false">IF(B2445&gt;=5,AVERAGE(C2441:C2444),"")</f>
        <v>58.25</v>
      </c>
      <c r="F2445" s="33" t="n">
        <f aca="false">IF(B2445&gt;=9,AVERAGE(C2437:C2444),"")</f>
        <v>53.125</v>
      </c>
      <c r="G2445" s="33" t="n">
        <f aca="false">IF(B2445=1,"",IF(B2445=2,C2444,SES_Alpha*C2444+(1-SES_Alpha)*G2444))</f>
        <v>58.0090846968363</v>
      </c>
      <c r="H2445" s="33" t="n">
        <f aca="false">IF(D2445="","",D2445-C2445)</f>
        <v>1</v>
      </c>
      <c r="I2445" s="33" t="n">
        <f aca="false">IF(E2445="","",E2445-C2445)</f>
        <v>-4.75</v>
      </c>
      <c r="J2445" s="33" t="n">
        <f aca="false">IF(F2445="","",F2445-C2445)</f>
        <v>-9.875</v>
      </c>
      <c r="K2445" s="33" t="n">
        <f aca="false">IF(G2445="","",G2445-C2445)</f>
        <v>-4.99091530316372</v>
      </c>
      <c r="L2445" s="33" t="n">
        <f aca="false">IF(H2445="","",ABS(H2445))</f>
        <v>1</v>
      </c>
      <c r="M2445" s="33" t="n">
        <f aca="false">IF(I2445="","",ABS(I2445))</f>
        <v>4.75</v>
      </c>
      <c r="N2445" s="33" t="n">
        <f aca="false">IF(J2445="","",ABS(J2445))</f>
        <v>9.875</v>
      </c>
      <c r="O2445" s="33" t="n">
        <f aca="false">IF(K2445="","",ABS(K2445))</f>
        <v>4.99091530316372</v>
      </c>
      <c r="P2445" s="34" t="str">
        <f aca="false">IF(B2445&gt;=Eval_Start_Week,"YES","")</f>
        <v/>
      </c>
      <c r="Q2445" s="34" t="str">
        <f aca="false">IF(AND(B2445&gt;=Cal_Start_Week,B2445&lt;=Cal_End_Week),"YES","")</f>
        <v>YES</v>
      </c>
    </row>
    <row r="2446" customFormat="false" ht="15" hidden="false" customHeight="false" outlineLevel="0" collapsed="false">
      <c r="A2446" s="31" t="str">
        <f aca="false">Demand_History!C2446</f>
        <v>BED-004</v>
      </c>
      <c r="B2446" s="31" t="n">
        <f aca="false">Demand_History!A2446</f>
        <v>53</v>
      </c>
      <c r="C2446" s="32" t="n">
        <f aca="false">Demand_History!D2446</f>
        <v>47</v>
      </c>
      <c r="D2446" s="33" t="n">
        <f aca="false">IF(B2446&gt;=2,C2445,"")</f>
        <v>63</v>
      </c>
      <c r="E2446" s="33" t="n">
        <f aca="false">IF(B2446&gt;=5,AVERAGE(C2442:C2445),"")</f>
        <v>60</v>
      </c>
      <c r="F2446" s="33" t="n">
        <f aca="false">IF(B2446&gt;=9,AVERAGE(C2438:C2445),"")</f>
        <v>56.875</v>
      </c>
      <c r="G2446" s="33" t="n">
        <f aca="false">IF(B2446=1,"",IF(B2446=2,C2445,SES_Alpha*C2445+(1-SES_Alpha)*G2445))</f>
        <v>59.5063592877854</v>
      </c>
      <c r="H2446" s="33" t="n">
        <f aca="false">IF(D2446="","",D2446-C2446)</f>
        <v>16</v>
      </c>
      <c r="I2446" s="33" t="n">
        <f aca="false">IF(E2446="","",E2446-C2446)</f>
        <v>13</v>
      </c>
      <c r="J2446" s="33" t="n">
        <f aca="false">IF(F2446="","",F2446-C2446)</f>
        <v>9.875</v>
      </c>
      <c r="K2446" s="33" t="n">
        <f aca="false">IF(G2446="","",G2446-C2446)</f>
        <v>12.5063592877854</v>
      </c>
      <c r="L2446" s="33" t="n">
        <f aca="false">IF(H2446="","",ABS(H2446))</f>
        <v>16</v>
      </c>
      <c r="M2446" s="33" t="n">
        <f aca="false">IF(I2446="","",ABS(I2446))</f>
        <v>13</v>
      </c>
      <c r="N2446" s="33" t="n">
        <f aca="false">IF(J2446="","",ABS(J2446))</f>
        <v>9.875</v>
      </c>
      <c r="O2446" s="33" t="n">
        <f aca="false">IF(K2446="","",ABS(K2446))</f>
        <v>12.5063592877854</v>
      </c>
      <c r="P2446" s="34" t="str">
        <f aca="false">IF(B2446&gt;=Eval_Start_Week,"YES","")</f>
        <v>YES</v>
      </c>
      <c r="Q2446" s="34" t="str">
        <f aca="false">IF(AND(B2446&gt;=Cal_Start_Week,B2446&lt;=Cal_End_Week),"YES","")</f>
        <v>YES</v>
      </c>
    </row>
    <row r="2447" customFormat="false" ht="15" hidden="false" customHeight="false" outlineLevel="0" collapsed="false">
      <c r="A2447" s="31" t="str">
        <f aca="false">Demand_History!C2447</f>
        <v>BED-004</v>
      </c>
      <c r="B2447" s="31" t="n">
        <f aca="false">Demand_History!A2447</f>
        <v>54</v>
      </c>
      <c r="C2447" s="32" t="n">
        <f aca="false">Demand_History!D2447</f>
        <v>54</v>
      </c>
      <c r="D2447" s="33" t="n">
        <f aca="false">IF(B2447&gt;=2,C2446,"")</f>
        <v>47</v>
      </c>
      <c r="E2447" s="33" t="n">
        <f aca="false">IF(B2447&gt;=5,AVERAGE(C2443:C2446),"")</f>
        <v>60.75</v>
      </c>
      <c r="F2447" s="33" t="n">
        <f aca="false">IF(B2447&gt;=9,AVERAGE(C2439:C2446),"")</f>
        <v>55.875</v>
      </c>
      <c r="G2447" s="33" t="n">
        <f aca="false">IF(B2447=1,"",IF(B2447=2,C2446,SES_Alpha*C2446+(1-SES_Alpha)*G2446))</f>
        <v>55.7544515014498</v>
      </c>
      <c r="H2447" s="33" t="n">
        <f aca="false">IF(D2447="","",D2447-C2447)</f>
        <v>-7</v>
      </c>
      <c r="I2447" s="33" t="n">
        <f aca="false">IF(E2447="","",E2447-C2447)</f>
        <v>6.75</v>
      </c>
      <c r="J2447" s="33" t="n">
        <f aca="false">IF(F2447="","",F2447-C2447)</f>
        <v>1.875</v>
      </c>
      <c r="K2447" s="33" t="n">
        <f aca="false">IF(G2447="","",G2447-C2447)</f>
        <v>1.75445150144977</v>
      </c>
      <c r="L2447" s="33" t="n">
        <f aca="false">IF(H2447="","",ABS(H2447))</f>
        <v>7</v>
      </c>
      <c r="M2447" s="33" t="n">
        <f aca="false">IF(I2447="","",ABS(I2447))</f>
        <v>6.75</v>
      </c>
      <c r="N2447" s="33" t="n">
        <f aca="false">IF(J2447="","",ABS(J2447))</f>
        <v>1.875</v>
      </c>
      <c r="O2447" s="33" t="n">
        <f aca="false">IF(K2447="","",ABS(K2447))</f>
        <v>1.75445150144977</v>
      </c>
      <c r="P2447" s="34" t="str">
        <f aca="false">IF(B2447&gt;=Eval_Start_Week,"YES","")</f>
        <v>YES</v>
      </c>
      <c r="Q2447" s="34" t="str">
        <f aca="false">IF(AND(B2447&gt;=Cal_Start_Week,B2447&lt;=Cal_End_Week),"YES","")</f>
        <v>YES</v>
      </c>
    </row>
    <row r="2448" customFormat="false" ht="15" hidden="false" customHeight="false" outlineLevel="0" collapsed="false">
      <c r="A2448" s="31" t="str">
        <f aca="false">Demand_History!C2448</f>
        <v>BED-004</v>
      </c>
      <c r="B2448" s="31" t="n">
        <f aca="false">Demand_History!A2448</f>
        <v>55</v>
      </c>
      <c r="C2448" s="32" t="n">
        <f aca="false">Demand_History!D2448</f>
        <v>53</v>
      </c>
      <c r="D2448" s="33" t="n">
        <f aca="false">IF(B2448&gt;=2,C2447,"")</f>
        <v>54</v>
      </c>
      <c r="E2448" s="33" t="n">
        <f aca="false">IF(B2448&gt;=5,AVERAGE(C2444:C2447),"")</f>
        <v>57</v>
      </c>
      <c r="F2448" s="33" t="n">
        <f aca="false">IF(B2448&gt;=9,AVERAGE(C2440:C2447),"")</f>
        <v>56.75</v>
      </c>
      <c r="G2448" s="33" t="n">
        <f aca="false">IF(B2448=1,"",IF(B2448=2,C2447,SES_Alpha*C2447+(1-SES_Alpha)*G2447))</f>
        <v>55.2281160510148</v>
      </c>
      <c r="H2448" s="33" t="n">
        <f aca="false">IF(D2448="","",D2448-C2448)</f>
        <v>1</v>
      </c>
      <c r="I2448" s="33" t="n">
        <f aca="false">IF(E2448="","",E2448-C2448)</f>
        <v>4</v>
      </c>
      <c r="J2448" s="33" t="n">
        <f aca="false">IF(F2448="","",F2448-C2448)</f>
        <v>3.75</v>
      </c>
      <c r="K2448" s="33" t="n">
        <f aca="false">IF(G2448="","",G2448-C2448)</f>
        <v>2.22811605101484</v>
      </c>
      <c r="L2448" s="33" t="n">
        <f aca="false">IF(H2448="","",ABS(H2448))</f>
        <v>1</v>
      </c>
      <c r="M2448" s="33" t="n">
        <f aca="false">IF(I2448="","",ABS(I2448))</f>
        <v>4</v>
      </c>
      <c r="N2448" s="33" t="n">
        <f aca="false">IF(J2448="","",ABS(J2448))</f>
        <v>3.75</v>
      </c>
      <c r="O2448" s="33" t="n">
        <f aca="false">IF(K2448="","",ABS(K2448))</f>
        <v>2.22811605101484</v>
      </c>
      <c r="P2448" s="34" t="str">
        <f aca="false">IF(B2448&gt;=Eval_Start_Week,"YES","")</f>
        <v>YES</v>
      </c>
      <c r="Q2448" s="34" t="str">
        <f aca="false">IF(AND(B2448&gt;=Cal_Start_Week,B2448&lt;=Cal_End_Week),"YES","")</f>
        <v>YES</v>
      </c>
    </row>
    <row r="2449" customFormat="false" ht="15" hidden="false" customHeight="false" outlineLevel="0" collapsed="false">
      <c r="A2449" s="31" t="str">
        <f aca="false">Demand_History!C2449</f>
        <v>BED-004</v>
      </c>
      <c r="B2449" s="31" t="n">
        <f aca="false">Demand_History!A2449</f>
        <v>56</v>
      </c>
      <c r="C2449" s="32" t="n">
        <f aca="false">Demand_History!D2449</f>
        <v>54</v>
      </c>
      <c r="D2449" s="33" t="n">
        <f aca="false">IF(B2449&gt;=2,C2448,"")</f>
        <v>53</v>
      </c>
      <c r="E2449" s="33" t="n">
        <f aca="false">IF(B2449&gt;=5,AVERAGE(C2445:C2448),"")</f>
        <v>54.25</v>
      </c>
      <c r="F2449" s="33" t="n">
        <f aca="false">IF(B2449&gt;=9,AVERAGE(C2441:C2448),"")</f>
        <v>56.25</v>
      </c>
      <c r="G2449" s="33" t="n">
        <f aca="false">IF(B2449=1,"",IF(B2449=2,C2448,SES_Alpha*C2448+(1-SES_Alpha)*G2448))</f>
        <v>54.5596812357104</v>
      </c>
      <c r="H2449" s="33" t="n">
        <f aca="false">IF(D2449="","",D2449-C2449)</f>
        <v>-1</v>
      </c>
      <c r="I2449" s="33" t="n">
        <f aca="false">IF(E2449="","",E2449-C2449)</f>
        <v>0.25</v>
      </c>
      <c r="J2449" s="33" t="n">
        <f aca="false">IF(F2449="","",F2449-C2449)</f>
        <v>2.25</v>
      </c>
      <c r="K2449" s="33" t="n">
        <f aca="false">IF(G2449="","",G2449-C2449)</f>
        <v>0.559681235710379</v>
      </c>
      <c r="L2449" s="33" t="n">
        <f aca="false">IF(H2449="","",ABS(H2449))</f>
        <v>1</v>
      </c>
      <c r="M2449" s="33" t="n">
        <f aca="false">IF(I2449="","",ABS(I2449))</f>
        <v>0.25</v>
      </c>
      <c r="N2449" s="33" t="n">
        <f aca="false">IF(J2449="","",ABS(J2449))</f>
        <v>2.25</v>
      </c>
      <c r="O2449" s="33" t="n">
        <f aca="false">IF(K2449="","",ABS(K2449))</f>
        <v>0.559681235710379</v>
      </c>
      <c r="P2449" s="34" t="str">
        <f aca="false">IF(B2449&gt;=Eval_Start_Week,"YES","")</f>
        <v>YES</v>
      </c>
      <c r="Q2449" s="34" t="str">
        <f aca="false">IF(AND(B2449&gt;=Cal_Start_Week,B2449&lt;=Cal_End_Week),"YES","")</f>
        <v>YES</v>
      </c>
    </row>
    <row r="2450" customFormat="false" ht="15" hidden="false" customHeight="false" outlineLevel="0" collapsed="false">
      <c r="A2450" s="31" t="str">
        <f aca="false">Demand_History!C2450</f>
        <v>BED-004</v>
      </c>
      <c r="B2450" s="31" t="n">
        <f aca="false">Demand_History!A2450</f>
        <v>57</v>
      </c>
      <c r="C2450" s="32" t="n">
        <f aca="false">Demand_History!D2450</f>
        <v>49</v>
      </c>
      <c r="D2450" s="33" t="n">
        <f aca="false">IF(B2450&gt;=2,C2449,"")</f>
        <v>54</v>
      </c>
      <c r="E2450" s="33" t="n">
        <f aca="false">IF(B2450&gt;=5,AVERAGE(C2446:C2449),"")</f>
        <v>52</v>
      </c>
      <c r="F2450" s="33" t="n">
        <f aca="false">IF(B2450&gt;=9,AVERAGE(C2442:C2449),"")</f>
        <v>56</v>
      </c>
      <c r="G2450" s="33" t="n">
        <f aca="false">IF(B2450=1,"",IF(B2450=2,C2449,SES_Alpha*C2449+(1-SES_Alpha)*G2449))</f>
        <v>54.3917768649973</v>
      </c>
      <c r="H2450" s="33" t="n">
        <f aca="false">IF(D2450="","",D2450-C2450)</f>
        <v>5</v>
      </c>
      <c r="I2450" s="33" t="n">
        <f aca="false">IF(E2450="","",E2450-C2450)</f>
        <v>3</v>
      </c>
      <c r="J2450" s="33" t="n">
        <f aca="false">IF(F2450="","",F2450-C2450)</f>
        <v>7</v>
      </c>
      <c r="K2450" s="33" t="n">
        <f aca="false">IF(G2450="","",G2450-C2450)</f>
        <v>5.39177686499727</v>
      </c>
      <c r="L2450" s="33" t="n">
        <f aca="false">IF(H2450="","",ABS(H2450))</f>
        <v>5</v>
      </c>
      <c r="M2450" s="33" t="n">
        <f aca="false">IF(I2450="","",ABS(I2450))</f>
        <v>3</v>
      </c>
      <c r="N2450" s="33" t="n">
        <f aca="false">IF(J2450="","",ABS(J2450))</f>
        <v>7</v>
      </c>
      <c r="O2450" s="33" t="n">
        <f aca="false">IF(K2450="","",ABS(K2450))</f>
        <v>5.39177686499727</v>
      </c>
      <c r="P2450" s="34" t="str">
        <f aca="false">IF(B2450&gt;=Eval_Start_Week,"YES","")</f>
        <v>YES</v>
      </c>
      <c r="Q2450" s="34" t="str">
        <f aca="false">IF(AND(B2450&gt;=Cal_Start_Week,B2450&lt;=Cal_End_Week),"YES","")</f>
        <v>YES</v>
      </c>
    </row>
    <row r="2451" customFormat="false" ht="15" hidden="false" customHeight="false" outlineLevel="0" collapsed="false">
      <c r="A2451" s="31" t="str">
        <f aca="false">Demand_History!C2451</f>
        <v>BED-004</v>
      </c>
      <c r="B2451" s="31" t="n">
        <f aca="false">Demand_History!A2451</f>
        <v>58</v>
      </c>
      <c r="C2451" s="32" t="n">
        <f aca="false">Demand_History!D2451</f>
        <v>62</v>
      </c>
      <c r="D2451" s="33" t="n">
        <f aca="false">IF(B2451&gt;=2,C2450,"")</f>
        <v>49</v>
      </c>
      <c r="E2451" s="33" t="n">
        <f aca="false">IF(B2451&gt;=5,AVERAGE(C2447:C2450),"")</f>
        <v>52.5</v>
      </c>
      <c r="F2451" s="33" t="n">
        <f aca="false">IF(B2451&gt;=9,AVERAGE(C2443:C2450),"")</f>
        <v>56.625</v>
      </c>
      <c r="G2451" s="33" t="n">
        <f aca="false">IF(B2451=1,"",IF(B2451=2,C2450,SES_Alpha*C2450+(1-SES_Alpha)*G2450))</f>
        <v>52.7742438054981</v>
      </c>
      <c r="H2451" s="33" t="n">
        <f aca="false">IF(D2451="","",D2451-C2451)</f>
        <v>-13</v>
      </c>
      <c r="I2451" s="33" t="n">
        <f aca="false">IF(E2451="","",E2451-C2451)</f>
        <v>-9.5</v>
      </c>
      <c r="J2451" s="33" t="n">
        <f aca="false">IF(F2451="","",F2451-C2451)</f>
        <v>-5.375</v>
      </c>
      <c r="K2451" s="33" t="n">
        <f aca="false">IF(G2451="","",G2451-C2451)</f>
        <v>-9.22575619450191</v>
      </c>
      <c r="L2451" s="33" t="n">
        <f aca="false">IF(H2451="","",ABS(H2451))</f>
        <v>13</v>
      </c>
      <c r="M2451" s="33" t="n">
        <f aca="false">IF(I2451="","",ABS(I2451))</f>
        <v>9.5</v>
      </c>
      <c r="N2451" s="33" t="n">
        <f aca="false">IF(J2451="","",ABS(J2451))</f>
        <v>5.375</v>
      </c>
      <c r="O2451" s="33" t="n">
        <f aca="false">IF(K2451="","",ABS(K2451))</f>
        <v>9.22575619450191</v>
      </c>
      <c r="P2451" s="34" t="str">
        <f aca="false">IF(B2451&gt;=Eval_Start_Week,"YES","")</f>
        <v>YES</v>
      </c>
      <c r="Q2451" s="34" t="str">
        <f aca="false">IF(AND(B2451&gt;=Cal_Start_Week,B2451&lt;=Cal_End_Week),"YES","")</f>
        <v>YES</v>
      </c>
    </row>
    <row r="2452" customFormat="false" ht="15" hidden="false" customHeight="false" outlineLevel="0" collapsed="false">
      <c r="A2452" s="31" t="str">
        <f aca="false">Demand_History!C2452</f>
        <v>BED-004</v>
      </c>
      <c r="B2452" s="31" t="n">
        <f aca="false">Demand_History!A2452</f>
        <v>59</v>
      </c>
      <c r="C2452" s="32" t="n">
        <f aca="false">Demand_History!D2452</f>
        <v>61</v>
      </c>
      <c r="D2452" s="33" t="n">
        <f aca="false">IF(B2452&gt;=2,C2451,"")</f>
        <v>62</v>
      </c>
      <c r="E2452" s="33" t="n">
        <f aca="false">IF(B2452&gt;=5,AVERAGE(C2448:C2451),"")</f>
        <v>54.5</v>
      </c>
      <c r="F2452" s="33" t="n">
        <f aca="false">IF(B2452&gt;=9,AVERAGE(C2444:C2451),"")</f>
        <v>55.75</v>
      </c>
      <c r="G2452" s="33" t="n">
        <f aca="false">IF(B2452=1,"",IF(B2452=2,C2451,SES_Alpha*C2451+(1-SES_Alpha)*G2451))</f>
        <v>55.5419706638487</v>
      </c>
      <c r="H2452" s="33" t="n">
        <f aca="false">IF(D2452="","",D2452-C2452)</f>
        <v>1</v>
      </c>
      <c r="I2452" s="33" t="n">
        <f aca="false">IF(E2452="","",E2452-C2452)</f>
        <v>-6.5</v>
      </c>
      <c r="J2452" s="33" t="n">
        <f aca="false">IF(F2452="","",F2452-C2452)</f>
        <v>-5.25</v>
      </c>
      <c r="K2452" s="33" t="n">
        <f aca="false">IF(G2452="","",G2452-C2452)</f>
        <v>-5.45802933615134</v>
      </c>
      <c r="L2452" s="33" t="n">
        <f aca="false">IF(H2452="","",ABS(H2452))</f>
        <v>1</v>
      </c>
      <c r="M2452" s="33" t="n">
        <f aca="false">IF(I2452="","",ABS(I2452))</f>
        <v>6.5</v>
      </c>
      <c r="N2452" s="33" t="n">
        <f aca="false">IF(J2452="","",ABS(J2452))</f>
        <v>5.25</v>
      </c>
      <c r="O2452" s="33" t="n">
        <f aca="false">IF(K2452="","",ABS(K2452))</f>
        <v>5.45802933615134</v>
      </c>
      <c r="P2452" s="34" t="str">
        <f aca="false">IF(B2452&gt;=Eval_Start_Week,"YES","")</f>
        <v>YES</v>
      </c>
      <c r="Q2452" s="34" t="str">
        <f aca="false">IF(AND(B2452&gt;=Cal_Start_Week,B2452&lt;=Cal_End_Week),"YES","")</f>
        <v>YES</v>
      </c>
    </row>
    <row r="2453" customFormat="false" ht="15" hidden="false" customHeight="false" outlineLevel="0" collapsed="false">
      <c r="A2453" s="31" t="str">
        <f aca="false">Demand_History!C2453</f>
        <v>BED-004</v>
      </c>
      <c r="B2453" s="31" t="n">
        <f aca="false">Demand_History!A2453</f>
        <v>60</v>
      </c>
      <c r="C2453" s="32" t="n">
        <f aca="false">Demand_History!D2453</f>
        <v>62</v>
      </c>
      <c r="D2453" s="33" t="n">
        <f aca="false">IF(B2453&gt;=2,C2452,"")</f>
        <v>61</v>
      </c>
      <c r="E2453" s="33" t="n">
        <f aca="false">IF(B2453&gt;=5,AVERAGE(C2449:C2452),"")</f>
        <v>56.5</v>
      </c>
      <c r="F2453" s="33" t="n">
        <f aca="false">IF(B2453&gt;=9,AVERAGE(C2445:C2452),"")</f>
        <v>55.375</v>
      </c>
      <c r="G2453" s="33" t="n">
        <f aca="false">IF(B2453=1,"",IF(B2453=2,C2452,SES_Alpha*C2452+(1-SES_Alpha)*G2452))</f>
        <v>57.1793794646941</v>
      </c>
      <c r="H2453" s="33" t="n">
        <f aca="false">IF(D2453="","",D2453-C2453)</f>
        <v>-1</v>
      </c>
      <c r="I2453" s="33" t="n">
        <f aca="false">IF(E2453="","",E2453-C2453)</f>
        <v>-5.5</v>
      </c>
      <c r="J2453" s="33" t="n">
        <f aca="false">IF(F2453="","",F2453-C2453)</f>
        <v>-6.625</v>
      </c>
      <c r="K2453" s="33" t="n">
        <f aca="false">IF(G2453="","",G2453-C2453)</f>
        <v>-4.82062053530594</v>
      </c>
      <c r="L2453" s="33" t="n">
        <f aca="false">IF(H2453="","",ABS(H2453))</f>
        <v>1</v>
      </c>
      <c r="M2453" s="33" t="n">
        <f aca="false">IF(I2453="","",ABS(I2453))</f>
        <v>5.5</v>
      </c>
      <c r="N2453" s="33" t="n">
        <f aca="false">IF(J2453="","",ABS(J2453))</f>
        <v>6.625</v>
      </c>
      <c r="O2453" s="33" t="n">
        <f aca="false">IF(K2453="","",ABS(K2453))</f>
        <v>4.82062053530594</v>
      </c>
      <c r="P2453" s="34" t="str">
        <f aca="false">IF(B2453&gt;=Eval_Start_Week,"YES","")</f>
        <v>YES</v>
      </c>
      <c r="Q2453" s="34" t="str">
        <f aca="false">IF(AND(B2453&gt;=Cal_Start_Week,B2453&lt;=Cal_End_Week),"YES","")</f>
        <v>YES</v>
      </c>
    </row>
    <row r="2454" customFormat="false" ht="15" hidden="false" customHeight="false" outlineLevel="0" collapsed="false">
      <c r="A2454" s="31" t="str">
        <f aca="false">Demand_History!C2454</f>
        <v>BED-004</v>
      </c>
      <c r="B2454" s="31" t="n">
        <f aca="false">Demand_History!A2454</f>
        <v>61</v>
      </c>
      <c r="C2454" s="32" t="n">
        <f aca="false">Demand_History!D2454</f>
        <v>56</v>
      </c>
      <c r="D2454" s="33" t="n">
        <f aca="false">IF(B2454&gt;=2,C2453,"")</f>
        <v>62</v>
      </c>
      <c r="E2454" s="33" t="n">
        <f aca="false">IF(B2454&gt;=5,AVERAGE(C2450:C2453),"")</f>
        <v>58.5</v>
      </c>
      <c r="F2454" s="33" t="n">
        <f aca="false">IF(B2454&gt;=9,AVERAGE(C2446:C2453),"")</f>
        <v>55.25</v>
      </c>
      <c r="G2454" s="33" t="n">
        <f aca="false">IF(B2454=1,"",IF(B2454=2,C2453,SES_Alpha*C2453+(1-SES_Alpha)*G2453))</f>
        <v>58.6255656252858</v>
      </c>
      <c r="H2454" s="33" t="n">
        <f aca="false">IF(D2454="","",D2454-C2454)</f>
        <v>6</v>
      </c>
      <c r="I2454" s="33" t="n">
        <f aca="false">IF(E2454="","",E2454-C2454)</f>
        <v>2.5</v>
      </c>
      <c r="J2454" s="33" t="n">
        <f aca="false">IF(F2454="","",F2454-C2454)</f>
        <v>-0.75</v>
      </c>
      <c r="K2454" s="33" t="n">
        <f aca="false">IF(G2454="","",G2454-C2454)</f>
        <v>2.62556562528584</v>
      </c>
      <c r="L2454" s="33" t="n">
        <f aca="false">IF(H2454="","",ABS(H2454))</f>
        <v>6</v>
      </c>
      <c r="M2454" s="33" t="n">
        <f aca="false">IF(I2454="","",ABS(I2454))</f>
        <v>2.5</v>
      </c>
      <c r="N2454" s="33" t="n">
        <f aca="false">IF(J2454="","",ABS(J2454))</f>
        <v>0.75</v>
      </c>
      <c r="O2454" s="33" t="n">
        <f aca="false">IF(K2454="","",ABS(K2454))</f>
        <v>2.62556562528584</v>
      </c>
      <c r="P2454" s="34" t="str">
        <f aca="false">IF(B2454&gt;=Eval_Start_Week,"YES","")</f>
        <v>YES</v>
      </c>
      <c r="Q2454" s="34" t="str">
        <f aca="false">IF(AND(B2454&gt;=Cal_Start_Week,B2454&lt;=Cal_End_Week),"YES","")</f>
        <v>YES</v>
      </c>
    </row>
    <row r="2455" customFormat="false" ht="15" hidden="false" customHeight="false" outlineLevel="0" collapsed="false">
      <c r="A2455" s="31" t="str">
        <f aca="false">Demand_History!C2455</f>
        <v>BED-004</v>
      </c>
      <c r="B2455" s="31" t="n">
        <f aca="false">Demand_History!A2455</f>
        <v>62</v>
      </c>
      <c r="C2455" s="32" t="n">
        <f aca="false">Demand_History!D2455</f>
        <v>71</v>
      </c>
      <c r="D2455" s="33" t="n">
        <f aca="false">IF(B2455&gt;=2,C2454,"")</f>
        <v>56</v>
      </c>
      <c r="E2455" s="33" t="n">
        <f aca="false">IF(B2455&gt;=5,AVERAGE(C2451:C2454),"")</f>
        <v>60.25</v>
      </c>
      <c r="F2455" s="33" t="n">
        <f aca="false">IF(B2455&gt;=9,AVERAGE(C2447:C2454),"")</f>
        <v>56.375</v>
      </c>
      <c r="G2455" s="33" t="n">
        <f aca="false">IF(B2455=1,"",IF(B2455=2,C2454,SES_Alpha*C2454+(1-SES_Alpha)*G2454))</f>
        <v>57.8378959377001</v>
      </c>
      <c r="H2455" s="33" t="n">
        <f aca="false">IF(D2455="","",D2455-C2455)</f>
        <v>-15</v>
      </c>
      <c r="I2455" s="33" t="n">
        <f aca="false">IF(E2455="","",E2455-C2455)</f>
        <v>-10.75</v>
      </c>
      <c r="J2455" s="33" t="n">
        <f aca="false">IF(F2455="","",F2455-C2455)</f>
        <v>-14.625</v>
      </c>
      <c r="K2455" s="33" t="n">
        <f aca="false">IF(G2455="","",G2455-C2455)</f>
        <v>-13.1621040622999</v>
      </c>
      <c r="L2455" s="33" t="n">
        <f aca="false">IF(H2455="","",ABS(H2455))</f>
        <v>15</v>
      </c>
      <c r="M2455" s="33" t="n">
        <f aca="false">IF(I2455="","",ABS(I2455))</f>
        <v>10.75</v>
      </c>
      <c r="N2455" s="33" t="n">
        <f aca="false">IF(J2455="","",ABS(J2455))</f>
        <v>14.625</v>
      </c>
      <c r="O2455" s="33" t="n">
        <f aca="false">IF(K2455="","",ABS(K2455))</f>
        <v>13.1621040622999</v>
      </c>
      <c r="P2455" s="34" t="str">
        <f aca="false">IF(B2455&gt;=Eval_Start_Week,"YES","")</f>
        <v>YES</v>
      </c>
      <c r="Q2455" s="34" t="str">
        <f aca="false">IF(AND(B2455&gt;=Cal_Start_Week,B2455&lt;=Cal_End_Week),"YES","")</f>
        <v>YES</v>
      </c>
    </row>
    <row r="2456" customFormat="false" ht="15" hidden="false" customHeight="false" outlineLevel="0" collapsed="false">
      <c r="A2456" s="31" t="str">
        <f aca="false">Demand_History!C2456</f>
        <v>BED-004</v>
      </c>
      <c r="B2456" s="31" t="n">
        <f aca="false">Demand_History!A2456</f>
        <v>63</v>
      </c>
      <c r="C2456" s="32" t="n">
        <f aca="false">Demand_History!D2456</f>
        <v>62</v>
      </c>
      <c r="D2456" s="33" t="n">
        <f aca="false">IF(B2456&gt;=2,C2455,"")</f>
        <v>71</v>
      </c>
      <c r="E2456" s="33" t="n">
        <f aca="false">IF(B2456&gt;=5,AVERAGE(C2452:C2455),"")</f>
        <v>62.5</v>
      </c>
      <c r="F2456" s="33" t="n">
        <f aca="false">IF(B2456&gt;=9,AVERAGE(C2448:C2455),"")</f>
        <v>58.5</v>
      </c>
      <c r="G2456" s="33" t="n">
        <f aca="false">IF(B2456=1,"",IF(B2456=2,C2455,SES_Alpha*C2455+(1-SES_Alpha)*G2455))</f>
        <v>61.7865271563901</v>
      </c>
      <c r="H2456" s="33" t="n">
        <f aca="false">IF(D2456="","",D2456-C2456)</f>
        <v>9</v>
      </c>
      <c r="I2456" s="33" t="n">
        <f aca="false">IF(E2456="","",E2456-C2456)</f>
        <v>0.5</v>
      </c>
      <c r="J2456" s="33" t="n">
        <f aca="false">IF(F2456="","",F2456-C2456)</f>
        <v>-3.5</v>
      </c>
      <c r="K2456" s="33" t="n">
        <f aca="false">IF(G2456="","",G2456-C2456)</f>
        <v>-0.213472843609949</v>
      </c>
      <c r="L2456" s="33" t="n">
        <f aca="false">IF(H2456="","",ABS(H2456))</f>
        <v>9</v>
      </c>
      <c r="M2456" s="33" t="n">
        <f aca="false">IF(I2456="","",ABS(I2456))</f>
        <v>0.5</v>
      </c>
      <c r="N2456" s="33" t="n">
        <f aca="false">IF(J2456="","",ABS(J2456))</f>
        <v>3.5</v>
      </c>
      <c r="O2456" s="33" t="n">
        <f aca="false">IF(K2456="","",ABS(K2456))</f>
        <v>0.213472843609949</v>
      </c>
      <c r="P2456" s="34" t="str">
        <f aca="false">IF(B2456&gt;=Eval_Start_Week,"YES","")</f>
        <v>YES</v>
      </c>
      <c r="Q2456" s="34" t="str">
        <f aca="false">IF(AND(B2456&gt;=Cal_Start_Week,B2456&lt;=Cal_End_Week),"YES","")</f>
        <v>YES</v>
      </c>
    </row>
    <row r="2457" customFormat="false" ht="15" hidden="false" customHeight="false" outlineLevel="0" collapsed="false">
      <c r="A2457" s="31" t="str">
        <f aca="false">Demand_History!C2457</f>
        <v>BED-004</v>
      </c>
      <c r="B2457" s="31" t="n">
        <f aca="false">Demand_History!A2457</f>
        <v>64</v>
      </c>
      <c r="C2457" s="32" t="n">
        <f aca="false">Demand_History!D2457</f>
        <v>38</v>
      </c>
      <c r="D2457" s="33" t="n">
        <f aca="false">IF(B2457&gt;=2,C2456,"")</f>
        <v>62</v>
      </c>
      <c r="E2457" s="33" t="n">
        <f aca="false">IF(B2457&gt;=5,AVERAGE(C2453:C2456),"")</f>
        <v>62.75</v>
      </c>
      <c r="F2457" s="33" t="n">
        <f aca="false">IF(B2457&gt;=9,AVERAGE(C2449:C2456),"")</f>
        <v>59.625</v>
      </c>
      <c r="G2457" s="33" t="n">
        <f aca="false">IF(B2457=1,"",IF(B2457=2,C2456,SES_Alpha*C2456+(1-SES_Alpha)*G2456))</f>
        <v>61.850569009473</v>
      </c>
      <c r="H2457" s="33" t="n">
        <f aca="false">IF(D2457="","",D2457-C2457)</f>
        <v>24</v>
      </c>
      <c r="I2457" s="33" t="n">
        <f aca="false">IF(E2457="","",E2457-C2457)</f>
        <v>24.75</v>
      </c>
      <c r="J2457" s="33" t="n">
        <f aca="false">IF(F2457="","",F2457-C2457)</f>
        <v>21.625</v>
      </c>
      <c r="K2457" s="33" t="n">
        <f aca="false">IF(G2457="","",G2457-C2457)</f>
        <v>23.850569009473</v>
      </c>
      <c r="L2457" s="33" t="n">
        <f aca="false">IF(H2457="","",ABS(H2457))</f>
        <v>24</v>
      </c>
      <c r="M2457" s="33" t="n">
        <f aca="false">IF(I2457="","",ABS(I2457))</f>
        <v>24.75</v>
      </c>
      <c r="N2457" s="33" t="n">
        <f aca="false">IF(J2457="","",ABS(J2457))</f>
        <v>21.625</v>
      </c>
      <c r="O2457" s="33" t="n">
        <f aca="false">IF(K2457="","",ABS(K2457))</f>
        <v>23.850569009473</v>
      </c>
      <c r="P2457" s="34" t="str">
        <f aca="false">IF(B2457&gt;=Eval_Start_Week,"YES","")</f>
        <v>YES</v>
      </c>
      <c r="Q2457" s="34" t="str">
        <f aca="false">IF(AND(B2457&gt;=Cal_Start_Week,B2457&lt;=Cal_End_Week),"YES","")</f>
        <v>YES</v>
      </c>
    </row>
    <row r="2458" customFormat="false" ht="15" hidden="false" customHeight="false" outlineLevel="0" collapsed="false">
      <c r="A2458" s="31" t="str">
        <f aca="false">Demand_History!C2458</f>
        <v>BED-004</v>
      </c>
      <c r="B2458" s="31" t="n">
        <f aca="false">Demand_History!A2458</f>
        <v>65</v>
      </c>
      <c r="C2458" s="32" t="n">
        <f aca="false">Demand_History!D2458</f>
        <v>56</v>
      </c>
      <c r="D2458" s="33" t="n">
        <f aca="false">IF(B2458&gt;=2,C2457,"")</f>
        <v>38</v>
      </c>
      <c r="E2458" s="33" t="n">
        <f aca="false">IF(B2458&gt;=5,AVERAGE(C2454:C2457),"")</f>
        <v>56.75</v>
      </c>
      <c r="F2458" s="33" t="n">
        <f aca="false">IF(B2458&gt;=9,AVERAGE(C2450:C2457),"")</f>
        <v>57.625</v>
      </c>
      <c r="G2458" s="33" t="n">
        <f aca="false">IF(B2458=1,"",IF(B2458=2,C2457,SES_Alpha*C2457+(1-SES_Alpha)*G2457))</f>
        <v>54.6953983066311</v>
      </c>
      <c r="H2458" s="33" t="n">
        <f aca="false">IF(D2458="","",D2458-C2458)</f>
        <v>-18</v>
      </c>
      <c r="I2458" s="33" t="n">
        <f aca="false">IF(E2458="","",E2458-C2458)</f>
        <v>0.75</v>
      </c>
      <c r="J2458" s="33" t="n">
        <f aca="false">IF(F2458="","",F2458-C2458)</f>
        <v>1.625</v>
      </c>
      <c r="K2458" s="33" t="n">
        <f aca="false">IF(G2458="","",G2458-C2458)</f>
        <v>-1.30460169336888</v>
      </c>
      <c r="L2458" s="33" t="n">
        <f aca="false">IF(H2458="","",ABS(H2458))</f>
        <v>18</v>
      </c>
      <c r="M2458" s="33" t="n">
        <f aca="false">IF(I2458="","",ABS(I2458))</f>
        <v>0.75</v>
      </c>
      <c r="N2458" s="33" t="n">
        <f aca="false">IF(J2458="","",ABS(J2458))</f>
        <v>1.625</v>
      </c>
      <c r="O2458" s="33" t="n">
        <f aca="false">IF(K2458="","",ABS(K2458))</f>
        <v>1.30460169336888</v>
      </c>
      <c r="P2458" s="34" t="str">
        <f aca="false">IF(B2458&gt;=Eval_Start_Week,"YES","")</f>
        <v>YES</v>
      </c>
      <c r="Q2458" s="34" t="str">
        <f aca="false">IF(AND(B2458&gt;=Cal_Start_Week,B2458&lt;=Cal_End_Week),"YES","")</f>
        <v>YES</v>
      </c>
    </row>
    <row r="2459" customFormat="false" ht="15" hidden="false" customHeight="false" outlineLevel="0" collapsed="false">
      <c r="A2459" s="31" t="str">
        <f aca="false">Demand_History!C2459</f>
        <v>BED-004</v>
      </c>
      <c r="B2459" s="31" t="n">
        <f aca="false">Demand_History!A2459</f>
        <v>66</v>
      </c>
      <c r="C2459" s="32" t="n">
        <f aca="false">Demand_History!D2459</f>
        <v>61</v>
      </c>
      <c r="D2459" s="33" t="n">
        <f aca="false">IF(B2459&gt;=2,C2458,"")</f>
        <v>56</v>
      </c>
      <c r="E2459" s="33" t="n">
        <f aca="false">IF(B2459&gt;=5,AVERAGE(C2455:C2458),"")</f>
        <v>56.75</v>
      </c>
      <c r="F2459" s="33" t="n">
        <f aca="false">IF(B2459&gt;=9,AVERAGE(C2451:C2458),"")</f>
        <v>58.5</v>
      </c>
      <c r="G2459" s="33" t="n">
        <f aca="false">IF(B2459=1,"",IF(B2459=2,C2458,SES_Alpha*C2458+(1-SES_Alpha)*G2458))</f>
        <v>55.0867788146418</v>
      </c>
      <c r="H2459" s="33" t="n">
        <f aca="false">IF(D2459="","",D2459-C2459)</f>
        <v>-5</v>
      </c>
      <c r="I2459" s="33" t="n">
        <f aca="false">IF(E2459="","",E2459-C2459)</f>
        <v>-4.25</v>
      </c>
      <c r="J2459" s="33" t="n">
        <f aca="false">IF(F2459="","",F2459-C2459)</f>
        <v>-2.5</v>
      </c>
      <c r="K2459" s="33" t="n">
        <f aca="false">IF(G2459="","",G2459-C2459)</f>
        <v>-5.91322118535823</v>
      </c>
      <c r="L2459" s="33" t="n">
        <f aca="false">IF(H2459="","",ABS(H2459))</f>
        <v>5</v>
      </c>
      <c r="M2459" s="33" t="n">
        <f aca="false">IF(I2459="","",ABS(I2459))</f>
        <v>4.25</v>
      </c>
      <c r="N2459" s="33" t="n">
        <f aca="false">IF(J2459="","",ABS(J2459))</f>
        <v>2.5</v>
      </c>
      <c r="O2459" s="33" t="n">
        <f aca="false">IF(K2459="","",ABS(K2459))</f>
        <v>5.91322118535823</v>
      </c>
      <c r="P2459" s="34" t="str">
        <f aca="false">IF(B2459&gt;=Eval_Start_Week,"YES","")</f>
        <v>YES</v>
      </c>
      <c r="Q2459" s="34" t="str">
        <f aca="false">IF(AND(B2459&gt;=Cal_Start_Week,B2459&lt;=Cal_End_Week),"YES","")</f>
        <v>YES</v>
      </c>
    </row>
    <row r="2460" customFormat="false" ht="15" hidden="false" customHeight="false" outlineLevel="0" collapsed="false">
      <c r="A2460" s="31" t="str">
        <f aca="false">Demand_History!C2460</f>
        <v>BED-004</v>
      </c>
      <c r="B2460" s="31" t="n">
        <f aca="false">Demand_History!A2460</f>
        <v>67</v>
      </c>
      <c r="C2460" s="32" t="n">
        <f aca="false">Demand_History!D2460</f>
        <v>71</v>
      </c>
      <c r="D2460" s="33" t="n">
        <f aca="false">IF(B2460&gt;=2,C2459,"")</f>
        <v>61</v>
      </c>
      <c r="E2460" s="33" t="n">
        <f aca="false">IF(B2460&gt;=5,AVERAGE(C2456:C2459),"")</f>
        <v>54.25</v>
      </c>
      <c r="F2460" s="33" t="n">
        <f aca="false">IF(B2460&gt;=9,AVERAGE(C2452:C2459),"")</f>
        <v>58.375</v>
      </c>
      <c r="G2460" s="33" t="n">
        <f aca="false">IF(B2460=1,"",IF(B2460=2,C2459,SES_Alpha*C2459+(1-SES_Alpha)*G2459))</f>
        <v>56.8607451702492</v>
      </c>
      <c r="H2460" s="33" t="n">
        <f aca="false">IF(D2460="","",D2460-C2460)</f>
        <v>-10</v>
      </c>
      <c r="I2460" s="33" t="n">
        <f aca="false">IF(E2460="","",E2460-C2460)</f>
        <v>-16.75</v>
      </c>
      <c r="J2460" s="33" t="n">
        <f aca="false">IF(F2460="","",F2460-C2460)</f>
        <v>-12.625</v>
      </c>
      <c r="K2460" s="33" t="n">
        <f aca="false">IF(G2460="","",G2460-C2460)</f>
        <v>-14.1392548297508</v>
      </c>
      <c r="L2460" s="33" t="n">
        <f aca="false">IF(H2460="","",ABS(H2460))</f>
        <v>10</v>
      </c>
      <c r="M2460" s="33" t="n">
        <f aca="false">IF(I2460="","",ABS(I2460))</f>
        <v>16.75</v>
      </c>
      <c r="N2460" s="33" t="n">
        <f aca="false">IF(J2460="","",ABS(J2460))</f>
        <v>12.625</v>
      </c>
      <c r="O2460" s="33" t="n">
        <f aca="false">IF(K2460="","",ABS(K2460))</f>
        <v>14.1392548297508</v>
      </c>
      <c r="P2460" s="34" t="str">
        <f aca="false">IF(B2460&gt;=Eval_Start_Week,"YES","")</f>
        <v>YES</v>
      </c>
      <c r="Q2460" s="34" t="str">
        <f aca="false">IF(AND(B2460&gt;=Cal_Start_Week,B2460&lt;=Cal_End_Week),"YES","")</f>
        <v>YES</v>
      </c>
    </row>
    <row r="2461" customFormat="false" ht="15" hidden="false" customHeight="false" outlineLevel="0" collapsed="false">
      <c r="A2461" s="31" t="str">
        <f aca="false">Demand_History!C2461</f>
        <v>BED-004</v>
      </c>
      <c r="B2461" s="31" t="n">
        <f aca="false">Demand_History!A2461</f>
        <v>68</v>
      </c>
      <c r="C2461" s="32" t="n">
        <f aca="false">Demand_History!D2461</f>
        <v>60</v>
      </c>
      <c r="D2461" s="33" t="n">
        <f aca="false">IF(B2461&gt;=2,C2460,"")</f>
        <v>71</v>
      </c>
      <c r="E2461" s="33" t="n">
        <f aca="false">IF(B2461&gt;=5,AVERAGE(C2457:C2460),"")</f>
        <v>56.5</v>
      </c>
      <c r="F2461" s="33" t="n">
        <f aca="false">IF(B2461&gt;=9,AVERAGE(C2453:C2460),"")</f>
        <v>59.625</v>
      </c>
      <c r="G2461" s="33" t="n">
        <f aca="false">IF(B2461=1,"",IF(B2461=2,C2460,SES_Alpha*C2460+(1-SES_Alpha)*G2460))</f>
        <v>61.1025216191745</v>
      </c>
      <c r="H2461" s="33" t="n">
        <f aca="false">IF(D2461="","",D2461-C2461)</f>
        <v>11</v>
      </c>
      <c r="I2461" s="33" t="n">
        <f aca="false">IF(E2461="","",E2461-C2461)</f>
        <v>-3.5</v>
      </c>
      <c r="J2461" s="33" t="n">
        <f aca="false">IF(F2461="","",F2461-C2461)</f>
        <v>-0.375</v>
      </c>
      <c r="K2461" s="33" t="n">
        <f aca="false">IF(G2461="","",G2461-C2461)</f>
        <v>1.10252161917447</v>
      </c>
      <c r="L2461" s="33" t="n">
        <f aca="false">IF(H2461="","",ABS(H2461))</f>
        <v>11</v>
      </c>
      <c r="M2461" s="33" t="n">
        <f aca="false">IF(I2461="","",ABS(I2461))</f>
        <v>3.5</v>
      </c>
      <c r="N2461" s="33" t="n">
        <f aca="false">IF(J2461="","",ABS(J2461))</f>
        <v>0.375</v>
      </c>
      <c r="O2461" s="33" t="n">
        <f aca="false">IF(K2461="","",ABS(K2461))</f>
        <v>1.10252161917447</v>
      </c>
      <c r="P2461" s="34" t="str">
        <f aca="false">IF(B2461&gt;=Eval_Start_Week,"YES","")</f>
        <v>YES</v>
      </c>
      <c r="Q2461" s="34" t="str">
        <f aca="false">IF(AND(B2461&gt;=Cal_Start_Week,B2461&lt;=Cal_End_Week),"YES","")</f>
        <v>YES</v>
      </c>
    </row>
    <row r="2462" customFormat="false" ht="15" hidden="false" customHeight="false" outlineLevel="0" collapsed="false">
      <c r="A2462" s="31" t="str">
        <f aca="false">Demand_History!C2462</f>
        <v>BED-004</v>
      </c>
      <c r="B2462" s="31" t="n">
        <f aca="false">Demand_History!A2462</f>
        <v>69</v>
      </c>
      <c r="C2462" s="32" t="n">
        <f aca="false">Demand_History!D2462</f>
        <v>61</v>
      </c>
      <c r="D2462" s="33" t="n">
        <f aca="false">IF(B2462&gt;=2,C2461,"")</f>
        <v>60</v>
      </c>
      <c r="E2462" s="33" t="n">
        <f aca="false">IF(B2462&gt;=5,AVERAGE(C2458:C2461),"")</f>
        <v>62</v>
      </c>
      <c r="F2462" s="33" t="n">
        <f aca="false">IF(B2462&gt;=9,AVERAGE(C2454:C2461),"")</f>
        <v>59.375</v>
      </c>
      <c r="G2462" s="33" t="n">
        <f aca="false">IF(B2462=1,"",IF(B2462=2,C2461,SES_Alpha*C2461+(1-SES_Alpha)*G2461))</f>
        <v>60.7717651334221</v>
      </c>
      <c r="H2462" s="33" t="n">
        <f aca="false">IF(D2462="","",D2462-C2462)</f>
        <v>-1</v>
      </c>
      <c r="I2462" s="33" t="n">
        <f aca="false">IF(E2462="","",E2462-C2462)</f>
        <v>1</v>
      </c>
      <c r="J2462" s="33" t="n">
        <f aca="false">IF(F2462="","",F2462-C2462)</f>
        <v>-1.625</v>
      </c>
      <c r="K2462" s="33" t="n">
        <f aca="false">IF(G2462="","",G2462-C2462)</f>
        <v>-0.228234866577878</v>
      </c>
      <c r="L2462" s="33" t="n">
        <f aca="false">IF(H2462="","",ABS(H2462))</f>
        <v>1</v>
      </c>
      <c r="M2462" s="33" t="n">
        <f aca="false">IF(I2462="","",ABS(I2462))</f>
        <v>1</v>
      </c>
      <c r="N2462" s="33" t="n">
        <f aca="false">IF(J2462="","",ABS(J2462))</f>
        <v>1.625</v>
      </c>
      <c r="O2462" s="33" t="n">
        <f aca="false">IF(K2462="","",ABS(K2462))</f>
        <v>0.228234866577878</v>
      </c>
      <c r="P2462" s="34" t="str">
        <f aca="false">IF(B2462&gt;=Eval_Start_Week,"YES","")</f>
        <v>YES</v>
      </c>
      <c r="Q2462" s="34" t="str">
        <f aca="false">IF(AND(B2462&gt;=Cal_Start_Week,B2462&lt;=Cal_End_Week),"YES","")</f>
        <v>YES</v>
      </c>
    </row>
    <row r="2463" customFormat="false" ht="15" hidden="false" customHeight="false" outlineLevel="0" collapsed="false">
      <c r="A2463" s="31" t="str">
        <f aca="false">Demand_History!C2463</f>
        <v>BED-004</v>
      </c>
      <c r="B2463" s="31" t="n">
        <f aca="false">Demand_History!A2463</f>
        <v>70</v>
      </c>
      <c r="C2463" s="32" t="n">
        <f aca="false">Demand_History!D2463</f>
        <v>58</v>
      </c>
      <c r="D2463" s="33" t="n">
        <f aca="false">IF(B2463&gt;=2,C2462,"")</f>
        <v>61</v>
      </c>
      <c r="E2463" s="33" t="n">
        <f aca="false">IF(B2463&gt;=5,AVERAGE(C2459:C2462),"")</f>
        <v>63.25</v>
      </c>
      <c r="F2463" s="33" t="n">
        <f aca="false">IF(B2463&gt;=9,AVERAGE(C2455:C2462),"")</f>
        <v>60</v>
      </c>
      <c r="G2463" s="33" t="n">
        <f aca="false">IF(B2463=1,"",IF(B2463=2,C2462,SES_Alpha*C2462+(1-SES_Alpha)*G2462))</f>
        <v>60.8402355933955</v>
      </c>
      <c r="H2463" s="33" t="n">
        <f aca="false">IF(D2463="","",D2463-C2463)</f>
        <v>3</v>
      </c>
      <c r="I2463" s="33" t="n">
        <f aca="false">IF(E2463="","",E2463-C2463)</f>
        <v>5.25</v>
      </c>
      <c r="J2463" s="33" t="n">
        <f aca="false">IF(F2463="","",F2463-C2463)</f>
        <v>2</v>
      </c>
      <c r="K2463" s="33" t="n">
        <f aca="false">IF(G2463="","",G2463-C2463)</f>
        <v>2.84023559339548</v>
      </c>
      <c r="L2463" s="33" t="n">
        <f aca="false">IF(H2463="","",ABS(H2463))</f>
        <v>3</v>
      </c>
      <c r="M2463" s="33" t="n">
        <f aca="false">IF(I2463="","",ABS(I2463))</f>
        <v>5.25</v>
      </c>
      <c r="N2463" s="33" t="n">
        <f aca="false">IF(J2463="","",ABS(J2463))</f>
        <v>2</v>
      </c>
      <c r="O2463" s="33" t="n">
        <f aca="false">IF(K2463="","",ABS(K2463))</f>
        <v>2.84023559339548</v>
      </c>
      <c r="P2463" s="34" t="str">
        <f aca="false">IF(B2463&gt;=Eval_Start_Week,"YES","")</f>
        <v>YES</v>
      </c>
      <c r="Q2463" s="34" t="str">
        <f aca="false">IF(AND(B2463&gt;=Cal_Start_Week,B2463&lt;=Cal_End_Week),"YES","")</f>
        <v>YES</v>
      </c>
    </row>
    <row r="2464" customFormat="false" ht="15" hidden="false" customHeight="false" outlineLevel="0" collapsed="false">
      <c r="A2464" s="31" t="str">
        <f aca="false">Demand_History!C2464</f>
        <v>BED-004</v>
      </c>
      <c r="B2464" s="31" t="n">
        <f aca="false">Demand_History!A2464</f>
        <v>71</v>
      </c>
      <c r="C2464" s="32" t="n">
        <f aca="false">Demand_History!D2464</f>
        <v>70</v>
      </c>
      <c r="D2464" s="33" t="n">
        <f aca="false">IF(B2464&gt;=2,C2463,"")</f>
        <v>58</v>
      </c>
      <c r="E2464" s="33" t="n">
        <f aca="false">IF(B2464&gt;=5,AVERAGE(C2460:C2463),"")</f>
        <v>62.5</v>
      </c>
      <c r="F2464" s="33" t="n">
        <f aca="false">IF(B2464&gt;=9,AVERAGE(C2456:C2463),"")</f>
        <v>58.375</v>
      </c>
      <c r="G2464" s="33" t="n">
        <f aca="false">IF(B2464=1,"",IF(B2464=2,C2463,SES_Alpha*C2463+(1-SES_Alpha)*G2463))</f>
        <v>59.9881649153768</v>
      </c>
      <c r="H2464" s="33" t="n">
        <f aca="false">IF(D2464="","",D2464-C2464)</f>
        <v>-12</v>
      </c>
      <c r="I2464" s="33" t="n">
        <f aca="false">IF(E2464="","",E2464-C2464)</f>
        <v>-7.5</v>
      </c>
      <c r="J2464" s="33" t="n">
        <f aca="false">IF(F2464="","",F2464-C2464)</f>
        <v>-11.625</v>
      </c>
      <c r="K2464" s="33" t="n">
        <f aca="false">IF(G2464="","",G2464-C2464)</f>
        <v>-10.0118350846232</v>
      </c>
      <c r="L2464" s="33" t="n">
        <f aca="false">IF(H2464="","",ABS(H2464))</f>
        <v>12</v>
      </c>
      <c r="M2464" s="33" t="n">
        <f aca="false">IF(I2464="","",ABS(I2464))</f>
        <v>7.5</v>
      </c>
      <c r="N2464" s="33" t="n">
        <f aca="false">IF(J2464="","",ABS(J2464))</f>
        <v>11.625</v>
      </c>
      <c r="O2464" s="33" t="n">
        <f aca="false">IF(K2464="","",ABS(K2464))</f>
        <v>10.0118350846232</v>
      </c>
      <c r="P2464" s="34" t="str">
        <f aca="false">IF(B2464&gt;=Eval_Start_Week,"YES","")</f>
        <v>YES</v>
      </c>
      <c r="Q2464" s="34" t="str">
        <f aca="false">IF(AND(B2464&gt;=Cal_Start_Week,B2464&lt;=Cal_End_Week),"YES","")</f>
        <v>YES</v>
      </c>
    </row>
    <row r="2465" customFormat="false" ht="15" hidden="false" customHeight="false" outlineLevel="0" collapsed="false">
      <c r="A2465" s="31" t="str">
        <f aca="false">Demand_History!C2465</f>
        <v>BED-004</v>
      </c>
      <c r="B2465" s="31" t="n">
        <f aca="false">Demand_History!A2465</f>
        <v>72</v>
      </c>
      <c r="C2465" s="32" t="n">
        <f aca="false">Demand_History!D2465</f>
        <v>60</v>
      </c>
      <c r="D2465" s="33" t="n">
        <f aca="false">IF(B2465&gt;=2,C2464,"")</f>
        <v>70</v>
      </c>
      <c r="E2465" s="33" t="n">
        <f aca="false">IF(B2465&gt;=5,AVERAGE(C2461:C2464),"")</f>
        <v>62.25</v>
      </c>
      <c r="F2465" s="33" t="n">
        <f aca="false">IF(B2465&gt;=9,AVERAGE(C2457:C2464),"")</f>
        <v>59.375</v>
      </c>
      <c r="G2465" s="33" t="n">
        <f aca="false">IF(B2465=1,"",IF(B2465=2,C2464,SES_Alpha*C2464+(1-SES_Alpha)*G2464))</f>
        <v>62.9917154407638</v>
      </c>
      <c r="H2465" s="33" t="n">
        <f aca="false">IF(D2465="","",D2465-C2465)</f>
        <v>10</v>
      </c>
      <c r="I2465" s="33" t="n">
        <f aca="false">IF(E2465="","",E2465-C2465)</f>
        <v>2.25</v>
      </c>
      <c r="J2465" s="33" t="n">
        <f aca="false">IF(F2465="","",F2465-C2465)</f>
        <v>-0.625</v>
      </c>
      <c r="K2465" s="33" t="n">
        <f aca="false">IF(G2465="","",G2465-C2465)</f>
        <v>2.99171544076378</v>
      </c>
      <c r="L2465" s="33" t="n">
        <f aca="false">IF(H2465="","",ABS(H2465))</f>
        <v>10</v>
      </c>
      <c r="M2465" s="33" t="n">
        <f aca="false">IF(I2465="","",ABS(I2465))</f>
        <v>2.25</v>
      </c>
      <c r="N2465" s="33" t="n">
        <f aca="false">IF(J2465="","",ABS(J2465))</f>
        <v>0.625</v>
      </c>
      <c r="O2465" s="33" t="n">
        <f aca="false">IF(K2465="","",ABS(K2465))</f>
        <v>2.99171544076378</v>
      </c>
      <c r="P2465" s="34" t="str">
        <f aca="false">IF(B2465&gt;=Eval_Start_Week,"YES","")</f>
        <v>YES</v>
      </c>
      <c r="Q2465" s="34" t="str">
        <f aca="false">IF(AND(B2465&gt;=Cal_Start_Week,B2465&lt;=Cal_End_Week),"YES","")</f>
        <v>YES</v>
      </c>
    </row>
    <row r="2466" customFormat="false" ht="15" hidden="false" customHeight="false" outlineLevel="0" collapsed="false">
      <c r="A2466" s="31" t="str">
        <f aca="false">Demand_History!C2466</f>
        <v>BED-004</v>
      </c>
      <c r="B2466" s="31" t="n">
        <f aca="false">Demand_History!A2466</f>
        <v>73</v>
      </c>
      <c r="C2466" s="32" t="n">
        <f aca="false">Demand_History!D2466</f>
        <v>59</v>
      </c>
      <c r="D2466" s="33" t="n">
        <f aca="false">IF(B2466&gt;=2,C2465,"")</f>
        <v>60</v>
      </c>
      <c r="E2466" s="33" t="n">
        <f aca="false">IF(B2466&gt;=5,AVERAGE(C2462:C2465),"")</f>
        <v>62.25</v>
      </c>
      <c r="F2466" s="33" t="n">
        <f aca="false">IF(B2466&gt;=9,AVERAGE(C2458:C2465),"")</f>
        <v>62.125</v>
      </c>
      <c r="G2466" s="33" t="n">
        <f aca="false">IF(B2466=1,"",IF(B2466=2,C2465,SES_Alpha*C2465+(1-SES_Alpha)*G2465))</f>
        <v>62.0942008085346</v>
      </c>
      <c r="H2466" s="33" t="n">
        <f aca="false">IF(D2466="","",D2466-C2466)</f>
        <v>1</v>
      </c>
      <c r="I2466" s="33" t="n">
        <f aca="false">IF(E2466="","",E2466-C2466)</f>
        <v>3.25</v>
      </c>
      <c r="J2466" s="33" t="n">
        <f aca="false">IF(F2466="","",F2466-C2466)</f>
        <v>3.125</v>
      </c>
      <c r="K2466" s="33" t="n">
        <f aca="false">IF(G2466="","",G2466-C2466)</f>
        <v>3.09420080853464</v>
      </c>
      <c r="L2466" s="33" t="n">
        <f aca="false">IF(H2466="","",ABS(H2466))</f>
        <v>1</v>
      </c>
      <c r="M2466" s="33" t="n">
        <f aca="false">IF(I2466="","",ABS(I2466))</f>
        <v>3.25</v>
      </c>
      <c r="N2466" s="33" t="n">
        <f aca="false">IF(J2466="","",ABS(J2466))</f>
        <v>3.125</v>
      </c>
      <c r="O2466" s="33" t="n">
        <f aca="false">IF(K2466="","",ABS(K2466))</f>
        <v>3.09420080853464</v>
      </c>
      <c r="P2466" s="34" t="str">
        <f aca="false">IF(B2466&gt;=Eval_Start_Week,"YES","")</f>
        <v>YES</v>
      </c>
      <c r="Q2466" s="34" t="str">
        <f aca="false">IF(AND(B2466&gt;=Cal_Start_Week,B2466&lt;=Cal_End_Week),"YES","")</f>
        <v>YES</v>
      </c>
    </row>
    <row r="2467" customFormat="false" ht="15" hidden="false" customHeight="false" outlineLevel="0" collapsed="false">
      <c r="A2467" s="31" t="str">
        <f aca="false">Demand_History!C2467</f>
        <v>BED-004</v>
      </c>
      <c r="B2467" s="31" t="n">
        <f aca="false">Demand_History!A2467</f>
        <v>74</v>
      </c>
      <c r="C2467" s="32" t="n">
        <f aca="false">Demand_History!D2467</f>
        <v>58</v>
      </c>
      <c r="D2467" s="33" t="n">
        <f aca="false">IF(B2467&gt;=2,C2466,"")</f>
        <v>59</v>
      </c>
      <c r="E2467" s="33" t="n">
        <f aca="false">IF(B2467&gt;=5,AVERAGE(C2463:C2466),"")</f>
        <v>61.75</v>
      </c>
      <c r="F2467" s="33" t="n">
        <f aca="false">IF(B2467&gt;=9,AVERAGE(C2459:C2466),"")</f>
        <v>62.5</v>
      </c>
      <c r="G2467" s="33" t="n">
        <f aca="false">IF(B2467=1,"",IF(B2467=2,C2466,SES_Alpha*C2466+(1-SES_Alpha)*G2466))</f>
        <v>61.1659405659743</v>
      </c>
      <c r="H2467" s="33" t="n">
        <f aca="false">IF(D2467="","",D2467-C2467)</f>
        <v>1</v>
      </c>
      <c r="I2467" s="33" t="n">
        <f aca="false">IF(E2467="","",E2467-C2467)</f>
        <v>3.75</v>
      </c>
      <c r="J2467" s="33" t="n">
        <f aca="false">IF(F2467="","",F2467-C2467)</f>
        <v>4.5</v>
      </c>
      <c r="K2467" s="33" t="n">
        <f aca="false">IF(G2467="","",G2467-C2467)</f>
        <v>3.16594056597425</v>
      </c>
      <c r="L2467" s="33" t="n">
        <f aca="false">IF(H2467="","",ABS(H2467))</f>
        <v>1</v>
      </c>
      <c r="M2467" s="33" t="n">
        <f aca="false">IF(I2467="","",ABS(I2467))</f>
        <v>3.75</v>
      </c>
      <c r="N2467" s="33" t="n">
        <f aca="false">IF(J2467="","",ABS(J2467))</f>
        <v>4.5</v>
      </c>
      <c r="O2467" s="33" t="n">
        <f aca="false">IF(K2467="","",ABS(K2467))</f>
        <v>3.16594056597425</v>
      </c>
      <c r="P2467" s="34" t="str">
        <f aca="false">IF(B2467&gt;=Eval_Start_Week,"YES","")</f>
        <v>YES</v>
      </c>
      <c r="Q2467" s="34" t="str">
        <f aca="false">IF(AND(B2467&gt;=Cal_Start_Week,B2467&lt;=Cal_End_Week),"YES","")</f>
        <v>YES</v>
      </c>
    </row>
    <row r="2468" customFormat="false" ht="15" hidden="false" customHeight="false" outlineLevel="0" collapsed="false">
      <c r="A2468" s="31" t="str">
        <f aca="false">Demand_History!C2468</f>
        <v>BED-004</v>
      </c>
      <c r="B2468" s="31" t="n">
        <f aca="false">Demand_History!A2468</f>
        <v>75</v>
      </c>
      <c r="C2468" s="32" t="n">
        <f aca="false">Demand_History!D2468</f>
        <v>70</v>
      </c>
      <c r="D2468" s="33" t="n">
        <f aca="false">IF(B2468&gt;=2,C2467,"")</f>
        <v>58</v>
      </c>
      <c r="E2468" s="33" t="n">
        <f aca="false">IF(B2468&gt;=5,AVERAGE(C2464:C2467),"")</f>
        <v>61.75</v>
      </c>
      <c r="F2468" s="33" t="n">
        <f aca="false">IF(B2468&gt;=9,AVERAGE(C2460:C2467),"")</f>
        <v>62.125</v>
      </c>
      <c r="G2468" s="33" t="n">
        <f aca="false">IF(B2468=1,"",IF(B2468=2,C2467,SES_Alpha*C2467+(1-SES_Alpha)*G2467))</f>
        <v>60.216158396182</v>
      </c>
      <c r="H2468" s="33" t="n">
        <f aca="false">IF(D2468="","",D2468-C2468)</f>
        <v>-12</v>
      </c>
      <c r="I2468" s="33" t="n">
        <f aca="false">IF(E2468="","",E2468-C2468)</f>
        <v>-8.25</v>
      </c>
      <c r="J2468" s="33" t="n">
        <f aca="false">IF(F2468="","",F2468-C2468)</f>
        <v>-7.875</v>
      </c>
      <c r="K2468" s="33" t="n">
        <f aca="false">IF(G2468="","",G2468-C2468)</f>
        <v>-9.78384160381803</v>
      </c>
      <c r="L2468" s="33" t="n">
        <f aca="false">IF(H2468="","",ABS(H2468))</f>
        <v>12</v>
      </c>
      <c r="M2468" s="33" t="n">
        <f aca="false">IF(I2468="","",ABS(I2468))</f>
        <v>8.25</v>
      </c>
      <c r="N2468" s="33" t="n">
        <f aca="false">IF(J2468="","",ABS(J2468))</f>
        <v>7.875</v>
      </c>
      <c r="O2468" s="33" t="n">
        <f aca="false">IF(K2468="","",ABS(K2468))</f>
        <v>9.78384160381803</v>
      </c>
      <c r="P2468" s="34" t="str">
        <f aca="false">IF(B2468&gt;=Eval_Start_Week,"YES","")</f>
        <v>YES</v>
      </c>
      <c r="Q2468" s="34" t="str">
        <f aca="false">IF(AND(B2468&gt;=Cal_Start_Week,B2468&lt;=Cal_End_Week),"YES","")</f>
        <v>YES</v>
      </c>
    </row>
    <row r="2469" customFormat="false" ht="15" hidden="false" customHeight="false" outlineLevel="0" collapsed="false">
      <c r="A2469" s="31" t="str">
        <f aca="false">Demand_History!C2469</f>
        <v>BED-004</v>
      </c>
      <c r="B2469" s="31" t="n">
        <f aca="false">Demand_History!A2469</f>
        <v>76</v>
      </c>
      <c r="C2469" s="32" t="n">
        <f aca="false">Demand_History!D2469</f>
        <v>61</v>
      </c>
      <c r="D2469" s="33" t="n">
        <f aca="false">IF(B2469&gt;=2,C2468,"")</f>
        <v>70</v>
      </c>
      <c r="E2469" s="33" t="n">
        <f aca="false">IF(B2469&gt;=5,AVERAGE(C2465:C2468),"")</f>
        <v>61.75</v>
      </c>
      <c r="F2469" s="33" t="n">
        <f aca="false">IF(B2469&gt;=9,AVERAGE(C2461:C2468),"")</f>
        <v>62</v>
      </c>
      <c r="G2469" s="33" t="n">
        <f aca="false">IF(B2469=1,"",IF(B2469=2,C2468,SES_Alpha*C2468+(1-SES_Alpha)*G2468))</f>
        <v>63.1513108773274</v>
      </c>
      <c r="H2469" s="33" t="n">
        <f aca="false">IF(D2469="","",D2469-C2469)</f>
        <v>9</v>
      </c>
      <c r="I2469" s="33" t="n">
        <f aca="false">IF(E2469="","",E2469-C2469)</f>
        <v>0.75</v>
      </c>
      <c r="J2469" s="33" t="n">
        <f aca="false">IF(F2469="","",F2469-C2469)</f>
        <v>1</v>
      </c>
      <c r="K2469" s="33" t="n">
        <f aca="false">IF(G2469="","",G2469-C2469)</f>
        <v>2.15131087732738</v>
      </c>
      <c r="L2469" s="33" t="n">
        <f aca="false">IF(H2469="","",ABS(H2469))</f>
        <v>9</v>
      </c>
      <c r="M2469" s="33" t="n">
        <f aca="false">IF(I2469="","",ABS(I2469))</f>
        <v>0.75</v>
      </c>
      <c r="N2469" s="33" t="n">
        <f aca="false">IF(J2469="","",ABS(J2469))</f>
        <v>1</v>
      </c>
      <c r="O2469" s="33" t="n">
        <f aca="false">IF(K2469="","",ABS(K2469))</f>
        <v>2.15131087732738</v>
      </c>
      <c r="P2469" s="34" t="str">
        <f aca="false">IF(B2469&gt;=Eval_Start_Week,"YES","")</f>
        <v>YES</v>
      </c>
      <c r="Q2469" s="34" t="str">
        <f aca="false">IF(AND(B2469&gt;=Cal_Start_Week,B2469&lt;=Cal_End_Week),"YES","")</f>
        <v>YES</v>
      </c>
    </row>
    <row r="2470" customFormat="false" ht="15" hidden="false" customHeight="false" outlineLevel="0" collapsed="false">
      <c r="A2470" s="31" t="str">
        <f aca="false">Demand_History!C2470</f>
        <v>BED-004</v>
      </c>
      <c r="B2470" s="31" t="n">
        <f aca="false">Demand_History!A2470</f>
        <v>77</v>
      </c>
      <c r="C2470" s="32" t="n">
        <f aca="false">Demand_History!D2470</f>
        <v>51</v>
      </c>
      <c r="D2470" s="33" t="n">
        <f aca="false">IF(B2470&gt;=2,C2469,"")</f>
        <v>61</v>
      </c>
      <c r="E2470" s="33" t="n">
        <f aca="false">IF(B2470&gt;=5,AVERAGE(C2466:C2469),"")</f>
        <v>62</v>
      </c>
      <c r="F2470" s="33" t="n">
        <f aca="false">IF(B2470&gt;=9,AVERAGE(C2462:C2469),"")</f>
        <v>62.125</v>
      </c>
      <c r="G2470" s="33" t="n">
        <f aca="false">IF(B2470=1,"",IF(B2470=2,C2469,SES_Alpha*C2469+(1-SES_Alpha)*G2469))</f>
        <v>62.5059176141292</v>
      </c>
      <c r="H2470" s="33" t="n">
        <f aca="false">IF(D2470="","",D2470-C2470)</f>
        <v>10</v>
      </c>
      <c r="I2470" s="33" t="n">
        <f aca="false">IF(E2470="","",E2470-C2470)</f>
        <v>11</v>
      </c>
      <c r="J2470" s="33" t="n">
        <f aca="false">IF(F2470="","",F2470-C2470)</f>
        <v>11.125</v>
      </c>
      <c r="K2470" s="33" t="n">
        <f aca="false">IF(G2470="","",G2470-C2470)</f>
        <v>11.5059176141292</v>
      </c>
      <c r="L2470" s="33" t="n">
        <f aca="false">IF(H2470="","",ABS(H2470))</f>
        <v>10</v>
      </c>
      <c r="M2470" s="33" t="n">
        <f aca="false">IF(I2470="","",ABS(I2470))</f>
        <v>11</v>
      </c>
      <c r="N2470" s="33" t="n">
        <f aca="false">IF(J2470="","",ABS(J2470))</f>
        <v>11.125</v>
      </c>
      <c r="O2470" s="33" t="n">
        <f aca="false">IF(K2470="","",ABS(K2470))</f>
        <v>11.5059176141292</v>
      </c>
      <c r="P2470" s="34" t="str">
        <f aca="false">IF(B2470&gt;=Eval_Start_Week,"YES","")</f>
        <v>YES</v>
      </c>
      <c r="Q2470" s="34" t="str">
        <f aca="false">IF(AND(B2470&gt;=Cal_Start_Week,B2470&lt;=Cal_End_Week),"YES","")</f>
        <v>YES</v>
      </c>
    </row>
    <row r="2471" customFormat="false" ht="15" hidden="false" customHeight="false" outlineLevel="0" collapsed="false">
      <c r="A2471" s="31" t="str">
        <f aca="false">Demand_History!C2471</f>
        <v>BED-004</v>
      </c>
      <c r="B2471" s="31" t="n">
        <f aca="false">Demand_History!A2471</f>
        <v>78</v>
      </c>
      <c r="C2471" s="32" t="n">
        <f aca="false">Demand_History!D2471</f>
        <v>72</v>
      </c>
      <c r="D2471" s="33" t="n">
        <f aca="false">IF(B2471&gt;=2,C2470,"")</f>
        <v>51</v>
      </c>
      <c r="E2471" s="33" t="n">
        <f aca="false">IF(B2471&gt;=5,AVERAGE(C2467:C2470),"")</f>
        <v>60</v>
      </c>
      <c r="F2471" s="33" t="n">
        <f aca="false">IF(B2471&gt;=9,AVERAGE(C2463:C2470),"")</f>
        <v>60.875</v>
      </c>
      <c r="G2471" s="33" t="n">
        <f aca="false">IF(B2471=1,"",IF(B2471=2,C2470,SES_Alpha*C2470+(1-SES_Alpha)*G2470))</f>
        <v>59.0541423298904</v>
      </c>
      <c r="H2471" s="33" t="n">
        <f aca="false">IF(D2471="","",D2471-C2471)</f>
        <v>-21</v>
      </c>
      <c r="I2471" s="33" t="n">
        <f aca="false">IF(E2471="","",E2471-C2471)</f>
        <v>-12</v>
      </c>
      <c r="J2471" s="33" t="n">
        <f aca="false">IF(F2471="","",F2471-C2471)</f>
        <v>-11.125</v>
      </c>
      <c r="K2471" s="33" t="n">
        <f aca="false">IF(G2471="","",G2471-C2471)</f>
        <v>-12.9458576701096</v>
      </c>
      <c r="L2471" s="33" t="n">
        <f aca="false">IF(H2471="","",ABS(H2471))</f>
        <v>21</v>
      </c>
      <c r="M2471" s="33" t="n">
        <f aca="false">IF(I2471="","",ABS(I2471))</f>
        <v>12</v>
      </c>
      <c r="N2471" s="33" t="n">
        <f aca="false">IF(J2471="","",ABS(J2471))</f>
        <v>11.125</v>
      </c>
      <c r="O2471" s="33" t="n">
        <f aca="false">IF(K2471="","",ABS(K2471))</f>
        <v>12.9458576701096</v>
      </c>
      <c r="P2471" s="34" t="str">
        <f aca="false">IF(B2471&gt;=Eval_Start_Week,"YES","")</f>
        <v>YES</v>
      </c>
      <c r="Q2471" s="34" t="str">
        <f aca="false">IF(AND(B2471&gt;=Cal_Start_Week,B2471&lt;=Cal_End_Week),"YES","")</f>
        <v>YES</v>
      </c>
    </row>
    <row r="2472" customFormat="false" ht="15" hidden="false" customHeight="false" outlineLevel="0" collapsed="false">
      <c r="A2472" s="31" t="str">
        <f aca="false">Demand_History!C2472</f>
        <v>BED-004</v>
      </c>
      <c r="B2472" s="31" t="n">
        <f aca="false">Demand_History!A2472</f>
        <v>79</v>
      </c>
      <c r="C2472" s="32" t="n">
        <f aca="false">Demand_History!D2472</f>
        <v>60</v>
      </c>
      <c r="D2472" s="33" t="n">
        <f aca="false">IF(B2472&gt;=2,C2471,"")</f>
        <v>72</v>
      </c>
      <c r="E2472" s="33" t="n">
        <f aca="false">IF(B2472&gt;=5,AVERAGE(C2468:C2471),"")</f>
        <v>63.5</v>
      </c>
      <c r="F2472" s="33" t="n">
        <f aca="false">IF(B2472&gt;=9,AVERAGE(C2464:C2471),"")</f>
        <v>62.625</v>
      </c>
      <c r="G2472" s="33" t="n">
        <f aca="false">IF(B2472=1,"",IF(B2472=2,C2471,SES_Alpha*C2471+(1-SES_Alpha)*G2471))</f>
        <v>62.9378996309233</v>
      </c>
      <c r="H2472" s="33" t="n">
        <f aca="false">IF(D2472="","",D2472-C2472)</f>
        <v>12</v>
      </c>
      <c r="I2472" s="33" t="n">
        <f aca="false">IF(E2472="","",E2472-C2472)</f>
        <v>3.5</v>
      </c>
      <c r="J2472" s="33" t="n">
        <f aca="false">IF(F2472="","",F2472-C2472)</f>
        <v>2.625</v>
      </c>
      <c r="K2472" s="33" t="n">
        <f aca="false">IF(G2472="","",G2472-C2472)</f>
        <v>2.93789963092328</v>
      </c>
      <c r="L2472" s="33" t="n">
        <f aca="false">IF(H2472="","",ABS(H2472))</f>
        <v>12</v>
      </c>
      <c r="M2472" s="33" t="n">
        <f aca="false">IF(I2472="","",ABS(I2472))</f>
        <v>3.5</v>
      </c>
      <c r="N2472" s="33" t="n">
        <f aca="false">IF(J2472="","",ABS(J2472))</f>
        <v>2.625</v>
      </c>
      <c r="O2472" s="33" t="n">
        <f aca="false">IF(K2472="","",ABS(K2472))</f>
        <v>2.93789963092328</v>
      </c>
      <c r="P2472" s="34" t="str">
        <f aca="false">IF(B2472&gt;=Eval_Start_Week,"YES","")</f>
        <v>YES</v>
      </c>
      <c r="Q2472" s="34" t="str">
        <f aca="false">IF(AND(B2472&gt;=Cal_Start_Week,B2472&lt;=Cal_End_Week),"YES","")</f>
        <v>YES</v>
      </c>
    </row>
    <row r="2473" customFormat="false" ht="15" hidden="false" customHeight="false" outlineLevel="0" collapsed="false">
      <c r="A2473" s="31" t="str">
        <f aca="false">Demand_History!C2473</f>
        <v>BED-004</v>
      </c>
      <c r="B2473" s="31" t="n">
        <f aca="false">Demand_History!A2473</f>
        <v>80</v>
      </c>
      <c r="C2473" s="32" t="n">
        <f aca="false">Demand_History!D2473</f>
        <v>71</v>
      </c>
      <c r="D2473" s="33" t="n">
        <f aca="false">IF(B2473&gt;=2,C2472,"")</f>
        <v>60</v>
      </c>
      <c r="E2473" s="33" t="n">
        <f aca="false">IF(B2473&gt;=5,AVERAGE(C2469:C2472),"")</f>
        <v>61</v>
      </c>
      <c r="F2473" s="33" t="n">
        <f aca="false">IF(B2473&gt;=9,AVERAGE(C2465:C2472),"")</f>
        <v>61.375</v>
      </c>
      <c r="G2473" s="33" t="n">
        <f aca="false">IF(B2473=1,"",IF(B2473=2,C2472,SES_Alpha*C2472+(1-SES_Alpha)*G2472))</f>
        <v>62.0565297416463</v>
      </c>
      <c r="H2473" s="33" t="n">
        <f aca="false">IF(D2473="","",D2473-C2473)</f>
        <v>-11</v>
      </c>
      <c r="I2473" s="33" t="n">
        <f aca="false">IF(E2473="","",E2473-C2473)</f>
        <v>-10</v>
      </c>
      <c r="J2473" s="33" t="n">
        <f aca="false">IF(F2473="","",F2473-C2473)</f>
        <v>-9.625</v>
      </c>
      <c r="K2473" s="33" t="n">
        <f aca="false">IF(G2473="","",G2473-C2473)</f>
        <v>-8.94347025835371</v>
      </c>
      <c r="L2473" s="33" t="n">
        <f aca="false">IF(H2473="","",ABS(H2473))</f>
        <v>11</v>
      </c>
      <c r="M2473" s="33" t="n">
        <f aca="false">IF(I2473="","",ABS(I2473))</f>
        <v>10</v>
      </c>
      <c r="N2473" s="33" t="n">
        <f aca="false">IF(J2473="","",ABS(J2473))</f>
        <v>9.625</v>
      </c>
      <c r="O2473" s="33" t="n">
        <f aca="false">IF(K2473="","",ABS(K2473))</f>
        <v>8.94347025835371</v>
      </c>
      <c r="P2473" s="34" t="str">
        <f aca="false">IF(B2473&gt;=Eval_Start_Week,"YES","")</f>
        <v>YES</v>
      </c>
      <c r="Q2473" s="34" t="str">
        <f aca="false">IF(AND(B2473&gt;=Cal_Start_Week,B2473&lt;=Cal_End_Week),"YES","")</f>
        <v>YES</v>
      </c>
    </row>
    <row r="2474" customFormat="false" ht="15" hidden="false" customHeight="false" outlineLevel="0" collapsed="false">
      <c r="A2474" s="31" t="str">
        <f aca="false">Demand_History!C2474</f>
        <v>BED-004</v>
      </c>
      <c r="B2474" s="31" t="n">
        <f aca="false">Demand_History!A2474</f>
        <v>81</v>
      </c>
      <c r="C2474" s="32" t="n">
        <f aca="false">Demand_History!D2474</f>
        <v>71</v>
      </c>
      <c r="D2474" s="33" t="n">
        <f aca="false">IF(B2474&gt;=2,C2473,"")</f>
        <v>71</v>
      </c>
      <c r="E2474" s="33" t="n">
        <f aca="false">IF(B2474&gt;=5,AVERAGE(C2470:C2473),"")</f>
        <v>63.5</v>
      </c>
      <c r="F2474" s="33" t="n">
        <f aca="false">IF(B2474&gt;=9,AVERAGE(C2466:C2473),"")</f>
        <v>62.75</v>
      </c>
      <c r="G2474" s="33" t="n">
        <f aca="false">IF(B2474=1,"",IF(B2474=2,C2473,SES_Alpha*C2473+(1-SES_Alpha)*G2473))</f>
        <v>64.7395708191524</v>
      </c>
      <c r="H2474" s="33" t="n">
        <f aca="false">IF(D2474="","",D2474-C2474)</f>
        <v>0</v>
      </c>
      <c r="I2474" s="33" t="n">
        <f aca="false">IF(E2474="","",E2474-C2474)</f>
        <v>-7.5</v>
      </c>
      <c r="J2474" s="33" t="n">
        <f aca="false">IF(F2474="","",F2474-C2474)</f>
        <v>-8.25</v>
      </c>
      <c r="K2474" s="33" t="n">
        <f aca="false">IF(G2474="","",G2474-C2474)</f>
        <v>-6.2604291808476</v>
      </c>
      <c r="L2474" s="33" t="n">
        <f aca="false">IF(H2474="","",ABS(H2474))</f>
        <v>0</v>
      </c>
      <c r="M2474" s="33" t="n">
        <f aca="false">IF(I2474="","",ABS(I2474))</f>
        <v>7.5</v>
      </c>
      <c r="N2474" s="33" t="n">
        <f aca="false">IF(J2474="","",ABS(J2474))</f>
        <v>8.25</v>
      </c>
      <c r="O2474" s="33" t="n">
        <f aca="false">IF(K2474="","",ABS(K2474))</f>
        <v>6.2604291808476</v>
      </c>
      <c r="P2474" s="34" t="str">
        <f aca="false">IF(B2474&gt;=Eval_Start_Week,"YES","")</f>
        <v>YES</v>
      </c>
      <c r="Q2474" s="34" t="str">
        <f aca="false">IF(AND(B2474&gt;=Cal_Start_Week,B2474&lt;=Cal_End_Week),"YES","")</f>
        <v>YES</v>
      </c>
    </row>
    <row r="2475" customFormat="false" ht="15" hidden="false" customHeight="false" outlineLevel="0" collapsed="false">
      <c r="A2475" s="31" t="str">
        <f aca="false">Demand_History!C2475</f>
        <v>BED-004</v>
      </c>
      <c r="B2475" s="31" t="n">
        <f aca="false">Demand_History!A2475</f>
        <v>82</v>
      </c>
      <c r="C2475" s="32" t="n">
        <f aca="false">Demand_History!D2475</f>
        <v>80</v>
      </c>
      <c r="D2475" s="33" t="n">
        <f aca="false">IF(B2475&gt;=2,C2474,"")</f>
        <v>71</v>
      </c>
      <c r="E2475" s="33" t="n">
        <f aca="false">IF(B2475&gt;=5,AVERAGE(C2471:C2474),"")</f>
        <v>68.5</v>
      </c>
      <c r="F2475" s="33" t="n">
        <f aca="false">IF(B2475&gt;=9,AVERAGE(C2467:C2474),"")</f>
        <v>64.25</v>
      </c>
      <c r="G2475" s="33" t="n">
        <f aca="false">IF(B2475=1,"",IF(B2475=2,C2474,SES_Alpha*C2474+(1-SES_Alpha)*G2474))</f>
        <v>66.6176995734067</v>
      </c>
      <c r="H2475" s="33" t="n">
        <f aca="false">IF(D2475="","",D2475-C2475)</f>
        <v>-9</v>
      </c>
      <c r="I2475" s="33" t="n">
        <f aca="false">IF(E2475="","",E2475-C2475)</f>
        <v>-11.5</v>
      </c>
      <c r="J2475" s="33" t="n">
        <f aca="false">IF(F2475="","",F2475-C2475)</f>
        <v>-15.75</v>
      </c>
      <c r="K2475" s="33" t="n">
        <f aca="false">IF(G2475="","",G2475-C2475)</f>
        <v>-13.3823004265933</v>
      </c>
      <c r="L2475" s="33" t="n">
        <f aca="false">IF(H2475="","",ABS(H2475))</f>
        <v>9</v>
      </c>
      <c r="M2475" s="33" t="n">
        <f aca="false">IF(I2475="","",ABS(I2475))</f>
        <v>11.5</v>
      </c>
      <c r="N2475" s="33" t="n">
        <f aca="false">IF(J2475="","",ABS(J2475))</f>
        <v>15.75</v>
      </c>
      <c r="O2475" s="33" t="n">
        <f aca="false">IF(K2475="","",ABS(K2475))</f>
        <v>13.3823004265933</v>
      </c>
      <c r="P2475" s="34" t="str">
        <f aca="false">IF(B2475&gt;=Eval_Start_Week,"YES","")</f>
        <v>YES</v>
      </c>
      <c r="Q2475" s="34" t="str">
        <f aca="false">IF(AND(B2475&gt;=Cal_Start_Week,B2475&lt;=Cal_End_Week),"YES","")</f>
        <v>YES</v>
      </c>
    </row>
    <row r="2476" customFormat="false" ht="15" hidden="false" customHeight="false" outlineLevel="0" collapsed="false">
      <c r="A2476" s="31" t="str">
        <f aca="false">Demand_History!C2476</f>
        <v>BED-004</v>
      </c>
      <c r="B2476" s="31" t="n">
        <f aca="false">Demand_History!A2476</f>
        <v>83</v>
      </c>
      <c r="C2476" s="32" t="n">
        <f aca="false">Demand_History!D2476</f>
        <v>79</v>
      </c>
      <c r="D2476" s="33" t="n">
        <f aca="false">IF(B2476&gt;=2,C2475,"")</f>
        <v>80</v>
      </c>
      <c r="E2476" s="33" t="n">
        <f aca="false">IF(B2476&gt;=5,AVERAGE(C2472:C2475),"")</f>
        <v>70.5</v>
      </c>
      <c r="F2476" s="33" t="n">
        <f aca="false">IF(B2476&gt;=9,AVERAGE(C2468:C2475),"")</f>
        <v>67</v>
      </c>
      <c r="G2476" s="33" t="n">
        <f aca="false">IF(B2476=1,"",IF(B2476=2,C2475,SES_Alpha*C2475+(1-SES_Alpha)*G2475))</f>
        <v>70.6323897013847</v>
      </c>
      <c r="H2476" s="33" t="n">
        <f aca="false">IF(D2476="","",D2476-C2476)</f>
        <v>1</v>
      </c>
      <c r="I2476" s="33" t="n">
        <f aca="false">IF(E2476="","",E2476-C2476)</f>
        <v>-8.5</v>
      </c>
      <c r="J2476" s="33" t="n">
        <f aca="false">IF(F2476="","",F2476-C2476)</f>
        <v>-12</v>
      </c>
      <c r="K2476" s="33" t="n">
        <f aca="false">IF(G2476="","",G2476-C2476)</f>
        <v>-8.36761029861532</v>
      </c>
      <c r="L2476" s="33" t="n">
        <f aca="false">IF(H2476="","",ABS(H2476))</f>
        <v>1</v>
      </c>
      <c r="M2476" s="33" t="n">
        <f aca="false">IF(I2476="","",ABS(I2476))</f>
        <v>8.5</v>
      </c>
      <c r="N2476" s="33" t="n">
        <f aca="false">IF(J2476="","",ABS(J2476))</f>
        <v>12</v>
      </c>
      <c r="O2476" s="33" t="n">
        <f aca="false">IF(K2476="","",ABS(K2476))</f>
        <v>8.36761029861532</v>
      </c>
      <c r="P2476" s="34" t="str">
        <f aca="false">IF(B2476&gt;=Eval_Start_Week,"YES","")</f>
        <v>YES</v>
      </c>
      <c r="Q2476" s="34" t="str">
        <f aca="false">IF(AND(B2476&gt;=Cal_Start_Week,B2476&lt;=Cal_End_Week),"YES","")</f>
        <v>YES</v>
      </c>
    </row>
    <row r="2477" customFormat="false" ht="15" hidden="false" customHeight="false" outlineLevel="0" collapsed="false">
      <c r="A2477" s="31" t="str">
        <f aca="false">Demand_History!C2477</f>
        <v>BED-004</v>
      </c>
      <c r="B2477" s="31" t="n">
        <f aca="false">Demand_History!A2477</f>
        <v>84</v>
      </c>
      <c r="C2477" s="32" t="n">
        <f aca="false">Demand_History!D2477</f>
        <v>63</v>
      </c>
      <c r="D2477" s="33" t="n">
        <f aca="false">IF(B2477&gt;=2,C2476,"")</f>
        <v>79</v>
      </c>
      <c r="E2477" s="33" t="n">
        <f aca="false">IF(B2477&gt;=5,AVERAGE(C2473:C2476),"")</f>
        <v>75.25</v>
      </c>
      <c r="F2477" s="33" t="n">
        <f aca="false">IF(B2477&gt;=9,AVERAGE(C2469:C2476),"")</f>
        <v>68.125</v>
      </c>
      <c r="G2477" s="33" t="n">
        <f aca="false">IF(B2477=1,"",IF(B2477=2,C2476,SES_Alpha*C2476+(1-SES_Alpha)*G2476))</f>
        <v>73.1426727909693</v>
      </c>
      <c r="H2477" s="33" t="n">
        <f aca="false">IF(D2477="","",D2477-C2477)</f>
        <v>16</v>
      </c>
      <c r="I2477" s="33" t="n">
        <f aca="false">IF(E2477="","",E2477-C2477)</f>
        <v>12.25</v>
      </c>
      <c r="J2477" s="33" t="n">
        <f aca="false">IF(F2477="","",F2477-C2477)</f>
        <v>5.125</v>
      </c>
      <c r="K2477" s="33" t="n">
        <f aca="false">IF(G2477="","",G2477-C2477)</f>
        <v>10.1426727909693</v>
      </c>
      <c r="L2477" s="33" t="n">
        <f aca="false">IF(H2477="","",ABS(H2477))</f>
        <v>16</v>
      </c>
      <c r="M2477" s="33" t="n">
        <f aca="false">IF(I2477="","",ABS(I2477))</f>
        <v>12.25</v>
      </c>
      <c r="N2477" s="33" t="n">
        <f aca="false">IF(J2477="","",ABS(J2477))</f>
        <v>5.125</v>
      </c>
      <c r="O2477" s="33" t="n">
        <f aca="false">IF(K2477="","",ABS(K2477))</f>
        <v>10.1426727909693</v>
      </c>
      <c r="P2477" s="34" t="str">
        <f aca="false">IF(B2477&gt;=Eval_Start_Week,"YES","")</f>
        <v>YES</v>
      </c>
      <c r="Q2477" s="34" t="str">
        <f aca="false">IF(AND(B2477&gt;=Cal_Start_Week,B2477&lt;=Cal_End_Week),"YES","")</f>
        <v>YES</v>
      </c>
    </row>
    <row r="2478" customFormat="false" ht="15" hidden="false" customHeight="false" outlineLevel="0" collapsed="false">
      <c r="A2478" s="31" t="str">
        <f aca="false">Demand_History!C2478</f>
        <v>BED-004</v>
      </c>
      <c r="B2478" s="31" t="n">
        <f aca="false">Demand_History!A2478</f>
        <v>85</v>
      </c>
      <c r="C2478" s="32" t="n">
        <f aca="false">Demand_History!D2478</f>
        <v>68</v>
      </c>
      <c r="D2478" s="33" t="n">
        <f aca="false">IF(B2478&gt;=2,C2477,"")</f>
        <v>63</v>
      </c>
      <c r="E2478" s="33" t="n">
        <f aca="false">IF(B2478&gt;=5,AVERAGE(C2474:C2477),"")</f>
        <v>73.25</v>
      </c>
      <c r="F2478" s="33" t="n">
        <f aca="false">IF(B2478&gt;=9,AVERAGE(C2470:C2477),"")</f>
        <v>68.375</v>
      </c>
      <c r="G2478" s="33" t="n">
        <f aca="false">IF(B2478=1,"",IF(B2478=2,C2477,SES_Alpha*C2477+(1-SES_Alpha)*G2477))</f>
        <v>70.0998709536785</v>
      </c>
      <c r="H2478" s="33" t="n">
        <f aca="false">IF(D2478="","",D2478-C2478)</f>
        <v>-5</v>
      </c>
      <c r="I2478" s="33" t="n">
        <f aca="false">IF(E2478="","",E2478-C2478)</f>
        <v>5.25</v>
      </c>
      <c r="J2478" s="33" t="n">
        <f aca="false">IF(F2478="","",F2478-C2478)</f>
        <v>0.375</v>
      </c>
      <c r="K2478" s="33" t="n">
        <f aca="false">IF(G2478="","",G2478-C2478)</f>
        <v>2.09987095367848</v>
      </c>
      <c r="L2478" s="33" t="n">
        <f aca="false">IF(H2478="","",ABS(H2478))</f>
        <v>5</v>
      </c>
      <c r="M2478" s="33" t="n">
        <f aca="false">IF(I2478="","",ABS(I2478))</f>
        <v>5.25</v>
      </c>
      <c r="N2478" s="33" t="n">
        <f aca="false">IF(J2478="","",ABS(J2478))</f>
        <v>0.375</v>
      </c>
      <c r="O2478" s="33" t="n">
        <f aca="false">IF(K2478="","",ABS(K2478))</f>
        <v>2.09987095367848</v>
      </c>
      <c r="P2478" s="34" t="str">
        <f aca="false">IF(B2478&gt;=Eval_Start_Week,"YES","")</f>
        <v>YES</v>
      </c>
      <c r="Q2478" s="34" t="str">
        <f aca="false">IF(AND(B2478&gt;=Cal_Start_Week,B2478&lt;=Cal_End_Week),"YES","")</f>
        <v>YES</v>
      </c>
    </row>
    <row r="2479" customFormat="false" ht="15" hidden="false" customHeight="false" outlineLevel="0" collapsed="false">
      <c r="A2479" s="31" t="str">
        <f aca="false">Demand_History!C2479</f>
        <v>BED-004</v>
      </c>
      <c r="B2479" s="31" t="n">
        <f aca="false">Demand_History!A2479</f>
        <v>86</v>
      </c>
      <c r="C2479" s="32" t="n">
        <f aca="false">Demand_History!D2479</f>
        <v>57</v>
      </c>
      <c r="D2479" s="33" t="n">
        <f aca="false">IF(B2479&gt;=2,C2478,"")</f>
        <v>68</v>
      </c>
      <c r="E2479" s="33" t="n">
        <f aca="false">IF(B2479&gt;=5,AVERAGE(C2475:C2478),"")</f>
        <v>72.5</v>
      </c>
      <c r="F2479" s="33" t="n">
        <f aca="false">IF(B2479&gt;=9,AVERAGE(C2471:C2478),"")</f>
        <v>70.5</v>
      </c>
      <c r="G2479" s="33" t="n">
        <f aca="false">IF(B2479=1,"",IF(B2479=2,C2478,SES_Alpha*C2478+(1-SES_Alpha)*G2478))</f>
        <v>69.4699096675749</v>
      </c>
      <c r="H2479" s="33" t="n">
        <f aca="false">IF(D2479="","",D2479-C2479)</f>
        <v>11</v>
      </c>
      <c r="I2479" s="33" t="n">
        <f aca="false">IF(E2479="","",E2479-C2479)</f>
        <v>15.5</v>
      </c>
      <c r="J2479" s="33" t="n">
        <f aca="false">IF(F2479="","",F2479-C2479)</f>
        <v>13.5</v>
      </c>
      <c r="K2479" s="33" t="n">
        <f aca="false">IF(G2479="","",G2479-C2479)</f>
        <v>12.4699096675749</v>
      </c>
      <c r="L2479" s="33" t="n">
        <f aca="false">IF(H2479="","",ABS(H2479))</f>
        <v>11</v>
      </c>
      <c r="M2479" s="33" t="n">
        <f aca="false">IF(I2479="","",ABS(I2479))</f>
        <v>15.5</v>
      </c>
      <c r="N2479" s="33" t="n">
        <f aca="false">IF(J2479="","",ABS(J2479))</f>
        <v>13.5</v>
      </c>
      <c r="O2479" s="33" t="n">
        <f aca="false">IF(K2479="","",ABS(K2479))</f>
        <v>12.4699096675749</v>
      </c>
      <c r="P2479" s="34" t="str">
        <f aca="false">IF(B2479&gt;=Eval_Start_Week,"YES","")</f>
        <v>YES</v>
      </c>
      <c r="Q2479" s="34" t="str">
        <f aca="false">IF(AND(B2479&gt;=Cal_Start_Week,B2479&lt;=Cal_End_Week),"YES","")</f>
        <v>YES</v>
      </c>
    </row>
    <row r="2480" customFormat="false" ht="15" hidden="false" customHeight="false" outlineLevel="0" collapsed="false">
      <c r="A2480" s="31" t="str">
        <f aca="false">Demand_History!C2480</f>
        <v>BED-004</v>
      </c>
      <c r="B2480" s="31" t="n">
        <f aca="false">Demand_History!A2480</f>
        <v>87</v>
      </c>
      <c r="C2480" s="32" t="n">
        <f aca="false">Demand_History!D2480</f>
        <v>87</v>
      </c>
      <c r="D2480" s="33" t="n">
        <f aca="false">IF(B2480&gt;=2,C2479,"")</f>
        <v>57</v>
      </c>
      <c r="E2480" s="33" t="n">
        <f aca="false">IF(B2480&gt;=5,AVERAGE(C2476:C2479),"")</f>
        <v>66.75</v>
      </c>
      <c r="F2480" s="33" t="n">
        <f aca="false">IF(B2480&gt;=9,AVERAGE(C2472:C2479),"")</f>
        <v>68.625</v>
      </c>
      <c r="G2480" s="33" t="n">
        <f aca="false">IF(B2480=1,"",IF(B2480=2,C2479,SES_Alpha*C2479+(1-SES_Alpha)*G2479))</f>
        <v>65.7289367673025</v>
      </c>
      <c r="H2480" s="33" t="n">
        <f aca="false">IF(D2480="","",D2480-C2480)</f>
        <v>-30</v>
      </c>
      <c r="I2480" s="33" t="n">
        <f aca="false">IF(E2480="","",E2480-C2480)</f>
        <v>-20.25</v>
      </c>
      <c r="J2480" s="33" t="n">
        <f aca="false">IF(F2480="","",F2480-C2480)</f>
        <v>-18.375</v>
      </c>
      <c r="K2480" s="33" t="n">
        <f aca="false">IF(G2480="","",G2480-C2480)</f>
        <v>-21.2710632326975</v>
      </c>
      <c r="L2480" s="33" t="n">
        <f aca="false">IF(H2480="","",ABS(H2480))</f>
        <v>30</v>
      </c>
      <c r="M2480" s="33" t="n">
        <f aca="false">IF(I2480="","",ABS(I2480))</f>
        <v>20.25</v>
      </c>
      <c r="N2480" s="33" t="n">
        <f aca="false">IF(J2480="","",ABS(J2480))</f>
        <v>18.375</v>
      </c>
      <c r="O2480" s="33" t="n">
        <f aca="false">IF(K2480="","",ABS(K2480))</f>
        <v>21.2710632326975</v>
      </c>
      <c r="P2480" s="34" t="str">
        <f aca="false">IF(B2480&gt;=Eval_Start_Week,"YES","")</f>
        <v>YES</v>
      </c>
      <c r="Q2480" s="34" t="str">
        <f aca="false">IF(AND(B2480&gt;=Cal_Start_Week,B2480&lt;=Cal_End_Week),"YES","")</f>
        <v>YES</v>
      </c>
    </row>
    <row r="2481" customFormat="false" ht="15" hidden="false" customHeight="false" outlineLevel="0" collapsed="false">
      <c r="A2481" s="31" t="str">
        <f aca="false">Demand_History!C2481</f>
        <v>BED-004</v>
      </c>
      <c r="B2481" s="31" t="n">
        <f aca="false">Demand_History!A2481</f>
        <v>88</v>
      </c>
      <c r="C2481" s="32" t="n">
        <f aca="false">Demand_History!D2481</f>
        <v>75</v>
      </c>
      <c r="D2481" s="33" t="n">
        <f aca="false">IF(B2481&gt;=2,C2480,"")</f>
        <v>87</v>
      </c>
      <c r="E2481" s="33" t="n">
        <f aca="false">IF(B2481&gt;=5,AVERAGE(C2477:C2480),"")</f>
        <v>68.75</v>
      </c>
      <c r="F2481" s="33" t="n">
        <f aca="false">IF(B2481&gt;=9,AVERAGE(C2473:C2480),"")</f>
        <v>72</v>
      </c>
      <c r="G2481" s="33" t="n">
        <f aca="false">IF(B2481=1,"",IF(B2481=2,C2480,SES_Alpha*C2480+(1-SES_Alpha)*G2480))</f>
        <v>72.1102557371117</v>
      </c>
      <c r="H2481" s="33" t="n">
        <f aca="false">IF(D2481="","",D2481-C2481)</f>
        <v>12</v>
      </c>
      <c r="I2481" s="33" t="n">
        <f aca="false">IF(E2481="","",E2481-C2481)</f>
        <v>-6.25</v>
      </c>
      <c r="J2481" s="33" t="n">
        <f aca="false">IF(F2481="","",F2481-C2481)</f>
        <v>-3</v>
      </c>
      <c r="K2481" s="33" t="n">
        <f aca="false">IF(G2481="","",G2481-C2481)</f>
        <v>-2.88974426288829</v>
      </c>
      <c r="L2481" s="33" t="n">
        <f aca="false">IF(H2481="","",ABS(H2481))</f>
        <v>12</v>
      </c>
      <c r="M2481" s="33" t="n">
        <f aca="false">IF(I2481="","",ABS(I2481))</f>
        <v>6.25</v>
      </c>
      <c r="N2481" s="33" t="n">
        <f aca="false">IF(J2481="","",ABS(J2481))</f>
        <v>3</v>
      </c>
      <c r="O2481" s="33" t="n">
        <f aca="false">IF(K2481="","",ABS(K2481))</f>
        <v>2.88974426288829</v>
      </c>
      <c r="P2481" s="34" t="str">
        <f aca="false">IF(B2481&gt;=Eval_Start_Week,"YES","")</f>
        <v>YES</v>
      </c>
      <c r="Q2481" s="34" t="str">
        <f aca="false">IF(AND(B2481&gt;=Cal_Start_Week,B2481&lt;=Cal_End_Week),"YES","")</f>
        <v>YES</v>
      </c>
    </row>
    <row r="2482" customFormat="false" ht="15" hidden="false" customHeight="false" outlineLevel="0" collapsed="false">
      <c r="A2482" s="31" t="str">
        <f aca="false">Demand_History!C2482</f>
        <v>BED-004</v>
      </c>
      <c r="B2482" s="31" t="n">
        <f aca="false">Demand_History!A2482</f>
        <v>89</v>
      </c>
      <c r="C2482" s="32" t="n">
        <f aca="false">Demand_History!D2482</f>
        <v>85</v>
      </c>
      <c r="D2482" s="33" t="n">
        <f aca="false">IF(B2482&gt;=2,C2481,"")</f>
        <v>75</v>
      </c>
      <c r="E2482" s="33" t="n">
        <f aca="false">IF(B2482&gt;=5,AVERAGE(C2478:C2481),"")</f>
        <v>71.75</v>
      </c>
      <c r="F2482" s="33" t="n">
        <f aca="false">IF(B2482&gt;=9,AVERAGE(C2474:C2481),"")</f>
        <v>72.5</v>
      </c>
      <c r="G2482" s="33" t="n">
        <f aca="false">IF(B2482=1,"",IF(B2482=2,C2481,SES_Alpha*C2481+(1-SES_Alpha)*G2481))</f>
        <v>72.9771790159782</v>
      </c>
      <c r="H2482" s="33" t="n">
        <f aca="false">IF(D2482="","",D2482-C2482)</f>
        <v>-10</v>
      </c>
      <c r="I2482" s="33" t="n">
        <f aca="false">IF(E2482="","",E2482-C2482)</f>
        <v>-13.25</v>
      </c>
      <c r="J2482" s="33" t="n">
        <f aca="false">IF(F2482="","",F2482-C2482)</f>
        <v>-12.5</v>
      </c>
      <c r="K2482" s="33" t="n">
        <f aca="false">IF(G2482="","",G2482-C2482)</f>
        <v>-12.0228209840218</v>
      </c>
      <c r="L2482" s="33" t="n">
        <f aca="false">IF(H2482="","",ABS(H2482))</f>
        <v>10</v>
      </c>
      <c r="M2482" s="33" t="n">
        <f aca="false">IF(I2482="","",ABS(I2482))</f>
        <v>13.25</v>
      </c>
      <c r="N2482" s="33" t="n">
        <f aca="false">IF(J2482="","",ABS(J2482))</f>
        <v>12.5</v>
      </c>
      <c r="O2482" s="33" t="n">
        <f aca="false">IF(K2482="","",ABS(K2482))</f>
        <v>12.0228209840218</v>
      </c>
      <c r="P2482" s="34" t="str">
        <f aca="false">IF(B2482&gt;=Eval_Start_Week,"YES","")</f>
        <v>YES</v>
      </c>
      <c r="Q2482" s="34" t="str">
        <f aca="false">IF(AND(B2482&gt;=Cal_Start_Week,B2482&lt;=Cal_End_Week),"YES","")</f>
        <v/>
      </c>
    </row>
    <row r="2483" customFormat="false" ht="15" hidden="false" customHeight="false" outlineLevel="0" collapsed="false">
      <c r="A2483" s="31" t="str">
        <f aca="false">Demand_History!C2483</f>
        <v>BED-004</v>
      </c>
      <c r="B2483" s="31" t="n">
        <f aca="false">Demand_History!A2483</f>
        <v>90</v>
      </c>
      <c r="C2483" s="32" t="n">
        <f aca="false">Demand_History!D2483</f>
        <v>68</v>
      </c>
      <c r="D2483" s="33" t="n">
        <f aca="false">IF(B2483&gt;=2,C2482,"")</f>
        <v>85</v>
      </c>
      <c r="E2483" s="33" t="n">
        <f aca="false">IF(B2483&gt;=5,AVERAGE(C2479:C2482),"")</f>
        <v>76</v>
      </c>
      <c r="F2483" s="33" t="n">
        <f aca="false">IF(B2483&gt;=9,AVERAGE(C2475:C2482),"")</f>
        <v>74.25</v>
      </c>
      <c r="G2483" s="33" t="n">
        <f aca="false">IF(B2483=1,"",IF(B2483=2,C2482,SES_Alpha*C2482+(1-SES_Alpha)*G2482))</f>
        <v>76.5840253111847</v>
      </c>
      <c r="H2483" s="33" t="n">
        <f aca="false">IF(D2483="","",D2483-C2483)</f>
        <v>17</v>
      </c>
      <c r="I2483" s="33" t="n">
        <f aca="false">IF(E2483="","",E2483-C2483)</f>
        <v>8</v>
      </c>
      <c r="J2483" s="33" t="n">
        <f aca="false">IF(F2483="","",F2483-C2483)</f>
        <v>6.25</v>
      </c>
      <c r="K2483" s="33" t="n">
        <f aca="false">IF(G2483="","",G2483-C2483)</f>
        <v>8.58402531118473</v>
      </c>
      <c r="L2483" s="33" t="n">
        <f aca="false">IF(H2483="","",ABS(H2483))</f>
        <v>17</v>
      </c>
      <c r="M2483" s="33" t="n">
        <f aca="false">IF(I2483="","",ABS(I2483))</f>
        <v>8</v>
      </c>
      <c r="N2483" s="33" t="n">
        <f aca="false">IF(J2483="","",ABS(J2483))</f>
        <v>6.25</v>
      </c>
      <c r="O2483" s="33" t="n">
        <f aca="false">IF(K2483="","",ABS(K2483))</f>
        <v>8.58402531118473</v>
      </c>
      <c r="P2483" s="34" t="str">
        <f aca="false">IF(B2483&gt;=Eval_Start_Week,"YES","")</f>
        <v>YES</v>
      </c>
      <c r="Q2483" s="34" t="str">
        <f aca="false">IF(AND(B2483&gt;=Cal_Start_Week,B2483&lt;=Cal_End_Week),"YES","")</f>
        <v/>
      </c>
    </row>
    <row r="2484" customFormat="false" ht="15" hidden="false" customHeight="false" outlineLevel="0" collapsed="false">
      <c r="A2484" s="31" t="str">
        <f aca="false">Demand_History!C2484</f>
        <v>BED-004</v>
      </c>
      <c r="B2484" s="31" t="n">
        <f aca="false">Demand_History!A2484</f>
        <v>91</v>
      </c>
      <c r="C2484" s="32" t="n">
        <f aca="false">Demand_History!D2484</f>
        <v>51</v>
      </c>
      <c r="D2484" s="33" t="n">
        <f aca="false">IF(B2484&gt;=2,C2483,"")</f>
        <v>68</v>
      </c>
      <c r="E2484" s="33" t="n">
        <f aca="false">IF(B2484&gt;=5,AVERAGE(C2480:C2483),"")</f>
        <v>78.75</v>
      </c>
      <c r="F2484" s="33" t="n">
        <f aca="false">IF(B2484&gt;=9,AVERAGE(C2476:C2483),"")</f>
        <v>72.75</v>
      </c>
      <c r="G2484" s="33" t="n">
        <f aca="false">IF(B2484=1,"",IF(B2484=2,C2483,SES_Alpha*C2483+(1-SES_Alpha)*G2483))</f>
        <v>74.0088177178293</v>
      </c>
      <c r="H2484" s="33" t="n">
        <f aca="false">IF(D2484="","",D2484-C2484)</f>
        <v>17</v>
      </c>
      <c r="I2484" s="33" t="n">
        <f aca="false">IF(E2484="","",E2484-C2484)</f>
        <v>27.75</v>
      </c>
      <c r="J2484" s="33" t="n">
        <f aca="false">IF(F2484="","",F2484-C2484)</f>
        <v>21.75</v>
      </c>
      <c r="K2484" s="33" t="n">
        <f aca="false">IF(G2484="","",G2484-C2484)</f>
        <v>23.0088177178293</v>
      </c>
      <c r="L2484" s="33" t="n">
        <f aca="false">IF(H2484="","",ABS(H2484))</f>
        <v>17</v>
      </c>
      <c r="M2484" s="33" t="n">
        <f aca="false">IF(I2484="","",ABS(I2484))</f>
        <v>27.75</v>
      </c>
      <c r="N2484" s="33" t="n">
        <f aca="false">IF(J2484="","",ABS(J2484))</f>
        <v>21.75</v>
      </c>
      <c r="O2484" s="33" t="n">
        <f aca="false">IF(K2484="","",ABS(K2484))</f>
        <v>23.0088177178293</v>
      </c>
      <c r="P2484" s="34" t="str">
        <f aca="false">IF(B2484&gt;=Eval_Start_Week,"YES","")</f>
        <v>YES</v>
      </c>
      <c r="Q2484" s="34" t="str">
        <f aca="false">IF(AND(B2484&gt;=Cal_Start_Week,B2484&lt;=Cal_End_Week),"YES","")</f>
        <v/>
      </c>
    </row>
    <row r="2485" customFormat="false" ht="15" hidden="false" customHeight="false" outlineLevel="0" collapsed="false">
      <c r="A2485" s="31" t="str">
        <f aca="false">Demand_History!C2485</f>
        <v>BED-004</v>
      </c>
      <c r="B2485" s="31" t="n">
        <f aca="false">Demand_History!A2485</f>
        <v>92</v>
      </c>
      <c r="C2485" s="32" t="n">
        <f aca="false">Demand_History!D2485</f>
        <v>88</v>
      </c>
      <c r="D2485" s="33" t="n">
        <f aca="false">IF(B2485&gt;=2,C2484,"")</f>
        <v>51</v>
      </c>
      <c r="E2485" s="33" t="n">
        <f aca="false">IF(B2485&gt;=5,AVERAGE(C2481:C2484),"")</f>
        <v>69.75</v>
      </c>
      <c r="F2485" s="33" t="n">
        <f aca="false">IF(B2485&gt;=9,AVERAGE(C2477:C2484),"")</f>
        <v>69.25</v>
      </c>
      <c r="G2485" s="33" t="n">
        <f aca="false">IF(B2485=1,"",IF(B2485=2,C2484,SES_Alpha*C2484+(1-SES_Alpha)*G2484))</f>
        <v>67.1061724024805</v>
      </c>
      <c r="H2485" s="33" t="n">
        <f aca="false">IF(D2485="","",D2485-C2485)</f>
        <v>-37</v>
      </c>
      <c r="I2485" s="33" t="n">
        <f aca="false">IF(E2485="","",E2485-C2485)</f>
        <v>-18.25</v>
      </c>
      <c r="J2485" s="33" t="n">
        <f aca="false">IF(F2485="","",F2485-C2485)</f>
        <v>-18.75</v>
      </c>
      <c r="K2485" s="33" t="n">
        <f aca="false">IF(G2485="","",G2485-C2485)</f>
        <v>-20.8938275975195</v>
      </c>
      <c r="L2485" s="33" t="n">
        <f aca="false">IF(H2485="","",ABS(H2485))</f>
        <v>37</v>
      </c>
      <c r="M2485" s="33" t="n">
        <f aca="false">IF(I2485="","",ABS(I2485))</f>
        <v>18.25</v>
      </c>
      <c r="N2485" s="33" t="n">
        <f aca="false">IF(J2485="","",ABS(J2485))</f>
        <v>18.75</v>
      </c>
      <c r="O2485" s="33" t="n">
        <f aca="false">IF(K2485="","",ABS(K2485))</f>
        <v>20.8938275975195</v>
      </c>
      <c r="P2485" s="34" t="str">
        <f aca="false">IF(B2485&gt;=Eval_Start_Week,"YES","")</f>
        <v>YES</v>
      </c>
      <c r="Q2485" s="34" t="str">
        <f aca="false">IF(AND(B2485&gt;=Cal_Start_Week,B2485&lt;=Cal_End_Week),"YES","")</f>
        <v/>
      </c>
    </row>
    <row r="2486" customFormat="false" ht="15" hidden="false" customHeight="false" outlineLevel="0" collapsed="false">
      <c r="A2486" s="31" t="str">
        <f aca="false">Demand_History!C2486</f>
        <v>BED-004</v>
      </c>
      <c r="B2486" s="31" t="n">
        <f aca="false">Demand_History!A2486</f>
        <v>93</v>
      </c>
      <c r="C2486" s="32" t="n">
        <f aca="false">Demand_History!D2486</f>
        <v>74</v>
      </c>
      <c r="D2486" s="33" t="n">
        <f aca="false">IF(B2486&gt;=2,C2485,"")</f>
        <v>88</v>
      </c>
      <c r="E2486" s="33" t="n">
        <f aca="false">IF(B2486&gt;=5,AVERAGE(C2482:C2485),"")</f>
        <v>73</v>
      </c>
      <c r="F2486" s="33" t="n">
        <f aca="false">IF(B2486&gt;=9,AVERAGE(C2478:C2485),"")</f>
        <v>72.375</v>
      </c>
      <c r="G2486" s="33" t="n">
        <f aca="false">IF(B2486=1,"",IF(B2486=2,C2485,SES_Alpha*C2485+(1-SES_Alpha)*G2485))</f>
        <v>73.3743206817364</v>
      </c>
      <c r="H2486" s="33" t="n">
        <f aca="false">IF(D2486="","",D2486-C2486)</f>
        <v>14</v>
      </c>
      <c r="I2486" s="33" t="n">
        <f aca="false">IF(E2486="","",E2486-C2486)</f>
        <v>-1</v>
      </c>
      <c r="J2486" s="33" t="n">
        <f aca="false">IF(F2486="","",F2486-C2486)</f>
        <v>-1.625</v>
      </c>
      <c r="K2486" s="33" t="n">
        <f aca="false">IF(G2486="","",G2486-C2486)</f>
        <v>-0.625679318263636</v>
      </c>
      <c r="L2486" s="33" t="n">
        <f aca="false">IF(H2486="","",ABS(H2486))</f>
        <v>14</v>
      </c>
      <c r="M2486" s="33" t="n">
        <f aca="false">IF(I2486="","",ABS(I2486))</f>
        <v>1</v>
      </c>
      <c r="N2486" s="33" t="n">
        <f aca="false">IF(J2486="","",ABS(J2486))</f>
        <v>1.625</v>
      </c>
      <c r="O2486" s="33" t="n">
        <f aca="false">IF(K2486="","",ABS(K2486))</f>
        <v>0.625679318263636</v>
      </c>
      <c r="P2486" s="34" t="str">
        <f aca="false">IF(B2486&gt;=Eval_Start_Week,"YES","")</f>
        <v>YES</v>
      </c>
      <c r="Q2486" s="34" t="str">
        <f aca="false">IF(AND(B2486&gt;=Cal_Start_Week,B2486&lt;=Cal_End_Week),"YES","")</f>
        <v/>
      </c>
    </row>
    <row r="2487" customFormat="false" ht="15" hidden="false" customHeight="false" outlineLevel="0" collapsed="false">
      <c r="A2487" s="31" t="str">
        <f aca="false">Demand_History!C2487</f>
        <v>BED-004</v>
      </c>
      <c r="B2487" s="31" t="n">
        <f aca="false">Demand_History!A2487</f>
        <v>94</v>
      </c>
      <c r="C2487" s="32" t="n">
        <f aca="false">Demand_History!D2487</f>
        <v>74</v>
      </c>
      <c r="D2487" s="33" t="n">
        <f aca="false">IF(B2487&gt;=2,C2486,"")</f>
        <v>74</v>
      </c>
      <c r="E2487" s="33" t="n">
        <f aca="false">IF(B2487&gt;=5,AVERAGE(C2483:C2486),"")</f>
        <v>70.25</v>
      </c>
      <c r="F2487" s="33" t="n">
        <f aca="false">IF(B2487&gt;=9,AVERAGE(C2479:C2486),"")</f>
        <v>73.125</v>
      </c>
      <c r="G2487" s="33" t="n">
        <f aca="false">IF(B2487=1,"",IF(B2487=2,C2486,SES_Alpha*C2486+(1-SES_Alpha)*G2486))</f>
        <v>73.5620244772155</v>
      </c>
      <c r="H2487" s="33" t="n">
        <f aca="false">IF(D2487="","",D2487-C2487)</f>
        <v>0</v>
      </c>
      <c r="I2487" s="33" t="n">
        <f aca="false">IF(E2487="","",E2487-C2487)</f>
        <v>-3.75</v>
      </c>
      <c r="J2487" s="33" t="n">
        <f aca="false">IF(F2487="","",F2487-C2487)</f>
        <v>-0.875</v>
      </c>
      <c r="K2487" s="33" t="n">
        <f aca="false">IF(G2487="","",G2487-C2487)</f>
        <v>-0.437975522784555</v>
      </c>
      <c r="L2487" s="33" t="n">
        <f aca="false">IF(H2487="","",ABS(H2487))</f>
        <v>0</v>
      </c>
      <c r="M2487" s="33" t="n">
        <f aca="false">IF(I2487="","",ABS(I2487))</f>
        <v>3.75</v>
      </c>
      <c r="N2487" s="33" t="n">
        <f aca="false">IF(J2487="","",ABS(J2487))</f>
        <v>0.875</v>
      </c>
      <c r="O2487" s="33" t="n">
        <f aca="false">IF(K2487="","",ABS(K2487))</f>
        <v>0.437975522784555</v>
      </c>
      <c r="P2487" s="34" t="str">
        <f aca="false">IF(B2487&gt;=Eval_Start_Week,"YES","")</f>
        <v>YES</v>
      </c>
      <c r="Q2487" s="34" t="str">
        <f aca="false">IF(AND(B2487&gt;=Cal_Start_Week,B2487&lt;=Cal_End_Week),"YES","")</f>
        <v/>
      </c>
    </row>
    <row r="2488" customFormat="false" ht="15" hidden="false" customHeight="false" outlineLevel="0" collapsed="false">
      <c r="A2488" s="31" t="str">
        <f aca="false">Demand_History!C2488</f>
        <v>BED-004</v>
      </c>
      <c r="B2488" s="31" t="n">
        <f aca="false">Demand_History!A2488</f>
        <v>95</v>
      </c>
      <c r="C2488" s="32" t="n">
        <f aca="false">Demand_History!D2488</f>
        <v>74</v>
      </c>
      <c r="D2488" s="33" t="n">
        <f aca="false">IF(B2488&gt;=2,C2487,"")</f>
        <v>74</v>
      </c>
      <c r="E2488" s="33" t="n">
        <f aca="false">IF(B2488&gt;=5,AVERAGE(C2484:C2487),"")</f>
        <v>71.75</v>
      </c>
      <c r="F2488" s="33" t="n">
        <f aca="false">IF(B2488&gt;=9,AVERAGE(C2480:C2487),"")</f>
        <v>75.25</v>
      </c>
      <c r="G2488" s="33" t="n">
        <f aca="false">IF(B2488=1,"",IF(B2488=2,C2487,SES_Alpha*C2487+(1-SES_Alpha)*G2487))</f>
        <v>73.6934171340508</v>
      </c>
      <c r="H2488" s="33" t="n">
        <f aca="false">IF(D2488="","",D2488-C2488)</f>
        <v>0</v>
      </c>
      <c r="I2488" s="33" t="n">
        <f aca="false">IF(E2488="","",E2488-C2488)</f>
        <v>-2.25</v>
      </c>
      <c r="J2488" s="33" t="n">
        <f aca="false">IF(F2488="","",F2488-C2488)</f>
        <v>1.25</v>
      </c>
      <c r="K2488" s="33" t="n">
        <f aca="false">IF(G2488="","",G2488-C2488)</f>
        <v>-0.306582865949196</v>
      </c>
      <c r="L2488" s="33" t="n">
        <f aca="false">IF(H2488="","",ABS(H2488))</f>
        <v>0</v>
      </c>
      <c r="M2488" s="33" t="n">
        <f aca="false">IF(I2488="","",ABS(I2488))</f>
        <v>2.25</v>
      </c>
      <c r="N2488" s="33" t="n">
        <f aca="false">IF(J2488="","",ABS(J2488))</f>
        <v>1.25</v>
      </c>
      <c r="O2488" s="33" t="n">
        <f aca="false">IF(K2488="","",ABS(K2488))</f>
        <v>0.306582865949196</v>
      </c>
      <c r="P2488" s="34" t="str">
        <f aca="false">IF(B2488&gt;=Eval_Start_Week,"YES","")</f>
        <v>YES</v>
      </c>
      <c r="Q2488" s="34" t="str">
        <f aca="false">IF(AND(B2488&gt;=Cal_Start_Week,B2488&lt;=Cal_End_Week),"YES","")</f>
        <v/>
      </c>
    </row>
    <row r="2489" customFormat="false" ht="15" hidden="false" customHeight="false" outlineLevel="0" collapsed="false">
      <c r="A2489" s="31" t="str">
        <f aca="false">Demand_History!C2489</f>
        <v>BED-004</v>
      </c>
      <c r="B2489" s="31" t="n">
        <f aca="false">Demand_History!A2489</f>
        <v>96</v>
      </c>
      <c r="C2489" s="32" t="n">
        <f aca="false">Demand_History!D2489</f>
        <v>80</v>
      </c>
      <c r="D2489" s="33" t="n">
        <f aca="false">IF(B2489&gt;=2,C2488,"")</f>
        <v>74</v>
      </c>
      <c r="E2489" s="33" t="n">
        <f aca="false">IF(B2489&gt;=5,AVERAGE(C2485:C2488),"")</f>
        <v>77.5</v>
      </c>
      <c r="F2489" s="33" t="n">
        <f aca="false">IF(B2489&gt;=9,AVERAGE(C2481:C2488),"")</f>
        <v>73.625</v>
      </c>
      <c r="G2489" s="33" t="n">
        <f aca="false">IF(B2489=1,"",IF(B2489=2,C2488,SES_Alpha*C2488+(1-SES_Alpha)*G2488))</f>
        <v>73.7853919938356</v>
      </c>
      <c r="H2489" s="33" t="n">
        <f aca="false">IF(D2489="","",D2489-C2489)</f>
        <v>-6</v>
      </c>
      <c r="I2489" s="33" t="n">
        <f aca="false">IF(E2489="","",E2489-C2489)</f>
        <v>-2.5</v>
      </c>
      <c r="J2489" s="33" t="n">
        <f aca="false">IF(F2489="","",F2489-C2489)</f>
        <v>-6.375</v>
      </c>
      <c r="K2489" s="33" t="n">
        <f aca="false">IF(G2489="","",G2489-C2489)</f>
        <v>-6.21460800616444</v>
      </c>
      <c r="L2489" s="33" t="n">
        <f aca="false">IF(H2489="","",ABS(H2489))</f>
        <v>6</v>
      </c>
      <c r="M2489" s="33" t="n">
        <f aca="false">IF(I2489="","",ABS(I2489))</f>
        <v>2.5</v>
      </c>
      <c r="N2489" s="33" t="n">
        <f aca="false">IF(J2489="","",ABS(J2489))</f>
        <v>6.375</v>
      </c>
      <c r="O2489" s="33" t="n">
        <f aca="false">IF(K2489="","",ABS(K2489))</f>
        <v>6.21460800616444</v>
      </c>
      <c r="P2489" s="34" t="str">
        <f aca="false">IF(B2489&gt;=Eval_Start_Week,"YES","")</f>
        <v>YES</v>
      </c>
      <c r="Q2489" s="34" t="str">
        <f aca="false">IF(AND(B2489&gt;=Cal_Start_Week,B2489&lt;=Cal_End_Week),"YES","")</f>
        <v/>
      </c>
    </row>
    <row r="2490" customFormat="false" ht="15" hidden="false" customHeight="false" outlineLevel="0" collapsed="false">
      <c r="A2490" s="31" t="str">
        <f aca="false">Demand_History!C2490</f>
        <v>BED-004</v>
      </c>
      <c r="B2490" s="31" t="n">
        <f aca="false">Demand_History!A2490</f>
        <v>97</v>
      </c>
      <c r="C2490" s="32" t="n">
        <f aca="false">Demand_History!D2490</f>
        <v>80</v>
      </c>
      <c r="D2490" s="33" t="n">
        <f aca="false">IF(B2490&gt;=2,C2489,"")</f>
        <v>80</v>
      </c>
      <c r="E2490" s="33" t="n">
        <f aca="false">IF(B2490&gt;=5,AVERAGE(C2486:C2489),"")</f>
        <v>75.5</v>
      </c>
      <c r="F2490" s="33" t="n">
        <f aca="false">IF(B2490&gt;=9,AVERAGE(C2482:C2489),"")</f>
        <v>74.25</v>
      </c>
      <c r="G2490" s="33" t="n">
        <f aca="false">IF(B2490=1,"",IF(B2490=2,C2489,SES_Alpha*C2489+(1-SES_Alpha)*G2489))</f>
        <v>75.6497743956849</v>
      </c>
      <c r="H2490" s="33" t="n">
        <f aca="false">IF(D2490="","",D2490-C2490)</f>
        <v>0</v>
      </c>
      <c r="I2490" s="33" t="n">
        <f aca="false">IF(E2490="","",E2490-C2490)</f>
        <v>-4.5</v>
      </c>
      <c r="J2490" s="33" t="n">
        <f aca="false">IF(F2490="","",F2490-C2490)</f>
        <v>-5.75</v>
      </c>
      <c r="K2490" s="33" t="n">
        <f aca="false">IF(G2490="","",G2490-C2490)</f>
        <v>-4.35022560431511</v>
      </c>
      <c r="L2490" s="33" t="n">
        <f aca="false">IF(H2490="","",ABS(H2490))</f>
        <v>0</v>
      </c>
      <c r="M2490" s="33" t="n">
        <f aca="false">IF(I2490="","",ABS(I2490))</f>
        <v>4.5</v>
      </c>
      <c r="N2490" s="33" t="n">
        <f aca="false">IF(J2490="","",ABS(J2490))</f>
        <v>5.75</v>
      </c>
      <c r="O2490" s="33" t="n">
        <f aca="false">IF(K2490="","",ABS(K2490))</f>
        <v>4.35022560431511</v>
      </c>
      <c r="P2490" s="34" t="str">
        <f aca="false">IF(B2490&gt;=Eval_Start_Week,"YES","")</f>
        <v>YES</v>
      </c>
      <c r="Q2490" s="34" t="str">
        <f aca="false">IF(AND(B2490&gt;=Cal_Start_Week,B2490&lt;=Cal_End_Week),"YES","")</f>
        <v/>
      </c>
    </row>
    <row r="2491" customFormat="false" ht="15" hidden="false" customHeight="false" outlineLevel="0" collapsed="false">
      <c r="A2491" s="31" t="str">
        <f aca="false">Demand_History!C2491</f>
        <v>BED-004</v>
      </c>
      <c r="B2491" s="31" t="n">
        <f aca="false">Demand_History!A2491</f>
        <v>98</v>
      </c>
      <c r="C2491" s="32" t="n">
        <f aca="false">Demand_History!D2491</f>
        <v>58</v>
      </c>
      <c r="D2491" s="33" t="n">
        <f aca="false">IF(B2491&gt;=2,C2490,"")</f>
        <v>80</v>
      </c>
      <c r="E2491" s="33" t="n">
        <f aca="false">IF(B2491&gt;=5,AVERAGE(C2487:C2490),"")</f>
        <v>77</v>
      </c>
      <c r="F2491" s="33" t="n">
        <f aca="false">IF(B2491&gt;=9,AVERAGE(C2483:C2490),"")</f>
        <v>73.625</v>
      </c>
      <c r="G2491" s="33" t="n">
        <f aca="false">IF(B2491=1,"",IF(B2491=2,C2490,SES_Alpha*C2490+(1-SES_Alpha)*G2490))</f>
        <v>76.9548420769794</v>
      </c>
      <c r="H2491" s="33" t="n">
        <f aca="false">IF(D2491="","",D2491-C2491)</f>
        <v>22</v>
      </c>
      <c r="I2491" s="33" t="n">
        <f aca="false">IF(E2491="","",E2491-C2491)</f>
        <v>19</v>
      </c>
      <c r="J2491" s="33" t="n">
        <f aca="false">IF(F2491="","",F2491-C2491)</f>
        <v>15.625</v>
      </c>
      <c r="K2491" s="33" t="n">
        <f aca="false">IF(G2491="","",G2491-C2491)</f>
        <v>18.9548420769794</v>
      </c>
      <c r="L2491" s="33" t="n">
        <f aca="false">IF(H2491="","",ABS(H2491))</f>
        <v>22</v>
      </c>
      <c r="M2491" s="33" t="n">
        <f aca="false">IF(I2491="","",ABS(I2491))</f>
        <v>19</v>
      </c>
      <c r="N2491" s="33" t="n">
        <f aca="false">IF(J2491="","",ABS(J2491))</f>
        <v>15.625</v>
      </c>
      <c r="O2491" s="33" t="n">
        <f aca="false">IF(K2491="","",ABS(K2491))</f>
        <v>18.9548420769794</v>
      </c>
      <c r="P2491" s="34" t="str">
        <f aca="false">IF(B2491&gt;=Eval_Start_Week,"YES","")</f>
        <v>YES</v>
      </c>
      <c r="Q2491" s="34" t="str">
        <f aca="false">IF(AND(B2491&gt;=Cal_Start_Week,B2491&lt;=Cal_End_Week),"YES","")</f>
        <v/>
      </c>
    </row>
    <row r="2492" customFormat="false" ht="15" hidden="false" customHeight="false" outlineLevel="0" collapsed="false">
      <c r="A2492" s="31" t="str">
        <f aca="false">Demand_History!C2492</f>
        <v>BED-004</v>
      </c>
      <c r="B2492" s="31" t="n">
        <f aca="false">Demand_History!A2492</f>
        <v>99</v>
      </c>
      <c r="C2492" s="32" t="n">
        <f aca="false">Demand_History!D2492</f>
        <v>86</v>
      </c>
      <c r="D2492" s="33" t="n">
        <f aca="false">IF(B2492&gt;=2,C2491,"")</f>
        <v>58</v>
      </c>
      <c r="E2492" s="33" t="n">
        <f aca="false">IF(B2492&gt;=5,AVERAGE(C2488:C2491),"")</f>
        <v>73</v>
      </c>
      <c r="F2492" s="33" t="n">
        <f aca="false">IF(B2492&gt;=9,AVERAGE(C2484:C2491),"")</f>
        <v>72.375</v>
      </c>
      <c r="G2492" s="33" t="n">
        <f aca="false">IF(B2492=1,"",IF(B2492=2,C2491,SES_Alpha*C2491+(1-SES_Alpha)*G2491))</f>
        <v>71.2683894538856</v>
      </c>
      <c r="H2492" s="33" t="n">
        <f aca="false">IF(D2492="","",D2492-C2492)</f>
        <v>-28</v>
      </c>
      <c r="I2492" s="33" t="n">
        <f aca="false">IF(E2492="","",E2492-C2492)</f>
        <v>-13</v>
      </c>
      <c r="J2492" s="33" t="n">
        <f aca="false">IF(F2492="","",F2492-C2492)</f>
        <v>-13.625</v>
      </c>
      <c r="K2492" s="33" t="n">
        <f aca="false">IF(G2492="","",G2492-C2492)</f>
        <v>-14.7316105461144</v>
      </c>
      <c r="L2492" s="33" t="n">
        <f aca="false">IF(H2492="","",ABS(H2492))</f>
        <v>28</v>
      </c>
      <c r="M2492" s="33" t="n">
        <f aca="false">IF(I2492="","",ABS(I2492))</f>
        <v>13</v>
      </c>
      <c r="N2492" s="33" t="n">
        <f aca="false">IF(J2492="","",ABS(J2492))</f>
        <v>13.625</v>
      </c>
      <c r="O2492" s="33" t="n">
        <f aca="false">IF(K2492="","",ABS(K2492))</f>
        <v>14.7316105461144</v>
      </c>
      <c r="P2492" s="34" t="str">
        <f aca="false">IF(B2492&gt;=Eval_Start_Week,"YES","")</f>
        <v>YES</v>
      </c>
      <c r="Q2492" s="34" t="str">
        <f aca="false">IF(AND(B2492&gt;=Cal_Start_Week,B2492&lt;=Cal_End_Week),"YES","")</f>
        <v/>
      </c>
    </row>
    <row r="2493" customFormat="false" ht="15" hidden="false" customHeight="false" outlineLevel="0" collapsed="false">
      <c r="A2493" s="31" t="str">
        <f aca="false">Demand_History!C2493</f>
        <v>BED-004</v>
      </c>
      <c r="B2493" s="31" t="n">
        <f aca="false">Demand_History!A2493</f>
        <v>100</v>
      </c>
      <c r="C2493" s="32" t="n">
        <f aca="false">Demand_History!D2493</f>
        <v>70</v>
      </c>
      <c r="D2493" s="33" t="n">
        <f aca="false">IF(B2493&gt;=2,C2492,"")</f>
        <v>86</v>
      </c>
      <c r="E2493" s="33" t="n">
        <f aca="false">IF(B2493&gt;=5,AVERAGE(C2489:C2492),"")</f>
        <v>76</v>
      </c>
      <c r="F2493" s="33" t="n">
        <f aca="false">IF(B2493&gt;=9,AVERAGE(C2485:C2492),"")</f>
        <v>76.75</v>
      </c>
      <c r="G2493" s="33" t="n">
        <f aca="false">IF(B2493=1,"",IF(B2493=2,C2492,SES_Alpha*C2492+(1-SES_Alpha)*G2492))</f>
        <v>75.6878726177199</v>
      </c>
      <c r="H2493" s="33" t="n">
        <f aca="false">IF(D2493="","",D2493-C2493)</f>
        <v>16</v>
      </c>
      <c r="I2493" s="33" t="n">
        <f aca="false">IF(E2493="","",E2493-C2493)</f>
        <v>6</v>
      </c>
      <c r="J2493" s="33" t="n">
        <f aca="false">IF(F2493="","",F2493-C2493)</f>
        <v>6.75</v>
      </c>
      <c r="K2493" s="33" t="n">
        <f aca="false">IF(G2493="","",G2493-C2493)</f>
        <v>5.6878726177199</v>
      </c>
      <c r="L2493" s="33" t="n">
        <f aca="false">IF(H2493="","",ABS(H2493))</f>
        <v>16</v>
      </c>
      <c r="M2493" s="33" t="n">
        <f aca="false">IF(I2493="","",ABS(I2493))</f>
        <v>6</v>
      </c>
      <c r="N2493" s="33" t="n">
        <f aca="false">IF(J2493="","",ABS(J2493))</f>
        <v>6.75</v>
      </c>
      <c r="O2493" s="33" t="n">
        <f aca="false">IF(K2493="","",ABS(K2493))</f>
        <v>5.6878726177199</v>
      </c>
      <c r="P2493" s="34" t="str">
        <f aca="false">IF(B2493&gt;=Eval_Start_Week,"YES","")</f>
        <v>YES</v>
      </c>
      <c r="Q2493" s="34" t="str">
        <f aca="false">IF(AND(B2493&gt;=Cal_Start_Week,B2493&lt;=Cal_End_Week),"YES","")</f>
        <v/>
      </c>
    </row>
    <row r="2494" customFormat="false" ht="15" hidden="false" customHeight="false" outlineLevel="0" collapsed="false">
      <c r="A2494" s="31" t="str">
        <f aca="false">Demand_History!C2494</f>
        <v>BED-004</v>
      </c>
      <c r="B2494" s="31" t="n">
        <f aca="false">Demand_History!A2494</f>
        <v>101</v>
      </c>
      <c r="C2494" s="32" t="n">
        <f aca="false">Demand_History!D2494</f>
        <v>71</v>
      </c>
      <c r="D2494" s="33" t="n">
        <f aca="false">IF(B2494&gt;=2,C2493,"")</f>
        <v>70</v>
      </c>
      <c r="E2494" s="33" t="n">
        <f aca="false">IF(B2494&gt;=5,AVERAGE(C2490:C2493),"")</f>
        <v>73.5</v>
      </c>
      <c r="F2494" s="33" t="n">
        <f aca="false">IF(B2494&gt;=9,AVERAGE(C2486:C2493),"")</f>
        <v>74.5</v>
      </c>
      <c r="G2494" s="33" t="n">
        <f aca="false">IF(B2494=1,"",IF(B2494=2,C2493,SES_Alpha*C2493+(1-SES_Alpha)*G2493))</f>
        <v>73.9815108324039</v>
      </c>
      <c r="H2494" s="33" t="n">
        <f aca="false">IF(D2494="","",D2494-C2494)</f>
        <v>-1</v>
      </c>
      <c r="I2494" s="33" t="n">
        <f aca="false">IF(E2494="","",E2494-C2494)</f>
        <v>2.5</v>
      </c>
      <c r="J2494" s="33" t="n">
        <f aca="false">IF(F2494="","",F2494-C2494)</f>
        <v>3.5</v>
      </c>
      <c r="K2494" s="33" t="n">
        <f aca="false">IF(G2494="","",G2494-C2494)</f>
        <v>2.98151083240393</v>
      </c>
      <c r="L2494" s="33" t="n">
        <f aca="false">IF(H2494="","",ABS(H2494))</f>
        <v>1</v>
      </c>
      <c r="M2494" s="33" t="n">
        <f aca="false">IF(I2494="","",ABS(I2494))</f>
        <v>2.5</v>
      </c>
      <c r="N2494" s="33" t="n">
        <f aca="false">IF(J2494="","",ABS(J2494))</f>
        <v>3.5</v>
      </c>
      <c r="O2494" s="33" t="n">
        <f aca="false">IF(K2494="","",ABS(K2494))</f>
        <v>2.98151083240393</v>
      </c>
      <c r="P2494" s="34" t="str">
        <f aca="false">IF(B2494&gt;=Eval_Start_Week,"YES","")</f>
        <v>YES</v>
      </c>
      <c r="Q2494" s="34" t="str">
        <f aca="false">IF(AND(B2494&gt;=Cal_Start_Week,B2494&lt;=Cal_End_Week),"YES","")</f>
        <v/>
      </c>
    </row>
    <row r="2495" customFormat="false" ht="15" hidden="false" customHeight="false" outlineLevel="0" collapsed="false">
      <c r="A2495" s="31" t="str">
        <f aca="false">Demand_History!C2495</f>
        <v>BED-004</v>
      </c>
      <c r="B2495" s="31" t="n">
        <f aca="false">Demand_History!A2495</f>
        <v>102</v>
      </c>
      <c r="C2495" s="32" t="n">
        <f aca="false">Demand_History!D2495</f>
        <v>95</v>
      </c>
      <c r="D2495" s="33" t="n">
        <f aca="false">IF(B2495&gt;=2,C2494,"")</f>
        <v>71</v>
      </c>
      <c r="E2495" s="33" t="n">
        <f aca="false">IF(B2495&gt;=5,AVERAGE(C2491:C2494),"")</f>
        <v>71.25</v>
      </c>
      <c r="F2495" s="33" t="n">
        <f aca="false">IF(B2495&gt;=9,AVERAGE(C2487:C2494),"")</f>
        <v>74.125</v>
      </c>
      <c r="G2495" s="33" t="n">
        <f aca="false">IF(B2495=1,"",IF(B2495=2,C2494,SES_Alpha*C2494+(1-SES_Alpha)*G2494))</f>
        <v>73.0870575826828</v>
      </c>
      <c r="H2495" s="33" t="n">
        <f aca="false">IF(D2495="","",D2495-C2495)</f>
        <v>-24</v>
      </c>
      <c r="I2495" s="33" t="n">
        <f aca="false">IF(E2495="","",E2495-C2495)</f>
        <v>-23.75</v>
      </c>
      <c r="J2495" s="33" t="n">
        <f aca="false">IF(F2495="","",F2495-C2495)</f>
        <v>-20.875</v>
      </c>
      <c r="K2495" s="33" t="n">
        <f aca="false">IF(G2495="","",G2495-C2495)</f>
        <v>-21.9129424173173</v>
      </c>
      <c r="L2495" s="33" t="n">
        <f aca="false">IF(H2495="","",ABS(H2495))</f>
        <v>24</v>
      </c>
      <c r="M2495" s="33" t="n">
        <f aca="false">IF(I2495="","",ABS(I2495))</f>
        <v>23.75</v>
      </c>
      <c r="N2495" s="33" t="n">
        <f aca="false">IF(J2495="","",ABS(J2495))</f>
        <v>20.875</v>
      </c>
      <c r="O2495" s="33" t="n">
        <f aca="false">IF(K2495="","",ABS(K2495))</f>
        <v>21.9129424173173</v>
      </c>
      <c r="P2495" s="34" t="str">
        <f aca="false">IF(B2495&gt;=Eval_Start_Week,"YES","")</f>
        <v>YES</v>
      </c>
      <c r="Q2495" s="34" t="str">
        <f aca="false">IF(AND(B2495&gt;=Cal_Start_Week,B2495&lt;=Cal_End_Week),"YES","")</f>
        <v/>
      </c>
    </row>
    <row r="2496" customFormat="false" ht="15" hidden="false" customHeight="false" outlineLevel="0" collapsed="false">
      <c r="A2496" s="31" t="str">
        <f aca="false">Demand_History!C2496</f>
        <v>BED-004</v>
      </c>
      <c r="B2496" s="31" t="n">
        <f aca="false">Demand_History!A2496</f>
        <v>103</v>
      </c>
      <c r="C2496" s="32" t="n">
        <f aca="false">Demand_History!D2496</f>
        <v>86</v>
      </c>
      <c r="D2496" s="33" t="n">
        <f aca="false">IF(B2496&gt;=2,C2495,"")</f>
        <v>95</v>
      </c>
      <c r="E2496" s="33" t="n">
        <f aca="false">IF(B2496&gt;=5,AVERAGE(C2492:C2495),"")</f>
        <v>80.5</v>
      </c>
      <c r="F2496" s="33" t="n">
        <f aca="false">IF(B2496&gt;=9,AVERAGE(C2488:C2495),"")</f>
        <v>76.75</v>
      </c>
      <c r="G2496" s="33" t="n">
        <f aca="false">IF(B2496=1,"",IF(B2496=2,C2495,SES_Alpha*C2495+(1-SES_Alpha)*G2495))</f>
        <v>79.6609403078779</v>
      </c>
      <c r="H2496" s="33" t="n">
        <f aca="false">IF(D2496="","",D2496-C2496)</f>
        <v>9</v>
      </c>
      <c r="I2496" s="33" t="n">
        <f aca="false">IF(E2496="","",E2496-C2496)</f>
        <v>-5.5</v>
      </c>
      <c r="J2496" s="33" t="n">
        <f aca="false">IF(F2496="","",F2496-C2496)</f>
        <v>-9.25</v>
      </c>
      <c r="K2496" s="33" t="n">
        <f aca="false">IF(G2496="","",G2496-C2496)</f>
        <v>-6.33905969212208</v>
      </c>
      <c r="L2496" s="33" t="n">
        <f aca="false">IF(H2496="","",ABS(H2496))</f>
        <v>9</v>
      </c>
      <c r="M2496" s="33" t="n">
        <f aca="false">IF(I2496="","",ABS(I2496))</f>
        <v>5.5</v>
      </c>
      <c r="N2496" s="33" t="n">
        <f aca="false">IF(J2496="","",ABS(J2496))</f>
        <v>9.25</v>
      </c>
      <c r="O2496" s="33" t="n">
        <f aca="false">IF(K2496="","",ABS(K2496))</f>
        <v>6.33905969212208</v>
      </c>
      <c r="P2496" s="34" t="str">
        <f aca="false">IF(B2496&gt;=Eval_Start_Week,"YES","")</f>
        <v>YES</v>
      </c>
      <c r="Q2496" s="34" t="str">
        <f aca="false">IF(AND(B2496&gt;=Cal_Start_Week,B2496&lt;=Cal_End_Week),"YES","")</f>
        <v/>
      </c>
    </row>
    <row r="2497" customFormat="false" ht="15" hidden="false" customHeight="false" outlineLevel="0" collapsed="false">
      <c r="A2497" s="31" t="str">
        <f aca="false">Demand_History!C2497</f>
        <v>BED-004</v>
      </c>
      <c r="B2497" s="31" t="n">
        <f aca="false">Demand_History!A2497</f>
        <v>104</v>
      </c>
      <c r="C2497" s="32" t="n">
        <f aca="false">Demand_History!D2497</f>
        <v>73</v>
      </c>
      <c r="D2497" s="33" t="n">
        <f aca="false">IF(B2497&gt;=2,C2496,"")</f>
        <v>86</v>
      </c>
      <c r="E2497" s="33" t="n">
        <f aca="false">IF(B2497&gt;=5,AVERAGE(C2493:C2496),"")</f>
        <v>80.5</v>
      </c>
      <c r="F2497" s="33" t="n">
        <f aca="false">IF(B2497&gt;=9,AVERAGE(C2489:C2496),"")</f>
        <v>78.25</v>
      </c>
      <c r="G2497" s="33" t="n">
        <f aca="false">IF(B2497=1,"",IF(B2497=2,C2496,SES_Alpha*C2496+(1-SES_Alpha)*G2496))</f>
        <v>81.5626582155146</v>
      </c>
      <c r="H2497" s="33" t="n">
        <f aca="false">IF(D2497="","",D2497-C2497)</f>
        <v>13</v>
      </c>
      <c r="I2497" s="33" t="n">
        <f aca="false">IF(E2497="","",E2497-C2497)</f>
        <v>7.5</v>
      </c>
      <c r="J2497" s="33" t="n">
        <f aca="false">IF(F2497="","",F2497-C2497)</f>
        <v>5.25</v>
      </c>
      <c r="K2497" s="33" t="n">
        <f aca="false">IF(G2497="","",G2497-C2497)</f>
        <v>8.56265821551455</v>
      </c>
      <c r="L2497" s="33" t="n">
        <f aca="false">IF(H2497="","",ABS(H2497))</f>
        <v>13</v>
      </c>
      <c r="M2497" s="33" t="n">
        <f aca="false">IF(I2497="","",ABS(I2497))</f>
        <v>7.5</v>
      </c>
      <c r="N2497" s="33" t="n">
        <f aca="false">IF(J2497="","",ABS(J2497))</f>
        <v>5.25</v>
      </c>
      <c r="O2497" s="33" t="n">
        <f aca="false">IF(K2497="","",ABS(K2497))</f>
        <v>8.56265821551455</v>
      </c>
      <c r="P2497" s="34" t="str">
        <f aca="false">IF(B2497&gt;=Eval_Start_Week,"YES","")</f>
        <v>YES</v>
      </c>
      <c r="Q2497" s="34" t="str">
        <f aca="false">IF(AND(B2497&gt;=Cal_Start_Week,B2497&lt;=Cal_End_Week),"YES","")</f>
        <v/>
      </c>
    </row>
    <row r="2498" customFormat="false" ht="15" hidden="false" customHeight="false" outlineLevel="0" collapsed="false">
      <c r="A2498" s="31" t="str">
        <f aca="false">Demand_History!C2498</f>
        <v>BED-005</v>
      </c>
      <c r="B2498" s="31" t="n">
        <f aca="false">Demand_History!A2498</f>
        <v>1</v>
      </c>
      <c r="C2498" s="32" t="n">
        <f aca="false">Demand_History!D2498</f>
        <v>18</v>
      </c>
      <c r="D2498" s="33" t="str">
        <f aca="false">IF(B2498&gt;=2,C2497,"")</f>
        <v/>
      </c>
      <c r="E2498" s="33" t="str">
        <f aca="false">IF(B2498&gt;=5,AVERAGE(C2494:C2497),"")</f>
        <v/>
      </c>
      <c r="F2498" s="33" t="str">
        <f aca="false">IF(B2498&gt;=9,AVERAGE(C2490:C2497),"")</f>
        <v/>
      </c>
      <c r="G2498" s="33" t="str">
        <f aca="false">IF(B2498=1,"",IF(B2498=2,C2497,SES_Alpha*C2497+(1-SES_Alpha)*G2497))</f>
        <v/>
      </c>
      <c r="H2498" s="33" t="str">
        <f aca="false">IF(D2498="","",D2498-C2498)</f>
        <v/>
      </c>
      <c r="I2498" s="33" t="str">
        <f aca="false">IF(E2498="","",E2498-C2498)</f>
        <v/>
      </c>
      <c r="J2498" s="33" t="str">
        <f aca="false">IF(F2498="","",F2498-C2498)</f>
        <v/>
      </c>
      <c r="K2498" s="33" t="str">
        <f aca="false">IF(G2498="","",G2498-C2498)</f>
        <v/>
      </c>
      <c r="L2498" s="33" t="str">
        <f aca="false">IF(H2498="","",ABS(H2498))</f>
        <v/>
      </c>
      <c r="M2498" s="33" t="str">
        <f aca="false">IF(I2498="","",ABS(I2498))</f>
        <v/>
      </c>
      <c r="N2498" s="33" t="str">
        <f aca="false">IF(J2498="","",ABS(J2498))</f>
        <v/>
      </c>
      <c r="O2498" s="33" t="str">
        <f aca="false">IF(K2498="","",ABS(K2498))</f>
        <v/>
      </c>
      <c r="P2498" s="34" t="str">
        <f aca="false">IF(B2498&gt;=Eval_Start_Week,"YES","")</f>
        <v/>
      </c>
      <c r="Q2498" s="34" t="str">
        <f aca="false">IF(AND(B2498&gt;=Cal_Start_Week,B2498&lt;=Cal_End_Week),"YES","")</f>
        <v/>
      </c>
    </row>
    <row r="2499" customFormat="false" ht="15" hidden="false" customHeight="false" outlineLevel="0" collapsed="false">
      <c r="A2499" s="31" t="str">
        <f aca="false">Demand_History!C2499</f>
        <v>BED-005</v>
      </c>
      <c r="B2499" s="31" t="n">
        <f aca="false">Demand_History!A2499</f>
        <v>2</v>
      </c>
      <c r="C2499" s="32" t="n">
        <f aca="false">Demand_History!D2499</f>
        <v>25</v>
      </c>
      <c r="D2499" s="33" t="n">
        <f aca="false">IF(B2499&gt;=2,C2498,"")</f>
        <v>18</v>
      </c>
      <c r="E2499" s="33" t="str">
        <f aca="false">IF(B2499&gt;=5,AVERAGE(C2495:C2498),"")</f>
        <v/>
      </c>
      <c r="F2499" s="33" t="str">
        <f aca="false">IF(B2499&gt;=9,AVERAGE(C2491:C2498),"")</f>
        <v/>
      </c>
      <c r="G2499" s="33" t="n">
        <f aca="false">IF(B2499=1,"",IF(B2499=2,C2498,SES_Alpha*C2498+(1-SES_Alpha)*G2498))</f>
        <v>18</v>
      </c>
      <c r="H2499" s="33" t="n">
        <f aca="false">IF(D2499="","",D2499-C2499)</f>
        <v>-7</v>
      </c>
      <c r="I2499" s="33" t="str">
        <f aca="false">IF(E2499="","",E2499-C2499)</f>
        <v/>
      </c>
      <c r="J2499" s="33" t="str">
        <f aca="false">IF(F2499="","",F2499-C2499)</f>
        <v/>
      </c>
      <c r="K2499" s="33" t="n">
        <f aca="false">IF(G2499="","",G2499-C2499)</f>
        <v>-7</v>
      </c>
      <c r="L2499" s="33" t="n">
        <f aca="false">IF(H2499="","",ABS(H2499))</f>
        <v>7</v>
      </c>
      <c r="M2499" s="33" t="str">
        <f aca="false">IF(I2499="","",ABS(I2499))</f>
        <v/>
      </c>
      <c r="N2499" s="33" t="str">
        <f aca="false">IF(J2499="","",ABS(J2499))</f>
        <v/>
      </c>
      <c r="O2499" s="33" t="n">
        <f aca="false">IF(K2499="","",ABS(K2499))</f>
        <v>7</v>
      </c>
      <c r="P2499" s="34" t="str">
        <f aca="false">IF(B2499&gt;=Eval_Start_Week,"YES","")</f>
        <v/>
      </c>
      <c r="Q2499" s="34" t="str">
        <f aca="false">IF(AND(B2499&gt;=Cal_Start_Week,B2499&lt;=Cal_End_Week),"YES","")</f>
        <v/>
      </c>
    </row>
    <row r="2500" customFormat="false" ht="15" hidden="false" customHeight="false" outlineLevel="0" collapsed="false">
      <c r="A2500" s="31" t="str">
        <f aca="false">Demand_History!C2500</f>
        <v>BED-005</v>
      </c>
      <c r="B2500" s="31" t="n">
        <f aca="false">Demand_History!A2500</f>
        <v>3</v>
      </c>
      <c r="C2500" s="32" t="n">
        <f aca="false">Demand_History!D2500</f>
        <v>26</v>
      </c>
      <c r="D2500" s="33" t="n">
        <f aca="false">IF(B2500&gt;=2,C2499,"")</f>
        <v>25</v>
      </c>
      <c r="E2500" s="33" t="str">
        <f aca="false">IF(B2500&gt;=5,AVERAGE(C2496:C2499),"")</f>
        <v/>
      </c>
      <c r="F2500" s="33" t="str">
        <f aca="false">IF(B2500&gt;=9,AVERAGE(C2492:C2499),"")</f>
        <v/>
      </c>
      <c r="G2500" s="33" t="n">
        <f aca="false">IF(B2500=1,"",IF(B2500=2,C2499,SES_Alpha*C2499+(1-SES_Alpha)*G2499))</f>
        <v>20.1</v>
      </c>
      <c r="H2500" s="33" t="n">
        <f aca="false">IF(D2500="","",D2500-C2500)</f>
        <v>-1</v>
      </c>
      <c r="I2500" s="33" t="str">
        <f aca="false">IF(E2500="","",E2500-C2500)</f>
        <v/>
      </c>
      <c r="J2500" s="33" t="str">
        <f aca="false">IF(F2500="","",F2500-C2500)</f>
        <v/>
      </c>
      <c r="K2500" s="33" t="n">
        <f aca="false">IF(G2500="","",G2500-C2500)</f>
        <v>-5.9</v>
      </c>
      <c r="L2500" s="33" t="n">
        <f aca="false">IF(H2500="","",ABS(H2500))</f>
        <v>1</v>
      </c>
      <c r="M2500" s="33" t="str">
        <f aca="false">IF(I2500="","",ABS(I2500))</f>
        <v/>
      </c>
      <c r="N2500" s="33" t="str">
        <f aca="false">IF(J2500="","",ABS(J2500))</f>
        <v/>
      </c>
      <c r="O2500" s="33" t="n">
        <f aca="false">IF(K2500="","",ABS(K2500))</f>
        <v>5.9</v>
      </c>
      <c r="P2500" s="34" t="str">
        <f aca="false">IF(B2500&gt;=Eval_Start_Week,"YES","")</f>
        <v/>
      </c>
      <c r="Q2500" s="34" t="str">
        <f aca="false">IF(AND(B2500&gt;=Cal_Start_Week,B2500&lt;=Cal_End_Week),"YES","")</f>
        <v/>
      </c>
    </row>
    <row r="2501" customFormat="false" ht="15" hidden="false" customHeight="false" outlineLevel="0" collapsed="false">
      <c r="A2501" s="31" t="str">
        <f aca="false">Demand_History!C2501</f>
        <v>BED-005</v>
      </c>
      <c r="B2501" s="31" t="n">
        <f aca="false">Demand_History!A2501</f>
        <v>4</v>
      </c>
      <c r="C2501" s="32" t="n">
        <f aca="false">Demand_History!D2501</f>
        <v>24</v>
      </c>
      <c r="D2501" s="33" t="n">
        <f aca="false">IF(B2501&gt;=2,C2500,"")</f>
        <v>26</v>
      </c>
      <c r="E2501" s="33" t="str">
        <f aca="false">IF(B2501&gt;=5,AVERAGE(C2497:C2500),"")</f>
        <v/>
      </c>
      <c r="F2501" s="33" t="str">
        <f aca="false">IF(B2501&gt;=9,AVERAGE(C2493:C2500),"")</f>
        <v/>
      </c>
      <c r="G2501" s="33" t="n">
        <f aca="false">IF(B2501=1,"",IF(B2501=2,C2500,SES_Alpha*C2500+(1-SES_Alpha)*G2500))</f>
        <v>21.87</v>
      </c>
      <c r="H2501" s="33" t="n">
        <f aca="false">IF(D2501="","",D2501-C2501)</f>
        <v>2</v>
      </c>
      <c r="I2501" s="33" t="str">
        <f aca="false">IF(E2501="","",E2501-C2501)</f>
        <v/>
      </c>
      <c r="J2501" s="33" t="str">
        <f aca="false">IF(F2501="","",F2501-C2501)</f>
        <v/>
      </c>
      <c r="K2501" s="33" t="n">
        <f aca="false">IF(G2501="","",G2501-C2501)</f>
        <v>-2.13</v>
      </c>
      <c r="L2501" s="33" t="n">
        <f aca="false">IF(H2501="","",ABS(H2501))</f>
        <v>2</v>
      </c>
      <c r="M2501" s="33" t="str">
        <f aca="false">IF(I2501="","",ABS(I2501))</f>
        <v/>
      </c>
      <c r="N2501" s="33" t="str">
        <f aca="false">IF(J2501="","",ABS(J2501))</f>
        <v/>
      </c>
      <c r="O2501" s="33" t="n">
        <f aca="false">IF(K2501="","",ABS(K2501))</f>
        <v>2.13</v>
      </c>
      <c r="P2501" s="34" t="str">
        <f aca="false">IF(B2501&gt;=Eval_Start_Week,"YES","")</f>
        <v/>
      </c>
      <c r="Q2501" s="34" t="str">
        <f aca="false">IF(AND(B2501&gt;=Cal_Start_Week,B2501&lt;=Cal_End_Week),"YES","")</f>
        <v/>
      </c>
    </row>
    <row r="2502" customFormat="false" ht="15" hidden="false" customHeight="false" outlineLevel="0" collapsed="false">
      <c r="A2502" s="31" t="str">
        <f aca="false">Demand_History!C2502</f>
        <v>BED-005</v>
      </c>
      <c r="B2502" s="31" t="n">
        <f aca="false">Demand_History!A2502</f>
        <v>5</v>
      </c>
      <c r="C2502" s="32" t="n">
        <f aca="false">Demand_History!D2502</f>
        <v>20</v>
      </c>
      <c r="D2502" s="33" t="n">
        <f aca="false">IF(B2502&gt;=2,C2501,"")</f>
        <v>24</v>
      </c>
      <c r="E2502" s="33" t="n">
        <f aca="false">IF(B2502&gt;=5,AVERAGE(C2498:C2501),"")</f>
        <v>23.25</v>
      </c>
      <c r="F2502" s="33" t="str">
        <f aca="false">IF(B2502&gt;=9,AVERAGE(C2494:C2501),"")</f>
        <v/>
      </c>
      <c r="G2502" s="33" t="n">
        <f aca="false">IF(B2502=1,"",IF(B2502=2,C2501,SES_Alpha*C2501+(1-SES_Alpha)*G2501))</f>
        <v>22.509</v>
      </c>
      <c r="H2502" s="33" t="n">
        <f aca="false">IF(D2502="","",D2502-C2502)</f>
        <v>4</v>
      </c>
      <c r="I2502" s="33" t="n">
        <f aca="false">IF(E2502="","",E2502-C2502)</f>
        <v>3.25</v>
      </c>
      <c r="J2502" s="33" t="str">
        <f aca="false">IF(F2502="","",F2502-C2502)</f>
        <v/>
      </c>
      <c r="K2502" s="33" t="n">
        <f aca="false">IF(G2502="","",G2502-C2502)</f>
        <v>2.509</v>
      </c>
      <c r="L2502" s="33" t="n">
        <f aca="false">IF(H2502="","",ABS(H2502))</f>
        <v>4</v>
      </c>
      <c r="M2502" s="33" t="n">
        <f aca="false">IF(I2502="","",ABS(I2502))</f>
        <v>3.25</v>
      </c>
      <c r="N2502" s="33" t="str">
        <f aca="false">IF(J2502="","",ABS(J2502))</f>
        <v/>
      </c>
      <c r="O2502" s="33" t="n">
        <f aca="false">IF(K2502="","",ABS(K2502))</f>
        <v>2.509</v>
      </c>
      <c r="P2502" s="34" t="str">
        <f aca="false">IF(B2502&gt;=Eval_Start_Week,"YES","")</f>
        <v/>
      </c>
      <c r="Q2502" s="34" t="str">
        <f aca="false">IF(AND(B2502&gt;=Cal_Start_Week,B2502&lt;=Cal_End_Week),"YES","")</f>
        <v/>
      </c>
    </row>
    <row r="2503" customFormat="false" ht="15" hidden="false" customHeight="false" outlineLevel="0" collapsed="false">
      <c r="A2503" s="31" t="str">
        <f aca="false">Demand_History!C2503</f>
        <v>BED-005</v>
      </c>
      <c r="B2503" s="31" t="n">
        <f aca="false">Demand_History!A2503</f>
        <v>6</v>
      </c>
      <c r="C2503" s="32" t="n">
        <f aca="false">Demand_History!D2503</f>
        <v>21</v>
      </c>
      <c r="D2503" s="33" t="n">
        <f aca="false">IF(B2503&gt;=2,C2502,"")</f>
        <v>20</v>
      </c>
      <c r="E2503" s="33" t="n">
        <f aca="false">IF(B2503&gt;=5,AVERAGE(C2499:C2502),"")</f>
        <v>23.75</v>
      </c>
      <c r="F2503" s="33" t="str">
        <f aca="false">IF(B2503&gt;=9,AVERAGE(C2495:C2502),"")</f>
        <v/>
      </c>
      <c r="G2503" s="33" t="n">
        <f aca="false">IF(B2503=1,"",IF(B2503=2,C2502,SES_Alpha*C2502+(1-SES_Alpha)*G2502))</f>
        <v>21.7563</v>
      </c>
      <c r="H2503" s="33" t="n">
        <f aca="false">IF(D2503="","",D2503-C2503)</f>
        <v>-1</v>
      </c>
      <c r="I2503" s="33" t="n">
        <f aca="false">IF(E2503="","",E2503-C2503)</f>
        <v>2.75</v>
      </c>
      <c r="J2503" s="33" t="str">
        <f aca="false">IF(F2503="","",F2503-C2503)</f>
        <v/>
      </c>
      <c r="K2503" s="33" t="n">
        <f aca="false">IF(G2503="","",G2503-C2503)</f>
        <v>0.7563</v>
      </c>
      <c r="L2503" s="33" t="n">
        <f aca="false">IF(H2503="","",ABS(H2503))</f>
        <v>1</v>
      </c>
      <c r="M2503" s="33" t="n">
        <f aca="false">IF(I2503="","",ABS(I2503))</f>
        <v>2.75</v>
      </c>
      <c r="N2503" s="33" t="str">
        <f aca="false">IF(J2503="","",ABS(J2503))</f>
        <v/>
      </c>
      <c r="O2503" s="33" t="n">
        <f aca="false">IF(K2503="","",ABS(K2503))</f>
        <v>0.7563</v>
      </c>
      <c r="P2503" s="34" t="str">
        <f aca="false">IF(B2503&gt;=Eval_Start_Week,"YES","")</f>
        <v/>
      </c>
      <c r="Q2503" s="34" t="str">
        <f aca="false">IF(AND(B2503&gt;=Cal_Start_Week,B2503&lt;=Cal_End_Week),"YES","")</f>
        <v/>
      </c>
    </row>
    <row r="2504" customFormat="false" ht="15" hidden="false" customHeight="false" outlineLevel="0" collapsed="false">
      <c r="A2504" s="31" t="str">
        <f aca="false">Demand_History!C2504</f>
        <v>BED-005</v>
      </c>
      <c r="B2504" s="31" t="n">
        <f aca="false">Demand_History!A2504</f>
        <v>7</v>
      </c>
      <c r="C2504" s="32" t="n">
        <f aca="false">Demand_History!D2504</f>
        <v>19</v>
      </c>
      <c r="D2504" s="33" t="n">
        <f aca="false">IF(B2504&gt;=2,C2503,"")</f>
        <v>21</v>
      </c>
      <c r="E2504" s="33" t="n">
        <f aca="false">IF(B2504&gt;=5,AVERAGE(C2500:C2503),"")</f>
        <v>22.75</v>
      </c>
      <c r="F2504" s="33" t="str">
        <f aca="false">IF(B2504&gt;=9,AVERAGE(C2496:C2503),"")</f>
        <v/>
      </c>
      <c r="G2504" s="33" t="n">
        <f aca="false">IF(B2504=1,"",IF(B2504=2,C2503,SES_Alpha*C2503+(1-SES_Alpha)*G2503))</f>
        <v>21.52941</v>
      </c>
      <c r="H2504" s="33" t="n">
        <f aca="false">IF(D2504="","",D2504-C2504)</f>
        <v>2</v>
      </c>
      <c r="I2504" s="33" t="n">
        <f aca="false">IF(E2504="","",E2504-C2504)</f>
        <v>3.75</v>
      </c>
      <c r="J2504" s="33" t="str">
        <f aca="false">IF(F2504="","",F2504-C2504)</f>
        <v/>
      </c>
      <c r="K2504" s="33" t="n">
        <f aca="false">IF(G2504="","",G2504-C2504)</f>
        <v>2.52941</v>
      </c>
      <c r="L2504" s="33" t="n">
        <f aca="false">IF(H2504="","",ABS(H2504))</f>
        <v>2</v>
      </c>
      <c r="M2504" s="33" t="n">
        <f aca="false">IF(I2504="","",ABS(I2504))</f>
        <v>3.75</v>
      </c>
      <c r="N2504" s="33" t="str">
        <f aca="false">IF(J2504="","",ABS(J2504))</f>
        <v/>
      </c>
      <c r="O2504" s="33" t="n">
        <f aca="false">IF(K2504="","",ABS(K2504))</f>
        <v>2.52941</v>
      </c>
      <c r="P2504" s="34" t="str">
        <f aca="false">IF(B2504&gt;=Eval_Start_Week,"YES","")</f>
        <v/>
      </c>
      <c r="Q2504" s="34" t="str">
        <f aca="false">IF(AND(B2504&gt;=Cal_Start_Week,B2504&lt;=Cal_End_Week),"YES","")</f>
        <v/>
      </c>
    </row>
    <row r="2505" customFormat="false" ht="15" hidden="false" customHeight="false" outlineLevel="0" collapsed="false">
      <c r="A2505" s="31" t="str">
        <f aca="false">Demand_History!C2505</f>
        <v>BED-005</v>
      </c>
      <c r="B2505" s="31" t="n">
        <f aca="false">Demand_History!A2505</f>
        <v>8</v>
      </c>
      <c r="C2505" s="32" t="n">
        <f aca="false">Demand_History!D2505</f>
        <v>24</v>
      </c>
      <c r="D2505" s="33" t="n">
        <f aca="false">IF(B2505&gt;=2,C2504,"")</f>
        <v>19</v>
      </c>
      <c r="E2505" s="33" t="n">
        <f aca="false">IF(B2505&gt;=5,AVERAGE(C2501:C2504),"")</f>
        <v>21</v>
      </c>
      <c r="F2505" s="33" t="str">
        <f aca="false">IF(B2505&gt;=9,AVERAGE(C2497:C2504),"")</f>
        <v/>
      </c>
      <c r="G2505" s="33" t="n">
        <f aca="false">IF(B2505=1,"",IF(B2505=2,C2504,SES_Alpha*C2504+(1-SES_Alpha)*G2504))</f>
        <v>20.770587</v>
      </c>
      <c r="H2505" s="33" t="n">
        <f aca="false">IF(D2505="","",D2505-C2505)</f>
        <v>-5</v>
      </c>
      <c r="I2505" s="33" t="n">
        <f aca="false">IF(E2505="","",E2505-C2505)</f>
        <v>-3</v>
      </c>
      <c r="J2505" s="33" t="str">
        <f aca="false">IF(F2505="","",F2505-C2505)</f>
        <v/>
      </c>
      <c r="K2505" s="33" t="n">
        <f aca="false">IF(G2505="","",G2505-C2505)</f>
        <v>-3.229413</v>
      </c>
      <c r="L2505" s="33" t="n">
        <f aca="false">IF(H2505="","",ABS(H2505))</f>
        <v>5</v>
      </c>
      <c r="M2505" s="33" t="n">
        <f aca="false">IF(I2505="","",ABS(I2505))</f>
        <v>3</v>
      </c>
      <c r="N2505" s="33" t="str">
        <f aca="false">IF(J2505="","",ABS(J2505))</f>
        <v/>
      </c>
      <c r="O2505" s="33" t="n">
        <f aca="false">IF(K2505="","",ABS(K2505))</f>
        <v>3.229413</v>
      </c>
      <c r="P2505" s="34" t="str">
        <f aca="false">IF(B2505&gt;=Eval_Start_Week,"YES","")</f>
        <v/>
      </c>
      <c r="Q2505" s="34" t="str">
        <f aca="false">IF(AND(B2505&gt;=Cal_Start_Week,B2505&lt;=Cal_End_Week),"YES","")</f>
        <v/>
      </c>
    </row>
    <row r="2506" customFormat="false" ht="15" hidden="false" customHeight="false" outlineLevel="0" collapsed="false">
      <c r="A2506" s="31" t="str">
        <f aca="false">Demand_History!C2506</f>
        <v>BED-005</v>
      </c>
      <c r="B2506" s="31" t="n">
        <f aca="false">Demand_History!A2506</f>
        <v>9</v>
      </c>
      <c r="C2506" s="32" t="n">
        <f aca="false">Demand_History!D2506</f>
        <v>26</v>
      </c>
      <c r="D2506" s="33" t="n">
        <f aca="false">IF(B2506&gt;=2,C2505,"")</f>
        <v>24</v>
      </c>
      <c r="E2506" s="33" t="n">
        <f aca="false">IF(B2506&gt;=5,AVERAGE(C2502:C2505),"")</f>
        <v>21</v>
      </c>
      <c r="F2506" s="33" t="n">
        <f aca="false">IF(B2506&gt;=9,AVERAGE(C2498:C2505),"")</f>
        <v>22.125</v>
      </c>
      <c r="G2506" s="33" t="n">
        <f aca="false">IF(B2506=1,"",IF(B2506=2,C2505,SES_Alpha*C2505+(1-SES_Alpha)*G2505))</f>
        <v>21.7394109</v>
      </c>
      <c r="H2506" s="33" t="n">
        <f aca="false">IF(D2506="","",D2506-C2506)</f>
        <v>-2</v>
      </c>
      <c r="I2506" s="33" t="n">
        <f aca="false">IF(E2506="","",E2506-C2506)</f>
        <v>-5</v>
      </c>
      <c r="J2506" s="33" t="n">
        <f aca="false">IF(F2506="","",F2506-C2506)</f>
        <v>-3.875</v>
      </c>
      <c r="K2506" s="33" t="n">
        <f aca="false">IF(G2506="","",G2506-C2506)</f>
        <v>-4.2605891</v>
      </c>
      <c r="L2506" s="33" t="n">
        <f aca="false">IF(H2506="","",ABS(H2506))</f>
        <v>2</v>
      </c>
      <c r="M2506" s="33" t="n">
        <f aca="false">IF(I2506="","",ABS(I2506))</f>
        <v>5</v>
      </c>
      <c r="N2506" s="33" t="n">
        <f aca="false">IF(J2506="","",ABS(J2506))</f>
        <v>3.875</v>
      </c>
      <c r="O2506" s="33" t="n">
        <f aca="false">IF(K2506="","",ABS(K2506))</f>
        <v>4.2605891</v>
      </c>
      <c r="P2506" s="34" t="str">
        <f aca="false">IF(B2506&gt;=Eval_Start_Week,"YES","")</f>
        <v/>
      </c>
      <c r="Q2506" s="34" t="str">
        <f aca="false">IF(AND(B2506&gt;=Cal_Start_Week,B2506&lt;=Cal_End_Week),"YES","")</f>
        <v/>
      </c>
    </row>
    <row r="2507" customFormat="false" ht="15" hidden="false" customHeight="false" outlineLevel="0" collapsed="false">
      <c r="A2507" s="31" t="str">
        <f aca="false">Demand_History!C2507</f>
        <v>BED-005</v>
      </c>
      <c r="B2507" s="31" t="n">
        <f aca="false">Demand_History!A2507</f>
        <v>10</v>
      </c>
      <c r="C2507" s="32" t="n">
        <f aca="false">Demand_History!D2507</f>
        <v>27</v>
      </c>
      <c r="D2507" s="33" t="n">
        <f aca="false">IF(B2507&gt;=2,C2506,"")</f>
        <v>26</v>
      </c>
      <c r="E2507" s="33" t="n">
        <f aca="false">IF(B2507&gt;=5,AVERAGE(C2503:C2506),"")</f>
        <v>22.5</v>
      </c>
      <c r="F2507" s="33" t="n">
        <f aca="false">IF(B2507&gt;=9,AVERAGE(C2499:C2506),"")</f>
        <v>23.125</v>
      </c>
      <c r="G2507" s="33" t="n">
        <f aca="false">IF(B2507=1,"",IF(B2507=2,C2506,SES_Alpha*C2506+(1-SES_Alpha)*G2506))</f>
        <v>23.01758763</v>
      </c>
      <c r="H2507" s="33" t="n">
        <f aca="false">IF(D2507="","",D2507-C2507)</f>
        <v>-1</v>
      </c>
      <c r="I2507" s="33" t="n">
        <f aca="false">IF(E2507="","",E2507-C2507)</f>
        <v>-4.5</v>
      </c>
      <c r="J2507" s="33" t="n">
        <f aca="false">IF(F2507="","",F2507-C2507)</f>
        <v>-3.875</v>
      </c>
      <c r="K2507" s="33" t="n">
        <f aca="false">IF(G2507="","",G2507-C2507)</f>
        <v>-3.98241237000001</v>
      </c>
      <c r="L2507" s="33" t="n">
        <f aca="false">IF(H2507="","",ABS(H2507))</f>
        <v>1</v>
      </c>
      <c r="M2507" s="33" t="n">
        <f aca="false">IF(I2507="","",ABS(I2507))</f>
        <v>4.5</v>
      </c>
      <c r="N2507" s="33" t="n">
        <f aca="false">IF(J2507="","",ABS(J2507))</f>
        <v>3.875</v>
      </c>
      <c r="O2507" s="33" t="n">
        <f aca="false">IF(K2507="","",ABS(K2507))</f>
        <v>3.98241237000001</v>
      </c>
      <c r="P2507" s="34" t="str">
        <f aca="false">IF(B2507&gt;=Eval_Start_Week,"YES","")</f>
        <v/>
      </c>
      <c r="Q2507" s="34" t="str">
        <f aca="false">IF(AND(B2507&gt;=Cal_Start_Week,B2507&lt;=Cal_End_Week),"YES","")</f>
        <v/>
      </c>
    </row>
    <row r="2508" customFormat="false" ht="15" hidden="false" customHeight="false" outlineLevel="0" collapsed="false">
      <c r="A2508" s="31" t="str">
        <f aca="false">Demand_History!C2508</f>
        <v>BED-005</v>
      </c>
      <c r="B2508" s="31" t="n">
        <f aca="false">Demand_History!A2508</f>
        <v>11</v>
      </c>
      <c r="C2508" s="32" t="n">
        <f aca="false">Demand_History!D2508</f>
        <v>21</v>
      </c>
      <c r="D2508" s="33" t="n">
        <f aca="false">IF(B2508&gt;=2,C2507,"")</f>
        <v>27</v>
      </c>
      <c r="E2508" s="33" t="n">
        <f aca="false">IF(B2508&gt;=5,AVERAGE(C2504:C2507),"")</f>
        <v>24</v>
      </c>
      <c r="F2508" s="33" t="n">
        <f aca="false">IF(B2508&gt;=9,AVERAGE(C2500:C2507),"")</f>
        <v>23.375</v>
      </c>
      <c r="G2508" s="33" t="n">
        <f aca="false">IF(B2508=1,"",IF(B2508=2,C2507,SES_Alpha*C2507+(1-SES_Alpha)*G2507))</f>
        <v>24.212311341</v>
      </c>
      <c r="H2508" s="33" t="n">
        <f aca="false">IF(D2508="","",D2508-C2508)</f>
        <v>6</v>
      </c>
      <c r="I2508" s="33" t="n">
        <f aca="false">IF(E2508="","",E2508-C2508)</f>
        <v>3</v>
      </c>
      <c r="J2508" s="33" t="n">
        <f aca="false">IF(F2508="","",F2508-C2508)</f>
        <v>2.375</v>
      </c>
      <c r="K2508" s="33" t="n">
        <f aca="false">IF(G2508="","",G2508-C2508)</f>
        <v>3.212311341</v>
      </c>
      <c r="L2508" s="33" t="n">
        <f aca="false">IF(H2508="","",ABS(H2508))</f>
        <v>6</v>
      </c>
      <c r="M2508" s="33" t="n">
        <f aca="false">IF(I2508="","",ABS(I2508))</f>
        <v>3</v>
      </c>
      <c r="N2508" s="33" t="n">
        <f aca="false">IF(J2508="","",ABS(J2508))</f>
        <v>2.375</v>
      </c>
      <c r="O2508" s="33" t="n">
        <f aca="false">IF(K2508="","",ABS(K2508))</f>
        <v>3.212311341</v>
      </c>
      <c r="P2508" s="34" t="str">
        <f aca="false">IF(B2508&gt;=Eval_Start_Week,"YES","")</f>
        <v/>
      </c>
      <c r="Q2508" s="34" t="str">
        <f aca="false">IF(AND(B2508&gt;=Cal_Start_Week,B2508&lt;=Cal_End_Week),"YES","")</f>
        <v/>
      </c>
    </row>
    <row r="2509" customFormat="false" ht="15" hidden="false" customHeight="false" outlineLevel="0" collapsed="false">
      <c r="A2509" s="31" t="str">
        <f aca="false">Demand_History!C2509</f>
        <v>BED-005</v>
      </c>
      <c r="B2509" s="31" t="n">
        <f aca="false">Demand_History!A2509</f>
        <v>12</v>
      </c>
      <c r="C2509" s="32" t="n">
        <f aca="false">Demand_History!D2509</f>
        <v>24</v>
      </c>
      <c r="D2509" s="33" t="n">
        <f aca="false">IF(B2509&gt;=2,C2508,"")</f>
        <v>21</v>
      </c>
      <c r="E2509" s="33" t="n">
        <f aca="false">IF(B2509&gt;=5,AVERAGE(C2505:C2508),"")</f>
        <v>24.5</v>
      </c>
      <c r="F2509" s="33" t="n">
        <f aca="false">IF(B2509&gt;=9,AVERAGE(C2501:C2508),"")</f>
        <v>22.75</v>
      </c>
      <c r="G2509" s="33" t="n">
        <f aca="false">IF(B2509=1,"",IF(B2509=2,C2508,SES_Alpha*C2508+(1-SES_Alpha)*G2508))</f>
        <v>23.2486179387</v>
      </c>
      <c r="H2509" s="33" t="n">
        <f aca="false">IF(D2509="","",D2509-C2509)</f>
        <v>-3</v>
      </c>
      <c r="I2509" s="33" t="n">
        <f aca="false">IF(E2509="","",E2509-C2509)</f>
        <v>0.5</v>
      </c>
      <c r="J2509" s="33" t="n">
        <f aca="false">IF(F2509="","",F2509-C2509)</f>
        <v>-1.25</v>
      </c>
      <c r="K2509" s="33" t="n">
        <f aca="false">IF(G2509="","",G2509-C2509)</f>
        <v>-0.751382061300003</v>
      </c>
      <c r="L2509" s="33" t="n">
        <f aca="false">IF(H2509="","",ABS(H2509))</f>
        <v>3</v>
      </c>
      <c r="M2509" s="33" t="n">
        <f aca="false">IF(I2509="","",ABS(I2509))</f>
        <v>0.5</v>
      </c>
      <c r="N2509" s="33" t="n">
        <f aca="false">IF(J2509="","",ABS(J2509))</f>
        <v>1.25</v>
      </c>
      <c r="O2509" s="33" t="n">
        <f aca="false">IF(K2509="","",ABS(K2509))</f>
        <v>0.751382061300003</v>
      </c>
      <c r="P2509" s="34" t="str">
        <f aca="false">IF(B2509&gt;=Eval_Start_Week,"YES","")</f>
        <v/>
      </c>
      <c r="Q2509" s="34" t="str">
        <f aca="false">IF(AND(B2509&gt;=Cal_Start_Week,B2509&lt;=Cal_End_Week),"YES","")</f>
        <v/>
      </c>
    </row>
    <row r="2510" customFormat="false" ht="15" hidden="false" customHeight="false" outlineLevel="0" collapsed="false">
      <c r="A2510" s="31" t="str">
        <f aca="false">Demand_History!C2510</f>
        <v>BED-005</v>
      </c>
      <c r="B2510" s="31" t="n">
        <f aca="false">Demand_History!A2510</f>
        <v>13</v>
      </c>
      <c r="C2510" s="32" t="n">
        <f aca="false">Demand_History!D2510</f>
        <v>25</v>
      </c>
      <c r="D2510" s="33" t="n">
        <f aca="false">IF(B2510&gt;=2,C2509,"")</f>
        <v>24</v>
      </c>
      <c r="E2510" s="33" t="n">
        <f aca="false">IF(B2510&gt;=5,AVERAGE(C2506:C2509),"")</f>
        <v>24.5</v>
      </c>
      <c r="F2510" s="33" t="n">
        <f aca="false">IF(B2510&gt;=9,AVERAGE(C2502:C2509),"")</f>
        <v>22.75</v>
      </c>
      <c r="G2510" s="33" t="n">
        <f aca="false">IF(B2510=1,"",IF(B2510=2,C2509,SES_Alpha*C2509+(1-SES_Alpha)*G2509))</f>
        <v>23.47403255709</v>
      </c>
      <c r="H2510" s="33" t="n">
        <f aca="false">IF(D2510="","",D2510-C2510)</f>
        <v>-1</v>
      </c>
      <c r="I2510" s="33" t="n">
        <f aca="false">IF(E2510="","",E2510-C2510)</f>
        <v>-0.5</v>
      </c>
      <c r="J2510" s="33" t="n">
        <f aca="false">IF(F2510="","",F2510-C2510)</f>
        <v>-2.25</v>
      </c>
      <c r="K2510" s="33" t="n">
        <f aca="false">IF(G2510="","",G2510-C2510)</f>
        <v>-1.52596744291001</v>
      </c>
      <c r="L2510" s="33" t="n">
        <f aca="false">IF(H2510="","",ABS(H2510))</f>
        <v>1</v>
      </c>
      <c r="M2510" s="33" t="n">
        <f aca="false">IF(I2510="","",ABS(I2510))</f>
        <v>0.5</v>
      </c>
      <c r="N2510" s="33" t="n">
        <f aca="false">IF(J2510="","",ABS(J2510))</f>
        <v>2.25</v>
      </c>
      <c r="O2510" s="33" t="n">
        <f aca="false">IF(K2510="","",ABS(K2510))</f>
        <v>1.52596744291001</v>
      </c>
      <c r="P2510" s="34" t="str">
        <f aca="false">IF(B2510&gt;=Eval_Start_Week,"YES","")</f>
        <v/>
      </c>
      <c r="Q2510" s="34" t="str">
        <f aca="false">IF(AND(B2510&gt;=Cal_Start_Week,B2510&lt;=Cal_End_Week),"YES","")</f>
        <v/>
      </c>
    </row>
    <row r="2511" customFormat="false" ht="15" hidden="false" customHeight="false" outlineLevel="0" collapsed="false">
      <c r="A2511" s="31" t="str">
        <f aca="false">Demand_History!C2511</f>
        <v>BED-005</v>
      </c>
      <c r="B2511" s="31" t="n">
        <f aca="false">Demand_History!A2511</f>
        <v>14</v>
      </c>
      <c r="C2511" s="32" t="n">
        <f aca="false">Demand_History!D2511</f>
        <v>21</v>
      </c>
      <c r="D2511" s="33" t="n">
        <f aca="false">IF(B2511&gt;=2,C2510,"")</f>
        <v>25</v>
      </c>
      <c r="E2511" s="33" t="n">
        <f aca="false">IF(B2511&gt;=5,AVERAGE(C2507:C2510),"")</f>
        <v>24.25</v>
      </c>
      <c r="F2511" s="33" t="n">
        <f aca="false">IF(B2511&gt;=9,AVERAGE(C2503:C2510),"")</f>
        <v>23.375</v>
      </c>
      <c r="G2511" s="33" t="n">
        <f aca="false">IF(B2511=1,"",IF(B2511=2,C2510,SES_Alpha*C2510+(1-SES_Alpha)*G2510))</f>
        <v>23.931822789963</v>
      </c>
      <c r="H2511" s="33" t="n">
        <f aca="false">IF(D2511="","",D2511-C2511)</f>
        <v>4</v>
      </c>
      <c r="I2511" s="33" t="n">
        <f aca="false">IF(E2511="","",E2511-C2511)</f>
        <v>3.25</v>
      </c>
      <c r="J2511" s="33" t="n">
        <f aca="false">IF(F2511="","",F2511-C2511)</f>
        <v>2.375</v>
      </c>
      <c r="K2511" s="33" t="n">
        <f aca="false">IF(G2511="","",G2511-C2511)</f>
        <v>2.931822789963</v>
      </c>
      <c r="L2511" s="33" t="n">
        <f aca="false">IF(H2511="","",ABS(H2511))</f>
        <v>4</v>
      </c>
      <c r="M2511" s="33" t="n">
        <f aca="false">IF(I2511="","",ABS(I2511))</f>
        <v>3.25</v>
      </c>
      <c r="N2511" s="33" t="n">
        <f aca="false">IF(J2511="","",ABS(J2511))</f>
        <v>2.375</v>
      </c>
      <c r="O2511" s="33" t="n">
        <f aca="false">IF(K2511="","",ABS(K2511))</f>
        <v>2.931822789963</v>
      </c>
      <c r="P2511" s="34" t="str">
        <f aca="false">IF(B2511&gt;=Eval_Start_Week,"YES","")</f>
        <v/>
      </c>
      <c r="Q2511" s="34" t="str">
        <f aca="false">IF(AND(B2511&gt;=Cal_Start_Week,B2511&lt;=Cal_End_Week),"YES","")</f>
        <v/>
      </c>
    </row>
    <row r="2512" customFormat="false" ht="15" hidden="false" customHeight="false" outlineLevel="0" collapsed="false">
      <c r="A2512" s="31" t="str">
        <f aca="false">Demand_History!C2512</f>
        <v>BED-005</v>
      </c>
      <c r="B2512" s="31" t="n">
        <f aca="false">Demand_History!A2512</f>
        <v>15</v>
      </c>
      <c r="C2512" s="32" t="n">
        <f aca="false">Demand_History!D2512</f>
        <v>22</v>
      </c>
      <c r="D2512" s="33" t="n">
        <f aca="false">IF(B2512&gt;=2,C2511,"")</f>
        <v>21</v>
      </c>
      <c r="E2512" s="33" t="n">
        <f aca="false">IF(B2512&gt;=5,AVERAGE(C2508:C2511),"")</f>
        <v>22.75</v>
      </c>
      <c r="F2512" s="33" t="n">
        <f aca="false">IF(B2512&gt;=9,AVERAGE(C2504:C2511),"")</f>
        <v>23.375</v>
      </c>
      <c r="G2512" s="33" t="n">
        <f aca="false">IF(B2512=1,"",IF(B2512=2,C2511,SES_Alpha*C2511+(1-SES_Alpha)*G2511))</f>
        <v>23.0522759529741</v>
      </c>
      <c r="H2512" s="33" t="n">
        <f aca="false">IF(D2512="","",D2512-C2512)</f>
        <v>-1</v>
      </c>
      <c r="I2512" s="33" t="n">
        <f aca="false">IF(E2512="","",E2512-C2512)</f>
        <v>0.75</v>
      </c>
      <c r="J2512" s="33" t="n">
        <f aca="false">IF(F2512="","",F2512-C2512)</f>
        <v>1.375</v>
      </c>
      <c r="K2512" s="33" t="n">
        <f aca="false">IF(G2512="","",G2512-C2512)</f>
        <v>1.0522759529741</v>
      </c>
      <c r="L2512" s="33" t="n">
        <f aca="false">IF(H2512="","",ABS(H2512))</f>
        <v>1</v>
      </c>
      <c r="M2512" s="33" t="n">
        <f aca="false">IF(I2512="","",ABS(I2512))</f>
        <v>0.75</v>
      </c>
      <c r="N2512" s="33" t="n">
        <f aca="false">IF(J2512="","",ABS(J2512))</f>
        <v>1.375</v>
      </c>
      <c r="O2512" s="33" t="n">
        <f aca="false">IF(K2512="","",ABS(K2512))</f>
        <v>1.0522759529741</v>
      </c>
      <c r="P2512" s="34" t="str">
        <f aca="false">IF(B2512&gt;=Eval_Start_Week,"YES","")</f>
        <v/>
      </c>
      <c r="Q2512" s="34" t="str">
        <f aca="false">IF(AND(B2512&gt;=Cal_Start_Week,B2512&lt;=Cal_End_Week),"YES","")</f>
        <v/>
      </c>
    </row>
    <row r="2513" customFormat="false" ht="15" hidden="false" customHeight="false" outlineLevel="0" collapsed="false">
      <c r="A2513" s="31" t="str">
        <f aca="false">Demand_History!C2513</f>
        <v>BED-005</v>
      </c>
      <c r="B2513" s="31" t="n">
        <f aca="false">Demand_History!A2513</f>
        <v>16</v>
      </c>
      <c r="C2513" s="32" t="n">
        <f aca="false">Demand_History!D2513</f>
        <v>29</v>
      </c>
      <c r="D2513" s="33" t="n">
        <f aca="false">IF(B2513&gt;=2,C2512,"")</f>
        <v>22</v>
      </c>
      <c r="E2513" s="33" t="n">
        <f aca="false">IF(B2513&gt;=5,AVERAGE(C2509:C2512),"")</f>
        <v>23</v>
      </c>
      <c r="F2513" s="33" t="n">
        <f aca="false">IF(B2513&gt;=9,AVERAGE(C2505:C2512),"")</f>
        <v>23.75</v>
      </c>
      <c r="G2513" s="33" t="n">
        <f aca="false">IF(B2513=1,"",IF(B2513=2,C2512,SES_Alpha*C2512+(1-SES_Alpha)*G2512))</f>
        <v>22.7365931670819</v>
      </c>
      <c r="H2513" s="33" t="n">
        <f aca="false">IF(D2513="","",D2513-C2513)</f>
        <v>-7</v>
      </c>
      <c r="I2513" s="33" t="n">
        <f aca="false">IF(E2513="","",E2513-C2513)</f>
        <v>-6</v>
      </c>
      <c r="J2513" s="33" t="n">
        <f aca="false">IF(F2513="","",F2513-C2513)</f>
        <v>-5.25</v>
      </c>
      <c r="K2513" s="33" t="n">
        <f aca="false">IF(G2513="","",G2513-C2513)</f>
        <v>-6.26340683291814</v>
      </c>
      <c r="L2513" s="33" t="n">
        <f aca="false">IF(H2513="","",ABS(H2513))</f>
        <v>7</v>
      </c>
      <c r="M2513" s="33" t="n">
        <f aca="false">IF(I2513="","",ABS(I2513))</f>
        <v>6</v>
      </c>
      <c r="N2513" s="33" t="n">
        <f aca="false">IF(J2513="","",ABS(J2513))</f>
        <v>5.25</v>
      </c>
      <c r="O2513" s="33" t="n">
        <f aca="false">IF(K2513="","",ABS(K2513))</f>
        <v>6.26340683291814</v>
      </c>
      <c r="P2513" s="34" t="str">
        <f aca="false">IF(B2513&gt;=Eval_Start_Week,"YES","")</f>
        <v/>
      </c>
      <c r="Q2513" s="34" t="str">
        <f aca="false">IF(AND(B2513&gt;=Cal_Start_Week,B2513&lt;=Cal_End_Week),"YES","")</f>
        <v/>
      </c>
    </row>
    <row r="2514" customFormat="false" ht="15" hidden="false" customHeight="false" outlineLevel="0" collapsed="false">
      <c r="A2514" s="31" t="str">
        <f aca="false">Demand_History!C2514</f>
        <v>BED-005</v>
      </c>
      <c r="B2514" s="31" t="n">
        <f aca="false">Demand_History!A2514</f>
        <v>17</v>
      </c>
      <c r="C2514" s="32" t="n">
        <f aca="false">Demand_History!D2514</f>
        <v>23</v>
      </c>
      <c r="D2514" s="33" t="n">
        <f aca="false">IF(B2514&gt;=2,C2513,"")</f>
        <v>29</v>
      </c>
      <c r="E2514" s="33" t="n">
        <f aca="false">IF(B2514&gt;=5,AVERAGE(C2510:C2513),"")</f>
        <v>24.25</v>
      </c>
      <c r="F2514" s="33" t="n">
        <f aca="false">IF(B2514&gt;=9,AVERAGE(C2506:C2513),"")</f>
        <v>24.375</v>
      </c>
      <c r="G2514" s="33" t="n">
        <f aca="false">IF(B2514=1,"",IF(B2514=2,C2513,SES_Alpha*C2513+(1-SES_Alpha)*G2513))</f>
        <v>24.6156152169573</v>
      </c>
      <c r="H2514" s="33" t="n">
        <f aca="false">IF(D2514="","",D2514-C2514)</f>
        <v>6</v>
      </c>
      <c r="I2514" s="33" t="n">
        <f aca="false">IF(E2514="","",E2514-C2514)</f>
        <v>1.25</v>
      </c>
      <c r="J2514" s="33" t="n">
        <f aca="false">IF(F2514="","",F2514-C2514)</f>
        <v>1.375</v>
      </c>
      <c r="K2514" s="33" t="n">
        <f aca="false">IF(G2514="","",G2514-C2514)</f>
        <v>1.6156152169573</v>
      </c>
      <c r="L2514" s="33" t="n">
        <f aca="false">IF(H2514="","",ABS(H2514))</f>
        <v>6</v>
      </c>
      <c r="M2514" s="33" t="n">
        <f aca="false">IF(I2514="","",ABS(I2514))</f>
        <v>1.25</v>
      </c>
      <c r="N2514" s="33" t="n">
        <f aca="false">IF(J2514="","",ABS(J2514))</f>
        <v>1.375</v>
      </c>
      <c r="O2514" s="33" t="n">
        <f aca="false">IF(K2514="","",ABS(K2514))</f>
        <v>1.6156152169573</v>
      </c>
      <c r="P2514" s="34" t="str">
        <f aca="false">IF(B2514&gt;=Eval_Start_Week,"YES","")</f>
        <v/>
      </c>
      <c r="Q2514" s="34" t="str">
        <f aca="false">IF(AND(B2514&gt;=Cal_Start_Week,B2514&lt;=Cal_End_Week),"YES","")</f>
        <v/>
      </c>
    </row>
    <row r="2515" customFormat="false" ht="15" hidden="false" customHeight="false" outlineLevel="0" collapsed="false">
      <c r="A2515" s="31" t="str">
        <f aca="false">Demand_History!C2515</f>
        <v>BED-005</v>
      </c>
      <c r="B2515" s="31" t="n">
        <f aca="false">Demand_History!A2515</f>
        <v>18</v>
      </c>
      <c r="C2515" s="32" t="n">
        <f aca="false">Demand_History!D2515</f>
        <v>25</v>
      </c>
      <c r="D2515" s="33" t="n">
        <f aca="false">IF(B2515&gt;=2,C2514,"")</f>
        <v>23</v>
      </c>
      <c r="E2515" s="33" t="n">
        <f aca="false">IF(B2515&gt;=5,AVERAGE(C2511:C2514),"")</f>
        <v>23.75</v>
      </c>
      <c r="F2515" s="33" t="n">
        <f aca="false">IF(B2515&gt;=9,AVERAGE(C2507:C2514),"")</f>
        <v>24</v>
      </c>
      <c r="G2515" s="33" t="n">
        <f aca="false">IF(B2515=1,"",IF(B2515=2,C2514,SES_Alpha*C2514+(1-SES_Alpha)*G2514))</f>
        <v>24.1309306518701</v>
      </c>
      <c r="H2515" s="33" t="n">
        <f aca="false">IF(D2515="","",D2515-C2515)</f>
        <v>-2</v>
      </c>
      <c r="I2515" s="33" t="n">
        <f aca="false">IF(E2515="","",E2515-C2515)</f>
        <v>-1.25</v>
      </c>
      <c r="J2515" s="33" t="n">
        <f aca="false">IF(F2515="","",F2515-C2515)</f>
        <v>-1</v>
      </c>
      <c r="K2515" s="33" t="n">
        <f aca="false">IF(G2515="","",G2515-C2515)</f>
        <v>-0.869069348129891</v>
      </c>
      <c r="L2515" s="33" t="n">
        <f aca="false">IF(H2515="","",ABS(H2515))</f>
        <v>2</v>
      </c>
      <c r="M2515" s="33" t="n">
        <f aca="false">IF(I2515="","",ABS(I2515))</f>
        <v>1.25</v>
      </c>
      <c r="N2515" s="33" t="n">
        <f aca="false">IF(J2515="","",ABS(J2515))</f>
        <v>1</v>
      </c>
      <c r="O2515" s="33" t="n">
        <f aca="false">IF(K2515="","",ABS(K2515))</f>
        <v>0.869069348129891</v>
      </c>
      <c r="P2515" s="34" t="str">
        <f aca="false">IF(B2515&gt;=Eval_Start_Week,"YES","")</f>
        <v/>
      </c>
      <c r="Q2515" s="34" t="str">
        <f aca="false">IF(AND(B2515&gt;=Cal_Start_Week,B2515&lt;=Cal_End_Week),"YES","")</f>
        <v/>
      </c>
    </row>
    <row r="2516" customFormat="false" ht="15" hidden="false" customHeight="false" outlineLevel="0" collapsed="false">
      <c r="A2516" s="31" t="str">
        <f aca="false">Demand_History!C2516</f>
        <v>BED-005</v>
      </c>
      <c r="B2516" s="31" t="n">
        <f aca="false">Demand_History!A2516</f>
        <v>19</v>
      </c>
      <c r="C2516" s="32" t="n">
        <f aca="false">Demand_History!D2516</f>
        <v>21</v>
      </c>
      <c r="D2516" s="33" t="n">
        <f aca="false">IF(B2516&gt;=2,C2515,"")</f>
        <v>25</v>
      </c>
      <c r="E2516" s="33" t="n">
        <f aca="false">IF(B2516&gt;=5,AVERAGE(C2512:C2515),"")</f>
        <v>24.75</v>
      </c>
      <c r="F2516" s="33" t="n">
        <f aca="false">IF(B2516&gt;=9,AVERAGE(C2508:C2515),"")</f>
        <v>23.75</v>
      </c>
      <c r="G2516" s="33" t="n">
        <f aca="false">IF(B2516=1,"",IF(B2516=2,C2515,SES_Alpha*C2515+(1-SES_Alpha)*G2515))</f>
        <v>24.3916514563091</v>
      </c>
      <c r="H2516" s="33" t="n">
        <f aca="false">IF(D2516="","",D2516-C2516)</f>
        <v>4</v>
      </c>
      <c r="I2516" s="33" t="n">
        <f aca="false">IF(E2516="","",E2516-C2516)</f>
        <v>3.75</v>
      </c>
      <c r="J2516" s="33" t="n">
        <f aca="false">IF(F2516="","",F2516-C2516)</f>
        <v>2.75</v>
      </c>
      <c r="K2516" s="33" t="n">
        <f aca="false">IF(G2516="","",G2516-C2516)</f>
        <v>3.39165145630907</v>
      </c>
      <c r="L2516" s="33" t="n">
        <f aca="false">IF(H2516="","",ABS(H2516))</f>
        <v>4</v>
      </c>
      <c r="M2516" s="33" t="n">
        <f aca="false">IF(I2516="","",ABS(I2516))</f>
        <v>3.75</v>
      </c>
      <c r="N2516" s="33" t="n">
        <f aca="false">IF(J2516="","",ABS(J2516))</f>
        <v>2.75</v>
      </c>
      <c r="O2516" s="33" t="n">
        <f aca="false">IF(K2516="","",ABS(K2516))</f>
        <v>3.39165145630907</v>
      </c>
      <c r="P2516" s="34" t="str">
        <f aca="false">IF(B2516&gt;=Eval_Start_Week,"YES","")</f>
        <v/>
      </c>
      <c r="Q2516" s="34" t="str">
        <f aca="false">IF(AND(B2516&gt;=Cal_Start_Week,B2516&lt;=Cal_End_Week),"YES","")</f>
        <v/>
      </c>
    </row>
    <row r="2517" customFormat="false" ht="15" hidden="false" customHeight="false" outlineLevel="0" collapsed="false">
      <c r="A2517" s="31" t="str">
        <f aca="false">Demand_History!C2517</f>
        <v>BED-005</v>
      </c>
      <c r="B2517" s="31" t="n">
        <f aca="false">Demand_History!A2517</f>
        <v>20</v>
      </c>
      <c r="C2517" s="32" t="n">
        <f aca="false">Demand_History!D2517</f>
        <v>22</v>
      </c>
      <c r="D2517" s="33" t="n">
        <f aca="false">IF(B2517&gt;=2,C2516,"")</f>
        <v>21</v>
      </c>
      <c r="E2517" s="33" t="n">
        <f aca="false">IF(B2517&gt;=5,AVERAGE(C2513:C2516),"")</f>
        <v>24.5</v>
      </c>
      <c r="F2517" s="33" t="n">
        <f aca="false">IF(B2517&gt;=9,AVERAGE(C2509:C2516),"")</f>
        <v>23.75</v>
      </c>
      <c r="G2517" s="33" t="n">
        <f aca="false">IF(B2517=1,"",IF(B2517=2,C2516,SES_Alpha*C2516+(1-SES_Alpha)*G2516))</f>
        <v>23.3741560194164</v>
      </c>
      <c r="H2517" s="33" t="n">
        <f aca="false">IF(D2517="","",D2517-C2517)</f>
        <v>-1</v>
      </c>
      <c r="I2517" s="33" t="n">
        <f aca="false">IF(E2517="","",E2517-C2517)</f>
        <v>2.5</v>
      </c>
      <c r="J2517" s="33" t="n">
        <f aca="false">IF(F2517="","",F2517-C2517)</f>
        <v>1.75</v>
      </c>
      <c r="K2517" s="33" t="n">
        <f aca="false">IF(G2517="","",G2517-C2517)</f>
        <v>1.37415601941635</v>
      </c>
      <c r="L2517" s="33" t="n">
        <f aca="false">IF(H2517="","",ABS(H2517))</f>
        <v>1</v>
      </c>
      <c r="M2517" s="33" t="n">
        <f aca="false">IF(I2517="","",ABS(I2517))</f>
        <v>2.5</v>
      </c>
      <c r="N2517" s="33" t="n">
        <f aca="false">IF(J2517="","",ABS(J2517))</f>
        <v>1.75</v>
      </c>
      <c r="O2517" s="33" t="n">
        <f aca="false">IF(K2517="","",ABS(K2517))</f>
        <v>1.37415601941635</v>
      </c>
      <c r="P2517" s="34" t="str">
        <f aca="false">IF(B2517&gt;=Eval_Start_Week,"YES","")</f>
        <v/>
      </c>
      <c r="Q2517" s="34" t="str">
        <f aca="false">IF(AND(B2517&gt;=Cal_Start_Week,B2517&lt;=Cal_End_Week),"YES","")</f>
        <v/>
      </c>
    </row>
    <row r="2518" customFormat="false" ht="15" hidden="false" customHeight="false" outlineLevel="0" collapsed="false">
      <c r="A2518" s="31" t="str">
        <f aca="false">Demand_History!C2518</f>
        <v>BED-005</v>
      </c>
      <c r="B2518" s="31" t="n">
        <f aca="false">Demand_History!A2518</f>
        <v>21</v>
      </c>
      <c r="C2518" s="32" t="n">
        <f aca="false">Demand_History!D2518</f>
        <v>17</v>
      </c>
      <c r="D2518" s="33" t="n">
        <f aca="false">IF(B2518&gt;=2,C2517,"")</f>
        <v>22</v>
      </c>
      <c r="E2518" s="33" t="n">
        <f aca="false">IF(B2518&gt;=5,AVERAGE(C2514:C2517),"")</f>
        <v>22.75</v>
      </c>
      <c r="F2518" s="33" t="n">
        <f aca="false">IF(B2518&gt;=9,AVERAGE(C2510:C2517),"")</f>
        <v>23.5</v>
      </c>
      <c r="G2518" s="33" t="n">
        <f aca="false">IF(B2518=1,"",IF(B2518=2,C2517,SES_Alpha*C2517+(1-SES_Alpha)*G2517))</f>
        <v>22.9619092135914</v>
      </c>
      <c r="H2518" s="33" t="n">
        <f aca="false">IF(D2518="","",D2518-C2518)</f>
        <v>5</v>
      </c>
      <c r="I2518" s="33" t="n">
        <f aca="false">IF(E2518="","",E2518-C2518)</f>
        <v>5.75</v>
      </c>
      <c r="J2518" s="33" t="n">
        <f aca="false">IF(F2518="","",F2518-C2518)</f>
        <v>6.5</v>
      </c>
      <c r="K2518" s="33" t="n">
        <f aca="false">IF(G2518="","",G2518-C2518)</f>
        <v>5.96190921359145</v>
      </c>
      <c r="L2518" s="33" t="n">
        <f aca="false">IF(H2518="","",ABS(H2518))</f>
        <v>5</v>
      </c>
      <c r="M2518" s="33" t="n">
        <f aca="false">IF(I2518="","",ABS(I2518))</f>
        <v>5.75</v>
      </c>
      <c r="N2518" s="33" t="n">
        <f aca="false">IF(J2518="","",ABS(J2518))</f>
        <v>6.5</v>
      </c>
      <c r="O2518" s="33" t="n">
        <f aca="false">IF(K2518="","",ABS(K2518))</f>
        <v>5.96190921359145</v>
      </c>
      <c r="P2518" s="34" t="str">
        <f aca="false">IF(B2518&gt;=Eval_Start_Week,"YES","")</f>
        <v/>
      </c>
      <c r="Q2518" s="34" t="str">
        <f aca="false">IF(AND(B2518&gt;=Cal_Start_Week,B2518&lt;=Cal_End_Week),"YES","")</f>
        <v/>
      </c>
    </row>
    <row r="2519" customFormat="false" ht="15" hidden="false" customHeight="false" outlineLevel="0" collapsed="false">
      <c r="A2519" s="31" t="str">
        <f aca="false">Demand_History!C2519</f>
        <v>BED-005</v>
      </c>
      <c r="B2519" s="31" t="n">
        <f aca="false">Demand_History!A2519</f>
        <v>22</v>
      </c>
      <c r="C2519" s="32" t="n">
        <f aca="false">Demand_History!D2519</f>
        <v>22</v>
      </c>
      <c r="D2519" s="33" t="n">
        <f aca="false">IF(B2519&gt;=2,C2518,"")</f>
        <v>17</v>
      </c>
      <c r="E2519" s="33" t="n">
        <f aca="false">IF(B2519&gt;=5,AVERAGE(C2515:C2518),"")</f>
        <v>21.25</v>
      </c>
      <c r="F2519" s="33" t="n">
        <f aca="false">IF(B2519&gt;=9,AVERAGE(C2511:C2518),"")</f>
        <v>22.5</v>
      </c>
      <c r="G2519" s="33" t="n">
        <f aca="false">IF(B2519=1,"",IF(B2519=2,C2518,SES_Alpha*C2518+(1-SES_Alpha)*G2518))</f>
        <v>21.173336449514</v>
      </c>
      <c r="H2519" s="33" t="n">
        <f aca="false">IF(D2519="","",D2519-C2519)</f>
        <v>-5</v>
      </c>
      <c r="I2519" s="33" t="n">
        <f aca="false">IF(E2519="","",E2519-C2519)</f>
        <v>-0.75</v>
      </c>
      <c r="J2519" s="33" t="n">
        <f aca="false">IF(F2519="","",F2519-C2519)</f>
        <v>0.5</v>
      </c>
      <c r="K2519" s="33" t="n">
        <f aca="false">IF(G2519="","",G2519-C2519)</f>
        <v>-0.826663550485989</v>
      </c>
      <c r="L2519" s="33" t="n">
        <f aca="false">IF(H2519="","",ABS(H2519))</f>
        <v>5</v>
      </c>
      <c r="M2519" s="33" t="n">
        <f aca="false">IF(I2519="","",ABS(I2519))</f>
        <v>0.75</v>
      </c>
      <c r="N2519" s="33" t="n">
        <f aca="false">IF(J2519="","",ABS(J2519))</f>
        <v>0.5</v>
      </c>
      <c r="O2519" s="33" t="n">
        <f aca="false">IF(K2519="","",ABS(K2519))</f>
        <v>0.826663550485989</v>
      </c>
      <c r="P2519" s="34" t="str">
        <f aca="false">IF(B2519&gt;=Eval_Start_Week,"YES","")</f>
        <v/>
      </c>
      <c r="Q2519" s="34" t="str">
        <f aca="false">IF(AND(B2519&gt;=Cal_Start_Week,B2519&lt;=Cal_End_Week),"YES","")</f>
        <v/>
      </c>
    </row>
    <row r="2520" customFormat="false" ht="15" hidden="false" customHeight="false" outlineLevel="0" collapsed="false">
      <c r="A2520" s="31" t="str">
        <f aca="false">Demand_History!C2520</f>
        <v>BED-005</v>
      </c>
      <c r="B2520" s="31" t="n">
        <f aca="false">Demand_History!A2520</f>
        <v>23</v>
      </c>
      <c r="C2520" s="32" t="n">
        <f aca="false">Demand_History!D2520</f>
        <v>25</v>
      </c>
      <c r="D2520" s="33" t="n">
        <f aca="false">IF(B2520&gt;=2,C2519,"")</f>
        <v>22</v>
      </c>
      <c r="E2520" s="33" t="n">
        <f aca="false">IF(B2520&gt;=5,AVERAGE(C2516:C2519),"")</f>
        <v>20.5</v>
      </c>
      <c r="F2520" s="33" t="n">
        <f aca="false">IF(B2520&gt;=9,AVERAGE(C2512:C2519),"")</f>
        <v>22.625</v>
      </c>
      <c r="G2520" s="33" t="n">
        <f aca="false">IF(B2520=1,"",IF(B2520=2,C2519,SES_Alpha*C2519+(1-SES_Alpha)*G2519))</f>
        <v>21.4213355146598</v>
      </c>
      <c r="H2520" s="33" t="n">
        <f aca="false">IF(D2520="","",D2520-C2520)</f>
        <v>-3</v>
      </c>
      <c r="I2520" s="33" t="n">
        <f aca="false">IF(E2520="","",E2520-C2520)</f>
        <v>-4.5</v>
      </c>
      <c r="J2520" s="33" t="n">
        <f aca="false">IF(F2520="","",F2520-C2520)</f>
        <v>-2.375</v>
      </c>
      <c r="K2520" s="33" t="n">
        <f aca="false">IF(G2520="","",G2520-C2520)</f>
        <v>-3.57866448534019</v>
      </c>
      <c r="L2520" s="33" t="n">
        <f aca="false">IF(H2520="","",ABS(H2520))</f>
        <v>3</v>
      </c>
      <c r="M2520" s="33" t="n">
        <f aca="false">IF(I2520="","",ABS(I2520))</f>
        <v>4.5</v>
      </c>
      <c r="N2520" s="33" t="n">
        <f aca="false">IF(J2520="","",ABS(J2520))</f>
        <v>2.375</v>
      </c>
      <c r="O2520" s="33" t="n">
        <f aca="false">IF(K2520="","",ABS(K2520))</f>
        <v>3.57866448534019</v>
      </c>
      <c r="P2520" s="34" t="str">
        <f aca="false">IF(B2520&gt;=Eval_Start_Week,"YES","")</f>
        <v/>
      </c>
      <c r="Q2520" s="34" t="str">
        <f aca="false">IF(AND(B2520&gt;=Cal_Start_Week,B2520&lt;=Cal_End_Week),"YES","")</f>
        <v/>
      </c>
    </row>
    <row r="2521" customFormat="false" ht="15" hidden="false" customHeight="false" outlineLevel="0" collapsed="false">
      <c r="A2521" s="31" t="str">
        <f aca="false">Demand_History!C2521</f>
        <v>BED-005</v>
      </c>
      <c r="B2521" s="31" t="n">
        <f aca="false">Demand_History!A2521</f>
        <v>24</v>
      </c>
      <c r="C2521" s="32" t="n">
        <f aca="false">Demand_History!D2521</f>
        <v>28</v>
      </c>
      <c r="D2521" s="33" t="n">
        <f aca="false">IF(B2521&gt;=2,C2520,"")</f>
        <v>25</v>
      </c>
      <c r="E2521" s="33" t="n">
        <f aca="false">IF(B2521&gt;=5,AVERAGE(C2517:C2520),"")</f>
        <v>21.5</v>
      </c>
      <c r="F2521" s="33" t="n">
        <f aca="false">IF(B2521&gt;=9,AVERAGE(C2513:C2520),"")</f>
        <v>23</v>
      </c>
      <c r="G2521" s="33" t="n">
        <f aca="false">IF(B2521=1,"",IF(B2521=2,C2520,SES_Alpha*C2520+(1-SES_Alpha)*G2520))</f>
        <v>22.4949348602619</v>
      </c>
      <c r="H2521" s="33" t="n">
        <f aca="false">IF(D2521="","",D2521-C2521)</f>
        <v>-3</v>
      </c>
      <c r="I2521" s="33" t="n">
        <f aca="false">IF(E2521="","",E2521-C2521)</f>
        <v>-6.5</v>
      </c>
      <c r="J2521" s="33" t="n">
        <f aca="false">IF(F2521="","",F2521-C2521)</f>
        <v>-5</v>
      </c>
      <c r="K2521" s="33" t="n">
        <f aca="false">IF(G2521="","",G2521-C2521)</f>
        <v>-5.50506513973814</v>
      </c>
      <c r="L2521" s="33" t="n">
        <f aca="false">IF(H2521="","",ABS(H2521))</f>
        <v>3</v>
      </c>
      <c r="M2521" s="33" t="n">
        <f aca="false">IF(I2521="","",ABS(I2521))</f>
        <v>6.5</v>
      </c>
      <c r="N2521" s="33" t="n">
        <f aca="false">IF(J2521="","",ABS(J2521))</f>
        <v>5</v>
      </c>
      <c r="O2521" s="33" t="n">
        <f aca="false">IF(K2521="","",ABS(K2521))</f>
        <v>5.50506513973814</v>
      </c>
      <c r="P2521" s="34" t="str">
        <f aca="false">IF(B2521&gt;=Eval_Start_Week,"YES","")</f>
        <v/>
      </c>
      <c r="Q2521" s="34" t="str">
        <f aca="false">IF(AND(B2521&gt;=Cal_Start_Week,B2521&lt;=Cal_End_Week),"YES","")</f>
        <v/>
      </c>
    </row>
    <row r="2522" customFormat="false" ht="15" hidden="false" customHeight="false" outlineLevel="0" collapsed="false">
      <c r="A2522" s="31" t="str">
        <f aca="false">Demand_History!C2522</f>
        <v>BED-005</v>
      </c>
      <c r="B2522" s="31" t="n">
        <f aca="false">Demand_History!A2522</f>
        <v>25</v>
      </c>
      <c r="C2522" s="32" t="n">
        <f aca="false">Demand_History!D2522</f>
        <v>25</v>
      </c>
      <c r="D2522" s="33" t="n">
        <f aca="false">IF(B2522&gt;=2,C2521,"")</f>
        <v>28</v>
      </c>
      <c r="E2522" s="33" t="n">
        <f aca="false">IF(B2522&gt;=5,AVERAGE(C2518:C2521),"")</f>
        <v>23</v>
      </c>
      <c r="F2522" s="33" t="n">
        <f aca="false">IF(B2522&gt;=9,AVERAGE(C2514:C2521),"")</f>
        <v>22.875</v>
      </c>
      <c r="G2522" s="33" t="n">
        <f aca="false">IF(B2522=1,"",IF(B2522=2,C2521,SES_Alpha*C2521+(1-SES_Alpha)*G2521))</f>
        <v>24.1464544021833</v>
      </c>
      <c r="H2522" s="33" t="n">
        <f aca="false">IF(D2522="","",D2522-C2522)</f>
        <v>3</v>
      </c>
      <c r="I2522" s="33" t="n">
        <f aca="false">IF(E2522="","",E2522-C2522)</f>
        <v>-2</v>
      </c>
      <c r="J2522" s="33" t="n">
        <f aca="false">IF(F2522="","",F2522-C2522)</f>
        <v>-2.125</v>
      </c>
      <c r="K2522" s="33" t="n">
        <f aca="false">IF(G2522="","",G2522-C2522)</f>
        <v>-0.853545597816698</v>
      </c>
      <c r="L2522" s="33" t="n">
        <f aca="false">IF(H2522="","",ABS(H2522))</f>
        <v>3</v>
      </c>
      <c r="M2522" s="33" t="n">
        <f aca="false">IF(I2522="","",ABS(I2522))</f>
        <v>2</v>
      </c>
      <c r="N2522" s="33" t="n">
        <f aca="false">IF(J2522="","",ABS(J2522))</f>
        <v>2.125</v>
      </c>
      <c r="O2522" s="33" t="n">
        <f aca="false">IF(K2522="","",ABS(K2522))</f>
        <v>0.853545597816698</v>
      </c>
      <c r="P2522" s="34" t="str">
        <f aca="false">IF(B2522&gt;=Eval_Start_Week,"YES","")</f>
        <v/>
      </c>
      <c r="Q2522" s="34" t="str">
        <f aca="false">IF(AND(B2522&gt;=Cal_Start_Week,B2522&lt;=Cal_End_Week),"YES","")</f>
        <v/>
      </c>
    </row>
    <row r="2523" customFormat="false" ht="15" hidden="false" customHeight="false" outlineLevel="0" collapsed="false">
      <c r="A2523" s="31" t="str">
        <f aca="false">Demand_History!C2523</f>
        <v>BED-005</v>
      </c>
      <c r="B2523" s="31" t="n">
        <f aca="false">Demand_History!A2523</f>
        <v>26</v>
      </c>
      <c r="C2523" s="32" t="n">
        <f aca="false">Demand_History!D2523</f>
        <v>23</v>
      </c>
      <c r="D2523" s="33" t="n">
        <f aca="false">IF(B2523&gt;=2,C2522,"")</f>
        <v>25</v>
      </c>
      <c r="E2523" s="33" t="n">
        <f aca="false">IF(B2523&gt;=5,AVERAGE(C2519:C2522),"")</f>
        <v>25</v>
      </c>
      <c r="F2523" s="33" t="n">
        <f aca="false">IF(B2523&gt;=9,AVERAGE(C2515:C2522),"")</f>
        <v>23.125</v>
      </c>
      <c r="G2523" s="33" t="n">
        <f aca="false">IF(B2523=1,"",IF(B2523=2,C2522,SES_Alpha*C2522+(1-SES_Alpha)*G2522))</f>
        <v>24.4025180815283</v>
      </c>
      <c r="H2523" s="33" t="n">
        <f aca="false">IF(D2523="","",D2523-C2523)</f>
        <v>2</v>
      </c>
      <c r="I2523" s="33" t="n">
        <f aca="false">IF(E2523="","",E2523-C2523)</f>
        <v>2</v>
      </c>
      <c r="J2523" s="33" t="n">
        <f aca="false">IF(F2523="","",F2523-C2523)</f>
        <v>0.125</v>
      </c>
      <c r="K2523" s="33" t="n">
        <f aca="false">IF(G2523="","",G2523-C2523)</f>
        <v>1.40251808152831</v>
      </c>
      <c r="L2523" s="33" t="n">
        <f aca="false">IF(H2523="","",ABS(H2523))</f>
        <v>2</v>
      </c>
      <c r="M2523" s="33" t="n">
        <f aca="false">IF(I2523="","",ABS(I2523))</f>
        <v>2</v>
      </c>
      <c r="N2523" s="33" t="n">
        <f aca="false">IF(J2523="","",ABS(J2523))</f>
        <v>0.125</v>
      </c>
      <c r="O2523" s="33" t="n">
        <f aca="false">IF(K2523="","",ABS(K2523))</f>
        <v>1.40251808152831</v>
      </c>
      <c r="P2523" s="34" t="str">
        <f aca="false">IF(B2523&gt;=Eval_Start_Week,"YES","")</f>
        <v/>
      </c>
      <c r="Q2523" s="34" t="str">
        <f aca="false">IF(AND(B2523&gt;=Cal_Start_Week,B2523&lt;=Cal_End_Week),"YES","")</f>
        <v/>
      </c>
    </row>
    <row r="2524" customFormat="false" ht="15" hidden="false" customHeight="false" outlineLevel="0" collapsed="false">
      <c r="A2524" s="31" t="str">
        <f aca="false">Demand_History!C2524</f>
        <v>BED-005</v>
      </c>
      <c r="B2524" s="31" t="n">
        <f aca="false">Demand_History!A2524</f>
        <v>27</v>
      </c>
      <c r="C2524" s="32" t="n">
        <f aca="false">Demand_History!D2524</f>
        <v>21</v>
      </c>
      <c r="D2524" s="33" t="n">
        <f aca="false">IF(B2524&gt;=2,C2523,"")</f>
        <v>23</v>
      </c>
      <c r="E2524" s="33" t="n">
        <f aca="false">IF(B2524&gt;=5,AVERAGE(C2520:C2523),"")</f>
        <v>25.25</v>
      </c>
      <c r="F2524" s="33" t="n">
        <f aca="false">IF(B2524&gt;=9,AVERAGE(C2516:C2523),"")</f>
        <v>22.875</v>
      </c>
      <c r="G2524" s="33" t="n">
        <f aca="false">IF(B2524=1,"",IF(B2524=2,C2523,SES_Alpha*C2523+(1-SES_Alpha)*G2523))</f>
        <v>23.9817626570698</v>
      </c>
      <c r="H2524" s="33" t="n">
        <f aca="false">IF(D2524="","",D2524-C2524)</f>
        <v>2</v>
      </c>
      <c r="I2524" s="33" t="n">
        <f aca="false">IF(E2524="","",E2524-C2524)</f>
        <v>4.25</v>
      </c>
      <c r="J2524" s="33" t="n">
        <f aca="false">IF(F2524="","",F2524-C2524)</f>
        <v>1.875</v>
      </c>
      <c r="K2524" s="33" t="n">
        <f aca="false">IF(G2524="","",G2524-C2524)</f>
        <v>2.98176265706982</v>
      </c>
      <c r="L2524" s="33" t="n">
        <f aca="false">IF(H2524="","",ABS(H2524))</f>
        <v>2</v>
      </c>
      <c r="M2524" s="33" t="n">
        <f aca="false">IF(I2524="","",ABS(I2524))</f>
        <v>4.25</v>
      </c>
      <c r="N2524" s="33" t="n">
        <f aca="false">IF(J2524="","",ABS(J2524))</f>
        <v>1.875</v>
      </c>
      <c r="O2524" s="33" t="n">
        <f aca="false">IF(K2524="","",ABS(K2524))</f>
        <v>2.98176265706982</v>
      </c>
      <c r="P2524" s="34" t="str">
        <f aca="false">IF(B2524&gt;=Eval_Start_Week,"YES","")</f>
        <v/>
      </c>
      <c r="Q2524" s="34" t="str">
        <f aca="false">IF(AND(B2524&gt;=Cal_Start_Week,B2524&lt;=Cal_End_Week),"YES","")</f>
        <v/>
      </c>
    </row>
    <row r="2525" customFormat="false" ht="15" hidden="false" customHeight="false" outlineLevel="0" collapsed="false">
      <c r="A2525" s="31" t="str">
        <f aca="false">Demand_History!C2525</f>
        <v>BED-005</v>
      </c>
      <c r="B2525" s="31" t="n">
        <f aca="false">Demand_History!A2525</f>
        <v>28</v>
      </c>
      <c r="C2525" s="32" t="n">
        <f aca="false">Demand_History!D2525</f>
        <v>19</v>
      </c>
      <c r="D2525" s="33" t="n">
        <f aca="false">IF(B2525&gt;=2,C2524,"")</f>
        <v>21</v>
      </c>
      <c r="E2525" s="33" t="n">
        <f aca="false">IF(B2525&gt;=5,AVERAGE(C2521:C2524),"")</f>
        <v>24.25</v>
      </c>
      <c r="F2525" s="33" t="n">
        <f aca="false">IF(B2525&gt;=9,AVERAGE(C2517:C2524),"")</f>
        <v>22.875</v>
      </c>
      <c r="G2525" s="33" t="n">
        <f aca="false">IF(B2525=1,"",IF(B2525=2,C2524,SES_Alpha*C2524+(1-SES_Alpha)*G2524))</f>
        <v>23.0872338599489</v>
      </c>
      <c r="H2525" s="33" t="n">
        <f aca="false">IF(D2525="","",D2525-C2525)</f>
        <v>2</v>
      </c>
      <c r="I2525" s="33" t="n">
        <f aca="false">IF(E2525="","",E2525-C2525)</f>
        <v>5.25</v>
      </c>
      <c r="J2525" s="33" t="n">
        <f aca="false">IF(F2525="","",F2525-C2525)</f>
        <v>3.875</v>
      </c>
      <c r="K2525" s="33" t="n">
        <f aca="false">IF(G2525="","",G2525-C2525)</f>
        <v>4.08723385994887</v>
      </c>
      <c r="L2525" s="33" t="n">
        <f aca="false">IF(H2525="","",ABS(H2525))</f>
        <v>2</v>
      </c>
      <c r="M2525" s="33" t="n">
        <f aca="false">IF(I2525="","",ABS(I2525))</f>
        <v>5.25</v>
      </c>
      <c r="N2525" s="33" t="n">
        <f aca="false">IF(J2525="","",ABS(J2525))</f>
        <v>3.875</v>
      </c>
      <c r="O2525" s="33" t="n">
        <f aca="false">IF(K2525="","",ABS(K2525))</f>
        <v>4.08723385994887</v>
      </c>
      <c r="P2525" s="34" t="str">
        <f aca="false">IF(B2525&gt;=Eval_Start_Week,"YES","")</f>
        <v/>
      </c>
      <c r="Q2525" s="34" t="str">
        <f aca="false">IF(AND(B2525&gt;=Cal_Start_Week,B2525&lt;=Cal_End_Week),"YES","")</f>
        <v/>
      </c>
    </row>
    <row r="2526" customFormat="false" ht="15" hidden="false" customHeight="false" outlineLevel="0" collapsed="false">
      <c r="A2526" s="31" t="str">
        <f aca="false">Demand_History!C2526</f>
        <v>BED-005</v>
      </c>
      <c r="B2526" s="31" t="n">
        <f aca="false">Demand_History!A2526</f>
        <v>29</v>
      </c>
      <c r="C2526" s="32" t="n">
        <f aca="false">Demand_History!D2526</f>
        <v>20</v>
      </c>
      <c r="D2526" s="33" t="n">
        <f aca="false">IF(B2526&gt;=2,C2525,"")</f>
        <v>19</v>
      </c>
      <c r="E2526" s="33" t="n">
        <f aca="false">IF(B2526&gt;=5,AVERAGE(C2522:C2525),"")</f>
        <v>22</v>
      </c>
      <c r="F2526" s="33" t="n">
        <f aca="false">IF(B2526&gt;=9,AVERAGE(C2518:C2525),"")</f>
        <v>22.5</v>
      </c>
      <c r="G2526" s="33" t="n">
        <f aca="false">IF(B2526=1,"",IF(B2526=2,C2525,SES_Alpha*C2525+(1-SES_Alpha)*G2525))</f>
        <v>21.8610637019642</v>
      </c>
      <c r="H2526" s="33" t="n">
        <f aca="false">IF(D2526="","",D2526-C2526)</f>
        <v>-1</v>
      </c>
      <c r="I2526" s="33" t="n">
        <f aca="false">IF(E2526="","",E2526-C2526)</f>
        <v>2</v>
      </c>
      <c r="J2526" s="33" t="n">
        <f aca="false">IF(F2526="","",F2526-C2526)</f>
        <v>2.5</v>
      </c>
      <c r="K2526" s="33" t="n">
        <f aca="false">IF(G2526="","",G2526-C2526)</f>
        <v>1.86106370196421</v>
      </c>
      <c r="L2526" s="33" t="n">
        <f aca="false">IF(H2526="","",ABS(H2526))</f>
        <v>1</v>
      </c>
      <c r="M2526" s="33" t="n">
        <f aca="false">IF(I2526="","",ABS(I2526))</f>
        <v>2</v>
      </c>
      <c r="N2526" s="33" t="n">
        <f aca="false">IF(J2526="","",ABS(J2526))</f>
        <v>2.5</v>
      </c>
      <c r="O2526" s="33" t="n">
        <f aca="false">IF(K2526="","",ABS(K2526))</f>
        <v>1.86106370196421</v>
      </c>
      <c r="P2526" s="34" t="str">
        <f aca="false">IF(B2526&gt;=Eval_Start_Week,"YES","")</f>
        <v/>
      </c>
      <c r="Q2526" s="34" t="str">
        <f aca="false">IF(AND(B2526&gt;=Cal_Start_Week,B2526&lt;=Cal_End_Week),"YES","")</f>
        <v/>
      </c>
    </row>
    <row r="2527" customFormat="false" ht="15" hidden="false" customHeight="false" outlineLevel="0" collapsed="false">
      <c r="A2527" s="31" t="str">
        <f aca="false">Demand_History!C2527</f>
        <v>BED-005</v>
      </c>
      <c r="B2527" s="31" t="n">
        <f aca="false">Demand_History!A2527</f>
        <v>30</v>
      </c>
      <c r="C2527" s="32" t="n">
        <f aca="false">Demand_History!D2527</f>
        <v>23</v>
      </c>
      <c r="D2527" s="33" t="n">
        <f aca="false">IF(B2527&gt;=2,C2526,"")</f>
        <v>20</v>
      </c>
      <c r="E2527" s="33" t="n">
        <f aca="false">IF(B2527&gt;=5,AVERAGE(C2523:C2526),"")</f>
        <v>20.75</v>
      </c>
      <c r="F2527" s="33" t="n">
        <f aca="false">IF(B2527&gt;=9,AVERAGE(C2519:C2526),"")</f>
        <v>22.875</v>
      </c>
      <c r="G2527" s="33" t="n">
        <f aca="false">IF(B2527=1,"",IF(B2527=2,C2526,SES_Alpha*C2526+(1-SES_Alpha)*G2526))</f>
        <v>21.3027445913749</v>
      </c>
      <c r="H2527" s="33" t="n">
        <f aca="false">IF(D2527="","",D2527-C2527)</f>
        <v>-3</v>
      </c>
      <c r="I2527" s="33" t="n">
        <f aca="false">IF(E2527="","",E2527-C2527)</f>
        <v>-2.25</v>
      </c>
      <c r="J2527" s="33" t="n">
        <f aca="false">IF(F2527="","",F2527-C2527)</f>
        <v>-0.125</v>
      </c>
      <c r="K2527" s="33" t="n">
        <f aca="false">IF(G2527="","",G2527-C2527)</f>
        <v>-1.69725540862505</v>
      </c>
      <c r="L2527" s="33" t="n">
        <f aca="false">IF(H2527="","",ABS(H2527))</f>
        <v>3</v>
      </c>
      <c r="M2527" s="33" t="n">
        <f aca="false">IF(I2527="","",ABS(I2527))</f>
        <v>2.25</v>
      </c>
      <c r="N2527" s="33" t="n">
        <f aca="false">IF(J2527="","",ABS(J2527))</f>
        <v>0.125</v>
      </c>
      <c r="O2527" s="33" t="n">
        <f aca="false">IF(K2527="","",ABS(K2527))</f>
        <v>1.69725540862505</v>
      </c>
      <c r="P2527" s="34" t="str">
        <f aca="false">IF(B2527&gt;=Eval_Start_Week,"YES","")</f>
        <v/>
      </c>
      <c r="Q2527" s="34" t="str">
        <f aca="false">IF(AND(B2527&gt;=Cal_Start_Week,B2527&lt;=Cal_End_Week),"YES","")</f>
        <v/>
      </c>
    </row>
    <row r="2528" customFormat="false" ht="15" hidden="false" customHeight="false" outlineLevel="0" collapsed="false">
      <c r="A2528" s="31" t="str">
        <f aca="false">Demand_History!C2528</f>
        <v>BED-005</v>
      </c>
      <c r="B2528" s="31" t="n">
        <f aca="false">Demand_History!A2528</f>
        <v>31</v>
      </c>
      <c r="C2528" s="32" t="n">
        <f aca="false">Demand_History!D2528</f>
        <v>18</v>
      </c>
      <c r="D2528" s="33" t="n">
        <f aca="false">IF(B2528&gt;=2,C2527,"")</f>
        <v>23</v>
      </c>
      <c r="E2528" s="33" t="n">
        <f aca="false">IF(B2528&gt;=5,AVERAGE(C2524:C2527),"")</f>
        <v>20.75</v>
      </c>
      <c r="F2528" s="33" t="n">
        <f aca="false">IF(B2528&gt;=9,AVERAGE(C2520:C2527),"")</f>
        <v>23</v>
      </c>
      <c r="G2528" s="33" t="n">
        <f aca="false">IF(B2528=1,"",IF(B2528=2,C2527,SES_Alpha*C2527+(1-SES_Alpha)*G2527))</f>
        <v>21.8119212139625</v>
      </c>
      <c r="H2528" s="33" t="n">
        <f aca="false">IF(D2528="","",D2528-C2528)</f>
        <v>5</v>
      </c>
      <c r="I2528" s="33" t="n">
        <f aca="false">IF(E2528="","",E2528-C2528)</f>
        <v>2.75</v>
      </c>
      <c r="J2528" s="33" t="n">
        <f aca="false">IF(F2528="","",F2528-C2528)</f>
        <v>5</v>
      </c>
      <c r="K2528" s="33" t="n">
        <f aca="false">IF(G2528="","",G2528-C2528)</f>
        <v>3.81192121396246</v>
      </c>
      <c r="L2528" s="33" t="n">
        <f aca="false">IF(H2528="","",ABS(H2528))</f>
        <v>5</v>
      </c>
      <c r="M2528" s="33" t="n">
        <f aca="false">IF(I2528="","",ABS(I2528))</f>
        <v>2.75</v>
      </c>
      <c r="N2528" s="33" t="n">
        <f aca="false">IF(J2528="","",ABS(J2528))</f>
        <v>5</v>
      </c>
      <c r="O2528" s="33" t="n">
        <f aca="false">IF(K2528="","",ABS(K2528))</f>
        <v>3.81192121396246</v>
      </c>
      <c r="P2528" s="34" t="str">
        <f aca="false">IF(B2528&gt;=Eval_Start_Week,"YES","")</f>
        <v/>
      </c>
      <c r="Q2528" s="34" t="str">
        <f aca="false">IF(AND(B2528&gt;=Cal_Start_Week,B2528&lt;=Cal_End_Week),"YES","")</f>
        <v/>
      </c>
    </row>
    <row r="2529" customFormat="false" ht="15" hidden="false" customHeight="false" outlineLevel="0" collapsed="false">
      <c r="A2529" s="31" t="str">
        <f aca="false">Demand_History!C2529</f>
        <v>BED-005</v>
      </c>
      <c r="B2529" s="31" t="n">
        <f aca="false">Demand_History!A2529</f>
        <v>32</v>
      </c>
      <c r="C2529" s="32" t="n">
        <f aca="false">Demand_History!D2529</f>
        <v>23</v>
      </c>
      <c r="D2529" s="33" t="n">
        <f aca="false">IF(B2529&gt;=2,C2528,"")</f>
        <v>18</v>
      </c>
      <c r="E2529" s="33" t="n">
        <f aca="false">IF(B2529&gt;=5,AVERAGE(C2525:C2528),"")</f>
        <v>20</v>
      </c>
      <c r="F2529" s="33" t="n">
        <f aca="false">IF(B2529&gt;=9,AVERAGE(C2521:C2528),"")</f>
        <v>22.125</v>
      </c>
      <c r="G2529" s="33" t="n">
        <f aca="false">IF(B2529=1,"",IF(B2529=2,C2528,SES_Alpha*C2528+(1-SES_Alpha)*G2528))</f>
        <v>20.6683448497737</v>
      </c>
      <c r="H2529" s="33" t="n">
        <f aca="false">IF(D2529="","",D2529-C2529)</f>
        <v>-5</v>
      </c>
      <c r="I2529" s="33" t="n">
        <f aca="false">IF(E2529="","",E2529-C2529)</f>
        <v>-3</v>
      </c>
      <c r="J2529" s="33" t="n">
        <f aca="false">IF(F2529="","",F2529-C2529)</f>
        <v>-0.875</v>
      </c>
      <c r="K2529" s="33" t="n">
        <f aca="false">IF(G2529="","",G2529-C2529)</f>
        <v>-2.33165515022628</v>
      </c>
      <c r="L2529" s="33" t="n">
        <f aca="false">IF(H2529="","",ABS(H2529))</f>
        <v>5</v>
      </c>
      <c r="M2529" s="33" t="n">
        <f aca="false">IF(I2529="","",ABS(I2529))</f>
        <v>3</v>
      </c>
      <c r="N2529" s="33" t="n">
        <f aca="false">IF(J2529="","",ABS(J2529))</f>
        <v>0.875</v>
      </c>
      <c r="O2529" s="33" t="n">
        <f aca="false">IF(K2529="","",ABS(K2529))</f>
        <v>2.33165515022628</v>
      </c>
      <c r="P2529" s="34" t="str">
        <f aca="false">IF(B2529&gt;=Eval_Start_Week,"YES","")</f>
        <v/>
      </c>
      <c r="Q2529" s="34" t="str">
        <f aca="false">IF(AND(B2529&gt;=Cal_Start_Week,B2529&lt;=Cal_End_Week),"YES","")</f>
        <v/>
      </c>
    </row>
    <row r="2530" customFormat="false" ht="15" hidden="false" customHeight="false" outlineLevel="0" collapsed="false">
      <c r="A2530" s="31" t="str">
        <f aca="false">Demand_History!C2530</f>
        <v>BED-005</v>
      </c>
      <c r="B2530" s="31" t="n">
        <f aca="false">Demand_History!A2530</f>
        <v>33</v>
      </c>
      <c r="C2530" s="32" t="n">
        <f aca="false">Demand_History!D2530</f>
        <v>18</v>
      </c>
      <c r="D2530" s="33" t="n">
        <f aca="false">IF(B2530&gt;=2,C2529,"")</f>
        <v>23</v>
      </c>
      <c r="E2530" s="33" t="n">
        <f aca="false">IF(B2530&gt;=5,AVERAGE(C2526:C2529),"")</f>
        <v>21</v>
      </c>
      <c r="F2530" s="33" t="n">
        <f aca="false">IF(B2530&gt;=9,AVERAGE(C2522:C2529),"")</f>
        <v>21.5</v>
      </c>
      <c r="G2530" s="33" t="n">
        <f aca="false">IF(B2530=1,"",IF(B2530=2,C2529,SES_Alpha*C2529+(1-SES_Alpha)*G2529))</f>
        <v>21.3678413948416</v>
      </c>
      <c r="H2530" s="33" t="n">
        <f aca="false">IF(D2530="","",D2530-C2530)</f>
        <v>5</v>
      </c>
      <c r="I2530" s="33" t="n">
        <f aca="false">IF(E2530="","",E2530-C2530)</f>
        <v>3</v>
      </c>
      <c r="J2530" s="33" t="n">
        <f aca="false">IF(F2530="","",F2530-C2530)</f>
        <v>3.5</v>
      </c>
      <c r="K2530" s="33" t="n">
        <f aca="false">IF(G2530="","",G2530-C2530)</f>
        <v>3.3678413948416</v>
      </c>
      <c r="L2530" s="33" t="n">
        <f aca="false">IF(H2530="","",ABS(H2530))</f>
        <v>5</v>
      </c>
      <c r="M2530" s="33" t="n">
        <f aca="false">IF(I2530="","",ABS(I2530))</f>
        <v>3</v>
      </c>
      <c r="N2530" s="33" t="n">
        <f aca="false">IF(J2530="","",ABS(J2530))</f>
        <v>3.5</v>
      </c>
      <c r="O2530" s="33" t="n">
        <f aca="false">IF(K2530="","",ABS(K2530))</f>
        <v>3.3678413948416</v>
      </c>
      <c r="P2530" s="34" t="str">
        <f aca="false">IF(B2530&gt;=Eval_Start_Week,"YES","")</f>
        <v/>
      </c>
      <c r="Q2530" s="34" t="str">
        <f aca="false">IF(AND(B2530&gt;=Cal_Start_Week,B2530&lt;=Cal_End_Week),"YES","")</f>
        <v/>
      </c>
    </row>
    <row r="2531" customFormat="false" ht="15" hidden="false" customHeight="false" outlineLevel="0" collapsed="false">
      <c r="A2531" s="31" t="str">
        <f aca="false">Demand_History!C2531</f>
        <v>BED-005</v>
      </c>
      <c r="B2531" s="31" t="n">
        <f aca="false">Demand_History!A2531</f>
        <v>34</v>
      </c>
      <c r="C2531" s="32" t="n">
        <f aca="false">Demand_History!D2531</f>
        <v>15</v>
      </c>
      <c r="D2531" s="33" t="n">
        <f aca="false">IF(B2531&gt;=2,C2530,"")</f>
        <v>18</v>
      </c>
      <c r="E2531" s="33" t="n">
        <f aca="false">IF(B2531&gt;=5,AVERAGE(C2527:C2530),"")</f>
        <v>20.5</v>
      </c>
      <c r="F2531" s="33" t="n">
        <f aca="false">IF(B2531&gt;=9,AVERAGE(C2523:C2530),"")</f>
        <v>20.625</v>
      </c>
      <c r="G2531" s="33" t="n">
        <f aca="false">IF(B2531=1,"",IF(B2531=2,C2530,SES_Alpha*C2530+(1-SES_Alpha)*G2530))</f>
        <v>20.3574889763891</v>
      </c>
      <c r="H2531" s="33" t="n">
        <f aca="false">IF(D2531="","",D2531-C2531)</f>
        <v>3</v>
      </c>
      <c r="I2531" s="33" t="n">
        <f aca="false">IF(E2531="","",E2531-C2531)</f>
        <v>5.5</v>
      </c>
      <c r="J2531" s="33" t="n">
        <f aca="false">IF(F2531="","",F2531-C2531)</f>
        <v>5.625</v>
      </c>
      <c r="K2531" s="33" t="n">
        <f aca="false">IF(G2531="","",G2531-C2531)</f>
        <v>5.35748897638912</v>
      </c>
      <c r="L2531" s="33" t="n">
        <f aca="false">IF(H2531="","",ABS(H2531))</f>
        <v>3</v>
      </c>
      <c r="M2531" s="33" t="n">
        <f aca="false">IF(I2531="","",ABS(I2531))</f>
        <v>5.5</v>
      </c>
      <c r="N2531" s="33" t="n">
        <f aca="false">IF(J2531="","",ABS(J2531))</f>
        <v>5.625</v>
      </c>
      <c r="O2531" s="33" t="n">
        <f aca="false">IF(K2531="","",ABS(K2531))</f>
        <v>5.35748897638912</v>
      </c>
      <c r="P2531" s="34" t="str">
        <f aca="false">IF(B2531&gt;=Eval_Start_Week,"YES","")</f>
        <v/>
      </c>
      <c r="Q2531" s="34" t="str">
        <f aca="false">IF(AND(B2531&gt;=Cal_Start_Week,B2531&lt;=Cal_End_Week),"YES","")</f>
        <v/>
      </c>
    </row>
    <row r="2532" customFormat="false" ht="15" hidden="false" customHeight="false" outlineLevel="0" collapsed="false">
      <c r="A2532" s="31" t="str">
        <f aca="false">Demand_History!C2532</f>
        <v>BED-005</v>
      </c>
      <c r="B2532" s="31" t="n">
        <f aca="false">Demand_History!A2532</f>
        <v>35</v>
      </c>
      <c r="C2532" s="32" t="n">
        <f aca="false">Demand_History!D2532</f>
        <v>17</v>
      </c>
      <c r="D2532" s="33" t="n">
        <f aca="false">IF(B2532&gt;=2,C2531,"")</f>
        <v>15</v>
      </c>
      <c r="E2532" s="33" t="n">
        <f aca="false">IF(B2532&gt;=5,AVERAGE(C2528:C2531),"")</f>
        <v>18.5</v>
      </c>
      <c r="F2532" s="33" t="n">
        <f aca="false">IF(B2532&gt;=9,AVERAGE(C2524:C2531),"")</f>
        <v>19.625</v>
      </c>
      <c r="G2532" s="33" t="n">
        <f aca="false">IF(B2532=1,"",IF(B2532=2,C2531,SES_Alpha*C2531+(1-SES_Alpha)*G2531))</f>
        <v>18.7502422834724</v>
      </c>
      <c r="H2532" s="33" t="n">
        <f aca="false">IF(D2532="","",D2532-C2532)</f>
        <v>-2</v>
      </c>
      <c r="I2532" s="33" t="n">
        <f aca="false">IF(E2532="","",E2532-C2532)</f>
        <v>1.5</v>
      </c>
      <c r="J2532" s="33" t="n">
        <f aca="false">IF(F2532="","",F2532-C2532)</f>
        <v>2.625</v>
      </c>
      <c r="K2532" s="33" t="n">
        <f aca="false">IF(G2532="","",G2532-C2532)</f>
        <v>1.75024228347238</v>
      </c>
      <c r="L2532" s="33" t="n">
        <f aca="false">IF(H2532="","",ABS(H2532))</f>
        <v>2</v>
      </c>
      <c r="M2532" s="33" t="n">
        <f aca="false">IF(I2532="","",ABS(I2532))</f>
        <v>1.5</v>
      </c>
      <c r="N2532" s="33" t="n">
        <f aca="false">IF(J2532="","",ABS(J2532))</f>
        <v>2.625</v>
      </c>
      <c r="O2532" s="33" t="n">
        <f aca="false">IF(K2532="","",ABS(K2532))</f>
        <v>1.75024228347238</v>
      </c>
      <c r="P2532" s="34" t="str">
        <f aca="false">IF(B2532&gt;=Eval_Start_Week,"YES","")</f>
        <v/>
      </c>
      <c r="Q2532" s="34" t="str">
        <f aca="false">IF(AND(B2532&gt;=Cal_Start_Week,B2532&lt;=Cal_End_Week),"YES","")</f>
        <v/>
      </c>
    </row>
    <row r="2533" customFormat="false" ht="15" hidden="false" customHeight="false" outlineLevel="0" collapsed="false">
      <c r="A2533" s="31" t="str">
        <f aca="false">Demand_History!C2533</f>
        <v>BED-005</v>
      </c>
      <c r="B2533" s="31" t="n">
        <f aca="false">Demand_History!A2533</f>
        <v>36</v>
      </c>
      <c r="C2533" s="32" t="n">
        <f aca="false">Demand_History!D2533</f>
        <v>15</v>
      </c>
      <c r="D2533" s="33" t="n">
        <f aca="false">IF(B2533&gt;=2,C2532,"")</f>
        <v>17</v>
      </c>
      <c r="E2533" s="33" t="n">
        <f aca="false">IF(B2533&gt;=5,AVERAGE(C2529:C2532),"")</f>
        <v>18.25</v>
      </c>
      <c r="F2533" s="33" t="n">
        <f aca="false">IF(B2533&gt;=9,AVERAGE(C2525:C2532),"")</f>
        <v>19.125</v>
      </c>
      <c r="G2533" s="33" t="n">
        <f aca="false">IF(B2533=1,"",IF(B2533=2,C2532,SES_Alpha*C2532+(1-SES_Alpha)*G2532))</f>
        <v>18.2251695984307</v>
      </c>
      <c r="H2533" s="33" t="n">
        <f aca="false">IF(D2533="","",D2533-C2533)</f>
        <v>2</v>
      </c>
      <c r="I2533" s="33" t="n">
        <f aca="false">IF(E2533="","",E2533-C2533)</f>
        <v>3.25</v>
      </c>
      <c r="J2533" s="33" t="n">
        <f aca="false">IF(F2533="","",F2533-C2533)</f>
        <v>4.125</v>
      </c>
      <c r="K2533" s="33" t="n">
        <f aca="false">IF(G2533="","",G2533-C2533)</f>
        <v>3.22516959843067</v>
      </c>
      <c r="L2533" s="33" t="n">
        <f aca="false">IF(H2533="","",ABS(H2533))</f>
        <v>2</v>
      </c>
      <c r="M2533" s="33" t="n">
        <f aca="false">IF(I2533="","",ABS(I2533))</f>
        <v>3.25</v>
      </c>
      <c r="N2533" s="33" t="n">
        <f aca="false">IF(J2533="","",ABS(J2533))</f>
        <v>4.125</v>
      </c>
      <c r="O2533" s="33" t="n">
        <f aca="false">IF(K2533="","",ABS(K2533))</f>
        <v>3.22516959843067</v>
      </c>
      <c r="P2533" s="34" t="str">
        <f aca="false">IF(B2533&gt;=Eval_Start_Week,"YES","")</f>
        <v/>
      </c>
      <c r="Q2533" s="34" t="str">
        <f aca="false">IF(AND(B2533&gt;=Cal_Start_Week,B2533&lt;=Cal_End_Week),"YES","")</f>
        <v/>
      </c>
    </row>
    <row r="2534" customFormat="false" ht="15" hidden="false" customHeight="false" outlineLevel="0" collapsed="false">
      <c r="A2534" s="31" t="str">
        <f aca="false">Demand_History!C2534</f>
        <v>BED-005</v>
      </c>
      <c r="B2534" s="31" t="n">
        <f aca="false">Demand_History!A2534</f>
        <v>37</v>
      </c>
      <c r="C2534" s="32" t="n">
        <f aca="false">Demand_History!D2534</f>
        <v>16</v>
      </c>
      <c r="D2534" s="33" t="n">
        <f aca="false">IF(B2534&gt;=2,C2533,"")</f>
        <v>15</v>
      </c>
      <c r="E2534" s="33" t="n">
        <f aca="false">IF(B2534&gt;=5,AVERAGE(C2530:C2533),"")</f>
        <v>16.25</v>
      </c>
      <c r="F2534" s="33" t="n">
        <f aca="false">IF(B2534&gt;=9,AVERAGE(C2526:C2533),"")</f>
        <v>18.625</v>
      </c>
      <c r="G2534" s="33" t="n">
        <f aca="false">IF(B2534=1,"",IF(B2534=2,C2533,SES_Alpha*C2533+(1-SES_Alpha)*G2533))</f>
        <v>17.2576187189015</v>
      </c>
      <c r="H2534" s="33" t="n">
        <f aca="false">IF(D2534="","",D2534-C2534)</f>
        <v>-1</v>
      </c>
      <c r="I2534" s="33" t="n">
        <f aca="false">IF(E2534="","",E2534-C2534)</f>
        <v>0.25</v>
      </c>
      <c r="J2534" s="33" t="n">
        <f aca="false">IF(F2534="","",F2534-C2534)</f>
        <v>2.625</v>
      </c>
      <c r="K2534" s="33" t="n">
        <f aca="false">IF(G2534="","",G2534-C2534)</f>
        <v>1.25761871890147</v>
      </c>
      <c r="L2534" s="33" t="n">
        <f aca="false">IF(H2534="","",ABS(H2534))</f>
        <v>1</v>
      </c>
      <c r="M2534" s="33" t="n">
        <f aca="false">IF(I2534="","",ABS(I2534))</f>
        <v>0.25</v>
      </c>
      <c r="N2534" s="33" t="n">
        <f aca="false">IF(J2534="","",ABS(J2534))</f>
        <v>2.625</v>
      </c>
      <c r="O2534" s="33" t="n">
        <f aca="false">IF(K2534="","",ABS(K2534))</f>
        <v>1.25761871890147</v>
      </c>
      <c r="P2534" s="34" t="str">
        <f aca="false">IF(B2534&gt;=Eval_Start_Week,"YES","")</f>
        <v/>
      </c>
      <c r="Q2534" s="34" t="str">
        <f aca="false">IF(AND(B2534&gt;=Cal_Start_Week,B2534&lt;=Cal_End_Week),"YES","")</f>
        <v>YES</v>
      </c>
    </row>
    <row r="2535" customFormat="false" ht="15" hidden="false" customHeight="false" outlineLevel="0" collapsed="false">
      <c r="A2535" s="31" t="str">
        <f aca="false">Demand_History!C2535</f>
        <v>BED-005</v>
      </c>
      <c r="B2535" s="31" t="n">
        <f aca="false">Demand_History!A2535</f>
        <v>38</v>
      </c>
      <c r="C2535" s="32" t="n">
        <f aca="false">Demand_History!D2535</f>
        <v>23</v>
      </c>
      <c r="D2535" s="33" t="n">
        <f aca="false">IF(B2535&gt;=2,C2534,"")</f>
        <v>16</v>
      </c>
      <c r="E2535" s="33" t="n">
        <f aca="false">IF(B2535&gt;=5,AVERAGE(C2531:C2534),"")</f>
        <v>15.75</v>
      </c>
      <c r="F2535" s="33" t="n">
        <f aca="false">IF(B2535&gt;=9,AVERAGE(C2527:C2534),"")</f>
        <v>18.125</v>
      </c>
      <c r="G2535" s="33" t="n">
        <f aca="false">IF(B2535=1,"",IF(B2535=2,C2534,SES_Alpha*C2534+(1-SES_Alpha)*G2534))</f>
        <v>16.880333103231</v>
      </c>
      <c r="H2535" s="33" t="n">
        <f aca="false">IF(D2535="","",D2535-C2535)</f>
        <v>-7</v>
      </c>
      <c r="I2535" s="33" t="n">
        <f aca="false">IF(E2535="","",E2535-C2535)</f>
        <v>-7.25</v>
      </c>
      <c r="J2535" s="33" t="n">
        <f aca="false">IF(F2535="","",F2535-C2535)</f>
        <v>-4.875</v>
      </c>
      <c r="K2535" s="33" t="n">
        <f aca="false">IF(G2535="","",G2535-C2535)</f>
        <v>-6.11966689676897</v>
      </c>
      <c r="L2535" s="33" t="n">
        <f aca="false">IF(H2535="","",ABS(H2535))</f>
        <v>7</v>
      </c>
      <c r="M2535" s="33" t="n">
        <f aca="false">IF(I2535="","",ABS(I2535))</f>
        <v>7.25</v>
      </c>
      <c r="N2535" s="33" t="n">
        <f aca="false">IF(J2535="","",ABS(J2535))</f>
        <v>4.875</v>
      </c>
      <c r="O2535" s="33" t="n">
        <f aca="false">IF(K2535="","",ABS(K2535))</f>
        <v>6.11966689676897</v>
      </c>
      <c r="P2535" s="34" t="str">
        <f aca="false">IF(B2535&gt;=Eval_Start_Week,"YES","")</f>
        <v/>
      </c>
      <c r="Q2535" s="34" t="str">
        <f aca="false">IF(AND(B2535&gt;=Cal_Start_Week,B2535&lt;=Cal_End_Week),"YES","")</f>
        <v>YES</v>
      </c>
    </row>
    <row r="2536" customFormat="false" ht="15" hidden="false" customHeight="false" outlineLevel="0" collapsed="false">
      <c r="A2536" s="31" t="str">
        <f aca="false">Demand_History!C2536</f>
        <v>BED-005</v>
      </c>
      <c r="B2536" s="31" t="n">
        <f aca="false">Demand_History!A2536</f>
        <v>39</v>
      </c>
      <c r="C2536" s="32" t="n">
        <f aca="false">Demand_History!D2536</f>
        <v>19</v>
      </c>
      <c r="D2536" s="33" t="n">
        <f aca="false">IF(B2536&gt;=2,C2535,"")</f>
        <v>23</v>
      </c>
      <c r="E2536" s="33" t="n">
        <f aca="false">IF(B2536&gt;=5,AVERAGE(C2532:C2535),"")</f>
        <v>17.75</v>
      </c>
      <c r="F2536" s="33" t="n">
        <f aca="false">IF(B2536&gt;=9,AVERAGE(C2528:C2535),"")</f>
        <v>18.125</v>
      </c>
      <c r="G2536" s="33" t="n">
        <f aca="false">IF(B2536=1,"",IF(B2536=2,C2535,SES_Alpha*C2535+(1-SES_Alpha)*G2535))</f>
        <v>18.7162331722617</v>
      </c>
      <c r="H2536" s="33" t="n">
        <f aca="false">IF(D2536="","",D2536-C2536)</f>
        <v>4</v>
      </c>
      <c r="I2536" s="33" t="n">
        <f aca="false">IF(E2536="","",E2536-C2536)</f>
        <v>-1.25</v>
      </c>
      <c r="J2536" s="33" t="n">
        <f aca="false">IF(F2536="","",F2536-C2536)</f>
        <v>-0.875</v>
      </c>
      <c r="K2536" s="33" t="n">
        <f aca="false">IF(G2536="","",G2536-C2536)</f>
        <v>-0.283766827738283</v>
      </c>
      <c r="L2536" s="33" t="n">
        <f aca="false">IF(H2536="","",ABS(H2536))</f>
        <v>4</v>
      </c>
      <c r="M2536" s="33" t="n">
        <f aca="false">IF(I2536="","",ABS(I2536))</f>
        <v>1.25</v>
      </c>
      <c r="N2536" s="33" t="n">
        <f aca="false">IF(J2536="","",ABS(J2536))</f>
        <v>0.875</v>
      </c>
      <c r="O2536" s="33" t="n">
        <f aca="false">IF(K2536="","",ABS(K2536))</f>
        <v>0.283766827738283</v>
      </c>
      <c r="P2536" s="34" t="str">
        <f aca="false">IF(B2536&gt;=Eval_Start_Week,"YES","")</f>
        <v/>
      </c>
      <c r="Q2536" s="34" t="str">
        <f aca="false">IF(AND(B2536&gt;=Cal_Start_Week,B2536&lt;=Cal_End_Week),"YES","")</f>
        <v>YES</v>
      </c>
    </row>
    <row r="2537" customFormat="false" ht="15" hidden="false" customHeight="false" outlineLevel="0" collapsed="false">
      <c r="A2537" s="31" t="str">
        <f aca="false">Demand_History!C2537</f>
        <v>BED-005</v>
      </c>
      <c r="B2537" s="31" t="n">
        <f aca="false">Demand_History!A2537</f>
        <v>40</v>
      </c>
      <c r="C2537" s="32" t="n">
        <f aca="false">Demand_History!D2537</f>
        <v>20</v>
      </c>
      <c r="D2537" s="33" t="n">
        <f aca="false">IF(B2537&gt;=2,C2536,"")</f>
        <v>19</v>
      </c>
      <c r="E2537" s="33" t="n">
        <f aca="false">IF(B2537&gt;=5,AVERAGE(C2533:C2536),"")</f>
        <v>18.25</v>
      </c>
      <c r="F2537" s="33" t="n">
        <f aca="false">IF(B2537&gt;=9,AVERAGE(C2529:C2536),"")</f>
        <v>18.25</v>
      </c>
      <c r="G2537" s="33" t="n">
        <f aca="false">IF(B2537=1,"",IF(B2537=2,C2536,SES_Alpha*C2536+(1-SES_Alpha)*G2536))</f>
        <v>18.8013632205832</v>
      </c>
      <c r="H2537" s="33" t="n">
        <f aca="false">IF(D2537="","",D2537-C2537)</f>
        <v>-1</v>
      </c>
      <c r="I2537" s="33" t="n">
        <f aca="false">IF(E2537="","",E2537-C2537)</f>
        <v>-1.75</v>
      </c>
      <c r="J2537" s="33" t="n">
        <f aca="false">IF(F2537="","",F2537-C2537)</f>
        <v>-1.75</v>
      </c>
      <c r="K2537" s="33" t="n">
        <f aca="false">IF(G2537="","",G2537-C2537)</f>
        <v>-1.1986367794168</v>
      </c>
      <c r="L2537" s="33" t="n">
        <f aca="false">IF(H2537="","",ABS(H2537))</f>
        <v>1</v>
      </c>
      <c r="M2537" s="33" t="n">
        <f aca="false">IF(I2537="","",ABS(I2537))</f>
        <v>1.75</v>
      </c>
      <c r="N2537" s="33" t="n">
        <f aca="false">IF(J2537="","",ABS(J2537))</f>
        <v>1.75</v>
      </c>
      <c r="O2537" s="33" t="n">
        <f aca="false">IF(K2537="","",ABS(K2537))</f>
        <v>1.1986367794168</v>
      </c>
      <c r="P2537" s="34" t="str">
        <f aca="false">IF(B2537&gt;=Eval_Start_Week,"YES","")</f>
        <v/>
      </c>
      <c r="Q2537" s="34" t="str">
        <f aca="false">IF(AND(B2537&gt;=Cal_Start_Week,B2537&lt;=Cal_End_Week),"YES","")</f>
        <v>YES</v>
      </c>
    </row>
    <row r="2538" customFormat="false" ht="15" hidden="false" customHeight="false" outlineLevel="0" collapsed="false">
      <c r="A2538" s="31" t="str">
        <f aca="false">Demand_History!C2538</f>
        <v>BED-005</v>
      </c>
      <c r="B2538" s="31" t="n">
        <f aca="false">Demand_History!A2538</f>
        <v>41</v>
      </c>
      <c r="C2538" s="32" t="n">
        <f aca="false">Demand_History!D2538</f>
        <v>23</v>
      </c>
      <c r="D2538" s="33" t="n">
        <f aca="false">IF(B2538&gt;=2,C2537,"")</f>
        <v>20</v>
      </c>
      <c r="E2538" s="33" t="n">
        <f aca="false">IF(B2538&gt;=5,AVERAGE(C2534:C2537),"")</f>
        <v>19.5</v>
      </c>
      <c r="F2538" s="33" t="n">
        <f aca="false">IF(B2538&gt;=9,AVERAGE(C2530:C2537),"")</f>
        <v>17.875</v>
      </c>
      <c r="G2538" s="33" t="n">
        <f aca="false">IF(B2538=1,"",IF(B2538=2,C2537,SES_Alpha*C2537+(1-SES_Alpha)*G2537))</f>
        <v>19.1609542544082</v>
      </c>
      <c r="H2538" s="33" t="n">
        <f aca="false">IF(D2538="","",D2538-C2538)</f>
        <v>-3</v>
      </c>
      <c r="I2538" s="33" t="n">
        <f aca="false">IF(E2538="","",E2538-C2538)</f>
        <v>-3.5</v>
      </c>
      <c r="J2538" s="33" t="n">
        <f aca="false">IF(F2538="","",F2538-C2538)</f>
        <v>-5.125</v>
      </c>
      <c r="K2538" s="33" t="n">
        <f aca="false">IF(G2538="","",G2538-C2538)</f>
        <v>-3.83904574559176</v>
      </c>
      <c r="L2538" s="33" t="n">
        <f aca="false">IF(H2538="","",ABS(H2538))</f>
        <v>3</v>
      </c>
      <c r="M2538" s="33" t="n">
        <f aca="false">IF(I2538="","",ABS(I2538))</f>
        <v>3.5</v>
      </c>
      <c r="N2538" s="33" t="n">
        <f aca="false">IF(J2538="","",ABS(J2538))</f>
        <v>5.125</v>
      </c>
      <c r="O2538" s="33" t="n">
        <f aca="false">IF(K2538="","",ABS(K2538))</f>
        <v>3.83904574559176</v>
      </c>
      <c r="P2538" s="34" t="str">
        <f aca="false">IF(B2538&gt;=Eval_Start_Week,"YES","")</f>
        <v/>
      </c>
      <c r="Q2538" s="34" t="str">
        <f aca="false">IF(AND(B2538&gt;=Cal_Start_Week,B2538&lt;=Cal_End_Week),"YES","")</f>
        <v>YES</v>
      </c>
    </row>
    <row r="2539" customFormat="false" ht="15" hidden="false" customHeight="false" outlineLevel="0" collapsed="false">
      <c r="A2539" s="31" t="str">
        <f aca="false">Demand_History!C2539</f>
        <v>BED-005</v>
      </c>
      <c r="B2539" s="31" t="n">
        <f aca="false">Demand_History!A2539</f>
        <v>42</v>
      </c>
      <c r="C2539" s="32" t="n">
        <f aca="false">Demand_History!D2539</f>
        <v>23</v>
      </c>
      <c r="D2539" s="33" t="n">
        <f aca="false">IF(B2539&gt;=2,C2538,"")</f>
        <v>23</v>
      </c>
      <c r="E2539" s="33" t="n">
        <f aca="false">IF(B2539&gt;=5,AVERAGE(C2535:C2538),"")</f>
        <v>21.25</v>
      </c>
      <c r="F2539" s="33" t="n">
        <f aca="false">IF(B2539&gt;=9,AVERAGE(C2531:C2538),"")</f>
        <v>18.5</v>
      </c>
      <c r="G2539" s="33" t="n">
        <f aca="false">IF(B2539=1,"",IF(B2539=2,C2538,SES_Alpha*C2538+(1-SES_Alpha)*G2538))</f>
        <v>20.3126679780858</v>
      </c>
      <c r="H2539" s="33" t="n">
        <f aca="false">IF(D2539="","",D2539-C2539)</f>
        <v>0</v>
      </c>
      <c r="I2539" s="33" t="n">
        <f aca="false">IF(E2539="","",E2539-C2539)</f>
        <v>-1.75</v>
      </c>
      <c r="J2539" s="33" t="n">
        <f aca="false">IF(F2539="","",F2539-C2539)</f>
        <v>-4.5</v>
      </c>
      <c r="K2539" s="33" t="n">
        <f aca="false">IF(G2539="","",G2539-C2539)</f>
        <v>-2.68733202191423</v>
      </c>
      <c r="L2539" s="33" t="n">
        <f aca="false">IF(H2539="","",ABS(H2539))</f>
        <v>0</v>
      </c>
      <c r="M2539" s="33" t="n">
        <f aca="false">IF(I2539="","",ABS(I2539))</f>
        <v>1.75</v>
      </c>
      <c r="N2539" s="33" t="n">
        <f aca="false">IF(J2539="","",ABS(J2539))</f>
        <v>4.5</v>
      </c>
      <c r="O2539" s="33" t="n">
        <f aca="false">IF(K2539="","",ABS(K2539))</f>
        <v>2.68733202191423</v>
      </c>
      <c r="P2539" s="34" t="str">
        <f aca="false">IF(B2539&gt;=Eval_Start_Week,"YES","")</f>
        <v/>
      </c>
      <c r="Q2539" s="34" t="str">
        <f aca="false">IF(AND(B2539&gt;=Cal_Start_Week,B2539&lt;=Cal_End_Week),"YES","")</f>
        <v>YES</v>
      </c>
    </row>
    <row r="2540" customFormat="false" ht="15" hidden="false" customHeight="false" outlineLevel="0" collapsed="false">
      <c r="A2540" s="31" t="str">
        <f aca="false">Demand_History!C2540</f>
        <v>BED-005</v>
      </c>
      <c r="B2540" s="31" t="n">
        <f aca="false">Demand_History!A2540</f>
        <v>43</v>
      </c>
      <c r="C2540" s="32" t="n">
        <f aca="false">Demand_History!D2540</f>
        <v>18</v>
      </c>
      <c r="D2540" s="33" t="n">
        <f aca="false">IF(B2540&gt;=2,C2539,"")</f>
        <v>23</v>
      </c>
      <c r="E2540" s="33" t="n">
        <f aca="false">IF(B2540&gt;=5,AVERAGE(C2536:C2539),"")</f>
        <v>21.25</v>
      </c>
      <c r="F2540" s="33" t="n">
        <f aca="false">IF(B2540&gt;=9,AVERAGE(C2532:C2539),"")</f>
        <v>19.5</v>
      </c>
      <c r="G2540" s="33" t="n">
        <f aca="false">IF(B2540=1,"",IF(B2540=2,C2539,SES_Alpha*C2539+(1-SES_Alpha)*G2539))</f>
        <v>21.11886758466</v>
      </c>
      <c r="H2540" s="33" t="n">
        <f aca="false">IF(D2540="","",D2540-C2540)</f>
        <v>5</v>
      </c>
      <c r="I2540" s="33" t="n">
        <f aca="false">IF(E2540="","",E2540-C2540)</f>
        <v>3.25</v>
      </c>
      <c r="J2540" s="33" t="n">
        <f aca="false">IF(F2540="","",F2540-C2540)</f>
        <v>1.5</v>
      </c>
      <c r="K2540" s="33" t="n">
        <f aca="false">IF(G2540="","",G2540-C2540)</f>
        <v>3.11886758466003</v>
      </c>
      <c r="L2540" s="33" t="n">
        <f aca="false">IF(H2540="","",ABS(H2540))</f>
        <v>5</v>
      </c>
      <c r="M2540" s="33" t="n">
        <f aca="false">IF(I2540="","",ABS(I2540))</f>
        <v>3.25</v>
      </c>
      <c r="N2540" s="33" t="n">
        <f aca="false">IF(J2540="","",ABS(J2540))</f>
        <v>1.5</v>
      </c>
      <c r="O2540" s="33" t="n">
        <f aca="false">IF(K2540="","",ABS(K2540))</f>
        <v>3.11886758466003</v>
      </c>
      <c r="P2540" s="34" t="str">
        <f aca="false">IF(B2540&gt;=Eval_Start_Week,"YES","")</f>
        <v/>
      </c>
      <c r="Q2540" s="34" t="str">
        <f aca="false">IF(AND(B2540&gt;=Cal_Start_Week,B2540&lt;=Cal_End_Week),"YES","")</f>
        <v>YES</v>
      </c>
    </row>
    <row r="2541" customFormat="false" ht="15" hidden="false" customHeight="false" outlineLevel="0" collapsed="false">
      <c r="A2541" s="31" t="str">
        <f aca="false">Demand_History!C2541</f>
        <v>BED-005</v>
      </c>
      <c r="B2541" s="31" t="n">
        <f aca="false">Demand_History!A2541</f>
        <v>44</v>
      </c>
      <c r="C2541" s="32" t="n">
        <f aca="false">Demand_History!D2541</f>
        <v>23</v>
      </c>
      <c r="D2541" s="33" t="n">
        <f aca="false">IF(B2541&gt;=2,C2540,"")</f>
        <v>18</v>
      </c>
      <c r="E2541" s="33" t="n">
        <f aca="false">IF(B2541&gt;=5,AVERAGE(C2537:C2540),"")</f>
        <v>21</v>
      </c>
      <c r="F2541" s="33" t="n">
        <f aca="false">IF(B2541&gt;=9,AVERAGE(C2533:C2540),"")</f>
        <v>19.625</v>
      </c>
      <c r="G2541" s="33" t="n">
        <f aca="false">IF(B2541=1,"",IF(B2541=2,C2540,SES_Alpha*C2540+(1-SES_Alpha)*G2540))</f>
        <v>20.183207309262</v>
      </c>
      <c r="H2541" s="33" t="n">
        <f aca="false">IF(D2541="","",D2541-C2541)</f>
        <v>-5</v>
      </c>
      <c r="I2541" s="33" t="n">
        <f aca="false">IF(E2541="","",E2541-C2541)</f>
        <v>-2</v>
      </c>
      <c r="J2541" s="33" t="n">
        <f aca="false">IF(F2541="","",F2541-C2541)</f>
        <v>-3.375</v>
      </c>
      <c r="K2541" s="33" t="n">
        <f aca="false">IF(G2541="","",G2541-C2541)</f>
        <v>-2.81679269073798</v>
      </c>
      <c r="L2541" s="33" t="n">
        <f aca="false">IF(H2541="","",ABS(H2541))</f>
        <v>5</v>
      </c>
      <c r="M2541" s="33" t="n">
        <f aca="false">IF(I2541="","",ABS(I2541))</f>
        <v>2</v>
      </c>
      <c r="N2541" s="33" t="n">
        <f aca="false">IF(J2541="","",ABS(J2541))</f>
        <v>3.375</v>
      </c>
      <c r="O2541" s="33" t="n">
        <f aca="false">IF(K2541="","",ABS(K2541))</f>
        <v>2.81679269073798</v>
      </c>
      <c r="P2541" s="34" t="str">
        <f aca="false">IF(B2541&gt;=Eval_Start_Week,"YES","")</f>
        <v/>
      </c>
      <c r="Q2541" s="34" t="str">
        <f aca="false">IF(AND(B2541&gt;=Cal_Start_Week,B2541&lt;=Cal_End_Week),"YES","")</f>
        <v>YES</v>
      </c>
    </row>
    <row r="2542" customFormat="false" ht="15" hidden="false" customHeight="false" outlineLevel="0" collapsed="false">
      <c r="A2542" s="31" t="str">
        <f aca="false">Demand_History!C2542</f>
        <v>BED-005</v>
      </c>
      <c r="B2542" s="31" t="n">
        <f aca="false">Demand_History!A2542</f>
        <v>45</v>
      </c>
      <c r="C2542" s="32" t="n">
        <f aca="false">Demand_History!D2542</f>
        <v>20</v>
      </c>
      <c r="D2542" s="33" t="n">
        <f aca="false">IF(B2542&gt;=2,C2541,"")</f>
        <v>23</v>
      </c>
      <c r="E2542" s="33" t="n">
        <f aca="false">IF(B2542&gt;=5,AVERAGE(C2538:C2541),"")</f>
        <v>21.75</v>
      </c>
      <c r="F2542" s="33" t="n">
        <f aca="false">IF(B2542&gt;=9,AVERAGE(C2534:C2541),"")</f>
        <v>20.625</v>
      </c>
      <c r="G2542" s="33" t="n">
        <f aca="false">IF(B2542=1,"",IF(B2542=2,C2541,SES_Alpha*C2541+(1-SES_Alpha)*G2541))</f>
        <v>21.0282451164834</v>
      </c>
      <c r="H2542" s="33" t="n">
        <f aca="false">IF(D2542="","",D2542-C2542)</f>
        <v>3</v>
      </c>
      <c r="I2542" s="33" t="n">
        <f aca="false">IF(E2542="","",E2542-C2542)</f>
        <v>1.75</v>
      </c>
      <c r="J2542" s="33" t="n">
        <f aca="false">IF(F2542="","",F2542-C2542)</f>
        <v>0.625</v>
      </c>
      <c r="K2542" s="33" t="n">
        <f aca="false">IF(G2542="","",G2542-C2542)</f>
        <v>1.02824511648342</v>
      </c>
      <c r="L2542" s="33" t="n">
        <f aca="false">IF(H2542="","",ABS(H2542))</f>
        <v>3</v>
      </c>
      <c r="M2542" s="33" t="n">
        <f aca="false">IF(I2542="","",ABS(I2542))</f>
        <v>1.75</v>
      </c>
      <c r="N2542" s="33" t="n">
        <f aca="false">IF(J2542="","",ABS(J2542))</f>
        <v>0.625</v>
      </c>
      <c r="O2542" s="33" t="n">
        <f aca="false">IF(K2542="","",ABS(K2542))</f>
        <v>1.02824511648342</v>
      </c>
      <c r="P2542" s="34" t="str">
        <f aca="false">IF(B2542&gt;=Eval_Start_Week,"YES","")</f>
        <v/>
      </c>
      <c r="Q2542" s="34" t="str">
        <f aca="false">IF(AND(B2542&gt;=Cal_Start_Week,B2542&lt;=Cal_End_Week),"YES","")</f>
        <v>YES</v>
      </c>
    </row>
    <row r="2543" customFormat="false" ht="15" hidden="false" customHeight="false" outlineLevel="0" collapsed="false">
      <c r="A2543" s="31" t="str">
        <f aca="false">Demand_History!C2543</f>
        <v>BED-005</v>
      </c>
      <c r="B2543" s="31" t="n">
        <f aca="false">Demand_History!A2543</f>
        <v>46</v>
      </c>
      <c r="C2543" s="32" t="n">
        <f aca="false">Demand_History!D2543</f>
        <v>19</v>
      </c>
      <c r="D2543" s="33" t="n">
        <f aca="false">IF(B2543&gt;=2,C2542,"")</f>
        <v>20</v>
      </c>
      <c r="E2543" s="33" t="n">
        <f aca="false">IF(B2543&gt;=5,AVERAGE(C2539:C2542),"")</f>
        <v>21</v>
      </c>
      <c r="F2543" s="33" t="n">
        <f aca="false">IF(B2543&gt;=9,AVERAGE(C2535:C2542),"")</f>
        <v>21.125</v>
      </c>
      <c r="G2543" s="33" t="n">
        <f aca="false">IF(B2543=1,"",IF(B2543=2,C2542,SES_Alpha*C2542+(1-SES_Alpha)*G2542))</f>
        <v>20.7197715815384</v>
      </c>
      <c r="H2543" s="33" t="n">
        <f aca="false">IF(D2543="","",D2543-C2543)</f>
        <v>1</v>
      </c>
      <c r="I2543" s="33" t="n">
        <f aca="false">IF(E2543="","",E2543-C2543)</f>
        <v>2</v>
      </c>
      <c r="J2543" s="33" t="n">
        <f aca="false">IF(F2543="","",F2543-C2543)</f>
        <v>2.125</v>
      </c>
      <c r="K2543" s="33" t="n">
        <f aca="false">IF(G2543="","",G2543-C2543)</f>
        <v>1.71977158153839</v>
      </c>
      <c r="L2543" s="33" t="n">
        <f aca="false">IF(H2543="","",ABS(H2543))</f>
        <v>1</v>
      </c>
      <c r="M2543" s="33" t="n">
        <f aca="false">IF(I2543="","",ABS(I2543))</f>
        <v>2</v>
      </c>
      <c r="N2543" s="33" t="n">
        <f aca="false">IF(J2543="","",ABS(J2543))</f>
        <v>2.125</v>
      </c>
      <c r="O2543" s="33" t="n">
        <f aca="false">IF(K2543="","",ABS(K2543))</f>
        <v>1.71977158153839</v>
      </c>
      <c r="P2543" s="34" t="str">
        <f aca="false">IF(B2543&gt;=Eval_Start_Week,"YES","")</f>
        <v/>
      </c>
      <c r="Q2543" s="34" t="str">
        <f aca="false">IF(AND(B2543&gt;=Cal_Start_Week,B2543&lt;=Cal_End_Week),"YES","")</f>
        <v>YES</v>
      </c>
    </row>
    <row r="2544" customFormat="false" ht="15" hidden="false" customHeight="false" outlineLevel="0" collapsed="false">
      <c r="A2544" s="31" t="str">
        <f aca="false">Demand_History!C2544</f>
        <v>BED-005</v>
      </c>
      <c r="B2544" s="31" t="n">
        <f aca="false">Demand_History!A2544</f>
        <v>47</v>
      </c>
      <c r="C2544" s="32" t="n">
        <f aca="false">Demand_History!D2544</f>
        <v>20</v>
      </c>
      <c r="D2544" s="33" t="n">
        <f aca="false">IF(B2544&gt;=2,C2543,"")</f>
        <v>19</v>
      </c>
      <c r="E2544" s="33" t="n">
        <f aca="false">IF(B2544&gt;=5,AVERAGE(C2540:C2543),"")</f>
        <v>20</v>
      </c>
      <c r="F2544" s="33" t="n">
        <f aca="false">IF(B2544&gt;=9,AVERAGE(C2536:C2543),"")</f>
        <v>20.625</v>
      </c>
      <c r="G2544" s="33" t="n">
        <f aca="false">IF(B2544=1,"",IF(B2544=2,C2543,SES_Alpha*C2543+(1-SES_Alpha)*G2543))</f>
        <v>20.2038401070769</v>
      </c>
      <c r="H2544" s="33" t="n">
        <f aca="false">IF(D2544="","",D2544-C2544)</f>
        <v>-1</v>
      </c>
      <c r="I2544" s="33" t="n">
        <f aca="false">IF(E2544="","",E2544-C2544)</f>
        <v>0</v>
      </c>
      <c r="J2544" s="33" t="n">
        <f aca="false">IF(F2544="","",F2544-C2544)</f>
        <v>0.625</v>
      </c>
      <c r="K2544" s="33" t="n">
        <f aca="false">IF(G2544="","",G2544-C2544)</f>
        <v>0.203840107076871</v>
      </c>
      <c r="L2544" s="33" t="n">
        <f aca="false">IF(H2544="","",ABS(H2544))</f>
        <v>1</v>
      </c>
      <c r="M2544" s="33" t="n">
        <f aca="false">IF(I2544="","",ABS(I2544))</f>
        <v>0</v>
      </c>
      <c r="N2544" s="33" t="n">
        <f aca="false">IF(J2544="","",ABS(J2544))</f>
        <v>0.625</v>
      </c>
      <c r="O2544" s="33" t="n">
        <f aca="false">IF(K2544="","",ABS(K2544))</f>
        <v>0.203840107076871</v>
      </c>
      <c r="P2544" s="34" t="str">
        <f aca="false">IF(B2544&gt;=Eval_Start_Week,"YES","")</f>
        <v/>
      </c>
      <c r="Q2544" s="34" t="str">
        <f aca="false">IF(AND(B2544&gt;=Cal_Start_Week,B2544&lt;=Cal_End_Week),"YES","")</f>
        <v>YES</v>
      </c>
    </row>
    <row r="2545" customFormat="false" ht="15" hidden="false" customHeight="false" outlineLevel="0" collapsed="false">
      <c r="A2545" s="31" t="str">
        <f aca="false">Demand_History!C2545</f>
        <v>BED-005</v>
      </c>
      <c r="B2545" s="31" t="n">
        <f aca="false">Demand_History!A2545</f>
        <v>48</v>
      </c>
      <c r="C2545" s="32" t="n">
        <f aca="false">Demand_History!D2545</f>
        <v>15</v>
      </c>
      <c r="D2545" s="33" t="n">
        <f aca="false">IF(B2545&gt;=2,C2544,"")</f>
        <v>20</v>
      </c>
      <c r="E2545" s="33" t="n">
        <f aca="false">IF(B2545&gt;=5,AVERAGE(C2541:C2544),"")</f>
        <v>20.5</v>
      </c>
      <c r="F2545" s="33" t="n">
        <f aca="false">IF(B2545&gt;=9,AVERAGE(C2537:C2544),"")</f>
        <v>20.75</v>
      </c>
      <c r="G2545" s="33" t="n">
        <f aca="false">IF(B2545=1,"",IF(B2545=2,C2544,SES_Alpha*C2544+(1-SES_Alpha)*G2544))</f>
        <v>20.1426880749538</v>
      </c>
      <c r="H2545" s="33" t="n">
        <f aca="false">IF(D2545="","",D2545-C2545)</f>
        <v>5</v>
      </c>
      <c r="I2545" s="33" t="n">
        <f aca="false">IF(E2545="","",E2545-C2545)</f>
        <v>5.5</v>
      </c>
      <c r="J2545" s="33" t="n">
        <f aca="false">IF(F2545="","",F2545-C2545)</f>
        <v>5.75</v>
      </c>
      <c r="K2545" s="33" t="n">
        <f aca="false">IF(G2545="","",G2545-C2545)</f>
        <v>5.14268807495381</v>
      </c>
      <c r="L2545" s="33" t="n">
        <f aca="false">IF(H2545="","",ABS(H2545))</f>
        <v>5</v>
      </c>
      <c r="M2545" s="33" t="n">
        <f aca="false">IF(I2545="","",ABS(I2545))</f>
        <v>5.5</v>
      </c>
      <c r="N2545" s="33" t="n">
        <f aca="false">IF(J2545="","",ABS(J2545))</f>
        <v>5.75</v>
      </c>
      <c r="O2545" s="33" t="n">
        <f aca="false">IF(K2545="","",ABS(K2545))</f>
        <v>5.14268807495381</v>
      </c>
      <c r="P2545" s="34" t="str">
        <f aca="false">IF(B2545&gt;=Eval_Start_Week,"YES","")</f>
        <v/>
      </c>
      <c r="Q2545" s="34" t="str">
        <f aca="false">IF(AND(B2545&gt;=Cal_Start_Week,B2545&lt;=Cal_End_Week),"YES","")</f>
        <v>YES</v>
      </c>
    </row>
    <row r="2546" customFormat="false" ht="15" hidden="false" customHeight="false" outlineLevel="0" collapsed="false">
      <c r="A2546" s="31" t="str">
        <f aca="false">Demand_History!C2546</f>
        <v>BED-005</v>
      </c>
      <c r="B2546" s="31" t="n">
        <f aca="false">Demand_History!A2546</f>
        <v>49</v>
      </c>
      <c r="C2546" s="32" t="n">
        <f aca="false">Demand_History!D2546</f>
        <v>16</v>
      </c>
      <c r="D2546" s="33" t="n">
        <f aca="false">IF(B2546&gt;=2,C2545,"")</f>
        <v>15</v>
      </c>
      <c r="E2546" s="33" t="n">
        <f aca="false">IF(B2546&gt;=5,AVERAGE(C2542:C2545),"")</f>
        <v>18.5</v>
      </c>
      <c r="F2546" s="33" t="n">
        <f aca="false">IF(B2546&gt;=9,AVERAGE(C2538:C2545),"")</f>
        <v>20.125</v>
      </c>
      <c r="G2546" s="33" t="n">
        <f aca="false">IF(B2546=1,"",IF(B2546=2,C2545,SES_Alpha*C2545+(1-SES_Alpha)*G2545))</f>
        <v>18.5998816524677</v>
      </c>
      <c r="H2546" s="33" t="n">
        <f aca="false">IF(D2546="","",D2546-C2546)</f>
        <v>-1</v>
      </c>
      <c r="I2546" s="33" t="n">
        <f aca="false">IF(E2546="","",E2546-C2546)</f>
        <v>2.5</v>
      </c>
      <c r="J2546" s="33" t="n">
        <f aca="false">IF(F2546="","",F2546-C2546)</f>
        <v>4.125</v>
      </c>
      <c r="K2546" s="33" t="n">
        <f aca="false">IF(G2546="","",G2546-C2546)</f>
        <v>2.59988165246767</v>
      </c>
      <c r="L2546" s="33" t="n">
        <f aca="false">IF(H2546="","",ABS(H2546))</f>
        <v>1</v>
      </c>
      <c r="M2546" s="33" t="n">
        <f aca="false">IF(I2546="","",ABS(I2546))</f>
        <v>2.5</v>
      </c>
      <c r="N2546" s="33" t="n">
        <f aca="false">IF(J2546="","",ABS(J2546))</f>
        <v>4.125</v>
      </c>
      <c r="O2546" s="33" t="n">
        <f aca="false">IF(K2546="","",ABS(K2546))</f>
        <v>2.59988165246767</v>
      </c>
      <c r="P2546" s="34" t="str">
        <f aca="false">IF(B2546&gt;=Eval_Start_Week,"YES","")</f>
        <v/>
      </c>
      <c r="Q2546" s="34" t="str">
        <f aca="false">IF(AND(B2546&gt;=Cal_Start_Week,B2546&lt;=Cal_End_Week),"YES","")</f>
        <v>YES</v>
      </c>
    </row>
    <row r="2547" customFormat="false" ht="15" hidden="false" customHeight="false" outlineLevel="0" collapsed="false">
      <c r="A2547" s="31" t="str">
        <f aca="false">Demand_History!C2547</f>
        <v>BED-005</v>
      </c>
      <c r="B2547" s="31" t="n">
        <f aca="false">Demand_History!A2547</f>
        <v>50</v>
      </c>
      <c r="C2547" s="32" t="n">
        <f aca="false">Demand_History!D2547</f>
        <v>18</v>
      </c>
      <c r="D2547" s="33" t="n">
        <f aca="false">IF(B2547&gt;=2,C2546,"")</f>
        <v>16</v>
      </c>
      <c r="E2547" s="33" t="n">
        <f aca="false">IF(B2547&gt;=5,AVERAGE(C2543:C2546),"")</f>
        <v>17.5</v>
      </c>
      <c r="F2547" s="33" t="n">
        <f aca="false">IF(B2547&gt;=9,AVERAGE(C2539:C2546),"")</f>
        <v>19.25</v>
      </c>
      <c r="G2547" s="33" t="n">
        <f aca="false">IF(B2547=1,"",IF(B2547=2,C2546,SES_Alpha*C2546+(1-SES_Alpha)*G2546))</f>
        <v>17.8199171567274</v>
      </c>
      <c r="H2547" s="33" t="n">
        <f aca="false">IF(D2547="","",D2547-C2547)</f>
        <v>-2</v>
      </c>
      <c r="I2547" s="33" t="n">
        <f aca="false">IF(E2547="","",E2547-C2547)</f>
        <v>-0.5</v>
      </c>
      <c r="J2547" s="33" t="n">
        <f aca="false">IF(F2547="","",F2547-C2547)</f>
        <v>1.25</v>
      </c>
      <c r="K2547" s="33" t="n">
        <f aca="false">IF(G2547="","",G2547-C2547)</f>
        <v>-0.180082843272636</v>
      </c>
      <c r="L2547" s="33" t="n">
        <f aca="false">IF(H2547="","",ABS(H2547))</f>
        <v>2</v>
      </c>
      <c r="M2547" s="33" t="n">
        <f aca="false">IF(I2547="","",ABS(I2547))</f>
        <v>0.5</v>
      </c>
      <c r="N2547" s="33" t="n">
        <f aca="false">IF(J2547="","",ABS(J2547))</f>
        <v>1.25</v>
      </c>
      <c r="O2547" s="33" t="n">
        <f aca="false">IF(K2547="","",ABS(K2547))</f>
        <v>0.180082843272636</v>
      </c>
      <c r="P2547" s="34" t="str">
        <f aca="false">IF(B2547&gt;=Eval_Start_Week,"YES","")</f>
        <v/>
      </c>
      <c r="Q2547" s="34" t="str">
        <f aca="false">IF(AND(B2547&gt;=Cal_Start_Week,B2547&lt;=Cal_End_Week),"YES","")</f>
        <v>YES</v>
      </c>
    </row>
    <row r="2548" customFormat="false" ht="15" hidden="false" customHeight="false" outlineLevel="0" collapsed="false">
      <c r="A2548" s="31" t="str">
        <f aca="false">Demand_History!C2548</f>
        <v>BED-005</v>
      </c>
      <c r="B2548" s="31" t="n">
        <f aca="false">Demand_History!A2548</f>
        <v>51</v>
      </c>
      <c r="C2548" s="32" t="n">
        <f aca="false">Demand_History!D2548</f>
        <v>20</v>
      </c>
      <c r="D2548" s="33" t="n">
        <f aca="false">IF(B2548&gt;=2,C2547,"")</f>
        <v>18</v>
      </c>
      <c r="E2548" s="33" t="n">
        <f aca="false">IF(B2548&gt;=5,AVERAGE(C2544:C2547),"")</f>
        <v>17.25</v>
      </c>
      <c r="F2548" s="33" t="n">
        <f aca="false">IF(B2548&gt;=9,AVERAGE(C2540:C2547),"")</f>
        <v>18.625</v>
      </c>
      <c r="G2548" s="33" t="n">
        <f aca="false">IF(B2548=1,"",IF(B2548=2,C2547,SES_Alpha*C2547+(1-SES_Alpha)*G2547))</f>
        <v>17.8739420097092</v>
      </c>
      <c r="H2548" s="33" t="n">
        <f aca="false">IF(D2548="","",D2548-C2548)</f>
        <v>-2</v>
      </c>
      <c r="I2548" s="33" t="n">
        <f aca="false">IF(E2548="","",E2548-C2548)</f>
        <v>-2.75</v>
      </c>
      <c r="J2548" s="33" t="n">
        <f aca="false">IF(F2548="","",F2548-C2548)</f>
        <v>-1.375</v>
      </c>
      <c r="K2548" s="33" t="n">
        <f aca="false">IF(G2548="","",G2548-C2548)</f>
        <v>-2.12605799029085</v>
      </c>
      <c r="L2548" s="33" t="n">
        <f aca="false">IF(H2548="","",ABS(H2548))</f>
        <v>2</v>
      </c>
      <c r="M2548" s="33" t="n">
        <f aca="false">IF(I2548="","",ABS(I2548))</f>
        <v>2.75</v>
      </c>
      <c r="N2548" s="33" t="n">
        <f aca="false">IF(J2548="","",ABS(J2548))</f>
        <v>1.375</v>
      </c>
      <c r="O2548" s="33" t="n">
        <f aca="false">IF(K2548="","",ABS(K2548))</f>
        <v>2.12605799029085</v>
      </c>
      <c r="P2548" s="34" t="str">
        <f aca="false">IF(B2548&gt;=Eval_Start_Week,"YES","")</f>
        <v/>
      </c>
      <c r="Q2548" s="34" t="str">
        <f aca="false">IF(AND(B2548&gt;=Cal_Start_Week,B2548&lt;=Cal_End_Week),"YES","")</f>
        <v>YES</v>
      </c>
    </row>
    <row r="2549" customFormat="false" ht="15" hidden="false" customHeight="false" outlineLevel="0" collapsed="false">
      <c r="A2549" s="31" t="str">
        <f aca="false">Demand_History!C2549</f>
        <v>BED-005</v>
      </c>
      <c r="B2549" s="31" t="n">
        <f aca="false">Demand_History!A2549</f>
        <v>52</v>
      </c>
      <c r="C2549" s="32" t="n">
        <f aca="false">Demand_History!D2549</f>
        <v>17</v>
      </c>
      <c r="D2549" s="33" t="n">
        <f aca="false">IF(B2549&gt;=2,C2548,"")</f>
        <v>20</v>
      </c>
      <c r="E2549" s="33" t="n">
        <f aca="false">IF(B2549&gt;=5,AVERAGE(C2545:C2548),"")</f>
        <v>17.25</v>
      </c>
      <c r="F2549" s="33" t="n">
        <f aca="false">IF(B2549&gt;=9,AVERAGE(C2541:C2548),"")</f>
        <v>18.875</v>
      </c>
      <c r="G2549" s="33" t="n">
        <f aca="false">IF(B2549=1,"",IF(B2549=2,C2548,SES_Alpha*C2548+(1-SES_Alpha)*G2548))</f>
        <v>18.5117594067964</v>
      </c>
      <c r="H2549" s="33" t="n">
        <f aca="false">IF(D2549="","",D2549-C2549)</f>
        <v>3</v>
      </c>
      <c r="I2549" s="33" t="n">
        <f aca="false">IF(E2549="","",E2549-C2549)</f>
        <v>0.25</v>
      </c>
      <c r="J2549" s="33" t="n">
        <f aca="false">IF(F2549="","",F2549-C2549)</f>
        <v>1.875</v>
      </c>
      <c r="K2549" s="33" t="n">
        <f aca="false">IF(G2549="","",G2549-C2549)</f>
        <v>1.51175940679641</v>
      </c>
      <c r="L2549" s="33" t="n">
        <f aca="false">IF(H2549="","",ABS(H2549))</f>
        <v>3</v>
      </c>
      <c r="M2549" s="33" t="n">
        <f aca="false">IF(I2549="","",ABS(I2549))</f>
        <v>0.25</v>
      </c>
      <c r="N2549" s="33" t="n">
        <f aca="false">IF(J2549="","",ABS(J2549))</f>
        <v>1.875</v>
      </c>
      <c r="O2549" s="33" t="n">
        <f aca="false">IF(K2549="","",ABS(K2549))</f>
        <v>1.51175940679641</v>
      </c>
      <c r="P2549" s="34" t="str">
        <f aca="false">IF(B2549&gt;=Eval_Start_Week,"YES","")</f>
        <v/>
      </c>
      <c r="Q2549" s="34" t="str">
        <f aca="false">IF(AND(B2549&gt;=Cal_Start_Week,B2549&lt;=Cal_End_Week),"YES","")</f>
        <v>YES</v>
      </c>
    </row>
    <row r="2550" customFormat="false" ht="15" hidden="false" customHeight="false" outlineLevel="0" collapsed="false">
      <c r="A2550" s="31" t="str">
        <f aca="false">Demand_History!C2550</f>
        <v>BED-005</v>
      </c>
      <c r="B2550" s="31" t="n">
        <f aca="false">Demand_History!A2550</f>
        <v>53</v>
      </c>
      <c r="C2550" s="32" t="n">
        <f aca="false">Demand_History!D2550</f>
        <v>18</v>
      </c>
      <c r="D2550" s="33" t="n">
        <f aca="false">IF(B2550&gt;=2,C2549,"")</f>
        <v>17</v>
      </c>
      <c r="E2550" s="33" t="n">
        <f aca="false">IF(B2550&gt;=5,AVERAGE(C2546:C2549),"")</f>
        <v>17.75</v>
      </c>
      <c r="F2550" s="33" t="n">
        <f aca="false">IF(B2550&gt;=9,AVERAGE(C2542:C2549),"")</f>
        <v>18.125</v>
      </c>
      <c r="G2550" s="33" t="n">
        <f aca="false">IF(B2550=1,"",IF(B2550=2,C2549,SES_Alpha*C2549+(1-SES_Alpha)*G2549))</f>
        <v>18.0582315847575</v>
      </c>
      <c r="H2550" s="33" t="n">
        <f aca="false">IF(D2550="","",D2550-C2550)</f>
        <v>-1</v>
      </c>
      <c r="I2550" s="33" t="n">
        <f aca="false">IF(E2550="","",E2550-C2550)</f>
        <v>-0.25</v>
      </c>
      <c r="J2550" s="33" t="n">
        <f aca="false">IF(F2550="","",F2550-C2550)</f>
        <v>0.125</v>
      </c>
      <c r="K2550" s="33" t="n">
        <f aca="false">IF(G2550="","",G2550-C2550)</f>
        <v>0.0582315847574861</v>
      </c>
      <c r="L2550" s="33" t="n">
        <f aca="false">IF(H2550="","",ABS(H2550))</f>
        <v>1</v>
      </c>
      <c r="M2550" s="33" t="n">
        <f aca="false">IF(I2550="","",ABS(I2550))</f>
        <v>0.25</v>
      </c>
      <c r="N2550" s="33" t="n">
        <f aca="false">IF(J2550="","",ABS(J2550))</f>
        <v>0.125</v>
      </c>
      <c r="O2550" s="33" t="n">
        <f aca="false">IF(K2550="","",ABS(K2550))</f>
        <v>0.0582315847574861</v>
      </c>
      <c r="P2550" s="34" t="str">
        <f aca="false">IF(B2550&gt;=Eval_Start_Week,"YES","")</f>
        <v>YES</v>
      </c>
      <c r="Q2550" s="34" t="str">
        <f aca="false">IF(AND(B2550&gt;=Cal_Start_Week,B2550&lt;=Cal_End_Week),"YES","")</f>
        <v>YES</v>
      </c>
    </row>
    <row r="2551" customFormat="false" ht="15" hidden="false" customHeight="false" outlineLevel="0" collapsed="false">
      <c r="A2551" s="31" t="str">
        <f aca="false">Demand_History!C2551</f>
        <v>BED-005</v>
      </c>
      <c r="B2551" s="31" t="n">
        <f aca="false">Demand_History!A2551</f>
        <v>54</v>
      </c>
      <c r="C2551" s="32" t="n">
        <f aca="false">Demand_History!D2551</f>
        <v>20</v>
      </c>
      <c r="D2551" s="33" t="n">
        <f aca="false">IF(B2551&gt;=2,C2550,"")</f>
        <v>18</v>
      </c>
      <c r="E2551" s="33" t="n">
        <f aca="false">IF(B2551&gt;=5,AVERAGE(C2547:C2550),"")</f>
        <v>18.25</v>
      </c>
      <c r="F2551" s="33" t="n">
        <f aca="false">IF(B2551&gt;=9,AVERAGE(C2543:C2550),"")</f>
        <v>17.875</v>
      </c>
      <c r="G2551" s="33" t="n">
        <f aca="false">IF(B2551=1,"",IF(B2551=2,C2550,SES_Alpha*C2550+(1-SES_Alpha)*G2550))</f>
        <v>18.0407621093302</v>
      </c>
      <c r="H2551" s="33" t="n">
        <f aca="false">IF(D2551="","",D2551-C2551)</f>
        <v>-2</v>
      </c>
      <c r="I2551" s="33" t="n">
        <f aca="false">IF(E2551="","",E2551-C2551)</f>
        <v>-1.75</v>
      </c>
      <c r="J2551" s="33" t="n">
        <f aca="false">IF(F2551="","",F2551-C2551)</f>
        <v>-2.125</v>
      </c>
      <c r="K2551" s="33" t="n">
        <f aca="false">IF(G2551="","",G2551-C2551)</f>
        <v>-1.95923789066976</v>
      </c>
      <c r="L2551" s="33" t="n">
        <f aca="false">IF(H2551="","",ABS(H2551))</f>
        <v>2</v>
      </c>
      <c r="M2551" s="33" t="n">
        <f aca="false">IF(I2551="","",ABS(I2551))</f>
        <v>1.75</v>
      </c>
      <c r="N2551" s="33" t="n">
        <f aca="false">IF(J2551="","",ABS(J2551))</f>
        <v>2.125</v>
      </c>
      <c r="O2551" s="33" t="n">
        <f aca="false">IF(K2551="","",ABS(K2551))</f>
        <v>1.95923789066976</v>
      </c>
      <c r="P2551" s="34" t="str">
        <f aca="false">IF(B2551&gt;=Eval_Start_Week,"YES","")</f>
        <v>YES</v>
      </c>
      <c r="Q2551" s="34" t="str">
        <f aca="false">IF(AND(B2551&gt;=Cal_Start_Week,B2551&lt;=Cal_End_Week),"YES","")</f>
        <v>YES</v>
      </c>
    </row>
    <row r="2552" customFormat="false" ht="15" hidden="false" customHeight="false" outlineLevel="0" collapsed="false">
      <c r="A2552" s="31" t="str">
        <f aca="false">Demand_History!C2552</f>
        <v>BED-005</v>
      </c>
      <c r="B2552" s="31" t="n">
        <f aca="false">Demand_History!A2552</f>
        <v>55</v>
      </c>
      <c r="C2552" s="32" t="n">
        <f aca="false">Demand_History!D2552</f>
        <v>21</v>
      </c>
      <c r="D2552" s="33" t="n">
        <f aca="false">IF(B2552&gt;=2,C2551,"")</f>
        <v>20</v>
      </c>
      <c r="E2552" s="33" t="n">
        <f aca="false">IF(B2552&gt;=5,AVERAGE(C2548:C2551),"")</f>
        <v>18.75</v>
      </c>
      <c r="F2552" s="33" t="n">
        <f aca="false">IF(B2552&gt;=9,AVERAGE(C2544:C2551),"")</f>
        <v>18</v>
      </c>
      <c r="G2552" s="33" t="n">
        <f aca="false">IF(B2552=1,"",IF(B2552=2,C2551,SES_Alpha*C2551+(1-SES_Alpha)*G2551))</f>
        <v>18.6285334765312</v>
      </c>
      <c r="H2552" s="33" t="n">
        <f aca="false">IF(D2552="","",D2552-C2552)</f>
        <v>-1</v>
      </c>
      <c r="I2552" s="33" t="n">
        <f aca="false">IF(E2552="","",E2552-C2552)</f>
        <v>-2.25</v>
      </c>
      <c r="J2552" s="33" t="n">
        <f aca="false">IF(F2552="","",F2552-C2552)</f>
        <v>-3</v>
      </c>
      <c r="K2552" s="33" t="n">
        <f aca="false">IF(G2552="","",G2552-C2552)</f>
        <v>-2.37146652346883</v>
      </c>
      <c r="L2552" s="33" t="n">
        <f aca="false">IF(H2552="","",ABS(H2552))</f>
        <v>1</v>
      </c>
      <c r="M2552" s="33" t="n">
        <f aca="false">IF(I2552="","",ABS(I2552))</f>
        <v>2.25</v>
      </c>
      <c r="N2552" s="33" t="n">
        <f aca="false">IF(J2552="","",ABS(J2552))</f>
        <v>3</v>
      </c>
      <c r="O2552" s="33" t="n">
        <f aca="false">IF(K2552="","",ABS(K2552))</f>
        <v>2.37146652346883</v>
      </c>
      <c r="P2552" s="34" t="str">
        <f aca="false">IF(B2552&gt;=Eval_Start_Week,"YES","")</f>
        <v>YES</v>
      </c>
      <c r="Q2552" s="34" t="str">
        <f aca="false">IF(AND(B2552&gt;=Cal_Start_Week,B2552&lt;=Cal_End_Week),"YES","")</f>
        <v>YES</v>
      </c>
    </row>
    <row r="2553" customFormat="false" ht="15" hidden="false" customHeight="false" outlineLevel="0" collapsed="false">
      <c r="A2553" s="31" t="str">
        <f aca="false">Demand_History!C2553</f>
        <v>BED-005</v>
      </c>
      <c r="B2553" s="31" t="n">
        <f aca="false">Demand_History!A2553</f>
        <v>56</v>
      </c>
      <c r="C2553" s="32" t="n">
        <f aca="false">Demand_History!D2553</f>
        <v>19</v>
      </c>
      <c r="D2553" s="33" t="n">
        <f aca="false">IF(B2553&gt;=2,C2552,"")</f>
        <v>21</v>
      </c>
      <c r="E2553" s="33" t="n">
        <f aca="false">IF(B2553&gt;=5,AVERAGE(C2549:C2552),"")</f>
        <v>19</v>
      </c>
      <c r="F2553" s="33" t="n">
        <f aca="false">IF(B2553&gt;=9,AVERAGE(C2545:C2552),"")</f>
        <v>18.125</v>
      </c>
      <c r="G2553" s="33" t="n">
        <f aca="false">IF(B2553=1,"",IF(B2553=2,C2552,SES_Alpha*C2552+(1-SES_Alpha)*G2552))</f>
        <v>19.3399734335718</v>
      </c>
      <c r="H2553" s="33" t="n">
        <f aca="false">IF(D2553="","",D2553-C2553)</f>
        <v>2</v>
      </c>
      <c r="I2553" s="33" t="n">
        <f aca="false">IF(E2553="","",E2553-C2553)</f>
        <v>0</v>
      </c>
      <c r="J2553" s="33" t="n">
        <f aca="false">IF(F2553="","",F2553-C2553)</f>
        <v>-0.875</v>
      </c>
      <c r="K2553" s="33" t="n">
        <f aca="false">IF(G2553="","",G2553-C2553)</f>
        <v>0.339973433571817</v>
      </c>
      <c r="L2553" s="33" t="n">
        <f aca="false">IF(H2553="","",ABS(H2553))</f>
        <v>2</v>
      </c>
      <c r="M2553" s="33" t="n">
        <f aca="false">IF(I2553="","",ABS(I2553))</f>
        <v>0</v>
      </c>
      <c r="N2553" s="33" t="n">
        <f aca="false">IF(J2553="","",ABS(J2553))</f>
        <v>0.875</v>
      </c>
      <c r="O2553" s="33" t="n">
        <f aca="false">IF(K2553="","",ABS(K2553))</f>
        <v>0.339973433571817</v>
      </c>
      <c r="P2553" s="34" t="str">
        <f aca="false">IF(B2553&gt;=Eval_Start_Week,"YES","")</f>
        <v>YES</v>
      </c>
      <c r="Q2553" s="34" t="str">
        <f aca="false">IF(AND(B2553&gt;=Cal_Start_Week,B2553&lt;=Cal_End_Week),"YES","")</f>
        <v>YES</v>
      </c>
    </row>
    <row r="2554" customFormat="false" ht="15" hidden="false" customHeight="false" outlineLevel="0" collapsed="false">
      <c r="A2554" s="31" t="str">
        <f aca="false">Demand_History!C2554</f>
        <v>BED-005</v>
      </c>
      <c r="B2554" s="31" t="n">
        <f aca="false">Demand_History!A2554</f>
        <v>57</v>
      </c>
      <c r="C2554" s="32" t="n">
        <f aca="false">Demand_History!D2554</f>
        <v>21</v>
      </c>
      <c r="D2554" s="33" t="n">
        <f aca="false">IF(B2554&gt;=2,C2553,"")</f>
        <v>19</v>
      </c>
      <c r="E2554" s="33" t="n">
        <f aca="false">IF(B2554&gt;=5,AVERAGE(C2550:C2553),"")</f>
        <v>19.5</v>
      </c>
      <c r="F2554" s="33" t="n">
        <f aca="false">IF(B2554&gt;=9,AVERAGE(C2546:C2553),"")</f>
        <v>18.625</v>
      </c>
      <c r="G2554" s="33" t="n">
        <f aca="false">IF(B2554=1,"",IF(B2554=2,C2553,SES_Alpha*C2553+(1-SES_Alpha)*G2553))</f>
        <v>19.2379814035003</v>
      </c>
      <c r="H2554" s="33" t="n">
        <f aca="false">IF(D2554="","",D2554-C2554)</f>
        <v>-2</v>
      </c>
      <c r="I2554" s="33" t="n">
        <f aca="false">IF(E2554="","",E2554-C2554)</f>
        <v>-1.5</v>
      </c>
      <c r="J2554" s="33" t="n">
        <f aca="false">IF(F2554="","",F2554-C2554)</f>
        <v>-2.375</v>
      </c>
      <c r="K2554" s="33" t="n">
        <f aca="false">IF(G2554="","",G2554-C2554)</f>
        <v>-1.76201859649973</v>
      </c>
      <c r="L2554" s="33" t="n">
        <f aca="false">IF(H2554="","",ABS(H2554))</f>
        <v>2</v>
      </c>
      <c r="M2554" s="33" t="n">
        <f aca="false">IF(I2554="","",ABS(I2554))</f>
        <v>1.5</v>
      </c>
      <c r="N2554" s="33" t="n">
        <f aca="false">IF(J2554="","",ABS(J2554))</f>
        <v>2.375</v>
      </c>
      <c r="O2554" s="33" t="n">
        <f aca="false">IF(K2554="","",ABS(K2554))</f>
        <v>1.76201859649973</v>
      </c>
      <c r="P2554" s="34" t="str">
        <f aca="false">IF(B2554&gt;=Eval_Start_Week,"YES","")</f>
        <v>YES</v>
      </c>
      <c r="Q2554" s="34" t="str">
        <f aca="false">IF(AND(B2554&gt;=Cal_Start_Week,B2554&lt;=Cal_End_Week),"YES","")</f>
        <v>YES</v>
      </c>
    </row>
    <row r="2555" customFormat="false" ht="15" hidden="false" customHeight="false" outlineLevel="0" collapsed="false">
      <c r="A2555" s="31" t="str">
        <f aca="false">Demand_History!C2555</f>
        <v>BED-005</v>
      </c>
      <c r="B2555" s="31" t="n">
        <f aca="false">Demand_History!A2555</f>
        <v>58</v>
      </c>
      <c r="C2555" s="32" t="n">
        <f aca="false">Demand_History!D2555</f>
        <v>16</v>
      </c>
      <c r="D2555" s="33" t="n">
        <f aca="false">IF(B2555&gt;=2,C2554,"")</f>
        <v>21</v>
      </c>
      <c r="E2555" s="33" t="n">
        <f aca="false">IF(B2555&gt;=5,AVERAGE(C2551:C2554),"")</f>
        <v>20.25</v>
      </c>
      <c r="F2555" s="33" t="n">
        <f aca="false">IF(B2555&gt;=9,AVERAGE(C2547:C2554),"")</f>
        <v>19.25</v>
      </c>
      <c r="G2555" s="33" t="n">
        <f aca="false">IF(B2555=1,"",IF(B2555=2,C2554,SES_Alpha*C2554+(1-SES_Alpha)*G2554))</f>
        <v>19.7665869824502</v>
      </c>
      <c r="H2555" s="33" t="n">
        <f aca="false">IF(D2555="","",D2555-C2555)</f>
        <v>5</v>
      </c>
      <c r="I2555" s="33" t="n">
        <f aca="false">IF(E2555="","",E2555-C2555)</f>
        <v>4.25</v>
      </c>
      <c r="J2555" s="33" t="n">
        <f aca="false">IF(F2555="","",F2555-C2555)</f>
        <v>3.25</v>
      </c>
      <c r="K2555" s="33" t="n">
        <f aca="false">IF(G2555="","",G2555-C2555)</f>
        <v>3.76658698245019</v>
      </c>
      <c r="L2555" s="33" t="n">
        <f aca="false">IF(H2555="","",ABS(H2555))</f>
        <v>5</v>
      </c>
      <c r="M2555" s="33" t="n">
        <f aca="false">IF(I2555="","",ABS(I2555))</f>
        <v>4.25</v>
      </c>
      <c r="N2555" s="33" t="n">
        <f aca="false">IF(J2555="","",ABS(J2555))</f>
        <v>3.25</v>
      </c>
      <c r="O2555" s="33" t="n">
        <f aca="false">IF(K2555="","",ABS(K2555))</f>
        <v>3.76658698245019</v>
      </c>
      <c r="P2555" s="34" t="str">
        <f aca="false">IF(B2555&gt;=Eval_Start_Week,"YES","")</f>
        <v>YES</v>
      </c>
      <c r="Q2555" s="34" t="str">
        <f aca="false">IF(AND(B2555&gt;=Cal_Start_Week,B2555&lt;=Cal_End_Week),"YES","")</f>
        <v>YES</v>
      </c>
    </row>
    <row r="2556" customFormat="false" ht="15" hidden="false" customHeight="false" outlineLevel="0" collapsed="false">
      <c r="A2556" s="31" t="str">
        <f aca="false">Demand_History!C2556</f>
        <v>BED-005</v>
      </c>
      <c r="B2556" s="31" t="n">
        <f aca="false">Demand_History!A2556</f>
        <v>59</v>
      </c>
      <c r="C2556" s="32" t="n">
        <f aca="false">Demand_History!D2556</f>
        <v>16</v>
      </c>
      <c r="D2556" s="33" t="n">
        <f aca="false">IF(B2556&gt;=2,C2555,"")</f>
        <v>16</v>
      </c>
      <c r="E2556" s="33" t="n">
        <f aca="false">IF(B2556&gt;=5,AVERAGE(C2552:C2555),"")</f>
        <v>19.25</v>
      </c>
      <c r="F2556" s="33" t="n">
        <f aca="false">IF(B2556&gt;=9,AVERAGE(C2548:C2555),"")</f>
        <v>19</v>
      </c>
      <c r="G2556" s="33" t="n">
        <f aca="false">IF(B2556=1,"",IF(B2556=2,C2555,SES_Alpha*C2555+(1-SES_Alpha)*G2555))</f>
        <v>18.6366108877151</v>
      </c>
      <c r="H2556" s="33" t="n">
        <f aca="false">IF(D2556="","",D2556-C2556)</f>
        <v>0</v>
      </c>
      <c r="I2556" s="33" t="n">
        <f aca="false">IF(E2556="","",E2556-C2556)</f>
        <v>3.25</v>
      </c>
      <c r="J2556" s="33" t="n">
        <f aca="false">IF(F2556="","",F2556-C2556)</f>
        <v>3</v>
      </c>
      <c r="K2556" s="33" t="n">
        <f aca="false">IF(G2556="","",G2556-C2556)</f>
        <v>2.63661088771513</v>
      </c>
      <c r="L2556" s="33" t="n">
        <f aca="false">IF(H2556="","",ABS(H2556))</f>
        <v>0</v>
      </c>
      <c r="M2556" s="33" t="n">
        <f aca="false">IF(I2556="","",ABS(I2556))</f>
        <v>3.25</v>
      </c>
      <c r="N2556" s="33" t="n">
        <f aca="false">IF(J2556="","",ABS(J2556))</f>
        <v>3</v>
      </c>
      <c r="O2556" s="33" t="n">
        <f aca="false">IF(K2556="","",ABS(K2556))</f>
        <v>2.63661088771513</v>
      </c>
      <c r="P2556" s="34" t="str">
        <f aca="false">IF(B2556&gt;=Eval_Start_Week,"YES","")</f>
        <v>YES</v>
      </c>
      <c r="Q2556" s="34" t="str">
        <f aca="false">IF(AND(B2556&gt;=Cal_Start_Week,B2556&lt;=Cal_End_Week),"YES","")</f>
        <v>YES</v>
      </c>
    </row>
    <row r="2557" customFormat="false" ht="15" hidden="false" customHeight="false" outlineLevel="0" collapsed="false">
      <c r="A2557" s="31" t="str">
        <f aca="false">Demand_History!C2557</f>
        <v>BED-005</v>
      </c>
      <c r="B2557" s="31" t="n">
        <f aca="false">Demand_History!A2557</f>
        <v>60</v>
      </c>
      <c r="C2557" s="32" t="n">
        <f aca="false">Demand_History!D2557</f>
        <v>18</v>
      </c>
      <c r="D2557" s="33" t="n">
        <f aca="false">IF(B2557&gt;=2,C2556,"")</f>
        <v>16</v>
      </c>
      <c r="E2557" s="33" t="n">
        <f aca="false">IF(B2557&gt;=5,AVERAGE(C2553:C2556),"")</f>
        <v>18</v>
      </c>
      <c r="F2557" s="33" t="n">
        <f aca="false">IF(B2557&gt;=9,AVERAGE(C2549:C2556),"")</f>
        <v>18.5</v>
      </c>
      <c r="G2557" s="33" t="n">
        <f aca="false">IF(B2557=1,"",IF(B2557=2,C2556,SES_Alpha*C2556+(1-SES_Alpha)*G2556))</f>
        <v>17.8456276214006</v>
      </c>
      <c r="H2557" s="33" t="n">
        <f aca="false">IF(D2557="","",D2557-C2557)</f>
        <v>-2</v>
      </c>
      <c r="I2557" s="33" t="n">
        <f aca="false">IF(E2557="","",E2557-C2557)</f>
        <v>0</v>
      </c>
      <c r="J2557" s="33" t="n">
        <f aca="false">IF(F2557="","",F2557-C2557)</f>
        <v>0.5</v>
      </c>
      <c r="K2557" s="33" t="n">
        <f aca="false">IF(G2557="","",G2557-C2557)</f>
        <v>-0.154372378599408</v>
      </c>
      <c r="L2557" s="33" t="n">
        <f aca="false">IF(H2557="","",ABS(H2557))</f>
        <v>2</v>
      </c>
      <c r="M2557" s="33" t="n">
        <f aca="false">IF(I2557="","",ABS(I2557))</f>
        <v>0</v>
      </c>
      <c r="N2557" s="33" t="n">
        <f aca="false">IF(J2557="","",ABS(J2557))</f>
        <v>0.5</v>
      </c>
      <c r="O2557" s="33" t="n">
        <f aca="false">IF(K2557="","",ABS(K2557))</f>
        <v>0.154372378599408</v>
      </c>
      <c r="P2557" s="34" t="str">
        <f aca="false">IF(B2557&gt;=Eval_Start_Week,"YES","")</f>
        <v>YES</v>
      </c>
      <c r="Q2557" s="34" t="str">
        <f aca="false">IF(AND(B2557&gt;=Cal_Start_Week,B2557&lt;=Cal_End_Week),"YES","")</f>
        <v>YES</v>
      </c>
    </row>
    <row r="2558" customFormat="false" ht="15" hidden="false" customHeight="false" outlineLevel="0" collapsed="false">
      <c r="A2558" s="31" t="str">
        <f aca="false">Demand_History!C2558</f>
        <v>BED-005</v>
      </c>
      <c r="B2558" s="31" t="n">
        <f aca="false">Demand_History!A2558</f>
        <v>61</v>
      </c>
      <c r="C2558" s="32" t="n">
        <f aca="false">Demand_History!D2558</f>
        <v>16</v>
      </c>
      <c r="D2558" s="33" t="n">
        <f aca="false">IF(B2558&gt;=2,C2557,"")</f>
        <v>18</v>
      </c>
      <c r="E2558" s="33" t="n">
        <f aca="false">IF(B2558&gt;=5,AVERAGE(C2554:C2557),"")</f>
        <v>17.75</v>
      </c>
      <c r="F2558" s="33" t="n">
        <f aca="false">IF(B2558&gt;=9,AVERAGE(C2550:C2557),"")</f>
        <v>18.625</v>
      </c>
      <c r="G2558" s="33" t="n">
        <f aca="false">IF(B2558=1,"",IF(B2558=2,C2557,SES_Alpha*C2557+(1-SES_Alpha)*G2557))</f>
        <v>17.8919393349804</v>
      </c>
      <c r="H2558" s="33" t="n">
        <f aca="false">IF(D2558="","",D2558-C2558)</f>
        <v>2</v>
      </c>
      <c r="I2558" s="33" t="n">
        <f aca="false">IF(E2558="","",E2558-C2558)</f>
        <v>1.75</v>
      </c>
      <c r="J2558" s="33" t="n">
        <f aca="false">IF(F2558="","",F2558-C2558)</f>
        <v>2.625</v>
      </c>
      <c r="K2558" s="33" t="n">
        <f aca="false">IF(G2558="","",G2558-C2558)</f>
        <v>1.89193933498041</v>
      </c>
      <c r="L2558" s="33" t="n">
        <f aca="false">IF(H2558="","",ABS(H2558))</f>
        <v>2</v>
      </c>
      <c r="M2558" s="33" t="n">
        <f aca="false">IF(I2558="","",ABS(I2558))</f>
        <v>1.75</v>
      </c>
      <c r="N2558" s="33" t="n">
        <f aca="false">IF(J2558="","",ABS(J2558))</f>
        <v>2.625</v>
      </c>
      <c r="O2558" s="33" t="n">
        <f aca="false">IF(K2558="","",ABS(K2558))</f>
        <v>1.89193933498041</v>
      </c>
      <c r="P2558" s="34" t="str">
        <f aca="false">IF(B2558&gt;=Eval_Start_Week,"YES","")</f>
        <v>YES</v>
      </c>
      <c r="Q2558" s="34" t="str">
        <f aca="false">IF(AND(B2558&gt;=Cal_Start_Week,B2558&lt;=Cal_End_Week),"YES","")</f>
        <v>YES</v>
      </c>
    </row>
    <row r="2559" customFormat="false" ht="15" hidden="false" customHeight="false" outlineLevel="0" collapsed="false">
      <c r="A2559" s="31" t="str">
        <f aca="false">Demand_History!C2559</f>
        <v>BED-005</v>
      </c>
      <c r="B2559" s="31" t="n">
        <f aca="false">Demand_History!A2559</f>
        <v>62</v>
      </c>
      <c r="C2559" s="32" t="n">
        <f aca="false">Demand_History!D2559</f>
        <v>16</v>
      </c>
      <c r="D2559" s="33" t="n">
        <f aca="false">IF(B2559&gt;=2,C2558,"")</f>
        <v>16</v>
      </c>
      <c r="E2559" s="33" t="n">
        <f aca="false">IF(B2559&gt;=5,AVERAGE(C2555:C2558),"")</f>
        <v>16.5</v>
      </c>
      <c r="F2559" s="33" t="n">
        <f aca="false">IF(B2559&gt;=9,AVERAGE(C2551:C2558),"")</f>
        <v>18.375</v>
      </c>
      <c r="G2559" s="33" t="n">
        <f aca="false">IF(B2559=1,"",IF(B2559=2,C2558,SES_Alpha*C2558+(1-SES_Alpha)*G2558))</f>
        <v>17.3243575344863</v>
      </c>
      <c r="H2559" s="33" t="n">
        <f aca="false">IF(D2559="","",D2559-C2559)</f>
        <v>0</v>
      </c>
      <c r="I2559" s="33" t="n">
        <f aca="false">IF(E2559="","",E2559-C2559)</f>
        <v>0.5</v>
      </c>
      <c r="J2559" s="33" t="n">
        <f aca="false">IF(F2559="","",F2559-C2559)</f>
        <v>2.375</v>
      </c>
      <c r="K2559" s="33" t="n">
        <f aca="false">IF(G2559="","",G2559-C2559)</f>
        <v>1.32435753448629</v>
      </c>
      <c r="L2559" s="33" t="n">
        <f aca="false">IF(H2559="","",ABS(H2559))</f>
        <v>0</v>
      </c>
      <c r="M2559" s="33" t="n">
        <f aca="false">IF(I2559="","",ABS(I2559))</f>
        <v>0.5</v>
      </c>
      <c r="N2559" s="33" t="n">
        <f aca="false">IF(J2559="","",ABS(J2559))</f>
        <v>2.375</v>
      </c>
      <c r="O2559" s="33" t="n">
        <f aca="false">IF(K2559="","",ABS(K2559))</f>
        <v>1.32435753448629</v>
      </c>
      <c r="P2559" s="34" t="str">
        <f aca="false">IF(B2559&gt;=Eval_Start_Week,"YES","")</f>
        <v>YES</v>
      </c>
      <c r="Q2559" s="34" t="str">
        <f aca="false">IF(AND(B2559&gt;=Cal_Start_Week,B2559&lt;=Cal_End_Week),"YES","")</f>
        <v>YES</v>
      </c>
    </row>
    <row r="2560" customFormat="false" ht="15" hidden="false" customHeight="false" outlineLevel="0" collapsed="false">
      <c r="A2560" s="31" t="str">
        <f aca="false">Demand_History!C2560</f>
        <v>BED-005</v>
      </c>
      <c r="B2560" s="31" t="n">
        <f aca="false">Demand_History!A2560</f>
        <v>63</v>
      </c>
      <c r="C2560" s="32" t="n">
        <f aca="false">Demand_History!D2560</f>
        <v>21</v>
      </c>
      <c r="D2560" s="33" t="n">
        <f aca="false">IF(B2560&gt;=2,C2559,"")</f>
        <v>16</v>
      </c>
      <c r="E2560" s="33" t="n">
        <f aca="false">IF(B2560&gt;=5,AVERAGE(C2556:C2559),"")</f>
        <v>16.5</v>
      </c>
      <c r="F2560" s="33" t="n">
        <f aca="false">IF(B2560&gt;=9,AVERAGE(C2552:C2559),"")</f>
        <v>17.875</v>
      </c>
      <c r="G2560" s="33" t="n">
        <f aca="false">IF(B2560=1,"",IF(B2560=2,C2559,SES_Alpha*C2559+(1-SES_Alpha)*G2559))</f>
        <v>16.9270502741404</v>
      </c>
      <c r="H2560" s="33" t="n">
        <f aca="false">IF(D2560="","",D2560-C2560)</f>
        <v>-5</v>
      </c>
      <c r="I2560" s="33" t="n">
        <f aca="false">IF(E2560="","",E2560-C2560)</f>
        <v>-4.5</v>
      </c>
      <c r="J2560" s="33" t="n">
        <f aca="false">IF(F2560="","",F2560-C2560)</f>
        <v>-3.125</v>
      </c>
      <c r="K2560" s="33" t="n">
        <f aca="false">IF(G2560="","",G2560-C2560)</f>
        <v>-4.0729497258596</v>
      </c>
      <c r="L2560" s="33" t="n">
        <f aca="false">IF(H2560="","",ABS(H2560))</f>
        <v>5</v>
      </c>
      <c r="M2560" s="33" t="n">
        <f aca="false">IF(I2560="","",ABS(I2560))</f>
        <v>4.5</v>
      </c>
      <c r="N2560" s="33" t="n">
        <f aca="false">IF(J2560="","",ABS(J2560))</f>
        <v>3.125</v>
      </c>
      <c r="O2560" s="33" t="n">
        <f aca="false">IF(K2560="","",ABS(K2560))</f>
        <v>4.0729497258596</v>
      </c>
      <c r="P2560" s="34" t="str">
        <f aca="false">IF(B2560&gt;=Eval_Start_Week,"YES","")</f>
        <v>YES</v>
      </c>
      <c r="Q2560" s="34" t="str">
        <f aca="false">IF(AND(B2560&gt;=Cal_Start_Week,B2560&lt;=Cal_End_Week),"YES","")</f>
        <v>YES</v>
      </c>
    </row>
    <row r="2561" customFormat="false" ht="15" hidden="false" customHeight="false" outlineLevel="0" collapsed="false">
      <c r="A2561" s="31" t="str">
        <f aca="false">Demand_History!C2561</f>
        <v>BED-005</v>
      </c>
      <c r="B2561" s="31" t="n">
        <f aca="false">Demand_History!A2561</f>
        <v>64</v>
      </c>
      <c r="C2561" s="32" t="n">
        <f aca="false">Demand_History!D2561</f>
        <v>16</v>
      </c>
      <c r="D2561" s="33" t="n">
        <f aca="false">IF(B2561&gt;=2,C2560,"")</f>
        <v>21</v>
      </c>
      <c r="E2561" s="33" t="n">
        <f aca="false">IF(B2561&gt;=5,AVERAGE(C2557:C2560),"")</f>
        <v>17.75</v>
      </c>
      <c r="F2561" s="33" t="n">
        <f aca="false">IF(B2561&gt;=9,AVERAGE(C2553:C2560),"")</f>
        <v>17.875</v>
      </c>
      <c r="G2561" s="33" t="n">
        <f aca="false">IF(B2561=1,"",IF(B2561=2,C2560,SES_Alpha*C2560+(1-SES_Alpha)*G2560))</f>
        <v>18.1489351918983</v>
      </c>
      <c r="H2561" s="33" t="n">
        <f aca="false">IF(D2561="","",D2561-C2561)</f>
        <v>5</v>
      </c>
      <c r="I2561" s="33" t="n">
        <f aca="false">IF(E2561="","",E2561-C2561)</f>
        <v>1.75</v>
      </c>
      <c r="J2561" s="33" t="n">
        <f aca="false">IF(F2561="","",F2561-C2561)</f>
        <v>1.875</v>
      </c>
      <c r="K2561" s="33" t="n">
        <f aca="false">IF(G2561="","",G2561-C2561)</f>
        <v>2.14893519189828</v>
      </c>
      <c r="L2561" s="33" t="n">
        <f aca="false">IF(H2561="","",ABS(H2561))</f>
        <v>5</v>
      </c>
      <c r="M2561" s="33" t="n">
        <f aca="false">IF(I2561="","",ABS(I2561))</f>
        <v>1.75</v>
      </c>
      <c r="N2561" s="33" t="n">
        <f aca="false">IF(J2561="","",ABS(J2561))</f>
        <v>1.875</v>
      </c>
      <c r="O2561" s="33" t="n">
        <f aca="false">IF(K2561="","",ABS(K2561))</f>
        <v>2.14893519189828</v>
      </c>
      <c r="P2561" s="34" t="str">
        <f aca="false">IF(B2561&gt;=Eval_Start_Week,"YES","")</f>
        <v>YES</v>
      </c>
      <c r="Q2561" s="34" t="str">
        <f aca="false">IF(AND(B2561&gt;=Cal_Start_Week,B2561&lt;=Cal_End_Week),"YES","")</f>
        <v>YES</v>
      </c>
    </row>
    <row r="2562" customFormat="false" ht="15" hidden="false" customHeight="false" outlineLevel="0" collapsed="false">
      <c r="A2562" s="31" t="str">
        <f aca="false">Demand_History!C2562</f>
        <v>BED-005</v>
      </c>
      <c r="B2562" s="31" t="n">
        <f aca="false">Demand_History!A2562</f>
        <v>65</v>
      </c>
      <c r="C2562" s="32" t="n">
        <f aca="false">Demand_History!D2562</f>
        <v>14</v>
      </c>
      <c r="D2562" s="33" t="n">
        <f aca="false">IF(B2562&gt;=2,C2561,"")</f>
        <v>16</v>
      </c>
      <c r="E2562" s="33" t="n">
        <f aca="false">IF(B2562&gt;=5,AVERAGE(C2558:C2561),"")</f>
        <v>17.25</v>
      </c>
      <c r="F2562" s="33" t="n">
        <f aca="false">IF(B2562&gt;=9,AVERAGE(C2554:C2561),"")</f>
        <v>17.5</v>
      </c>
      <c r="G2562" s="33" t="n">
        <f aca="false">IF(B2562=1,"",IF(B2562=2,C2561,SES_Alpha*C2561+(1-SES_Alpha)*G2561))</f>
        <v>17.5042546343288</v>
      </c>
      <c r="H2562" s="33" t="n">
        <f aca="false">IF(D2562="","",D2562-C2562)</f>
        <v>2</v>
      </c>
      <c r="I2562" s="33" t="n">
        <f aca="false">IF(E2562="","",E2562-C2562)</f>
        <v>3.25</v>
      </c>
      <c r="J2562" s="33" t="n">
        <f aca="false">IF(F2562="","",F2562-C2562)</f>
        <v>3.5</v>
      </c>
      <c r="K2562" s="33" t="n">
        <f aca="false">IF(G2562="","",G2562-C2562)</f>
        <v>3.5042546343288</v>
      </c>
      <c r="L2562" s="33" t="n">
        <f aca="false">IF(H2562="","",ABS(H2562))</f>
        <v>2</v>
      </c>
      <c r="M2562" s="33" t="n">
        <f aca="false">IF(I2562="","",ABS(I2562))</f>
        <v>3.25</v>
      </c>
      <c r="N2562" s="33" t="n">
        <f aca="false">IF(J2562="","",ABS(J2562))</f>
        <v>3.5</v>
      </c>
      <c r="O2562" s="33" t="n">
        <f aca="false">IF(K2562="","",ABS(K2562))</f>
        <v>3.5042546343288</v>
      </c>
      <c r="P2562" s="34" t="str">
        <f aca="false">IF(B2562&gt;=Eval_Start_Week,"YES","")</f>
        <v>YES</v>
      </c>
      <c r="Q2562" s="34" t="str">
        <f aca="false">IF(AND(B2562&gt;=Cal_Start_Week,B2562&lt;=Cal_End_Week),"YES","")</f>
        <v>YES</v>
      </c>
    </row>
    <row r="2563" customFormat="false" ht="15" hidden="false" customHeight="false" outlineLevel="0" collapsed="false">
      <c r="A2563" s="31" t="str">
        <f aca="false">Demand_History!C2563</f>
        <v>BED-005</v>
      </c>
      <c r="B2563" s="31" t="n">
        <f aca="false">Demand_History!A2563</f>
        <v>66</v>
      </c>
      <c r="C2563" s="32" t="n">
        <f aca="false">Demand_History!D2563</f>
        <v>17</v>
      </c>
      <c r="D2563" s="33" t="n">
        <f aca="false">IF(B2563&gt;=2,C2562,"")</f>
        <v>14</v>
      </c>
      <c r="E2563" s="33" t="n">
        <f aca="false">IF(B2563&gt;=5,AVERAGE(C2559:C2562),"")</f>
        <v>16.75</v>
      </c>
      <c r="F2563" s="33" t="n">
        <f aca="false">IF(B2563&gt;=9,AVERAGE(C2555:C2562),"")</f>
        <v>16.625</v>
      </c>
      <c r="G2563" s="33" t="n">
        <f aca="false">IF(B2563=1,"",IF(B2563=2,C2562,SES_Alpha*C2562+(1-SES_Alpha)*G2562))</f>
        <v>16.4529782440302</v>
      </c>
      <c r="H2563" s="33" t="n">
        <f aca="false">IF(D2563="","",D2563-C2563)</f>
        <v>-3</v>
      </c>
      <c r="I2563" s="33" t="n">
        <f aca="false">IF(E2563="","",E2563-C2563)</f>
        <v>-0.25</v>
      </c>
      <c r="J2563" s="33" t="n">
        <f aca="false">IF(F2563="","",F2563-C2563)</f>
        <v>-0.375</v>
      </c>
      <c r="K2563" s="33" t="n">
        <f aca="false">IF(G2563="","",G2563-C2563)</f>
        <v>-0.547021755969844</v>
      </c>
      <c r="L2563" s="33" t="n">
        <f aca="false">IF(H2563="","",ABS(H2563))</f>
        <v>3</v>
      </c>
      <c r="M2563" s="33" t="n">
        <f aca="false">IF(I2563="","",ABS(I2563))</f>
        <v>0.25</v>
      </c>
      <c r="N2563" s="33" t="n">
        <f aca="false">IF(J2563="","",ABS(J2563))</f>
        <v>0.375</v>
      </c>
      <c r="O2563" s="33" t="n">
        <f aca="false">IF(K2563="","",ABS(K2563))</f>
        <v>0.547021755969844</v>
      </c>
      <c r="P2563" s="34" t="str">
        <f aca="false">IF(B2563&gt;=Eval_Start_Week,"YES","")</f>
        <v>YES</v>
      </c>
      <c r="Q2563" s="34" t="str">
        <f aca="false">IF(AND(B2563&gt;=Cal_Start_Week,B2563&lt;=Cal_End_Week),"YES","")</f>
        <v>YES</v>
      </c>
    </row>
    <row r="2564" customFormat="false" ht="15" hidden="false" customHeight="false" outlineLevel="0" collapsed="false">
      <c r="A2564" s="31" t="str">
        <f aca="false">Demand_History!C2564</f>
        <v>BED-005</v>
      </c>
      <c r="B2564" s="31" t="n">
        <f aca="false">Demand_History!A2564</f>
        <v>67</v>
      </c>
      <c r="C2564" s="32" t="n">
        <f aca="false">Demand_History!D2564</f>
        <v>20</v>
      </c>
      <c r="D2564" s="33" t="n">
        <f aca="false">IF(B2564&gt;=2,C2563,"")</f>
        <v>17</v>
      </c>
      <c r="E2564" s="33" t="n">
        <f aca="false">IF(B2564&gt;=5,AVERAGE(C2560:C2563),"")</f>
        <v>17</v>
      </c>
      <c r="F2564" s="33" t="n">
        <f aca="false">IF(B2564&gt;=9,AVERAGE(C2556:C2563),"")</f>
        <v>16.75</v>
      </c>
      <c r="G2564" s="33" t="n">
        <f aca="false">IF(B2564=1,"",IF(B2564=2,C2563,SES_Alpha*C2563+(1-SES_Alpha)*G2563))</f>
        <v>16.6170847708211</v>
      </c>
      <c r="H2564" s="33" t="n">
        <f aca="false">IF(D2564="","",D2564-C2564)</f>
        <v>-3</v>
      </c>
      <c r="I2564" s="33" t="n">
        <f aca="false">IF(E2564="","",E2564-C2564)</f>
        <v>-3</v>
      </c>
      <c r="J2564" s="33" t="n">
        <f aca="false">IF(F2564="","",F2564-C2564)</f>
        <v>-3.25</v>
      </c>
      <c r="K2564" s="33" t="n">
        <f aca="false">IF(G2564="","",G2564-C2564)</f>
        <v>-3.38291522917889</v>
      </c>
      <c r="L2564" s="33" t="n">
        <f aca="false">IF(H2564="","",ABS(H2564))</f>
        <v>3</v>
      </c>
      <c r="M2564" s="33" t="n">
        <f aca="false">IF(I2564="","",ABS(I2564))</f>
        <v>3</v>
      </c>
      <c r="N2564" s="33" t="n">
        <f aca="false">IF(J2564="","",ABS(J2564))</f>
        <v>3.25</v>
      </c>
      <c r="O2564" s="33" t="n">
        <f aca="false">IF(K2564="","",ABS(K2564))</f>
        <v>3.38291522917889</v>
      </c>
      <c r="P2564" s="34" t="str">
        <f aca="false">IF(B2564&gt;=Eval_Start_Week,"YES","")</f>
        <v>YES</v>
      </c>
      <c r="Q2564" s="34" t="str">
        <f aca="false">IF(AND(B2564&gt;=Cal_Start_Week,B2564&lt;=Cal_End_Week),"YES","")</f>
        <v>YES</v>
      </c>
    </row>
    <row r="2565" customFormat="false" ht="15" hidden="false" customHeight="false" outlineLevel="0" collapsed="false">
      <c r="A2565" s="31" t="str">
        <f aca="false">Demand_History!C2565</f>
        <v>BED-005</v>
      </c>
      <c r="B2565" s="31" t="n">
        <f aca="false">Demand_History!A2565</f>
        <v>68</v>
      </c>
      <c r="C2565" s="32" t="n">
        <f aca="false">Demand_History!D2565</f>
        <v>16</v>
      </c>
      <c r="D2565" s="33" t="n">
        <f aca="false">IF(B2565&gt;=2,C2564,"")</f>
        <v>20</v>
      </c>
      <c r="E2565" s="33" t="n">
        <f aca="false">IF(B2565&gt;=5,AVERAGE(C2561:C2564),"")</f>
        <v>16.75</v>
      </c>
      <c r="F2565" s="33" t="n">
        <f aca="false">IF(B2565&gt;=9,AVERAGE(C2557:C2564),"")</f>
        <v>17.25</v>
      </c>
      <c r="G2565" s="33" t="n">
        <f aca="false">IF(B2565=1,"",IF(B2565=2,C2564,SES_Alpha*C2564+(1-SES_Alpha)*G2564))</f>
        <v>17.6319593395748</v>
      </c>
      <c r="H2565" s="33" t="n">
        <f aca="false">IF(D2565="","",D2565-C2565)</f>
        <v>4</v>
      </c>
      <c r="I2565" s="33" t="n">
        <f aca="false">IF(E2565="","",E2565-C2565)</f>
        <v>0.75</v>
      </c>
      <c r="J2565" s="33" t="n">
        <f aca="false">IF(F2565="","",F2565-C2565)</f>
        <v>1.25</v>
      </c>
      <c r="K2565" s="33" t="n">
        <f aca="false">IF(G2565="","",G2565-C2565)</f>
        <v>1.63195933957478</v>
      </c>
      <c r="L2565" s="33" t="n">
        <f aca="false">IF(H2565="","",ABS(H2565))</f>
        <v>4</v>
      </c>
      <c r="M2565" s="33" t="n">
        <f aca="false">IF(I2565="","",ABS(I2565))</f>
        <v>0.75</v>
      </c>
      <c r="N2565" s="33" t="n">
        <f aca="false">IF(J2565="","",ABS(J2565))</f>
        <v>1.25</v>
      </c>
      <c r="O2565" s="33" t="n">
        <f aca="false">IF(K2565="","",ABS(K2565))</f>
        <v>1.63195933957478</v>
      </c>
      <c r="P2565" s="34" t="str">
        <f aca="false">IF(B2565&gt;=Eval_Start_Week,"YES","")</f>
        <v>YES</v>
      </c>
      <c r="Q2565" s="34" t="str">
        <f aca="false">IF(AND(B2565&gt;=Cal_Start_Week,B2565&lt;=Cal_End_Week),"YES","")</f>
        <v>YES</v>
      </c>
    </row>
    <row r="2566" customFormat="false" ht="15" hidden="false" customHeight="false" outlineLevel="0" collapsed="false">
      <c r="A2566" s="31" t="str">
        <f aca="false">Demand_History!C2566</f>
        <v>BED-005</v>
      </c>
      <c r="B2566" s="31" t="n">
        <f aca="false">Demand_History!A2566</f>
        <v>69</v>
      </c>
      <c r="C2566" s="32" t="n">
        <f aca="false">Demand_History!D2566</f>
        <v>19</v>
      </c>
      <c r="D2566" s="33" t="n">
        <f aca="false">IF(B2566&gt;=2,C2565,"")</f>
        <v>16</v>
      </c>
      <c r="E2566" s="33" t="n">
        <f aca="false">IF(B2566&gt;=5,AVERAGE(C2562:C2565),"")</f>
        <v>16.75</v>
      </c>
      <c r="F2566" s="33" t="n">
        <f aca="false">IF(B2566&gt;=9,AVERAGE(C2558:C2565),"")</f>
        <v>17</v>
      </c>
      <c r="G2566" s="33" t="n">
        <f aca="false">IF(B2566=1,"",IF(B2566=2,C2565,SES_Alpha*C2565+(1-SES_Alpha)*G2565))</f>
        <v>17.1423715377023</v>
      </c>
      <c r="H2566" s="33" t="n">
        <f aca="false">IF(D2566="","",D2566-C2566)</f>
        <v>-3</v>
      </c>
      <c r="I2566" s="33" t="n">
        <f aca="false">IF(E2566="","",E2566-C2566)</f>
        <v>-2.25</v>
      </c>
      <c r="J2566" s="33" t="n">
        <f aca="false">IF(F2566="","",F2566-C2566)</f>
        <v>-2</v>
      </c>
      <c r="K2566" s="33" t="n">
        <f aca="false">IF(G2566="","",G2566-C2566)</f>
        <v>-1.85762846229766</v>
      </c>
      <c r="L2566" s="33" t="n">
        <f aca="false">IF(H2566="","",ABS(H2566))</f>
        <v>3</v>
      </c>
      <c r="M2566" s="33" t="n">
        <f aca="false">IF(I2566="","",ABS(I2566))</f>
        <v>2.25</v>
      </c>
      <c r="N2566" s="33" t="n">
        <f aca="false">IF(J2566="","",ABS(J2566))</f>
        <v>2</v>
      </c>
      <c r="O2566" s="33" t="n">
        <f aca="false">IF(K2566="","",ABS(K2566))</f>
        <v>1.85762846229766</v>
      </c>
      <c r="P2566" s="34" t="str">
        <f aca="false">IF(B2566&gt;=Eval_Start_Week,"YES","")</f>
        <v>YES</v>
      </c>
      <c r="Q2566" s="34" t="str">
        <f aca="false">IF(AND(B2566&gt;=Cal_Start_Week,B2566&lt;=Cal_End_Week),"YES","")</f>
        <v>YES</v>
      </c>
    </row>
    <row r="2567" customFormat="false" ht="15" hidden="false" customHeight="false" outlineLevel="0" collapsed="false">
      <c r="A2567" s="31" t="str">
        <f aca="false">Demand_History!C2567</f>
        <v>BED-005</v>
      </c>
      <c r="B2567" s="31" t="n">
        <f aca="false">Demand_History!A2567</f>
        <v>70</v>
      </c>
      <c r="C2567" s="32" t="n">
        <f aca="false">Demand_History!D2567</f>
        <v>15</v>
      </c>
      <c r="D2567" s="33" t="n">
        <f aca="false">IF(B2567&gt;=2,C2566,"")</f>
        <v>19</v>
      </c>
      <c r="E2567" s="33" t="n">
        <f aca="false">IF(B2567&gt;=5,AVERAGE(C2563:C2566),"")</f>
        <v>18</v>
      </c>
      <c r="F2567" s="33" t="n">
        <f aca="false">IF(B2567&gt;=9,AVERAGE(C2559:C2566),"")</f>
        <v>17.375</v>
      </c>
      <c r="G2567" s="33" t="n">
        <f aca="false">IF(B2567=1,"",IF(B2567=2,C2566,SES_Alpha*C2566+(1-SES_Alpha)*G2566))</f>
        <v>17.6996600763916</v>
      </c>
      <c r="H2567" s="33" t="n">
        <f aca="false">IF(D2567="","",D2567-C2567)</f>
        <v>4</v>
      </c>
      <c r="I2567" s="33" t="n">
        <f aca="false">IF(E2567="","",E2567-C2567)</f>
        <v>3</v>
      </c>
      <c r="J2567" s="33" t="n">
        <f aca="false">IF(F2567="","",F2567-C2567)</f>
        <v>2.375</v>
      </c>
      <c r="K2567" s="33" t="n">
        <f aca="false">IF(G2567="","",G2567-C2567)</f>
        <v>2.69966007639164</v>
      </c>
      <c r="L2567" s="33" t="n">
        <f aca="false">IF(H2567="","",ABS(H2567))</f>
        <v>4</v>
      </c>
      <c r="M2567" s="33" t="n">
        <f aca="false">IF(I2567="","",ABS(I2567))</f>
        <v>3</v>
      </c>
      <c r="N2567" s="33" t="n">
        <f aca="false">IF(J2567="","",ABS(J2567))</f>
        <v>2.375</v>
      </c>
      <c r="O2567" s="33" t="n">
        <f aca="false">IF(K2567="","",ABS(K2567))</f>
        <v>2.69966007639164</v>
      </c>
      <c r="P2567" s="34" t="str">
        <f aca="false">IF(B2567&gt;=Eval_Start_Week,"YES","")</f>
        <v>YES</v>
      </c>
      <c r="Q2567" s="34" t="str">
        <f aca="false">IF(AND(B2567&gt;=Cal_Start_Week,B2567&lt;=Cal_End_Week),"YES","")</f>
        <v>YES</v>
      </c>
    </row>
    <row r="2568" customFormat="false" ht="15" hidden="false" customHeight="false" outlineLevel="0" collapsed="false">
      <c r="A2568" s="31" t="str">
        <f aca="false">Demand_History!C2568</f>
        <v>BED-005</v>
      </c>
      <c r="B2568" s="31" t="n">
        <f aca="false">Demand_History!A2568</f>
        <v>71</v>
      </c>
      <c r="C2568" s="32" t="n">
        <f aca="false">Demand_History!D2568</f>
        <v>15</v>
      </c>
      <c r="D2568" s="33" t="n">
        <f aca="false">IF(B2568&gt;=2,C2567,"")</f>
        <v>15</v>
      </c>
      <c r="E2568" s="33" t="n">
        <f aca="false">IF(B2568&gt;=5,AVERAGE(C2564:C2567),"")</f>
        <v>17.5</v>
      </c>
      <c r="F2568" s="33" t="n">
        <f aca="false">IF(B2568&gt;=9,AVERAGE(C2560:C2567),"")</f>
        <v>17.25</v>
      </c>
      <c r="G2568" s="33" t="n">
        <f aca="false">IF(B2568=1,"",IF(B2568=2,C2567,SES_Alpha*C2567+(1-SES_Alpha)*G2567))</f>
        <v>16.8897620534741</v>
      </c>
      <c r="H2568" s="33" t="n">
        <f aca="false">IF(D2568="","",D2568-C2568)</f>
        <v>0</v>
      </c>
      <c r="I2568" s="33" t="n">
        <f aca="false">IF(E2568="","",E2568-C2568)</f>
        <v>2.5</v>
      </c>
      <c r="J2568" s="33" t="n">
        <f aca="false">IF(F2568="","",F2568-C2568)</f>
        <v>2.25</v>
      </c>
      <c r="K2568" s="33" t="n">
        <f aca="false">IF(G2568="","",G2568-C2568)</f>
        <v>1.88976205347414</v>
      </c>
      <c r="L2568" s="33" t="n">
        <f aca="false">IF(H2568="","",ABS(H2568))</f>
        <v>0</v>
      </c>
      <c r="M2568" s="33" t="n">
        <f aca="false">IF(I2568="","",ABS(I2568))</f>
        <v>2.5</v>
      </c>
      <c r="N2568" s="33" t="n">
        <f aca="false">IF(J2568="","",ABS(J2568))</f>
        <v>2.25</v>
      </c>
      <c r="O2568" s="33" t="n">
        <f aca="false">IF(K2568="","",ABS(K2568))</f>
        <v>1.88976205347414</v>
      </c>
      <c r="P2568" s="34" t="str">
        <f aca="false">IF(B2568&gt;=Eval_Start_Week,"YES","")</f>
        <v>YES</v>
      </c>
      <c r="Q2568" s="34" t="str">
        <f aca="false">IF(AND(B2568&gt;=Cal_Start_Week,B2568&lt;=Cal_End_Week),"YES","")</f>
        <v>YES</v>
      </c>
    </row>
    <row r="2569" customFormat="false" ht="15" hidden="false" customHeight="false" outlineLevel="0" collapsed="false">
      <c r="A2569" s="31" t="str">
        <f aca="false">Demand_History!C2569</f>
        <v>BED-005</v>
      </c>
      <c r="B2569" s="31" t="n">
        <f aca="false">Demand_History!A2569</f>
        <v>72</v>
      </c>
      <c r="C2569" s="32" t="n">
        <f aca="false">Demand_History!D2569</f>
        <v>14</v>
      </c>
      <c r="D2569" s="33" t="n">
        <f aca="false">IF(B2569&gt;=2,C2568,"")</f>
        <v>15</v>
      </c>
      <c r="E2569" s="33" t="n">
        <f aca="false">IF(B2569&gt;=5,AVERAGE(C2565:C2568),"")</f>
        <v>16.25</v>
      </c>
      <c r="F2569" s="33" t="n">
        <f aca="false">IF(B2569&gt;=9,AVERAGE(C2561:C2568),"")</f>
        <v>16.5</v>
      </c>
      <c r="G2569" s="33" t="n">
        <f aca="false">IF(B2569=1,"",IF(B2569=2,C2568,SES_Alpha*C2568+(1-SES_Alpha)*G2568))</f>
        <v>16.3228334374319</v>
      </c>
      <c r="H2569" s="33" t="n">
        <f aca="false">IF(D2569="","",D2569-C2569)</f>
        <v>1</v>
      </c>
      <c r="I2569" s="33" t="n">
        <f aca="false">IF(E2569="","",E2569-C2569)</f>
        <v>2.25</v>
      </c>
      <c r="J2569" s="33" t="n">
        <f aca="false">IF(F2569="","",F2569-C2569)</f>
        <v>2.5</v>
      </c>
      <c r="K2569" s="33" t="n">
        <f aca="false">IF(G2569="","",G2569-C2569)</f>
        <v>2.3228334374319</v>
      </c>
      <c r="L2569" s="33" t="n">
        <f aca="false">IF(H2569="","",ABS(H2569))</f>
        <v>1</v>
      </c>
      <c r="M2569" s="33" t="n">
        <f aca="false">IF(I2569="","",ABS(I2569))</f>
        <v>2.25</v>
      </c>
      <c r="N2569" s="33" t="n">
        <f aca="false">IF(J2569="","",ABS(J2569))</f>
        <v>2.5</v>
      </c>
      <c r="O2569" s="33" t="n">
        <f aca="false">IF(K2569="","",ABS(K2569))</f>
        <v>2.3228334374319</v>
      </c>
      <c r="P2569" s="34" t="str">
        <f aca="false">IF(B2569&gt;=Eval_Start_Week,"YES","")</f>
        <v>YES</v>
      </c>
      <c r="Q2569" s="34" t="str">
        <f aca="false">IF(AND(B2569&gt;=Cal_Start_Week,B2569&lt;=Cal_End_Week),"YES","")</f>
        <v>YES</v>
      </c>
    </row>
    <row r="2570" customFormat="false" ht="15" hidden="false" customHeight="false" outlineLevel="0" collapsed="false">
      <c r="A2570" s="31" t="str">
        <f aca="false">Demand_History!C2570</f>
        <v>BED-005</v>
      </c>
      <c r="B2570" s="31" t="n">
        <f aca="false">Demand_History!A2570</f>
        <v>73</v>
      </c>
      <c r="C2570" s="32" t="n">
        <f aca="false">Demand_History!D2570</f>
        <v>15</v>
      </c>
      <c r="D2570" s="33" t="n">
        <f aca="false">IF(B2570&gt;=2,C2569,"")</f>
        <v>14</v>
      </c>
      <c r="E2570" s="33" t="n">
        <f aca="false">IF(B2570&gt;=5,AVERAGE(C2566:C2569),"")</f>
        <v>15.75</v>
      </c>
      <c r="F2570" s="33" t="n">
        <f aca="false">IF(B2570&gt;=9,AVERAGE(C2562:C2569),"")</f>
        <v>16.25</v>
      </c>
      <c r="G2570" s="33" t="n">
        <f aca="false">IF(B2570=1,"",IF(B2570=2,C2569,SES_Alpha*C2569+(1-SES_Alpha)*G2569))</f>
        <v>15.6259834062023</v>
      </c>
      <c r="H2570" s="33" t="n">
        <f aca="false">IF(D2570="","",D2570-C2570)</f>
        <v>-1</v>
      </c>
      <c r="I2570" s="33" t="n">
        <f aca="false">IF(E2570="","",E2570-C2570)</f>
        <v>0.75</v>
      </c>
      <c r="J2570" s="33" t="n">
        <f aca="false">IF(F2570="","",F2570-C2570)</f>
        <v>1.25</v>
      </c>
      <c r="K2570" s="33" t="n">
        <f aca="false">IF(G2570="","",G2570-C2570)</f>
        <v>0.62598340620233</v>
      </c>
      <c r="L2570" s="33" t="n">
        <f aca="false">IF(H2570="","",ABS(H2570))</f>
        <v>1</v>
      </c>
      <c r="M2570" s="33" t="n">
        <f aca="false">IF(I2570="","",ABS(I2570))</f>
        <v>0.75</v>
      </c>
      <c r="N2570" s="33" t="n">
        <f aca="false">IF(J2570="","",ABS(J2570))</f>
        <v>1.25</v>
      </c>
      <c r="O2570" s="33" t="n">
        <f aca="false">IF(K2570="","",ABS(K2570))</f>
        <v>0.62598340620233</v>
      </c>
      <c r="P2570" s="34" t="str">
        <f aca="false">IF(B2570&gt;=Eval_Start_Week,"YES","")</f>
        <v>YES</v>
      </c>
      <c r="Q2570" s="34" t="str">
        <f aca="false">IF(AND(B2570&gt;=Cal_Start_Week,B2570&lt;=Cal_End_Week),"YES","")</f>
        <v>YES</v>
      </c>
    </row>
    <row r="2571" customFormat="false" ht="15" hidden="false" customHeight="false" outlineLevel="0" collapsed="false">
      <c r="A2571" s="31" t="str">
        <f aca="false">Demand_History!C2571</f>
        <v>BED-005</v>
      </c>
      <c r="B2571" s="31" t="n">
        <f aca="false">Demand_History!A2571</f>
        <v>74</v>
      </c>
      <c r="C2571" s="32" t="n">
        <f aca="false">Demand_History!D2571</f>
        <v>19</v>
      </c>
      <c r="D2571" s="33" t="n">
        <f aca="false">IF(B2571&gt;=2,C2570,"")</f>
        <v>15</v>
      </c>
      <c r="E2571" s="33" t="n">
        <f aca="false">IF(B2571&gt;=5,AVERAGE(C2567:C2570),"")</f>
        <v>14.75</v>
      </c>
      <c r="F2571" s="33" t="n">
        <f aca="false">IF(B2571&gt;=9,AVERAGE(C2563:C2570),"")</f>
        <v>16.375</v>
      </c>
      <c r="G2571" s="33" t="n">
        <f aca="false">IF(B2571=1,"",IF(B2571=2,C2570,SES_Alpha*C2570+(1-SES_Alpha)*G2570))</f>
        <v>15.4381883843416</v>
      </c>
      <c r="H2571" s="33" t="n">
        <f aca="false">IF(D2571="","",D2571-C2571)</f>
        <v>-4</v>
      </c>
      <c r="I2571" s="33" t="n">
        <f aca="false">IF(E2571="","",E2571-C2571)</f>
        <v>-4.25</v>
      </c>
      <c r="J2571" s="33" t="n">
        <f aca="false">IF(F2571="","",F2571-C2571)</f>
        <v>-2.625</v>
      </c>
      <c r="K2571" s="33" t="n">
        <f aca="false">IF(G2571="","",G2571-C2571)</f>
        <v>-3.56181161565837</v>
      </c>
      <c r="L2571" s="33" t="n">
        <f aca="false">IF(H2571="","",ABS(H2571))</f>
        <v>4</v>
      </c>
      <c r="M2571" s="33" t="n">
        <f aca="false">IF(I2571="","",ABS(I2571))</f>
        <v>4.25</v>
      </c>
      <c r="N2571" s="33" t="n">
        <f aca="false">IF(J2571="","",ABS(J2571))</f>
        <v>2.625</v>
      </c>
      <c r="O2571" s="33" t="n">
        <f aca="false">IF(K2571="","",ABS(K2571))</f>
        <v>3.56181161565837</v>
      </c>
      <c r="P2571" s="34" t="str">
        <f aca="false">IF(B2571&gt;=Eval_Start_Week,"YES","")</f>
        <v>YES</v>
      </c>
      <c r="Q2571" s="34" t="str">
        <f aca="false">IF(AND(B2571&gt;=Cal_Start_Week,B2571&lt;=Cal_End_Week),"YES","")</f>
        <v>YES</v>
      </c>
    </row>
    <row r="2572" customFormat="false" ht="15" hidden="false" customHeight="false" outlineLevel="0" collapsed="false">
      <c r="A2572" s="31" t="str">
        <f aca="false">Demand_History!C2572</f>
        <v>BED-005</v>
      </c>
      <c r="B2572" s="31" t="n">
        <f aca="false">Demand_History!A2572</f>
        <v>75</v>
      </c>
      <c r="C2572" s="32" t="n">
        <f aca="false">Demand_History!D2572</f>
        <v>13</v>
      </c>
      <c r="D2572" s="33" t="n">
        <f aca="false">IF(B2572&gt;=2,C2571,"")</f>
        <v>19</v>
      </c>
      <c r="E2572" s="33" t="n">
        <f aca="false">IF(B2572&gt;=5,AVERAGE(C2568:C2571),"")</f>
        <v>15.75</v>
      </c>
      <c r="F2572" s="33" t="n">
        <f aca="false">IF(B2572&gt;=9,AVERAGE(C2564:C2571),"")</f>
        <v>16.625</v>
      </c>
      <c r="G2572" s="33" t="n">
        <f aca="false">IF(B2572=1,"",IF(B2572=2,C2571,SES_Alpha*C2571+(1-SES_Alpha)*G2571))</f>
        <v>16.5067318690391</v>
      </c>
      <c r="H2572" s="33" t="n">
        <f aca="false">IF(D2572="","",D2572-C2572)</f>
        <v>6</v>
      </c>
      <c r="I2572" s="33" t="n">
        <f aca="false">IF(E2572="","",E2572-C2572)</f>
        <v>2.75</v>
      </c>
      <c r="J2572" s="33" t="n">
        <f aca="false">IF(F2572="","",F2572-C2572)</f>
        <v>3.625</v>
      </c>
      <c r="K2572" s="33" t="n">
        <f aca="false">IF(G2572="","",G2572-C2572)</f>
        <v>3.50673186903914</v>
      </c>
      <c r="L2572" s="33" t="n">
        <f aca="false">IF(H2572="","",ABS(H2572))</f>
        <v>6</v>
      </c>
      <c r="M2572" s="33" t="n">
        <f aca="false">IF(I2572="","",ABS(I2572))</f>
        <v>2.75</v>
      </c>
      <c r="N2572" s="33" t="n">
        <f aca="false">IF(J2572="","",ABS(J2572))</f>
        <v>3.625</v>
      </c>
      <c r="O2572" s="33" t="n">
        <f aca="false">IF(K2572="","",ABS(K2572))</f>
        <v>3.50673186903914</v>
      </c>
      <c r="P2572" s="34" t="str">
        <f aca="false">IF(B2572&gt;=Eval_Start_Week,"YES","")</f>
        <v>YES</v>
      </c>
      <c r="Q2572" s="34" t="str">
        <f aca="false">IF(AND(B2572&gt;=Cal_Start_Week,B2572&lt;=Cal_End_Week),"YES","")</f>
        <v>YES</v>
      </c>
    </row>
    <row r="2573" customFormat="false" ht="15" hidden="false" customHeight="false" outlineLevel="0" collapsed="false">
      <c r="A2573" s="31" t="str">
        <f aca="false">Demand_History!C2573</f>
        <v>BED-005</v>
      </c>
      <c r="B2573" s="31" t="n">
        <f aca="false">Demand_History!A2573</f>
        <v>76</v>
      </c>
      <c r="C2573" s="32" t="n">
        <f aca="false">Demand_History!D2573</f>
        <v>19</v>
      </c>
      <c r="D2573" s="33" t="n">
        <f aca="false">IF(B2573&gt;=2,C2572,"")</f>
        <v>13</v>
      </c>
      <c r="E2573" s="33" t="n">
        <f aca="false">IF(B2573&gt;=5,AVERAGE(C2569:C2572),"")</f>
        <v>15.25</v>
      </c>
      <c r="F2573" s="33" t="n">
        <f aca="false">IF(B2573&gt;=9,AVERAGE(C2565:C2572),"")</f>
        <v>15.75</v>
      </c>
      <c r="G2573" s="33" t="n">
        <f aca="false">IF(B2573=1,"",IF(B2573=2,C2572,SES_Alpha*C2572+(1-SES_Alpha)*G2572))</f>
        <v>15.4547123083274</v>
      </c>
      <c r="H2573" s="33" t="n">
        <f aca="false">IF(D2573="","",D2573-C2573)</f>
        <v>-6</v>
      </c>
      <c r="I2573" s="33" t="n">
        <f aca="false">IF(E2573="","",E2573-C2573)</f>
        <v>-3.75</v>
      </c>
      <c r="J2573" s="33" t="n">
        <f aca="false">IF(F2573="","",F2573-C2573)</f>
        <v>-3.25</v>
      </c>
      <c r="K2573" s="33" t="n">
        <f aca="false">IF(G2573="","",G2573-C2573)</f>
        <v>-3.5452876916726</v>
      </c>
      <c r="L2573" s="33" t="n">
        <f aca="false">IF(H2573="","",ABS(H2573))</f>
        <v>6</v>
      </c>
      <c r="M2573" s="33" t="n">
        <f aca="false">IF(I2573="","",ABS(I2573))</f>
        <v>3.75</v>
      </c>
      <c r="N2573" s="33" t="n">
        <f aca="false">IF(J2573="","",ABS(J2573))</f>
        <v>3.25</v>
      </c>
      <c r="O2573" s="33" t="n">
        <f aca="false">IF(K2573="","",ABS(K2573))</f>
        <v>3.5452876916726</v>
      </c>
      <c r="P2573" s="34" t="str">
        <f aca="false">IF(B2573&gt;=Eval_Start_Week,"YES","")</f>
        <v>YES</v>
      </c>
      <c r="Q2573" s="34" t="str">
        <f aca="false">IF(AND(B2573&gt;=Cal_Start_Week,B2573&lt;=Cal_End_Week),"YES","")</f>
        <v>YES</v>
      </c>
    </row>
    <row r="2574" customFormat="false" ht="15" hidden="false" customHeight="false" outlineLevel="0" collapsed="false">
      <c r="A2574" s="31" t="str">
        <f aca="false">Demand_History!C2574</f>
        <v>BED-005</v>
      </c>
      <c r="B2574" s="31" t="n">
        <f aca="false">Demand_History!A2574</f>
        <v>77</v>
      </c>
      <c r="C2574" s="32" t="n">
        <f aca="false">Demand_History!D2574</f>
        <v>13</v>
      </c>
      <c r="D2574" s="33" t="n">
        <f aca="false">IF(B2574&gt;=2,C2573,"")</f>
        <v>19</v>
      </c>
      <c r="E2574" s="33" t="n">
        <f aca="false">IF(B2574&gt;=5,AVERAGE(C2570:C2573),"")</f>
        <v>16.5</v>
      </c>
      <c r="F2574" s="33" t="n">
        <f aca="false">IF(B2574&gt;=9,AVERAGE(C2566:C2573),"")</f>
        <v>16.125</v>
      </c>
      <c r="G2574" s="33" t="n">
        <f aca="false">IF(B2574=1,"",IF(B2574=2,C2573,SES_Alpha*C2573+(1-SES_Alpha)*G2573))</f>
        <v>16.5182986158292</v>
      </c>
      <c r="H2574" s="33" t="n">
        <f aca="false">IF(D2574="","",D2574-C2574)</f>
        <v>6</v>
      </c>
      <c r="I2574" s="33" t="n">
        <f aca="false">IF(E2574="","",E2574-C2574)</f>
        <v>3.5</v>
      </c>
      <c r="J2574" s="33" t="n">
        <f aca="false">IF(F2574="","",F2574-C2574)</f>
        <v>3.125</v>
      </c>
      <c r="K2574" s="33" t="n">
        <f aca="false">IF(G2574="","",G2574-C2574)</f>
        <v>3.51829861582918</v>
      </c>
      <c r="L2574" s="33" t="n">
        <f aca="false">IF(H2574="","",ABS(H2574))</f>
        <v>6</v>
      </c>
      <c r="M2574" s="33" t="n">
        <f aca="false">IF(I2574="","",ABS(I2574))</f>
        <v>3.5</v>
      </c>
      <c r="N2574" s="33" t="n">
        <f aca="false">IF(J2574="","",ABS(J2574))</f>
        <v>3.125</v>
      </c>
      <c r="O2574" s="33" t="n">
        <f aca="false">IF(K2574="","",ABS(K2574))</f>
        <v>3.51829861582918</v>
      </c>
      <c r="P2574" s="34" t="str">
        <f aca="false">IF(B2574&gt;=Eval_Start_Week,"YES","")</f>
        <v>YES</v>
      </c>
      <c r="Q2574" s="34" t="str">
        <f aca="false">IF(AND(B2574&gt;=Cal_Start_Week,B2574&lt;=Cal_End_Week),"YES","")</f>
        <v>YES</v>
      </c>
    </row>
    <row r="2575" customFormat="false" ht="15" hidden="false" customHeight="false" outlineLevel="0" collapsed="false">
      <c r="A2575" s="31" t="str">
        <f aca="false">Demand_History!C2575</f>
        <v>BED-005</v>
      </c>
      <c r="B2575" s="31" t="n">
        <f aca="false">Demand_History!A2575</f>
        <v>78</v>
      </c>
      <c r="C2575" s="32" t="n">
        <f aca="false">Demand_History!D2575</f>
        <v>14</v>
      </c>
      <c r="D2575" s="33" t="n">
        <f aca="false">IF(B2575&gt;=2,C2574,"")</f>
        <v>13</v>
      </c>
      <c r="E2575" s="33" t="n">
        <f aca="false">IF(B2575&gt;=5,AVERAGE(C2571:C2574),"")</f>
        <v>16</v>
      </c>
      <c r="F2575" s="33" t="n">
        <f aca="false">IF(B2575&gt;=9,AVERAGE(C2567:C2574),"")</f>
        <v>15.375</v>
      </c>
      <c r="G2575" s="33" t="n">
        <f aca="false">IF(B2575=1,"",IF(B2575=2,C2574,SES_Alpha*C2574+(1-SES_Alpha)*G2574))</f>
        <v>15.4628090310804</v>
      </c>
      <c r="H2575" s="33" t="n">
        <f aca="false">IF(D2575="","",D2575-C2575)</f>
        <v>-1</v>
      </c>
      <c r="I2575" s="33" t="n">
        <f aca="false">IF(E2575="","",E2575-C2575)</f>
        <v>2</v>
      </c>
      <c r="J2575" s="33" t="n">
        <f aca="false">IF(F2575="","",F2575-C2575)</f>
        <v>1.375</v>
      </c>
      <c r="K2575" s="33" t="n">
        <f aca="false">IF(G2575="","",G2575-C2575)</f>
        <v>1.46280903108042</v>
      </c>
      <c r="L2575" s="33" t="n">
        <f aca="false">IF(H2575="","",ABS(H2575))</f>
        <v>1</v>
      </c>
      <c r="M2575" s="33" t="n">
        <f aca="false">IF(I2575="","",ABS(I2575))</f>
        <v>2</v>
      </c>
      <c r="N2575" s="33" t="n">
        <f aca="false">IF(J2575="","",ABS(J2575))</f>
        <v>1.375</v>
      </c>
      <c r="O2575" s="33" t="n">
        <f aca="false">IF(K2575="","",ABS(K2575))</f>
        <v>1.46280903108042</v>
      </c>
      <c r="P2575" s="34" t="str">
        <f aca="false">IF(B2575&gt;=Eval_Start_Week,"YES","")</f>
        <v>YES</v>
      </c>
      <c r="Q2575" s="34" t="str">
        <f aca="false">IF(AND(B2575&gt;=Cal_Start_Week,B2575&lt;=Cal_End_Week),"YES","")</f>
        <v>YES</v>
      </c>
    </row>
    <row r="2576" customFormat="false" ht="15" hidden="false" customHeight="false" outlineLevel="0" collapsed="false">
      <c r="A2576" s="31" t="str">
        <f aca="false">Demand_History!C2576</f>
        <v>BED-005</v>
      </c>
      <c r="B2576" s="31" t="n">
        <f aca="false">Demand_History!A2576</f>
        <v>79</v>
      </c>
      <c r="C2576" s="32" t="n">
        <f aca="false">Demand_History!D2576</f>
        <v>16</v>
      </c>
      <c r="D2576" s="33" t="n">
        <f aca="false">IF(B2576&gt;=2,C2575,"")</f>
        <v>14</v>
      </c>
      <c r="E2576" s="33" t="n">
        <f aca="false">IF(B2576&gt;=5,AVERAGE(C2572:C2575),"")</f>
        <v>14.75</v>
      </c>
      <c r="F2576" s="33" t="n">
        <f aca="false">IF(B2576&gt;=9,AVERAGE(C2568:C2575),"")</f>
        <v>15.25</v>
      </c>
      <c r="G2576" s="33" t="n">
        <f aca="false">IF(B2576=1,"",IF(B2576=2,C2575,SES_Alpha*C2575+(1-SES_Alpha)*G2575))</f>
        <v>15.0239663217563</v>
      </c>
      <c r="H2576" s="33" t="n">
        <f aca="false">IF(D2576="","",D2576-C2576)</f>
        <v>-2</v>
      </c>
      <c r="I2576" s="33" t="n">
        <f aca="false">IF(E2576="","",E2576-C2576)</f>
        <v>-1.25</v>
      </c>
      <c r="J2576" s="33" t="n">
        <f aca="false">IF(F2576="","",F2576-C2576)</f>
        <v>-0.75</v>
      </c>
      <c r="K2576" s="33" t="n">
        <f aca="false">IF(G2576="","",G2576-C2576)</f>
        <v>-0.976033678243702</v>
      </c>
      <c r="L2576" s="33" t="n">
        <f aca="false">IF(H2576="","",ABS(H2576))</f>
        <v>2</v>
      </c>
      <c r="M2576" s="33" t="n">
        <f aca="false">IF(I2576="","",ABS(I2576))</f>
        <v>1.25</v>
      </c>
      <c r="N2576" s="33" t="n">
        <f aca="false">IF(J2576="","",ABS(J2576))</f>
        <v>0.75</v>
      </c>
      <c r="O2576" s="33" t="n">
        <f aca="false">IF(K2576="","",ABS(K2576))</f>
        <v>0.976033678243702</v>
      </c>
      <c r="P2576" s="34" t="str">
        <f aca="false">IF(B2576&gt;=Eval_Start_Week,"YES","")</f>
        <v>YES</v>
      </c>
      <c r="Q2576" s="34" t="str">
        <f aca="false">IF(AND(B2576&gt;=Cal_Start_Week,B2576&lt;=Cal_End_Week),"YES","")</f>
        <v>YES</v>
      </c>
    </row>
    <row r="2577" customFormat="false" ht="15" hidden="false" customHeight="false" outlineLevel="0" collapsed="false">
      <c r="A2577" s="31" t="str">
        <f aca="false">Demand_History!C2577</f>
        <v>BED-005</v>
      </c>
      <c r="B2577" s="31" t="n">
        <f aca="false">Demand_History!A2577</f>
        <v>80</v>
      </c>
      <c r="C2577" s="32" t="n">
        <f aca="false">Demand_History!D2577</f>
        <v>16</v>
      </c>
      <c r="D2577" s="33" t="n">
        <f aca="false">IF(B2577&gt;=2,C2576,"")</f>
        <v>16</v>
      </c>
      <c r="E2577" s="33" t="n">
        <f aca="false">IF(B2577&gt;=5,AVERAGE(C2573:C2576),"")</f>
        <v>15.5</v>
      </c>
      <c r="F2577" s="33" t="n">
        <f aca="false">IF(B2577&gt;=9,AVERAGE(C2569:C2576),"")</f>
        <v>15.375</v>
      </c>
      <c r="G2577" s="33" t="n">
        <f aca="false">IF(B2577=1,"",IF(B2577=2,C2576,SES_Alpha*C2576+(1-SES_Alpha)*G2576))</f>
        <v>15.3167764252294</v>
      </c>
      <c r="H2577" s="33" t="n">
        <f aca="false">IF(D2577="","",D2577-C2577)</f>
        <v>0</v>
      </c>
      <c r="I2577" s="33" t="n">
        <f aca="false">IF(E2577="","",E2577-C2577)</f>
        <v>-0.5</v>
      </c>
      <c r="J2577" s="33" t="n">
        <f aca="false">IF(F2577="","",F2577-C2577)</f>
        <v>-0.625</v>
      </c>
      <c r="K2577" s="33" t="n">
        <f aca="false">IF(G2577="","",G2577-C2577)</f>
        <v>-0.683223574770594</v>
      </c>
      <c r="L2577" s="33" t="n">
        <f aca="false">IF(H2577="","",ABS(H2577))</f>
        <v>0</v>
      </c>
      <c r="M2577" s="33" t="n">
        <f aca="false">IF(I2577="","",ABS(I2577))</f>
        <v>0.5</v>
      </c>
      <c r="N2577" s="33" t="n">
        <f aca="false">IF(J2577="","",ABS(J2577))</f>
        <v>0.625</v>
      </c>
      <c r="O2577" s="33" t="n">
        <f aca="false">IF(K2577="","",ABS(K2577))</f>
        <v>0.683223574770594</v>
      </c>
      <c r="P2577" s="34" t="str">
        <f aca="false">IF(B2577&gt;=Eval_Start_Week,"YES","")</f>
        <v>YES</v>
      </c>
      <c r="Q2577" s="34" t="str">
        <f aca="false">IF(AND(B2577&gt;=Cal_Start_Week,B2577&lt;=Cal_End_Week),"YES","")</f>
        <v>YES</v>
      </c>
    </row>
    <row r="2578" customFormat="false" ht="15" hidden="false" customHeight="false" outlineLevel="0" collapsed="false">
      <c r="A2578" s="31" t="str">
        <f aca="false">Demand_History!C2578</f>
        <v>BED-005</v>
      </c>
      <c r="B2578" s="31" t="n">
        <f aca="false">Demand_History!A2578</f>
        <v>81</v>
      </c>
      <c r="C2578" s="32" t="n">
        <f aca="false">Demand_History!D2578</f>
        <v>15</v>
      </c>
      <c r="D2578" s="33" t="n">
        <f aca="false">IF(B2578&gt;=2,C2577,"")</f>
        <v>16</v>
      </c>
      <c r="E2578" s="33" t="n">
        <f aca="false">IF(B2578&gt;=5,AVERAGE(C2574:C2577),"")</f>
        <v>14.75</v>
      </c>
      <c r="F2578" s="33" t="n">
        <f aca="false">IF(B2578&gt;=9,AVERAGE(C2570:C2577),"")</f>
        <v>15.625</v>
      </c>
      <c r="G2578" s="33" t="n">
        <f aca="false">IF(B2578=1,"",IF(B2578=2,C2577,SES_Alpha*C2577+(1-SES_Alpha)*G2577))</f>
        <v>15.5217434976606</v>
      </c>
      <c r="H2578" s="33" t="n">
        <f aca="false">IF(D2578="","",D2578-C2578)</f>
        <v>1</v>
      </c>
      <c r="I2578" s="33" t="n">
        <f aca="false">IF(E2578="","",E2578-C2578)</f>
        <v>-0.25</v>
      </c>
      <c r="J2578" s="33" t="n">
        <f aca="false">IF(F2578="","",F2578-C2578)</f>
        <v>0.625</v>
      </c>
      <c r="K2578" s="33" t="n">
        <f aca="false">IF(G2578="","",G2578-C2578)</f>
        <v>0.521743497660584</v>
      </c>
      <c r="L2578" s="33" t="n">
        <f aca="false">IF(H2578="","",ABS(H2578))</f>
        <v>1</v>
      </c>
      <c r="M2578" s="33" t="n">
        <f aca="false">IF(I2578="","",ABS(I2578))</f>
        <v>0.25</v>
      </c>
      <c r="N2578" s="33" t="n">
        <f aca="false">IF(J2578="","",ABS(J2578))</f>
        <v>0.625</v>
      </c>
      <c r="O2578" s="33" t="n">
        <f aca="false">IF(K2578="","",ABS(K2578))</f>
        <v>0.521743497660584</v>
      </c>
      <c r="P2578" s="34" t="str">
        <f aca="false">IF(B2578&gt;=Eval_Start_Week,"YES","")</f>
        <v>YES</v>
      </c>
      <c r="Q2578" s="34" t="str">
        <f aca="false">IF(AND(B2578&gt;=Cal_Start_Week,B2578&lt;=Cal_End_Week),"YES","")</f>
        <v>YES</v>
      </c>
    </row>
    <row r="2579" customFormat="false" ht="15" hidden="false" customHeight="false" outlineLevel="0" collapsed="false">
      <c r="A2579" s="31" t="str">
        <f aca="false">Demand_History!C2579</f>
        <v>BED-005</v>
      </c>
      <c r="B2579" s="31" t="n">
        <f aca="false">Demand_History!A2579</f>
        <v>82</v>
      </c>
      <c r="C2579" s="32" t="n">
        <f aca="false">Demand_History!D2579</f>
        <v>11</v>
      </c>
      <c r="D2579" s="33" t="n">
        <f aca="false">IF(B2579&gt;=2,C2578,"")</f>
        <v>15</v>
      </c>
      <c r="E2579" s="33" t="n">
        <f aca="false">IF(B2579&gt;=5,AVERAGE(C2575:C2578),"")</f>
        <v>15.25</v>
      </c>
      <c r="F2579" s="33" t="n">
        <f aca="false">IF(B2579&gt;=9,AVERAGE(C2571:C2578),"")</f>
        <v>15.625</v>
      </c>
      <c r="G2579" s="33" t="n">
        <f aca="false">IF(B2579=1,"",IF(B2579=2,C2578,SES_Alpha*C2578+(1-SES_Alpha)*G2578))</f>
        <v>15.3652204483624</v>
      </c>
      <c r="H2579" s="33" t="n">
        <f aca="false">IF(D2579="","",D2579-C2579)</f>
        <v>4</v>
      </c>
      <c r="I2579" s="33" t="n">
        <f aca="false">IF(E2579="","",E2579-C2579)</f>
        <v>4.25</v>
      </c>
      <c r="J2579" s="33" t="n">
        <f aca="false">IF(F2579="","",F2579-C2579)</f>
        <v>4.625</v>
      </c>
      <c r="K2579" s="33" t="n">
        <f aca="false">IF(G2579="","",G2579-C2579)</f>
        <v>4.36522044836241</v>
      </c>
      <c r="L2579" s="33" t="n">
        <f aca="false">IF(H2579="","",ABS(H2579))</f>
        <v>4</v>
      </c>
      <c r="M2579" s="33" t="n">
        <f aca="false">IF(I2579="","",ABS(I2579))</f>
        <v>4.25</v>
      </c>
      <c r="N2579" s="33" t="n">
        <f aca="false">IF(J2579="","",ABS(J2579))</f>
        <v>4.625</v>
      </c>
      <c r="O2579" s="33" t="n">
        <f aca="false">IF(K2579="","",ABS(K2579))</f>
        <v>4.36522044836241</v>
      </c>
      <c r="P2579" s="34" t="str">
        <f aca="false">IF(B2579&gt;=Eval_Start_Week,"YES","")</f>
        <v>YES</v>
      </c>
      <c r="Q2579" s="34" t="str">
        <f aca="false">IF(AND(B2579&gt;=Cal_Start_Week,B2579&lt;=Cal_End_Week),"YES","")</f>
        <v>YES</v>
      </c>
    </row>
    <row r="2580" customFormat="false" ht="15" hidden="false" customHeight="false" outlineLevel="0" collapsed="false">
      <c r="A2580" s="31" t="str">
        <f aca="false">Demand_History!C2580</f>
        <v>BED-005</v>
      </c>
      <c r="B2580" s="31" t="n">
        <f aca="false">Demand_History!A2580</f>
        <v>83</v>
      </c>
      <c r="C2580" s="32" t="n">
        <f aca="false">Demand_History!D2580</f>
        <v>15</v>
      </c>
      <c r="D2580" s="33" t="n">
        <f aca="false">IF(B2580&gt;=2,C2579,"")</f>
        <v>11</v>
      </c>
      <c r="E2580" s="33" t="n">
        <f aca="false">IF(B2580&gt;=5,AVERAGE(C2576:C2579),"")</f>
        <v>14.5</v>
      </c>
      <c r="F2580" s="33" t="n">
        <f aca="false">IF(B2580&gt;=9,AVERAGE(C2572:C2579),"")</f>
        <v>14.625</v>
      </c>
      <c r="G2580" s="33" t="n">
        <f aca="false">IF(B2580=1,"",IF(B2580=2,C2579,SES_Alpha*C2579+(1-SES_Alpha)*G2579))</f>
        <v>14.0556543138537</v>
      </c>
      <c r="H2580" s="33" t="n">
        <f aca="false">IF(D2580="","",D2580-C2580)</f>
        <v>-4</v>
      </c>
      <c r="I2580" s="33" t="n">
        <f aca="false">IF(E2580="","",E2580-C2580)</f>
        <v>-0.5</v>
      </c>
      <c r="J2580" s="33" t="n">
        <f aca="false">IF(F2580="","",F2580-C2580)</f>
        <v>-0.375</v>
      </c>
      <c r="K2580" s="33" t="n">
        <f aca="false">IF(G2580="","",G2580-C2580)</f>
        <v>-0.944345686146317</v>
      </c>
      <c r="L2580" s="33" t="n">
        <f aca="false">IF(H2580="","",ABS(H2580))</f>
        <v>4</v>
      </c>
      <c r="M2580" s="33" t="n">
        <f aca="false">IF(I2580="","",ABS(I2580))</f>
        <v>0.5</v>
      </c>
      <c r="N2580" s="33" t="n">
        <f aca="false">IF(J2580="","",ABS(J2580))</f>
        <v>0.375</v>
      </c>
      <c r="O2580" s="33" t="n">
        <f aca="false">IF(K2580="","",ABS(K2580))</f>
        <v>0.944345686146317</v>
      </c>
      <c r="P2580" s="34" t="str">
        <f aca="false">IF(B2580&gt;=Eval_Start_Week,"YES","")</f>
        <v>YES</v>
      </c>
      <c r="Q2580" s="34" t="str">
        <f aca="false">IF(AND(B2580&gt;=Cal_Start_Week,B2580&lt;=Cal_End_Week),"YES","")</f>
        <v>YES</v>
      </c>
    </row>
    <row r="2581" customFormat="false" ht="15" hidden="false" customHeight="false" outlineLevel="0" collapsed="false">
      <c r="A2581" s="31" t="str">
        <f aca="false">Demand_History!C2581</f>
        <v>BED-005</v>
      </c>
      <c r="B2581" s="31" t="n">
        <f aca="false">Demand_History!A2581</f>
        <v>84</v>
      </c>
      <c r="C2581" s="32" t="n">
        <f aca="false">Demand_History!D2581</f>
        <v>12</v>
      </c>
      <c r="D2581" s="33" t="n">
        <f aca="false">IF(B2581&gt;=2,C2580,"")</f>
        <v>15</v>
      </c>
      <c r="E2581" s="33" t="n">
        <f aca="false">IF(B2581&gt;=5,AVERAGE(C2577:C2580),"")</f>
        <v>14.25</v>
      </c>
      <c r="F2581" s="33" t="n">
        <f aca="false">IF(B2581&gt;=9,AVERAGE(C2573:C2580),"")</f>
        <v>14.875</v>
      </c>
      <c r="G2581" s="33" t="n">
        <f aca="false">IF(B2581=1,"",IF(B2581=2,C2580,SES_Alpha*C2580+(1-SES_Alpha)*G2580))</f>
        <v>14.3389580196976</v>
      </c>
      <c r="H2581" s="33" t="n">
        <f aca="false">IF(D2581="","",D2581-C2581)</f>
        <v>3</v>
      </c>
      <c r="I2581" s="33" t="n">
        <f aca="false">IF(E2581="","",E2581-C2581)</f>
        <v>2.25</v>
      </c>
      <c r="J2581" s="33" t="n">
        <f aca="false">IF(F2581="","",F2581-C2581)</f>
        <v>2.875</v>
      </c>
      <c r="K2581" s="33" t="n">
        <f aca="false">IF(G2581="","",G2581-C2581)</f>
        <v>2.33895801969758</v>
      </c>
      <c r="L2581" s="33" t="n">
        <f aca="false">IF(H2581="","",ABS(H2581))</f>
        <v>3</v>
      </c>
      <c r="M2581" s="33" t="n">
        <f aca="false">IF(I2581="","",ABS(I2581))</f>
        <v>2.25</v>
      </c>
      <c r="N2581" s="33" t="n">
        <f aca="false">IF(J2581="","",ABS(J2581))</f>
        <v>2.875</v>
      </c>
      <c r="O2581" s="33" t="n">
        <f aca="false">IF(K2581="","",ABS(K2581))</f>
        <v>2.33895801969758</v>
      </c>
      <c r="P2581" s="34" t="str">
        <f aca="false">IF(B2581&gt;=Eval_Start_Week,"YES","")</f>
        <v>YES</v>
      </c>
      <c r="Q2581" s="34" t="str">
        <f aca="false">IF(AND(B2581&gt;=Cal_Start_Week,B2581&lt;=Cal_End_Week),"YES","")</f>
        <v>YES</v>
      </c>
    </row>
    <row r="2582" customFormat="false" ht="15" hidden="false" customHeight="false" outlineLevel="0" collapsed="false">
      <c r="A2582" s="31" t="str">
        <f aca="false">Demand_History!C2582</f>
        <v>BED-005</v>
      </c>
      <c r="B2582" s="31" t="n">
        <f aca="false">Demand_History!A2582</f>
        <v>85</v>
      </c>
      <c r="C2582" s="32" t="n">
        <f aca="false">Demand_History!D2582</f>
        <v>19</v>
      </c>
      <c r="D2582" s="33" t="n">
        <f aca="false">IF(B2582&gt;=2,C2581,"")</f>
        <v>12</v>
      </c>
      <c r="E2582" s="33" t="n">
        <f aca="false">IF(B2582&gt;=5,AVERAGE(C2578:C2581),"")</f>
        <v>13.25</v>
      </c>
      <c r="F2582" s="33" t="n">
        <f aca="false">IF(B2582&gt;=9,AVERAGE(C2574:C2581),"")</f>
        <v>14</v>
      </c>
      <c r="G2582" s="33" t="n">
        <f aca="false">IF(B2582=1,"",IF(B2582=2,C2581,SES_Alpha*C2581+(1-SES_Alpha)*G2581))</f>
        <v>13.6372706137883</v>
      </c>
      <c r="H2582" s="33" t="n">
        <f aca="false">IF(D2582="","",D2582-C2582)</f>
        <v>-7</v>
      </c>
      <c r="I2582" s="33" t="n">
        <f aca="false">IF(E2582="","",E2582-C2582)</f>
        <v>-5.75</v>
      </c>
      <c r="J2582" s="33" t="n">
        <f aca="false">IF(F2582="","",F2582-C2582)</f>
        <v>-5</v>
      </c>
      <c r="K2582" s="33" t="n">
        <f aca="false">IF(G2582="","",G2582-C2582)</f>
        <v>-5.3627293862117</v>
      </c>
      <c r="L2582" s="33" t="n">
        <f aca="false">IF(H2582="","",ABS(H2582))</f>
        <v>7</v>
      </c>
      <c r="M2582" s="33" t="n">
        <f aca="false">IF(I2582="","",ABS(I2582))</f>
        <v>5.75</v>
      </c>
      <c r="N2582" s="33" t="n">
        <f aca="false">IF(J2582="","",ABS(J2582))</f>
        <v>5</v>
      </c>
      <c r="O2582" s="33" t="n">
        <f aca="false">IF(K2582="","",ABS(K2582))</f>
        <v>5.3627293862117</v>
      </c>
      <c r="P2582" s="34" t="str">
        <f aca="false">IF(B2582&gt;=Eval_Start_Week,"YES","")</f>
        <v>YES</v>
      </c>
      <c r="Q2582" s="34" t="str">
        <f aca="false">IF(AND(B2582&gt;=Cal_Start_Week,B2582&lt;=Cal_End_Week),"YES","")</f>
        <v>YES</v>
      </c>
    </row>
    <row r="2583" customFormat="false" ht="15" hidden="false" customHeight="false" outlineLevel="0" collapsed="false">
      <c r="A2583" s="31" t="str">
        <f aca="false">Demand_History!C2583</f>
        <v>BED-005</v>
      </c>
      <c r="B2583" s="31" t="n">
        <f aca="false">Demand_History!A2583</f>
        <v>86</v>
      </c>
      <c r="C2583" s="32" t="n">
        <f aca="false">Demand_History!D2583</f>
        <v>13</v>
      </c>
      <c r="D2583" s="33" t="n">
        <f aca="false">IF(B2583&gt;=2,C2582,"")</f>
        <v>19</v>
      </c>
      <c r="E2583" s="33" t="n">
        <f aca="false">IF(B2583&gt;=5,AVERAGE(C2579:C2582),"")</f>
        <v>14.25</v>
      </c>
      <c r="F2583" s="33" t="n">
        <f aca="false">IF(B2583&gt;=9,AVERAGE(C2575:C2582),"")</f>
        <v>14.75</v>
      </c>
      <c r="G2583" s="33" t="n">
        <f aca="false">IF(B2583=1,"",IF(B2583=2,C2582,SES_Alpha*C2582+(1-SES_Alpha)*G2582))</f>
        <v>15.2460894296518</v>
      </c>
      <c r="H2583" s="33" t="n">
        <f aca="false">IF(D2583="","",D2583-C2583)</f>
        <v>6</v>
      </c>
      <c r="I2583" s="33" t="n">
        <f aca="false">IF(E2583="","",E2583-C2583)</f>
        <v>1.25</v>
      </c>
      <c r="J2583" s="33" t="n">
        <f aca="false">IF(F2583="","",F2583-C2583)</f>
        <v>1.75</v>
      </c>
      <c r="K2583" s="33" t="n">
        <f aca="false">IF(G2583="","",G2583-C2583)</f>
        <v>2.24608942965181</v>
      </c>
      <c r="L2583" s="33" t="n">
        <f aca="false">IF(H2583="","",ABS(H2583))</f>
        <v>6</v>
      </c>
      <c r="M2583" s="33" t="n">
        <f aca="false">IF(I2583="","",ABS(I2583))</f>
        <v>1.25</v>
      </c>
      <c r="N2583" s="33" t="n">
        <f aca="false">IF(J2583="","",ABS(J2583))</f>
        <v>1.75</v>
      </c>
      <c r="O2583" s="33" t="n">
        <f aca="false">IF(K2583="","",ABS(K2583))</f>
        <v>2.24608942965181</v>
      </c>
      <c r="P2583" s="34" t="str">
        <f aca="false">IF(B2583&gt;=Eval_Start_Week,"YES","")</f>
        <v>YES</v>
      </c>
      <c r="Q2583" s="34" t="str">
        <f aca="false">IF(AND(B2583&gt;=Cal_Start_Week,B2583&lt;=Cal_End_Week),"YES","")</f>
        <v>YES</v>
      </c>
    </row>
    <row r="2584" customFormat="false" ht="15" hidden="false" customHeight="false" outlineLevel="0" collapsed="false">
      <c r="A2584" s="31" t="str">
        <f aca="false">Demand_History!C2584</f>
        <v>BED-005</v>
      </c>
      <c r="B2584" s="31" t="n">
        <f aca="false">Demand_History!A2584</f>
        <v>87</v>
      </c>
      <c r="C2584" s="32" t="n">
        <f aca="false">Demand_History!D2584</f>
        <v>14</v>
      </c>
      <c r="D2584" s="33" t="n">
        <f aca="false">IF(B2584&gt;=2,C2583,"")</f>
        <v>13</v>
      </c>
      <c r="E2584" s="33" t="n">
        <f aca="false">IF(B2584&gt;=5,AVERAGE(C2580:C2583),"")</f>
        <v>14.75</v>
      </c>
      <c r="F2584" s="33" t="n">
        <f aca="false">IF(B2584&gt;=9,AVERAGE(C2576:C2583),"")</f>
        <v>14.625</v>
      </c>
      <c r="G2584" s="33" t="n">
        <f aca="false">IF(B2584=1,"",IF(B2584=2,C2583,SES_Alpha*C2583+(1-SES_Alpha)*G2583))</f>
        <v>14.5722626007563</v>
      </c>
      <c r="H2584" s="33" t="n">
        <f aca="false">IF(D2584="","",D2584-C2584)</f>
        <v>-1</v>
      </c>
      <c r="I2584" s="33" t="n">
        <f aca="false">IF(E2584="","",E2584-C2584)</f>
        <v>0.75</v>
      </c>
      <c r="J2584" s="33" t="n">
        <f aca="false">IF(F2584="","",F2584-C2584)</f>
        <v>0.625</v>
      </c>
      <c r="K2584" s="33" t="n">
        <f aca="false">IF(G2584="","",G2584-C2584)</f>
        <v>0.572262600756266</v>
      </c>
      <c r="L2584" s="33" t="n">
        <f aca="false">IF(H2584="","",ABS(H2584))</f>
        <v>1</v>
      </c>
      <c r="M2584" s="33" t="n">
        <f aca="false">IF(I2584="","",ABS(I2584))</f>
        <v>0.75</v>
      </c>
      <c r="N2584" s="33" t="n">
        <f aca="false">IF(J2584="","",ABS(J2584))</f>
        <v>0.625</v>
      </c>
      <c r="O2584" s="33" t="n">
        <f aca="false">IF(K2584="","",ABS(K2584))</f>
        <v>0.572262600756266</v>
      </c>
      <c r="P2584" s="34" t="str">
        <f aca="false">IF(B2584&gt;=Eval_Start_Week,"YES","")</f>
        <v>YES</v>
      </c>
      <c r="Q2584" s="34" t="str">
        <f aca="false">IF(AND(B2584&gt;=Cal_Start_Week,B2584&lt;=Cal_End_Week),"YES","")</f>
        <v>YES</v>
      </c>
    </row>
    <row r="2585" customFormat="false" ht="15" hidden="false" customHeight="false" outlineLevel="0" collapsed="false">
      <c r="A2585" s="31" t="str">
        <f aca="false">Demand_History!C2585</f>
        <v>BED-005</v>
      </c>
      <c r="B2585" s="31" t="n">
        <f aca="false">Demand_History!A2585</f>
        <v>88</v>
      </c>
      <c r="C2585" s="32" t="n">
        <f aca="false">Demand_History!D2585</f>
        <v>11</v>
      </c>
      <c r="D2585" s="33" t="n">
        <f aca="false">IF(B2585&gt;=2,C2584,"")</f>
        <v>14</v>
      </c>
      <c r="E2585" s="33" t="n">
        <f aca="false">IF(B2585&gt;=5,AVERAGE(C2581:C2584),"")</f>
        <v>14.5</v>
      </c>
      <c r="F2585" s="33" t="n">
        <f aca="false">IF(B2585&gt;=9,AVERAGE(C2577:C2584),"")</f>
        <v>14.375</v>
      </c>
      <c r="G2585" s="33" t="n">
        <f aca="false">IF(B2585=1,"",IF(B2585=2,C2584,SES_Alpha*C2584+(1-SES_Alpha)*G2584))</f>
        <v>14.4005838205294</v>
      </c>
      <c r="H2585" s="33" t="n">
        <f aca="false">IF(D2585="","",D2585-C2585)</f>
        <v>3</v>
      </c>
      <c r="I2585" s="33" t="n">
        <f aca="false">IF(E2585="","",E2585-C2585)</f>
        <v>3.5</v>
      </c>
      <c r="J2585" s="33" t="n">
        <f aca="false">IF(F2585="","",F2585-C2585)</f>
        <v>3.375</v>
      </c>
      <c r="K2585" s="33" t="n">
        <f aca="false">IF(G2585="","",G2585-C2585)</f>
        <v>3.40058382052939</v>
      </c>
      <c r="L2585" s="33" t="n">
        <f aca="false">IF(H2585="","",ABS(H2585))</f>
        <v>3</v>
      </c>
      <c r="M2585" s="33" t="n">
        <f aca="false">IF(I2585="","",ABS(I2585))</f>
        <v>3.5</v>
      </c>
      <c r="N2585" s="33" t="n">
        <f aca="false">IF(J2585="","",ABS(J2585))</f>
        <v>3.375</v>
      </c>
      <c r="O2585" s="33" t="n">
        <f aca="false">IF(K2585="","",ABS(K2585))</f>
        <v>3.40058382052939</v>
      </c>
      <c r="P2585" s="34" t="str">
        <f aca="false">IF(B2585&gt;=Eval_Start_Week,"YES","")</f>
        <v>YES</v>
      </c>
      <c r="Q2585" s="34" t="str">
        <f aca="false">IF(AND(B2585&gt;=Cal_Start_Week,B2585&lt;=Cal_End_Week),"YES","")</f>
        <v>YES</v>
      </c>
    </row>
    <row r="2586" customFormat="false" ht="15" hidden="false" customHeight="false" outlineLevel="0" collapsed="false">
      <c r="A2586" s="31" t="str">
        <f aca="false">Demand_History!C2586</f>
        <v>BED-005</v>
      </c>
      <c r="B2586" s="31" t="n">
        <f aca="false">Demand_History!A2586</f>
        <v>89</v>
      </c>
      <c r="C2586" s="32" t="n">
        <f aca="false">Demand_History!D2586</f>
        <v>13</v>
      </c>
      <c r="D2586" s="33" t="n">
        <f aca="false">IF(B2586&gt;=2,C2585,"")</f>
        <v>11</v>
      </c>
      <c r="E2586" s="33" t="n">
        <f aca="false">IF(B2586&gt;=5,AVERAGE(C2582:C2585),"")</f>
        <v>14.25</v>
      </c>
      <c r="F2586" s="33" t="n">
        <f aca="false">IF(B2586&gt;=9,AVERAGE(C2578:C2585),"")</f>
        <v>13.75</v>
      </c>
      <c r="G2586" s="33" t="n">
        <f aca="false">IF(B2586=1,"",IF(B2586=2,C2585,SES_Alpha*C2585+(1-SES_Alpha)*G2585))</f>
        <v>13.3804086743706</v>
      </c>
      <c r="H2586" s="33" t="n">
        <f aca="false">IF(D2586="","",D2586-C2586)</f>
        <v>-2</v>
      </c>
      <c r="I2586" s="33" t="n">
        <f aca="false">IF(E2586="","",E2586-C2586)</f>
        <v>1.25</v>
      </c>
      <c r="J2586" s="33" t="n">
        <f aca="false">IF(F2586="","",F2586-C2586)</f>
        <v>0.75</v>
      </c>
      <c r="K2586" s="33" t="n">
        <f aca="false">IF(G2586="","",G2586-C2586)</f>
        <v>0.380408674370571</v>
      </c>
      <c r="L2586" s="33" t="n">
        <f aca="false">IF(H2586="","",ABS(H2586))</f>
        <v>2</v>
      </c>
      <c r="M2586" s="33" t="n">
        <f aca="false">IF(I2586="","",ABS(I2586))</f>
        <v>1.25</v>
      </c>
      <c r="N2586" s="33" t="n">
        <f aca="false">IF(J2586="","",ABS(J2586))</f>
        <v>0.75</v>
      </c>
      <c r="O2586" s="33" t="n">
        <f aca="false">IF(K2586="","",ABS(K2586))</f>
        <v>0.380408674370571</v>
      </c>
      <c r="P2586" s="34" t="str">
        <f aca="false">IF(B2586&gt;=Eval_Start_Week,"YES","")</f>
        <v>YES</v>
      </c>
      <c r="Q2586" s="34" t="str">
        <f aca="false">IF(AND(B2586&gt;=Cal_Start_Week,B2586&lt;=Cal_End_Week),"YES","")</f>
        <v/>
      </c>
    </row>
    <row r="2587" customFormat="false" ht="15" hidden="false" customHeight="false" outlineLevel="0" collapsed="false">
      <c r="A2587" s="31" t="str">
        <f aca="false">Demand_History!C2587</f>
        <v>BED-005</v>
      </c>
      <c r="B2587" s="31" t="n">
        <f aca="false">Demand_History!A2587</f>
        <v>90</v>
      </c>
      <c r="C2587" s="32" t="n">
        <f aca="false">Demand_History!D2587</f>
        <v>11</v>
      </c>
      <c r="D2587" s="33" t="n">
        <f aca="false">IF(B2587&gt;=2,C2586,"")</f>
        <v>13</v>
      </c>
      <c r="E2587" s="33" t="n">
        <f aca="false">IF(B2587&gt;=5,AVERAGE(C2583:C2586),"")</f>
        <v>12.75</v>
      </c>
      <c r="F2587" s="33" t="n">
        <f aca="false">IF(B2587&gt;=9,AVERAGE(C2579:C2586),"")</f>
        <v>13.5</v>
      </c>
      <c r="G2587" s="33" t="n">
        <f aca="false">IF(B2587=1,"",IF(B2587=2,C2586,SES_Alpha*C2586+(1-SES_Alpha)*G2586))</f>
        <v>13.2662860720594</v>
      </c>
      <c r="H2587" s="33" t="n">
        <f aca="false">IF(D2587="","",D2587-C2587)</f>
        <v>2</v>
      </c>
      <c r="I2587" s="33" t="n">
        <f aca="false">IF(E2587="","",E2587-C2587)</f>
        <v>1.75</v>
      </c>
      <c r="J2587" s="33" t="n">
        <f aca="false">IF(F2587="","",F2587-C2587)</f>
        <v>2.5</v>
      </c>
      <c r="K2587" s="33" t="n">
        <f aca="false">IF(G2587="","",G2587-C2587)</f>
        <v>2.2662860720594</v>
      </c>
      <c r="L2587" s="33" t="n">
        <f aca="false">IF(H2587="","",ABS(H2587))</f>
        <v>2</v>
      </c>
      <c r="M2587" s="33" t="n">
        <f aca="false">IF(I2587="","",ABS(I2587))</f>
        <v>1.75</v>
      </c>
      <c r="N2587" s="33" t="n">
        <f aca="false">IF(J2587="","",ABS(J2587))</f>
        <v>2.5</v>
      </c>
      <c r="O2587" s="33" t="n">
        <f aca="false">IF(K2587="","",ABS(K2587))</f>
        <v>2.2662860720594</v>
      </c>
      <c r="P2587" s="34" t="str">
        <f aca="false">IF(B2587&gt;=Eval_Start_Week,"YES","")</f>
        <v>YES</v>
      </c>
      <c r="Q2587" s="34" t="str">
        <f aca="false">IF(AND(B2587&gt;=Cal_Start_Week,B2587&lt;=Cal_End_Week),"YES","")</f>
        <v/>
      </c>
    </row>
    <row r="2588" customFormat="false" ht="15" hidden="false" customHeight="false" outlineLevel="0" collapsed="false">
      <c r="A2588" s="31" t="str">
        <f aca="false">Demand_History!C2588</f>
        <v>BED-005</v>
      </c>
      <c r="B2588" s="31" t="n">
        <f aca="false">Demand_History!A2588</f>
        <v>91</v>
      </c>
      <c r="C2588" s="32" t="n">
        <f aca="false">Demand_History!D2588</f>
        <v>15</v>
      </c>
      <c r="D2588" s="33" t="n">
        <f aca="false">IF(B2588&gt;=2,C2587,"")</f>
        <v>11</v>
      </c>
      <c r="E2588" s="33" t="n">
        <f aca="false">IF(B2588&gt;=5,AVERAGE(C2584:C2587),"")</f>
        <v>12.25</v>
      </c>
      <c r="F2588" s="33" t="n">
        <f aca="false">IF(B2588&gt;=9,AVERAGE(C2580:C2587),"")</f>
        <v>13.5</v>
      </c>
      <c r="G2588" s="33" t="n">
        <f aca="false">IF(B2588=1,"",IF(B2588=2,C2587,SES_Alpha*C2587+(1-SES_Alpha)*G2587))</f>
        <v>12.5864002504416</v>
      </c>
      <c r="H2588" s="33" t="n">
        <f aca="false">IF(D2588="","",D2588-C2588)</f>
        <v>-4</v>
      </c>
      <c r="I2588" s="33" t="n">
        <f aca="false">IF(E2588="","",E2588-C2588)</f>
        <v>-2.75</v>
      </c>
      <c r="J2588" s="33" t="n">
        <f aca="false">IF(F2588="","",F2588-C2588)</f>
        <v>-1.5</v>
      </c>
      <c r="K2588" s="33" t="n">
        <f aca="false">IF(G2588="","",G2588-C2588)</f>
        <v>-2.41359974955842</v>
      </c>
      <c r="L2588" s="33" t="n">
        <f aca="false">IF(H2588="","",ABS(H2588))</f>
        <v>4</v>
      </c>
      <c r="M2588" s="33" t="n">
        <f aca="false">IF(I2588="","",ABS(I2588))</f>
        <v>2.75</v>
      </c>
      <c r="N2588" s="33" t="n">
        <f aca="false">IF(J2588="","",ABS(J2588))</f>
        <v>1.5</v>
      </c>
      <c r="O2588" s="33" t="n">
        <f aca="false">IF(K2588="","",ABS(K2588))</f>
        <v>2.41359974955842</v>
      </c>
      <c r="P2588" s="34" t="str">
        <f aca="false">IF(B2588&gt;=Eval_Start_Week,"YES","")</f>
        <v>YES</v>
      </c>
      <c r="Q2588" s="34" t="str">
        <f aca="false">IF(AND(B2588&gt;=Cal_Start_Week,B2588&lt;=Cal_End_Week),"YES","")</f>
        <v/>
      </c>
    </row>
    <row r="2589" customFormat="false" ht="15" hidden="false" customHeight="false" outlineLevel="0" collapsed="false">
      <c r="A2589" s="31" t="str">
        <f aca="false">Demand_History!C2589</f>
        <v>BED-005</v>
      </c>
      <c r="B2589" s="31" t="n">
        <f aca="false">Demand_History!A2589</f>
        <v>92</v>
      </c>
      <c r="C2589" s="32" t="n">
        <f aca="false">Demand_History!D2589</f>
        <v>13</v>
      </c>
      <c r="D2589" s="33" t="n">
        <f aca="false">IF(B2589&gt;=2,C2588,"")</f>
        <v>15</v>
      </c>
      <c r="E2589" s="33" t="n">
        <f aca="false">IF(B2589&gt;=5,AVERAGE(C2585:C2588),"")</f>
        <v>12.5</v>
      </c>
      <c r="F2589" s="33" t="n">
        <f aca="false">IF(B2589&gt;=9,AVERAGE(C2581:C2588),"")</f>
        <v>13.5</v>
      </c>
      <c r="G2589" s="33" t="n">
        <f aca="false">IF(B2589=1,"",IF(B2589=2,C2588,SES_Alpha*C2588+(1-SES_Alpha)*G2588))</f>
        <v>13.3104801753091</v>
      </c>
      <c r="H2589" s="33" t="n">
        <f aca="false">IF(D2589="","",D2589-C2589)</f>
        <v>2</v>
      </c>
      <c r="I2589" s="33" t="n">
        <f aca="false">IF(E2589="","",E2589-C2589)</f>
        <v>-0.5</v>
      </c>
      <c r="J2589" s="33" t="n">
        <f aca="false">IF(F2589="","",F2589-C2589)</f>
        <v>0.5</v>
      </c>
      <c r="K2589" s="33" t="n">
        <f aca="false">IF(G2589="","",G2589-C2589)</f>
        <v>0.310480175309104</v>
      </c>
      <c r="L2589" s="33" t="n">
        <f aca="false">IF(H2589="","",ABS(H2589))</f>
        <v>2</v>
      </c>
      <c r="M2589" s="33" t="n">
        <f aca="false">IF(I2589="","",ABS(I2589))</f>
        <v>0.5</v>
      </c>
      <c r="N2589" s="33" t="n">
        <f aca="false">IF(J2589="","",ABS(J2589))</f>
        <v>0.5</v>
      </c>
      <c r="O2589" s="33" t="n">
        <f aca="false">IF(K2589="","",ABS(K2589))</f>
        <v>0.310480175309104</v>
      </c>
      <c r="P2589" s="34" t="str">
        <f aca="false">IF(B2589&gt;=Eval_Start_Week,"YES","")</f>
        <v>YES</v>
      </c>
      <c r="Q2589" s="34" t="str">
        <f aca="false">IF(AND(B2589&gt;=Cal_Start_Week,B2589&lt;=Cal_End_Week),"YES","")</f>
        <v/>
      </c>
    </row>
    <row r="2590" customFormat="false" ht="15" hidden="false" customHeight="false" outlineLevel="0" collapsed="false">
      <c r="A2590" s="31" t="str">
        <f aca="false">Demand_History!C2590</f>
        <v>BED-005</v>
      </c>
      <c r="B2590" s="31" t="n">
        <f aca="false">Demand_History!A2590</f>
        <v>93</v>
      </c>
      <c r="C2590" s="32" t="n">
        <f aca="false">Demand_History!D2590</f>
        <v>14</v>
      </c>
      <c r="D2590" s="33" t="n">
        <f aca="false">IF(B2590&gt;=2,C2589,"")</f>
        <v>13</v>
      </c>
      <c r="E2590" s="33" t="n">
        <f aca="false">IF(B2590&gt;=5,AVERAGE(C2586:C2589),"")</f>
        <v>13</v>
      </c>
      <c r="F2590" s="33" t="n">
        <f aca="false">IF(B2590&gt;=9,AVERAGE(C2582:C2589),"")</f>
        <v>13.625</v>
      </c>
      <c r="G2590" s="33" t="n">
        <f aca="false">IF(B2590=1,"",IF(B2590=2,C2589,SES_Alpha*C2589+(1-SES_Alpha)*G2589))</f>
        <v>13.2173361227164</v>
      </c>
      <c r="H2590" s="33" t="n">
        <f aca="false">IF(D2590="","",D2590-C2590)</f>
        <v>-1</v>
      </c>
      <c r="I2590" s="33" t="n">
        <f aca="false">IF(E2590="","",E2590-C2590)</f>
        <v>-1</v>
      </c>
      <c r="J2590" s="33" t="n">
        <f aca="false">IF(F2590="","",F2590-C2590)</f>
        <v>-0.375</v>
      </c>
      <c r="K2590" s="33" t="n">
        <f aca="false">IF(G2590="","",G2590-C2590)</f>
        <v>-0.782663877283627</v>
      </c>
      <c r="L2590" s="33" t="n">
        <f aca="false">IF(H2590="","",ABS(H2590))</f>
        <v>1</v>
      </c>
      <c r="M2590" s="33" t="n">
        <f aca="false">IF(I2590="","",ABS(I2590))</f>
        <v>1</v>
      </c>
      <c r="N2590" s="33" t="n">
        <f aca="false">IF(J2590="","",ABS(J2590))</f>
        <v>0.375</v>
      </c>
      <c r="O2590" s="33" t="n">
        <f aca="false">IF(K2590="","",ABS(K2590))</f>
        <v>0.782663877283627</v>
      </c>
      <c r="P2590" s="34" t="str">
        <f aca="false">IF(B2590&gt;=Eval_Start_Week,"YES","")</f>
        <v>YES</v>
      </c>
      <c r="Q2590" s="34" t="str">
        <f aca="false">IF(AND(B2590&gt;=Cal_Start_Week,B2590&lt;=Cal_End_Week),"YES","")</f>
        <v/>
      </c>
    </row>
    <row r="2591" customFormat="false" ht="15" hidden="false" customHeight="false" outlineLevel="0" collapsed="false">
      <c r="A2591" s="31" t="str">
        <f aca="false">Demand_History!C2591</f>
        <v>BED-005</v>
      </c>
      <c r="B2591" s="31" t="n">
        <f aca="false">Demand_History!A2591</f>
        <v>94</v>
      </c>
      <c r="C2591" s="32" t="n">
        <f aca="false">Demand_History!D2591</f>
        <v>12</v>
      </c>
      <c r="D2591" s="33" t="n">
        <f aca="false">IF(B2591&gt;=2,C2590,"")</f>
        <v>14</v>
      </c>
      <c r="E2591" s="33" t="n">
        <f aca="false">IF(B2591&gt;=5,AVERAGE(C2587:C2590),"")</f>
        <v>13.25</v>
      </c>
      <c r="F2591" s="33" t="n">
        <f aca="false">IF(B2591&gt;=9,AVERAGE(C2583:C2590),"")</f>
        <v>13</v>
      </c>
      <c r="G2591" s="33" t="n">
        <f aca="false">IF(B2591=1,"",IF(B2591=2,C2590,SES_Alpha*C2590+(1-SES_Alpha)*G2590))</f>
        <v>13.4521352859015</v>
      </c>
      <c r="H2591" s="33" t="n">
        <f aca="false">IF(D2591="","",D2591-C2591)</f>
        <v>2</v>
      </c>
      <c r="I2591" s="33" t="n">
        <f aca="false">IF(E2591="","",E2591-C2591)</f>
        <v>1.25</v>
      </c>
      <c r="J2591" s="33" t="n">
        <f aca="false">IF(F2591="","",F2591-C2591)</f>
        <v>1</v>
      </c>
      <c r="K2591" s="33" t="n">
        <f aca="false">IF(G2591="","",G2591-C2591)</f>
        <v>1.45213528590146</v>
      </c>
      <c r="L2591" s="33" t="n">
        <f aca="false">IF(H2591="","",ABS(H2591))</f>
        <v>2</v>
      </c>
      <c r="M2591" s="33" t="n">
        <f aca="false">IF(I2591="","",ABS(I2591))</f>
        <v>1.25</v>
      </c>
      <c r="N2591" s="33" t="n">
        <f aca="false">IF(J2591="","",ABS(J2591))</f>
        <v>1</v>
      </c>
      <c r="O2591" s="33" t="n">
        <f aca="false">IF(K2591="","",ABS(K2591))</f>
        <v>1.45213528590146</v>
      </c>
      <c r="P2591" s="34" t="str">
        <f aca="false">IF(B2591&gt;=Eval_Start_Week,"YES","")</f>
        <v>YES</v>
      </c>
      <c r="Q2591" s="34" t="str">
        <f aca="false">IF(AND(B2591&gt;=Cal_Start_Week,B2591&lt;=Cal_End_Week),"YES","")</f>
        <v/>
      </c>
    </row>
    <row r="2592" customFormat="false" ht="15" hidden="false" customHeight="false" outlineLevel="0" collapsed="false">
      <c r="A2592" s="31" t="str">
        <f aca="false">Demand_History!C2592</f>
        <v>BED-005</v>
      </c>
      <c r="B2592" s="31" t="n">
        <f aca="false">Demand_History!A2592</f>
        <v>95</v>
      </c>
      <c r="C2592" s="32" t="n">
        <f aca="false">Demand_History!D2592</f>
        <v>12</v>
      </c>
      <c r="D2592" s="33" t="n">
        <f aca="false">IF(B2592&gt;=2,C2591,"")</f>
        <v>12</v>
      </c>
      <c r="E2592" s="33" t="n">
        <f aca="false">IF(B2592&gt;=5,AVERAGE(C2588:C2591),"")</f>
        <v>13.5</v>
      </c>
      <c r="F2592" s="33" t="n">
        <f aca="false">IF(B2592&gt;=9,AVERAGE(C2584:C2591),"")</f>
        <v>12.875</v>
      </c>
      <c r="G2592" s="33" t="n">
        <f aca="false">IF(B2592=1,"",IF(B2592=2,C2591,SES_Alpha*C2591+(1-SES_Alpha)*G2591))</f>
        <v>13.016494700131</v>
      </c>
      <c r="H2592" s="33" t="n">
        <f aca="false">IF(D2592="","",D2592-C2592)</f>
        <v>0</v>
      </c>
      <c r="I2592" s="33" t="n">
        <f aca="false">IF(E2592="","",E2592-C2592)</f>
        <v>1.5</v>
      </c>
      <c r="J2592" s="33" t="n">
        <f aca="false">IF(F2592="","",F2592-C2592)</f>
        <v>0.875</v>
      </c>
      <c r="K2592" s="33" t="n">
        <f aca="false">IF(G2592="","",G2592-C2592)</f>
        <v>1.01649470013102</v>
      </c>
      <c r="L2592" s="33" t="n">
        <f aca="false">IF(H2592="","",ABS(H2592))</f>
        <v>0</v>
      </c>
      <c r="M2592" s="33" t="n">
        <f aca="false">IF(I2592="","",ABS(I2592))</f>
        <v>1.5</v>
      </c>
      <c r="N2592" s="33" t="n">
        <f aca="false">IF(J2592="","",ABS(J2592))</f>
        <v>0.875</v>
      </c>
      <c r="O2592" s="33" t="n">
        <f aca="false">IF(K2592="","",ABS(K2592))</f>
        <v>1.01649470013102</v>
      </c>
      <c r="P2592" s="34" t="str">
        <f aca="false">IF(B2592&gt;=Eval_Start_Week,"YES","")</f>
        <v>YES</v>
      </c>
      <c r="Q2592" s="34" t="str">
        <f aca="false">IF(AND(B2592&gt;=Cal_Start_Week,B2592&lt;=Cal_End_Week),"YES","")</f>
        <v/>
      </c>
    </row>
    <row r="2593" customFormat="false" ht="15" hidden="false" customHeight="false" outlineLevel="0" collapsed="false">
      <c r="A2593" s="31" t="str">
        <f aca="false">Demand_History!C2593</f>
        <v>BED-005</v>
      </c>
      <c r="B2593" s="31" t="n">
        <f aca="false">Demand_History!A2593</f>
        <v>96</v>
      </c>
      <c r="C2593" s="32" t="n">
        <f aca="false">Demand_History!D2593</f>
        <v>15</v>
      </c>
      <c r="D2593" s="33" t="n">
        <f aca="false">IF(B2593&gt;=2,C2592,"")</f>
        <v>12</v>
      </c>
      <c r="E2593" s="33" t="n">
        <f aca="false">IF(B2593&gt;=5,AVERAGE(C2589:C2592),"")</f>
        <v>12.75</v>
      </c>
      <c r="F2593" s="33" t="n">
        <f aca="false">IF(B2593&gt;=9,AVERAGE(C2585:C2592),"")</f>
        <v>12.625</v>
      </c>
      <c r="G2593" s="33" t="n">
        <f aca="false">IF(B2593=1,"",IF(B2593=2,C2592,SES_Alpha*C2592+(1-SES_Alpha)*G2592))</f>
        <v>12.7115462900917</v>
      </c>
      <c r="H2593" s="33" t="n">
        <f aca="false">IF(D2593="","",D2593-C2593)</f>
        <v>-3</v>
      </c>
      <c r="I2593" s="33" t="n">
        <f aca="false">IF(E2593="","",E2593-C2593)</f>
        <v>-2.25</v>
      </c>
      <c r="J2593" s="33" t="n">
        <f aca="false">IF(F2593="","",F2593-C2593)</f>
        <v>-2.375</v>
      </c>
      <c r="K2593" s="33" t="n">
        <f aca="false">IF(G2593="","",G2593-C2593)</f>
        <v>-2.28845370990829</v>
      </c>
      <c r="L2593" s="33" t="n">
        <f aca="false">IF(H2593="","",ABS(H2593))</f>
        <v>3</v>
      </c>
      <c r="M2593" s="33" t="n">
        <f aca="false">IF(I2593="","",ABS(I2593))</f>
        <v>2.25</v>
      </c>
      <c r="N2593" s="33" t="n">
        <f aca="false">IF(J2593="","",ABS(J2593))</f>
        <v>2.375</v>
      </c>
      <c r="O2593" s="33" t="n">
        <f aca="false">IF(K2593="","",ABS(K2593))</f>
        <v>2.28845370990829</v>
      </c>
      <c r="P2593" s="34" t="str">
        <f aca="false">IF(B2593&gt;=Eval_Start_Week,"YES","")</f>
        <v>YES</v>
      </c>
      <c r="Q2593" s="34" t="str">
        <f aca="false">IF(AND(B2593&gt;=Cal_Start_Week,B2593&lt;=Cal_End_Week),"YES","")</f>
        <v/>
      </c>
    </row>
    <row r="2594" customFormat="false" ht="15" hidden="false" customHeight="false" outlineLevel="0" collapsed="false">
      <c r="A2594" s="31" t="str">
        <f aca="false">Demand_History!C2594</f>
        <v>BED-005</v>
      </c>
      <c r="B2594" s="31" t="n">
        <f aca="false">Demand_History!A2594</f>
        <v>97</v>
      </c>
      <c r="C2594" s="32" t="n">
        <f aca="false">Demand_History!D2594</f>
        <v>11</v>
      </c>
      <c r="D2594" s="33" t="n">
        <f aca="false">IF(B2594&gt;=2,C2593,"")</f>
        <v>15</v>
      </c>
      <c r="E2594" s="33" t="n">
        <f aca="false">IF(B2594&gt;=5,AVERAGE(C2590:C2593),"")</f>
        <v>13.25</v>
      </c>
      <c r="F2594" s="33" t="n">
        <f aca="false">IF(B2594&gt;=9,AVERAGE(C2586:C2593),"")</f>
        <v>13.125</v>
      </c>
      <c r="G2594" s="33" t="n">
        <f aca="false">IF(B2594=1,"",IF(B2594=2,C2593,SES_Alpha*C2593+(1-SES_Alpha)*G2593))</f>
        <v>13.3980824030642</v>
      </c>
      <c r="H2594" s="33" t="n">
        <f aca="false">IF(D2594="","",D2594-C2594)</f>
        <v>4</v>
      </c>
      <c r="I2594" s="33" t="n">
        <f aca="false">IF(E2594="","",E2594-C2594)</f>
        <v>2.25</v>
      </c>
      <c r="J2594" s="33" t="n">
        <f aca="false">IF(F2594="","",F2594-C2594)</f>
        <v>2.125</v>
      </c>
      <c r="K2594" s="33" t="n">
        <f aca="false">IF(G2594="","",G2594-C2594)</f>
        <v>2.3980824030642</v>
      </c>
      <c r="L2594" s="33" t="n">
        <f aca="false">IF(H2594="","",ABS(H2594))</f>
        <v>4</v>
      </c>
      <c r="M2594" s="33" t="n">
        <f aca="false">IF(I2594="","",ABS(I2594))</f>
        <v>2.25</v>
      </c>
      <c r="N2594" s="33" t="n">
        <f aca="false">IF(J2594="","",ABS(J2594))</f>
        <v>2.125</v>
      </c>
      <c r="O2594" s="33" t="n">
        <f aca="false">IF(K2594="","",ABS(K2594))</f>
        <v>2.3980824030642</v>
      </c>
      <c r="P2594" s="34" t="str">
        <f aca="false">IF(B2594&gt;=Eval_Start_Week,"YES","")</f>
        <v>YES</v>
      </c>
      <c r="Q2594" s="34" t="str">
        <f aca="false">IF(AND(B2594&gt;=Cal_Start_Week,B2594&lt;=Cal_End_Week),"YES","")</f>
        <v/>
      </c>
    </row>
    <row r="2595" customFormat="false" ht="15" hidden="false" customHeight="false" outlineLevel="0" collapsed="false">
      <c r="A2595" s="31" t="str">
        <f aca="false">Demand_History!C2595</f>
        <v>BED-005</v>
      </c>
      <c r="B2595" s="31" t="n">
        <f aca="false">Demand_History!A2595</f>
        <v>98</v>
      </c>
      <c r="C2595" s="32" t="n">
        <f aca="false">Demand_History!D2595</f>
        <v>9</v>
      </c>
      <c r="D2595" s="33" t="n">
        <f aca="false">IF(B2595&gt;=2,C2594,"")</f>
        <v>11</v>
      </c>
      <c r="E2595" s="33" t="n">
        <f aca="false">IF(B2595&gt;=5,AVERAGE(C2591:C2594),"")</f>
        <v>12.5</v>
      </c>
      <c r="F2595" s="33" t="n">
        <f aca="false">IF(B2595&gt;=9,AVERAGE(C2587:C2594),"")</f>
        <v>12.875</v>
      </c>
      <c r="G2595" s="33" t="n">
        <f aca="false">IF(B2595=1,"",IF(B2595=2,C2594,SES_Alpha*C2594+(1-SES_Alpha)*G2594))</f>
        <v>12.6786576821449</v>
      </c>
      <c r="H2595" s="33" t="n">
        <f aca="false">IF(D2595="","",D2595-C2595)</f>
        <v>2</v>
      </c>
      <c r="I2595" s="33" t="n">
        <f aca="false">IF(E2595="","",E2595-C2595)</f>
        <v>3.5</v>
      </c>
      <c r="J2595" s="33" t="n">
        <f aca="false">IF(F2595="","",F2595-C2595)</f>
        <v>3.875</v>
      </c>
      <c r="K2595" s="33" t="n">
        <f aca="false">IF(G2595="","",G2595-C2595)</f>
        <v>3.67865768214494</v>
      </c>
      <c r="L2595" s="33" t="n">
        <f aca="false">IF(H2595="","",ABS(H2595))</f>
        <v>2</v>
      </c>
      <c r="M2595" s="33" t="n">
        <f aca="false">IF(I2595="","",ABS(I2595))</f>
        <v>3.5</v>
      </c>
      <c r="N2595" s="33" t="n">
        <f aca="false">IF(J2595="","",ABS(J2595))</f>
        <v>3.875</v>
      </c>
      <c r="O2595" s="33" t="n">
        <f aca="false">IF(K2595="","",ABS(K2595))</f>
        <v>3.67865768214494</v>
      </c>
      <c r="P2595" s="34" t="str">
        <f aca="false">IF(B2595&gt;=Eval_Start_Week,"YES","")</f>
        <v>YES</v>
      </c>
      <c r="Q2595" s="34" t="str">
        <f aca="false">IF(AND(B2595&gt;=Cal_Start_Week,B2595&lt;=Cal_End_Week),"YES","")</f>
        <v/>
      </c>
    </row>
    <row r="2596" customFormat="false" ht="15" hidden="false" customHeight="false" outlineLevel="0" collapsed="false">
      <c r="A2596" s="31" t="str">
        <f aca="false">Demand_History!C2596</f>
        <v>BED-005</v>
      </c>
      <c r="B2596" s="31" t="n">
        <f aca="false">Demand_History!A2596</f>
        <v>99</v>
      </c>
      <c r="C2596" s="32" t="n">
        <f aca="false">Demand_History!D2596</f>
        <v>13</v>
      </c>
      <c r="D2596" s="33" t="n">
        <f aca="false">IF(B2596&gt;=2,C2595,"")</f>
        <v>9</v>
      </c>
      <c r="E2596" s="33" t="n">
        <f aca="false">IF(B2596&gt;=5,AVERAGE(C2592:C2595),"")</f>
        <v>11.75</v>
      </c>
      <c r="F2596" s="33" t="n">
        <f aca="false">IF(B2596&gt;=9,AVERAGE(C2588:C2595),"")</f>
        <v>12.625</v>
      </c>
      <c r="G2596" s="33" t="n">
        <f aca="false">IF(B2596=1,"",IF(B2596=2,C2595,SES_Alpha*C2595+(1-SES_Alpha)*G2595))</f>
        <v>11.5750603775015</v>
      </c>
      <c r="H2596" s="33" t="n">
        <f aca="false">IF(D2596="","",D2596-C2596)</f>
        <v>-4</v>
      </c>
      <c r="I2596" s="33" t="n">
        <f aca="false">IF(E2596="","",E2596-C2596)</f>
        <v>-1.25</v>
      </c>
      <c r="J2596" s="33" t="n">
        <f aca="false">IF(F2596="","",F2596-C2596)</f>
        <v>-0.375</v>
      </c>
      <c r="K2596" s="33" t="n">
        <f aca="false">IF(G2596="","",G2596-C2596)</f>
        <v>-1.42493962249855</v>
      </c>
      <c r="L2596" s="33" t="n">
        <f aca="false">IF(H2596="","",ABS(H2596))</f>
        <v>4</v>
      </c>
      <c r="M2596" s="33" t="n">
        <f aca="false">IF(I2596="","",ABS(I2596))</f>
        <v>1.25</v>
      </c>
      <c r="N2596" s="33" t="n">
        <f aca="false">IF(J2596="","",ABS(J2596))</f>
        <v>0.375</v>
      </c>
      <c r="O2596" s="33" t="n">
        <f aca="false">IF(K2596="","",ABS(K2596))</f>
        <v>1.42493962249855</v>
      </c>
      <c r="P2596" s="34" t="str">
        <f aca="false">IF(B2596&gt;=Eval_Start_Week,"YES","")</f>
        <v>YES</v>
      </c>
      <c r="Q2596" s="34" t="str">
        <f aca="false">IF(AND(B2596&gt;=Cal_Start_Week,B2596&lt;=Cal_End_Week),"YES","")</f>
        <v/>
      </c>
    </row>
    <row r="2597" customFormat="false" ht="15" hidden="false" customHeight="false" outlineLevel="0" collapsed="false">
      <c r="A2597" s="31" t="str">
        <f aca="false">Demand_History!C2597</f>
        <v>BED-005</v>
      </c>
      <c r="B2597" s="31" t="n">
        <f aca="false">Demand_History!A2597</f>
        <v>100</v>
      </c>
      <c r="C2597" s="32" t="n">
        <f aca="false">Demand_History!D2597</f>
        <v>10</v>
      </c>
      <c r="D2597" s="33" t="n">
        <f aca="false">IF(B2597&gt;=2,C2596,"")</f>
        <v>13</v>
      </c>
      <c r="E2597" s="33" t="n">
        <f aca="false">IF(B2597&gt;=5,AVERAGE(C2593:C2596),"")</f>
        <v>12</v>
      </c>
      <c r="F2597" s="33" t="n">
        <f aca="false">IF(B2597&gt;=9,AVERAGE(C2589:C2596),"")</f>
        <v>12.375</v>
      </c>
      <c r="G2597" s="33" t="n">
        <f aca="false">IF(B2597=1,"",IF(B2597=2,C2596,SES_Alpha*C2596+(1-SES_Alpha)*G2596))</f>
        <v>12.002542264251</v>
      </c>
      <c r="H2597" s="33" t="n">
        <f aca="false">IF(D2597="","",D2597-C2597)</f>
        <v>3</v>
      </c>
      <c r="I2597" s="33" t="n">
        <f aca="false">IF(E2597="","",E2597-C2597)</f>
        <v>2</v>
      </c>
      <c r="J2597" s="33" t="n">
        <f aca="false">IF(F2597="","",F2597-C2597)</f>
        <v>2.375</v>
      </c>
      <c r="K2597" s="33" t="n">
        <f aca="false">IF(G2597="","",G2597-C2597)</f>
        <v>2.00254226425102</v>
      </c>
      <c r="L2597" s="33" t="n">
        <f aca="false">IF(H2597="","",ABS(H2597))</f>
        <v>3</v>
      </c>
      <c r="M2597" s="33" t="n">
        <f aca="false">IF(I2597="","",ABS(I2597))</f>
        <v>2</v>
      </c>
      <c r="N2597" s="33" t="n">
        <f aca="false">IF(J2597="","",ABS(J2597))</f>
        <v>2.375</v>
      </c>
      <c r="O2597" s="33" t="n">
        <f aca="false">IF(K2597="","",ABS(K2597))</f>
        <v>2.00254226425102</v>
      </c>
      <c r="P2597" s="34" t="str">
        <f aca="false">IF(B2597&gt;=Eval_Start_Week,"YES","")</f>
        <v>YES</v>
      </c>
      <c r="Q2597" s="34" t="str">
        <f aca="false">IF(AND(B2597&gt;=Cal_Start_Week,B2597&lt;=Cal_End_Week),"YES","")</f>
        <v/>
      </c>
    </row>
    <row r="2598" customFormat="false" ht="15" hidden="false" customHeight="false" outlineLevel="0" collapsed="false">
      <c r="A2598" s="31" t="str">
        <f aca="false">Demand_History!C2598</f>
        <v>BED-005</v>
      </c>
      <c r="B2598" s="31" t="n">
        <f aca="false">Demand_History!A2598</f>
        <v>101</v>
      </c>
      <c r="C2598" s="32" t="n">
        <f aca="false">Demand_History!D2598</f>
        <v>11</v>
      </c>
      <c r="D2598" s="33" t="n">
        <f aca="false">IF(B2598&gt;=2,C2597,"")</f>
        <v>10</v>
      </c>
      <c r="E2598" s="33" t="n">
        <f aca="false">IF(B2598&gt;=5,AVERAGE(C2594:C2597),"")</f>
        <v>10.75</v>
      </c>
      <c r="F2598" s="33" t="n">
        <f aca="false">IF(B2598&gt;=9,AVERAGE(C2590:C2597),"")</f>
        <v>12</v>
      </c>
      <c r="G2598" s="33" t="n">
        <f aca="false">IF(B2598=1,"",IF(B2598=2,C2597,SES_Alpha*C2597+(1-SES_Alpha)*G2597))</f>
        <v>11.4017795849757</v>
      </c>
      <c r="H2598" s="33" t="n">
        <f aca="false">IF(D2598="","",D2598-C2598)</f>
        <v>-1</v>
      </c>
      <c r="I2598" s="33" t="n">
        <f aca="false">IF(E2598="","",E2598-C2598)</f>
        <v>-0.25</v>
      </c>
      <c r="J2598" s="33" t="n">
        <f aca="false">IF(F2598="","",F2598-C2598)</f>
        <v>1</v>
      </c>
      <c r="K2598" s="33" t="n">
        <f aca="false">IF(G2598="","",G2598-C2598)</f>
        <v>0.401779584975712</v>
      </c>
      <c r="L2598" s="33" t="n">
        <f aca="false">IF(H2598="","",ABS(H2598))</f>
        <v>1</v>
      </c>
      <c r="M2598" s="33" t="n">
        <f aca="false">IF(I2598="","",ABS(I2598))</f>
        <v>0.25</v>
      </c>
      <c r="N2598" s="33" t="n">
        <f aca="false">IF(J2598="","",ABS(J2598))</f>
        <v>1</v>
      </c>
      <c r="O2598" s="33" t="n">
        <f aca="false">IF(K2598="","",ABS(K2598))</f>
        <v>0.401779584975712</v>
      </c>
      <c r="P2598" s="34" t="str">
        <f aca="false">IF(B2598&gt;=Eval_Start_Week,"YES","")</f>
        <v>YES</v>
      </c>
      <c r="Q2598" s="34" t="str">
        <f aca="false">IF(AND(B2598&gt;=Cal_Start_Week,B2598&lt;=Cal_End_Week),"YES","")</f>
        <v/>
      </c>
    </row>
    <row r="2599" customFormat="false" ht="15" hidden="false" customHeight="false" outlineLevel="0" collapsed="false">
      <c r="A2599" s="31" t="str">
        <f aca="false">Demand_History!C2599</f>
        <v>BED-005</v>
      </c>
      <c r="B2599" s="31" t="n">
        <f aca="false">Demand_History!A2599</f>
        <v>102</v>
      </c>
      <c r="C2599" s="32" t="n">
        <f aca="false">Demand_History!D2599</f>
        <v>13</v>
      </c>
      <c r="D2599" s="33" t="n">
        <f aca="false">IF(B2599&gt;=2,C2598,"")</f>
        <v>11</v>
      </c>
      <c r="E2599" s="33" t="n">
        <f aca="false">IF(B2599&gt;=5,AVERAGE(C2595:C2598),"")</f>
        <v>10.75</v>
      </c>
      <c r="F2599" s="33" t="n">
        <f aca="false">IF(B2599&gt;=9,AVERAGE(C2591:C2598),"")</f>
        <v>11.625</v>
      </c>
      <c r="G2599" s="33" t="n">
        <f aca="false">IF(B2599=1,"",IF(B2599=2,C2598,SES_Alpha*C2598+(1-SES_Alpha)*G2598))</f>
        <v>11.281245709483</v>
      </c>
      <c r="H2599" s="33" t="n">
        <f aca="false">IF(D2599="","",D2599-C2599)</f>
        <v>-2</v>
      </c>
      <c r="I2599" s="33" t="n">
        <f aca="false">IF(E2599="","",E2599-C2599)</f>
        <v>-2.25</v>
      </c>
      <c r="J2599" s="33" t="n">
        <f aca="false">IF(F2599="","",F2599-C2599)</f>
        <v>-1.375</v>
      </c>
      <c r="K2599" s="33" t="n">
        <f aca="false">IF(G2599="","",G2599-C2599)</f>
        <v>-1.718754290517</v>
      </c>
      <c r="L2599" s="33" t="n">
        <f aca="false">IF(H2599="","",ABS(H2599))</f>
        <v>2</v>
      </c>
      <c r="M2599" s="33" t="n">
        <f aca="false">IF(I2599="","",ABS(I2599))</f>
        <v>2.25</v>
      </c>
      <c r="N2599" s="33" t="n">
        <f aca="false">IF(J2599="","",ABS(J2599))</f>
        <v>1.375</v>
      </c>
      <c r="O2599" s="33" t="n">
        <f aca="false">IF(K2599="","",ABS(K2599))</f>
        <v>1.718754290517</v>
      </c>
      <c r="P2599" s="34" t="str">
        <f aca="false">IF(B2599&gt;=Eval_Start_Week,"YES","")</f>
        <v>YES</v>
      </c>
      <c r="Q2599" s="34" t="str">
        <f aca="false">IF(AND(B2599&gt;=Cal_Start_Week,B2599&lt;=Cal_End_Week),"YES","")</f>
        <v/>
      </c>
    </row>
    <row r="2600" customFormat="false" ht="15" hidden="false" customHeight="false" outlineLevel="0" collapsed="false">
      <c r="A2600" s="31" t="str">
        <f aca="false">Demand_History!C2600</f>
        <v>BED-005</v>
      </c>
      <c r="B2600" s="31" t="n">
        <f aca="false">Demand_History!A2600</f>
        <v>103</v>
      </c>
      <c r="C2600" s="32" t="n">
        <f aca="false">Demand_History!D2600</f>
        <v>10</v>
      </c>
      <c r="D2600" s="33" t="n">
        <f aca="false">IF(B2600&gt;=2,C2599,"")</f>
        <v>13</v>
      </c>
      <c r="E2600" s="33" t="n">
        <f aca="false">IF(B2600&gt;=5,AVERAGE(C2596:C2599),"")</f>
        <v>11.75</v>
      </c>
      <c r="F2600" s="33" t="n">
        <f aca="false">IF(B2600&gt;=9,AVERAGE(C2592:C2599),"")</f>
        <v>11.75</v>
      </c>
      <c r="G2600" s="33" t="n">
        <f aca="false">IF(B2600=1,"",IF(B2600=2,C2599,SES_Alpha*C2599+(1-SES_Alpha)*G2599))</f>
        <v>11.7968719966381</v>
      </c>
      <c r="H2600" s="33" t="n">
        <f aca="false">IF(D2600="","",D2600-C2600)</f>
        <v>3</v>
      </c>
      <c r="I2600" s="33" t="n">
        <f aca="false">IF(E2600="","",E2600-C2600)</f>
        <v>1.75</v>
      </c>
      <c r="J2600" s="33" t="n">
        <f aca="false">IF(F2600="","",F2600-C2600)</f>
        <v>1.75</v>
      </c>
      <c r="K2600" s="33" t="n">
        <f aca="false">IF(G2600="","",G2600-C2600)</f>
        <v>1.7968719966381</v>
      </c>
      <c r="L2600" s="33" t="n">
        <f aca="false">IF(H2600="","",ABS(H2600))</f>
        <v>3</v>
      </c>
      <c r="M2600" s="33" t="n">
        <f aca="false">IF(I2600="","",ABS(I2600))</f>
        <v>1.75</v>
      </c>
      <c r="N2600" s="33" t="n">
        <f aca="false">IF(J2600="","",ABS(J2600))</f>
        <v>1.75</v>
      </c>
      <c r="O2600" s="33" t="n">
        <f aca="false">IF(K2600="","",ABS(K2600))</f>
        <v>1.7968719966381</v>
      </c>
      <c r="P2600" s="34" t="str">
        <f aca="false">IF(B2600&gt;=Eval_Start_Week,"YES","")</f>
        <v>YES</v>
      </c>
      <c r="Q2600" s="34" t="str">
        <f aca="false">IF(AND(B2600&gt;=Cal_Start_Week,B2600&lt;=Cal_End_Week),"YES","")</f>
        <v/>
      </c>
    </row>
    <row r="2601" customFormat="false" ht="15" hidden="false" customHeight="false" outlineLevel="0" collapsed="false">
      <c r="A2601" s="31" t="str">
        <f aca="false">Demand_History!C2601</f>
        <v>BED-005</v>
      </c>
      <c r="B2601" s="31" t="n">
        <f aca="false">Demand_History!A2601</f>
        <v>104</v>
      </c>
      <c r="C2601" s="32" t="n">
        <f aca="false">Demand_History!D2601</f>
        <v>13</v>
      </c>
      <c r="D2601" s="33" t="n">
        <f aca="false">IF(B2601&gt;=2,C2600,"")</f>
        <v>10</v>
      </c>
      <c r="E2601" s="33" t="n">
        <f aca="false">IF(B2601&gt;=5,AVERAGE(C2597:C2600),"")</f>
        <v>11</v>
      </c>
      <c r="F2601" s="33" t="n">
        <f aca="false">IF(B2601&gt;=9,AVERAGE(C2593:C2600),"")</f>
        <v>11.5</v>
      </c>
      <c r="G2601" s="33" t="n">
        <f aca="false">IF(B2601=1,"",IF(B2601=2,C2600,SES_Alpha*C2600+(1-SES_Alpha)*G2600))</f>
        <v>11.2578103976467</v>
      </c>
      <c r="H2601" s="33" t="n">
        <f aca="false">IF(D2601="","",D2601-C2601)</f>
        <v>-3</v>
      </c>
      <c r="I2601" s="33" t="n">
        <f aca="false">IF(E2601="","",E2601-C2601)</f>
        <v>-2</v>
      </c>
      <c r="J2601" s="33" t="n">
        <f aca="false">IF(F2601="","",F2601-C2601)</f>
        <v>-1.5</v>
      </c>
      <c r="K2601" s="33" t="n">
        <f aca="false">IF(G2601="","",G2601-C2601)</f>
        <v>-1.74218960235333</v>
      </c>
      <c r="L2601" s="33" t="n">
        <f aca="false">IF(H2601="","",ABS(H2601))</f>
        <v>3</v>
      </c>
      <c r="M2601" s="33" t="n">
        <f aca="false">IF(I2601="","",ABS(I2601))</f>
        <v>2</v>
      </c>
      <c r="N2601" s="33" t="n">
        <f aca="false">IF(J2601="","",ABS(J2601))</f>
        <v>1.5</v>
      </c>
      <c r="O2601" s="33" t="n">
        <f aca="false">IF(K2601="","",ABS(K2601))</f>
        <v>1.74218960235333</v>
      </c>
      <c r="P2601" s="34" t="str">
        <f aca="false">IF(B2601&gt;=Eval_Start_Week,"YES","")</f>
        <v>YES</v>
      </c>
      <c r="Q2601" s="34" t="str">
        <f aca="false">IF(AND(B2601&gt;=Cal_Start_Week,B2601&lt;=Cal_End_Week),"YES","")</f>
        <v/>
      </c>
    </row>
    <row r="2602" customFormat="false" ht="15" hidden="false" customHeight="false" outlineLevel="0" collapsed="false">
      <c r="A2602" s="31" t="str">
        <f aca="false">Demand_History!C2602</f>
        <v>BED-006</v>
      </c>
      <c r="B2602" s="31" t="n">
        <f aca="false">Demand_History!A2602</f>
        <v>1</v>
      </c>
      <c r="C2602" s="32" t="n">
        <f aca="false">Demand_History!D2602</f>
        <v>36</v>
      </c>
      <c r="D2602" s="33" t="str">
        <f aca="false">IF(B2602&gt;=2,C2601,"")</f>
        <v/>
      </c>
      <c r="E2602" s="33" t="str">
        <f aca="false">IF(B2602&gt;=5,AVERAGE(C2598:C2601),"")</f>
        <v/>
      </c>
      <c r="F2602" s="33" t="str">
        <f aca="false">IF(B2602&gt;=9,AVERAGE(C2594:C2601),"")</f>
        <v/>
      </c>
      <c r="G2602" s="33" t="str">
        <f aca="false">IF(B2602=1,"",IF(B2602=2,C2601,SES_Alpha*C2601+(1-SES_Alpha)*G2601))</f>
        <v/>
      </c>
      <c r="H2602" s="33" t="str">
        <f aca="false">IF(D2602="","",D2602-C2602)</f>
        <v/>
      </c>
      <c r="I2602" s="33" t="str">
        <f aca="false">IF(E2602="","",E2602-C2602)</f>
        <v/>
      </c>
      <c r="J2602" s="33" t="str">
        <f aca="false">IF(F2602="","",F2602-C2602)</f>
        <v/>
      </c>
      <c r="K2602" s="33" t="str">
        <f aca="false">IF(G2602="","",G2602-C2602)</f>
        <v/>
      </c>
      <c r="L2602" s="33" t="str">
        <f aca="false">IF(H2602="","",ABS(H2602))</f>
        <v/>
      </c>
      <c r="M2602" s="33" t="str">
        <f aca="false">IF(I2602="","",ABS(I2602))</f>
        <v/>
      </c>
      <c r="N2602" s="33" t="str">
        <f aca="false">IF(J2602="","",ABS(J2602))</f>
        <v/>
      </c>
      <c r="O2602" s="33" t="str">
        <f aca="false">IF(K2602="","",ABS(K2602))</f>
        <v/>
      </c>
      <c r="P2602" s="34" t="str">
        <f aca="false">IF(B2602&gt;=Eval_Start_Week,"YES","")</f>
        <v/>
      </c>
      <c r="Q2602" s="34" t="str">
        <f aca="false">IF(AND(B2602&gt;=Cal_Start_Week,B2602&lt;=Cal_End_Week),"YES","")</f>
        <v/>
      </c>
    </row>
    <row r="2603" customFormat="false" ht="15" hidden="false" customHeight="false" outlineLevel="0" collapsed="false">
      <c r="A2603" s="31" t="str">
        <f aca="false">Demand_History!C2603</f>
        <v>BED-006</v>
      </c>
      <c r="B2603" s="31" t="n">
        <f aca="false">Demand_History!A2603</f>
        <v>2</v>
      </c>
      <c r="C2603" s="32" t="n">
        <f aca="false">Demand_History!D2603</f>
        <v>35</v>
      </c>
      <c r="D2603" s="33" t="n">
        <f aca="false">IF(B2603&gt;=2,C2602,"")</f>
        <v>36</v>
      </c>
      <c r="E2603" s="33" t="str">
        <f aca="false">IF(B2603&gt;=5,AVERAGE(C2599:C2602),"")</f>
        <v/>
      </c>
      <c r="F2603" s="33" t="str">
        <f aca="false">IF(B2603&gt;=9,AVERAGE(C2595:C2602),"")</f>
        <v/>
      </c>
      <c r="G2603" s="33" t="n">
        <f aca="false">IF(B2603=1,"",IF(B2603=2,C2602,SES_Alpha*C2602+(1-SES_Alpha)*G2602))</f>
        <v>36</v>
      </c>
      <c r="H2603" s="33" t="n">
        <f aca="false">IF(D2603="","",D2603-C2603)</f>
        <v>1</v>
      </c>
      <c r="I2603" s="33" t="str">
        <f aca="false">IF(E2603="","",E2603-C2603)</f>
        <v/>
      </c>
      <c r="J2603" s="33" t="str">
        <f aca="false">IF(F2603="","",F2603-C2603)</f>
        <v/>
      </c>
      <c r="K2603" s="33" t="n">
        <f aca="false">IF(G2603="","",G2603-C2603)</f>
        <v>1</v>
      </c>
      <c r="L2603" s="33" t="n">
        <f aca="false">IF(H2603="","",ABS(H2603))</f>
        <v>1</v>
      </c>
      <c r="M2603" s="33" t="str">
        <f aca="false">IF(I2603="","",ABS(I2603))</f>
        <v/>
      </c>
      <c r="N2603" s="33" t="str">
        <f aca="false">IF(J2603="","",ABS(J2603))</f>
        <v/>
      </c>
      <c r="O2603" s="33" t="n">
        <f aca="false">IF(K2603="","",ABS(K2603))</f>
        <v>1</v>
      </c>
      <c r="P2603" s="34" t="str">
        <f aca="false">IF(B2603&gt;=Eval_Start_Week,"YES","")</f>
        <v/>
      </c>
      <c r="Q2603" s="34" t="str">
        <f aca="false">IF(AND(B2603&gt;=Cal_Start_Week,B2603&lt;=Cal_End_Week),"YES","")</f>
        <v/>
      </c>
    </row>
    <row r="2604" customFormat="false" ht="15" hidden="false" customHeight="false" outlineLevel="0" collapsed="false">
      <c r="A2604" s="31" t="str">
        <f aca="false">Demand_History!C2604</f>
        <v>BED-006</v>
      </c>
      <c r="B2604" s="31" t="n">
        <f aca="false">Demand_History!A2604</f>
        <v>3</v>
      </c>
      <c r="C2604" s="32" t="n">
        <f aca="false">Demand_History!D2604</f>
        <v>28</v>
      </c>
      <c r="D2604" s="33" t="n">
        <f aca="false">IF(B2604&gt;=2,C2603,"")</f>
        <v>35</v>
      </c>
      <c r="E2604" s="33" t="str">
        <f aca="false">IF(B2604&gt;=5,AVERAGE(C2600:C2603),"")</f>
        <v/>
      </c>
      <c r="F2604" s="33" t="str">
        <f aca="false">IF(B2604&gt;=9,AVERAGE(C2596:C2603),"")</f>
        <v/>
      </c>
      <c r="G2604" s="33" t="n">
        <f aca="false">IF(B2604=1,"",IF(B2604=2,C2603,SES_Alpha*C2603+(1-SES_Alpha)*G2603))</f>
        <v>35.7</v>
      </c>
      <c r="H2604" s="33" t="n">
        <f aca="false">IF(D2604="","",D2604-C2604)</f>
        <v>7</v>
      </c>
      <c r="I2604" s="33" t="str">
        <f aca="false">IF(E2604="","",E2604-C2604)</f>
        <v/>
      </c>
      <c r="J2604" s="33" t="str">
        <f aca="false">IF(F2604="","",F2604-C2604)</f>
        <v/>
      </c>
      <c r="K2604" s="33" t="n">
        <f aca="false">IF(G2604="","",G2604-C2604)</f>
        <v>7.7</v>
      </c>
      <c r="L2604" s="33" t="n">
        <f aca="false">IF(H2604="","",ABS(H2604))</f>
        <v>7</v>
      </c>
      <c r="M2604" s="33" t="str">
        <f aca="false">IF(I2604="","",ABS(I2604))</f>
        <v/>
      </c>
      <c r="N2604" s="33" t="str">
        <f aca="false">IF(J2604="","",ABS(J2604))</f>
        <v/>
      </c>
      <c r="O2604" s="33" t="n">
        <f aca="false">IF(K2604="","",ABS(K2604))</f>
        <v>7.7</v>
      </c>
      <c r="P2604" s="34" t="str">
        <f aca="false">IF(B2604&gt;=Eval_Start_Week,"YES","")</f>
        <v/>
      </c>
      <c r="Q2604" s="34" t="str">
        <f aca="false">IF(AND(B2604&gt;=Cal_Start_Week,B2604&lt;=Cal_End_Week),"YES","")</f>
        <v/>
      </c>
    </row>
    <row r="2605" customFormat="false" ht="15" hidden="false" customHeight="false" outlineLevel="0" collapsed="false">
      <c r="A2605" s="31" t="str">
        <f aca="false">Demand_History!C2605</f>
        <v>BED-006</v>
      </c>
      <c r="B2605" s="31" t="n">
        <f aca="false">Demand_History!A2605</f>
        <v>4</v>
      </c>
      <c r="C2605" s="32" t="n">
        <f aca="false">Demand_History!D2605</f>
        <v>29</v>
      </c>
      <c r="D2605" s="33" t="n">
        <f aca="false">IF(B2605&gt;=2,C2604,"")</f>
        <v>28</v>
      </c>
      <c r="E2605" s="33" t="str">
        <f aca="false">IF(B2605&gt;=5,AVERAGE(C2601:C2604),"")</f>
        <v/>
      </c>
      <c r="F2605" s="33" t="str">
        <f aca="false">IF(B2605&gt;=9,AVERAGE(C2597:C2604),"")</f>
        <v/>
      </c>
      <c r="G2605" s="33" t="n">
        <f aca="false">IF(B2605=1,"",IF(B2605=2,C2604,SES_Alpha*C2604+(1-SES_Alpha)*G2604))</f>
        <v>33.39</v>
      </c>
      <c r="H2605" s="33" t="n">
        <f aca="false">IF(D2605="","",D2605-C2605)</f>
        <v>-1</v>
      </c>
      <c r="I2605" s="33" t="str">
        <f aca="false">IF(E2605="","",E2605-C2605)</f>
        <v/>
      </c>
      <c r="J2605" s="33" t="str">
        <f aca="false">IF(F2605="","",F2605-C2605)</f>
        <v/>
      </c>
      <c r="K2605" s="33" t="n">
        <f aca="false">IF(G2605="","",G2605-C2605)</f>
        <v>4.39</v>
      </c>
      <c r="L2605" s="33" t="n">
        <f aca="false">IF(H2605="","",ABS(H2605))</f>
        <v>1</v>
      </c>
      <c r="M2605" s="33" t="str">
        <f aca="false">IF(I2605="","",ABS(I2605))</f>
        <v/>
      </c>
      <c r="N2605" s="33" t="str">
        <f aca="false">IF(J2605="","",ABS(J2605))</f>
        <v/>
      </c>
      <c r="O2605" s="33" t="n">
        <f aca="false">IF(K2605="","",ABS(K2605))</f>
        <v>4.39</v>
      </c>
      <c r="P2605" s="34" t="str">
        <f aca="false">IF(B2605&gt;=Eval_Start_Week,"YES","")</f>
        <v/>
      </c>
      <c r="Q2605" s="34" t="str">
        <f aca="false">IF(AND(B2605&gt;=Cal_Start_Week,B2605&lt;=Cal_End_Week),"YES","")</f>
        <v/>
      </c>
    </row>
    <row r="2606" customFormat="false" ht="15" hidden="false" customHeight="false" outlineLevel="0" collapsed="false">
      <c r="A2606" s="31" t="str">
        <f aca="false">Demand_History!C2606</f>
        <v>BED-006</v>
      </c>
      <c r="B2606" s="31" t="n">
        <f aca="false">Demand_History!A2606</f>
        <v>5</v>
      </c>
      <c r="C2606" s="32" t="n">
        <f aca="false">Demand_History!D2606</f>
        <v>27</v>
      </c>
      <c r="D2606" s="33" t="n">
        <f aca="false">IF(B2606&gt;=2,C2605,"")</f>
        <v>29</v>
      </c>
      <c r="E2606" s="33" t="n">
        <f aca="false">IF(B2606&gt;=5,AVERAGE(C2602:C2605),"")</f>
        <v>32</v>
      </c>
      <c r="F2606" s="33" t="str">
        <f aca="false">IF(B2606&gt;=9,AVERAGE(C2598:C2605),"")</f>
        <v/>
      </c>
      <c r="G2606" s="33" t="n">
        <f aca="false">IF(B2606=1,"",IF(B2606=2,C2605,SES_Alpha*C2605+(1-SES_Alpha)*G2605))</f>
        <v>32.073</v>
      </c>
      <c r="H2606" s="33" t="n">
        <f aca="false">IF(D2606="","",D2606-C2606)</f>
        <v>2</v>
      </c>
      <c r="I2606" s="33" t="n">
        <f aca="false">IF(E2606="","",E2606-C2606)</f>
        <v>5</v>
      </c>
      <c r="J2606" s="33" t="str">
        <f aca="false">IF(F2606="","",F2606-C2606)</f>
        <v/>
      </c>
      <c r="K2606" s="33" t="n">
        <f aca="false">IF(G2606="","",G2606-C2606)</f>
        <v>5.07299999999999</v>
      </c>
      <c r="L2606" s="33" t="n">
        <f aca="false">IF(H2606="","",ABS(H2606))</f>
        <v>2</v>
      </c>
      <c r="M2606" s="33" t="n">
        <f aca="false">IF(I2606="","",ABS(I2606))</f>
        <v>5</v>
      </c>
      <c r="N2606" s="33" t="str">
        <f aca="false">IF(J2606="","",ABS(J2606))</f>
        <v/>
      </c>
      <c r="O2606" s="33" t="n">
        <f aca="false">IF(K2606="","",ABS(K2606))</f>
        <v>5.07299999999999</v>
      </c>
      <c r="P2606" s="34" t="str">
        <f aca="false">IF(B2606&gt;=Eval_Start_Week,"YES","")</f>
        <v/>
      </c>
      <c r="Q2606" s="34" t="str">
        <f aca="false">IF(AND(B2606&gt;=Cal_Start_Week,B2606&lt;=Cal_End_Week),"YES","")</f>
        <v/>
      </c>
    </row>
    <row r="2607" customFormat="false" ht="15" hidden="false" customHeight="false" outlineLevel="0" collapsed="false">
      <c r="A2607" s="31" t="str">
        <f aca="false">Demand_History!C2607</f>
        <v>BED-006</v>
      </c>
      <c r="B2607" s="31" t="n">
        <f aca="false">Demand_History!A2607</f>
        <v>6</v>
      </c>
      <c r="C2607" s="32" t="n">
        <f aca="false">Demand_History!D2607</f>
        <v>31</v>
      </c>
      <c r="D2607" s="33" t="n">
        <f aca="false">IF(B2607&gt;=2,C2606,"")</f>
        <v>27</v>
      </c>
      <c r="E2607" s="33" t="n">
        <f aca="false">IF(B2607&gt;=5,AVERAGE(C2603:C2606),"")</f>
        <v>29.75</v>
      </c>
      <c r="F2607" s="33" t="str">
        <f aca="false">IF(B2607&gt;=9,AVERAGE(C2599:C2606),"")</f>
        <v/>
      </c>
      <c r="G2607" s="33" t="n">
        <f aca="false">IF(B2607=1,"",IF(B2607=2,C2606,SES_Alpha*C2606+(1-SES_Alpha)*G2606))</f>
        <v>30.5511</v>
      </c>
      <c r="H2607" s="33" t="n">
        <f aca="false">IF(D2607="","",D2607-C2607)</f>
        <v>-4</v>
      </c>
      <c r="I2607" s="33" t="n">
        <f aca="false">IF(E2607="","",E2607-C2607)</f>
        <v>-1.25</v>
      </c>
      <c r="J2607" s="33" t="str">
        <f aca="false">IF(F2607="","",F2607-C2607)</f>
        <v/>
      </c>
      <c r="K2607" s="33" t="n">
        <f aca="false">IF(G2607="","",G2607-C2607)</f>
        <v>-0.448900000000009</v>
      </c>
      <c r="L2607" s="33" t="n">
        <f aca="false">IF(H2607="","",ABS(H2607))</f>
        <v>4</v>
      </c>
      <c r="M2607" s="33" t="n">
        <f aca="false">IF(I2607="","",ABS(I2607))</f>
        <v>1.25</v>
      </c>
      <c r="N2607" s="33" t="str">
        <f aca="false">IF(J2607="","",ABS(J2607))</f>
        <v/>
      </c>
      <c r="O2607" s="33" t="n">
        <f aca="false">IF(K2607="","",ABS(K2607))</f>
        <v>0.448900000000009</v>
      </c>
      <c r="P2607" s="34" t="str">
        <f aca="false">IF(B2607&gt;=Eval_Start_Week,"YES","")</f>
        <v/>
      </c>
      <c r="Q2607" s="34" t="str">
        <f aca="false">IF(AND(B2607&gt;=Cal_Start_Week,B2607&lt;=Cal_End_Week),"YES","")</f>
        <v/>
      </c>
    </row>
    <row r="2608" customFormat="false" ht="15" hidden="false" customHeight="false" outlineLevel="0" collapsed="false">
      <c r="A2608" s="31" t="str">
        <f aca="false">Demand_History!C2608</f>
        <v>BED-006</v>
      </c>
      <c r="B2608" s="31" t="n">
        <f aca="false">Demand_History!A2608</f>
        <v>7</v>
      </c>
      <c r="C2608" s="32" t="n">
        <f aca="false">Demand_History!D2608</f>
        <v>35</v>
      </c>
      <c r="D2608" s="33" t="n">
        <f aca="false">IF(B2608&gt;=2,C2607,"")</f>
        <v>31</v>
      </c>
      <c r="E2608" s="33" t="n">
        <f aca="false">IF(B2608&gt;=5,AVERAGE(C2604:C2607),"")</f>
        <v>28.75</v>
      </c>
      <c r="F2608" s="33" t="str">
        <f aca="false">IF(B2608&gt;=9,AVERAGE(C2600:C2607),"")</f>
        <v/>
      </c>
      <c r="G2608" s="33" t="n">
        <f aca="false">IF(B2608=1,"",IF(B2608=2,C2607,SES_Alpha*C2607+(1-SES_Alpha)*G2607))</f>
        <v>30.68577</v>
      </c>
      <c r="H2608" s="33" t="n">
        <f aca="false">IF(D2608="","",D2608-C2608)</f>
        <v>-4</v>
      </c>
      <c r="I2608" s="33" t="n">
        <f aca="false">IF(E2608="","",E2608-C2608)</f>
        <v>-6.25</v>
      </c>
      <c r="J2608" s="33" t="str">
        <f aca="false">IF(F2608="","",F2608-C2608)</f>
        <v/>
      </c>
      <c r="K2608" s="33" t="n">
        <f aca="false">IF(G2608="","",G2608-C2608)</f>
        <v>-4.31423000000001</v>
      </c>
      <c r="L2608" s="33" t="n">
        <f aca="false">IF(H2608="","",ABS(H2608))</f>
        <v>4</v>
      </c>
      <c r="M2608" s="33" t="n">
        <f aca="false">IF(I2608="","",ABS(I2608))</f>
        <v>6.25</v>
      </c>
      <c r="N2608" s="33" t="str">
        <f aca="false">IF(J2608="","",ABS(J2608))</f>
        <v/>
      </c>
      <c r="O2608" s="33" t="n">
        <f aca="false">IF(K2608="","",ABS(K2608))</f>
        <v>4.31423000000001</v>
      </c>
      <c r="P2608" s="34" t="str">
        <f aca="false">IF(B2608&gt;=Eval_Start_Week,"YES","")</f>
        <v/>
      </c>
      <c r="Q2608" s="34" t="str">
        <f aca="false">IF(AND(B2608&gt;=Cal_Start_Week,B2608&lt;=Cal_End_Week),"YES","")</f>
        <v/>
      </c>
    </row>
    <row r="2609" customFormat="false" ht="15" hidden="false" customHeight="false" outlineLevel="0" collapsed="false">
      <c r="A2609" s="31" t="str">
        <f aca="false">Demand_History!C2609</f>
        <v>BED-006</v>
      </c>
      <c r="B2609" s="31" t="n">
        <f aca="false">Demand_History!A2609</f>
        <v>8</v>
      </c>
      <c r="C2609" s="32" t="n">
        <f aca="false">Demand_History!D2609</f>
        <v>24</v>
      </c>
      <c r="D2609" s="33" t="n">
        <f aca="false">IF(B2609&gt;=2,C2608,"")</f>
        <v>35</v>
      </c>
      <c r="E2609" s="33" t="n">
        <f aca="false">IF(B2609&gt;=5,AVERAGE(C2605:C2608),"")</f>
        <v>30.5</v>
      </c>
      <c r="F2609" s="33" t="str">
        <f aca="false">IF(B2609&gt;=9,AVERAGE(C2601:C2608),"")</f>
        <v/>
      </c>
      <c r="G2609" s="33" t="n">
        <f aca="false">IF(B2609=1,"",IF(B2609=2,C2608,SES_Alpha*C2608+(1-SES_Alpha)*G2608))</f>
        <v>31.980039</v>
      </c>
      <c r="H2609" s="33" t="n">
        <f aca="false">IF(D2609="","",D2609-C2609)</f>
        <v>11</v>
      </c>
      <c r="I2609" s="33" t="n">
        <f aca="false">IF(E2609="","",E2609-C2609)</f>
        <v>6.5</v>
      </c>
      <c r="J2609" s="33" t="str">
        <f aca="false">IF(F2609="","",F2609-C2609)</f>
        <v/>
      </c>
      <c r="K2609" s="33" t="n">
        <f aca="false">IF(G2609="","",G2609-C2609)</f>
        <v>7.98003899999999</v>
      </c>
      <c r="L2609" s="33" t="n">
        <f aca="false">IF(H2609="","",ABS(H2609))</f>
        <v>11</v>
      </c>
      <c r="M2609" s="33" t="n">
        <f aca="false">IF(I2609="","",ABS(I2609))</f>
        <v>6.5</v>
      </c>
      <c r="N2609" s="33" t="str">
        <f aca="false">IF(J2609="","",ABS(J2609))</f>
        <v/>
      </c>
      <c r="O2609" s="33" t="n">
        <f aca="false">IF(K2609="","",ABS(K2609))</f>
        <v>7.98003899999999</v>
      </c>
      <c r="P2609" s="34" t="str">
        <f aca="false">IF(B2609&gt;=Eval_Start_Week,"YES","")</f>
        <v/>
      </c>
      <c r="Q2609" s="34" t="str">
        <f aca="false">IF(AND(B2609&gt;=Cal_Start_Week,B2609&lt;=Cal_End_Week),"YES","")</f>
        <v/>
      </c>
    </row>
    <row r="2610" customFormat="false" ht="15" hidden="false" customHeight="false" outlineLevel="0" collapsed="false">
      <c r="A2610" s="31" t="str">
        <f aca="false">Demand_History!C2610</f>
        <v>BED-006</v>
      </c>
      <c r="B2610" s="31" t="n">
        <f aca="false">Demand_History!A2610</f>
        <v>9</v>
      </c>
      <c r="C2610" s="32" t="n">
        <f aca="false">Demand_History!D2610</f>
        <v>34</v>
      </c>
      <c r="D2610" s="33" t="n">
        <f aca="false">IF(B2610&gt;=2,C2609,"")</f>
        <v>24</v>
      </c>
      <c r="E2610" s="33" t="n">
        <f aca="false">IF(B2610&gt;=5,AVERAGE(C2606:C2609),"")</f>
        <v>29.25</v>
      </c>
      <c r="F2610" s="33" t="n">
        <f aca="false">IF(B2610&gt;=9,AVERAGE(C2602:C2609),"")</f>
        <v>30.625</v>
      </c>
      <c r="G2610" s="33" t="n">
        <f aca="false">IF(B2610=1,"",IF(B2610=2,C2609,SES_Alpha*C2609+(1-SES_Alpha)*G2609))</f>
        <v>29.5860273</v>
      </c>
      <c r="H2610" s="33" t="n">
        <f aca="false">IF(D2610="","",D2610-C2610)</f>
        <v>-10</v>
      </c>
      <c r="I2610" s="33" t="n">
        <f aca="false">IF(E2610="","",E2610-C2610)</f>
        <v>-4.75</v>
      </c>
      <c r="J2610" s="33" t="n">
        <f aca="false">IF(F2610="","",F2610-C2610)</f>
        <v>-3.375</v>
      </c>
      <c r="K2610" s="33" t="n">
        <f aca="false">IF(G2610="","",G2610-C2610)</f>
        <v>-4.41397270000001</v>
      </c>
      <c r="L2610" s="33" t="n">
        <f aca="false">IF(H2610="","",ABS(H2610))</f>
        <v>10</v>
      </c>
      <c r="M2610" s="33" t="n">
        <f aca="false">IF(I2610="","",ABS(I2610))</f>
        <v>4.75</v>
      </c>
      <c r="N2610" s="33" t="n">
        <f aca="false">IF(J2610="","",ABS(J2610))</f>
        <v>3.375</v>
      </c>
      <c r="O2610" s="33" t="n">
        <f aca="false">IF(K2610="","",ABS(K2610))</f>
        <v>4.41397270000001</v>
      </c>
      <c r="P2610" s="34" t="str">
        <f aca="false">IF(B2610&gt;=Eval_Start_Week,"YES","")</f>
        <v/>
      </c>
      <c r="Q2610" s="34" t="str">
        <f aca="false">IF(AND(B2610&gt;=Cal_Start_Week,B2610&lt;=Cal_End_Week),"YES","")</f>
        <v/>
      </c>
    </row>
    <row r="2611" customFormat="false" ht="15" hidden="false" customHeight="false" outlineLevel="0" collapsed="false">
      <c r="A2611" s="31" t="str">
        <f aca="false">Demand_History!C2611</f>
        <v>BED-006</v>
      </c>
      <c r="B2611" s="31" t="n">
        <f aca="false">Demand_History!A2611</f>
        <v>10</v>
      </c>
      <c r="C2611" s="32" t="n">
        <f aca="false">Demand_History!D2611</f>
        <v>25</v>
      </c>
      <c r="D2611" s="33" t="n">
        <f aca="false">IF(B2611&gt;=2,C2610,"")</f>
        <v>34</v>
      </c>
      <c r="E2611" s="33" t="n">
        <f aca="false">IF(B2611&gt;=5,AVERAGE(C2607:C2610),"")</f>
        <v>31</v>
      </c>
      <c r="F2611" s="33" t="n">
        <f aca="false">IF(B2611&gt;=9,AVERAGE(C2603:C2610),"")</f>
        <v>30.375</v>
      </c>
      <c r="G2611" s="33" t="n">
        <f aca="false">IF(B2611=1,"",IF(B2611=2,C2610,SES_Alpha*C2610+(1-SES_Alpha)*G2610))</f>
        <v>30.91021911</v>
      </c>
      <c r="H2611" s="33" t="n">
        <f aca="false">IF(D2611="","",D2611-C2611)</f>
        <v>9</v>
      </c>
      <c r="I2611" s="33" t="n">
        <f aca="false">IF(E2611="","",E2611-C2611)</f>
        <v>6</v>
      </c>
      <c r="J2611" s="33" t="n">
        <f aca="false">IF(F2611="","",F2611-C2611)</f>
        <v>5.375</v>
      </c>
      <c r="K2611" s="33" t="n">
        <f aca="false">IF(G2611="","",G2611-C2611)</f>
        <v>5.91021910999999</v>
      </c>
      <c r="L2611" s="33" t="n">
        <f aca="false">IF(H2611="","",ABS(H2611))</f>
        <v>9</v>
      </c>
      <c r="M2611" s="33" t="n">
        <f aca="false">IF(I2611="","",ABS(I2611))</f>
        <v>6</v>
      </c>
      <c r="N2611" s="33" t="n">
        <f aca="false">IF(J2611="","",ABS(J2611))</f>
        <v>5.375</v>
      </c>
      <c r="O2611" s="33" t="n">
        <f aca="false">IF(K2611="","",ABS(K2611))</f>
        <v>5.91021910999999</v>
      </c>
      <c r="P2611" s="34" t="str">
        <f aca="false">IF(B2611&gt;=Eval_Start_Week,"YES","")</f>
        <v/>
      </c>
      <c r="Q2611" s="34" t="str">
        <f aca="false">IF(AND(B2611&gt;=Cal_Start_Week,B2611&lt;=Cal_End_Week),"YES","")</f>
        <v/>
      </c>
    </row>
    <row r="2612" customFormat="false" ht="15" hidden="false" customHeight="false" outlineLevel="0" collapsed="false">
      <c r="A2612" s="31" t="str">
        <f aca="false">Demand_History!C2612</f>
        <v>BED-006</v>
      </c>
      <c r="B2612" s="31" t="n">
        <f aca="false">Demand_History!A2612</f>
        <v>11</v>
      </c>
      <c r="C2612" s="32" t="n">
        <f aca="false">Demand_History!D2612</f>
        <v>27</v>
      </c>
      <c r="D2612" s="33" t="n">
        <f aca="false">IF(B2612&gt;=2,C2611,"")</f>
        <v>25</v>
      </c>
      <c r="E2612" s="33" t="n">
        <f aca="false">IF(B2612&gt;=5,AVERAGE(C2608:C2611),"")</f>
        <v>29.5</v>
      </c>
      <c r="F2612" s="33" t="n">
        <f aca="false">IF(B2612&gt;=9,AVERAGE(C2604:C2611),"")</f>
        <v>29.125</v>
      </c>
      <c r="G2612" s="33" t="n">
        <f aca="false">IF(B2612=1,"",IF(B2612=2,C2611,SES_Alpha*C2611+(1-SES_Alpha)*G2611))</f>
        <v>29.137153377</v>
      </c>
      <c r="H2612" s="33" t="n">
        <f aca="false">IF(D2612="","",D2612-C2612)</f>
        <v>-2</v>
      </c>
      <c r="I2612" s="33" t="n">
        <f aca="false">IF(E2612="","",E2612-C2612)</f>
        <v>2.5</v>
      </c>
      <c r="J2612" s="33" t="n">
        <f aca="false">IF(F2612="","",F2612-C2612)</f>
        <v>2.125</v>
      </c>
      <c r="K2612" s="33" t="n">
        <f aca="false">IF(G2612="","",G2612-C2612)</f>
        <v>2.13715337699999</v>
      </c>
      <c r="L2612" s="33" t="n">
        <f aca="false">IF(H2612="","",ABS(H2612))</f>
        <v>2</v>
      </c>
      <c r="M2612" s="33" t="n">
        <f aca="false">IF(I2612="","",ABS(I2612))</f>
        <v>2.5</v>
      </c>
      <c r="N2612" s="33" t="n">
        <f aca="false">IF(J2612="","",ABS(J2612))</f>
        <v>2.125</v>
      </c>
      <c r="O2612" s="33" t="n">
        <f aca="false">IF(K2612="","",ABS(K2612))</f>
        <v>2.13715337699999</v>
      </c>
      <c r="P2612" s="34" t="str">
        <f aca="false">IF(B2612&gt;=Eval_Start_Week,"YES","")</f>
        <v/>
      </c>
      <c r="Q2612" s="34" t="str">
        <f aca="false">IF(AND(B2612&gt;=Cal_Start_Week,B2612&lt;=Cal_End_Week),"YES","")</f>
        <v/>
      </c>
    </row>
    <row r="2613" customFormat="false" ht="15" hidden="false" customHeight="false" outlineLevel="0" collapsed="false">
      <c r="A2613" s="31" t="str">
        <f aca="false">Demand_History!C2613</f>
        <v>BED-006</v>
      </c>
      <c r="B2613" s="31" t="n">
        <f aca="false">Demand_History!A2613</f>
        <v>12</v>
      </c>
      <c r="C2613" s="32" t="n">
        <f aca="false">Demand_History!D2613</f>
        <v>23</v>
      </c>
      <c r="D2613" s="33" t="n">
        <f aca="false">IF(B2613&gt;=2,C2612,"")</f>
        <v>27</v>
      </c>
      <c r="E2613" s="33" t="n">
        <f aca="false">IF(B2613&gt;=5,AVERAGE(C2609:C2612),"")</f>
        <v>27.5</v>
      </c>
      <c r="F2613" s="33" t="n">
        <f aca="false">IF(B2613&gt;=9,AVERAGE(C2605:C2612),"")</f>
        <v>29</v>
      </c>
      <c r="G2613" s="33" t="n">
        <f aca="false">IF(B2613=1,"",IF(B2613=2,C2612,SES_Alpha*C2612+(1-SES_Alpha)*G2612))</f>
        <v>28.4960073639</v>
      </c>
      <c r="H2613" s="33" t="n">
        <f aca="false">IF(D2613="","",D2613-C2613)</f>
        <v>4</v>
      </c>
      <c r="I2613" s="33" t="n">
        <f aca="false">IF(E2613="","",E2613-C2613)</f>
        <v>4.5</v>
      </c>
      <c r="J2613" s="33" t="n">
        <f aca="false">IF(F2613="","",F2613-C2613)</f>
        <v>6</v>
      </c>
      <c r="K2613" s="33" t="n">
        <f aca="false">IF(G2613="","",G2613-C2613)</f>
        <v>5.49600736389999</v>
      </c>
      <c r="L2613" s="33" t="n">
        <f aca="false">IF(H2613="","",ABS(H2613))</f>
        <v>4</v>
      </c>
      <c r="M2613" s="33" t="n">
        <f aca="false">IF(I2613="","",ABS(I2613))</f>
        <v>4.5</v>
      </c>
      <c r="N2613" s="33" t="n">
        <f aca="false">IF(J2613="","",ABS(J2613))</f>
        <v>6</v>
      </c>
      <c r="O2613" s="33" t="n">
        <f aca="false">IF(K2613="","",ABS(K2613))</f>
        <v>5.49600736389999</v>
      </c>
      <c r="P2613" s="34" t="str">
        <f aca="false">IF(B2613&gt;=Eval_Start_Week,"YES","")</f>
        <v/>
      </c>
      <c r="Q2613" s="34" t="str">
        <f aca="false">IF(AND(B2613&gt;=Cal_Start_Week,B2613&lt;=Cal_End_Week),"YES","")</f>
        <v/>
      </c>
    </row>
    <row r="2614" customFormat="false" ht="15" hidden="false" customHeight="false" outlineLevel="0" collapsed="false">
      <c r="A2614" s="31" t="str">
        <f aca="false">Demand_History!C2614</f>
        <v>BED-006</v>
      </c>
      <c r="B2614" s="31" t="n">
        <f aca="false">Demand_History!A2614</f>
        <v>13</v>
      </c>
      <c r="C2614" s="32" t="n">
        <f aca="false">Demand_History!D2614</f>
        <v>39</v>
      </c>
      <c r="D2614" s="33" t="n">
        <f aca="false">IF(B2614&gt;=2,C2613,"")</f>
        <v>23</v>
      </c>
      <c r="E2614" s="33" t="n">
        <f aca="false">IF(B2614&gt;=5,AVERAGE(C2610:C2613),"")</f>
        <v>27.25</v>
      </c>
      <c r="F2614" s="33" t="n">
        <f aca="false">IF(B2614&gt;=9,AVERAGE(C2606:C2613),"")</f>
        <v>28.25</v>
      </c>
      <c r="G2614" s="33" t="n">
        <f aca="false">IF(B2614=1,"",IF(B2614=2,C2613,SES_Alpha*C2613+(1-SES_Alpha)*G2613))</f>
        <v>26.84720515473</v>
      </c>
      <c r="H2614" s="33" t="n">
        <f aca="false">IF(D2614="","",D2614-C2614)</f>
        <v>-16</v>
      </c>
      <c r="I2614" s="33" t="n">
        <f aca="false">IF(E2614="","",E2614-C2614)</f>
        <v>-11.75</v>
      </c>
      <c r="J2614" s="33" t="n">
        <f aca="false">IF(F2614="","",F2614-C2614)</f>
        <v>-10.75</v>
      </c>
      <c r="K2614" s="33" t="n">
        <f aca="false">IF(G2614="","",G2614-C2614)</f>
        <v>-12.15279484527</v>
      </c>
      <c r="L2614" s="33" t="n">
        <f aca="false">IF(H2614="","",ABS(H2614))</f>
        <v>16</v>
      </c>
      <c r="M2614" s="33" t="n">
        <f aca="false">IF(I2614="","",ABS(I2614))</f>
        <v>11.75</v>
      </c>
      <c r="N2614" s="33" t="n">
        <f aca="false">IF(J2614="","",ABS(J2614))</f>
        <v>10.75</v>
      </c>
      <c r="O2614" s="33" t="n">
        <f aca="false">IF(K2614="","",ABS(K2614))</f>
        <v>12.15279484527</v>
      </c>
      <c r="P2614" s="34" t="str">
        <f aca="false">IF(B2614&gt;=Eval_Start_Week,"YES","")</f>
        <v/>
      </c>
      <c r="Q2614" s="34" t="str">
        <f aca="false">IF(AND(B2614&gt;=Cal_Start_Week,B2614&lt;=Cal_End_Week),"YES","")</f>
        <v/>
      </c>
    </row>
    <row r="2615" customFormat="false" ht="15" hidden="false" customHeight="false" outlineLevel="0" collapsed="false">
      <c r="A2615" s="31" t="str">
        <f aca="false">Demand_History!C2615</f>
        <v>BED-006</v>
      </c>
      <c r="B2615" s="31" t="n">
        <f aca="false">Demand_History!A2615</f>
        <v>14</v>
      </c>
      <c r="C2615" s="32" t="n">
        <f aca="false">Demand_History!D2615</f>
        <v>30</v>
      </c>
      <c r="D2615" s="33" t="n">
        <f aca="false">IF(B2615&gt;=2,C2614,"")</f>
        <v>39</v>
      </c>
      <c r="E2615" s="33" t="n">
        <f aca="false">IF(B2615&gt;=5,AVERAGE(C2611:C2614),"")</f>
        <v>28.5</v>
      </c>
      <c r="F2615" s="33" t="n">
        <f aca="false">IF(B2615&gt;=9,AVERAGE(C2607:C2614),"")</f>
        <v>29.75</v>
      </c>
      <c r="G2615" s="33" t="n">
        <f aca="false">IF(B2615=1,"",IF(B2615=2,C2614,SES_Alpha*C2614+(1-SES_Alpha)*G2614))</f>
        <v>30.493043608311</v>
      </c>
      <c r="H2615" s="33" t="n">
        <f aca="false">IF(D2615="","",D2615-C2615)</f>
        <v>9</v>
      </c>
      <c r="I2615" s="33" t="n">
        <f aca="false">IF(E2615="","",E2615-C2615)</f>
        <v>-1.5</v>
      </c>
      <c r="J2615" s="33" t="n">
        <f aca="false">IF(F2615="","",F2615-C2615)</f>
        <v>-0.25</v>
      </c>
      <c r="K2615" s="33" t="n">
        <f aca="false">IF(G2615="","",G2615-C2615)</f>
        <v>0.493043608310991</v>
      </c>
      <c r="L2615" s="33" t="n">
        <f aca="false">IF(H2615="","",ABS(H2615))</f>
        <v>9</v>
      </c>
      <c r="M2615" s="33" t="n">
        <f aca="false">IF(I2615="","",ABS(I2615))</f>
        <v>1.5</v>
      </c>
      <c r="N2615" s="33" t="n">
        <f aca="false">IF(J2615="","",ABS(J2615))</f>
        <v>0.25</v>
      </c>
      <c r="O2615" s="33" t="n">
        <f aca="false">IF(K2615="","",ABS(K2615))</f>
        <v>0.493043608310991</v>
      </c>
      <c r="P2615" s="34" t="str">
        <f aca="false">IF(B2615&gt;=Eval_Start_Week,"YES","")</f>
        <v/>
      </c>
      <c r="Q2615" s="34" t="str">
        <f aca="false">IF(AND(B2615&gt;=Cal_Start_Week,B2615&lt;=Cal_End_Week),"YES","")</f>
        <v/>
      </c>
    </row>
    <row r="2616" customFormat="false" ht="15" hidden="false" customHeight="false" outlineLevel="0" collapsed="false">
      <c r="A2616" s="31" t="str">
        <f aca="false">Demand_History!C2616</f>
        <v>BED-006</v>
      </c>
      <c r="B2616" s="31" t="n">
        <f aca="false">Demand_History!A2616</f>
        <v>15</v>
      </c>
      <c r="C2616" s="32" t="n">
        <f aca="false">Demand_History!D2616</f>
        <v>31</v>
      </c>
      <c r="D2616" s="33" t="n">
        <f aca="false">IF(B2616&gt;=2,C2615,"")</f>
        <v>30</v>
      </c>
      <c r="E2616" s="33" t="n">
        <f aca="false">IF(B2616&gt;=5,AVERAGE(C2612:C2615),"")</f>
        <v>29.75</v>
      </c>
      <c r="F2616" s="33" t="n">
        <f aca="false">IF(B2616&gt;=9,AVERAGE(C2608:C2615),"")</f>
        <v>29.625</v>
      </c>
      <c r="G2616" s="33" t="n">
        <f aca="false">IF(B2616=1,"",IF(B2616=2,C2615,SES_Alpha*C2615+(1-SES_Alpha)*G2615))</f>
        <v>30.3451305258177</v>
      </c>
      <c r="H2616" s="33" t="n">
        <f aca="false">IF(D2616="","",D2616-C2616)</f>
        <v>-1</v>
      </c>
      <c r="I2616" s="33" t="n">
        <f aca="false">IF(E2616="","",E2616-C2616)</f>
        <v>-1.25</v>
      </c>
      <c r="J2616" s="33" t="n">
        <f aca="false">IF(F2616="","",F2616-C2616)</f>
        <v>-1.375</v>
      </c>
      <c r="K2616" s="33" t="n">
        <f aca="false">IF(G2616="","",G2616-C2616)</f>
        <v>-0.654869474182309</v>
      </c>
      <c r="L2616" s="33" t="n">
        <f aca="false">IF(H2616="","",ABS(H2616))</f>
        <v>1</v>
      </c>
      <c r="M2616" s="33" t="n">
        <f aca="false">IF(I2616="","",ABS(I2616))</f>
        <v>1.25</v>
      </c>
      <c r="N2616" s="33" t="n">
        <f aca="false">IF(J2616="","",ABS(J2616))</f>
        <v>1.375</v>
      </c>
      <c r="O2616" s="33" t="n">
        <f aca="false">IF(K2616="","",ABS(K2616))</f>
        <v>0.654869474182309</v>
      </c>
      <c r="P2616" s="34" t="str">
        <f aca="false">IF(B2616&gt;=Eval_Start_Week,"YES","")</f>
        <v/>
      </c>
      <c r="Q2616" s="34" t="str">
        <f aca="false">IF(AND(B2616&gt;=Cal_Start_Week,B2616&lt;=Cal_End_Week),"YES","")</f>
        <v/>
      </c>
    </row>
    <row r="2617" customFormat="false" ht="15" hidden="false" customHeight="false" outlineLevel="0" collapsed="false">
      <c r="A2617" s="31" t="str">
        <f aca="false">Demand_History!C2617</f>
        <v>BED-006</v>
      </c>
      <c r="B2617" s="31" t="n">
        <f aca="false">Demand_History!A2617</f>
        <v>16</v>
      </c>
      <c r="C2617" s="32" t="n">
        <f aca="false">Demand_History!D2617</f>
        <v>27</v>
      </c>
      <c r="D2617" s="33" t="n">
        <f aca="false">IF(B2617&gt;=2,C2616,"")</f>
        <v>31</v>
      </c>
      <c r="E2617" s="33" t="n">
        <f aca="false">IF(B2617&gt;=5,AVERAGE(C2613:C2616),"")</f>
        <v>30.75</v>
      </c>
      <c r="F2617" s="33" t="n">
        <f aca="false">IF(B2617&gt;=9,AVERAGE(C2609:C2616),"")</f>
        <v>29.125</v>
      </c>
      <c r="G2617" s="33" t="n">
        <f aca="false">IF(B2617=1,"",IF(B2617=2,C2616,SES_Alpha*C2616+(1-SES_Alpha)*G2616))</f>
        <v>30.5415913680724</v>
      </c>
      <c r="H2617" s="33" t="n">
        <f aca="false">IF(D2617="","",D2617-C2617)</f>
        <v>4</v>
      </c>
      <c r="I2617" s="33" t="n">
        <f aca="false">IF(E2617="","",E2617-C2617)</f>
        <v>3.75</v>
      </c>
      <c r="J2617" s="33" t="n">
        <f aca="false">IF(F2617="","",F2617-C2617)</f>
        <v>2.125</v>
      </c>
      <c r="K2617" s="33" t="n">
        <f aca="false">IF(G2617="","",G2617-C2617)</f>
        <v>3.54159136807238</v>
      </c>
      <c r="L2617" s="33" t="n">
        <f aca="false">IF(H2617="","",ABS(H2617))</f>
        <v>4</v>
      </c>
      <c r="M2617" s="33" t="n">
        <f aca="false">IF(I2617="","",ABS(I2617))</f>
        <v>3.75</v>
      </c>
      <c r="N2617" s="33" t="n">
        <f aca="false">IF(J2617="","",ABS(J2617))</f>
        <v>2.125</v>
      </c>
      <c r="O2617" s="33" t="n">
        <f aca="false">IF(K2617="","",ABS(K2617))</f>
        <v>3.54159136807238</v>
      </c>
      <c r="P2617" s="34" t="str">
        <f aca="false">IF(B2617&gt;=Eval_Start_Week,"YES","")</f>
        <v/>
      </c>
      <c r="Q2617" s="34" t="str">
        <f aca="false">IF(AND(B2617&gt;=Cal_Start_Week,B2617&lt;=Cal_End_Week),"YES","")</f>
        <v/>
      </c>
    </row>
    <row r="2618" customFormat="false" ht="15" hidden="false" customHeight="false" outlineLevel="0" collapsed="false">
      <c r="A2618" s="31" t="str">
        <f aca="false">Demand_History!C2618</f>
        <v>BED-006</v>
      </c>
      <c r="B2618" s="31" t="n">
        <f aca="false">Demand_History!A2618</f>
        <v>17</v>
      </c>
      <c r="C2618" s="32" t="n">
        <f aca="false">Demand_History!D2618</f>
        <v>34</v>
      </c>
      <c r="D2618" s="33" t="n">
        <f aca="false">IF(B2618&gt;=2,C2617,"")</f>
        <v>27</v>
      </c>
      <c r="E2618" s="33" t="n">
        <f aca="false">IF(B2618&gt;=5,AVERAGE(C2614:C2617),"")</f>
        <v>31.75</v>
      </c>
      <c r="F2618" s="33" t="n">
        <f aca="false">IF(B2618&gt;=9,AVERAGE(C2610:C2617),"")</f>
        <v>29.5</v>
      </c>
      <c r="G2618" s="33" t="n">
        <f aca="false">IF(B2618=1,"",IF(B2618=2,C2617,SES_Alpha*C2617+(1-SES_Alpha)*G2617))</f>
        <v>29.4791139576507</v>
      </c>
      <c r="H2618" s="33" t="n">
        <f aca="false">IF(D2618="","",D2618-C2618)</f>
        <v>-7</v>
      </c>
      <c r="I2618" s="33" t="n">
        <f aca="false">IF(E2618="","",E2618-C2618)</f>
        <v>-2.25</v>
      </c>
      <c r="J2618" s="33" t="n">
        <f aca="false">IF(F2618="","",F2618-C2618)</f>
        <v>-4.5</v>
      </c>
      <c r="K2618" s="33" t="n">
        <f aca="false">IF(G2618="","",G2618-C2618)</f>
        <v>-4.52088604234933</v>
      </c>
      <c r="L2618" s="33" t="n">
        <f aca="false">IF(H2618="","",ABS(H2618))</f>
        <v>7</v>
      </c>
      <c r="M2618" s="33" t="n">
        <f aca="false">IF(I2618="","",ABS(I2618))</f>
        <v>2.25</v>
      </c>
      <c r="N2618" s="33" t="n">
        <f aca="false">IF(J2618="","",ABS(J2618))</f>
        <v>4.5</v>
      </c>
      <c r="O2618" s="33" t="n">
        <f aca="false">IF(K2618="","",ABS(K2618))</f>
        <v>4.52088604234933</v>
      </c>
      <c r="P2618" s="34" t="str">
        <f aca="false">IF(B2618&gt;=Eval_Start_Week,"YES","")</f>
        <v/>
      </c>
      <c r="Q2618" s="34" t="str">
        <f aca="false">IF(AND(B2618&gt;=Cal_Start_Week,B2618&lt;=Cal_End_Week),"YES","")</f>
        <v/>
      </c>
    </row>
    <row r="2619" customFormat="false" ht="15" hidden="false" customHeight="false" outlineLevel="0" collapsed="false">
      <c r="A2619" s="31" t="str">
        <f aca="false">Demand_History!C2619</f>
        <v>BED-006</v>
      </c>
      <c r="B2619" s="31" t="n">
        <f aca="false">Demand_History!A2619</f>
        <v>18</v>
      </c>
      <c r="C2619" s="32" t="n">
        <f aca="false">Demand_History!D2619</f>
        <v>22</v>
      </c>
      <c r="D2619" s="33" t="n">
        <f aca="false">IF(B2619&gt;=2,C2618,"")</f>
        <v>34</v>
      </c>
      <c r="E2619" s="33" t="n">
        <f aca="false">IF(B2619&gt;=5,AVERAGE(C2615:C2618),"")</f>
        <v>30.5</v>
      </c>
      <c r="F2619" s="33" t="n">
        <f aca="false">IF(B2619&gt;=9,AVERAGE(C2611:C2618),"")</f>
        <v>29.5</v>
      </c>
      <c r="G2619" s="33" t="n">
        <f aca="false">IF(B2619=1,"",IF(B2619=2,C2618,SES_Alpha*C2618+(1-SES_Alpha)*G2618))</f>
        <v>30.8353797703555</v>
      </c>
      <c r="H2619" s="33" t="n">
        <f aca="false">IF(D2619="","",D2619-C2619)</f>
        <v>12</v>
      </c>
      <c r="I2619" s="33" t="n">
        <f aca="false">IF(E2619="","",E2619-C2619)</f>
        <v>8.5</v>
      </c>
      <c r="J2619" s="33" t="n">
        <f aca="false">IF(F2619="","",F2619-C2619)</f>
        <v>7.5</v>
      </c>
      <c r="K2619" s="33" t="n">
        <f aca="false">IF(G2619="","",G2619-C2619)</f>
        <v>8.83537977035547</v>
      </c>
      <c r="L2619" s="33" t="n">
        <f aca="false">IF(H2619="","",ABS(H2619))</f>
        <v>12</v>
      </c>
      <c r="M2619" s="33" t="n">
        <f aca="false">IF(I2619="","",ABS(I2619))</f>
        <v>8.5</v>
      </c>
      <c r="N2619" s="33" t="n">
        <f aca="false">IF(J2619="","",ABS(J2619))</f>
        <v>7.5</v>
      </c>
      <c r="O2619" s="33" t="n">
        <f aca="false">IF(K2619="","",ABS(K2619))</f>
        <v>8.83537977035547</v>
      </c>
      <c r="P2619" s="34" t="str">
        <f aca="false">IF(B2619&gt;=Eval_Start_Week,"YES","")</f>
        <v/>
      </c>
      <c r="Q2619" s="34" t="str">
        <f aca="false">IF(AND(B2619&gt;=Cal_Start_Week,B2619&lt;=Cal_End_Week),"YES","")</f>
        <v/>
      </c>
    </row>
    <row r="2620" customFormat="false" ht="15" hidden="false" customHeight="false" outlineLevel="0" collapsed="false">
      <c r="A2620" s="31" t="str">
        <f aca="false">Demand_History!C2620</f>
        <v>BED-006</v>
      </c>
      <c r="B2620" s="31" t="n">
        <f aca="false">Demand_History!A2620</f>
        <v>19</v>
      </c>
      <c r="C2620" s="32" t="n">
        <f aca="false">Demand_History!D2620</f>
        <v>30</v>
      </c>
      <c r="D2620" s="33" t="n">
        <f aca="false">IF(B2620&gt;=2,C2619,"")</f>
        <v>22</v>
      </c>
      <c r="E2620" s="33" t="n">
        <f aca="false">IF(B2620&gt;=5,AVERAGE(C2616:C2619),"")</f>
        <v>28.5</v>
      </c>
      <c r="F2620" s="33" t="n">
        <f aca="false">IF(B2620&gt;=9,AVERAGE(C2612:C2619),"")</f>
        <v>29.125</v>
      </c>
      <c r="G2620" s="33" t="n">
        <f aca="false">IF(B2620=1,"",IF(B2620=2,C2619,SES_Alpha*C2619+(1-SES_Alpha)*G2619))</f>
        <v>28.1847658392488</v>
      </c>
      <c r="H2620" s="33" t="n">
        <f aca="false">IF(D2620="","",D2620-C2620)</f>
        <v>-8</v>
      </c>
      <c r="I2620" s="33" t="n">
        <f aca="false">IF(E2620="","",E2620-C2620)</f>
        <v>-1.5</v>
      </c>
      <c r="J2620" s="33" t="n">
        <f aca="false">IF(F2620="","",F2620-C2620)</f>
        <v>-0.875</v>
      </c>
      <c r="K2620" s="33" t="n">
        <f aca="false">IF(G2620="","",G2620-C2620)</f>
        <v>-1.81523416075117</v>
      </c>
      <c r="L2620" s="33" t="n">
        <f aca="false">IF(H2620="","",ABS(H2620))</f>
        <v>8</v>
      </c>
      <c r="M2620" s="33" t="n">
        <f aca="false">IF(I2620="","",ABS(I2620))</f>
        <v>1.5</v>
      </c>
      <c r="N2620" s="33" t="n">
        <f aca="false">IF(J2620="","",ABS(J2620))</f>
        <v>0.875</v>
      </c>
      <c r="O2620" s="33" t="n">
        <f aca="false">IF(K2620="","",ABS(K2620))</f>
        <v>1.81523416075117</v>
      </c>
      <c r="P2620" s="34" t="str">
        <f aca="false">IF(B2620&gt;=Eval_Start_Week,"YES","")</f>
        <v/>
      </c>
      <c r="Q2620" s="34" t="str">
        <f aca="false">IF(AND(B2620&gt;=Cal_Start_Week,B2620&lt;=Cal_End_Week),"YES","")</f>
        <v/>
      </c>
    </row>
    <row r="2621" customFormat="false" ht="15" hidden="false" customHeight="false" outlineLevel="0" collapsed="false">
      <c r="A2621" s="31" t="str">
        <f aca="false">Demand_History!C2621</f>
        <v>BED-006</v>
      </c>
      <c r="B2621" s="31" t="n">
        <f aca="false">Demand_History!A2621</f>
        <v>20</v>
      </c>
      <c r="C2621" s="32" t="n">
        <f aca="false">Demand_History!D2621</f>
        <v>39</v>
      </c>
      <c r="D2621" s="33" t="n">
        <f aca="false">IF(B2621&gt;=2,C2620,"")</f>
        <v>30</v>
      </c>
      <c r="E2621" s="33" t="n">
        <f aca="false">IF(B2621&gt;=5,AVERAGE(C2617:C2620),"")</f>
        <v>28.25</v>
      </c>
      <c r="F2621" s="33" t="n">
        <f aca="false">IF(B2621&gt;=9,AVERAGE(C2613:C2620),"")</f>
        <v>29.5</v>
      </c>
      <c r="G2621" s="33" t="n">
        <f aca="false">IF(B2621=1,"",IF(B2621=2,C2620,SES_Alpha*C2620+(1-SES_Alpha)*G2620))</f>
        <v>28.7293360874742</v>
      </c>
      <c r="H2621" s="33" t="n">
        <f aca="false">IF(D2621="","",D2621-C2621)</f>
        <v>-9</v>
      </c>
      <c r="I2621" s="33" t="n">
        <f aca="false">IF(E2621="","",E2621-C2621)</f>
        <v>-10.75</v>
      </c>
      <c r="J2621" s="33" t="n">
        <f aca="false">IF(F2621="","",F2621-C2621)</f>
        <v>-9.5</v>
      </c>
      <c r="K2621" s="33" t="n">
        <f aca="false">IF(G2621="","",G2621-C2621)</f>
        <v>-10.2706639125258</v>
      </c>
      <c r="L2621" s="33" t="n">
        <f aca="false">IF(H2621="","",ABS(H2621))</f>
        <v>9</v>
      </c>
      <c r="M2621" s="33" t="n">
        <f aca="false">IF(I2621="","",ABS(I2621))</f>
        <v>10.75</v>
      </c>
      <c r="N2621" s="33" t="n">
        <f aca="false">IF(J2621="","",ABS(J2621))</f>
        <v>9.5</v>
      </c>
      <c r="O2621" s="33" t="n">
        <f aca="false">IF(K2621="","",ABS(K2621))</f>
        <v>10.2706639125258</v>
      </c>
      <c r="P2621" s="34" t="str">
        <f aca="false">IF(B2621&gt;=Eval_Start_Week,"YES","")</f>
        <v/>
      </c>
      <c r="Q2621" s="34" t="str">
        <f aca="false">IF(AND(B2621&gt;=Cal_Start_Week,B2621&lt;=Cal_End_Week),"YES","")</f>
        <v/>
      </c>
    </row>
    <row r="2622" customFormat="false" ht="15" hidden="false" customHeight="false" outlineLevel="0" collapsed="false">
      <c r="A2622" s="31" t="str">
        <f aca="false">Demand_History!C2622</f>
        <v>BED-006</v>
      </c>
      <c r="B2622" s="31" t="n">
        <f aca="false">Demand_History!A2622</f>
        <v>21</v>
      </c>
      <c r="C2622" s="32" t="n">
        <f aca="false">Demand_History!D2622</f>
        <v>28</v>
      </c>
      <c r="D2622" s="33" t="n">
        <f aca="false">IF(B2622&gt;=2,C2621,"")</f>
        <v>39</v>
      </c>
      <c r="E2622" s="33" t="n">
        <f aca="false">IF(B2622&gt;=5,AVERAGE(C2618:C2621),"")</f>
        <v>31.25</v>
      </c>
      <c r="F2622" s="33" t="n">
        <f aca="false">IF(B2622&gt;=9,AVERAGE(C2614:C2621),"")</f>
        <v>31.5</v>
      </c>
      <c r="G2622" s="33" t="n">
        <f aca="false">IF(B2622=1,"",IF(B2622=2,C2621,SES_Alpha*C2621+(1-SES_Alpha)*G2621))</f>
        <v>31.8105352612319</v>
      </c>
      <c r="H2622" s="33" t="n">
        <f aca="false">IF(D2622="","",D2622-C2622)</f>
        <v>11</v>
      </c>
      <c r="I2622" s="33" t="n">
        <f aca="false">IF(E2622="","",E2622-C2622)</f>
        <v>3.25</v>
      </c>
      <c r="J2622" s="33" t="n">
        <f aca="false">IF(F2622="","",F2622-C2622)</f>
        <v>3.5</v>
      </c>
      <c r="K2622" s="33" t="n">
        <f aca="false">IF(G2622="","",G2622-C2622)</f>
        <v>3.81053526123192</v>
      </c>
      <c r="L2622" s="33" t="n">
        <f aca="false">IF(H2622="","",ABS(H2622))</f>
        <v>11</v>
      </c>
      <c r="M2622" s="33" t="n">
        <f aca="false">IF(I2622="","",ABS(I2622))</f>
        <v>3.25</v>
      </c>
      <c r="N2622" s="33" t="n">
        <f aca="false">IF(J2622="","",ABS(J2622))</f>
        <v>3.5</v>
      </c>
      <c r="O2622" s="33" t="n">
        <f aca="false">IF(K2622="","",ABS(K2622))</f>
        <v>3.81053526123192</v>
      </c>
      <c r="P2622" s="34" t="str">
        <f aca="false">IF(B2622&gt;=Eval_Start_Week,"YES","")</f>
        <v/>
      </c>
      <c r="Q2622" s="34" t="str">
        <f aca="false">IF(AND(B2622&gt;=Cal_Start_Week,B2622&lt;=Cal_End_Week),"YES","")</f>
        <v/>
      </c>
    </row>
    <row r="2623" customFormat="false" ht="15" hidden="false" customHeight="false" outlineLevel="0" collapsed="false">
      <c r="A2623" s="31" t="str">
        <f aca="false">Demand_History!C2623</f>
        <v>BED-006</v>
      </c>
      <c r="B2623" s="31" t="n">
        <f aca="false">Demand_History!A2623</f>
        <v>22</v>
      </c>
      <c r="C2623" s="32" t="n">
        <f aca="false">Demand_History!D2623</f>
        <v>30</v>
      </c>
      <c r="D2623" s="33" t="n">
        <f aca="false">IF(B2623&gt;=2,C2622,"")</f>
        <v>28</v>
      </c>
      <c r="E2623" s="33" t="n">
        <f aca="false">IF(B2623&gt;=5,AVERAGE(C2619:C2622),"")</f>
        <v>29.75</v>
      </c>
      <c r="F2623" s="33" t="n">
        <f aca="false">IF(B2623&gt;=9,AVERAGE(C2615:C2622),"")</f>
        <v>30.125</v>
      </c>
      <c r="G2623" s="33" t="n">
        <f aca="false">IF(B2623=1,"",IF(B2623=2,C2622,SES_Alpha*C2622+(1-SES_Alpha)*G2622))</f>
        <v>30.6673746828623</v>
      </c>
      <c r="H2623" s="33" t="n">
        <f aca="false">IF(D2623="","",D2623-C2623)</f>
        <v>-2</v>
      </c>
      <c r="I2623" s="33" t="n">
        <f aca="false">IF(E2623="","",E2623-C2623)</f>
        <v>-0.25</v>
      </c>
      <c r="J2623" s="33" t="n">
        <f aca="false">IF(F2623="","",F2623-C2623)</f>
        <v>0.125</v>
      </c>
      <c r="K2623" s="33" t="n">
        <f aca="false">IF(G2623="","",G2623-C2623)</f>
        <v>0.667374682862345</v>
      </c>
      <c r="L2623" s="33" t="n">
        <f aca="false">IF(H2623="","",ABS(H2623))</f>
        <v>2</v>
      </c>
      <c r="M2623" s="33" t="n">
        <f aca="false">IF(I2623="","",ABS(I2623))</f>
        <v>0.25</v>
      </c>
      <c r="N2623" s="33" t="n">
        <f aca="false">IF(J2623="","",ABS(J2623))</f>
        <v>0.125</v>
      </c>
      <c r="O2623" s="33" t="n">
        <f aca="false">IF(K2623="","",ABS(K2623))</f>
        <v>0.667374682862345</v>
      </c>
      <c r="P2623" s="34" t="str">
        <f aca="false">IF(B2623&gt;=Eval_Start_Week,"YES","")</f>
        <v/>
      </c>
      <c r="Q2623" s="34" t="str">
        <f aca="false">IF(AND(B2623&gt;=Cal_Start_Week,B2623&lt;=Cal_End_Week),"YES","")</f>
        <v/>
      </c>
    </row>
    <row r="2624" customFormat="false" ht="15" hidden="false" customHeight="false" outlineLevel="0" collapsed="false">
      <c r="A2624" s="31" t="str">
        <f aca="false">Demand_History!C2624</f>
        <v>BED-006</v>
      </c>
      <c r="B2624" s="31" t="n">
        <f aca="false">Demand_History!A2624</f>
        <v>23</v>
      </c>
      <c r="C2624" s="32" t="n">
        <f aca="false">Demand_History!D2624</f>
        <v>33</v>
      </c>
      <c r="D2624" s="33" t="n">
        <f aca="false">IF(B2624&gt;=2,C2623,"")</f>
        <v>30</v>
      </c>
      <c r="E2624" s="33" t="n">
        <f aca="false">IF(B2624&gt;=5,AVERAGE(C2620:C2623),"")</f>
        <v>31.75</v>
      </c>
      <c r="F2624" s="33" t="n">
        <f aca="false">IF(B2624&gt;=9,AVERAGE(C2616:C2623),"")</f>
        <v>30.125</v>
      </c>
      <c r="G2624" s="33" t="n">
        <f aca="false">IF(B2624=1,"",IF(B2624=2,C2623,SES_Alpha*C2623+(1-SES_Alpha)*G2623))</f>
        <v>30.4671622780036</v>
      </c>
      <c r="H2624" s="33" t="n">
        <f aca="false">IF(D2624="","",D2624-C2624)</f>
        <v>-3</v>
      </c>
      <c r="I2624" s="33" t="n">
        <f aca="false">IF(E2624="","",E2624-C2624)</f>
        <v>-1.25</v>
      </c>
      <c r="J2624" s="33" t="n">
        <f aca="false">IF(F2624="","",F2624-C2624)</f>
        <v>-2.875</v>
      </c>
      <c r="K2624" s="33" t="n">
        <f aca="false">IF(G2624="","",G2624-C2624)</f>
        <v>-2.53283772199636</v>
      </c>
      <c r="L2624" s="33" t="n">
        <f aca="false">IF(H2624="","",ABS(H2624))</f>
        <v>3</v>
      </c>
      <c r="M2624" s="33" t="n">
        <f aca="false">IF(I2624="","",ABS(I2624))</f>
        <v>1.25</v>
      </c>
      <c r="N2624" s="33" t="n">
        <f aca="false">IF(J2624="","",ABS(J2624))</f>
        <v>2.875</v>
      </c>
      <c r="O2624" s="33" t="n">
        <f aca="false">IF(K2624="","",ABS(K2624))</f>
        <v>2.53283772199636</v>
      </c>
      <c r="P2624" s="34" t="str">
        <f aca="false">IF(B2624&gt;=Eval_Start_Week,"YES","")</f>
        <v/>
      </c>
      <c r="Q2624" s="34" t="str">
        <f aca="false">IF(AND(B2624&gt;=Cal_Start_Week,B2624&lt;=Cal_End_Week),"YES","")</f>
        <v/>
      </c>
    </row>
    <row r="2625" customFormat="false" ht="15" hidden="false" customHeight="false" outlineLevel="0" collapsed="false">
      <c r="A2625" s="31" t="str">
        <f aca="false">Demand_History!C2625</f>
        <v>BED-006</v>
      </c>
      <c r="B2625" s="31" t="n">
        <f aca="false">Demand_History!A2625</f>
        <v>24</v>
      </c>
      <c r="C2625" s="32" t="n">
        <f aca="false">Demand_History!D2625</f>
        <v>27</v>
      </c>
      <c r="D2625" s="33" t="n">
        <f aca="false">IF(B2625&gt;=2,C2624,"")</f>
        <v>33</v>
      </c>
      <c r="E2625" s="33" t="n">
        <f aca="false">IF(B2625&gt;=5,AVERAGE(C2621:C2624),"")</f>
        <v>32.5</v>
      </c>
      <c r="F2625" s="33" t="n">
        <f aca="false">IF(B2625&gt;=9,AVERAGE(C2617:C2624),"")</f>
        <v>30.375</v>
      </c>
      <c r="G2625" s="33" t="n">
        <f aca="false">IF(B2625=1,"",IF(B2625=2,C2624,SES_Alpha*C2624+(1-SES_Alpha)*G2624))</f>
        <v>31.2270135946025</v>
      </c>
      <c r="H2625" s="33" t="n">
        <f aca="false">IF(D2625="","",D2625-C2625)</f>
        <v>6</v>
      </c>
      <c r="I2625" s="33" t="n">
        <f aca="false">IF(E2625="","",E2625-C2625)</f>
        <v>5.5</v>
      </c>
      <c r="J2625" s="33" t="n">
        <f aca="false">IF(F2625="","",F2625-C2625)</f>
        <v>3.375</v>
      </c>
      <c r="K2625" s="33" t="n">
        <f aca="false">IF(G2625="","",G2625-C2625)</f>
        <v>4.22701359460255</v>
      </c>
      <c r="L2625" s="33" t="n">
        <f aca="false">IF(H2625="","",ABS(H2625))</f>
        <v>6</v>
      </c>
      <c r="M2625" s="33" t="n">
        <f aca="false">IF(I2625="","",ABS(I2625))</f>
        <v>5.5</v>
      </c>
      <c r="N2625" s="33" t="n">
        <f aca="false">IF(J2625="","",ABS(J2625))</f>
        <v>3.375</v>
      </c>
      <c r="O2625" s="33" t="n">
        <f aca="false">IF(K2625="","",ABS(K2625))</f>
        <v>4.22701359460255</v>
      </c>
      <c r="P2625" s="34" t="str">
        <f aca="false">IF(B2625&gt;=Eval_Start_Week,"YES","")</f>
        <v/>
      </c>
      <c r="Q2625" s="34" t="str">
        <f aca="false">IF(AND(B2625&gt;=Cal_Start_Week,B2625&lt;=Cal_End_Week),"YES","")</f>
        <v/>
      </c>
    </row>
    <row r="2626" customFormat="false" ht="15" hidden="false" customHeight="false" outlineLevel="0" collapsed="false">
      <c r="A2626" s="31" t="str">
        <f aca="false">Demand_History!C2626</f>
        <v>BED-006</v>
      </c>
      <c r="B2626" s="31" t="n">
        <f aca="false">Demand_History!A2626</f>
        <v>25</v>
      </c>
      <c r="C2626" s="32" t="n">
        <f aca="false">Demand_History!D2626</f>
        <v>30</v>
      </c>
      <c r="D2626" s="33" t="n">
        <f aca="false">IF(B2626&gt;=2,C2625,"")</f>
        <v>27</v>
      </c>
      <c r="E2626" s="33" t="n">
        <f aca="false">IF(B2626&gt;=5,AVERAGE(C2622:C2625),"")</f>
        <v>29.5</v>
      </c>
      <c r="F2626" s="33" t="n">
        <f aca="false">IF(B2626&gt;=9,AVERAGE(C2618:C2625),"")</f>
        <v>30.375</v>
      </c>
      <c r="G2626" s="33" t="n">
        <f aca="false">IF(B2626=1,"",IF(B2626=2,C2625,SES_Alpha*C2625+(1-SES_Alpha)*G2625))</f>
        <v>29.9589095162218</v>
      </c>
      <c r="H2626" s="33" t="n">
        <f aca="false">IF(D2626="","",D2626-C2626)</f>
        <v>-3</v>
      </c>
      <c r="I2626" s="33" t="n">
        <f aca="false">IF(E2626="","",E2626-C2626)</f>
        <v>-0.5</v>
      </c>
      <c r="J2626" s="33" t="n">
        <f aca="false">IF(F2626="","",F2626-C2626)</f>
        <v>0.375</v>
      </c>
      <c r="K2626" s="33" t="n">
        <f aca="false">IF(G2626="","",G2626-C2626)</f>
        <v>-0.0410904837782198</v>
      </c>
      <c r="L2626" s="33" t="n">
        <f aca="false">IF(H2626="","",ABS(H2626))</f>
        <v>3</v>
      </c>
      <c r="M2626" s="33" t="n">
        <f aca="false">IF(I2626="","",ABS(I2626))</f>
        <v>0.5</v>
      </c>
      <c r="N2626" s="33" t="n">
        <f aca="false">IF(J2626="","",ABS(J2626))</f>
        <v>0.375</v>
      </c>
      <c r="O2626" s="33" t="n">
        <f aca="false">IF(K2626="","",ABS(K2626))</f>
        <v>0.0410904837782198</v>
      </c>
      <c r="P2626" s="34" t="str">
        <f aca="false">IF(B2626&gt;=Eval_Start_Week,"YES","")</f>
        <v/>
      </c>
      <c r="Q2626" s="34" t="str">
        <f aca="false">IF(AND(B2626&gt;=Cal_Start_Week,B2626&lt;=Cal_End_Week),"YES","")</f>
        <v/>
      </c>
    </row>
    <row r="2627" customFormat="false" ht="15" hidden="false" customHeight="false" outlineLevel="0" collapsed="false">
      <c r="A2627" s="31" t="str">
        <f aca="false">Demand_History!C2627</f>
        <v>BED-006</v>
      </c>
      <c r="B2627" s="31" t="n">
        <f aca="false">Demand_History!A2627</f>
        <v>26</v>
      </c>
      <c r="C2627" s="32" t="n">
        <f aca="false">Demand_History!D2627</f>
        <v>34</v>
      </c>
      <c r="D2627" s="33" t="n">
        <f aca="false">IF(B2627&gt;=2,C2626,"")</f>
        <v>30</v>
      </c>
      <c r="E2627" s="33" t="n">
        <f aca="false">IF(B2627&gt;=5,AVERAGE(C2623:C2626),"")</f>
        <v>30</v>
      </c>
      <c r="F2627" s="33" t="n">
        <f aca="false">IF(B2627&gt;=9,AVERAGE(C2619:C2626),"")</f>
        <v>29.875</v>
      </c>
      <c r="G2627" s="33" t="n">
        <f aca="false">IF(B2627=1,"",IF(B2627=2,C2626,SES_Alpha*C2626+(1-SES_Alpha)*G2626))</f>
        <v>29.9712366613552</v>
      </c>
      <c r="H2627" s="33" t="n">
        <f aca="false">IF(D2627="","",D2627-C2627)</f>
        <v>-4</v>
      </c>
      <c r="I2627" s="33" t="n">
        <f aca="false">IF(E2627="","",E2627-C2627)</f>
        <v>-4</v>
      </c>
      <c r="J2627" s="33" t="n">
        <f aca="false">IF(F2627="","",F2627-C2627)</f>
        <v>-4.125</v>
      </c>
      <c r="K2627" s="33" t="n">
        <f aca="false">IF(G2627="","",G2627-C2627)</f>
        <v>-4.02876333864475</v>
      </c>
      <c r="L2627" s="33" t="n">
        <f aca="false">IF(H2627="","",ABS(H2627))</f>
        <v>4</v>
      </c>
      <c r="M2627" s="33" t="n">
        <f aca="false">IF(I2627="","",ABS(I2627))</f>
        <v>4</v>
      </c>
      <c r="N2627" s="33" t="n">
        <f aca="false">IF(J2627="","",ABS(J2627))</f>
        <v>4.125</v>
      </c>
      <c r="O2627" s="33" t="n">
        <f aca="false">IF(K2627="","",ABS(K2627))</f>
        <v>4.02876333864475</v>
      </c>
      <c r="P2627" s="34" t="str">
        <f aca="false">IF(B2627&gt;=Eval_Start_Week,"YES","")</f>
        <v/>
      </c>
      <c r="Q2627" s="34" t="str">
        <f aca="false">IF(AND(B2627&gt;=Cal_Start_Week,B2627&lt;=Cal_End_Week),"YES","")</f>
        <v/>
      </c>
    </row>
    <row r="2628" customFormat="false" ht="15" hidden="false" customHeight="false" outlineLevel="0" collapsed="false">
      <c r="A2628" s="31" t="str">
        <f aca="false">Demand_History!C2628</f>
        <v>BED-006</v>
      </c>
      <c r="B2628" s="31" t="n">
        <f aca="false">Demand_History!A2628</f>
        <v>27</v>
      </c>
      <c r="C2628" s="32" t="n">
        <f aca="false">Demand_History!D2628</f>
        <v>31</v>
      </c>
      <c r="D2628" s="33" t="n">
        <f aca="false">IF(B2628&gt;=2,C2627,"")</f>
        <v>34</v>
      </c>
      <c r="E2628" s="33" t="n">
        <f aca="false">IF(B2628&gt;=5,AVERAGE(C2624:C2627),"")</f>
        <v>31</v>
      </c>
      <c r="F2628" s="33" t="n">
        <f aca="false">IF(B2628&gt;=9,AVERAGE(C2620:C2627),"")</f>
        <v>31.375</v>
      </c>
      <c r="G2628" s="33" t="n">
        <f aca="false">IF(B2628=1,"",IF(B2628=2,C2627,SES_Alpha*C2627+(1-SES_Alpha)*G2627))</f>
        <v>31.1798656629487</v>
      </c>
      <c r="H2628" s="33" t="n">
        <f aca="false">IF(D2628="","",D2628-C2628)</f>
        <v>3</v>
      </c>
      <c r="I2628" s="33" t="n">
        <f aca="false">IF(E2628="","",E2628-C2628)</f>
        <v>0</v>
      </c>
      <c r="J2628" s="33" t="n">
        <f aca="false">IF(F2628="","",F2628-C2628)</f>
        <v>0.375</v>
      </c>
      <c r="K2628" s="33" t="n">
        <f aca="false">IF(G2628="","",G2628-C2628)</f>
        <v>0.179865662948671</v>
      </c>
      <c r="L2628" s="33" t="n">
        <f aca="false">IF(H2628="","",ABS(H2628))</f>
        <v>3</v>
      </c>
      <c r="M2628" s="33" t="n">
        <f aca="false">IF(I2628="","",ABS(I2628))</f>
        <v>0</v>
      </c>
      <c r="N2628" s="33" t="n">
        <f aca="false">IF(J2628="","",ABS(J2628))</f>
        <v>0.375</v>
      </c>
      <c r="O2628" s="33" t="n">
        <f aca="false">IF(K2628="","",ABS(K2628))</f>
        <v>0.179865662948671</v>
      </c>
      <c r="P2628" s="34" t="str">
        <f aca="false">IF(B2628&gt;=Eval_Start_Week,"YES","")</f>
        <v/>
      </c>
      <c r="Q2628" s="34" t="str">
        <f aca="false">IF(AND(B2628&gt;=Cal_Start_Week,B2628&lt;=Cal_End_Week),"YES","")</f>
        <v/>
      </c>
    </row>
    <row r="2629" customFormat="false" ht="15" hidden="false" customHeight="false" outlineLevel="0" collapsed="false">
      <c r="A2629" s="31" t="str">
        <f aca="false">Demand_History!C2629</f>
        <v>BED-006</v>
      </c>
      <c r="B2629" s="31" t="n">
        <f aca="false">Demand_History!A2629</f>
        <v>28</v>
      </c>
      <c r="C2629" s="32" t="n">
        <f aca="false">Demand_History!D2629</f>
        <v>31</v>
      </c>
      <c r="D2629" s="33" t="n">
        <f aca="false">IF(B2629&gt;=2,C2628,"")</f>
        <v>31</v>
      </c>
      <c r="E2629" s="33" t="n">
        <f aca="false">IF(B2629&gt;=5,AVERAGE(C2625:C2628),"")</f>
        <v>30.5</v>
      </c>
      <c r="F2629" s="33" t="n">
        <f aca="false">IF(B2629&gt;=9,AVERAGE(C2621:C2628),"")</f>
        <v>31.5</v>
      </c>
      <c r="G2629" s="33" t="n">
        <f aca="false">IF(B2629=1,"",IF(B2629=2,C2628,SES_Alpha*C2628+(1-SES_Alpha)*G2628))</f>
        <v>31.1259059640641</v>
      </c>
      <c r="H2629" s="33" t="n">
        <f aca="false">IF(D2629="","",D2629-C2629)</f>
        <v>0</v>
      </c>
      <c r="I2629" s="33" t="n">
        <f aca="false">IF(E2629="","",E2629-C2629)</f>
        <v>-0.5</v>
      </c>
      <c r="J2629" s="33" t="n">
        <f aca="false">IF(F2629="","",F2629-C2629)</f>
        <v>0.5</v>
      </c>
      <c r="K2629" s="33" t="n">
        <f aca="false">IF(G2629="","",G2629-C2629)</f>
        <v>0.125905964064067</v>
      </c>
      <c r="L2629" s="33" t="n">
        <f aca="false">IF(H2629="","",ABS(H2629))</f>
        <v>0</v>
      </c>
      <c r="M2629" s="33" t="n">
        <f aca="false">IF(I2629="","",ABS(I2629))</f>
        <v>0.5</v>
      </c>
      <c r="N2629" s="33" t="n">
        <f aca="false">IF(J2629="","",ABS(J2629))</f>
        <v>0.5</v>
      </c>
      <c r="O2629" s="33" t="n">
        <f aca="false">IF(K2629="","",ABS(K2629))</f>
        <v>0.125905964064067</v>
      </c>
      <c r="P2629" s="34" t="str">
        <f aca="false">IF(B2629&gt;=Eval_Start_Week,"YES","")</f>
        <v/>
      </c>
      <c r="Q2629" s="34" t="str">
        <f aca="false">IF(AND(B2629&gt;=Cal_Start_Week,B2629&lt;=Cal_End_Week),"YES","")</f>
        <v/>
      </c>
    </row>
    <row r="2630" customFormat="false" ht="15" hidden="false" customHeight="false" outlineLevel="0" collapsed="false">
      <c r="A2630" s="31" t="str">
        <f aca="false">Demand_History!C2630</f>
        <v>BED-006</v>
      </c>
      <c r="B2630" s="31" t="n">
        <f aca="false">Demand_History!A2630</f>
        <v>29</v>
      </c>
      <c r="C2630" s="32" t="n">
        <f aca="false">Demand_History!D2630</f>
        <v>29</v>
      </c>
      <c r="D2630" s="33" t="n">
        <f aca="false">IF(B2630&gt;=2,C2629,"")</f>
        <v>31</v>
      </c>
      <c r="E2630" s="33" t="n">
        <f aca="false">IF(B2630&gt;=5,AVERAGE(C2626:C2629),"")</f>
        <v>31.5</v>
      </c>
      <c r="F2630" s="33" t="n">
        <f aca="false">IF(B2630&gt;=9,AVERAGE(C2622:C2629),"")</f>
        <v>30.5</v>
      </c>
      <c r="G2630" s="33" t="n">
        <f aca="false">IF(B2630=1,"",IF(B2630=2,C2629,SES_Alpha*C2629+(1-SES_Alpha)*G2629))</f>
        <v>31.0881341748448</v>
      </c>
      <c r="H2630" s="33" t="n">
        <f aca="false">IF(D2630="","",D2630-C2630)</f>
        <v>2</v>
      </c>
      <c r="I2630" s="33" t="n">
        <f aca="false">IF(E2630="","",E2630-C2630)</f>
        <v>2.5</v>
      </c>
      <c r="J2630" s="33" t="n">
        <f aca="false">IF(F2630="","",F2630-C2630)</f>
        <v>1.5</v>
      </c>
      <c r="K2630" s="33" t="n">
        <f aca="false">IF(G2630="","",G2630-C2630)</f>
        <v>2.08813417484485</v>
      </c>
      <c r="L2630" s="33" t="n">
        <f aca="false">IF(H2630="","",ABS(H2630))</f>
        <v>2</v>
      </c>
      <c r="M2630" s="33" t="n">
        <f aca="false">IF(I2630="","",ABS(I2630))</f>
        <v>2.5</v>
      </c>
      <c r="N2630" s="33" t="n">
        <f aca="false">IF(J2630="","",ABS(J2630))</f>
        <v>1.5</v>
      </c>
      <c r="O2630" s="33" t="n">
        <f aca="false">IF(K2630="","",ABS(K2630))</f>
        <v>2.08813417484485</v>
      </c>
      <c r="P2630" s="34" t="str">
        <f aca="false">IF(B2630&gt;=Eval_Start_Week,"YES","")</f>
        <v/>
      </c>
      <c r="Q2630" s="34" t="str">
        <f aca="false">IF(AND(B2630&gt;=Cal_Start_Week,B2630&lt;=Cal_End_Week),"YES","")</f>
        <v/>
      </c>
    </row>
    <row r="2631" customFormat="false" ht="15" hidden="false" customHeight="false" outlineLevel="0" collapsed="false">
      <c r="A2631" s="31" t="str">
        <f aca="false">Demand_History!C2631</f>
        <v>BED-006</v>
      </c>
      <c r="B2631" s="31" t="n">
        <f aca="false">Demand_History!A2631</f>
        <v>30</v>
      </c>
      <c r="C2631" s="32" t="n">
        <f aca="false">Demand_History!D2631</f>
        <v>31</v>
      </c>
      <c r="D2631" s="33" t="n">
        <f aca="false">IF(B2631&gt;=2,C2630,"")</f>
        <v>29</v>
      </c>
      <c r="E2631" s="33" t="n">
        <f aca="false">IF(B2631&gt;=5,AVERAGE(C2627:C2630),"")</f>
        <v>31.25</v>
      </c>
      <c r="F2631" s="33" t="n">
        <f aca="false">IF(B2631&gt;=9,AVERAGE(C2623:C2630),"")</f>
        <v>30.625</v>
      </c>
      <c r="G2631" s="33" t="n">
        <f aca="false">IF(B2631=1,"",IF(B2631=2,C2630,SES_Alpha*C2630+(1-SES_Alpha)*G2630))</f>
        <v>30.4616939223914</v>
      </c>
      <c r="H2631" s="33" t="n">
        <f aca="false">IF(D2631="","",D2631-C2631)</f>
        <v>-2</v>
      </c>
      <c r="I2631" s="33" t="n">
        <f aca="false">IF(E2631="","",E2631-C2631)</f>
        <v>0.25</v>
      </c>
      <c r="J2631" s="33" t="n">
        <f aca="false">IF(F2631="","",F2631-C2631)</f>
        <v>-0.375</v>
      </c>
      <c r="K2631" s="33" t="n">
        <f aca="false">IF(G2631="","",G2631-C2631)</f>
        <v>-0.53830607760861</v>
      </c>
      <c r="L2631" s="33" t="n">
        <f aca="false">IF(H2631="","",ABS(H2631))</f>
        <v>2</v>
      </c>
      <c r="M2631" s="33" t="n">
        <f aca="false">IF(I2631="","",ABS(I2631))</f>
        <v>0.25</v>
      </c>
      <c r="N2631" s="33" t="n">
        <f aca="false">IF(J2631="","",ABS(J2631))</f>
        <v>0.375</v>
      </c>
      <c r="O2631" s="33" t="n">
        <f aca="false">IF(K2631="","",ABS(K2631))</f>
        <v>0.53830607760861</v>
      </c>
      <c r="P2631" s="34" t="str">
        <f aca="false">IF(B2631&gt;=Eval_Start_Week,"YES","")</f>
        <v/>
      </c>
      <c r="Q2631" s="34" t="str">
        <f aca="false">IF(AND(B2631&gt;=Cal_Start_Week,B2631&lt;=Cal_End_Week),"YES","")</f>
        <v/>
      </c>
    </row>
    <row r="2632" customFormat="false" ht="15" hidden="false" customHeight="false" outlineLevel="0" collapsed="false">
      <c r="A2632" s="31" t="str">
        <f aca="false">Demand_History!C2632</f>
        <v>BED-006</v>
      </c>
      <c r="B2632" s="31" t="n">
        <f aca="false">Demand_History!A2632</f>
        <v>31</v>
      </c>
      <c r="C2632" s="32" t="n">
        <f aca="false">Demand_History!D2632</f>
        <v>30</v>
      </c>
      <c r="D2632" s="33" t="n">
        <f aca="false">IF(B2632&gt;=2,C2631,"")</f>
        <v>31</v>
      </c>
      <c r="E2632" s="33" t="n">
        <f aca="false">IF(B2632&gt;=5,AVERAGE(C2628:C2631),"")</f>
        <v>30.5</v>
      </c>
      <c r="F2632" s="33" t="n">
        <f aca="false">IF(B2632&gt;=9,AVERAGE(C2624:C2631),"")</f>
        <v>30.75</v>
      </c>
      <c r="G2632" s="33" t="n">
        <f aca="false">IF(B2632=1,"",IF(B2632=2,C2631,SES_Alpha*C2631+(1-SES_Alpha)*G2631))</f>
        <v>30.623185745674</v>
      </c>
      <c r="H2632" s="33" t="n">
        <f aca="false">IF(D2632="","",D2632-C2632)</f>
        <v>1</v>
      </c>
      <c r="I2632" s="33" t="n">
        <f aca="false">IF(E2632="","",E2632-C2632)</f>
        <v>0.5</v>
      </c>
      <c r="J2632" s="33" t="n">
        <f aca="false">IF(F2632="","",F2632-C2632)</f>
        <v>0.75</v>
      </c>
      <c r="K2632" s="33" t="n">
        <f aca="false">IF(G2632="","",G2632-C2632)</f>
        <v>0.623185745673972</v>
      </c>
      <c r="L2632" s="33" t="n">
        <f aca="false">IF(H2632="","",ABS(H2632))</f>
        <v>1</v>
      </c>
      <c r="M2632" s="33" t="n">
        <f aca="false">IF(I2632="","",ABS(I2632))</f>
        <v>0.5</v>
      </c>
      <c r="N2632" s="33" t="n">
        <f aca="false">IF(J2632="","",ABS(J2632))</f>
        <v>0.75</v>
      </c>
      <c r="O2632" s="33" t="n">
        <f aca="false">IF(K2632="","",ABS(K2632))</f>
        <v>0.623185745673972</v>
      </c>
      <c r="P2632" s="34" t="str">
        <f aca="false">IF(B2632&gt;=Eval_Start_Week,"YES","")</f>
        <v/>
      </c>
      <c r="Q2632" s="34" t="str">
        <f aca="false">IF(AND(B2632&gt;=Cal_Start_Week,B2632&lt;=Cal_End_Week),"YES","")</f>
        <v/>
      </c>
    </row>
    <row r="2633" customFormat="false" ht="15" hidden="false" customHeight="false" outlineLevel="0" collapsed="false">
      <c r="A2633" s="31" t="str">
        <f aca="false">Demand_History!C2633</f>
        <v>BED-006</v>
      </c>
      <c r="B2633" s="31" t="n">
        <f aca="false">Demand_History!A2633</f>
        <v>32</v>
      </c>
      <c r="C2633" s="32" t="n">
        <f aca="false">Demand_History!D2633</f>
        <v>36</v>
      </c>
      <c r="D2633" s="33" t="n">
        <f aca="false">IF(B2633&gt;=2,C2632,"")</f>
        <v>30</v>
      </c>
      <c r="E2633" s="33" t="n">
        <f aca="false">IF(B2633&gt;=5,AVERAGE(C2629:C2632),"")</f>
        <v>30.25</v>
      </c>
      <c r="F2633" s="33" t="n">
        <f aca="false">IF(B2633&gt;=9,AVERAGE(C2625:C2632),"")</f>
        <v>30.375</v>
      </c>
      <c r="G2633" s="33" t="n">
        <f aca="false">IF(B2633=1,"",IF(B2633=2,C2632,SES_Alpha*C2632+(1-SES_Alpha)*G2632))</f>
        <v>30.4362300219718</v>
      </c>
      <c r="H2633" s="33" t="n">
        <f aca="false">IF(D2633="","",D2633-C2633)</f>
        <v>-6</v>
      </c>
      <c r="I2633" s="33" t="n">
        <f aca="false">IF(E2633="","",E2633-C2633)</f>
        <v>-5.75</v>
      </c>
      <c r="J2633" s="33" t="n">
        <f aca="false">IF(F2633="","",F2633-C2633)</f>
        <v>-5.625</v>
      </c>
      <c r="K2633" s="33" t="n">
        <f aca="false">IF(G2633="","",G2633-C2633)</f>
        <v>-5.56376997802822</v>
      </c>
      <c r="L2633" s="33" t="n">
        <f aca="false">IF(H2633="","",ABS(H2633))</f>
        <v>6</v>
      </c>
      <c r="M2633" s="33" t="n">
        <f aca="false">IF(I2633="","",ABS(I2633))</f>
        <v>5.75</v>
      </c>
      <c r="N2633" s="33" t="n">
        <f aca="false">IF(J2633="","",ABS(J2633))</f>
        <v>5.625</v>
      </c>
      <c r="O2633" s="33" t="n">
        <f aca="false">IF(K2633="","",ABS(K2633))</f>
        <v>5.56376997802822</v>
      </c>
      <c r="P2633" s="34" t="str">
        <f aca="false">IF(B2633&gt;=Eval_Start_Week,"YES","")</f>
        <v/>
      </c>
      <c r="Q2633" s="34" t="str">
        <f aca="false">IF(AND(B2633&gt;=Cal_Start_Week,B2633&lt;=Cal_End_Week),"YES","")</f>
        <v/>
      </c>
    </row>
    <row r="2634" customFormat="false" ht="15" hidden="false" customHeight="false" outlineLevel="0" collapsed="false">
      <c r="A2634" s="31" t="str">
        <f aca="false">Demand_History!C2634</f>
        <v>BED-006</v>
      </c>
      <c r="B2634" s="31" t="n">
        <f aca="false">Demand_History!A2634</f>
        <v>33</v>
      </c>
      <c r="C2634" s="32" t="n">
        <f aca="false">Demand_History!D2634</f>
        <v>33</v>
      </c>
      <c r="D2634" s="33" t="n">
        <f aca="false">IF(B2634&gt;=2,C2633,"")</f>
        <v>36</v>
      </c>
      <c r="E2634" s="33" t="n">
        <f aca="false">IF(B2634&gt;=5,AVERAGE(C2630:C2633),"")</f>
        <v>31.5</v>
      </c>
      <c r="F2634" s="33" t="n">
        <f aca="false">IF(B2634&gt;=9,AVERAGE(C2626:C2633),"")</f>
        <v>31.5</v>
      </c>
      <c r="G2634" s="33" t="n">
        <f aca="false">IF(B2634=1,"",IF(B2634=2,C2633,SES_Alpha*C2633+(1-SES_Alpha)*G2633))</f>
        <v>32.1053610153802</v>
      </c>
      <c r="H2634" s="33" t="n">
        <f aca="false">IF(D2634="","",D2634-C2634)</f>
        <v>3</v>
      </c>
      <c r="I2634" s="33" t="n">
        <f aca="false">IF(E2634="","",E2634-C2634)</f>
        <v>-1.5</v>
      </c>
      <c r="J2634" s="33" t="n">
        <f aca="false">IF(F2634="","",F2634-C2634)</f>
        <v>-1.5</v>
      </c>
      <c r="K2634" s="33" t="n">
        <f aca="false">IF(G2634="","",G2634-C2634)</f>
        <v>-0.89463898461976</v>
      </c>
      <c r="L2634" s="33" t="n">
        <f aca="false">IF(H2634="","",ABS(H2634))</f>
        <v>3</v>
      </c>
      <c r="M2634" s="33" t="n">
        <f aca="false">IF(I2634="","",ABS(I2634))</f>
        <v>1.5</v>
      </c>
      <c r="N2634" s="33" t="n">
        <f aca="false">IF(J2634="","",ABS(J2634))</f>
        <v>1.5</v>
      </c>
      <c r="O2634" s="33" t="n">
        <f aca="false">IF(K2634="","",ABS(K2634))</f>
        <v>0.89463898461976</v>
      </c>
      <c r="P2634" s="34" t="str">
        <f aca="false">IF(B2634&gt;=Eval_Start_Week,"YES","")</f>
        <v/>
      </c>
      <c r="Q2634" s="34" t="str">
        <f aca="false">IF(AND(B2634&gt;=Cal_Start_Week,B2634&lt;=Cal_End_Week),"YES","")</f>
        <v/>
      </c>
    </row>
    <row r="2635" customFormat="false" ht="15" hidden="false" customHeight="false" outlineLevel="0" collapsed="false">
      <c r="A2635" s="31" t="str">
        <f aca="false">Demand_History!C2635</f>
        <v>BED-006</v>
      </c>
      <c r="B2635" s="31" t="n">
        <f aca="false">Demand_History!A2635</f>
        <v>34</v>
      </c>
      <c r="C2635" s="32" t="n">
        <f aca="false">Demand_History!D2635</f>
        <v>29</v>
      </c>
      <c r="D2635" s="33" t="n">
        <f aca="false">IF(B2635&gt;=2,C2634,"")</f>
        <v>33</v>
      </c>
      <c r="E2635" s="33" t="n">
        <f aca="false">IF(B2635&gt;=5,AVERAGE(C2631:C2634),"")</f>
        <v>32.5</v>
      </c>
      <c r="F2635" s="33" t="n">
        <f aca="false">IF(B2635&gt;=9,AVERAGE(C2627:C2634),"")</f>
        <v>31.875</v>
      </c>
      <c r="G2635" s="33" t="n">
        <f aca="false">IF(B2635=1,"",IF(B2635=2,C2634,SES_Alpha*C2634+(1-SES_Alpha)*G2634))</f>
        <v>32.3737527107662</v>
      </c>
      <c r="H2635" s="33" t="n">
        <f aca="false">IF(D2635="","",D2635-C2635)</f>
        <v>4</v>
      </c>
      <c r="I2635" s="33" t="n">
        <f aca="false">IF(E2635="","",E2635-C2635)</f>
        <v>3.5</v>
      </c>
      <c r="J2635" s="33" t="n">
        <f aca="false">IF(F2635="","",F2635-C2635)</f>
        <v>2.875</v>
      </c>
      <c r="K2635" s="33" t="n">
        <f aca="false">IF(G2635="","",G2635-C2635)</f>
        <v>3.37375271076617</v>
      </c>
      <c r="L2635" s="33" t="n">
        <f aca="false">IF(H2635="","",ABS(H2635))</f>
        <v>4</v>
      </c>
      <c r="M2635" s="33" t="n">
        <f aca="false">IF(I2635="","",ABS(I2635))</f>
        <v>3.5</v>
      </c>
      <c r="N2635" s="33" t="n">
        <f aca="false">IF(J2635="","",ABS(J2635))</f>
        <v>2.875</v>
      </c>
      <c r="O2635" s="33" t="n">
        <f aca="false">IF(K2635="","",ABS(K2635))</f>
        <v>3.37375271076617</v>
      </c>
      <c r="P2635" s="34" t="str">
        <f aca="false">IF(B2635&gt;=Eval_Start_Week,"YES","")</f>
        <v/>
      </c>
      <c r="Q2635" s="34" t="str">
        <f aca="false">IF(AND(B2635&gt;=Cal_Start_Week,B2635&lt;=Cal_End_Week),"YES","")</f>
        <v/>
      </c>
    </row>
    <row r="2636" customFormat="false" ht="15" hidden="false" customHeight="false" outlineLevel="0" collapsed="false">
      <c r="A2636" s="31" t="str">
        <f aca="false">Demand_History!C2636</f>
        <v>BED-006</v>
      </c>
      <c r="B2636" s="31" t="n">
        <f aca="false">Demand_History!A2636</f>
        <v>35</v>
      </c>
      <c r="C2636" s="32" t="n">
        <f aca="false">Demand_History!D2636</f>
        <v>20</v>
      </c>
      <c r="D2636" s="33" t="n">
        <f aca="false">IF(B2636&gt;=2,C2635,"")</f>
        <v>29</v>
      </c>
      <c r="E2636" s="33" t="n">
        <f aca="false">IF(B2636&gt;=5,AVERAGE(C2632:C2635),"")</f>
        <v>32</v>
      </c>
      <c r="F2636" s="33" t="n">
        <f aca="false">IF(B2636&gt;=9,AVERAGE(C2628:C2635),"")</f>
        <v>31.25</v>
      </c>
      <c r="G2636" s="33" t="n">
        <f aca="false">IF(B2636=1,"",IF(B2636=2,C2635,SES_Alpha*C2635+(1-SES_Alpha)*G2635))</f>
        <v>31.3616268975363</v>
      </c>
      <c r="H2636" s="33" t="n">
        <f aca="false">IF(D2636="","",D2636-C2636)</f>
        <v>9</v>
      </c>
      <c r="I2636" s="33" t="n">
        <f aca="false">IF(E2636="","",E2636-C2636)</f>
        <v>12</v>
      </c>
      <c r="J2636" s="33" t="n">
        <f aca="false">IF(F2636="","",F2636-C2636)</f>
        <v>11.25</v>
      </c>
      <c r="K2636" s="33" t="n">
        <f aca="false">IF(G2636="","",G2636-C2636)</f>
        <v>11.3616268975363</v>
      </c>
      <c r="L2636" s="33" t="n">
        <f aca="false">IF(H2636="","",ABS(H2636))</f>
        <v>9</v>
      </c>
      <c r="M2636" s="33" t="n">
        <f aca="false">IF(I2636="","",ABS(I2636))</f>
        <v>12</v>
      </c>
      <c r="N2636" s="33" t="n">
        <f aca="false">IF(J2636="","",ABS(J2636))</f>
        <v>11.25</v>
      </c>
      <c r="O2636" s="33" t="n">
        <f aca="false">IF(K2636="","",ABS(K2636))</f>
        <v>11.3616268975363</v>
      </c>
      <c r="P2636" s="34" t="str">
        <f aca="false">IF(B2636&gt;=Eval_Start_Week,"YES","")</f>
        <v/>
      </c>
      <c r="Q2636" s="34" t="str">
        <f aca="false">IF(AND(B2636&gt;=Cal_Start_Week,B2636&lt;=Cal_End_Week),"YES","")</f>
        <v/>
      </c>
    </row>
    <row r="2637" customFormat="false" ht="15" hidden="false" customHeight="false" outlineLevel="0" collapsed="false">
      <c r="A2637" s="31" t="str">
        <f aca="false">Demand_History!C2637</f>
        <v>BED-006</v>
      </c>
      <c r="B2637" s="31" t="n">
        <f aca="false">Demand_History!A2637</f>
        <v>36</v>
      </c>
      <c r="C2637" s="32" t="n">
        <f aca="false">Demand_History!D2637</f>
        <v>33</v>
      </c>
      <c r="D2637" s="33" t="n">
        <f aca="false">IF(B2637&gt;=2,C2636,"")</f>
        <v>20</v>
      </c>
      <c r="E2637" s="33" t="n">
        <f aca="false">IF(B2637&gt;=5,AVERAGE(C2633:C2636),"")</f>
        <v>29.5</v>
      </c>
      <c r="F2637" s="33" t="n">
        <f aca="false">IF(B2637&gt;=9,AVERAGE(C2629:C2636),"")</f>
        <v>29.875</v>
      </c>
      <c r="G2637" s="33" t="n">
        <f aca="false">IF(B2637=1,"",IF(B2637=2,C2636,SES_Alpha*C2636+(1-SES_Alpha)*G2636))</f>
        <v>27.9531388282754</v>
      </c>
      <c r="H2637" s="33" t="n">
        <f aca="false">IF(D2637="","",D2637-C2637)</f>
        <v>-13</v>
      </c>
      <c r="I2637" s="33" t="n">
        <f aca="false">IF(E2637="","",E2637-C2637)</f>
        <v>-3.5</v>
      </c>
      <c r="J2637" s="33" t="n">
        <f aca="false">IF(F2637="","",F2637-C2637)</f>
        <v>-3.125</v>
      </c>
      <c r="K2637" s="33" t="n">
        <f aca="false">IF(G2637="","",G2637-C2637)</f>
        <v>-5.04686117172458</v>
      </c>
      <c r="L2637" s="33" t="n">
        <f aca="false">IF(H2637="","",ABS(H2637))</f>
        <v>13</v>
      </c>
      <c r="M2637" s="33" t="n">
        <f aca="false">IF(I2637="","",ABS(I2637))</f>
        <v>3.5</v>
      </c>
      <c r="N2637" s="33" t="n">
        <f aca="false">IF(J2637="","",ABS(J2637))</f>
        <v>3.125</v>
      </c>
      <c r="O2637" s="33" t="n">
        <f aca="false">IF(K2637="","",ABS(K2637))</f>
        <v>5.04686117172458</v>
      </c>
      <c r="P2637" s="34" t="str">
        <f aca="false">IF(B2637&gt;=Eval_Start_Week,"YES","")</f>
        <v/>
      </c>
      <c r="Q2637" s="34" t="str">
        <f aca="false">IF(AND(B2637&gt;=Cal_Start_Week,B2637&lt;=Cal_End_Week),"YES","")</f>
        <v/>
      </c>
    </row>
    <row r="2638" customFormat="false" ht="15" hidden="false" customHeight="false" outlineLevel="0" collapsed="false">
      <c r="A2638" s="31" t="str">
        <f aca="false">Demand_History!C2638</f>
        <v>BED-006</v>
      </c>
      <c r="B2638" s="31" t="n">
        <f aca="false">Demand_History!A2638</f>
        <v>37</v>
      </c>
      <c r="C2638" s="32" t="n">
        <f aca="false">Demand_History!D2638</f>
        <v>33</v>
      </c>
      <c r="D2638" s="33" t="n">
        <f aca="false">IF(B2638&gt;=2,C2637,"")</f>
        <v>33</v>
      </c>
      <c r="E2638" s="33" t="n">
        <f aca="false">IF(B2638&gt;=5,AVERAGE(C2634:C2637),"")</f>
        <v>28.75</v>
      </c>
      <c r="F2638" s="33" t="n">
        <f aca="false">IF(B2638&gt;=9,AVERAGE(C2630:C2637),"")</f>
        <v>30.125</v>
      </c>
      <c r="G2638" s="33" t="n">
        <f aca="false">IF(B2638=1,"",IF(B2638=2,C2637,SES_Alpha*C2637+(1-SES_Alpha)*G2637))</f>
        <v>29.4671971797928</v>
      </c>
      <c r="H2638" s="33" t="n">
        <f aca="false">IF(D2638="","",D2638-C2638)</f>
        <v>0</v>
      </c>
      <c r="I2638" s="33" t="n">
        <f aca="false">IF(E2638="","",E2638-C2638)</f>
        <v>-4.25</v>
      </c>
      <c r="J2638" s="33" t="n">
        <f aca="false">IF(F2638="","",F2638-C2638)</f>
        <v>-2.875</v>
      </c>
      <c r="K2638" s="33" t="n">
        <f aca="false">IF(G2638="","",G2638-C2638)</f>
        <v>-3.53280282020721</v>
      </c>
      <c r="L2638" s="33" t="n">
        <f aca="false">IF(H2638="","",ABS(H2638))</f>
        <v>0</v>
      </c>
      <c r="M2638" s="33" t="n">
        <f aca="false">IF(I2638="","",ABS(I2638))</f>
        <v>4.25</v>
      </c>
      <c r="N2638" s="33" t="n">
        <f aca="false">IF(J2638="","",ABS(J2638))</f>
        <v>2.875</v>
      </c>
      <c r="O2638" s="33" t="n">
        <f aca="false">IF(K2638="","",ABS(K2638))</f>
        <v>3.53280282020721</v>
      </c>
      <c r="P2638" s="34" t="str">
        <f aca="false">IF(B2638&gt;=Eval_Start_Week,"YES","")</f>
        <v/>
      </c>
      <c r="Q2638" s="34" t="str">
        <f aca="false">IF(AND(B2638&gt;=Cal_Start_Week,B2638&lt;=Cal_End_Week),"YES","")</f>
        <v>YES</v>
      </c>
    </row>
    <row r="2639" customFormat="false" ht="15" hidden="false" customHeight="false" outlineLevel="0" collapsed="false">
      <c r="A2639" s="31" t="str">
        <f aca="false">Demand_History!C2639</f>
        <v>BED-006</v>
      </c>
      <c r="B2639" s="31" t="n">
        <f aca="false">Demand_History!A2639</f>
        <v>38</v>
      </c>
      <c r="C2639" s="32" t="n">
        <f aca="false">Demand_History!D2639</f>
        <v>26</v>
      </c>
      <c r="D2639" s="33" t="n">
        <f aca="false">IF(B2639&gt;=2,C2638,"")</f>
        <v>33</v>
      </c>
      <c r="E2639" s="33" t="n">
        <f aca="false">IF(B2639&gt;=5,AVERAGE(C2635:C2638),"")</f>
        <v>28.75</v>
      </c>
      <c r="F2639" s="33" t="n">
        <f aca="false">IF(B2639&gt;=9,AVERAGE(C2631:C2638),"")</f>
        <v>30.625</v>
      </c>
      <c r="G2639" s="33" t="n">
        <f aca="false">IF(B2639=1,"",IF(B2639=2,C2638,SES_Alpha*C2638+(1-SES_Alpha)*G2638))</f>
        <v>30.527038025855</v>
      </c>
      <c r="H2639" s="33" t="n">
        <f aca="false">IF(D2639="","",D2639-C2639)</f>
        <v>7</v>
      </c>
      <c r="I2639" s="33" t="n">
        <f aca="false">IF(E2639="","",E2639-C2639)</f>
        <v>2.75</v>
      </c>
      <c r="J2639" s="33" t="n">
        <f aca="false">IF(F2639="","",F2639-C2639)</f>
        <v>4.625</v>
      </c>
      <c r="K2639" s="33" t="n">
        <f aca="false">IF(G2639="","",G2639-C2639)</f>
        <v>4.52703802585495</v>
      </c>
      <c r="L2639" s="33" t="n">
        <f aca="false">IF(H2639="","",ABS(H2639))</f>
        <v>7</v>
      </c>
      <c r="M2639" s="33" t="n">
        <f aca="false">IF(I2639="","",ABS(I2639))</f>
        <v>2.75</v>
      </c>
      <c r="N2639" s="33" t="n">
        <f aca="false">IF(J2639="","",ABS(J2639))</f>
        <v>4.625</v>
      </c>
      <c r="O2639" s="33" t="n">
        <f aca="false">IF(K2639="","",ABS(K2639))</f>
        <v>4.52703802585495</v>
      </c>
      <c r="P2639" s="34" t="str">
        <f aca="false">IF(B2639&gt;=Eval_Start_Week,"YES","")</f>
        <v/>
      </c>
      <c r="Q2639" s="34" t="str">
        <f aca="false">IF(AND(B2639&gt;=Cal_Start_Week,B2639&lt;=Cal_End_Week),"YES","")</f>
        <v>YES</v>
      </c>
    </row>
    <row r="2640" customFormat="false" ht="15" hidden="false" customHeight="false" outlineLevel="0" collapsed="false">
      <c r="A2640" s="31" t="str">
        <f aca="false">Demand_History!C2640</f>
        <v>BED-006</v>
      </c>
      <c r="B2640" s="31" t="n">
        <f aca="false">Demand_History!A2640</f>
        <v>39</v>
      </c>
      <c r="C2640" s="32" t="n">
        <f aca="false">Demand_History!D2640</f>
        <v>22</v>
      </c>
      <c r="D2640" s="33" t="n">
        <f aca="false">IF(B2640&gt;=2,C2639,"")</f>
        <v>26</v>
      </c>
      <c r="E2640" s="33" t="n">
        <f aca="false">IF(B2640&gt;=5,AVERAGE(C2636:C2639),"")</f>
        <v>28</v>
      </c>
      <c r="F2640" s="33" t="n">
        <f aca="false">IF(B2640&gt;=9,AVERAGE(C2632:C2639),"")</f>
        <v>30</v>
      </c>
      <c r="G2640" s="33" t="n">
        <f aca="false">IF(B2640=1,"",IF(B2640=2,C2639,SES_Alpha*C2639+(1-SES_Alpha)*G2639))</f>
        <v>29.1689266180985</v>
      </c>
      <c r="H2640" s="33" t="n">
        <f aca="false">IF(D2640="","",D2640-C2640)</f>
        <v>4</v>
      </c>
      <c r="I2640" s="33" t="n">
        <f aca="false">IF(E2640="","",E2640-C2640)</f>
        <v>6</v>
      </c>
      <c r="J2640" s="33" t="n">
        <f aca="false">IF(F2640="","",F2640-C2640)</f>
        <v>8</v>
      </c>
      <c r="K2640" s="33" t="n">
        <f aca="false">IF(G2640="","",G2640-C2640)</f>
        <v>7.16892661809846</v>
      </c>
      <c r="L2640" s="33" t="n">
        <f aca="false">IF(H2640="","",ABS(H2640))</f>
        <v>4</v>
      </c>
      <c r="M2640" s="33" t="n">
        <f aca="false">IF(I2640="","",ABS(I2640))</f>
        <v>6</v>
      </c>
      <c r="N2640" s="33" t="n">
        <f aca="false">IF(J2640="","",ABS(J2640))</f>
        <v>8</v>
      </c>
      <c r="O2640" s="33" t="n">
        <f aca="false">IF(K2640="","",ABS(K2640))</f>
        <v>7.16892661809846</v>
      </c>
      <c r="P2640" s="34" t="str">
        <f aca="false">IF(B2640&gt;=Eval_Start_Week,"YES","")</f>
        <v/>
      </c>
      <c r="Q2640" s="34" t="str">
        <f aca="false">IF(AND(B2640&gt;=Cal_Start_Week,B2640&lt;=Cal_End_Week),"YES","")</f>
        <v>YES</v>
      </c>
    </row>
    <row r="2641" customFormat="false" ht="15" hidden="false" customHeight="false" outlineLevel="0" collapsed="false">
      <c r="A2641" s="31" t="str">
        <f aca="false">Demand_History!C2641</f>
        <v>BED-006</v>
      </c>
      <c r="B2641" s="31" t="n">
        <f aca="false">Demand_History!A2641</f>
        <v>40</v>
      </c>
      <c r="C2641" s="32" t="n">
        <f aca="false">Demand_History!D2641</f>
        <v>25</v>
      </c>
      <c r="D2641" s="33" t="n">
        <f aca="false">IF(B2641&gt;=2,C2640,"")</f>
        <v>22</v>
      </c>
      <c r="E2641" s="33" t="n">
        <f aca="false">IF(B2641&gt;=5,AVERAGE(C2637:C2640),"")</f>
        <v>28.5</v>
      </c>
      <c r="F2641" s="33" t="n">
        <f aca="false">IF(B2641&gt;=9,AVERAGE(C2633:C2640),"")</f>
        <v>29</v>
      </c>
      <c r="G2641" s="33" t="n">
        <f aca="false">IF(B2641=1,"",IF(B2641=2,C2640,SES_Alpha*C2640+(1-SES_Alpha)*G2640))</f>
        <v>27.0182486326689</v>
      </c>
      <c r="H2641" s="33" t="n">
        <f aca="false">IF(D2641="","",D2641-C2641)</f>
        <v>-3</v>
      </c>
      <c r="I2641" s="33" t="n">
        <f aca="false">IF(E2641="","",E2641-C2641)</f>
        <v>3.5</v>
      </c>
      <c r="J2641" s="33" t="n">
        <f aca="false">IF(F2641="","",F2641-C2641)</f>
        <v>4</v>
      </c>
      <c r="K2641" s="33" t="n">
        <f aca="false">IF(G2641="","",G2641-C2641)</f>
        <v>2.01824863266892</v>
      </c>
      <c r="L2641" s="33" t="n">
        <f aca="false">IF(H2641="","",ABS(H2641))</f>
        <v>3</v>
      </c>
      <c r="M2641" s="33" t="n">
        <f aca="false">IF(I2641="","",ABS(I2641))</f>
        <v>3.5</v>
      </c>
      <c r="N2641" s="33" t="n">
        <f aca="false">IF(J2641="","",ABS(J2641))</f>
        <v>4</v>
      </c>
      <c r="O2641" s="33" t="n">
        <f aca="false">IF(K2641="","",ABS(K2641))</f>
        <v>2.01824863266892</v>
      </c>
      <c r="P2641" s="34" t="str">
        <f aca="false">IF(B2641&gt;=Eval_Start_Week,"YES","")</f>
        <v/>
      </c>
      <c r="Q2641" s="34" t="str">
        <f aca="false">IF(AND(B2641&gt;=Cal_Start_Week,B2641&lt;=Cal_End_Week),"YES","")</f>
        <v>YES</v>
      </c>
    </row>
    <row r="2642" customFormat="false" ht="15" hidden="false" customHeight="false" outlineLevel="0" collapsed="false">
      <c r="A2642" s="31" t="str">
        <f aca="false">Demand_History!C2642</f>
        <v>BED-006</v>
      </c>
      <c r="B2642" s="31" t="n">
        <f aca="false">Demand_History!A2642</f>
        <v>41</v>
      </c>
      <c r="C2642" s="32" t="n">
        <f aca="false">Demand_History!D2642</f>
        <v>34</v>
      </c>
      <c r="D2642" s="33" t="n">
        <f aca="false">IF(B2642&gt;=2,C2641,"")</f>
        <v>25</v>
      </c>
      <c r="E2642" s="33" t="n">
        <f aca="false">IF(B2642&gt;=5,AVERAGE(C2638:C2641),"")</f>
        <v>26.5</v>
      </c>
      <c r="F2642" s="33" t="n">
        <f aca="false">IF(B2642&gt;=9,AVERAGE(C2634:C2641),"")</f>
        <v>27.625</v>
      </c>
      <c r="G2642" s="33" t="n">
        <f aca="false">IF(B2642=1,"",IF(B2642=2,C2641,SES_Alpha*C2641+(1-SES_Alpha)*G2641))</f>
        <v>26.4127740428682</v>
      </c>
      <c r="H2642" s="33" t="n">
        <f aca="false">IF(D2642="","",D2642-C2642)</f>
        <v>-9</v>
      </c>
      <c r="I2642" s="33" t="n">
        <f aca="false">IF(E2642="","",E2642-C2642)</f>
        <v>-7.5</v>
      </c>
      <c r="J2642" s="33" t="n">
        <f aca="false">IF(F2642="","",F2642-C2642)</f>
        <v>-6.375</v>
      </c>
      <c r="K2642" s="33" t="n">
        <f aca="false">IF(G2642="","",G2642-C2642)</f>
        <v>-7.58722595713176</v>
      </c>
      <c r="L2642" s="33" t="n">
        <f aca="false">IF(H2642="","",ABS(H2642))</f>
        <v>9</v>
      </c>
      <c r="M2642" s="33" t="n">
        <f aca="false">IF(I2642="","",ABS(I2642))</f>
        <v>7.5</v>
      </c>
      <c r="N2642" s="33" t="n">
        <f aca="false">IF(J2642="","",ABS(J2642))</f>
        <v>6.375</v>
      </c>
      <c r="O2642" s="33" t="n">
        <f aca="false">IF(K2642="","",ABS(K2642))</f>
        <v>7.58722595713176</v>
      </c>
      <c r="P2642" s="34" t="str">
        <f aca="false">IF(B2642&gt;=Eval_Start_Week,"YES","")</f>
        <v/>
      </c>
      <c r="Q2642" s="34" t="str">
        <f aca="false">IF(AND(B2642&gt;=Cal_Start_Week,B2642&lt;=Cal_End_Week),"YES","")</f>
        <v>YES</v>
      </c>
    </row>
    <row r="2643" customFormat="false" ht="15" hidden="false" customHeight="false" outlineLevel="0" collapsed="false">
      <c r="A2643" s="31" t="str">
        <f aca="false">Demand_History!C2643</f>
        <v>BED-006</v>
      </c>
      <c r="B2643" s="31" t="n">
        <f aca="false">Demand_History!A2643</f>
        <v>42</v>
      </c>
      <c r="C2643" s="32" t="n">
        <f aca="false">Demand_History!D2643</f>
        <v>26</v>
      </c>
      <c r="D2643" s="33" t="n">
        <f aca="false">IF(B2643&gt;=2,C2642,"")</f>
        <v>34</v>
      </c>
      <c r="E2643" s="33" t="n">
        <f aca="false">IF(B2643&gt;=5,AVERAGE(C2639:C2642),"")</f>
        <v>26.75</v>
      </c>
      <c r="F2643" s="33" t="n">
        <f aca="false">IF(B2643&gt;=9,AVERAGE(C2635:C2642),"")</f>
        <v>27.75</v>
      </c>
      <c r="G2643" s="33" t="n">
        <f aca="false">IF(B2643=1,"",IF(B2643=2,C2642,SES_Alpha*C2642+(1-SES_Alpha)*G2642))</f>
        <v>28.6889418300078</v>
      </c>
      <c r="H2643" s="33" t="n">
        <f aca="false">IF(D2643="","",D2643-C2643)</f>
        <v>8</v>
      </c>
      <c r="I2643" s="33" t="n">
        <f aca="false">IF(E2643="","",E2643-C2643)</f>
        <v>0.75</v>
      </c>
      <c r="J2643" s="33" t="n">
        <f aca="false">IF(F2643="","",F2643-C2643)</f>
        <v>1.75</v>
      </c>
      <c r="K2643" s="33" t="n">
        <f aca="false">IF(G2643="","",G2643-C2643)</f>
        <v>2.68894183000777</v>
      </c>
      <c r="L2643" s="33" t="n">
        <f aca="false">IF(H2643="","",ABS(H2643))</f>
        <v>8</v>
      </c>
      <c r="M2643" s="33" t="n">
        <f aca="false">IF(I2643="","",ABS(I2643))</f>
        <v>0.75</v>
      </c>
      <c r="N2643" s="33" t="n">
        <f aca="false">IF(J2643="","",ABS(J2643))</f>
        <v>1.75</v>
      </c>
      <c r="O2643" s="33" t="n">
        <f aca="false">IF(K2643="","",ABS(K2643))</f>
        <v>2.68894183000777</v>
      </c>
      <c r="P2643" s="34" t="str">
        <f aca="false">IF(B2643&gt;=Eval_Start_Week,"YES","")</f>
        <v/>
      </c>
      <c r="Q2643" s="34" t="str">
        <f aca="false">IF(AND(B2643&gt;=Cal_Start_Week,B2643&lt;=Cal_End_Week),"YES","")</f>
        <v>YES</v>
      </c>
    </row>
    <row r="2644" customFormat="false" ht="15" hidden="false" customHeight="false" outlineLevel="0" collapsed="false">
      <c r="A2644" s="31" t="str">
        <f aca="false">Demand_History!C2644</f>
        <v>BED-006</v>
      </c>
      <c r="B2644" s="31" t="n">
        <f aca="false">Demand_History!A2644</f>
        <v>43</v>
      </c>
      <c r="C2644" s="32" t="n">
        <f aca="false">Demand_History!D2644</f>
        <v>28</v>
      </c>
      <c r="D2644" s="33" t="n">
        <f aca="false">IF(B2644&gt;=2,C2643,"")</f>
        <v>26</v>
      </c>
      <c r="E2644" s="33" t="n">
        <f aca="false">IF(B2644&gt;=5,AVERAGE(C2640:C2643),"")</f>
        <v>26.75</v>
      </c>
      <c r="F2644" s="33" t="n">
        <f aca="false">IF(B2644&gt;=9,AVERAGE(C2636:C2643),"")</f>
        <v>27.375</v>
      </c>
      <c r="G2644" s="33" t="n">
        <f aca="false">IF(B2644=1,"",IF(B2644=2,C2643,SES_Alpha*C2643+(1-SES_Alpha)*G2643))</f>
        <v>27.8822592810054</v>
      </c>
      <c r="H2644" s="33" t="n">
        <f aca="false">IF(D2644="","",D2644-C2644)</f>
        <v>-2</v>
      </c>
      <c r="I2644" s="33" t="n">
        <f aca="false">IF(E2644="","",E2644-C2644)</f>
        <v>-1.25</v>
      </c>
      <c r="J2644" s="33" t="n">
        <f aca="false">IF(F2644="","",F2644-C2644)</f>
        <v>-0.625</v>
      </c>
      <c r="K2644" s="33" t="n">
        <f aca="false">IF(G2644="","",G2644-C2644)</f>
        <v>-0.117740718994565</v>
      </c>
      <c r="L2644" s="33" t="n">
        <f aca="false">IF(H2644="","",ABS(H2644))</f>
        <v>2</v>
      </c>
      <c r="M2644" s="33" t="n">
        <f aca="false">IF(I2644="","",ABS(I2644))</f>
        <v>1.25</v>
      </c>
      <c r="N2644" s="33" t="n">
        <f aca="false">IF(J2644="","",ABS(J2644))</f>
        <v>0.625</v>
      </c>
      <c r="O2644" s="33" t="n">
        <f aca="false">IF(K2644="","",ABS(K2644))</f>
        <v>0.117740718994565</v>
      </c>
      <c r="P2644" s="34" t="str">
        <f aca="false">IF(B2644&gt;=Eval_Start_Week,"YES","")</f>
        <v/>
      </c>
      <c r="Q2644" s="34" t="str">
        <f aca="false">IF(AND(B2644&gt;=Cal_Start_Week,B2644&lt;=Cal_End_Week),"YES","")</f>
        <v>YES</v>
      </c>
    </row>
    <row r="2645" customFormat="false" ht="15" hidden="false" customHeight="false" outlineLevel="0" collapsed="false">
      <c r="A2645" s="31" t="str">
        <f aca="false">Demand_History!C2645</f>
        <v>BED-006</v>
      </c>
      <c r="B2645" s="31" t="n">
        <f aca="false">Demand_History!A2645</f>
        <v>44</v>
      </c>
      <c r="C2645" s="32" t="n">
        <f aca="false">Demand_History!D2645</f>
        <v>31</v>
      </c>
      <c r="D2645" s="33" t="n">
        <f aca="false">IF(B2645&gt;=2,C2644,"")</f>
        <v>28</v>
      </c>
      <c r="E2645" s="33" t="n">
        <f aca="false">IF(B2645&gt;=5,AVERAGE(C2641:C2644),"")</f>
        <v>28.25</v>
      </c>
      <c r="F2645" s="33" t="n">
        <f aca="false">IF(B2645&gt;=9,AVERAGE(C2637:C2644),"")</f>
        <v>28.375</v>
      </c>
      <c r="G2645" s="33" t="n">
        <f aca="false">IF(B2645=1,"",IF(B2645=2,C2644,SES_Alpha*C2644+(1-SES_Alpha)*G2644))</f>
        <v>27.9175814967038</v>
      </c>
      <c r="H2645" s="33" t="n">
        <f aca="false">IF(D2645="","",D2645-C2645)</f>
        <v>-3</v>
      </c>
      <c r="I2645" s="33" t="n">
        <f aca="false">IF(E2645="","",E2645-C2645)</f>
        <v>-2.75</v>
      </c>
      <c r="J2645" s="33" t="n">
        <f aca="false">IF(F2645="","",F2645-C2645)</f>
        <v>-2.625</v>
      </c>
      <c r="K2645" s="33" t="n">
        <f aca="false">IF(G2645="","",G2645-C2645)</f>
        <v>-3.0824185032962</v>
      </c>
      <c r="L2645" s="33" t="n">
        <f aca="false">IF(H2645="","",ABS(H2645))</f>
        <v>3</v>
      </c>
      <c r="M2645" s="33" t="n">
        <f aca="false">IF(I2645="","",ABS(I2645))</f>
        <v>2.75</v>
      </c>
      <c r="N2645" s="33" t="n">
        <f aca="false">IF(J2645="","",ABS(J2645))</f>
        <v>2.625</v>
      </c>
      <c r="O2645" s="33" t="n">
        <f aca="false">IF(K2645="","",ABS(K2645))</f>
        <v>3.0824185032962</v>
      </c>
      <c r="P2645" s="34" t="str">
        <f aca="false">IF(B2645&gt;=Eval_Start_Week,"YES","")</f>
        <v/>
      </c>
      <c r="Q2645" s="34" t="str">
        <f aca="false">IF(AND(B2645&gt;=Cal_Start_Week,B2645&lt;=Cal_End_Week),"YES","")</f>
        <v>YES</v>
      </c>
    </row>
    <row r="2646" customFormat="false" ht="15" hidden="false" customHeight="false" outlineLevel="0" collapsed="false">
      <c r="A2646" s="31" t="str">
        <f aca="false">Demand_History!C2646</f>
        <v>BED-006</v>
      </c>
      <c r="B2646" s="31" t="n">
        <f aca="false">Demand_History!A2646</f>
        <v>45</v>
      </c>
      <c r="C2646" s="32" t="n">
        <f aca="false">Demand_History!D2646</f>
        <v>35</v>
      </c>
      <c r="D2646" s="33" t="n">
        <f aca="false">IF(B2646&gt;=2,C2645,"")</f>
        <v>31</v>
      </c>
      <c r="E2646" s="33" t="n">
        <f aca="false">IF(B2646&gt;=5,AVERAGE(C2642:C2645),"")</f>
        <v>29.75</v>
      </c>
      <c r="F2646" s="33" t="n">
        <f aca="false">IF(B2646&gt;=9,AVERAGE(C2638:C2645),"")</f>
        <v>28.125</v>
      </c>
      <c r="G2646" s="33" t="n">
        <f aca="false">IF(B2646=1,"",IF(B2646=2,C2645,SES_Alpha*C2645+(1-SES_Alpha)*G2645))</f>
        <v>28.8423070476927</v>
      </c>
      <c r="H2646" s="33" t="n">
        <f aca="false">IF(D2646="","",D2646-C2646)</f>
        <v>-4</v>
      </c>
      <c r="I2646" s="33" t="n">
        <f aca="false">IF(E2646="","",E2646-C2646)</f>
        <v>-5.25</v>
      </c>
      <c r="J2646" s="33" t="n">
        <f aca="false">IF(F2646="","",F2646-C2646)</f>
        <v>-6.875</v>
      </c>
      <c r="K2646" s="33" t="n">
        <f aca="false">IF(G2646="","",G2646-C2646)</f>
        <v>-6.15769295230734</v>
      </c>
      <c r="L2646" s="33" t="n">
        <f aca="false">IF(H2646="","",ABS(H2646))</f>
        <v>4</v>
      </c>
      <c r="M2646" s="33" t="n">
        <f aca="false">IF(I2646="","",ABS(I2646))</f>
        <v>5.25</v>
      </c>
      <c r="N2646" s="33" t="n">
        <f aca="false">IF(J2646="","",ABS(J2646))</f>
        <v>6.875</v>
      </c>
      <c r="O2646" s="33" t="n">
        <f aca="false">IF(K2646="","",ABS(K2646))</f>
        <v>6.15769295230734</v>
      </c>
      <c r="P2646" s="34" t="str">
        <f aca="false">IF(B2646&gt;=Eval_Start_Week,"YES","")</f>
        <v/>
      </c>
      <c r="Q2646" s="34" t="str">
        <f aca="false">IF(AND(B2646&gt;=Cal_Start_Week,B2646&lt;=Cal_End_Week),"YES","")</f>
        <v>YES</v>
      </c>
    </row>
    <row r="2647" customFormat="false" ht="15" hidden="false" customHeight="false" outlineLevel="0" collapsed="false">
      <c r="A2647" s="31" t="str">
        <f aca="false">Demand_History!C2647</f>
        <v>BED-006</v>
      </c>
      <c r="B2647" s="31" t="n">
        <f aca="false">Demand_History!A2647</f>
        <v>46</v>
      </c>
      <c r="C2647" s="32" t="n">
        <f aca="false">Demand_History!D2647</f>
        <v>30</v>
      </c>
      <c r="D2647" s="33" t="n">
        <f aca="false">IF(B2647&gt;=2,C2646,"")</f>
        <v>35</v>
      </c>
      <c r="E2647" s="33" t="n">
        <f aca="false">IF(B2647&gt;=5,AVERAGE(C2643:C2646),"")</f>
        <v>30</v>
      </c>
      <c r="F2647" s="33" t="n">
        <f aca="false">IF(B2647&gt;=9,AVERAGE(C2639:C2646),"")</f>
        <v>28.375</v>
      </c>
      <c r="G2647" s="33" t="n">
        <f aca="false">IF(B2647=1,"",IF(B2647=2,C2646,SES_Alpha*C2646+(1-SES_Alpha)*G2646))</f>
        <v>30.6896149333849</v>
      </c>
      <c r="H2647" s="33" t="n">
        <f aca="false">IF(D2647="","",D2647-C2647)</f>
        <v>5</v>
      </c>
      <c r="I2647" s="33" t="n">
        <f aca="false">IF(E2647="","",E2647-C2647)</f>
        <v>0</v>
      </c>
      <c r="J2647" s="33" t="n">
        <f aca="false">IF(F2647="","",F2647-C2647)</f>
        <v>-1.625</v>
      </c>
      <c r="K2647" s="33" t="n">
        <f aca="false">IF(G2647="","",G2647-C2647)</f>
        <v>0.68961493338486</v>
      </c>
      <c r="L2647" s="33" t="n">
        <f aca="false">IF(H2647="","",ABS(H2647))</f>
        <v>5</v>
      </c>
      <c r="M2647" s="33" t="n">
        <f aca="false">IF(I2647="","",ABS(I2647))</f>
        <v>0</v>
      </c>
      <c r="N2647" s="33" t="n">
        <f aca="false">IF(J2647="","",ABS(J2647))</f>
        <v>1.625</v>
      </c>
      <c r="O2647" s="33" t="n">
        <f aca="false">IF(K2647="","",ABS(K2647))</f>
        <v>0.68961493338486</v>
      </c>
      <c r="P2647" s="34" t="str">
        <f aca="false">IF(B2647&gt;=Eval_Start_Week,"YES","")</f>
        <v/>
      </c>
      <c r="Q2647" s="34" t="str">
        <f aca="false">IF(AND(B2647&gt;=Cal_Start_Week,B2647&lt;=Cal_End_Week),"YES","")</f>
        <v>YES</v>
      </c>
    </row>
    <row r="2648" customFormat="false" ht="15" hidden="false" customHeight="false" outlineLevel="0" collapsed="false">
      <c r="A2648" s="31" t="str">
        <f aca="false">Demand_History!C2648</f>
        <v>BED-006</v>
      </c>
      <c r="B2648" s="31" t="n">
        <f aca="false">Demand_History!A2648</f>
        <v>47</v>
      </c>
      <c r="C2648" s="32" t="n">
        <f aca="false">Demand_History!D2648</f>
        <v>30</v>
      </c>
      <c r="D2648" s="33" t="n">
        <f aca="false">IF(B2648&gt;=2,C2647,"")</f>
        <v>30</v>
      </c>
      <c r="E2648" s="33" t="n">
        <f aca="false">IF(B2648&gt;=5,AVERAGE(C2644:C2647),"")</f>
        <v>31</v>
      </c>
      <c r="F2648" s="33" t="n">
        <f aca="false">IF(B2648&gt;=9,AVERAGE(C2640:C2647),"")</f>
        <v>28.875</v>
      </c>
      <c r="G2648" s="33" t="n">
        <f aca="false">IF(B2648=1,"",IF(B2648=2,C2647,SES_Alpha*C2647+(1-SES_Alpha)*G2647))</f>
        <v>30.4827304533694</v>
      </c>
      <c r="H2648" s="33" t="n">
        <f aca="false">IF(D2648="","",D2648-C2648)</f>
        <v>0</v>
      </c>
      <c r="I2648" s="33" t="n">
        <f aca="false">IF(E2648="","",E2648-C2648)</f>
        <v>1</v>
      </c>
      <c r="J2648" s="33" t="n">
        <f aca="false">IF(F2648="","",F2648-C2648)</f>
        <v>-1.125</v>
      </c>
      <c r="K2648" s="33" t="n">
        <f aca="false">IF(G2648="","",G2648-C2648)</f>
        <v>0.482730453369399</v>
      </c>
      <c r="L2648" s="33" t="n">
        <f aca="false">IF(H2648="","",ABS(H2648))</f>
        <v>0</v>
      </c>
      <c r="M2648" s="33" t="n">
        <f aca="false">IF(I2648="","",ABS(I2648))</f>
        <v>1</v>
      </c>
      <c r="N2648" s="33" t="n">
        <f aca="false">IF(J2648="","",ABS(J2648))</f>
        <v>1.125</v>
      </c>
      <c r="O2648" s="33" t="n">
        <f aca="false">IF(K2648="","",ABS(K2648))</f>
        <v>0.482730453369399</v>
      </c>
      <c r="P2648" s="34" t="str">
        <f aca="false">IF(B2648&gt;=Eval_Start_Week,"YES","")</f>
        <v/>
      </c>
      <c r="Q2648" s="34" t="str">
        <f aca="false">IF(AND(B2648&gt;=Cal_Start_Week,B2648&lt;=Cal_End_Week),"YES","")</f>
        <v>YES</v>
      </c>
    </row>
    <row r="2649" customFormat="false" ht="15" hidden="false" customHeight="false" outlineLevel="0" collapsed="false">
      <c r="A2649" s="31" t="str">
        <f aca="false">Demand_History!C2649</f>
        <v>BED-006</v>
      </c>
      <c r="B2649" s="31" t="n">
        <f aca="false">Demand_History!A2649</f>
        <v>48</v>
      </c>
      <c r="C2649" s="32" t="n">
        <f aca="false">Demand_History!D2649</f>
        <v>28</v>
      </c>
      <c r="D2649" s="33" t="n">
        <f aca="false">IF(B2649&gt;=2,C2648,"")</f>
        <v>30</v>
      </c>
      <c r="E2649" s="33" t="n">
        <f aca="false">IF(B2649&gt;=5,AVERAGE(C2645:C2648),"")</f>
        <v>31.5</v>
      </c>
      <c r="F2649" s="33" t="n">
        <f aca="false">IF(B2649&gt;=9,AVERAGE(C2641:C2648),"")</f>
        <v>29.875</v>
      </c>
      <c r="G2649" s="33" t="n">
        <f aca="false">IF(B2649=1,"",IF(B2649=2,C2648,SES_Alpha*C2648+(1-SES_Alpha)*G2648))</f>
        <v>30.3379113173586</v>
      </c>
      <c r="H2649" s="33" t="n">
        <f aca="false">IF(D2649="","",D2649-C2649)</f>
        <v>2</v>
      </c>
      <c r="I2649" s="33" t="n">
        <f aca="false">IF(E2649="","",E2649-C2649)</f>
        <v>3.5</v>
      </c>
      <c r="J2649" s="33" t="n">
        <f aca="false">IF(F2649="","",F2649-C2649)</f>
        <v>1.875</v>
      </c>
      <c r="K2649" s="33" t="n">
        <f aca="false">IF(G2649="","",G2649-C2649)</f>
        <v>2.33791131735858</v>
      </c>
      <c r="L2649" s="33" t="n">
        <f aca="false">IF(H2649="","",ABS(H2649))</f>
        <v>2</v>
      </c>
      <c r="M2649" s="33" t="n">
        <f aca="false">IF(I2649="","",ABS(I2649))</f>
        <v>3.5</v>
      </c>
      <c r="N2649" s="33" t="n">
        <f aca="false">IF(J2649="","",ABS(J2649))</f>
        <v>1.875</v>
      </c>
      <c r="O2649" s="33" t="n">
        <f aca="false">IF(K2649="","",ABS(K2649))</f>
        <v>2.33791131735858</v>
      </c>
      <c r="P2649" s="34" t="str">
        <f aca="false">IF(B2649&gt;=Eval_Start_Week,"YES","")</f>
        <v/>
      </c>
      <c r="Q2649" s="34" t="str">
        <f aca="false">IF(AND(B2649&gt;=Cal_Start_Week,B2649&lt;=Cal_End_Week),"YES","")</f>
        <v>YES</v>
      </c>
    </row>
    <row r="2650" customFormat="false" ht="15" hidden="false" customHeight="false" outlineLevel="0" collapsed="false">
      <c r="A2650" s="31" t="str">
        <f aca="false">Demand_History!C2650</f>
        <v>BED-006</v>
      </c>
      <c r="B2650" s="31" t="n">
        <f aca="false">Demand_History!A2650</f>
        <v>49</v>
      </c>
      <c r="C2650" s="32" t="n">
        <f aca="false">Demand_History!D2650</f>
        <v>37</v>
      </c>
      <c r="D2650" s="33" t="n">
        <f aca="false">IF(B2650&gt;=2,C2649,"")</f>
        <v>28</v>
      </c>
      <c r="E2650" s="33" t="n">
        <f aca="false">IF(B2650&gt;=5,AVERAGE(C2646:C2649),"")</f>
        <v>30.75</v>
      </c>
      <c r="F2650" s="33" t="n">
        <f aca="false">IF(B2650&gt;=9,AVERAGE(C2642:C2649),"")</f>
        <v>30.25</v>
      </c>
      <c r="G2650" s="33" t="n">
        <f aca="false">IF(B2650=1,"",IF(B2650=2,C2649,SES_Alpha*C2649+(1-SES_Alpha)*G2649))</f>
        <v>29.636537922151</v>
      </c>
      <c r="H2650" s="33" t="n">
        <f aca="false">IF(D2650="","",D2650-C2650)</f>
        <v>-9</v>
      </c>
      <c r="I2650" s="33" t="n">
        <f aca="false">IF(E2650="","",E2650-C2650)</f>
        <v>-6.25</v>
      </c>
      <c r="J2650" s="33" t="n">
        <f aca="false">IF(F2650="","",F2650-C2650)</f>
        <v>-6.75</v>
      </c>
      <c r="K2650" s="33" t="n">
        <f aca="false">IF(G2650="","",G2650-C2650)</f>
        <v>-7.36346207784899</v>
      </c>
      <c r="L2650" s="33" t="n">
        <f aca="false">IF(H2650="","",ABS(H2650))</f>
        <v>9</v>
      </c>
      <c r="M2650" s="33" t="n">
        <f aca="false">IF(I2650="","",ABS(I2650))</f>
        <v>6.25</v>
      </c>
      <c r="N2650" s="33" t="n">
        <f aca="false">IF(J2650="","",ABS(J2650))</f>
        <v>6.75</v>
      </c>
      <c r="O2650" s="33" t="n">
        <f aca="false">IF(K2650="","",ABS(K2650))</f>
        <v>7.36346207784899</v>
      </c>
      <c r="P2650" s="34" t="str">
        <f aca="false">IF(B2650&gt;=Eval_Start_Week,"YES","")</f>
        <v/>
      </c>
      <c r="Q2650" s="34" t="str">
        <f aca="false">IF(AND(B2650&gt;=Cal_Start_Week,B2650&lt;=Cal_End_Week),"YES","")</f>
        <v>YES</v>
      </c>
    </row>
    <row r="2651" customFormat="false" ht="15" hidden="false" customHeight="false" outlineLevel="0" collapsed="false">
      <c r="A2651" s="31" t="str">
        <f aca="false">Demand_History!C2651</f>
        <v>BED-006</v>
      </c>
      <c r="B2651" s="31" t="n">
        <f aca="false">Demand_History!A2651</f>
        <v>50</v>
      </c>
      <c r="C2651" s="32" t="n">
        <f aca="false">Demand_History!D2651</f>
        <v>34</v>
      </c>
      <c r="D2651" s="33" t="n">
        <f aca="false">IF(B2651&gt;=2,C2650,"")</f>
        <v>37</v>
      </c>
      <c r="E2651" s="33" t="n">
        <f aca="false">IF(B2651&gt;=5,AVERAGE(C2647:C2650),"")</f>
        <v>31.25</v>
      </c>
      <c r="F2651" s="33" t="n">
        <f aca="false">IF(B2651&gt;=9,AVERAGE(C2643:C2650),"")</f>
        <v>30.625</v>
      </c>
      <c r="G2651" s="33" t="n">
        <f aca="false">IF(B2651=1,"",IF(B2651=2,C2650,SES_Alpha*C2650+(1-SES_Alpha)*G2650))</f>
        <v>31.8455765455057</v>
      </c>
      <c r="H2651" s="33" t="n">
        <f aca="false">IF(D2651="","",D2651-C2651)</f>
        <v>3</v>
      </c>
      <c r="I2651" s="33" t="n">
        <f aca="false">IF(E2651="","",E2651-C2651)</f>
        <v>-2.75</v>
      </c>
      <c r="J2651" s="33" t="n">
        <f aca="false">IF(F2651="","",F2651-C2651)</f>
        <v>-3.375</v>
      </c>
      <c r="K2651" s="33" t="n">
        <f aca="false">IF(G2651="","",G2651-C2651)</f>
        <v>-2.1544234544943</v>
      </c>
      <c r="L2651" s="33" t="n">
        <f aca="false">IF(H2651="","",ABS(H2651))</f>
        <v>3</v>
      </c>
      <c r="M2651" s="33" t="n">
        <f aca="false">IF(I2651="","",ABS(I2651))</f>
        <v>2.75</v>
      </c>
      <c r="N2651" s="33" t="n">
        <f aca="false">IF(J2651="","",ABS(J2651))</f>
        <v>3.375</v>
      </c>
      <c r="O2651" s="33" t="n">
        <f aca="false">IF(K2651="","",ABS(K2651))</f>
        <v>2.1544234544943</v>
      </c>
      <c r="P2651" s="34" t="str">
        <f aca="false">IF(B2651&gt;=Eval_Start_Week,"YES","")</f>
        <v/>
      </c>
      <c r="Q2651" s="34" t="str">
        <f aca="false">IF(AND(B2651&gt;=Cal_Start_Week,B2651&lt;=Cal_End_Week),"YES","")</f>
        <v>YES</v>
      </c>
    </row>
    <row r="2652" customFormat="false" ht="15" hidden="false" customHeight="false" outlineLevel="0" collapsed="false">
      <c r="A2652" s="31" t="str">
        <f aca="false">Demand_History!C2652</f>
        <v>BED-006</v>
      </c>
      <c r="B2652" s="31" t="n">
        <f aca="false">Demand_History!A2652</f>
        <v>51</v>
      </c>
      <c r="C2652" s="32" t="n">
        <f aca="false">Demand_History!D2652</f>
        <v>30</v>
      </c>
      <c r="D2652" s="33" t="n">
        <f aca="false">IF(B2652&gt;=2,C2651,"")</f>
        <v>34</v>
      </c>
      <c r="E2652" s="33" t="n">
        <f aca="false">IF(B2652&gt;=5,AVERAGE(C2648:C2651),"")</f>
        <v>32.25</v>
      </c>
      <c r="F2652" s="33" t="n">
        <f aca="false">IF(B2652&gt;=9,AVERAGE(C2644:C2651),"")</f>
        <v>31.625</v>
      </c>
      <c r="G2652" s="33" t="n">
        <f aca="false">IF(B2652=1,"",IF(B2652=2,C2651,SES_Alpha*C2651+(1-SES_Alpha)*G2651))</f>
        <v>32.491903581854</v>
      </c>
      <c r="H2652" s="33" t="n">
        <f aca="false">IF(D2652="","",D2652-C2652)</f>
        <v>4</v>
      </c>
      <c r="I2652" s="33" t="n">
        <f aca="false">IF(E2652="","",E2652-C2652)</f>
        <v>2.25</v>
      </c>
      <c r="J2652" s="33" t="n">
        <f aca="false">IF(F2652="","",F2652-C2652)</f>
        <v>1.625</v>
      </c>
      <c r="K2652" s="33" t="n">
        <f aca="false">IF(G2652="","",G2652-C2652)</f>
        <v>2.49190358185399</v>
      </c>
      <c r="L2652" s="33" t="n">
        <f aca="false">IF(H2652="","",ABS(H2652))</f>
        <v>4</v>
      </c>
      <c r="M2652" s="33" t="n">
        <f aca="false">IF(I2652="","",ABS(I2652))</f>
        <v>2.25</v>
      </c>
      <c r="N2652" s="33" t="n">
        <f aca="false">IF(J2652="","",ABS(J2652))</f>
        <v>1.625</v>
      </c>
      <c r="O2652" s="33" t="n">
        <f aca="false">IF(K2652="","",ABS(K2652))</f>
        <v>2.49190358185399</v>
      </c>
      <c r="P2652" s="34" t="str">
        <f aca="false">IF(B2652&gt;=Eval_Start_Week,"YES","")</f>
        <v/>
      </c>
      <c r="Q2652" s="34" t="str">
        <f aca="false">IF(AND(B2652&gt;=Cal_Start_Week,B2652&lt;=Cal_End_Week),"YES","")</f>
        <v>YES</v>
      </c>
    </row>
    <row r="2653" customFormat="false" ht="15" hidden="false" customHeight="false" outlineLevel="0" collapsed="false">
      <c r="A2653" s="31" t="str">
        <f aca="false">Demand_History!C2653</f>
        <v>BED-006</v>
      </c>
      <c r="B2653" s="31" t="n">
        <f aca="false">Demand_History!A2653</f>
        <v>52</v>
      </c>
      <c r="C2653" s="32" t="n">
        <f aca="false">Demand_History!D2653</f>
        <v>24</v>
      </c>
      <c r="D2653" s="33" t="n">
        <f aca="false">IF(B2653&gt;=2,C2652,"")</f>
        <v>30</v>
      </c>
      <c r="E2653" s="33" t="n">
        <f aca="false">IF(B2653&gt;=5,AVERAGE(C2649:C2652),"")</f>
        <v>32.25</v>
      </c>
      <c r="F2653" s="33" t="n">
        <f aca="false">IF(B2653&gt;=9,AVERAGE(C2645:C2652),"")</f>
        <v>31.875</v>
      </c>
      <c r="G2653" s="33" t="n">
        <f aca="false">IF(B2653=1,"",IF(B2653=2,C2652,SES_Alpha*C2652+(1-SES_Alpha)*G2652))</f>
        <v>31.7443325072978</v>
      </c>
      <c r="H2653" s="33" t="n">
        <f aca="false">IF(D2653="","",D2653-C2653)</f>
        <v>6</v>
      </c>
      <c r="I2653" s="33" t="n">
        <f aca="false">IF(E2653="","",E2653-C2653)</f>
        <v>8.25</v>
      </c>
      <c r="J2653" s="33" t="n">
        <f aca="false">IF(F2653="","",F2653-C2653)</f>
        <v>7.875</v>
      </c>
      <c r="K2653" s="33" t="n">
        <f aca="false">IF(G2653="","",G2653-C2653)</f>
        <v>7.74433250729779</v>
      </c>
      <c r="L2653" s="33" t="n">
        <f aca="false">IF(H2653="","",ABS(H2653))</f>
        <v>6</v>
      </c>
      <c r="M2653" s="33" t="n">
        <f aca="false">IF(I2653="","",ABS(I2653))</f>
        <v>8.25</v>
      </c>
      <c r="N2653" s="33" t="n">
        <f aca="false">IF(J2653="","",ABS(J2653))</f>
        <v>7.875</v>
      </c>
      <c r="O2653" s="33" t="n">
        <f aca="false">IF(K2653="","",ABS(K2653))</f>
        <v>7.74433250729779</v>
      </c>
      <c r="P2653" s="34" t="str">
        <f aca="false">IF(B2653&gt;=Eval_Start_Week,"YES","")</f>
        <v/>
      </c>
      <c r="Q2653" s="34" t="str">
        <f aca="false">IF(AND(B2653&gt;=Cal_Start_Week,B2653&lt;=Cal_End_Week),"YES","")</f>
        <v>YES</v>
      </c>
    </row>
    <row r="2654" customFormat="false" ht="15" hidden="false" customHeight="false" outlineLevel="0" collapsed="false">
      <c r="A2654" s="31" t="str">
        <f aca="false">Demand_History!C2654</f>
        <v>BED-006</v>
      </c>
      <c r="B2654" s="31" t="n">
        <f aca="false">Demand_History!A2654</f>
        <v>53</v>
      </c>
      <c r="C2654" s="32" t="n">
        <f aca="false">Demand_History!D2654</f>
        <v>27</v>
      </c>
      <c r="D2654" s="33" t="n">
        <f aca="false">IF(B2654&gt;=2,C2653,"")</f>
        <v>24</v>
      </c>
      <c r="E2654" s="33" t="n">
        <f aca="false">IF(B2654&gt;=5,AVERAGE(C2650:C2653),"")</f>
        <v>31.25</v>
      </c>
      <c r="F2654" s="33" t="n">
        <f aca="false">IF(B2654&gt;=9,AVERAGE(C2646:C2653),"")</f>
        <v>31</v>
      </c>
      <c r="G2654" s="33" t="n">
        <f aca="false">IF(B2654=1,"",IF(B2654=2,C2653,SES_Alpha*C2653+(1-SES_Alpha)*G2653))</f>
        <v>29.4210327551085</v>
      </c>
      <c r="H2654" s="33" t="n">
        <f aca="false">IF(D2654="","",D2654-C2654)</f>
        <v>-3</v>
      </c>
      <c r="I2654" s="33" t="n">
        <f aca="false">IF(E2654="","",E2654-C2654)</f>
        <v>4.25</v>
      </c>
      <c r="J2654" s="33" t="n">
        <f aca="false">IF(F2654="","",F2654-C2654)</f>
        <v>4</v>
      </c>
      <c r="K2654" s="33" t="n">
        <f aca="false">IF(G2654="","",G2654-C2654)</f>
        <v>2.42103275510845</v>
      </c>
      <c r="L2654" s="33" t="n">
        <f aca="false">IF(H2654="","",ABS(H2654))</f>
        <v>3</v>
      </c>
      <c r="M2654" s="33" t="n">
        <f aca="false">IF(I2654="","",ABS(I2654))</f>
        <v>4.25</v>
      </c>
      <c r="N2654" s="33" t="n">
        <f aca="false">IF(J2654="","",ABS(J2654))</f>
        <v>4</v>
      </c>
      <c r="O2654" s="33" t="n">
        <f aca="false">IF(K2654="","",ABS(K2654))</f>
        <v>2.42103275510845</v>
      </c>
      <c r="P2654" s="34" t="str">
        <f aca="false">IF(B2654&gt;=Eval_Start_Week,"YES","")</f>
        <v>YES</v>
      </c>
      <c r="Q2654" s="34" t="str">
        <f aca="false">IF(AND(B2654&gt;=Cal_Start_Week,B2654&lt;=Cal_End_Week),"YES","")</f>
        <v>YES</v>
      </c>
    </row>
    <row r="2655" customFormat="false" ht="15" hidden="false" customHeight="false" outlineLevel="0" collapsed="false">
      <c r="A2655" s="31" t="str">
        <f aca="false">Demand_History!C2655</f>
        <v>BED-006</v>
      </c>
      <c r="B2655" s="31" t="n">
        <f aca="false">Demand_History!A2655</f>
        <v>54</v>
      </c>
      <c r="C2655" s="32" t="n">
        <f aca="false">Demand_History!D2655</f>
        <v>32</v>
      </c>
      <c r="D2655" s="33" t="n">
        <f aca="false">IF(B2655&gt;=2,C2654,"")</f>
        <v>27</v>
      </c>
      <c r="E2655" s="33" t="n">
        <f aca="false">IF(B2655&gt;=5,AVERAGE(C2651:C2654),"")</f>
        <v>28.75</v>
      </c>
      <c r="F2655" s="33" t="n">
        <f aca="false">IF(B2655&gt;=9,AVERAGE(C2647:C2654),"")</f>
        <v>30</v>
      </c>
      <c r="G2655" s="33" t="n">
        <f aca="false">IF(B2655=1,"",IF(B2655=2,C2654,SES_Alpha*C2654+(1-SES_Alpha)*G2654))</f>
        <v>28.6947229285759</v>
      </c>
      <c r="H2655" s="33" t="n">
        <f aca="false">IF(D2655="","",D2655-C2655)</f>
        <v>-5</v>
      </c>
      <c r="I2655" s="33" t="n">
        <f aca="false">IF(E2655="","",E2655-C2655)</f>
        <v>-3.25</v>
      </c>
      <c r="J2655" s="33" t="n">
        <f aca="false">IF(F2655="","",F2655-C2655)</f>
        <v>-2</v>
      </c>
      <c r="K2655" s="33" t="n">
        <f aca="false">IF(G2655="","",G2655-C2655)</f>
        <v>-3.30527707142409</v>
      </c>
      <c r="L2655" s="33" t="n">
        <f aca="false">IF(H2655="","",ABS(H2655))</f>
        <v>5</v>
      </c>
      <c r="M2655" s="33" t="n">
        <f aca="false">IF(I2655="","",ABS(I2655))</f>
        <v>3.25</v>
      </c>
      <c r="N2655" s="33" t="n">
        <f aca="false">IF(J2655="","",ABS(J2655))</f>
        <v>2</v>
      </c>
      <c r="O2655" s="33" t="n">
        <f aca="false">IF(K2655="","",ABS(K2655))</f>
        <v>3.30527707142409</v>
      </c>
      <c r="P2655" s="34" t="str">
        <f aca="false">IF(B2655&gt;=Eval_Start_Week,"YES","")</f>
        <v>YES</v>
      </c>
      <c r="Q2655" s="34" t="str">
        <f aca="false">IF(AND(B2655&gt;=Cal_Start_Week,B2655&lt;=Cal_End_Week),"YES","")</f>
        <v>YES</v>
      </c>
    </row>
    <row r="2656" customFormat="false" ht="15" hidden="false" customHeight="false" outlineLevel="0" collapsed="false">
      <c r="A2656" s="31" t="str">
        <f aca="false">Demand_History!C2656</f>
        <v>BED-006</v>
      </c>
      <c r="B2656" s="31" t="n">
        <f aca="false">Demand_History!A2656</f>
        <v>55</v>
      </c>
      <c r="C2656" s="32" t="n">
        <f aca="false">Demand_History!D2656</f>
        <v>27</v>
      </c>
      <c r="D2656" s="33" t="n">
        <f aca="false">IF(B2656&gt;=2,C2655,"")</f>
        <v>32</v>
      </c>
      <c r="E2656" s="33" t="n">
        <f aca="false">IF(B2656&gt;=5,AVERAGE(C2652:C2655),"")</f>
        <v>28.25</v>
      </c>
      <c r="F2656" s="33" t="n">
        <f aca="false">IF(B2656&gt;=9,AVERAGE(C2648:C2655),"")</f>
        <v>30.25</v>
      </c>
      <c r="G2656" s="33" t="n">
        <f aca="false">IF(B2656=1,"",IF(B2656=2,C2655,SES_Alpha*C2655+(1-SES_Alpha)*G2655))</f>
        <v>29.6863060500031</v>
      </c>
      <c r="H2656" s="33" t="n">
        <f aca="false">IF(D2656="","",D2656-C2656)</f>
        <v>5</v>
      </c>
      <c r="I2656" s="33" t="n">
        <f aca="false">IF(E2656="","",E2656-C2656)</f>
        <v>1.25</v>
      </c>
      <c r="J2656" s="33" t="n">
        <f aca="false">IF(F2656="","",F2656-C2656)</f>
        <v>3.25</v>
      </c>
      <c r="K2656" s="33" t="n">
        <f aca="false">IF(G2656="","",G2656-C2656)</f>
        <v>2.68630605000314</v>
      </c>
      <c r="L2656" s="33" t="n">
        <f aca="false">IF(H2656="","",ABS(H2656))</f>
        <v>5</v>
      </c>
      <c r="M2656" s="33" t="n">
        <f aca="false">IF(I2656="","",ABS(I2656))</f>
        <v>1.25</v>
      </c>
      <c r="N2656" s="33" t="n">
        <f aca="false">IF(J2656="","",ABS(J2656))</f>
        <v>3.25</v>
      </c>
      <c r="O2656" s="33" t="n">
        <f aca="false">IF(K2656="","",ABS(K2656))</f>
        <v>2.68630605000314</v>
      </c>
      <c r="P2656" s="34" t="str">
        <f aca="false">IF(B2656&gt;=Eval_Start_Week,"YES","")</f>
        <v>YES</v>
      </c>
      <c r="Q2656" s="34" t="str">
        <f aca="false">IF(AND(B2656&gt;=Cal_Start_Week,B2656&lt;=Cal_End_Week),"YES","")</f>
        <v>YES</v>
      </c>
    </row>
    <row r="2657" customFormat="false" ht="15" hidden="false" customHeight="false" outlineLevel="0" collapsed="false">
      <c r="A2657" s="31" t="str">
        <f aca="false">Demand_History!C2657</f>
        <v>BED-006</v>
      </c>
      <c r="B2657" s="31" t="n">
        <f aca="false">Demand_History!A2657</f>
        <v>56</v>
      </c>
      <c r="C2657" s="32" t="n">
        <f aca="false">Demand_History!D2657</f>
        <v>34</v>
      </c>
      <c r="D2657" s="33" t="n">
        <f aca="false">IF(B2657&gt;=2,C2656,"")</f>
        <v>27</v>
      </c>
      <c r="E2657" s="33" t="n">
        <f aca="false">IF(B2657&gt;=5,AVERAGE(C2653:C2656),"")</f>
        <v>27.5</v>
      </c>
      <c r="F2657" s="33" t="n">
        <f aca="false">IF(B2657&gt;=9,AVERAGE(C2649:C2656),"")</f>
        <v>29.875</v>
      </c>
      <c r="G2657" s="33" t="n">
        <f aca="false">IF(B2657=1,"",IF(B2657=2,C2656,SES_Alpha*C2656+(1-SES_Alpha)*G2656))</f>
        <v>28.8804142350022</v>
      </c>
      <c r="H2657" s="33" t="n">
        <f aca="false">IF(D2657="","",D2657-C2657)</f>
        <v>-7</v>
      </c>
      <c r="I2657" s="33" t="n">
        <f aca="false">IF(E2657="","",E2657-C2657)</f>
        <v>-6.5</v>
      </c>
      <c r="J2657" s="33" t="n">
        <f aca="false">IF(F2657="","",F2657-C2657)</f>
        <v>-4.125</v>
      </c>
      <c r="K2657" s="33" t="n">
        <f aca="false">IF(G2657="","",G2657-C2657)</f>
        <v>-5.1195857649978</v>
      </c>
      <c r="L2657" s="33" t="n">
        <f aca="false">IF(H2657="","",ABS(H2657))</f>
        <v>7</v>
      </c>
      <c r="M2657" s="33" t="n">
        <f aca="false">IF(I2657="","",ABS(I2657))</f>
        <v>6.5</v>
      </c>
      <c r="N2657" s="33" t="n">
        <f aca="false">IF(J2657="","",ABS(J2657))</f>
        <v>4.125</v>
      </c>
      <c r="O2657" s="33" t="n">
        <f aca="false">IF(K2657="","",ABS(K2657))</f>
        <v>5.1195857649978</v>
      </c>
      <c r="P2657" s="34" t="str">
        <f aca="false">IF(B2657&gt;=Eval_Start_Week,"YES","")</f>
        <v>YES</v>
      </c>
      <c r="Q2657" s="34" t="str">
        <f aca="false">IF(AND(B2657&gt;=Cal_Start_Week,B2657&lt;=Cal_End_Week),"YES","")</f>
        <v>YES</v>
      </c>
    </row>
    <row r="2658" customFormat="false" ht="15" hidden="false" customHeight="false" outlineLevel="0" collapsed="false">
      <c r="A2658" s="31" t="str">
        <f aca="false">Demand_History!C2658</f>
        <v>BED-006</v>
      </c>
      <c r="B2658" s="31" t="n">
        <f aca="false">Demand_History!A2658</f>
        <v>57</v>
      </c>
      <c r="C2658" s="32" t="n">
        <f aca="false">Demand_History!D2658</f>
        <v>31</v>
      </c>
      <c r="D2658" s="33" t="n">
        <f aca="false">IF(B2658&gt;=2,C2657,"")</f>
        <v>34</v>
      </c>
      <c r="E2658" s="33" t="n">
        <f aca="false">IF(B2658&gt;=5,AVERAGE(C2654:C2657),"")</f>
        <v>30</v>
      </c>
      <c r="F2658" s="33" t="n">
        <f aca="false">IF(B2658&gt;=9,AVERAGE(C2650:C2657),"")</f>
        <v>30.625</v>
      </c>
      <c r="G2658" s="33" t="n">
        <f aca="false">IF(B2658=1,"",IF(B2658=2,C2657,SES_Alpha*C2657+(1-SES_Alpha)*G2657))</f>
        <v>30.4162899645015</v>
      </c>
      <c r="H2658" s="33" t="n">
        <f aca="false">IF(D2658="","",D2658-C2658)</f>
        <v>3</v>
      </c>
      <c r="I2658" s="33" t="n">
        <f aca="false">IF(E2658="","",E2658-C2658)</f>
        <v>-1</v>
      </c>
      <c r="J2658" s="33" t="n">
        <f aca="false">IF(F2658="","",F2658-C2658)</f>
        <v>-0.375</v>
      </c>
      <c r="K2658" s="33" t="n">
        <f aca="false">IF(G2658="","",G2658-C2658)</f>
        <v>-0.583710035498463</v>
      </c>
      <c r="L2658" s="33" t="n">
        <f aca="false">IF(H2658="","",ABS(H2658))</f>
        <v>3</v>
      </c>
      <c r="M2658" s="33" t="n">
        <f aca="false">IF(I2658="","",ABS(I2658))</f>
        <v>1</v>
      </c>
      <c r="N2658" s="33" t="n">
        <f aca="false">IF(J2658="","",ABS(J2658))</f>
        <v>0.375</v>
      </c>
      <c r="O2658" s="33" t="n">
        <f aca="false">IF(K2658="","",ABS(K2658))</f>
        <v>0.583710035498463</v>
      </c>
      <c r="P2658" s="34" t="str">
        <f aca="false">IF(B2658&gt;=Eval_Start_Week,"YES","")</f>
        <v>YES</v>
      </c>
      <c r="Q2658" s="34" t="str">
        <f aca="false">IF(AND(B2658&gt;=Cal_Start_Week,B2658&lt;=Cal_End_Week),"YES","")</f>
        <v>YES</v>
      </c>
    </row>
    <row r="2659" customFormat="false" ht="15" hidden="false" customHeight="false" outlineLevel="0" collapsed="false">
      <c r="A2659" s="31" t="str">
        <f aca="false">Demand_History!C2659</f>
        <v>BED-006</v>
      </c>
      <c r="B2659" s="31" t="n">
        <f aca="false">Demand_History!A2659</f>
        <v>58</v>
      </c>
      <c r="C2659" s="32" t="n">
        <f aca="false">Demand_History!D2659</f>
        <v>31</v>
      </c>
      <c r="D2659" s="33" t="n">
        <f aca="false">IF(B2659&gt;=2,C2658,"")</f>
        <v>31</v>
      </c>
      <c r="E2659" s="33" t="n">
        <f aca="false">IF(B2659&gt;=5,AVERAGE(C2655:C2658),"")</f>
        <v>31</v>
      </c>
      <c r="F2659" s="33" t="n">
        <f aca="false">IF(B2659&gt;=9,AVERAGE(C2651:C2658),"")</f>
        <v>29.875</v>
      </c>
      <c r="G2659" s="33" t="n">
        <f aca="false">IF(B2659=1,"",IF(B2659=2,C2658,SES_Alpha*C2658+(1-SES_Alpha)*G2658))</f>
        <v>30.5914029751511</v>
      </c>
      <c r="H2659" s="33" t="n">
        <f aca="false">IF(D2659="","",D2659-C2659)</f>
        <v>0</v>
      </c>
      <c r="I2659" s="33" t="n">
        <f aca="false">IF(E2659="","",E2659-C2659)</f>
        <v>0</v>
      </c>
      <c r="J2659" s="33" t="n">
        <f aca="false">IF(F2659="","",F2659-C2659)</f>
        <v>-1.125</v>
      </c>
      <c r="K2659" s="33" t="n">
        <f aca="false">IF(G2659="","",G2659-C2659)</f>
        <v>-0.408597024848923</v>
      </c>
      <c r="L2659" s="33" t="n">
        <f aca="false">IF(H2659="","",ABS(H2659))</f>
        <v>0</v>
      </c>
      <c r="M2659" s="33" t="n">
        <f aca="false">IF(I2659="","",ABS(I2659))</f>
        <v>0</v>
      </c>
      <c r="N2659" s="33" t="n">
        <f aca="false">IF(J2659="","",ABS(J2659))</f>
        <v>1.125</v>
      </c>
      <c r="O2659" s="33" t="n">
        <f aca="false">IF(K2659="","",ABS(K2659))</f>
        <v>0.408597024848923</v>
      </c>
      <c r="P2659" s="34" t="str">
        <f aca="false">IF(B2659&gt;=Eval_Start_Week,"YES","")</f>
        <v>YES</v>
      </c>
      <c r="Q2659" s="34" t="str">
        <f aca="false">IF(AND(B2659&gt;=Cal_Start_Week,B2659&lt;=Cal_End_Week),"YES","")</f>
        <v>YES</v>
      </c>
    </row>
    <row r="2660" customFormat="false" ht="15" hidden="false" customHeight="false" outlineLevel="0" collapsed="false">
      <c r="A2660" s="31" t="str">
        <f aca="false">Demand_History!C2660</f>
        <v>BED-006</v>
      </c>
      <c r="B2660" s="31" t="n">
        <f aca="false">Demand_History!A2660</f>
        <v>59</v>
      </c>
      <c r="C2660" s="32" t="n">
        <f aca="false">Demand_History!D2660</f>
        <v>33</v>
      </c>
      <c r="D2660" s="33" t="n">
        <f aca="false">IF(B2660&gt;=2,C2659,"")</f>
        <v>31</v>
      </c>
      <c r="E2660" s="33" t="n">
        <f aca="false">IF(B2660&gt;=5,AVERAGE(C2656:C2659),"")</f>
        <v>30.75</v>
      </c>
      <c r="F2660" s="33" t="n">
        <f aca="false">IF(B2660&gt;=9,AVERAGE(C2652:C2659),"")</f>
        <v>29.5</v>
      </c>
      <c r="G2660" s="33" t="n">
        <f aca="false">IF(B2660=1,"",IF(B2660=2,C2659,SES_Alpha*C2659+(1-SES_Alpha)*G2659))</f>
        <v>30.7139820826058</v>
      </c>
      <c r="H2660" s="33" t="n">
        <f aca="false">IF(D2660="","",D2660-C2660)</f>
        <v>-2</v>
      </c>
      <c r="I2660" s="33" t="n">
        <f aca="false">IF(E2660="","",E2660-C2660)</f>
        <v>-2.25</v>
      </c>
      <c r="J2660" s="33" t="n">
        <f aca="false">IF(F2660="","",F2660-C2660)</f>
        <v>-3.5</v>
      </c>
      <c r="K2660" s="33" t="n">
        <f aca="false">IF(G2660="","",G2660-C2660)</f>
        <v>-2.28601791739425</v>
      </c>
      <c r="L2660" s="33" t="n">
        <f aca="false">IF(H2660="","",ABS(H2660))</f>
        <v>2</v>
      </c>
      <c r="M2660" s="33" t="n">
        <f aca="false">IF(I2660="","",ABS(I2660))</f>
        <v>2.25</v>
      </c>
      <c r="N2660" s="33" t="n">
        <f aca="false">IF(J2660="","",ABS(J2660))</f>
        <v>3.5</v>
      </c>
      <c r="O2660" s="33" t="n">
        <f aca="false">IF(K2660="","",ABS(K2660))</f>
        <v>2.28601791739425</v>
      </c>
      <c r="P2660" s="34" t="str">
        <f aca="false">IF(B2660&gt;=Eval_Start_Week,"YES","")</f>
        <v>YES</v>
      </c>
      <c r="Q2660" s="34" t="str">
        <f aca="false">IF(AND(B2660&gt;=Cal_Start_Week,B2660&lt;=Cal_End_Week),"YES","")</f>
        <v>YES</v>
      </c>
    </row>
    <row r="2661" customFormat="false" ht="15" hidden="false" customHeight="false" outlineLevel="0" collapsed="false">
      <c r="A2661" s="31" t="str">
        <f aca="false">Demand_History!C2661</f>
        <v>BED-006</v>
      </c>
      <c r="B2661" s="31" t="n">
        <f aca="false">Demand_History!A2661</f>
        <v>60</v>
      </c>
      <c r="C2661" s="32" t="n">
        <f aca="false">Demand_History!D2661</f>
        <v>32</v>
      </c>
      <c r="D2661" s="33" t="n">
        <f aca="false">IF(B2661&gt;=2,C2660,"")</f>
        <v>33</v>
      </c>
      <c r="E2661" s="33" t="n">
        <f aca="false">IF(B2661&gt;=5,AVERAGE(C2657:C2660),"")</f>
        <v>32.25</v>
      </c>
      <c r="F2661" s="33" t="n">
        <f aca="false">IF(B2661&gt;=9,AVERAGE(C2653:C2660),"")</f>
        <v>29.875</v>
      </c>
      <c r="G2661" s="33" t="n">
        <f aca="false">IF(B2661=1,"",IF(B2661=2,C2660,SES_Alpha*C2660+(1-SES_Alpha)*G2660))</f>
        <v>31.399787457824</v>
      </c>
      <c r="H2661" s="33" t="n">
        <f aca="false">IF(D2661="","",D2661-C2661)</f>
        <v>1</v>
      </c>
      <c r="I2661" s="33" t="n">
        <f aca="false">IF(E2661="","",E2661-C2661)</f>
        <v>0.25</v>
      </c>
      <c r="J2661" s="33" t="n">
        <f aca="false">IF(F2661="","",F2661-C2661)</f>
        <v>-2.125</v>
      </c>
      <c r="K2661" s="33" t="n">
        <f aca="false">IF(G2661="","",G2661-C2661)</f>
        <v>-0.600212542175974</v>
      </c>
      <c r="L2661" s="33" t="n">
        <f aca="false">IF(H2661="","",ABS(H2661))</f>
        <v>1</v>
      </c>
      <c r="M2661" s="33" t="n">
        <f aca="false">IF(I2661="","",ABS(I2661))</f>
        <v>0.25</v>
      </c>
      <c r="N2661" s="33" t="n">
        <f aca="false">IF(J2661="","",ABS(J2661))</f>
        <v>2.125</v>
      </c>
      <c r="O2661" s="33" t="n">
        <f aca="false">IF(K2661="","",ABS(K2661))</f>
        <v>0.600212542175974</v>
      </c>
      <c r="P2661" s="34" t="str">
        <f aca="false">IF(B2661&gt;=Eval_Start_Week,"YES","")</f>
        <v>YES</v>
      </c>
      <c r="Q2661" s="34" t="str">
        <f aca="false">IF(AND(B2661&gt;=Cal_Start_Week,B2661&lt;=Cal_End_Week),"YES","")</f>
        <v>YES</v>
      </c>
    </row>
    <row r="2662" customFormat="false" ht="15" hidden="false" customHeight="false" outlineLevel="0" collapsed="false">
      <c r="A2662" s="31" t="str">
        <f aca="false">Demand_History!C2662</f>
        <v>BED-006</v>
      </c>
      <c r="B2662" s="31" t="n">
        <f aca="false">Demand_History!A2662</f>
        <v>61</v>
      </c>
      <c r="C2662" s="32" t="n">
        <f aca="false">Demand_History!D2662</f>
        <v>27</v>
      </c>
      <c r="D2662" s="33" t="n">
        <f aca="false">IF(B2662&gt;=2,C2661,"")</f>
        <v>32</v>
      </c>
      <c r="E2662" s="33" t="n">
        <f aca="false">IF(B2662&gt;=5,AVERAGE(C2658:C2661),"")</f>
        <v>31.75</v>
      </c>
      <c r="F2662" s="33" t="n">
        <f aca="false">IF(B2662&gt;=9,AVERAGE(C2654:C2661),"")</f>
        <v>30.875</v>
      </c>
      <c r="G2662" s="33" t="n">
        <f aca="false">IF(B2662=1,"",IF(B2662=2,C2661,SES_Alpha*C2661+(1-SES_Alpha)*G2661))</f>
        <v>31.5798512204768</v>
      </c>
      <c r="H2662" s="33" t="n">
        <f aca="false">IF(D2662="","",D2662-C2662)</f>
        <v>5</v>
      </c>
      <c r="I2662" s="33" t="n">
        <f aca="false">IF(E2662="","",E2662-C2662)</f>
        <v>4.75</v>
      </c>
      <c r="J2662" s="33" t="n">
        <f aca="false">IF(F2662="","",F2662-C2662)</f>
        <v>3.875</v>
      </c>
      <c r="K2662" s="33" t="n">
        <f aca="false">IF(G2662="","",G2662-C2662)</f>
        <v>4.57985122047682</v>
      </c>
      <c r="L2662" s="33" t="n">
        <f aca="false">IF(H2662="","",ABS(H2662))</f>
        <v>5</v>
      </c>
      <c r="M2662" s="33" t="n">
        <f aca="false">IF(I2662="","",ABS(I2662))</f>
        <v>4.75</v>
      </c>
      <c r="N2662" s="33" t="n">
        <f aca="false">IF(J2662="","",ABS(J2662))</f>
        <v>3.875</v>
      </c>
      <c r="O2662" s="33" t="n">
        <f aca="false">IF(K2662="","",ABS(K2662))</f>
        <v>4.57985122047682</v>
      </c>
      <c r="P2662" s="34" t="str">
        <f aca="false">IF(B2662&gt;=Eval_Start_Week,"YES","")</f>
        <v>YES</v>
      </c>
      <c r="Q2662" s="34" t="str">
        <f aca="false">IF(AND(B2662&gt;=Cal_Start_Week,B2662&lt;=Cal_End_Week),"YES","")</f>
        <v>YES</v>
      </c>
    </row>
    <row r="2663" customFormat="false" ht="15" hidden="false" customHeight="false" outlineLevel="0" collapsed="false">
      <c r="A2663" s="31" t="str">
        <f aca="false">Demand_History!C2663</f>
        <v>BED-006</v>
      </c>
      <c r="B2663" s="31" t="n">
        <f aca="false">Demand_History!A2663</f>
        <v>62</v>
      </c>
      <c r="C2663" s="32" t="n">
        <f aca="false">Demand_History!D2663</f>
        <v>29</v>
      </c>
      <c r="D2663" s="33" t="n">
        <f aca="false">IF(B2663&gt;=2,C2662,"")</f>
        <v>27</v>
      </c>
      <c r="E2663" s="33" t="n">
        <f aca="false">IF(B2663&gt;=5,AVERAGE(C2659:C2662),"")</f>
        <v>30.75</v>
      </c>
      <c r="F2663" s="33" t="n">
        <f aca="false">IF(B2663&gt;=9,AVERAGE(C2655:C2662),"")</f>
        <v>30.875</v>
      </c>
      <c r="G2663" s="33" t="n">
        <f aca="false">IF(B2663=1,"",IF(B2663=2,C2662,SES_Alpha*C2662+(1-SES_Alpha)*G2662))</f>
        <v>30.2058958543338</v>
      </c>
      <c r="H2663" s="33" t="n">
        <f aca="false">IF(D2663="","",D2663-C2663)</f>
        <v>-2</v>
      </c>
      <c r="I2663" s="33" t="n">
        <f aca="false">IF(E2663="","",E2663-C2663)</f>
        <v>1.75</v>
      </c>
      <c r="J2663" s="33" t="n">
        <f aca="false">IF(F2663="","",F2663-C2663)</f>
        <v>1.875</v>
      </c>
      <c r="K2663" s="33" t="n">
        <f aca="false">IF(G2663="","",G2663-C2663)</f>
        <v>1.20589585433377</v>
      </c>
      <c r="L2663" s="33" t="n">
        <f aca="false">IF(H2663="","",ABS(H2663))</f>
        <v>2</v>
      </c>
      <c r="M2663" s="33" t="n">
        <f aca="false">IF(I2663="","",ABS(I2663))</f>
        <v>1.75</v>
      </c>
      <c r="N2663" s="33" t="n">
        <f aca="false">IF(J2663="","",ABS(J2663))</f>
        <v>1.875</v>
      </c>
      <c r="O2663" s="33" t="n">
        <f aca="false">IF(K2663="","",ABS(K2663))</f>
        <v>1.20589585433377</v>
      </c>
      <c r="P2663" s="34" t="str">
        <f aca="false">IF(B2663&gt;=Eval_Start_Week,"YES","")</f>
        <v>YES</v>
      </c>
      <c r="Q2663" s="34" t="str">
        <f aca="false">IF(AND(B2663&gt;=Cal_Start_Week,B2663&lt;=Cal_End_Week),"YES","")</f>
        <v>YES</v>
      </c>
    </row>
    <row r="2664" customFormat="false" ht="15" hidden="false" customHeight="false" outlineLevel="0" collapsed="false">
      <c r="A2664" s="31" t="str">
        <f aca="false">Demand_History!C2664</f>
        <v>BED-006</v>
      </c>
      <c r="B2664" s="31" t="n">
        <f aca="false">Demand_History!A2664</f>
        <v>63</v>
      </c>
      <c r="C2664" s="32" t="n">
        <f aca="false">Demand_History!D2664</f>
        <v>39</v>
      </c>
      <c r="D2664" s="33" t="n">
        <f aca="false">IF(B2664&gt;=2,C2663,"")</f>
        <v>29</v>
      </c>
      <c r="E2664" s="33" t="n">
        <f aca="false">IF(B2664&gt;=5,AVERAGE(C2660:C2663),"")</f>
        <v>30.25</v>
      </c>
      <c r="F2664" s="33" t="n">
        <f aca="false">IF(B2664&gt;=9,AVERAGE(C2656:C2663),"")</f>
        <v>30.5</v>
      </c>
      <c r="G2664" s="33" t="n">
        <f aca="false">IF(B2664=1,"",IF(B2664=2,C2663,SES_Alpha*C2663+(1-SES_Alpha)*G2663))</f>
        <v>29.8441270980336</v>
      </c>
      <c r="H2664" s="33" t="n">
        <f aca="false">IF(D2664="","",D2664-C2664)</f>
        <v>-10</v>
      </c>
      <c r="I2664" s="33" t="n">
        <f aca="false">IF(E2664="","",E2664-C2664)</f>
        <v>-8.75</v>
      </c>
      <c r="J2664" s="33" t="n">
        <f aca="false">IF(F2664="","",F2664-C2664)</f>
        <v>-8.5</v>
      </c>
      <c r="K2664" s="33" t="n">
        <f aca="false">IF(G2664="","",G2664-C2664)</f>
        <v>-9.15587290196637</v>
      </c>
      <c r="L2664" s="33" t="n">
        <f aca="false">IF(H2664="","",ABS(H2664))</f>
        <v>10</v>
      </c>
      <c r="M2664" s="33" t="n">
        <f aca="false">IF(I2664="","",ABS(I2664))</f>
        <v>8.75</v>
      </c>
      <c r="N2664" s="33" t="n">
        <f aca="false">IF(J2664="","",ABS(J2664))</f>
        <v>8.5</v>
      </c>
      <c r="O2664" s="33" t="n">
        <f aca="false">IF(K2664="","",ABS(K2664))</f>
        <v>9.15587290196637</v>
      </c>
      <c r="P2664" s="34" t="str">
        <f aca="false">IF(B2664&gt;=Eval_Start_Week,"YES","")</f>
        <v>YES</v>
      </c>
      <c r="Q2664" s="34" t="str">
        <f aca="false">IF(AND(B2664&gt;=Cal_Start_Week,B2664&lt;=Cal_End_Week),"YES","")</f>
        <v>YES</v>
      </c>
    </row>
    <row r="2665" customFormat="false" ht="15" hidden="false" customHeight="false" outlineLevel="0" collapsed="false">
      <c r="A2665" s="31" t="str">
        <f aca="false">Demand_History!C2665</f>
        <v>BED-006</v>
      </c>
      <c r="B2665" s="31" t="n">
        <f aca="false">Demand_History!A2665</f>
        <v>64</v>
      </c>
      <c r="C2665" s="32" t="n">
        <f aca="false">Demand_History!D2665</f>
        <v>25</v>
      </c>
      <c r="D2665" s="33" t="n">
        <f aca="false">IF(B2665&gt;=2,C2664,"")</f>
        <v>39</v>
      </c>
      <c r="E2665" s="33" t="n">
        <f aca="false">IF(B2665&gt;=5,AVERAGE(C2661:C2664),"")</f>
        <v>31.75</v>
      </c>
      <c r="F2665" s="33" t="n">
        <f aca="false">IF(B2665&gt;=9,AVERAGE(C2657:C2664),"")</f>
        <v>32</v>
      </c>
      <c r="G2665" s="33" t="n">
        <f aca="false">IF(B2665=1,"",IF(B2665=2,C2664,SES_Alpha*C2664+(1-SES_Alpha)*G2664))</f>
        <v>32.5908889686235</v>
      </c>
      <c r="H2665" s="33" t="n">
        <f aca="false">IF(D2665="","",D2665-C2665)</f>
        <v>14</v>
      </c>
      <c r="I2665" s="33" t="n">
        <f aca="false">IF(E2665="","",E2665-C2665)</f>
        <v>6.75</v>
      </c>
      <c r="J2665" s="33" t="n">
        <f aca="false">IF(F2665="","",F2665-C2665)</f>
        <v>7</v>
      </c>
      <c r="K2665" s="33" t="n">
        <f aca="false">IF(G2665="","",G2665-C2665)</f>
        <v>7.59088896862355</v>
      </c>
      <c r="L2665" s="33" t="n">
        <f aca="false">IF(H2665="","",ABS(H2665))</f>
        <v>14</v>
      </c>
      <c r="M2665" s="33" t="n">
        <f aca="false">IF(I2665="","",ABS(I2665))</f>
        <v>6.75</v>
      </c>
      <c r="N2665" s="33" t="n">
        <f aca="false">IF(J2665="","",ABS(J2665))</f>
        <v>7</v>
      </c>
      <c r="O2665" s="33" t="n">
        <f aca="false">IF(K2665="","",ABS(K2665))</f>
        <v>7.59088896862355</v>
      </c>
      <c r="P2665" s="34" t="str">
        <f aca="false">IF(B2665&gt;=Eval_Start_Week,"YES","")</f>
        <v>YES</v>
      </c>
      <c r="Q2665" s="34" t="str">
        <f aca="false">IF(AND(B2665&gt;=Cal_Start_Week,B2665&lt;=Cal_End_Week),"YES","")</f>
        <v>YES</v>
      </c>
    </row>
    <row r="2666" customFormat="false" ht="15" hidden="false" customHeight="false" outlineLevel="0" collapsed="false">
      <c r="A2666" s="31" t="str">
        <f aca="false">Demand_History!C2666</f>
        <v>BED-006</v>
      </c>
      <c r="B2666" s="31" t="n">
        <f aca="false">Demand_History!A2666</f>
        <v>65</v>
      </c>
      <c r="C2666" s="32" t="n">
        <f aca="false">Demand_History!D2666</f>
        <v>28</v>
      </c>
      <c r="D2666" s="33" t="n">
        <f aca="false">IF(B2666&gt;=2,C2665,"")</f>
        <v>25</v>
      </c>
      <c r="E2666" s="33" t="n">
        <f aca="false">IF(B2666&gt;=5,AVERAGE(C2662:C2665),"")</f>
        <v>30</v>
      </c>
      <c r="F2666" s="33" t="n">
        <f aca="false">IF(B2666&gt;=9,AVERAGE(C2658:C2665),"")</f>
        <v>30.875</v>
      </c>
      <c r="G2666" s="33" t="n">
        <f aca="false">IF(B2666=1,"",IF(B2666=2,C2665,SES_Alpha*C2665+(1-SES_Alpha)*G2665))</f>
        <v>30.3136222780365</v>
      </c>
      <c r="H2666" s="33" t="n">
        <f aca="false">IF(D2666="","",D2666-C2666)</f>
        <v>-3</v>
      </c>
      <c r="I2666" s="33" t="n">
        <f aca="false">IF(E2666="","",E2666-C2666)</f>
        <v>2</v>
      </c>
      <c r="J2666" s="33" t="n">
        <f aca="false">IF(F2666="","",F2666-C2666)</f>
        <v>2.875</v>
      </c>
      <c r="K2666" s="33" t="n">
        <f aca="false">IF(G2666="","",G2666-C2666)</f>
        <v>2.31362227803648</v>
      </c>
      <c r="L2666" s="33" t="n">
        <f aca="false">IF(H2666="","",ABS(H2666))</f>
        <v>3</v>
      </c>
      <c r="M2666" s="33" t="n">
        <f aca="false">IF(I2666="","",ABS(I2666))</f>
        <v>2</v>
      </c>
      <c r="N2666" s="33" t="n">
        <f aca="false">IF(J2666="","",ABS(J2666))</f>
        <v>2.875</v>
      </c>
      <c r="O2666" s="33" t="n">
        <f aca="false">IF(K2666="","",ABS(K2666))</f>
        <v>2.31362227803648</v>
      </c>
      <c r="P2666" s="34" t="str">
        <f aca="false">IF(B2666&gt;=Eval_Start_Week,"YES","")</f>
        <v>YES</v>
      </c>
      <c r="Q2666" s="34" t="str">
        <f aca="false">IF(AND(B2666&gt;=Cal_Start_Week,B2666&lt;=Cal_End_Week),"YES","")</f>
        <v>YES</v>
      </c>
    </row>
    <row r="2667" customFormat="false" ht="15" hidden="false" customHeight="false" outlineLevel="0" collapsed="false">
      <c r="A2667" s="31" t="str">
        <f aca="false">Demand_History!C2667</f>
        <v>BED-006</v>
      </c>
      <c r="B2667" s="31" t="n">
        <f aca="false">Demand_History!A2667</f>
        <v>66</v>
      </c>
      <c r="C2667" s="32" t="n">
        <f aca="false">Demand_History!D2667</f>
        <v>34</v>
      </c>
      <c r="D2667" s="33" t="n">
        <f aca="false">IF(B2667&gt;=2,C2666,"")</f>
        <v>28</v>
      </c>
      <c r="E2667" s="33" t="n">
        <f aca="false">IF(B2667&gt;=5,AVERAGE(C2663:C2666),"")</f>
        <v>30.25</v>
      </c>
      <c r="F2667" s="33" t="n">
        <f aca="false">IF(B2667&gt;=9,AVERAGE(C2659:C2666),"")</f>
        <v>30.5</v>
      </c>
      <c r="G2667" s="33" t="n">
        <f aca="false">IF(B2667=1,"",IF(B2667=2,C2666,SES_Alpha*C2666+(1-SES_Alpha)*G2666))</f>
        <v>29.6195355946255</v>
      </c>
      <c r="H2667" s="33" t="n">
        <f aca="false">IF(D2667="","",D2667-C2667)</f>
        <v>-6</v>
      </c>
      <c r="I2667" s="33" t="n">
        <f aca="false">IF(E2667="","",E2667-C2667)</f>
        <v>-3.75</v>
      </c>
      <c r="J2667" s="33" t="n">
        <f aca="false">IF(F2667="","",F2667-C2667)</f>
        <v>-3.5</v>
      </c>
      <c r="K2667" s="33" t="n">
        <f aca="false">IF(G2667="","",G2667-C2667)</f>
        <v>-4.38046440537447</v>
      </c>
      <c r="L2667" s="33" t="n">
        <f aca="false">IF(H2667="","",ABS(H2667))</f>
        <v>6</v>
      </c>
      <c r="M2667" s="33" t="n">
        <f aca="false">IF(I2667="","",ABS(I2667))</f>
        <v>3.75</v>
      </c>
      <c r="N2667" s="33" t="n">
        <f aca="false">IF(J2667="","",ABS(J2667))</f>
        <v>3.5</v>
      </c>
      <c r="O2667" s="33" t="n">
        <f aca="false">IF(K2667="","",ABS(K2667))</f>
        <v>4.38046440537447</v>
      </c>
      <c r="P2667" s="34" t="str">
        <f aca="false">IF(B2667&gt;=Eval_Start_Week,"YES","")</f>
        <v>YES</v>
      </c>
      <c r="Q2667" s="34" t="str">
        <f aca="false">IF(AND(B2667&gt;=Cal_Start_Week,B2667&lt;=Cal_End_Week),"YES","")</f>
        <v>YES</v>
      </c>
    </row>
    <row r="2668" customFormat="false" ht="15" hidden="false" customHeight="false" outlineLevel="0" collapsed="false">
      <c r="A2668" s="31" t="str">
        <f aca="false">Demand_History!C2668</f>
        <v>BED-006</v>
      </c>
      <c r="B2668" s="31" t="n">
        <f aca="false">Demand_History!A2668</f>
        <v>67</v>
      </c>
      <c r="C2668" s="32" t="n">
        <f aca="false">Demand_History!D2668</f>
        <v>29</v>
      </c>
      <c r="D2668" s="33" t="n">
        <f aca="false">IF(B2668&gt;=2,C2667,"")</f>
        <v>34</v>
      </c>
      <c r="E2668" s="33" t="n">
        <f aca="false">IF(B2668&gt;=5,AVERAGE(C2664:C2667),"")</f>
        <v>31.5</v>
      </c>
      <c r="F2668" s="33" t="n">
        <f aca="false">IF(B2668&gt;=9,AVERAGE(C2660:C2667),"")</f>
        <v>30.875</v>
      </c>
      <c r="G2668" s="33" t="n">
        <f aca="false">IF(B2668=1,"",IF(B2668=2,C2667,SES_Alpha*C2667+(1-SES_Alpha)*G2667))</f>
        <v>30.9336749162379</v>
      </c>
      <c r="H2668" s="33" t="n">
        <f aca="false">IF(D2668="","",D2668-C2668)</f>
        <v>5</v>
      </c>
      <c r="I2668" s="33" t="n">
        <f aca="false">IF(E2668="","",E2668-C2668)</f>
        <v>2.5</v>
      </c>
      <c r="J2668" s="33" t="n">
        <f aca="false">IF(F2668="","",F2668-C2668)</f>
        <v>1.875</v>
      </c>
      <c r="K2668" s="33" t="n">
        <f aca="false">IF(G2668="","",G2668-C2668)</f>
        <v>1.93367491623787</v>
      </c>
      <c r="L2668" s="33" t="n">
        <f aca="false">IF(H2668="","",ABS(H2668))</f>
        <v>5</v>
      </c>
      <c r="M2668" s="33" t="n">
        <f aca="false">IF(I2668="","",ABS(I2668))</f>
        <v>2.5</v>
      </c>
      <c r="N2668" s="33" t="n">
        <f aca="false">IF(J2668="","",ABS(J2668))</f>
        <v>1.875</v>
      </c>
      <c r="O2668" s="33" t="n">
        <f aca="false">IF(K2668="","",ABS(K2668))</f>
        <v>1.93367491623787</v>
      </c>
      <c r="P2668" s="34" t="str">
        <f aca="false">IF(B2668&gt;=Eval_Start_Week,"YES","")</f>
        <v>YES</v>
      </c>
      <c r="Q2668" s="34" t="str">
        <f aca="false">IF(AND(B2668&gt;=Cal_Start_Week,B2668&lt;=Cal_End_Week),"YES","")</f>
        <v>YES</v>
      </c>
    </row>
    <row r="2669" customFormat="false" ht="15" hidden="false" customHeight="false" outlineLevel="0" collapsed="false">
      <c r="A2669" s="31" t="str">
        <f aca="false">Demand_History!C2669</f>
        <v>BED-006</v>
      </c>
      <c r="B2669" s="31" t="n">
        <f aca="false">Demand_History!A2669</f>
        <v>68</v>
      </c>
      <c r="C2669" s="32" t="n">
        <f aca="false">Demand_History!D2669</f>
        <v>27</v>
      </c>
      <c r="D2669" s="33" t="n">
        <f aca="false">IF(B2669&gt;=2,C2668,"")</f>
        <v>29</v>
      </c>
      <c r="E2669" s="33" t="n">
        <f aca="false">IF(B2669&gt;=5,AVERAGE(C2665:C2668),"")</f>
        <v>29</v>
      </c>
      <c r="F2669" s="33" t="n">
        <f aca="false">IF(B2669&gt;=9,AVERAGE(C2661:C2668),"")</f>
        <v>30.375</v>
      </c>
      <c r="G2669" s="33" t="n">
        <f aca="false">IF(B2669=1,"",IF(B2669=2,C2668,SES_Alpha*C2668+(1-SES_Alpha)*G2668))</f>
        <v>30.3535724413665</v>
      </c>
      <c r="H2669" s="33" t="n">
        <f aca="false">IF(D2669="","",D2669-C2669)</f>
        <v>2</v>
      </c>
      <c r="I2669" s="33" t="n">
        <f aca="false">IF(E2669="","",E2669-C2669)</f>
        <v>2</v>
      </c>
      <c r="J2669" s="33" t="n">
        <f aca="false">IF(F2669="","",F2669-C2669)</f>
        <v>3.375</v>
      </c>
      <c r="K2669" s="33" t="n">
        <f aca="false">IF(G2669="","",G2669-C2669)</f>
        <v>3.35357244136651</v>
      </c>
      <c r="L2669" s="33" t="n">
        <f aca="false">IF(H2669="","",ABS(H2669))</f>
        <v>2</v>
      </c>
      <c r="M2669" s="33" t="n">
        <f aca="false">IF(I2669="","",ABS(I2669))</f>
        <v>2</v>
      </c>
      <c r="N2669" s="33" t="n">
        <f aca="false">IF(J2669="","",ABS(J2669))</f>
        <v>3.375</v>
      </c>
      <c r="O2669" s="33" t="n">
        <f aca="false">IF(K2669="","",ABS(K2669))</f>
        <v>3.35357244136651</v>
      </c>
      <c r="P2669" s="34" t="str">
        <f aca="false">IF(B2669&gt;=Eval_Start_Week,"YES","")</f>
        <v>YES</v>
      </c>
      <c r="Q2669" s="34" t="str">
        <f aca="false">IF(AND(B2669&gt;=Cal_Start_Week,B2669&lt;=Cal_End_Week),"YES","")</f>
        <v>YES</v>
      </c>
    </row>
    <row r="2670" customFormat="false" ht="15" hidden="false" customHeight="false" outlineLevel="0" collapsed="false">
      <c r="A2670" s="31" t="str">
        <f aca="false">Demand_History!C2670</f>
        <v>BED-006</v>
      </c>
      <c r="B2670" s="31" t="n">
        <f aca="false">Demand_History!A2670</f>
        <v>69</v>
      </c>
      <c r="C2670" s="32" t="n">
        <f aca="false">Demand_History!D2670</f>
        <v>25</v>
      </c>
      <c r="D2670" s="33" t="n">
        <f aca="false">IF(B2670&gt;=2,C2669,"")</f>
        <v>27</v>
      </c>
      <c r="E2670" s="33" t="n">
        <f aca="false">IF(B2670&gt;=5,AVERAGE(C2666:C2669),"")</f>
        <v>29.5</v>
      </c>
      <c r="F2670" s="33" t="n">
        <f aca="false">IF(B2670&gt;=9,AVERAGE(C2662:C2669),"")</f>
        <v>29.75</v>
      </c>
      <c r="G2670" s="33" t="n">
        <f aca="false">IF(B2670=1,"",IF(B2670=2,C2669,SES_Alpha*C2669+(1-SES_Alpha)*G2669))</f>
        <v>29.3475007089566</v>
      </c>
      <c r="H2670" s="33" t="n">
        <f aca="false">IF(D2670="","",D2670-C2670)</f>
        <v>2</v>
      </c>
      <c r="I2670" s="33" t="n">
        <f aca="false">IF(E2670="","",E2670-C2670)</f>
        <v>4.5</v>
      </c>
      <c r="J2670" s="33" t="n">
        <f aca="false">IF(F2670="","",F2670-C2670)</f>
        <v>4.75</v>
      </c>
      <c r="K2670" s="33" t="n">
        <f aca="false">IF(G2670="","",G2670-C2670)</f>
        <v>4.34750070895655</v>
      </c>
      <c r="L2670" s="33" t="n">
        <f aca="false">IF(H2670="","",ABS(H2670))</f>
        <v>2</v>
      </c>
      <c r="M2670" s="33" t="n">
        <f aca="false">IF(I2670="","",ABS(I2670))</f>
        <v>4.5</v>
      </c>
      <c r="N2670" s="33" t="n">
        <f aca="false">IF(J2670="","",ABS(J2670))</f>
        <v>4.75</v>
      </c>
      <c r="O2670" s="33" t="n">
        <f aca="false">IF(K2670="","",ABS(K2670))</f>
        <v>4.34750070895655</v>
      </c>
      <c r="P2670" s="34" t="str">
        <f aca="false">IF(B2670&gt;=Eval_Start_Week,"YES","")</f>
        <v>YES</v>
      </c>
      <c r="Q2670" s="34" t="str">
        <f aca="false">IF(AND(B2670&gt;=Cal_Start_Week,B2670&lt;=Cal_End_Week),"YES","")</f>
        <v>YES</v>
      </c>
    </row>
    <row r="2671" customFormat="false" ht="15" hidden="false" customHeight="false" outlineLevel="0" collapsed="false">
      <c r="A2671" s="31" t="str">
        <f aca="false">Demand_History!C2671</f>
        <v>BED-006</v>
      </c>
      <c r="B2671" s="31" t="n">
        <f aca="false">Demand_History!A2671</f>
        <v>70</v>
      </c>
      <c r="C2671" s="32" t="n">
        <f aca="false">Demand_History!D2671</f>
        <v>32</v>
      </c>
      <c r="D2671" s="33" t="n">
        <f aca="false">IF(B2671&gt;=2,C2670,"")</f>
        <v>25</v>
      </c>
      <c r="E2671" s="33" t="n">
        <f aca="false">IF(B2671&gt;=5,AVERAGE(C2667:C2670),"")</f>
        <v>28.75</v>
      </c>
      <c r="F2671" s="33" t="n">
        <f aca="false">IF(B2671&gt;=9,AVERAGE(C2663:C2670),"")</f>
        <v>29.5</v>
      </c>
      <c r="G2671" s="33" t="n">
        <f aca="false">IF(B2671=1,"",IF(B2671=2,C2670,SES_Alpha*C2670+(1-SES_Alpha)*G2670))</f>
        <v>28.0432504962696</v>
      </c>
      <c r="H2671" s="33" t="n">
        <f aca="false">IF(D2671="","",D2671-C2671)</f>
        <v>-7</v>
      </c>
      <c r="I2671" s="33" t="n">
        <f aca="false">IF(E2671="","",E2671-C2671)</f>
        <v>-3.25</v>
      </c>
      <c r="J2671" s="33" t="n">
        <f aca="false">IF(F2671="","",F2671-C2671)</f>
        <v>-2.5</v>
      </c>
      <c r="K2671" s="33" t="n">
        <f aca="false">IF(G2671="","",G2671-C2671)</f>
        <v>-3.95674950373041</v>
      </c>
      <c r="L2671" s="33" t="n">
        <f aca="false">IF(H2671="","",ABS(H2671))</f>
        <v>7</v>
      </c>
      <c r="M2671" s="33" t="n">
        <f aca="false">IF(I2671="","",ABS(I2671))</f>
        <v>3.25</v>
      </c>
      <c r="N2671" s="33" t="n">
        <f aca="false">IF(J2671="","",ABS(J2671))</f>
        <v>2.5</v>
      </c>
      <c r="O2671" s="33" t="n">
        <f aca="false">IF(K2671="","",ABS(K2671))</f>
        <v>3.95674950373041</v>
      </c>
      <c r="P2671" s="34" t="str">
        <f aca="false">IF(B2671&gt;=Eval_Start_Week,"YES","")</f>
        <v>YES</v>
      </c>
      <c r="Q2671" s="34" t="str">
        <f aca="false">IF(AND(B2671&gt;=Cal_Start_Week,B2671&lt;=Cal_End_Week),"YES","")</f>
        <v>YES</v>
      </c>
    </row>
    <row r="2672" customFormat="false" ht="15" hidden="false" customHeight="false" outlineLevel="0" collapsed="false">
      <c r="A2672" s="31" t="str">
        <f aca="false">Demand_History!C2672</f>
        <v>BED-006</v>
      </c>
      <c r="B2672" s="31" t="n">
        <f aca="false">Demand_History!A2672</f>
        <v>71</v>
      </c>
      <c r="C2672" s="32" t="n">
        <f aca="false">Demand_History!D2672</f>
        <v>34</v>
      </c>
      <c r="D2672" s="33" t="n">
        <f aca="false">IF(B2672&gt;=2,C2671,"")</f>
        <v>32</v>
      </c>
      <c r="E2672" s="33" t="n">
        <f aca="false">IF(B2672&gt;=5,AVERAGE(C2668:C2671),"")</f>
        <v>28.25</v>
      </c>
      <c r="F2672" s="33" t="n">
        <f aca="false">IF(B2672&gt;=9,AVERAGE(C2664:C2671),"")</f>
        <v>29.875</v>
      </c>
      <c r="G2672" s="33" t="n">
        <f aca="false">IF(B2672=1,"",IF(B2672=2,C2671,SES_Alpha*C2671+(1-SES_Alpha)*G2671))</f>
        <v>29.2302753473887</v>
      </c>
      <c r="H2672" s="33" t="n">
        <f aca="false">IF(D2672="","",D2672-C2672)</f>
        <v>-2</v>
      </c>
      <c r="I2672" s="33" t="n">
        <f aca="false">IF(E2672="","",E2672-C2672)</f>
        <v>-5.75</v>
      </c>
      <c r="J2672" s="33" t="n">
        <f aca="false">IF(F2672="","",F2672-C2672)</f>
        <v>-4.125</v>
      </c>
      <c r="K2672" s="33" t="n">
        <f aca="false">IF(G2672="","",G2672-C2672)</f>
        <v>-4.7697246526113</v>
      </c>
      <c r="L2672" s="33" t="n">
        <f aca="false">IF(H2672="","",ABS(H2672))</f>
        <v>2</v>
      </c>
      <c r="M2672" s="33" t="n">
        <f aca="false">IF(I2672="","",ABS(I2672))</f>
        <v>5.75</v>
      </c>
      <c r="N2672" s="33" t="n">
        <f aca="false">IF(J2672="","",ABS(J2672))</f>
        <v>4.125</v>
      </c>
      <c r="O2672" s="33" t="n">
        <f aca="false">IF(K2672="","",ABS(K2672))</f>
        <v>4.7697246526113</v>
      </c>
      <c r="P2672" s="34" t="str">
        <f aca="false">IF(B2672&gt;=Eval_Start_Week,"YES","")</f>
        <v>YES</v>
      </c>
      <c r="Q2672" s="34" t="str">
        <f aca="false">IF(AND(B2672&gt;=Cal_Start_Week,B2672&lt;=Cal_End_Week),"YES","")</f>
        <v>YES</v>
      </c>
    </row>
    <row r="2673" customFormat="false" ht="15" hidden="false" customHeight="false" outlineLevel="0" collapsed="false">
      <c r="A2673" s="31" t="str">
        <f aca="false">Demand_History!C2673</f>
        <v>BED-006</v>
      </c>
      <c r="B2673" s="31" t="n">
        <f aca="false">Demand_History!A2673</f>
        <v>72</v>
      </c>
      <c r="C2673" s="32" t="n">
        <f aca="false">Demand_History!D2673</f>
        <v>36</v>
      </c>
      <c r="D2673" s="33" t="n">
        <f aca="false">IF(B2673&gt;=2,C2672,"")</f>
        <v>34</v>
      </c>
      <c r="E2673" s="33" t="n">
        <f aca="false">IF(B2673&gt;=5,AVERAGE(C2669:C2672),"")</f>
        <v>29.5</v>
      </c>
      <c r="F2673" s="33" t="n">
        <f aca="false">IF(B2673&gt;=9,AVERAGE(C2665:C2672),"")</f>
        <v>29.25</v>
      </c>
      <c r="G2673" s="33" t="n">
        <f aca="false">IF(B2673=1,"",IF(B2673=2,C2672,SES_Alpha*C2672+(1-SES_Alpha)*G2672))</f>
        <v>30.6611927431721</v>
      </c>
      <c r="H2673" s="33" t="n">
        <f aca="false">IF(D2673="","",D2673-C2673)</f>
        <v>-2</v>
      </c>
      <c r="I2673" s="33" t="n">
        <f aca="false">IF(E2673="","",E2673-C2673)</f>
        <v>-6.5</v>
      </c>
      <c r="J2673" s="33" t="n">
        <f aca="false">IF(F2673="","",F2673-C2673)</f>
        <v>-6.75</v>
      </c>
      <c r="K2673" s="33" t="n">
        <f aca="false">IF(G2673="","",G2673-C2673)</f>
        <v>-5.33880725682791</v>
      </c>
      <c r="L2673" s="33" t="n">
        <f aca="false">IF(H2673="","",ABS(H2673))</f>
        <v>2</v>
      </c>
      <c r="M2673" s="33" t="n">
        <f aca="false">IF(I2673="","",ABS(I2673))</f>
        <v>6.5</v>
      </c>
      <c r="N2673" s="33" t="n">
        <f aca="false">IF(J2673="","",ABS(J2673))</f>
        <v>6.75</v>
      </c>
      <c r="O2673" s="33" t="n">
        <f aca="false">IF(K2673="","",ABS(K2673))</f>
        <v>5.33880725682791</v>
      </c>
      <c r="P2673" s="34" t="str">
        <f aca="false">IF(B2673&gt;=Eval_Start_Week,"YES","")</f>
        <v>YES</v>
      </c>
      <c r="Q2673" s="34" t="str">
        <f aca="false">IF(AND(B2673&gt;=Cal_Start_Week,B2673&lt;=Cal_End_Week),"YES","")</f>
        <v>YES</v>
      </c>
    </row>
    <row r="2674" customFormat="false" ht="15" hidden="false" customHeight="false" outlineLevel="0" collapsed="false">
      <c r="A2674" s="31" t="str">
        <f aca="false">Demand_History!C2674</f>
        <v>BED-006</v>
      </c>
      <c r="B2674" s="31" t="n">
        <f aca="false">Demand_History!A2674</f>
        <v>73</v>
      </c>
      <c r="C2674" s="32" t="n">
        <f aca="false">Demand_History!D2674</f>
        <v>30</v>
      </c>
      <c r="D2674" s="33" t="n">
        <f aca="false">IF(B2674&gt;=2,C2673,"")</f>
        <v>36</v>
      </c>
      <c r="E2674" s="33" t="n">
        <f aca="false">IF(B2674&gt;=5,AVERAGE(C2670:C2673),"")</f>
        <v>31.75</v>
      </c>
      <c r="F2674" s="33" t="n">
        <f aca="false">IF(B2674&gt;=9,AVERAGE(C2666:C2673),"")</f>
        <v>30.625</v>
      </c>
      <c r="G2674" s="33" t="n">
        <f aca="false">IF(B2674=1,"",IF(B2674=2,C2673,SES_Alpha*C2673+(1-SES_Alpha)*G2673))</f>
        <v>32.2628349202205</v>
      </c>
      <c r="H2674" s="33" t="n">
        <f aca="false">IF(D2674="","",D2674-C2674)</f>
        <v>6</v>
      </c>
      <c r="I2674" s="33" t="n">
        <f aca="false">IF(E2674="","",E2674-C2674)</f>
        <v>1.75</v>
      </c>
      <c r="J2674" s="33" t="n">
        <f aca="false">IF(F2674="","",F2674-C2674)</f>
        <v>0.625</v>
      </c>
      <c r="K2674" s="33" t="n">
        <f aca="false">IF(G2674="","",G2674-C2674)</f>
        <v>2.26283492022046</v>
      </c>
      <c r="L2674" s="33" t="n">
        <f aca="false">IF(H2674="","",ABS(H2674))</f>
        <v>6</v>
      </c>
      <c r="M2674" s="33" t="n">
        <f aca="false">IF(I2674="","",ABS(I2674))</f>
        <v>1.75</v>
      </c>
      <c r="N2674" s="33" t="n">
        <f aca="false">IF(J2674="","",ABS(J2674))</f>
        <v>0.625</v>
      </c>
      <c r="O2674" s="33" t="n">
        <f aca="false">IF(K2674="","",ABS(K2674))</f>
        <v>2.26283492022046</v>
      </c>
      <c r="P2674" s="34" t="str">
        <f aca="false">IF(B2674&gt;=Eval_Start_Week,"YES","")</f>
        <v>YES</v>
      </c>
      <c r="Q2674" s="34" t="str">
        <f aca="false">IF(AND(B2674&gt;=Cal_Start_Week,B2674&lt;=Cal_End_Week),"YES","")</f>
        <v>YES</v>
      </c>
    </row>
    <row r="2675" customFormat="false" ht="15" hidden="false" customHeight="false" outlineLevel="0" collapsed="false">
      <c r="A2675" s="31" t="str">
        <f aca="false">Demand_History!C2675</f>
        <v>BED-006</v>
      </c>
      <c r="B2675" s="31" t="n">
        <f aca="false">Demand_History!A2675</f>
        <v>74</v>
      </c>
      <c r="C2675" s="32" t="n">
        <f aca="false">Demand_History!D2675</f>
        <v>34</v>
      </c>
      <c r="D2675" s="33" t="n">
        <f aca="false">IF(B2675&gt;=2,C2674,"")</f>
        <v>30</v>
      </c>
      <c r="E2675" s="33" t="n">
        <f aca="false">IF(B2675&gt;=5,AVERAGE(C2671:C2674),"")</f>
        <v>33</v>
      </c>
      <c r="F2675" s="33" t="n">
        <f aca="false">IF(B2675&gt;=9,AVERAGE(C2667:C2674),"")</f>
        <v>30.875</v>
      </c>
      <c r="G2675" s="33" t="n">
        <f aca="false">IF(B2675=1,"",IF(B2675=2,C2674,SES_Alpha*C2674+(1-SES_Alpha)*G2674))</f>
        <v>31.5839844441543</v>
      </c>
      <c r="H2675" s="33" t="n">
        <f aca="false">IF(D2675="","",D2675-C2675)</f>
        <v>-4</v>
      </c>
      <c r="I2675" s="33" t="n">
        <f aca="false">IF(E2675="","",E2675-C2675)</f>
        <v>-1</v>
      </c>
      <c r="J2675" s="33" t="n">
        <f aca="false">IF(F2675="","",F2675-C2675)</f>
        <v>-3.125</v>
      </c>
      <c r="K2675" s="33" t="n">
        <f aca="false">IF(G2675="","",G2675-C2675)</f>
        <v>-2.41601555584568</v>
      </c>
      <c r="L2675" s="33" t="n">
        <f aca="false">IF(H2675="","",ABS(H2675))</f>
        <v>4</v>
      </c>
      <c r="M2675" s="33" t="n">
        <f aca="false">IF(I2675="","",ABS(I2675))</f>
        <v>1</v>
      </c>
      <c r="N2675" s="33" t="n">
        <f aca="false">IF(J2675="","",ABS(J2675))</f>
        <v>3.125</v>
      </c>
      <c r="O2675" s="33" t="n">
        <f aca="false">IF(K2675="","",ABS(K2675))</f>
        <v>2.41601555584568</v>
      </c>
      <c r="P2675" s="34" t="str">
        <f aca="false">IF(B2675&gt;=Eval_Start_Week,"YES","")</f>
        <v>YES</v>
      </c>
      <c r="Q2675" s="34" t="str">
        <f aca="false">IF(AND(B2675&gt;=Cal_Start_Week,B2675&lt;=Cal_End_Week),"YES","")</f>
        <v>YES</v>
      </c>
    </row>
    <row r="2676" customFormat="false" ht="15" hidden="false" customHeight="false" outlineLevel="0" collapsed="false">
      <c r="A2676" s="31" t="str">
        <f aca="false">Demand_History!C2676</f>
        <v>BED-006</v>
      </c>
      <c r="B2676" s="31" t="n">
        <f aca="false">Demand_History!A2676</f>
        <v>75</v>
      </c>
      <c r="C2676" s="32" t="n">
        <f aca="false">Demand_History!D2676</f>
        <v>26</v>
      </c>
      <c r="D2676" s="33" t="n">
        <f aca="false">IF(B2676&gt;=2,C2675,"")</f>
        <v>34</v>
      </c>
      <c r="E2676" s="33" t="n">
        <f aca="false">IF(B2676&gt;=5,AVERAGE(C2672:C2675),"")</f>
        <v>33.5</v>
      </c>
      <c r="F2676" s="33" t="n">
        <f aca="false">IF(B2676&gt;=9,AVERAGE(C2668:C2675),"")</f>
        <v>30.875</v>
      </c>
      <c r="G2676" s="33" t="n">
        <f aca="false">IF(B2676=1,"",IF(B2676=2,C2675,SES_Alpha*C2675+(1-SES_Alpha)*G2675))</f>
        <v>32.308789110908</v>
      </c>
      <c r="H2676" s="33" t="n">
        <f aca="false">IF(D2676="","",D2676-C2676)</f>
        <v>8</v>
      </c>
      <c r="I2676" s="33" t="n">
        <f aca="false">IF(E2676="","",E2676-C2676)</f>
        <v>7.5</v>
      </c>
      <c r="J2676" s="33" t="n">
        <f aca="false">IF(F2676="","",F2676-C2676)</f>
        <v>4.875</v>
      </c>
      <c r="K2676" s="33" t="n">
        <f aca="false">IF(G2676="","",G2676-C2676)</f>
        <v>6.30878911090802</v>
      </c>
      <c r="L2676" s="33" t="n">
        <f aca="false">IF(H2676="","",ABS(H2676))</f>
        <v>8</v>
      </c>
      <c r="M2676" s="33" t="n">
        <f aca="false">IF(I2676="","",ABS(I2676))</f>
        <v>7.5</v>
      </c>
      <c r="N2676" s="33" t="n">
        <f aca="false">IF(J2676="","",ABS(J2676))</f>
        <v>4.875</v>
      </c>
      <c r="O2676" s="33" t="n">
        <f aca="false">IF(K2676="","",ABS(K2676))</f>
        <v>6.30878911090802</v>
      </c>
      <c r="P2676" s="34" t="str">
        <f aca="false">IF(B2676&gt;=Eval_Start_Week,"YES","")</f>
        <v>YES</v>
      </c>
      <c r="Q2676" s="34" t="str">
        <f aca="false">IF(AND(B2676&gt;=Cal_Start_Week,B2676&lt;=Cal_End_Week),"YES","")</f>
        <v>YES</v>
      </c>
    </row>
    <row r="2677" customFormat="false" ht="15" hidden="false" customHeight="false" outlineLevel="0" collapsed="false">
      <c r="A2677" s="31" t="str">
        <f aca="false">Demand_History!C2677</f>
        <v>BED-006</v>
      </c>
      <c r="B2677" s="31" t="n">
        <f aca="false">Demand_History!A2677</f>
        <v>76</v>
      </c>
      <c r="C2677" s="32" t="n">
        <f aca="false">Demand_History!D2677</f>
        <v>31</v>
      </c>
      <c r="D2677" s="33" t="n">
        <f aca="false">IF(B2677&gt;=2,C2676,"")</f>
        <v>26</v>
      </c>
      <c r="E2677" s="33" t="n">
        <f aca="false">IF(B2677&gt;=5,AVERAGE(C2673:C2676),"")</f>
        <v>31.5</v>
      </c>
      <c r="F2677" s="33" t="n">
        <f aca="false">IF(B2677&gt;=9,AVERAGE(C2669:C2676),"")</f>
        <v>30.5</v>
      </c>
      <c r="G2677" s="33" t="n">
        <f aca="false">IF(B2677=1,"",IF(B2677=2,C2676,SES_Alpha*C2676+(1-SES_Alpha)*G2676))</f>
        <v>30.4161523776356</v>
      </c>
      <c r="H2677" s="33" t="n">
        <f aca="false">IF(D2677="","",D2677-C2677)</f>
        <v>-5</v>
      </c>
      <c r="I2677" s="33" t="n">
        <f aca="false">IF(E2677="","",E2677-C2677)</f>
        <v>0.5</v>
      </c>
      <c r="J2677" s="33" t="n">
        <f aca="false">IF(F2677="","",F2677-C2677)</f>
        <v>-0.5</v>
      </c>
      <c r="K2677" s="33" t="n">
        <f aca="false">IF(G2677="","",G2677-C2677)</f>
        <v>-0.583847622364385</v>
      </c>
      <c r="L2677" s="33" t="n">
        <f aca="false">IF(H2677="","",ABS(H2677))</f>
        <v>5</v>
      </c>
      <c r="M2677" s="33" t="n">
        <f aca="false">IF(I2677="","",ABS(I2677))</f>
        <v>0.5</v>
      </c>
      <c r="N2677" s="33" t="n">
        <f aca="false">IF(J2677="","",ABS(J2677))</f>
        <v>0.5</v>
      </c>
      <c r="O2677" s="33" t="n">
        <f aca="false">IF(K2677="","",ABS(K2677))</f>
        <v>0.583847622364385</v>
      </c>
      <c r="P2677" s="34" t="str">
        <f aca="false">IF(B2677&gt;=Eval_Start_Week,"YES","")</f>
        <v>YES</v>
      </c>
      <c r="Q2677" s="34" t="str">
        <f aca="false">IF(AND(B2677&gt;=Cal_Start_Week,B2677&lt;=Cal_End_Week),"YES","")</f>
        <v>YES</v>
      </c>
    </row>
    <row r="2678" customFormat="false" ht="15" hidden="false" customHeight="false" outlineLevel="0" collapsed="false">
      <c r="A2678" s="31" t="str">
        <f aca="false">Demand_History!C2678</f>
        <v>BED-006</v>
      </c>
      <c r="B2678" s="31" t="n">
        <f aca="false">Demand_History!A2678</f>
        <v>77</v>
      </c>
      <c r="C2678" s="32" t="n">
        <f aca="false">Demand_History!D2678</f>
        <v>27</v>
      </c>
      <c r="D2678" s="33" t="n">
        <f aca="false">IF(B2678&gt;=2,C2677,"")</f>
        <v>31</v>
      </c>
      <c r="E2678" s="33" t="n">
        <f aca="false">IF(B2678&gt;=5,AVERAGE(C2674:C2677),"")</f>
        <v>30.25</v>
      </c>
      <c r="F2678" s="33" t="n">
        <f aca="false">IF(B2678&gt;=9,AVERAGE(C2670:C2677),"")</f>
        <v>31</v>
      </c>
      <c r="G2678" s="33" t="n">
        <f aca="false">IF(B2678=1,"",IF(B2678=2,C2677,SES_Alpha*C2677+(1-SES_Alpha)*G2677))</f>
        <v>30.5913066643449</v>
      </c>
      <c r="H2678" s="33" t="n">
        <f aca="false">IF(D2678="","",D2678-C2678)</f>
        <v>4</v>
      </c>
      <c r="I2678" s="33" t="n">
        <f aca="false">IF(E2678="","",E2678-C2678)</f>
        <v>3.25</v>
      </c>
      <c r="J2678" s="33" t="n">
        <f aca="false">IF(F2678="","",F2678-C2678)</f>
        <v>4</v>
      </c>
      <c r="K2678" s="33" t="n">
        <f aca="false">IF(G2678="","",G2678-C2678)</f>
        <v>3.59130666434493</v>
      </c>
      <c r="L2678" s="33" t="n">
        <f aca="false">IF(H2678="","",ABS(H2678))</f>
        <v>4</v>
      </c>
      <c r="M2678" s="33" t="n">
        <f aca="false">IF(I2678="","",ABS(I2678))</f>
        <v>3.25</v>
      </c>
      <c r="N2678" s="33" t="n">
        <f aca="false">IF(J2678="","",ABS(J2678))</f>
        <v>4</v>
      </c>
      <c r="O2678" s="33" t="n">
        <f aca="false">IF(K2678="","",ABS(K2678))</f>
        <v>3.59130666434493</v>
      </c>
      <c r="P2678" s="34" t="str">
        <f aca="false">IF(B2678&gt;=Eval_Start_Week,"YES","")</f>
        <v>YES</v>
      </c>
      <c r="Q2678" s="34" t="str">
        <f aca="false">IF(AND(B2678&gt;=Cal_Start_Week,B2678&lt;=Cal_End_Week),"YES","")</f>
        <v>YES</v>
      </c>
    </row>
    <row r="2679" customFormat="false" ht="15" hidden="false" customHeight="false" outlineLevel="0" collapsed="false">
      <c r="A2679" s="31" t="str">
        <f aca="false">Demand_History!C2679</f>
        <v>BED-006</v>
      </c>
      <c r="B2679" s="31" t="n">
        <f aca="false">Demand_History!A2679</f>
        <v>78</v>
      </c>
      <c r="C2679" s="32" t="n">
        <f aca="false">Demand_History!D2679</f>
        <v>31</v>
      </c>
      <c r="D2679" s="33" t="n">
        <f aca="false">IF(B2679&gt;=2,C2678,"")</f>
        <v>27</v>
      </c>
      <c r="E2679" s="33" t="n">
        <f aca="false">IF(B2679&gt;=5,AVERAGE(C2675:C2678),"")</f>
        <v>29.5</v>
      </c>
      <c r="F2679" s="33" t="n">
        <f aca="false">IF(B2679&gt;=9,AVERAGE(C2671:C2678),"")</f>
        <v>31.25</v>
      </c>
      <c r="G2679" s="33" t="n">
        <f aca="false">IF(B2679=1,"",IF(B2679=2,C2678,SES_Alpha*C2678+(1-SES_Alpha)*G2678))</f>
        <v>29.5139146650414</v>
      </c>
      <c r="H2679" s="33" t="n">
        <f aca="false">IF(D2679="","",D2679-C2679)</f>
        <v>-4</v>
      </c>
      <c r="I2679" s="33" t="n">
        <f aca="false">IF(E2679="","",E2679-C2679)</f>
        <v>-1.5</v>
      </c>
      <c r="J2679" s="33" t="n">
        <f aca="false">IF(F2679="","",F2679-C2679)</f>
        <v>0.25</v>
      </c>
      <c r="K2679" s="33" t="n">
        <f aca="false">IF(G2679="","",G2679-C2679)</f>
        <v>-1.48608533495855</v>
      </c>
      <c r="L2679" s="33" t="n">
        <f aca="false">IF(H2679="","",ABS(H2679))</f>
        <v>4</v>
      </c>
      <c r="M2679" s="33" t="n">
        <f aca="false">IF(I2679="","",ABS(I2679))</f>
        <v>1.5</v>
      </c>
      <c r="N2679" s="33" t="n">
        <f aca="false">IF(J2679="","",ABS(J2679))</f>
        <v>0.25</v>
      </c>
      <c r="O2679" s="33" t="n">
        <f aca="false">IF(K2679="","",ABS(K2679))</f>
        <v>1.48608533495855</v>
      </c>
      <c r="P2679" s="34" t="str">
        <f aca="false">IF(B2679&gt;=Eval_Start_Week,"YES","")</f>
        <v>YES</v>
      </c>
      <c r="Q2679" s="34" t="str">
        <f aca="false">IF(AND(B2679&gt;=Cal_Start_Week,B2679&lt;=Cal_End_Week),"YES","")</f>
        <v>YES</v>
      </c>
    </row>
    <row r="2680" customFormat="false" ht="15" hidden="false" customHeight="false" outlineLevel="0" collapsed="false">
      <c r="A2680" s="31" t="str">
        <f aca="false">Demand_History!C2680</f>
        <v>BED-006</v>
      </c>
      <c r="B2680" s="31" t="n">
        <f aca="false">Demand_History!A2680</f>
        <v>79</v>
      </c>
      <c r="C2680" s="32" t="n">
        <f aca="false">Demand_History!D2680</f>
        <v>33</v>
      </c>
      <c r="D2680" s="33" t="n">
        <f aca="false">IF(B2680&gt;=2,C2679,"")</f>
        <v>31</v>
      </c>
      <c r="E2680" s="33" t="n">
        <f aca="false">IF(B2680&gt;=5,AVERAGE(C2676:C2679),"")</f>
        <v>28.75</v>
      </c>
      <c r="F2680" s="33" t="n">
        <f aca="false">IF(B2680&gt;=9,AVERAGE(C2672:C2679),"")</f>
        <v>31.125</v>
      </c>
      <c r="G2680" s="33" t="n">
        <f aca="false">IF(B2680=1,"",IF(B2680=2,C2679,SES_Alpha*C2679+(1-SES_Alpha)*G2679))</f>
        <v>29.959740265529</v>
      </c>
      <c r="H2680" s="33" t="n">
        <f aca="false">IF(D2680="","",D2680-C2680)</f>
        <v>-2</v>
      </c>
      <c r="I2680" s="33" t="n">
        <f aca="false">IF(E2680="","",E2680-C2680)</f>
        <v>-4.25</v>
      </c>
      <c r="J2680" s="33" t="n">
        <f aca="false">IF(F2680="","",F2680-C2680)</f>
        <v>-1.875</v>
      </c>
      <c r="K2680" s="33" t="n">
        <f aca="false">IF(G2680="","",G2680-C2680)</f>
        <v>-3.04025973447099</v>
      </c>
      <c r="L2680" s="33" t="n">
        <f aca="false">IF(H2680="","",ABS(H2680))</f>
        <v>2</v>
      </c>
      <c r="M2680" s="33" t="n">
        <f aca="false">IF(I2680="","",ABS(I2680))</f>
        <v>4.25</v>
      </c>
      <c r="N2680" s="33" t="n">
        <f aca="false">IF(J2680="","",ABS(J2680))</f>
        <v>1.875</v>
      </c>
      <c r="O2680" s="33" t="n">
        <f aca="false">IF(K2680="","",ABS(K2680))</f>
        <v>3.04025973447099</v>
      </c>
      <c r="P2680" s="34" t="str">
        <f aca="false">IF(B2680&gt;=Eval_Start_Week,"YES","")</f>
        <v>YES</v>
      </c>
      <c r="Q2680" s="34" t="str">
        <f aca="false">IF(AND(B2680&gt;=Cal_Start_Week,B2680&lt;=Cal_End_Week),"YES","")</f>
        <v>YES</v>
      </c>
    </row>
    <row r="2681" customFormat="false" ht="15" hidden="false" customHeight="false" outlineLevel="0" collapsed="false">
      <c r="A2681" s="31" t="str">
        <f aca="false">Demand_History!C2681</f>
        <v>BED-006</v>
      </c>
      <c r="B2681" s="31" t="n">
        <f aca="false">Demand_History!A2681</f>
        <v>80</v>
      </c>
      <c r="C2681" s="32" t="n">
        <f aca="false">Demand_History!D2681</f>
        <v>34</v>
      </c>
      <c r="D2681" s="33" t="n">
        <f aca="false">IF(B2681&gt;=2,C2680,"")</f>
        <v>33</v>
      </c>
      <c r="E2681" s="33" t="n">
        <f aca="false">IF(B2681&gt;=5,AVERAGE(C2677:C2680),"")</f>
        <v>30.5</v>
      </c>
      <c r="F2681" s="33" t="n">
        <f aca="false">IF(B2681&gt;=9,AVERAGE(C2673:C2680),"")</f>
        <v>31</v>
      </c>
      <c r="G2681" s="33" t="n">
        <f aca="false">IF(B2681=1,"",IF(B2681=2,C2680,SES_Alpha*C2680+(1-SES_Alpha)*G2680))</f>
        <v>30.8718181858703</v>
      </c>
      <c r="H2681" s="33" t="n">
        <f aca="false">IF(D2681="","",D2681-C2681)</f>
        <v>-1</v>
      </c>
      <c r="I2681" s="33" t="n">
        <f aca="false">IF(E2681="","",E2681-C2681)</f>
        <v>-3.5</v>
      </c>
      <c r="J2681" s="33" t="n">
        <f aca="false">IF(F2681="","",F2681-C2681)</f>
        <v>-3</v>
      </c>
      <c r="K2681" s="33" t="n">
        <f aca="false">IF(G2681="","",G2681-C2681)</f>
        <v>-3.12818181412969</v>
      </c>
      <c r="L2681" s="33" t="n">
        <f aca="false">IF(H2681="","",ABS(H2681))</f>
        <v>1</v>
      </c>
      <c r="M2681" s="33" t="n">
        <f aca="false">IF(I2681="","",ABS(I2681))</f>
        <v>3.5</v>
      </c>
      <c r="N2681" s="33" t="n">
        <f aca="false">IF(J2681="","",ABS(J2681))</f>
        <v>3</v>
      </c>
      <c r="O2681" s="33" t="n">
        <f aca="false">IF(K2681="","",ABS(K2681))</f>
        <v>3.12818181412969</v>
      </c>
      <c r="P2681" s="34" t="str">
        <f aca="false">IF(B2681&gt;=Eval_Start_Week,"YES","")</f>
        <v>YES</v>
      </c>
      <c r="Q2681" s="34" t="str">
        <f aca="false">IF(AND(B2681&gt;=Cal_Start_Week,B2681&lt;=Cal_End_Week),"YES","")</f>
        <v>YES</v>
      </c>
    </row>
    <row r="2682" customFormat="false" ht="15" hidden="false" customHeight="false" outlineLevel="0" collapsed="false">
      <c r="A2682" s="31" t="str">
        <f aca="false">Demand_History!C2682</f>
        <v>BED-006</v>
      </c>
      <c r="B2682" s="31" t="n">
        <f aca="false">Demand_History!A2682</f>
        <v>81</v>
      </c>
      <c r="C2682" s="32" t="n">
        <f aca="false">Demand_History!D2682</f>
        <v>26</v>
      </c>
      <c r="D2682" s="33" t="n">
        <f aca="false">IF(B2682&gt;=2,C2681,"")</f>
        <v>34</v>
      </c>
      <c r="E2682" s="33" t="n">
        <f aca="false">IF(B2682&gt;=5,AVERAGE(C2678:C2681),"")</f>
        <v>31.25</v>
      </c>
      <c r="F2682" s="33" t="n">
        <f aca="false">IF(B2682&gt;=9,AVERAGE(C2674:C2681),"")</f>
        <v>30.75</v>
      </c>
      <c r="G2682" s="33" t="n">
        <f aca="false">IF(B2682=1,"",IF(B2682=2,C2681,SES_Alpha*C2681+(1-SES_Alpha)*G2681))</f>
        <v>31.8102727301092</v>
      </c>
      <c r="H2682" s="33" t="n">
        <f aca="false">IF(D2682="","",D2682-C2682)</f>
        <v>8</v>
      </c>
      <c r="I2682" s="33" t="n">
        <f aca="false">IF(E2682="","",E2682-C2682)</f>
        <v>5.25</v>
      </c>
      <c r="J2682" s="33" t="n">
        <f aca="false">IF(F2682="","",F2682-C2682)</f>
        <v>4.75</v>
      </c>
      <c r="K2682" s="33" t="n">
        <f aca="false">IF(G2682="","",G2682-C2682)</f>
        <v>5.81027273010922</v>
      </c>
      <c r="L2682" s="33" t="n">
        <f aca="false">IF(H2682="","",ABS(H2682))</f>
        <v>8</v>
      </c>
      <c r="M2682" s="33" t="n">
        <f aca="false">IF(I2682="","",ABS(I2682))</f>
        <v>5.25</v>
      </c>
      <c r="N2682" s="33" t="n">
        <f aca="false">IF(J2682="","",ABS(J2682))</f>
        <v>4.75</v>
      </c>
      <c r="O2682" s="33" t="n">
        <f aca="false">IF(K2682="","",ABS(K2682))</f>
        <v>5.81027273010922</v>
      </c>
      <c r="P2682" s="34" t="str">
        <f aca="false">IF(B2682&gt;=Eval_Start_Week,"YES","")</f>
        <v>YES</v>
      </c>
      <c r="Q2682" s="34" t="str">
        <f aca="false">IF(AND(B2682&gt;=Cal_Start_Week,B2682&lt;=Cal_End_Week),"YES","")</f>
        <v>YES</v>
      </c>
    </row>
    <row r="2683" customFormat="false" ht="15" hidden="false" customHeight="false" outlineLevel="0" collapsed="false">
      <c r="A2683" s="31" t="str">
        <f aca="false">Demand_History!C2683</f>
        <v>BED-006</v>
      </c>
      <c r="B2683" s="31" t="n">
        <f aca="false">Demand_History!A2683</f>
        <v>82</v>
      </c>
      <c r="C2683" s="32" t="n">
        <f aca="false">Demand_History!D2683</f>
        <v>35</v>
      </c>
      <c r="D2683" s="33" t="n">
        <f aca="false">IF(B2683&gt;=2,C2682,"")</f>
        <v>26</v>
      </c>
      <c r="E2683" s="33" t="n">
        <f aca="false">IF(B2683&gt;=5,AVERAGE(C2679:C2682),"")</f>
        <v>31</v>
      </c>
      <c r="F2683" s="33" t="n">
        <f aca="false">IF(B2683&gt;=9,AVERAGE(C2675:C2682),"")</f>
        <v>30.25</v>
      </c>
      <c r="G2683" s="33" t="n">
        <f aca="false">IF(B2683=1,"",IF(B2683=2,C2682,SES_Alpha*C2682+(1-SES_Alpha)*G2682))</f>
        <v>30.0671909110765</v>
      </c>
      <c r="H2683" s="33" t="n">
        <f aca="false">IF(D2683="","",D2683-C2683)</f>
        <v>-9</v>
      </c>
      <c r="I2683" s="33" t="n">
        <f aca="false">IF(E2683="","",E2683-C2683)</f>
        <v>-4</v>
      </c>
      <c r="J2683" s="33" t="n">
        <f aca="false">IF(F2683="","",F2683-C2683)</f>
        <v>-4.75</v>
      </c>
      <c r="K2683" s="33" t="n">
        <f aca="false">IF(G2683="","",G2683-C2683)</f>
        <v>-4.93280908892355</v>
      </c>
      <c r="L2683" s="33" t="n">
        <f aca="false">IF(H2683="","",ABS(H2683))</f>
        <v>9</v>
      </c>
      <c r="M2683" s="33" t="n">
        <f aca="false">IF(I2683="","",ABS(I2683))</f>
        <v>4</v>
      </c>
      <c r="N2683" s="33" t="n">
        <f aca="false">IF(J2683="","",ABS(J2683))</f>
        <v>4.75</v>
      </c>
      <c r="O2683" s="33" t="n">
        <f aca="false">IF(K2683="","",ABS(K2683))</f>
        <v>4.93280908892355</v>
      </c>
      <c r="P2683" s="34" t="str">
        <f aca="false">IF(B2683&gt;=Eval_Start_Week,"YES","")</f>
        <v>YES</v>
      </c>
      <c r="Q2683" s="34" t="str">
        <f aca="false">IF(AND(B2683&gt;=Cal_Start_Week,B2683&lt;=Cal_End_Week),"YES","")</f>
        <v>YES</v>
      </c>
    </row>
    <row r="2684" customFormat="false" ht="15" hidden="false" customHeight="false" outlineLevel="0" collapsed="false">
      <c r="A2684" s="31" t="str">
        <f aca="false">Demand_History!C2684</f>
        <v>BED-006</v>
      </c>
      <c r="B2684" s="31" t="n">
        <f aca="false">Demand_History!A2684</f>
        <v>83</v>
      </c>
      <c r="C2684" s="32" t="n">
        <f aca="false">Demand_History!D2684</f>
        <v>28</v>
      </c>
      <c r="D2684" s="33" t="n">
        <f aca="false">IF(B2684&gt;=2,C2683,"")</f>
        <v>35</v>
      </c>
      <c r="E2684" s="33" t="n">
        <f aca="false">IF(B2684&gt;=5,AVERAGE(C2680:C2683),"")</f>
        <v>32</v>
      </c>
      <c r="F2684" s="33" t="n">
        <f aca="false">IF(B2684&gt;=9,AVERAGE(C2676:C2683),"")</f>
        <v>30.375</v>
      </c>
      <c r="G2684" s="33" t="n">
        <f aca="false">IF(B2684=1,"",IF(B2684=2,C2683,SES_Alpha*C2683+(1-SES_Alpha)*G2683))</f>
        <v>31.5470336377535</v>
      </c>
      <c r="H2684" s="33" t="n">
        <f aca="false">IF(D2684="","",D2684-C2684)</f>
        <v>7</v>
      </c>
      <c r="I2684" s="33" t="n">
        <f aca="false">IF(E2684="","",E2684-C2684)</f>
        <v>4</v>
      </c>
      <c r="J2684" s="33" t="n">
        <f aca="false">IF(F2684="","",F2684-C2684)</f>
        <v>2.375</v>
      </c>
      <c r="K2684" s="33" t="n">
        <f aca="false">IF(G2684="","",G2684-C2684)</f>
        <v>3.54703363775351</v>
      </c>
      <c r="L2684" s="33" t="n">
        <f aca="false">IF(H2684="","",ABS(H2684))</f>
        <v>7</v>
      </c>
      <c r="M2684" s="33" t="n">
        <f aca="false">IF(I2684="","",ABS(I2684))</f>
        <v>4</v>
      </c>
      <c r="N2684" s="33" t="n">
        <f aca="false">IF(J2684="","",ABS(J2684))</f>
        <v>2.375</v>
      </c>
      <c r="O2684" s="33" t="n">
        <f aca="false">IF(K2684="","",ABS(K2684))</f>
        <v>3.54703363775351</v>
      </c>
      <c r="P2684" s="34" t="str">
        <f aca="false">IF(B2684&gt;=Eval_Start_Week,"YES","")</f>
        <v>YES</v>
      </c>
      <c r="Q2684" s="34" t="str">
        <f aca="false">IF(AND(B2684&gt;=Cal_Start_Week,B2684&lt;=Cal_End_Week),"YES","")</f>
        <v>YES</v>
      </c>
    </row>
    <row r="2685" customFormat="false" ht="15" hidden="false" customHeight="false" outlineLevel="0" collapsed="false">
      <c r="A2685" s="31" t="str">
        <f aca="false">Demand_History!C2685</f>
        <v>BED-006</v>
      </c>
      <c r="B2685" s="31" t="n">
        <f aca="false">Demand_History!A2685</f>
        <v>84</v>
      </c>
      <c r="C2685" s="32" t="n">
        <f aca="false">Demand_History!D2685</f>
        <v>26</v>
      </c>
      <c r="D2685" s="33" t="n">
        <f aca="false">IF(B2685&gt;=2,C2684,"")</f>
        <v>28</v>
      </c>
      <c r="E2685" s="33" t="n">
        <f aca="false">IF(B2685&gt;=5,AVERAGE(C2681:C2684),"")</f>
        <v>30.75</v>
      </c>
      <c r="F2685" s="33" t="n">
        <f aca="false">IF(B2685&gt;=9,AVERAGE(C2677:C2684),"")</f>
        <v>30.625</v>
      </c>
      <c r="G2685" s="33" t="n">
        <f aca="false">IF(B2685=1,"",IF(B2685=2,C2684,SES_Alpha*C2684+(1-SES_Alpha)*G2684))</f>
        <v>30.4829235464275</v>
      </c>
      <c r="H2685" s="33" t="n">
        <f aca="false">IF(D2685="","",D2685-C2685)</f>
        <v>2</v>
      </c>
      <c r="I2685" s="33" t="n">
        <f aca="false">IF(E2685="","",E2685-C2685)</f>
        <v>4.75</v>
      </c>
      <c r="J2685" s="33" t="n">
        <f aca="false">IF(F2685="","",F2685-C2685)</f>
        <v>4.625</v>
      </c>
      <c r="K2685" s="33" t="n">
        <f aca="false">IF(G2685="","",G2685-C2685)</f>
        <v>4.48292354642746</v>
      </c>
      <c r="L2685" s="33" t="n">
        <f aca="false">IF(H2685="","",ABS(H2685))</f>
        <v>2</v>
      </c>
      <c r="M2685" s="33" t="n">
        <f aca="false">IF(I2685="","",ABS(I2685))</f>
        <v>4.75</v>
      </c>
      <c r="N2685" s="33" t="n">
        <f aca="false">IF(J2685="","",ABS(J2685))</f>
        <v>4.625</v>
      </c>
      <c r="O2685" s="33" t="n">
        <f aca="false">IF(K2685="","",ABS(K2685))</f>
        <v>4.48292354642746</v>
      </c>
      <c r="P2685" s="34" t="str">
        <f aca="false">IF(B2685&gt;=Eval_Start_Week,"YES","")</f>
        <v>YES</v>
      </c>
      <c r="Q2685" s="34" t="str">
        <f aca="false">IF(AND(B2685&gt;=Cal_Start_Week,B2685&lt;=Cal_End_Week),"YES","")</f>
        <v>YES</v>
      </c>
    </row>
    <row r="2686" customFormat="false" ht="15" hidden="false" customHeight="false" outlineLevel="0" collapsed="false">
      <c r="A2686" s="31" t="str">
        <f aca="false">Demand_History!C2686</f>
        <v>BED-006</v>
      </c>
      <c r="B2686" s="31" t="n">
        <f aca="false">Demand_History!A2686</f>
        <v>85</v>
      </c>
      <c r="C2686" s="32" t="n">
        <f aca="false">Demand_History!D2686</f>
        <v>29</v>
      </c>
      <c r="D2686" s="33" t="n">
        <f aca="false">IF(B2686&gt;=2,C2685,"")</f>
        <v>26</v>
      </c>
      <c r="E2686" s="33" t="n">
        <f aca="false">IF(B2686&gt;=5,AVERAGE(C2682:C2685),"")</f>
        <v>28.75</v>
      </c>
      <c r="F2686" s="33" t="n">
        <f aca="false">IF(B2686&gt;=9,AVERAGE(C2678:C2685),"")</f>
        <v>30</v>
      </c>
      <c r="G2686" s="33" t="n">
        <f aca="false">IF(B2686=1,"",IF(B2686=2,C2685,SES_Alpha*C2685+(1-SES_Alpha)*G2685))</f>
        <v>29.1380464824992</v>
      </c>
      <c r="H2686" s="33" t="n">
        <f aca="false">IF(D2686="","",D2686-C2686)</f>
        <v>-3</v>
      </c>
      <c r="I2686" s="33" t="n">
        <f aca="false">IF(E2686="","",E2686-C2686)</f>
        <v>-0.25</v>
      </c>
      <c r="J2686" s="33" t="n">
        <f aca="false">IF(F2686="","",F2686-C2686)</f>
        <v>1</v>
      </c>
      <c r="K2686" s="33" t="n">
        <f aca="false">IF(G2686="","",G2686-C2686)</f>
        <v>0.13804648249922</v>
      </c>
      <c r="L2686" s="33" t="n">
        <f aca="false">IF(H2686="","",ABS(H2686))</f>
        <v>3</v>
      </c>
      <c r="M2686" s="33" t="n">
        <f aca="false">IF(I2686="","",ABS(I2686))</f>
        <v>0.25</v>
      </c>
      <c r="N2686" s="33" t="n">
        <f aca="false">IF(J2686="","",ABS(J2686))</f>
        <v>1</v>
      </c>
      <c r="O2686" s="33" t="n">
        <f aca="false">IF(K2686="","",ABS(K2686))</f>
        <v>0.13804648249922</v>
      </c>
      <c r="P2686" s="34" t="str">
        <f aca="false">IF(B2686&gt;=Eval_Start_Week,"YES","")</f>
        <v>YES</v>
      </c>
      <c r="Q2686" s="34" t="str">
        <f aca="false">IF(AND(B2686&gt;=Cal_Start_Week,B2686&lt;=Cal_End_Week),"YES","")</f>
        <v>YES</v>
      </c>
    </row>
    <row r="2687" customFormat="false" ht="15" hidden="false" customHeight="false" outlineLevel="0" collapsed="false">
      <c r="A2687" s="31" t="str">
        <f aca="false">Demand_History!C2687</f>
        <v>BED-006</v>
      </c>
      <c r="B2687" s="31" t="n">
        <f aca="false">Demand_History!A2687</f>
        <v>86</v>
      </c>
      <c r="C2687" s="32" t="n">
        <f aca="false">Demand_History!D2687</f>
        <v>24</v>
      </c>
      <c r="D2687" s="33" t="n">
        <f aca="false">IF(B2687&gt;=2,C2686,"")</f>
        <v>29</v>
      </c>
      <c r="E2687" s="33" t="n">
        <f aca="false">IF(B2687&gt;=5,AVERAGE(C2683:C2686),"")</f>
        <v>29.5</v>
      </c>
      <c r="F2687" s="33" t="n">
        <f aca="false">IF(B2687&gt;=9,AVERAGE(C2679:C2686),"")</f>
        <v>30.25</v>
      </c>
      <c r="G2687" s="33" t="n">
        <f aca="false">IF(B2687=1,"",IF(B2687=2,C2686,SES_Alpha*C2686+(1-SES_Alpha)*G2686))</f>
        <v>29.0966325377495</v>
      </c>
      <c r="H2687" s="33" t="n">
        <f aca="false">IF(D2687="","",D2687-C2687)</f>
        <v>5</v>
      </c>
      <c r="I2687" s="33" t="n">
        <f aca="false">IF(E2687="","",E2687-C2687)</f>
        <v>5.5</v>
      </c>
      <c r="J2687" s="33" t="n">
        <f aca="false">IF(F2687="","",F2687-C2687)</f>
        <v>6.25</v>
      </c>
      <c r="K2687" s="33" t="n">
        <f aca="false">IF(G2687="","",G2687-C2687)</f>
        <v>5.09663253774945</v>
      </c>
      <c r="L2687" s="33" t="n">
        <f aca="false">IF(H2687="","",ABS(H2687))</f>
        <v>5</v>
      </c>
      <c r="M2687" s="33" t="n">
        <f aca="false">IF(I2687="","",ABS(I2687))</f>
        <v>5.5</v>
      </c>
      <c r="N2687" s="33" t="n">
        <f aca="false">IF(J2687="","",ABS(J2687))</f>
        <v>6.25</v>
      </c>
      <c r="O2687" s="33" t="n">
        <f aca="false">IF(K2687="","",ABS(K2687))</f>
        <v>5.09663253774945</v>
      </c>
      <c r="P2687" s="34" t="str">
        <f aca="false">IF(B2687&gt;=Eval_Start_Week,"YES","")</f>
        <v>YES</v>
      </c>
      <c r="Q2687" s="34" t="str">
        <f aca="false">IF(AND(B2687&gt;=Cal_Start_Week,B2687&lt;=Cal_End_Week),"YES","")</f>
        <v>YES</v>
      </c>
    </row>
    <row r="2688" customFormat="false" ht="15" hidden="false" customHeight="false" outlineLevel="0" collapsed="false">
      <c r="A2688" s="31" t="str">
        <f aca="false">Demand_History!C2688</f>
        <v>BED-006</v>
      </c>
      <c r="B2688" s="31" t="n">
        <f aca="false">Demand_History!A2688</f>
        <v>87</v>
      </c>
      <c r="C2688" s="32" t="n">
        <f aca="false">Demand_History!D2688</f>
        <v>30</v>
      </c>
      <c r="D2688" s="33" t="n">
        <f aca="false">IF(B2688&gt;=2,C2687,"")</f>
        <v>24</v>
      </c>
      <c r="E2688" s="33" t="n">
        <f aca="false">IF(B2688&gt;=5,AVERAGE(C2684:C2687),"")</f>
        <v>26.75</v>
      </c>
      <c r="F2688" s="33" t="n">
        <f aca="false">IF(B2688&gt;=9,AVERAGE(C2680:C2687),"")</f>
        <v>29.375</v>
      </c>
      <c r="G2688" s="33" t="n">
        <f aca="false">IF(B2688=1,"",IF(B2688=2,C2687,SES_Alpha*C2687+(1-SES_Alpha)*G2687))</f>
        <v>27.5676427764246</v>
      </c>
      <c r="H2688" s="33" t="n">
        <f aca="false">IF(D2688="","",D2688-C2688)</f>
        <v>-6</v>
      </c>
      <c r="I2688" s="33" t="n">
        <f aca="false">IF(E2688="","",E2688-C2688)</f>
        <v>-3.25</v>
      </c>
      <c r="J2688" s="33" t="n">
        <f aca="false">IF(F2688="","",F2688-C2688)</f>
        <v>-0.625</v>
      </c>
      <c r="K2688" s="33" t="n">
        <f aca="false">IF(G2688="","",G2688-C2688)</f>
        <v>-2.43235722357538</v>
      </c>
      <c r="L2688" s="33" t="n">
        <f aca="false">IF(H2688="","",ABS(H2688))</f>
        <v>6</v>
      </c>
      <c r="M2688" s="33" t="n">
        <f aca="false">IF(I2688="","",ABS(I2688))</f>
        <v>3.25</v>
      </c>
      <c r="N2688" s="33" t="n">
        <f aca="false">IF(J2688="","",ABS(J2688))</f>
        <v>0.625</v>
      </c>
      <c r="O2688" s="33" t="n">
        <f aca="false">IF(K2688="","",ABS(K2688))</f>
        <v>2.43235722357538</v>
      </c>
      <c r="P2688" s="34" t="str">
        <f aca="false">IF(B2688&gt;=Eval_Start_Week,"YES","")</f>
        <v>YES</v>
      </c>
      <c r="Q2688" s="34" t="str">
        <f aca="false">IF(AND(B2688&gt;=Cal_Start_Week,B2688&lt;=Cal_End_Week),"YES","")</f>
        <v>YES</v>
      </c>
    </row>
    <row r="2689" customFormat="false" ht="15" hidden="false" customHeight="false" outlineLevel="0" collapsed="false">
      <c r="A2689" s="31" t="str">
        <f aca="false">Demand_History!C2689</f>
        <v>BED-006</v>
      </c>
      <c r="B2689" s="31" t="n">
        <f aca="false">Demand_History!A2689</f>
        <v>88</v>
      </c>
      <c r="C2689" s="32" t="n">
        <f aca="false">Demand_History!D2689</f>
        <v>31</v>
      </c>
      <c r="D2689" s="33" t="n">
        <f aca="false">IF(B2689&gt;=2,C2688,"")</f>
        <v>30</v>
      </c>
      <c r="E2689" s="33" t="n">
        <f aca="false">IF(B2689&gt;=5,AVERAGE(C2685:C2688),"")</f>
        <v>27.25</v>
      </c>
      <c r="F2689" s="33" t="n">
        <f aca="false">IF(B2689&gt;=9,AVERAGE(C2681:C2688),"")</f>
        <v>29</v>
      </c>
      <c r="G2689" s="33" t="n">
        <f aca="false">IF(B2689=1,"",IF(B2689=2,C2688,SES_Alpha*C2688+(1-SES_Alpha)*G2688))</f>
        <v>28.2973499434972</v>
      </c>
      <c r="H2689" s="33" t="n">
        <f aca="false">IF(D2689="","",D2689-C2689)</f>
        <v>-1</v>
      </c>
      <c r="I2689" s="33" t="n">
        <f aca="false">IF(E2689="","",E2689-C2689)</f>
        <v>-3.75</v>
      </c>
      <c r="J2689" s="33" t="n">
        <f aca="false">IF(F2689="","",F2689-C2689)</f>
        <v>-2</v>
      </c>
      <c r="K2689" s="33" t="n">
        <f aca="false">IF(G2689="","",G2689-C2689)</f>
        <v>-2.70265005650277</v>
      </c>
      <c r="L2689" s="33" t="n">
        <f aca="false">IF(H2689="","",ABS(H2689))</f>
        <v>1</v>
      </c>
      <c r="M2689" s="33" t="n">
        <f aca="false">IF(I2689="","",ABS(I2689))</f>
        <v>3.75</v>
      </c>
      <c r="N2689" s="33" t="n">
        <f aca="false">IF(J2689="","",ABS(J2689))</f>
        <v>2</v>
      </c>
      <c r="O2689" s="33" t="n">
        <f aca="false">IF(K2689="","",ABS(K2689))</f>
        <v>2.70265005650277</v>
      </c>
      <c r="P2689" s="34" t="str">
        <f aca="false">IF(B2689&gt;=Eval_Start_Week,"YES","")</f>
        <v>YES</v>
      </c>
      <c r="Q2689" s="34" t="str">
        <f aca="false">IF(AND(B2689&gt;=Cal_Start_Week,B2689&lt;=Cal_End_Week),"YES","")</f>
        <v>YES</v>
      </c>
    </row>
    <row r="2690" customFormat="false" ht="15" hidden="false" customHeight="false" outlineLevel="0" collapsed="false">
      <c r="A2690" s="31" t="str">
        <f aca="false">Demand_History!C2690</f>
        <v>BED-006</v>
      </c>
      <c r="B2690" s="31" t="n">
        <f aca="false">Demand_History!A2690</f>
        <v>89</v>
      </c>
      <c r="C2690" s="32" t="n">
        <f aca="false">Demand_History!D2690</f>
        <v>29</v>
      </c>
      <c r="D2690" s="33" t="n">
        <f aca="false">IF(B2690&gt;=2,C2689,"")</f>
        <v>31</v>
      </c>
      <c r="E2690" s="33" t="n">
        <f aca="false">IF(B2690&gt;=5,AVERAGE(C2686:C2689),"")</f>
        <v>28.5</v>
      </c>
      <c r="F2690" s="33" t="n">
        <f aca="false">IF(B2690&gt;=9,AVERAGE(C2682:C2689),"")</f>
        <v>28.625</v>
      </c>
      <c r="G2690" s="33" t="n">
        <f aca="false">IF(B2690=1,"",IF(B2690=2,C2689,SES_Alpha*C2689+(1-SES_Alpha)*G2689))</f>
        <v>29.1081449604481</v>
      </c>
      <c r="H2690" s="33" t="n">
        <f aca="false">IF(D2690="","",D2690-C2690)</f>
        <v>2</v>
      </c>
      <c r="I2690" s="33" t="n">
        <f aca="false">IF(E2690="","",E2690-C2690)</f>
        <v>-0.5</v>
      </c>
      <c r="J2690" s="33" t="n">
        <f aca="false">IF(F2690="","",F2690-C2690)</f>
        <v>-0.375</v>
      </c>
      <c r="K2690" s="33" t="n">
        <f aca="false">IF(G2690="","",G2690-C2690)</f>
        <v>0.108144960448058</v>
      </c>
      <c r="L2690" s="33" t="n">
        <f aca="false">IF(H2690="","",ABS(H2690))</f>
        <v>2</v>
      </c>
      <c r="M2690" s="33" t="n">
        <f aca="false">IF(I2690="","",ABS(I2690))</f>
        <v>0.5</v>
      </c>
      <c r="N2690" s="33" t="n">
        <f aca="false">IF(J2690="","",ABS(J2690))</f>
        <v>0.375</v>
      </c>
      <c r="O2690" s="33" t="n">
        <f aca="false">IF(K2690="","",ABS(K2690))</f>
        <v>0.108144960448058</v>
      </c>
      <c r="P2690" s="34" t="str">
        <f aca="false">IF(B2690&gt;=Eval_Start_Week,"YES","")</f>
        <v>YES</v>
      </c>
      <c r="Q2690" s="34" t="str">
        <f aca="false">IF(AND(B2690&gt;=Cal_Start_Week,B2690&lt;=Cal_End_Week),"YES","")</f>
        <v/>
      </c>
    </row>
    <row r="2691" customFormat="false" ht="15" hidden="false" customHeight="false" outlineLevel="0" collapsed="false">
      <c r="A2691" s="31" t="str">
        <f aca="false">Demand_History!C2691</f>
        <v>BED-006</v>
      </c>
      <c r="B2691" s="31" t="n">
        <f aca="false">Demand_History!A2691</f>
        <v>90</v>
      </c>
      <c r="C2691" s="32" t="n">
        <f aca="false">Demand_History!D2691</f>
        <v>32</v>
      </c>
      <c r="D2691" s="33" t="n">
        <f aca="false">IF(B2691&gt;=2,C2690,"")</f>
        <v>29</v>
      </c>
      <c r="E2691" s="33" t="n">
        <f aca="false">IF(B2691&gt;=5,AVERAGE(C2687:C2690),"")</f>
        <v>28.5</v>
      </c>
      <c r="F2691" s="33" t="n">
        <f aca="false">IF(B2691&gt;=9,AVERAGE(C2683:C2690),"")</f>
        <v>29</v>
      </c>
      <c r="G2691" s="33" t="n">
        <f aca="false">IF(B2691=1,"",IF(B2691=2,C2690,SES_Alpha*C2690+(1-SES_Alpha)*G2690))</f>
        <v>29.0757014723136</v>
      </c>
      <c r="H2691" s="33" t="n">
        <f aca="false">IF(D2691="","",D2691-C2691)</f>
        <v>-3</v>
      </c>
      <c r="I2691" s="33" t="n">
        <f aca="false">IF(E2691="","",E2691-C2691)</f>
        <v>-3.5</v>
      </c>
      <c r="J2691" s="33" t="n">
        <f aca="false">IF(F2691="","",F2691-C2691)</f>
        <v>-3</v>
      </c>
      <c r="K2691" s="33" t="n">
        <f aca="false">IF(G2691="","",G2691-C2691)</f>
        <v>-2.92429852768636</v>
      </c>
      <c r="L2691" s="33" t="n">
        <f aca="false">IF(H2691="","",ABS(H2691))</f>
        <v>3</v>
      </c>
      <c r="M2691" s="33" t="n">
        <f aca="false">IF(I2691="","",ABS(I2691))</f>
        <v>3.5</v>
      </c>
      <c r="N2691" s="33" t="n">
        <f aca="false">IF(J2691="","",ABS(J2691))</f>
        <v>3</v>
      </c>
      <c r="O2691" s="33" t="n">
        <f aca="false">IF(K2691="","",ABS(K2691))</f>
        <v>2.92429852768636</v>
      </c>
      <c r="P2691" s="34" t="str">
        <f aca="false">IF(B2691&gt;=Eval_Start_Week,"YES","")</f>
        <v>YES</v>
      </c>
      <c r="Q2691" s="34" t="str">
        <f aca="false">IF(AND(B2691&gt;=Cal_Start_Week,B2691&lt;=Cal_End_Week),"YES","")</f>
        <v/>
      </c>
    </row>
    <row r="2692" customFormat="false" ht="15" hidden="false" customHeight="false" outlineLevel="0" collapsed="false">
      <c r="A2692" s="31" t="str">
        <f aca="false">Demand_History!C2692</f>
        <v>BED-006</v>
      </c>
      <c r="B2692" s="31" t="n">
        <f aca="false">Demand_History!A2692</f>
        <v>91</v>
      </c>
      <c r="C2692" s="32" t="n">
        <f aca="false">Demand_History!D2692</f>
        <v>29</v>
      </c>
      <c r="D2692" s="33" t="n">
        <f aca="false">IF(B2692&gt;=2,C2691,"")</f>
        <v>32</v>
      </c>
      <c r="E2692" s="33" t="n">
        <f aca="false">IF(B2692&gt;=5,AVERAGE(C2688:C2691),"")</f>
        <v>30.5</v>
      </c>
      <c r="F2692" s="33" t="n">
        <f aca="false">IF(B2692&gt;=9,AVERAGE(C2684:C2691),"")</f>
        <v>28.625</v>
      </c>
      <c r="G2692" s="33" t="n">
        <f aca="false">IF(B2692=1,"",IF(B2692=2,C2691,SES_Alpha*C2691+(1-SES_Alpha)*G2691))</f>
        <v>29.9529910306195</v>
      </c>
      <c r="H2692" s="33" t="n">
        <f aca="false">IF(D2692="","",D2692-C2692)</f>
        <v>3</v>
      </c>
      <c r="I2692" s="33" t="n">
        <f aca="false">IF(E2692="","",E2692-C2692)</f>
        <v>1.5</v>
      </c>
      <c r="J2692" s="33" t="n">
        <f aca="false">IF(F2692="","",F2692-C2692)</f>
        <v>-0.375</v>
      </c>
      <c r="K2692" s="33" t="n">
        <f aca="false">IF(G2692="","",G2692-C2692)</f>
        <v>0.952991030619543</v>
      </c>
      <c r="L2692" s="33" t="n">
        <f aca="false">IF(H2692="","",ABS(H2692))</f>
        <v>3</v>
      </c>
      <c r="M2692" s="33" t="n">
        <f aca="false">IF(I2692="","",ABS(I2692))</f>
        <v>1.5</v>
      </c>
      <c r="N2692" s="33" t="n">
        <f aca="false">IF(J2692="","",ABS(J2692))</f>
        <v>0.375</v>
      </c>
      <c r="O2692" s="33" t="n">
        <f aca="false">IF(K2692="","",ABS(K2692))</f>
        <v>0.952991030619543</v>
      </c>
      <c r="P2692" s="34" t="str">
        <f aca="false">IF(B2692&gt;=Eval_Start_Week,"YES","")</f>
        <v>YES</v>
      </c>
      <c r="Q2692" s="34" t="str">
        <f aca="false">IF(AND(B2692&gt;=Cal_Start_Week,B2692&lt;=Cal_End_Week),"YES","")</f>
        <v/>
      </c>
    </row>
    <row r="2693" customFormat="false" ht="15" hidden="false" customHeight="false" outlineLevel="0" collapsed="false">
      <c r="A2693" s="31" t="str">
        <f aca="false">Demand_History!C2693</f>
        <v>BED-006</v>
      </c>
      <c r="B2693" s="31" t="n">
        <f aca="false">Demand_History!A2693</f>
        <v>92</v>
      </c>
      <c r="C2693" s="32" t="n">
        <f aca="false">Demand_History!D2693</f>
        <v>30</v>
      </c>
      <c r="D2693" s="33" t="n">
        <f aca="false">IF(B2693&gt;=2,C2692,"")</f>
        <v>29</v>
      </c>
      <c r="E2693" s="33" t="n">
        <f aca="false">IF(B2693&gt;=5,AVERAGE(C2689:C2692),"")</f>
        <v>30.25</v>
      </c>
      <c r="F2693" s="33" t="n">
        <f aca="false">IF(B2693&gt;=9,AVERAGE(C2685:C2692),"")</f>
        <v>28.75</v>
      </c>
      <c r="G2693" s="33" t="n">
        <f aca="false">IF(B2693=1,"",IF(B2693=2,C2692,SES_Alpha*C2692+(1-SES_Alpha)*G2692))</f>
        <v>29.6670937214337</v>
      </c>
      <c r="H2693" s="33" t="n">
        <f aca="false">IF(D2693="","",D2693-C2693)</f>
        <v>-1</v>
      </c>
      <c r="I2693" s="33" t="n">
        <f aca="false">IF(E2693="","",E2693-C2693)</f>
        <v>0.25</v>
      </c>
      <c r="J2693" s="33" t="n">
        <f aca="false">IF(F2693="","",F2693-C2693)</f>
        <v>-1.25</v>
      </c>
      <c r="K2693" s="33" t="n">
        <f aca="false">IF(G2693="","",G2693-C2693)</f>
        <v>-0.332906278566323</v>
      </c>
      <c r="L2693" s="33" t="n">
        <f aca="false">IF(H2693="","",ABS(H2693))</f>
        <v>1</v>
      </c>
      <c r="M2693" s="33" t="n">
        <f aca="false">IF(I2693="","",ABS(I2693))</f>
        <v>0.25</v>
      </c>
      <c r="N2693" s="33" t="n">
        <f aca="false">IF(J2693="","",ABS(J2693))</f>
        <v>1.25</v>
      </c>
      <c r="O2693" s="33" t="n">
        <f aca="false">IF(K2693="","",ABS(K2693))</f>
        <v>0.332906278566323</v>
      </c>
      <c r="P2693" s="34" t="str">
        <f aca="false">IF(B2693&gt;=Eval_Start_Week,"YES","")</f>
        <v>YES</v>
      </c>
      <c r="Q2693" s="34" t="str">
        <f aca="false">IF(AND(B2693&gt;=Cal_Start_Week,B2693&lt;=Cal_End_Week),"YES","")</f>
        <v/>
      </c>
    </row>
    <row r="2694" customFormat="false" ht="15" hidden="false" customHeight="false" outlineLevel="0" collapsed="false">
      <c r="A2694" s="31" t="str">
        <f aca="false">Demand_History!C2694</f>
        <v>BED-006</v>
      </c>
      <c r="B2694" s="31" t="n">
        <f aca="false">Demand_History!A2694</f>
        <v>93</v>
      </c>
      <c r="C2694" s="32" t="n">
        <f aca="false">Demand_History!D2694</f>
        <v>24</v>
      </c>
      <c r="D2694" s="33" t="n">
        <f aca="false">IF(B2694&gt;=2,C2693,"")</f>
        <v>30</v>
      </c>
      <c r="E2694" s="33" t="n">
        <f aca="false">IF(B2694&gt;=5,AVERAGE(C2690:C2693),"")</f>
        <v>30</v>
      </c>
      <c r="F2694" s="33" t="n">
        <f aca="false">IF(B2694&gt;=9,AVERAGE(C2686:C2693),"")</f>
        <v>29.25</v>
      </c>
      <c r="G2694" s="33" t="n">
        <f aca="false">IF(B2694=1,"",IF(B2694=2,C2693,SES_Alpha*C2693+(1-SES_Alpha)*G2693))</f>
        <v>29.7669656050036</v>
      </c>
      <c r="H2694" s="33" t="n">
        <f aca="false">IF(D2694="","",D2694-C2694)</f>
        <v>6</v>
      </c>
      <c r="I2694" s="33" t="n">
        <f aca="false">IF(E2694="","",E2694-C2694)</f>
        <v>6</v>
      </c>
      <c r="J2694" s="33" t="n">
        <f aca="false">IF(F2694="","",F2694-C2694)</f>
        <v>5.25</v>
      </c>
      <c r="K2694" s="33" t="n">
        <f aca="false">IF(G2694="","",G2694-C2694)</f>
        <v>5.76696560500357</v>
      </c>
      <c r="L2694" s="33" t="n">
        <f aca="false">IF(H2694="","",ABS(H2694))</f>
        <v>6</v>
      </c>
      <c r="M2694" s="33" t="n">
        <f aca="false">IF(I2694="","",ABS(I2694))</f>
        <v>6</v>
      </c>
      <c r="N2694" s="33" t="n">
        <f aca="false">IF(J2694="","",ABS(J2694))</f>
        <v>5.25</v>
      </c>
      <c r="O2694" s="33" t="n">
        <f aca="false">IF(K2694="","",ABS(K2694))</f>
        <v>5.76696560500357</v>
      </c>
      <c r="P2694" s="34" t="str">
        <f aca="false">IF(B2694&gt;=Eval_Start_Week,"YES","")</f>
        <v>YES</v>
      </c>
      <c r="Q2694" s="34" t="str">
        <f aca="false">IF(AND(B2694&gt;=Cal_Start_Week,B2694&lt;=Cal_End_Week),"YES","")</f>
        <v/>
      </c>
    </row>
    <row r="2695" customFormat="false" ht="15" hidden="false" customHeight="false" outlineLevel="0" collapsed="false">
      <c r="A2695" s="31" t="str">
        <f aca="false">Demand_History!C2695</f>
        <v>BED-006</v>
      </c>
      <c r="B2695" s="31" t="n">
        <f aca="false">Demand_History!A2695</f>
        <v>94</v>
      </c>
      <c r="C2695" s="32" t="n">
        <f aca="false">Demand_History!D2695</f>
        <v>30</v>
      </c>
      <c r="D2695" s="33" t="n">
        <f aca="false">IF(B2695&gt;=2,C2694,"")</f>
        <v>24</v>
      </c>
      <c r="E2695" s="33" t="n">
        <f aca="false">IF(B2695&gt;=5,AVERAGE(C2691:C2694),"")</f>
        <v>28.75</v>
      </c>
      <c r="F2695" s="33" t="n">
        <f aca="false">IF(B2695&gt;=9,AVERAGE(C2687:C2694),"")</f>
        <v>28.625</v>
      </c>
      <c r="G2695" s="33" t="n">
        <f aca="false">IF(B2695=1,"",IF(B2695=2,C2694,SES_Alpha*C2694+(1-SES_Alpha)*G2694))</f>
        <v>28.0368759235025</v>
      </c>
      <c r="H2695" s="33" t="n">
        <f aca="false">IF(D2695="","",D2695-C2695)</f>
        <v>-6</v>
      </c>
      <c r="I2695" s="33" t="n">
        <f aca="false">IF(E2695="","",E2695-C2695)</f>
        <v>-1.25</v>
      </c>
      <c r="J2695" s="33" t="n">
        <f aca="false">IF(F2695="","",F2695-C2695)</f>
        <v>-1.375</v>
      </c>
      <c r="K2695" s="33" t="n">
        <f aca="false">IF(G2695="","",G2695-C2695)</f>
        <v>-1.9631240764975</v>
      </c>
      <c r="L2695" s="33" t="n">
        <f aca="false">IF(H2695="","",ABS(H2695))</f>
        <v>6</v>
      </c>
      <c r="M2695" s="33" t="n">
        <f aca="false">IF(I2695="","",ABS(I2695))</f>
        <v>1.25</v>
      </c>
      <c r="N2695" s="33" t="n">
        <f aca="false">IF(J2695="","",ABS(J2695))</f>
        <v>1.375</v>
      </c>
      <c r="O2695" s="33" t="n">
        <f aca="false">IF(K2695="","",ABS(K2695))</f>
        <v>1.9631240764975</v>
      </c>
      <c r="P2695" s="34" t="str">
        <f aca="false">IF(B2695&gt;=Eval_Start_Week,"YES","")</f>
        <v>YES</v>
      </c>
      <c r="Q2695" s="34" t="str">
        <f aca="false">IF(AND(B2695&gt;=Cal_Start_Week,B2695&lt;=Cal_End_Week),"YES","")</f>
        <v/>
      </c>
    </row>
    <row r="2696" customFormat="false" ht="15" hidden="false" customHeight="false" outlineLevel="0" collapsed="false">
      <c r="A2696" s="31" t="str">
        <f aca="false">Demand_History!C2696</f>
        <v>BED-006</v>
      </c>
      <c r="B2696" s="31" t="n">
        <f aca="false">Demand_History!A2696</f>
        <v>95</v>
      </c>
      <c r="C2696" s="32" t="n">
        <f aca="false">Demand_History!D2696</f>
        <v>27</v>
      </c>
      <c r="D2696" s="33" t="n">
        <f aca="false">IF(B2696&gt;=2,C2695,"")</f>
        <v>30</v>
      </c>
      <c r="E2696" s="33" t="n">
        <f aca="false">IF(B2696&gt;=5,AVERAGE(C2692:C2695),"")</f>
        <v>28.25</v>
      </c>
      <c r="F2696" s="33" t="n">
        <f aca="false">IF(B2696&gt;=9,AVERAGE(C2688:C2695),"")</f>
        <v>29.375</v>
      </c>
      <c r="G2696" s="33" t="n">
        <f aca="false">IF(B2696=1,"",IF(B2696=2,C2695,SES_Alpha*C2695+(1-SES_Alpha)*G2695))</f>
        <v>28.6258131464517</v>
      </c>
      <c r="H2696" s="33" t="n">
        <f aca="false">IF(D2696="","",D2696-C2696)</f>
        <v>3</v>
      </c>
      <c r="I2696" s="33" t="n">
        <f aca="false">IF(E2696="","",E2696-C2696)</f>
        <v>1.25</v>
      </c>
      <c r="J2696" s="33" t="n">
        <f aca="false">IF(F2696="","",F2696-C2696)</f>
        <v>2.375</v>
      </c>
      <c r="K2696" s="33" t="n">
        <f aca="false">IF(G2696="","",G2696-C2696)</f>
        <v>1.62581314645175</v>
      </c>
      <c r="L2696" s="33" t="n">
        <f aca="false">IF(H2696="","",ABS(H2696))</f>
        <v>3</v>
      </c>
      <c r="M2696" s="33" t="n">
        <f aca="false">IF(I2696="","",ABS(I2696))</f>
        <v>1.25</v>
      </c>
      <c r="N2696" s="33" t="n">
        <f aca="false">IF(J2696="","",ABS(J2696))</f>
        <v>2.375</v>
      </c>
      <c r="O2696" s="33" t="n">
        <f aca="false">IF(K2696="","",ABS(K2696))</f>
        <v>1.62581314645175</v>
      </c>
      <c r="P2696" s="34" t="str">
        <f aca="false">IF(B2696&gt;=Eval_Start_Week,"YES","")</f>
        <v>YES</v>
      </c>
      <c r="Q2696" s="34" t="str">
        <f aca="false">IF(AND(B2696&gt;=Cal_Start_Week,B2696&lt;=Cal_End_Week),"YES","")</f>
        <v/>
      </c>
    </row>
    <row r="2697" customFormat="false" ht="15" hidden="false" customHeight="false" outlineLevel="0" collapsed="false">
      <c r="A2697" s="31" t="str">
        <f aca="false">Demand_History!C2697</f>
        <v>BED-006</v>
      </c>
      <c r="B2697" s="31" t="n">
        <f aca="false">Demand_History!A2697</f>
        <v>96</v>
      </c>
      <c r="C2697" s="32" t="n">
        <f aca="false">Demand_History!D2697</f>
        <v>28</v>
      </c>
      <c r="D2697" s="33" t="n">
        <f aca="false">IF(B2697&gt;=2,C2696,"")</f>
        <v>27</v>
      </c>
      <c r="E2697" s="33" t="n">
        <f aca="false">IF(B2697&gt;=5,AVERAGE(C2693:C2696),"")</f>
        <v>27.75</v>
      </c>
      <c r="F2697" s="33" t="n">
        <f aca="false">IF(B2697&gt;=9,AVERAGE(C2689:C2696),"")</f>
        <v>29</v>
      </c>
      <c r="G2697" s="33" t="n">
        <f aca="false">IF(B2697=1,"",IF(B2697=2,C2696,SES_Alpha*C2696+(1-SES_Alpha)*G2696))</f>
        <v>28.1380692025162</v>
      </c>
      <c r="H2697" s="33" t="n">
        <f aca="false">IF(D2697="","",D2697-C2697)</f>
        <v>-1</v>
      </c>
      <c r="I2697" s="33" t="n">
        <f aca="false">IF(E2697="","",E2697-C2697)</f>
        <v>-0.25</v>
      </c>
      <c r="J2697" s="33" t="n">
        <f aca="false">IF(F2697="","",F2697-C2697)</f>
        <v>1</v>
      </c>
      <c r="K2697" s="33" t="n">
        <f aca="false">IF(G2697="","",G2697-C2697)</f>
        <v>0.13806920251622</v>
      </c>
      <c r="L2697" s="33" t="n">
        <f aca="false">IF(H2697="","",ABS(H2697))</f>
        <v>1</v>
      </c>
      <c r="M2697" s="33" t="n">
        <f aca="false">IF(I2697="","",ABS(I2697))</f>
        <v>0.25</v>
      </c>
      <c r="N2697" s="33" t="n">
        <f aca="false">IF(J2697="","",ABS(J2697))</f>
        <v>1</v>
      </c>
      <c r="O2697" s="33" t="n">
        <f aca="false">IF(K2697="","",ABS(K2697))</f>
        <v>0.13806920251622</v>
      </c>
      <c r="P2697" s="34" t="str">
        <f aca="false">IF(B2697&gt;=Eval_Start_Week,"YES","")</f>
        <v>YES</v>
      </c>
      <c r="Q2697" s="34" t="str">
        <f aca="false">IF(AND(B2697&gt;=Cal_Start_Week,B2697&lt;=Cal_End_Week),"YES","")</f>
        <v/>
      </c>
    </row>
    <row r="2698" customFormat="false" ht="15" hidden="false" customHeight="false" outlineLevel="0" collapsed="false">
      <c r="A2698" s="31" t="str">
        <f aca="false">Demand_History!C2698</f>
        <v>BED-006</v>
      </c>
      <c r="B2698" s="31" t="n">
        <f aca="false">Demand_History!A2698</f>
        <v>97</v>
      </c>
      <c r="C2698" s="32" t="n">
        <f aca="false">Demand_History!D2698</f>
        <v>30</v>
      </c>
      <c r="D2698" s="33" t="n">
        <f aca="false">IF(B2698&gt;=2,C2697,"")</f>
        <v>28</v>
      </c>
      <c r="E2698" s="33" t="n">
        <f aca="false">IF(B2698&gt;=5,AVERAGE(C2694:C2697),"")</f>
        <v>27.25</v>
      </c>
      <c r="F2698" s="33" t="n">
        <f aca="false">IF(B2698&gt;=9,AVERAGE(C2690:C2697),"")</f>
        <v>28.625</v>
      </c>
      <c r="G2698" s="33" t="n">
        <f aca="false">IF(B2698=1,"",IF(B2698=2,C2697,SES_Alpha*C2697+(1-SES_Alpha)*G2697))</f>
        <v>28.0966484417614</v>
      </c>
      <c r="H2698" s="33" t="n">
        <f aca="false">IF(D2698="","",D2698-C2698)</f>
        <v>-2</v>
      </c>
      <c r="I2698" s="33" t="n">
        <f aca="false">IF(E2698="","",E2698-C2698)</f>
        <v>-2.75</v>
      </c>
      <c r="J2698" s="33" t="n">
        <f aca="false">IF(F2698="","",F2698-C2698)</f>
        <v>-1.375</v>
      </c>
      <c r="K2698" s="33" t="n">
        <f aca="false">IF(G2698="","",G2698-C2698)</f>
        <v>-1.90335155823865</v>
      </c>
      <c r="L2698" s="33" t="n">
        <f aca="false">IF(H2698="","",ABS(H2698))</f>
        <v>2</v>
      </c>
      <c r="M2698" s="33" t="n">
        <f aca="false">IF(I2698="","",ABS(I2698))</f>
        <v>2.75</v>
      </c>
      <c r="N2698" s="33" t="n">
        <f aca="false">IF(J2698="","",ABS(J2698))</f>
        <v>1.375</v>
      </c>
      <c r="O2698" s="33" t="n">
        <f aca="false">IF(K2698="","",ABS(K2698))</f>
        <v>1.90335155823865</v>
      </c>
      <c r="P2698" s="34" t="str">
        <f aca="false">IF(B2698&gt;=Eval_Start_Week,"YES","")</f>
        <v>YES</v>
      </c>
      <c r="Q2698" s="34" t="str">
        <f aca="false">IF(AND(B2698&gt;=Cal_Start_Week,B2698&lt;=Cal_End_Week),"YES","")</f>
        <v/>
      </c>
    </row>
    <row r="2699" customFormat="false" ht="15" hidden="false" customHeight="false" outlineLevel="0" collapsed="false">
      <c r="A2699" s="31" t="str">
        <f aca="false">Demand_History!C2699</f>
        <v>BED-006</v>
      </c>
      <c r="B2699" s="31" t="n">
        <f aca="false">Demand_History!A2699</f>
        <v>98</v>
      </c>
      <c r="C2699" s="32" t="n">
        <f aca="false">Demand_History!D2699</f>
        <v>31</v>
      </c>
      <c r="D2699" s="33" t="n">
        <f aca="false">IF(B2699&gt;=2,C2698,"")</f>
        <v>30</v>
      </c>
      <c r="E2699" s="33" t="n">
        <f aca="false">IF(B2699&gt;=5,AVERAGE(C2695:C2698),"")</f>
        <v>28.75</v>
      </c>
      <c r="F2699" s="33" t="n">
        <f aca="false">IF(B2699&gt;=9,AVERAGE(C2691:C2698),"")</f>
        <v>28.75</v>
      </c>
      <c r="G2699" s="33" t="n">
        <f aca="false">IF(B2699=1,"",IF(B2699=2,C2698,SES_Alpha*C2698+(1-SES_Alpha)*G2698))</f>
        <v>28.6676539092329</v>
      </c>
      <c r="H2699" s="33" t="n">
        <f aca="false">IF(D2699="","",D2699-C2699)</f>
        <v>-1</v>
      </c>
      <c r="I2699" s="33" t="n">
        <f aca="false">IF(E2699="","",E2699-C2699)</f>
        <v>-2.25</v>
      </c>
      <c r="J2699" s="33" t="n">
        <f aca="false">IF(F2699="","",F2699-C2699)</f>
        <v>-2.25</v>
      </c>
      <c r="K2699" s="33" t="n">
        <f aca="false">IF(G2699="","",G2699-C2699)</f>
        <v>-2.33234609076705</v>
      </c>
      <c r="L2699" s="33" t="n">
        <f aca="false">IF(H2699="","",ABS(H2699))</f>
        <v>1</v>
      </c>
      <c r="M2699" s="33" t="n">
        <f aca="false">IF(I2699="","",ABS(I2699))</f>
        <v>2.25</v>
      </c>
      <c r="N2699" s="33" t="n">
        <f aca="false">IF(J2699="","",ABS(J2699))</f>
        <v>2.25</v>
      </c>
      <c r="O2699" s="33" t="n">
        <f aca="false">IF(K2699="","",ABS(K2699))</f>
        <v>2.33234609076705</v>
      </c>
      <c r="P2699" s="34" t="str">
        <f aca="false">IF(B2699&gt;=Eval_Start_Week,"YES","")</f>
        <v>YES</v>
      </c>
      <c r="Q2699" s="34" t="str">
        <f aca="false">IF(AND(B2699&gt;=Cal_Start_Week,B2699&lt;=Cal_End_Week),"YES","")</f>
        <v/>
      </c>
    </row>
    <row r="2700" customFormat="false" ht="15" hidden="false" customHeight="false" outlineLevel="0" collapsed="false">
      <c r="A2700" s="31" t="str">
        <f aca="false">Demand_History!C2700</f>
        <v>BED-006</v>
      </c>
      <c r="B2700" s="31" t="n">
        <f aca="false">Demand_History!A2700</f>
        <v>99</v>
      </c>
      <c r="C2700" s="32" t="n">
        <f aca="false">Demand_History!D2700</f>
        <v>23</v>
      </c>
      <c r="D2700" s="33" t="n">
        <f aca="false">IF(B2700&gt;=2,C2699,"")</f>
        <v>31</v>
      </c>
      <c r="E2700" s="33" t="n">
        <f aca="false">IF(B2700&gt;=5,AVERAGE(C2696:C2699),"")</f>
        <v>29</v>
      </c>
      <c r="F2700" s="33" t="n">
        <f aca="false">IF(B2700&gt;=9,AVERAGE(C2692:C2699),"")</f>
        <v>28.625</v>
      </c>
      <c r="G2700" s="33" t="n">
        <f aca="false">IF(B2700=1,"",IF(B2700=2,C2699,SES_Alpha*C2699+(1-SES_Alpha)*G2699))</f>
        <v>29.3673577364631</v>
      </c>
      <c r="H2700" s="33" t="n">
        <f aca="false">IF(D2700="","",D2700-C2700)</f>
        <v>8</v>
      </c>
      <c r="I2700" s="33" t="n">
        <f aca="false">IF(E2700="","",E2700-C2700)</f>
        <v>6</v>
      </c>
      <c r="J2700" s="33" t="n">
        <f aca="false">IF(F2700="","",F2700-C2700)</f>
        <v>5.625</v>
      </c>
      <c r="K2700" s="33" t="n">
        <f aca="false">IF(G2700="","",G2700-C2700)</f>
        <v>6.36735773646306</v>
      </c>
      <c r="L2700" s="33" t="n">
        <f aca="false">IF(H2700="","",ABS(H2700))</f>
        <v>8</v>
      </c>
      <c r="M2700" s="33" t="n">
        <f aca="false">IF(I2700="","",ABS(I2700))</f>
        <v>6</v>
      </c>
      <c r="N2700" s="33" t="n">
        <f aca="false">IF(J2700="","",ABS(J2700))</f>
        <v>5.625</v>
      </c>
      <c r="O2700" s="33" t="n">
        <f aca="false">IF(K2700="","",ABS(K2700))</f>
        <v>6.36735773646306</v>
      </c>
      <c r="P2700" s="34" t="str">
        <f aca="false">IF(B2700&gt;=Eval_Start_Week,"YES","")</f>
        <v>YES</v>
      </c>
      <c r="Q2700" s="34" t="str">
        <f aca="false">IF(AND(B2700&gt;=Cal_Start_Week,B2700&lt;=Cal_End_Week),"YES","")</f>
        <v/>
      </c>
    </row>
    <row r="2701" customFormat="false" ht="15" hidden="false" customHeight="false" outlineLevel="0" collapsed="false">
      <c r="A2701" s="31" t="str">
        <f aca="false">Demand_History!C2701</f>
        <v>BED-006</v>
      </c>
      <c r="B2701" s="31" t="n">
        <f aca="false">Demand_History!A2701</f>
        <v>100</v>
      </c>
      <c r="C2701" s="32" t="n">
        <f aca="false">Demand_History!D2701</f>
        <v>24</v>
      </c>
      <c r="D2701" s="33" t="n">
        <f aca="false">IF(B2701&gt;=2,C2700,"")</f>
        <v>23</v>
      </c>
      <c r="E2701" s="33" t="n">
        <f aca="false">IF(B2701&gt;=5,AVERAGE(C2697:C2700),"")</f>
        <v>28</v>
      </c>
      <c r="F2701" s="33" t="n">
        <f aca="false">IF(B2701&gt;=9,AVERAGE(C2693:C2700),"")</f>
        <v>27.875</v>
      </c>
      <c r="G2701" s="33" t="n">
        <f aca="false">IF(B2701=1,"",IF(B2701=2,C2700,SES_Alpha*C2700+(1-SES_Alpha)*G2700))</f>
        <v>27.4571504155241</v>
      </c>
      <c r="H2701" s="33" t="n">
        <f aca="false">IF(D2701="","",D2701-C2701)</f>
        <v>-1</v>
      </c>
      <c r="I2701" s="33" t="n">
        <f aca="false">IF(E2701="","",E2701-C2701)</f>
        <v>4</v>
      </c>
      <c r="J2701" s="33" t="n">
        <f aca="false">IF(F2701="","",F2701-C2701)</f>
        <v>3.875</v>
      </c>
      <c r="K2701" s="33" t="n">
        <f aca="false">IF(G2701="","",G2701-C2701)</f>
        <v>3.45715041552414</v>
      </c>
      <c r="L2701" s="33" t="n">
        <f aca="false">IF(H2701="","",ABS(H2701))</f>
        <v>1</v>
      </c>
      <c r="M2701" s="33" t="n">
        <f aca="false">IF(I2701="","",ABS(I2701))</f>
        <v>4</v>
      </c>
      <c r="N2701" s="33" t="n">
        <f aca="false">IF(J2701="","",ABS(J2701))</f>
        <v>3.875</v>
      </c>
      <c r="O2701" s="33" t="n">
        <f aca="false">IF(K2701="","",ABS(K2701))</f>
        <v>3.45715041552414</v>
      </c>
      <c r="P2701" s="34" t="str">
        <f aca="false">IF(B2701&gt;=Eval_Start_Week,"YES","")</f>
        <v>YES</v>
      </c>
      <c r="Q2701" s="34" t="str">
        <f aca="false">IF(AND(B2701&gt;=Cal_Start_Week,B2701&lt;=Cal_End_Week),"YES","")</f>
        <v/>
      </c>
    </row>
    <row r="2702" customFormat="false" ht="15" hidden="false" customHeight="false" outlineLevel="0" collapsed="false">
      <c r="A2702" s="31" t="str">
        <f aca="false">Demand_History!C2702</f>
        <v>BED-006</v>
      </c>
      <c r="B2702" s="31" t="n">
        <f aca="false">Demand_History!A2702</f>
        <v>101</v>
      </c>
      <c r="C2702" s="32" t="n">
        <f aca="false">Demand_History!D2702</f>
        <v>29</v>
      </c>
      <c r="D2702" s="33" t="n">
        <f aca="false">IF(B2702&gt;=2,C2701,"")</f>
        <v>24</v>
      </c>
      <c r="E2702" s="33" t="n">
        <f aca="false">IF(B2702&gt;=5,AVERAGE(C2698:C2701),"")</f>
        <v>27</v>
      </c>
      <c r="F2702" s="33" t="n">
        <f aca="false">IF(B2702&gt;=9,AVERAGE(C2694:C2701),"")</f>
        <v>27.125</v>
      </c>
      <c r="G2702" s="33" t="n">
        <f aca="false">IF(B2702=1,"",IF(B2702=2,C2701,SES_Alpha*C2701+(1-SES_Alpha)*G2701))</f>
        <v>26.4200052908669</v>
      </c>
      <c r="H2702" s="33" t="n">
        <f aca="false">IF(D2702="","",D2702-C2702)</f>
        <v>-5</v>
      </c>
      <c r="I2702" s="33" t="n">
        <f aca="false">IF(E2702="","",E2702-C2702)</f>
        <v>-2</v>
      </c>
      <c r="J2702" s="33" t="n">
        <f aca="false">IF(F2702="","",F2702-C2702)</f>
        <v>-1.875</v>
      </c>
      <c r="K2702" s="33" t="n">
        <f aca="false">IF(G2702="","",G2702-C2702)</f>
        <v>-2.5799947091331</v>
      </c>
      <c r="L2702" s="33" t="n">
        <f aca="false">IF(H2702="","",ABS(H2702))</f>
        <v>5</v>
      </c>
      <c r="M2702" s="33" t="n">
        <f aca="false">IF(I2702="","",ABS(I2702))</f>
        <v>2</v>
      </c>
      <c r="N2702" s="33" t="n">
        <f aca="false">IF(J2702="","",ABS(J2702))</f>
        <v>1.875</v>
      </c>
      <c r="O2702" s="33" t="n">
        <f aca="false">IF(K2702="","",ABS(K2702))</f>
        <v>2.5799947091331</v>
      </c>
      <c r="P2702" s="34" t="str">
        <f aca="false">IF(B2702&gt;=Eval_Start_Week,"YES","")</f>
        <v>YES</v>
      </c>
      <c r="Q2702" s="34" t="str">
        <f aca="false">IF(AND(B2702&gt;=Cal_Start_Week,B2702&lt;=Cal_End_Week),"YES","")</f>
        <v/>
      </c>
    </row>
    <row r="2703" customFormat="false" ht="15" hidden="false" customHeight="false" outlineLevel="0" collapsed="false">
      <c r="A2703" s="31" t="str">
        <f aca="false">Demand_History!C2703</f>
        <v>BED-006</v>
      </c>
      <c r="B2703" s="31" t="n">
        <f aca="false">Demand_History!A2703</f>
        <v>102</v>
      </c>
      <c r="C2703" s="32" t="n">
        <f aca="false">Demand_History!D2703</f>
        <v>32</v>
      </c>
      <c r="D2703" s="33" t="n">
        <f aca="false">IF(B2703&gt;=2,C2702,"")</f>
        <v>29</v>
      </c>
      <c r="E2703" s="33" t="n">
        <f aca="false">IF(B2703&gt;=5,AVERAGE(C2699:C2702),"")</f>
        <v>26.75</v>
      </c>
      <c r="F2703" s="33" t="n">
        <f aca="false">IF(B2703&gt;=9,AVERAGE(C2695:C2702),"")</f>
        <v>27.75</v>
      </c>
      <c r="G2703" s="33" t="n">
        <f aca="false">IF(B2703=1,"",IF(B2703=2,C2702,SES_Alpha*C2702+(1-SES_Alpha)*G2702))</f>
        <v>27.1940037036068</v>
      </c>
      <c r="H2703" s="33" t="n">
        <f aca="false">IF(D2703="","",D2703-C2703)</f>
        <v>-3</v>
      </c>
      <c r="I2703" s="33" t="n">
        <f aca="false">IF(E2703="","",E2703-C2703)</f>
        <v>-5.25</v>
      </c>
      <c r="J2703" s="33" t="n">
        <f aca="false">IF(F2703="","",F2703-C2703)</f>
        <v>-4.25</v>
      </c>
      <c r="K2703" s="33" t="n">
        <f aca="false">IF(G2703="","",G2703-C2703)</f>
        <v>-4.80599629639318</v>
      </c>
      <c r="L2703" s="33" t="n">
        <f aca="false">IF(H2703="","",ABS(H2703))</f>
        <v>3</v>
      </c>
      <c r="M2703" s="33" t="n">
        <f aca="false">IF(I2703="","",ABS(I2703))</f>
        <v>5.25</v>
      </c>
      <c r="N2703" s="33" t="n">
        <f aca="false">IF(J2703="","",ABS(J2703))</f>
        <v>4.25</v>
      </c>
      <c r="O2703" s="33" t="n">
        <f aca="false">IF(K2703="","",ABS(K2703))</f>
        <v>4.80599629639318</v>
      </c>
      <c r="P2703" s="34" t="str">
        <f aca="false">IF(B2703&gt;=Eval_Start_Week,"YES","")</f>
        <v>YES</v>
      </c>
      <c r="Q2703" s="34" t="str">
        <f aca="false">IF(AND(B2703&gt;=Cal_Start_Week,B2703&lt;=Cal_End_Week),"YES","")</f>
        <v/>
      </c>
    </row>
    <row r="2704" customFormat="false" ht="15" hidden="false" customHeight="false" outlineLevel="0" collapsed="false">
      <c r="A2704" s="31" t="str">
        <f aca="false">Demand_History!C2704</f>
        <v>BED-006</v>
      </c>
      <c r="B2704" s="31" t="n">
        <f aca="false">Demand_History!A2704</f>
        <v>103</v>
      </c>
      <c r="C2704" s="32" t="n">
        <f aca="false">Demand_History!D2704</f>
        <v>31</v>
      </c>
      <c r="D2704" s="33" t="n">
        <f aca="false">IF(B2704&gt;=2,C2703,"")</f>
        <v>32</v>
      </c>
      <c r="E2704" s="33" t="n">
        <f aca="false">IF(B2704&gt;=5,AVERAGE(C2700:C2703),"")</f>
        <v>27</v>
      </c>
      <c r="F2704" s="33" t="n">
        <f aca="false">IF(B2704&gt;=9,AVERAGE(C2696:C2703),"")</f>
        <v>28</v>
      </c>
      <c r="G2704" s="33" t="n">
        <f aca="false">IF(B2704=1,"",IF(B2704=2,C2703,SES_Alpha*C2703+(1-SES_Alpha)*G2703))</f>
        <v>28.6358025925248</v>
      </c>
      <c r="H2704" s="33" t="n">
        <f aca="false">IF(D2704="","",D2704-C2704)</f>
        <v>1</v>
      </c>
      <c r="I2704" s="33" t="n">
        <f aca="false">IF(E2704="","",E2704-C2704)</f>
        <v>-4</v>
      </c>
      <c r="J2704" s="33" t="n">
        <f aca="false">IF(F2704="","",F2704-C2704)</f>
        <v>-3</v>
      </c>
      <c r="K2704" s="33" t="n">
        <f aca="false">IF(G2704="","",G2704-C2704)</f>
        <v>-2.36419740747522</v>
      </c>
      <c r="L2704" s="33" t="n">
        <f aca="false">IF(H2704="","",ABS(H2704))</f>
        <v>1</v>
      </c>
      <c r="M2704" s="33" t="n">
        <f aca="false">IF(I2704="","",ABS(I2704))</f>
        <v>4</v>
      </c>
      <c r="N2704" s="33" t="n">
        <f aca="false">IF(J2704="","",ABS(J2704))</f>
        <v>3</v>
      </c>
      <c r="O2704" s="33" t="n">
        <f aca="false">IF(K2704="","",ABS(K2704))</f>
        <v>2.36419740747522</v>
      </c>
      <c r="P2704" s="34" t="str">
        <f aca="false">IF(B2704&gt;=Eval_Start_Week,"YES","")</f>
        <v>YES</v>
      </c>
      <c r="Q2704" s="34" t="str">
        <f aca="false">IF(AND(B2704&gt;=Cal_Start_Week,B2704&lt;=Cal_End_Week),"YES","")</f>
        <v/>
      </c>
    </row>
    <row r="2705" customFormat="false" ht="15" hidden="false" customHeight="false" outlineLevel="0" collapsed="false">
      <c r="A2705" s="31" t="str">
        <f aca="false">Demand_History!C2705</f>
        <v>BED-006</v>
      </c>
      <c r="B2705" s="31" t="n">
        <f aca="false">Demand_History!A2705</f>
        <v>104</v>
      </c>
      <c r="C2705" s="32" t="n">
        <f aca="false">Demand_History!D2705</f>
        <v>34</v>
      </c>
      <c r="D2705" s="33" t="n">
        <f aca="false">IF(B2705&gt;=2,C2704,"")</f>
        <v>31</v>
      </c>
      <c r="E2705" s="33" t="n">
        <f aca="false">IF(B2705&gt;=5,AVERAGE(C2701:C2704),"")</f>
        <v>29</v>
      </c>
      <c r="F2705" s="33" t="n">
        <f aca="false">IF(B2705&gt;=9,AVERAGE(C2697:C2704),"")</f>
        <v>28.5</v>
      </c>
      <c r="G2705" s="33" t="n">
        <f aca="false">IF(B2705=1,"",IF(B2705=2,C2704,SES_Alpha*C2704+(1-SES_Alpha)*G2704))</f>
        <v>29.3450618147673</v>
      </c>
      <c r="H2705" s="33" t="n">
        <f aca="false">IF(D2705="","",D2705-C2705)</f>
        <v>-3</v>
      </c>
      <c r="I2705" s="33" t="n">
        <f aca="false">IF(E2705="","",E2705-C2705)</f>
        <v>-5</v>
      </c>
      <c r="J2705" s="33" t="n">
        <f aca="false">IF(F2705="","",F2705-C2705)</f>
        <v>-5.5</v>
      </c>
      <c r="K2705" s="33" t="n">
        <f aca="false">IF(G2705="","",G2705-C2705)</f>
        <v>-4.65493818523266</v>
      </c>
      <c r="L2705" s="33" t="n">
        <f aca="false">IF(H2705="","",ABS(H2705))</f>
        <v>3</v>
      </c>
      <c r="M2705" s="33" t="n">
        <f aca="false">IF(I2705="","",ABS(I2705))</f>
        <v>5</v>
      </c>
      <c r="N2705" s="33" t="n">
        <f aca="false">IF(J2705="","",ABS(J2705))</f>
        <v>5.5</v>
      </c>
      <c r="O2705" s="33" t="n">
        <f aca="false">IF(K2705="","",ABS(K2705))</f>
        <v>4.65493818523266</v>
      </c>
      <c r="P2705" s="34" t="str">
        <f aca="false">IF(B2705&gt;=Eval_Start_Week,"YES","")</f>
        <v>YES</v>
      </c>
      <c r="Q2705" s="34" t="str">
        <f aca="false">IF(AND(B2705&gt;=Cal_Start_Week,B2705&lt;=Cal_End_Week),"YES","")</f>
        <v/>
      </c>
    </row>
    <row r="2706" customFormat="false" ht="15" hidden="false" customHeight="false" outlineLevel="0" collapsed="false">
      <c r="A2706" s="31" t="str">
        <f aca="false">Demand_History!C2706</f>
        <v>BED-007</v>
      </c>
      <c r="B2706" s="31" t="n">
        <f aca="false">Demand_History!A2706</f>
        <v>1</v>
      </c>
      <c r="C2706" s="32" t="n">
        <f aca="false">Demand_History!D2706</f>
        <v>29</v>
      </c>
      <c r="D2706" s="33" t="str">
        <f aca="false">IF(B2706&gt;=2,C2705,"")</f>
        <v/>
      </c>
      <c r="E2706" s="33" t="str">
        <f aca="false">IF(B2706&gt;=5,AVERAGE(C2702:C2705),"")</f>
        <v/>
      </c>
      <c r="F2706" s="33" t="str">
        <f aca="false">IF(B2706&gt;=9,AVERAGE(C2698:C2705),"")</f>
        <v/>
      </c>
      <c r="G2706" s="33" t="str">
        <f aca="false">IF(B2706=1,"",IF(B2706=2,C2705,SES_Alpha*C2705+(1-SES_Alpha)*G2705))</f>
        <v/>
      </c>
      <c r="H2706" s="33" t="str">
        <f aca="false">IF(D2706="","",D2706-C2706)</f>
        <v/>
      </c>
      <c r="I2706" s="33" t="str">
        <f aca="false">IF(E2706="","",E2706-C2706)</f>
        <v/>
      </c>
      <c r="J2706" s="33" t="str">
        <f aca="false">IF(F2706="","",F2706-C2706)</f>
        <v/>
      </c>
      <c r="K2706" s="33" t="str">
        <f aca="false">IF(G2706="","",G2706-C2706)</f>
        <v/>
      </c>
      <c r="L2706" s="33" t="str">
        <f aca="false">IF(H2706="","",ABS(H2706))</f>
        <v/>
      </c>
      <c r="M2706" s="33" t="str">
        <f aca="false">IF(I2706="","",ABS(I2706))</f>
        <v/>
      </c>
      <c r="N2706" s="33" t="str">
        <f aca="false">IF(J2706="","",ABS(J2706))</f>
        <v/>
      </c>
      <c r="O2706" s="33" t="str">
        <f aca="false">IF(K2706="","",ABS(K2706))</f>
        <v/>
      </c>
      <c r="P2706" s="34" t="str">
        <f aca="false">IF(B2706&gt;=Eval_Start_Week,"YES","")</f>
        <v/>
      </c>
      <c r="Q2706" s="34" t="str">
        <f aca="false">IF(AND(B2706&gt;=Cal_Start_Week,B2706&lt;=Cal_End_Week),"YES","")</f>
        <v/>
      </c>
    </row>
    <row r="2707" customFormat="false" ht="15" hidden="false" customHeight="false" outlineLevel="0" collapsed="false">
      <c r="A2707" s="31" t="str">
        <f aca="false">Demand_History!C2707</f>
        <v>BED-007</v>
      </c>
      <c r="B2707" s="31" t="n">
        <f aca="false">Demand_History!A2707</f>
        <v>2</v>
      </c>
      <c r="C2707" s="32" t="n">
        <f aca="false">Demand_History!D2707</f>
        <v>25</v>
      </c>
      <c r="D2707" s="33" t="n">
        <f aca="false">IF(B2707&gt;=2,C2706,"")</f>
        <v>29</v>
      </c>
      <c r="E2707" s="33" t="str">
        <f aca="false">IF(B2707&gt;=5,AVERAGE(C2703:C2706),"")</f>
        <v/>
      </c>
      <c r="F2707" s="33" t="str">
        <f aca="false">IF(B2707&gt;=9,AVERAGE(C2699:C2706),"")</f>
        <v/>
      </c>
      <c r="G2707" s="33" t="n">
        <f aca="false">IF(B2707=1,"",IF(B2707=2,C2706,SES_Alpha*C2706+(1-SES_Alpha)*G2706))</f>
        <v>29</v>
      </c>
      <c r="H2707" s="33" t="n">
        <f aca="false">IF(D2707="","",D2707-C2707)</f>
        <v>4</v>
      </c>
      <c r="I2707" s="33" t="str">
        <f aca="false">IF(E2707="","",E2707-C2707)</f>
        <v/>
      </c>
      <c r="J2707" s="33" t="str">
        <f aca="false">IF(F2707="","",F2707-C2707)</f>
        <v/>
      </c>
      <c r="K2707" s="33" t="n">
        <f aca="false">IF(G2707="","",G2707-C2707)</f>
        <v>4</v>
      </c>
      <c r="L2707" s="33" t="n">
        <f aca="false">IF(H2707="","",ABS(H2707))</f>
        <v>4</v>
      </c>
      <c r="M2707" s="33" t="str">
        <f aca="false">IF(I2707="","",ABS(I2707))</f>
        <v/>
      </c>
      <c r="N2707" s="33" t="str">
        <f aca="false">IF(J2707="","",ABS(J2707))</f>
        <v/>
      </c>
      <c r="O2707" s="33" t="n">
        <f aca="false">IF(K2707="","",ABS(K2707))</f>
        <v>4</v>
      </c>
      <c r="P2707" s="34" t="str">
        <f aca="false">IF(B2707&gt;=Eval_Start_Week,"YES","")</f>
        <v/>
      </c>
      <c r="Q2707" s="34" t="str">
        <f aca="false">IF(AND(B2707&gt;=Cal_Start_Week,B2707&lt;=Cal_End_Week),"YES","")</f>
        <v/>
      </c>
    </row>
    <row r="2708" customFormat="false" ht="15" hidden="false" customHeight="false" outlineLevel="0" collapsed="false">
      <c r="A2708" s="31" t="str">
        <f aca="false">Demand_History!C2708</f>
        <v>BED-007</v>
      </c>
      <c r="B2708" s="31" t="n">
        <f aca="false">Demand_History!A2708</f>
        <v>3</v>
      </c>
      <c r="C2708" s="32" t="n">
        <f aca="false">Demand_History!D2708</f>
        <v>17</v>
      </c>
      <c r="D2708" s="33" t="n">
        <f aca="false">IF(B2708&gt;=2,C2707,"")</f>
        <v>25</v>
      </c>
      <c r="E2708" s="33" t="str">
        <f aca="false">IF(B2708&gt;=5,AVERAGE(C2704:C2707),"")</f>
        <v/>
      </c>
      <c r="F2708" s="33" t="str">
        <f aca="false">IF(B2708&gt;=9,AVERAGE(C2700:C2707),"")</f>
        <v/>
      </c>
      <c r="G2708" s="33" t="n">
        <f aca="false">IF(B2708=1,"",IF(B2708=2,C2707,SES_Alpha*C2707+(1-SES_Alpha)*G2707))</f>
        <v>27.8</v>
      </c>
      <c r="H2708" s="33" t="n">
        <f aca="false">IF(D2708="","",D2708-C2708)</f>
        <v>8</v>
      </c>
      <c r="I2708" s="33" t="str">
        <f aca="false">IF(E2708="","",E2708-C2708)</f>
        <v/>
      </c>
      <c r="J2708" s="33" t="str">
        <f aca="false">IF(F2708="","",F2708-C2708)</f>
        <v/>
      </c>
      <c r="K2708" s="33" t="n">
        <f aca="false">IF(G2708="","",G2708-C2708)</f>
        <v>10.8</v>
      </c>
      <c r="L2708" s="33" t="n">
        <f aca="false">IF(H2708="","",ABS(H2708))</f>
        <v>8</v>
      </c>
      <c r="M2708" s="33" t="str">
        <f aca="false">IF(I2708="","",ABS(I2708))</f>
        <v/>
      </c>
      <c r="N2708" s="33" t="str">
        <f aca="false">IF(J2708="","",ABS(J2708))</f>
        <v/>
      </c>
      <c r="O2708" s="33" t="n">
        <f aca="false">IF(K2708="","",ABS(K2708))</f>
        <v>10.8</v>
      </c>
      <c r="P2708" s="34" t="str">
        <f aca="false">IF(B2708&gt;=Eval_Start_Week,"YES","")</f>
        <v/>
      </c>
      <c r="Q2708" s="34" t="str">
        <f aca="false">IF(AND(B2708&gt;=Cal_Start_Week,B2708&lt;=Cal_End_Week),"YES","")</f>
        <v/>
      </c>
    </row>
    <row r="2709" customFormat="false" ht="15" hidden="false" customHeight="false" outlineLevel="0" collapsed="false">
      <c r="A2709" s="31" t="str">
        <f aca="false">Demand_History!C2709</f>
        <v>BED-007</v>
      </c>
      <c r="B2709" s="31" t="n">
        <f aca="false">Demand_History!A2709</f>
        <v>4</v>
      </c>
      <c r="C2709" s="32" t="n">
        <f aca="false">Demand_History!D2709</f>
        <v>18</v>
      </c>
      <c r="D2709" s="33" t="n">
        <f aca="false">IF(B2709&gt;=2,C2708,"")</f>
        <v>17</v>
      </c>
      <c r="E2709" s="33" t="str">
        <f aca="false">IF(B2709&gt;=5,AVERAGE(C2705:C2708),"")</f>
        <v/>
      </c>
      <c r="F2709" s="33" t="str">
        <f aca="false">IF(B2709&gt;=9,AVERAGE(C2701:C2708),"")</f>
        <v/>
      </c>
      <c r="G2709" s="33" t="n">
        <f aca="false">IF(B2709=1,"",IF(B2709=2,C2708,SES_Alpha*C2708+(1-SES_Alpha)*G2708))</f>
        <v>24.56</v>
      </c>
      <c r="H2709" s="33" t="n">
        <f aca="false">IF(D2709="","",D2709-C2709)</f>
        <v>-1</v>
      </c>
      <c r="I2709" s="33" t="str">
        <f aca="false">IF(E2709="","",E2709-C2709)</f>
        <v/>
      </c>
      <c r="J2709" s="33" t="str">
        <f aca="false">IF(F2709="","",F2709-C2709)</f>
        <v/>
      </c>
      <c r="K2709" s="33" t="n">
        <f aca="false">IF(G2709="","",G2709-C2709)</f>
        <v>6.56</v>
      </c>
      <c r="L2709" s="33" t="n">
        <f aca="false">IF(H2709="","",ABS(H2709))</f>
        <v>1</v>
      </c>
      <c r="M2709" s="33" t="str">
        <f aca="false">IF(I2709="","",ABS(I2709))</f>
        <v/>
      </c>
      <c r="N2709" s="33" t="str">
        <f aca="false">IF(J2709="","",ABS(J2709))</f>
        <v/>
      </c>
      <c r="O2709" s="33" t="n">
        <f aca="false">IF(K2709="","",ABS(K2709))</f>
        <v>6.56</v>
      </c>
      <c r="P2709" s="34" t="str">
        <f aca="false">IF(B2709&gt;=Eval_Start_Week,"YES","")</f>
        <v/>
      </c>
      <c r="Q2709" s="34" t="str">
        <f aca="false">IF(AND(B2709&gt;=Cal_Start_Week,B2709&lt;=Cal_End_Week),"YES","")</f>
        <v/>
      </c>
    </row>
    <row r="2710" customFormat="false" ht="15" hidden="false" customHeight="false" outlineLevel="0" collapsed="false">
      <c r="A2710" s="31" t="str">
        <f aca="false">Demand_History!C2710</f>
        <v>BED-007</v>
      </c>
      <c r="B2710" s="31" t="n">
        <f aca="false">Demand_History!A2710</f>
        <v>5</v>
      </c>
      <c r="C2710" s="32" t="n">
        <f aca="false">Demand_History!D2710</f>
        <v>22</v>
      </c>
      <c r="D2710" s="33" t="n">
        <f aca="false">IF(B2710&gt;=2,C2709,"")</f>
        <v>18</v>
      </c>
      <c r="E2710" s="33" t="n">
        <f aca="false">IF(B2710&gt;=5,AVERAGE(C2706:C2709),"")</f>
        <v>22.25</v>
      </c>
      <c r="F2710" s="33" t="str">
        <f aca="false">IF(B2710&gt;=9,AVERAGE(C2702:C2709),"")</f>
        <v/>
      </c>
      <c r="G2710" s="33" t="n">
        <f aca="false">IF(B2710=1,"",IF(B2710=2,C2709,SES_Alpha*C2709+(1-SES_Alpha)*G2709))</f>
        <v>22.592</v>
      </c>
      <c r="H2710" s="33" t="n">
        <f aca="false">IF(D2710="","",D2710-C2710)</f>
        <v>-4</v>
      </c>
      <c r="I2710" s="33" t="n">
        <f aca="false">IF(E2710="","",E2710-C2710)</f>
        <v>0.25</v>
      </c>
      <c r="J2710" s="33" t="str">
        <f aca="false">IF(F2710="","",F2710-C2710)</f>
        <v/>
      </c>
      <c r="K2710" s="33" t="n">
        <f aca="false">IF(G2710="","",G2710-C2710)</f>
        <v>0.591999999999995</v>
      </c>
      <c r="L2710" s="33" t="n">
        <f aca="false">IF(H2710="","",ABS(H2710))</f>
        <v>4</v>
      </c>
      <c r="M2710" s="33" t="n">
        <f aca="false">IF(I2710="","",ABS(I2710))</f>
        <v>0.25</v>
      </c>
      <c r="N2710" s="33" t="str">
        <f aca="false">IF(J2710="","",ABS(J2710))</f>
        <v/>
      </c>
      <c r="O2710" s="33" t="n">
        <f aca="false">IF(K2710="","",ABS(K2710))</f>
        <v>0.591999999999995</v>
      </c>
      <c r="P2710" s="34" t="str">
        <f aca="false">IF(B2710&gt;=Eval_Start_Week,"YES","")</f>
        <v/>
      </c>
      <c r="Q2710" s="34" t="str">
        <f aca="false">IF(AND(B2710&gt;=Cal_Start_Week,B2710&lt;=Cal_End_Week),"YES","")</f>
        <v/>
      </c>
    </row>
    <row r="2711" customFormat="false" ht="15" hidden="false" customHeight="false" outlineLevel="0" collapsed="false">
      <c r="A2711" s="31" t="str">
        <f aca="false">Demand_History!C2711</f>
        <v>BED-007</v>
      </c>
      <c r="B2711" s="31" t="n">
        <f aca="false">Demand_History!A2711</f>
        <v>6</v>
      </c>
      <c r="C2711" s="32" t="n">
        <f aca="false">Demand_History!D2711</f>
        <v>27</v>
      </c>
      <c r="D2711" s="33" t="n">
        <f aca="false">IF(B2711&gt;=2,C2710,"")</f>
        <v>22</v>
      </c>
      <c r="E2711" s="33" t="n">
        <f aca="false">IF(B2711&gt;=5,AVERAGE(C2707:C2710),"")</f>
        <v>20.5</v>
      </c>
      <c r="F2711" s="33" t="str">
        <f aca="false">IF(B2711&gt;=9,AVERAGE(C2703:C2710),"")</f>
        <v/>
      </c>
      <c r="G2711" s="33" t="n">
        <f aca="false">IF(B2711=1,"",IF(B2711=2,C2710,SES_Alpha*C2710+(1-SES_Alpha)*G2710))</f>
        <v>22.4144</v>
      </c>
      <c r="H2711" s="33" t="n">
        <f aca="false">IF(D2711="","",D2711-C2711)</f>
        <v>-5</v>
      </c>
      <c r="I2711" s="33" t="n">
        <f aca="false">IF(E2711="","",E2711-C2711)</f>
        <v>-6.5</v>
      </c>
      <c r="J2711" s="33" t="str">
        <f aca="false">IF(F2711="","",F2711-C2711)</f>
        <v/>
      </c>
      <c r="K2711" s="33" t="n">
        <f aca="false">IF(G2711="","",G2711-C2711)</f>
        <v>-4.58560000000001</v>
      </c>
      <c r="L2711" s="33" t="n">
        <f aca="false">IF(H2711="","",ABS(H2711))</f>
        <v>5</v>
      </c>
      <c r="M2711" s="33" t="n">
        <f aca="false">IF(I2711="","",ABS(I2711))</f>
        <v>6.5</v>
      </c>
      <c r="N2711" s="33" t="str">
        <f aca="false">IF(J2711="","",ABS(J2711))</f>
        <v/>
      </c>
      <c r="O2711" s="33" t="n">
        <f aca="false">IF(K2711="","",ABS(K2711))</f>
        <v>4.58560000000001</v>
      </c>
      <c r="P2711" s="34" t="str">
        <f aca="false">IF(B2711&gt;=Eval_Start_Week,"YES","")</f>
        <v/>
      </c>
      <c r="Q2711" s="34" t="str">
        <f aca="false">IF(AND(B2711&gt;=Cal_Start_Week,B2711&lt;=Cal_End_Week),"YES","")</f>
        <v/>
      </c>
    </row>
    <row r="2712" customFormat="false" ht="15" hidden="false" customHeight="false" outlineLevel="0" collapsed="false">
      <c r="A2712" s="31" t="str">
        <f aca="false">Demand_History!C2712</f>
        <v>BED-007</v>
      </c>
      <c r="B2712" s="31" t="n">
        <f aca="false">Demand_History!A2712</f>
        <v>7</v>
      </c>
      <c r="C2712" s="32" t="n">
        <f aca="false">Demand_History!D2712</f>
        <v>27</v>
      </c>
      <c r="D2712" s="33" t="n">
        <f aca="false">IF(B2712&gt;=2,C2711,"")</f>
        <v>27</v>
      </c>
      <c r="E2712" s="33" t="n">
        <f aca="false">IF(B2712&gt;=5,AVERAGE(C2708:C2711),"")</f>
        <v>21</v>
      </c>
      <c r="F2712" s="33" t="str">
        <f aca="false">IF(B2712&gt;=9,AVERAGE(C2704:C2711),"")</f>
        <v/>
      </c>
      <c r="G2712" s="33" t="n">
        <f aca="false">IF(B2712=1,"",IF(B2712=2,C2711,SES_Alpha*C2711+(1-SES_Alpha)*G2711))</f>
        <v>23.79008</v>
      </c>
      <c r="H2712" s="33" t="n">
        <f aca="false">IF(D2712="","",D2712-C2712)</f>
        <v>0</v>
      </c>
      <c r="I2712" s="33" t="n">
        <f aca="false">IF(E2712="","",E2712-C2712)</f>
        <v>-6</v>
      </c>
      <c r="J2712" s="33" t="str">
        <f aca="false">IF(F2712="","",F2712-C2712)</f>
        <v/>
      </c>
      <c r="K2712" s="33" t="n">
        <f aca="false">IF(G2712="","",G2712-C2712)</f>
        <v>-3.20992</v>
      </c>
      <c r="L2712" s="33" t="n">
        <f aca="false">IF(H2712="","",ABS(H2712))</f>
        <v>0</v>
      </c>
      <c r="M2712" s="33" t="n">
        <f aca="false">IF(I2712="","",ABS(I2712))</f>
        <v>6</v>
      </c>
      <c r="N2712" s="33" t="str">
        <f aca="false">IF(J2712="","",ABS(J2712))</f>
        <v/>
      </c>
      <c r="O2712" s="33" t="n">
        <f aca="false">IF(K2712="","",ABS(K2712))</f>
        <v>3.20992</v>
      </c>
      <c r="P2712" s="34" t="str">
        <f aca="false">IF(B2712&gt;=Eval_Start_Week,"YES","")</f>
        <v/>
      </c>
      <c r="Q2712" s="34" t="str">
        <f aca="false">IF(AND(B2712&gt;=Cal_Start_Week,B2712&lt;=Cal_End_Week),"YES","")</f>
        <v/>
      </c>
    </row>
    <row r="2713" customFormat="false" ht="15" hidden="false" customHeight="false" outlineLevel="0" collapsed="false">
      <c r="A2713" s="31" t="str">
        <f aca="false">Demand_History!C2713</f>
        <v>BED-007</v>
      </c>
      <c r="B2713" s="31" t="n">
        <f aca="false">Demand_History!A2713</f>
        <v>8</v>
      </c>
      <c r="C2713" s="32" t="n">
        <f aca="false">Demand_History!D2713</f>
        <v>25</v>
      </c>
      <c r="D2713" s="33" t="n">
        <f aca="false">IF(B2713&gt;=2,C2712,"")</f>
        <v>27</v>
      </c>
      <c r="E2713" s="33" t="n">
        <f aca="false">IF(B2713&gt;=5,AVERAGE(C2709:C2712),"")</f>
        <v>23.5</v>
      </c>
      <c r="F2713" s="33" t="str">
        <f aca="false">IF(B2713&gt;=9,AVERAGE(C2705:C2712),"")</f>
        <v/>
      </c>
      <c r="G2713" s="33" t="n">
        <f aca="false">IF(B2713=1,"",IF(B2713=2,C2712,SES_Alpha*C2712+(1-SES_Alpha)*G2712))</f>
        <v>24.753056</v>
      </c>
      <c r="H2713" s="33" t="n">
        <f aca="false">IF(D2713="","",D2713-C2713)</f>
        <v>2</v>
      </c>
      <c r="I2713" s="33" t="n">
        <f aca="false">IF(E2713="","",E2713-C2713)</f>
        <v>-1.5</v>
      </c>
      <c r="J2713" s="33" t="str">
        <f aca="false">IF(F2713="","",F2713-C2713)</f>
        <v/>
      </c>
      <c r="K2713" s="33" t="n">
        <f aca="false">IF(G2713="","",G2713-C2713)</f>
        <v>-0.246944000000006</v>
      </c>
      <c r="L2713" s="33" t="n">
        <f aca="false">IF(H2713="","",ABS(H2713))</f>
        <v>2</v>
      </c>
      <c r="M2713" s="33" t="n">
        <f aca="false">IF(I2713="","",ABS(I2713))</f>
        <v>1.5</v>
      </c>
      <c r="N2713" s="33" t="str">
        <f aca="false">IF(J2713="","",ABS(J2713))</f>
        <v/>
      </c>
      <c r="O2713" s="33" t="n">
        <f aca="false">IF(K2713="","",ABS(K2713))</f>
        <v>0.246944000000006</v>
      </c>
      <c r="P2713" s="34" t="str">
        <f aca="false">IF(B2713&gt;=Eval_Start_Week,"YES","")</f>
        <v/>
      </c>
      <c r="Q2713" s="34" t="str">
        <f aca="false">IF(AND(B2713&gt;=Cal_Start_Week,B2713&lt;=Cal_End_Week),"YES","")</f>
        <v/>
      </c>
    </row>
    <row r="2714" customFormat="false" ht="15" hidden="false" customHeight="false" outlineLevel="0" collapsed="false">
      <c r="A2714" s="31" t="str">
        <f aca="false">Demand_History!C2714</f>
        <v>BED-007</v>
      </c>
      <c r="B2714" s="31" t="n">
        <f aca="false">Demand_History!A2714</f>
        <v>9</v>
      </c>
      <c r="C2714" s="32" t="n">
        <f aca="false">Demand_History!D2714</f>
        <v>24</v>
      </c>
      <c r="D2714" s="33" t="n">
        <f aca="false">IF(B2714&gt;=2,C2713,"")</f>
        <v>25</v>
      </c>
      <c r="E2714" s="33" t="n">
        <f aca="false">IF(B2714&gt;=5,AVERAGE(C2710:C2713),"")</f>
        <v>25.25</v>
      </c>
      <c r="F2714" s="33" t="n">
        <f aca="false">IF(B2714&gt;=9,AVERAGE(C2706:C2713),"")</f>
        <v>23.75</v>
      </c>
      <c r="G2714" s="33" t="n">
        <f aca="false">IF(B2714=1,"",IF(B2714=2,C2713,SES_Alpha*C2713+(1-SES_Alpha)*G2713))</f>
        <v>24.8271392</v>
      </c>
      <c r="H2714" s="33" t="n">
        <f aca="false">IF(D2714="","",D2714-C2714)</f>
        <v>1</v>
      </c>
      <c r="I2714" s="33" t="n">
        <f aca="false">IF(E2714="","",E2714-C2714)</f>
        <v>1.25</v>
      </c>
      <c r="J2714" s="33" t="n">
        <f aca="false">IF(F2714="","",F2714-C2714)</f>
        <v>-0.25</v>
      </c>
      <c r="K2714" s="33" t="n">
        <f aca="false">IF(G2714="","",G2714-C2714)</f>
        <v>0.827139199999994</v>
      </c>
      <c r="L2714" s="33" t="n">
        <f aca="false">IF(H2714="","",ABS(H2714))</f>
        <v>1</v>
      </c>
      <c r="M2714" s="33" t="n">
        <f aca="false">IF(I2714="","",ABS(I2714))</f>
        <v>1.25</v>
      </c>
      <c r="N2714" s="33" t="n">
        <f aca="false">IF(J2714="","",ABS(J2714))</f>
        <v>0.25</v>
      </c>
      <c r="O2714" s="33" t="n">
        <f aca="false">IF(K2714="","",ABS(K2714))</f>
        <v>0.827139199999994</v>
      </c>
      <c r="P2714" s="34" t="str">
        <f aca="false">IF(B2714&gt;=Eval_Start_Week,"YES","")</f>
        <v/>
      </c>
      <c r="Q2714" s="34" t="str">
        <f aca="false">IF(AND(B2714&gt;=Cal_Start_Week,B2714&lt;=Cal_End_Week),"YES","")</f>
        <v/>
      </c>
    </row>
    <row r="2715" customFormat="false" ht="15" hidden="false" customHeight="false" outlineLevel="0" collapsed="false">
      <c r="A2715" s="31" t="str">
        <f aca="false">Demand_History!C2715</f>
        <v>BED-007</v>
      </c>
      <c r="B2715" s="31" t="n">
        <f aca="false">Demand_History!A2715</f>
        <v>10</v>
      </c>
      <c r="C2715" s="32" t="n">
        <f aca="false">Demand_History!D2715</f>
        <v>30</v>
      </c>
      <c r="D2715" s="33" t="n">
        <f aca="false">IF(B2715&gt;=2,C2714,"")</f>
        <v>24</v>
      </c>
      <c r="E2715" s="33" t="n">
        <f aca="false">IF(B2715&gt;=5,AVERAGE(C2711:C2714),"")</f>
        <v>25.75</v>
      </c>
      <c r="F2715" s="33" t="n">
        <f aca="false">IF(B2715&gt;=9,AVERAGE(C2707:C2714),"")</f>
        <v>23.125</v>
      </c>
      <c r="G2715" s="33" t="n">
        <f aca="false">IF(B2715=1,"",IF(B2715=2,C2714,SES_Alpha*C2714+(1-SES_Alpha)*G2714))</f>
        <v>24.57899744</v>
      </c>
      <c r="H2715" s="33" t="n">
        <f aca="false">IF(D2715="","",D2715-C2715)</f>
        <v>-6</v>
      </c>
      <c r="I2715" s="33" t="n">
        <f aca="false">IF(E2715="","",E2715-C2715)</f>
        <v>-4.25</v>
      </c>
      <c r="J2715" s="33" t="n">
        <f aca="false">IF(F2715="","",F2715-C2715)</f>
        <v>-6.875</v>
      </c>
      <c r="K2715" s="33" t="n">
        <f aca="false">IF(G2715="","",G2715-C2715)</f>
        <v>-5.42100256000001</v>
      </c>
      <c r="L2715" s="33" t="n">
        <f aca="false">IF(H2715="","",ABS(H2715))</f>
        <v>6</v>
      </c>
      <c r="M2715" s="33" t="n">
        <f aca="false">IF(I2715="","",ABS(I2715))</f>
        <v>4.25</v>
      </c>
      <c r="N2715" s="33" t="n">
        <f aca="false">IF(J2715="","",ABS(J2715))</f>
        <v>6.875</v>
      </c>
      <c r="O2715" s="33" t="n">
        <f aca="false">IF(K2715="","",ABS(K2715))</f>
        <v>5.42100256000001</v>
      </c>
      <c r="P2715" s="34" t="str">
        <f aca="false">IF(B2715&gt;=Eval_Start_Week,"YES","")</f>
        <v/>
      </c>
      <c r="Q2715" s="34" t="str">
        <f aca="false">IF(AND(B2715&gt;=Cal_Start_Week,B2715&lt;=Cal_End_Week),"YES","")</f>
        <v/>
      </c>
    </row>
    <row r="2716" customFormat="false" ht="15" hidden="false" customHeight="false" outlineLevel="0" collapsed="false">
      <c r="A2716" s="31" t="str">
        <f aca="false">Demand_History!C2716</f>
        <v>BED-007</v>
      </c>
      <c r="B2716" s="31" t="n">
        <f aca="false">Demand_History!A2716</f>
        <v>11</v>
      </c>
      <c r="C2716" s="32" t="n">
        <f aca="false">Demand_History!D2716</f>
        <v>27</v>
      </c>
      <c r="D2716" s="33" t="n">
        <f aca="false">IF(B2716&gt;=2,C2715,"")</f>
        <v>30</v>
      </c>
      <c r="E2716" s="33" t="n">
        <f aca="false">IF(B2716&gt;=5,AVERAGE(C2712:C2715),"")</f>
        <v>26.5</v>
      </c>
      <c r="F2716" s="33" t="n">
        <f aca="false">IF(B2716&gt;=9,AVERAGE(C2708:C2715),"")</f>
        <v>23.75</v>
      </c>
      <c r="G2716" s="33" t="n">
        <f aca="false">IF(B2716=1,"",IF(B2716=2,C2715,SES_Alpha*C2715+(1-SES_Alpha)*G2715))</f>
        <v>26.205298208</v>
      </c>
      <c r="H2716" s="33" t="n">
        <f aca="false">IF(D2716="","",D2716-C2716)</f>
        <v>3</v>
      </c>
      <c r="I2716" s="33" t="n">
        <f aca="false">IF(E2716="","",E2716-C2716)</f>
        <v>-0.5</v>
      </c>
      <c r="J2716" s="33" t="n">
        <f aca="false">IF(F2716="","",F2716-C2716)</f>
        <v>-3.25</v>
      </c>
      <c r="K2716" s="33" t="n">
        <f aca="false">IF(G2716="","",G2716-C2716)</f>
        <v>-0.794701792000005</v>
      </c>
      <c r="L2716" s="33" t="n">
        <f aca="false">IF(H2716="","",ABS(H2716))</f>
        <v>3</v>
      </c>
      <c r="M2716" s="33" t="n">
        <f aca="false">IF(I2716="","",ABS(I2716))</f>
        <v>0.5</v>
      </c>
      <c r="N2716" s="33" t="n">
        <f aca="false">IF(J2716="","",ABS(J2716))</f>
        <v>3.25</v>
      </c>
      <c r="O2716" s="33" t="n">
        <f aca="false">IF(K2716="","",ABS(K2716))</f>
        <v>0.794701792000005</v>
      </c>
      <c r="P2716" s="34" t="str">
        <f aca="false">IF(B2716&gt;=Eval_Start_Week,"YES","")</f>
        <v/>
      </c>
      <c r="Q2716" s="34" t="str">
        <f aca="false">IF(AND(B2716&gt;=Cal_Start_Week,B2716&lt;=Cal_End_Week),"YES","")</f>
        <v/>
      </c>
    </row>
    <row r="2717" customFormat="false" ht="15" hidden="false" customHeight="false" outlineLevel="0" collapsed="false">
      <c r="A2717" s="31" t="str">
        <f aca="false">Demand_History!C2717</f>
        <v>BED-007</v>
      </c>
      <c r="B2717" s="31" t="n">
        <f aca="false">Demand_History!A2717</f>
        <v>12</v>
      </c>
      <c r="C2717" s="32" t="n">
        <f aca="false">Demand_History!D2717</f>
        <v>27</v>
      </c>
      <c r="D2717" s="33" t="n">
        <f aca="false">IF(B2717&gt;=2,C2716,"")</f>
        <v>27</v>
      </c>
      <c r="E2717" s="33" t="n">
        <f aca="false">IF(B2717&gt;=5,AVERAGE(C2713:C2716),"")</f>
        <v>26.5</v>
      </c>
      <c r="F2717" s="33" t="n">
        <f aca="false">IF(B2717&gt;=9,AVERAGE(C2709:C2716),"")</f>
        <v>25</v>
      </c>
      <c r="G2717" s="33" t="n">
        <f aca="false">IF(B2717=1,"",IF(B2717=2,C2716,SES_Alpha*C2716+(1-SES_Alpha)*G2716))</f>
        <v>26.4437087456</v>
      </c>
      <c r="H2717" s="33" t="n">
        <f aca="false">IF(D2717="","",D2717-C2717)</f>
        <v>0</v>
      </c>
      <c r="I2717" s="33" t="n">
        <f aca="false">IF(E2717="","",E2717-C2717)</f>
        <v>-0.5</v>
      </c>
      <c r="J2717" s="33" t="n">
        <f aca="false">IF(F2717="","",F2717-C2717)</f>
        <v>-2</v>
      </c>
      <c r="K2717" s="33" t="n">
        <f aca="false">IF(G2717="","",G2717-C2717)</f>
        <v>-0.556291254400009</v>
      </c>
      <c r="L2717" s="33" t="n">
        <f aca="false">IF(H2717="","",ABS(H2717))</f>
        <v>0</v>
      </c>
      <c r="M2717" s="33" t="n">
        <f aca="false">IF(I2717="","",ABS(I2717))</f>
        <v>0.5</v>
      </c>
      <c r="N2717" s="33" t="n">
        <f aca="false">IF(J2717="","",ABS(J2717))</f>
        <v>2</v>
      </c>
      <c r="O2717" s="33" t="n">
        <f aca="false">IF(K2717="","",ABS(K2717))</f>
        <v>0.556291254400009</v>
      </c>
      <c r="P2717" s="34" t="str">
        <f aca="false">IF(B2717&gt;=Eval_Start_Week,"YES","")</f>
        <v/>
      </c>
      <c r="Q2717" s="34" t="str">
        <f aca="false">IF(AND(B2717&gt;=Cal_Start_Week,B2717&lt;=Cal_End_Week),"YES","")</f>
        <v/>
      </c>
    </row>
    <row r="2718" customFormat="false" ht="15" hidden="false" customHeight="false" outlineLevel="0" collapsed="false">
      <c r="A2718" s="31" t="str">
        <f aca="false">Demand_History!C2718</f>
        <v>BED-007</v>
      </c>
      <c r="B2718" s="31" t="n">
        <f aca="false">Demand_History!A2718</f>
        <v>13</v>
      </c>
      <c r="C2718" s="32" t="n">
        <f aca="false">Demand_History!D2718</f>
        <v>27</v>
      </c>
      <c r="D2718" s="33" t="n">
        <f aca="false">IF(B2718&gt;=2,C2717,"")</f>
        <v>27</v>
      </c>
      <c r="E2718" s="33" t="n">
        <f aca="false">IF(B2718&gt;=5,AVERAGE(C2714:C2717),"")</f>
        <v>27</v>
      </c>
      <c r="F2718" s="33" t="n">
        <f aca="false">IF(B2718&gt;=9,AVERAGE(C2710:C2717),"")</f>
        <v>26.125</v>
      </c>
      <c r="G2718" s="33" t="n">
        <f aca="false">IF(B2718=1,"",IF(B2718=2,C2717,SES_Alpha*C2717+(1-SES_Alpha)*G2717))</f>
        <v>26.61059612192</v>
      </c>
      <c r="H2718" s="33" t="n">
        <f aca="false">IF(D2718="","",D2718-C2718)</f>
        <v>0</v>
      </c>
      <c r="I2718" s="33" t="n">
        <f aca="false">IF(E2718="","",E2718-C2718)</f>
        <v>0</v>
      </c>
      <c r="J2718" s="33" t="n">
        <f aca="false">IF(F2718="","",F2718-C2718)</f>
        <v>-0.875</v>
      </c>
      <c r="K2718" s="33" t="n">
        <f aca="false">IF(G2718="","",G2718-C2718)</f>
        <v>-0.38940387808001</v>
      </c>
      <c r="L2718" s="33" t="n">
        <f aca="false">IF(H2718="","",ABS(H2718))</f>
        <v>0</v>
      </c>
      <c r="M2718" s="33" t="n">
        <f aca="false">IF(I2718="","",ABS(I2718))</f>
        <v>0</v>
      </c>
      <c r="N2718" s="33" t="n">
        <f aca="false">IF(J2718="","",ABS(J2718))</f>
        <v>0.875</v>
      </c>
      <c r="O2718" s="33" t="n">
        <f aca="false">IF(K2718="","",ABS(K2718))</f>
        <v>0.38940387808001</v>
      </c>
      <c r="P2718" s="34" t="str">
        <f aca="false">IF(B2718&gt;=Eval_Start_Week,"YES","")</f>
        <v/>
      </c>
      <c r="Q2718" s="34" t="str">
        <f aca="false">IF(AND(B2718&gt;=Cal_Start_Week,B2718&lt;=Cal_End_Week),"YES","")</f>
        <v/>
      </c>
    </row>
    <row r="2719" customFormat="false" ht="15" hidden="false" customHeight="false" outlineLevel="0" collapsed="false">
      <c r="A2719" s="31" t="str">
        <f aca="false">Demand_History!C2719</f>
        <v>BED-007</v>
      </c>
      <c r="B2719" s="31" t="n">
        <f aca="false">Demand_History!A2719</f>
        <v>14</v>
      </c>
      <c r="C2719" s="32" t="n">
        <f aca="false">Demand_History!D2719</f>
        <v>21</v>
      </c>
      <c r="D2719" s="33" t="n">
        <f aca="false">IF(B2719&gt;=2,C2718,"")</f>
        <v>27</v>
      </c>
      <c r="E2719" s="33" t="n">
        <f aca="false">IF(B2719&gt;=5,AVERAGE(C2715:C2718),"")</f>
        <v>27.75</v>
      </c>
      <c r="F2719" s="33" t="n">
        <f aca="false">IF(B2719&gt;=9,AVERAGE(C2711:C2718),"")</f>
        <v>26.75</v>
      </c>
      <c r="G2719" s="33" t="n">
        <f aca="false">IF(B2719=1,"",IF(B2719=2,C2718,SES_Alpha*C2718+(1-SES_Alpha)*G2718))</f>
        <v>26.727417285344</v>
      </c>
      <c r="H2719" s="33" t="n">
        <f aca="false">IF(D2719="","",D2719-C2719)</f>
        <v>6</v>
      </c>
      <c r="I2719" s="33" t="n">
        <f aca="false">IF(E2719="","",E2719-C2719)</f>
        <v>6.75</v>
      </c>
      <c r="J2719" s="33" t="n">
        <f aca="false">IF(F2719="","",F2719-C2719)</f>
        <v>5.75</v>
      </c>
      <c r="K2719" s="33" t="n">
        <f aca="false">IF(G2719="","",G2719-C2719)</f>
        <v>5.72741728534399</v>
      </c>
      <c r="L2719" s="33" t="n">
        <f aca="false">IF(H2719="","",ABS(H2719))</f>
        <v>6</v>
      </c>
      <c r="M2719" s="33" t="n">
        <f aca="false">IF(I2719="","",ABS(I2719))</f>
        <v>6.75</v>
      </c>
      <c r="N2719" s="33" t="n">
        <f aca="false">IF(J2719="","",ABS(J2719))</f>
        <v>5.75</v>
      </c>
      <c r="O2719" s="33" t="n">
        <f aca="false">IF(K2719="","",ABS(K2719))</f>
        <v>5.72741728534399</v>
      </c>
      <c r="P2719" s="34" t="str">
        <f aca="false">IF(B2719&gt;=Eval_Start_Week,"YES","")</f>
        <v/>
      </c>
      <c r="Q2719" s="34" t="str">
        <f aca="false">IF(AND(B2719&gt;=Cal_Start_Week,B2719&lt;=Cal_End_Week),"YES","")</f>
        <v/>
      </c>
    </row>
    <row r="2720" customFormat="false" ht="15" hidden="false" customHeight="false" outlineLevel="0" collapsed="false">
      <c r="A2720" s="31" t="str">
        <f aca="false">Demand_History!C2720</f>
        <v>BED-007</v>
      </c>
      <c r="B2720" s="31" t="n">
        <f aca="false">Demand_History!A2720</f>
        <v>15</v>
      </c>
      <c r="C2720" s="32" t="n">
        <f aca="false">Demand_History!D2720</f>
        <v>17</v>
      </c>
      <c r="D2720" s="33" t="n">
        <f aca="false">IF(B2720&gt;=2,C2719,"")</f>
        <v>21</v>
      </c>
      <c r="E2720" s="33" t="n">
        <f aca="false">IF(B2720&gt;=5,AVERAGE(C2716:C2719),"")</f>
        <v>25.5</v>
      </c>
      <c r="F2720" s="33" t="n">
        <f aca="false">IF(B2720&gt;=9,AVERAGE(C2712:C2719),"")</f>
        <v>26</v>
      </c>
      <c r="G2720" s="33" t="n">
        <f aca="false">IF(B2720=1,"",IF(B2720=2,C2719,SES_Alpha*C2719+(1-SES_Alpha)*G2719))</f>
        <v>25.0091920997408</v>
      </c>
      <c r="H2720" s="33" t="n">
        <f aca="false">IF(D2720="","",D2720-C2720)</f>
        <v>4</v>
      </c>
      <c r="I2720" s="33" t="n">
        <f aca="false">IF(E2720="","",E2720-C2720)</f>
        <v>8.5</v>
      </c>
      <c r="J2720" s="33" t="n">
        <f aca="false">IF(F2720="","",F2720-C2720)</f>
        <v>9</v>
      </c>
      <c r="K2720" s="33" t="n">
        <f aca="false">IF(G2720="","",G2720-C2720)</f>
        <v>8.00919209974079</v>
      </c>
      <c r="L2720" s="33" t="n">
        <f aca="false">IF(H2720="","",ABS(H2720))</f>
        <v>4</v>
      </c>
      <c r="M2720" s="33" t="n">
        <f aca="false">IF(I2720="","",ABS(I2720))</f>
        <v>8.5</v>
      </c>
      <c r="N2720" s="33" t="n">
        <f aca="false">IF(J2720="","",ABS(J2720))</f>
        <v>9</v>
      </c>
      <c r="O2720" s="33" t="n">
        <f aca="false">IF(K2720="","",ABS(K2720))</f>
        <v>8.00919209974079</v>
      </c>
      <c r="P2720" s="34" t="str">
        <f aca="false">IF(B2720&gt;=Eval_Start_Week,"YES","")</f>
        <v/>
      </c>
      <c r="Q2720" s="34" t="str">
        <f aca="false">IF(AND(B2720&gt;=Cal_Start_Week,B2720&lt;=Cal_End_Week),"YES","")</f>
        <v/>
      </c>
    </row>
    <row r="2721" customFormat="false" ht="15" hidden="false" customHeight="false" outlineLevel="0" collapsed="false">
      <c r="A2721" s="31" t="str">
        <f aca="false">Demand_History!C2721</f>
        <v>BED-007</v>
      </c>
      <c r="B2721" s="31" t="n">
        <f aca="false">Demand_History!A2721</f>
        <v>16</v>
      </c>
      <c r="C2721" s="32" t="n">
        <f aca="false">Demand_History!D2721</f>
        <v>29</v>
      </c>
      <c r="D2721" s="33" t="n">
        <f aca="false">IF(B2721&gt;=2,C2720,"")</f>
        <v>17</v>
      </c>
      <c r="E2721" s="33" t="n">
        <f aca="false">IF(B2721&gt;=5,AVERAGE(C2717:C2720),"")</f>
        <v>23</v>
      </c>
      <c r="F2721" s="33" t="n">
        <f aca="false">IF(B2721&gt;=9,AVERAGE(C2713:C2720),"")</f>
        <v>24.75</v>
      </c>
      <c r="G2721" s="33" t="n">
        <f aca="false">IF(B2721=1,"",IF(B2721=2,C2720,SES_Alpha*C2720+(1-SES_Alpha)*G2720))</f>
        <v>22.6064344698186</v>
      </c>
      <c r="H2721" s="33" t="n">
        <f aca="false">IF(D2721="","",D2721-C2721)</f>
        <v>-12</v>
      </c>
      <c r="I2721" s="33" t="n">
        <f aca="false">IF(E2721="","",E2721-C2721)</f>
        <v>-6</v>
      </c>
      <c r="J2721" s="33" t="n">
        <f aca="false">IF(F2721="","",F2721-C2721)</f>
        <v>-4.25</v>
      </c>
      <c r="K2721" s="33" t="n">
        <f aca="false">IF(G2721="","",G2721-C2721)</f>
        <v>-6.39356553018145</v>
      </c>
      <c r="L2721" s="33" t="n">
        <f aca="false">IF(H2721="","",ABS(H2721))</f>
        <v>12</v>
      </c>
      <c r="M2721" s="33" t="n">
        <f aca="false">IF(I2721="","",ABS(I2721))</f>
        <v>6</v>
      </c>
      <c r="N2721" s="33" t="n">
        <f aca="false">IF(J2721="","",ABS(J2721))</f>
        <v>4.25</v>
      </c>
      <c r="O2721" s="33" t="n">
        <f aca="false">IF(K2721="","",ABS(K2721))</f>
        <v>6.39356553018145</v>
      </c>
      <c r="P2721" s="34" t="str">
        <f aca="false">IF(B2721&gt;=Eval_Start_Week,"YES","")</f>
        <v/>
      </c>
      <c r="Q2721" s="34" t="str">
        <f aca="false">IF(AND(B2721&gt;=Cal_Start_Week,B2721&lt;=Cal_End_Week),"YES","")</f>
        <v/>
      </c>
    </row>
    <row r="2722" customFormat="false" ht="15" hidden="false" customHeight="false" outlineLevel="0" collapsed="false">
      <c r="A2722" s="31" t="str">
        <f aca="false">Demand_History!C2722</f>
        <v>BED-007</v>
      </c>
      <c r="B2722" s="31" t="n">
        <f aca="false">Demand_History!A2722</f>
        <v>17</v>
      </c>
      <c r="C2722" s="32" t="n">
        <f aca="false">Demand_History!D2722</f>
        <v>28</v>
      </c>
      <c r="D2722" s="33" t="n">
        <f aca="false">IF(B2722&gt;=2,C2721,"")</f>
        <v>29</v>
      </c>
      <c r="E2722" s="33" t="n">
        <f aca="false">IF(B2722&gt;=5,AVERAGE(C2718:C2721),"")</f>
        <v>23.5</v>
      </c>
      <c r="F2722" s="33" t="n">
        <f aca="false">IF(B2722&gt;=9,AVERAGE(C2714:C2721),"")</f>
        <v>25.25</v>
      </c>
      <c r="G2722" s="33" t="n">
        <f aca="false">IF(B2722=1,"",IF(B2722=2,C2721,SES_Alpha*C2721+(1-SES_Alpha)*G2721))</f>
        <v>24.524504128873</v>
      </c>
      <c r="H2722" s="33" t="n">
        <f aca="false">IF(D2722="","",D2722-C2722)</f>
        <v>1</v>
      </c>
      <c r="I2722" s="33" t="n">
        <f aca="false">IF(E2722="","",E2722-C2722)</f>
        <v>-4.5</v>
      </c>
      <c r="J2722" s="33" t="n">
        <f aca="false">IF(F2722="","",F2722-C2722)</f>
        <v>-2.75</v>
      </c>
      <c r="K2722" s="33" t="n">
        <f aca="false">IF(G2722="","",G2722-C2722)</f>
        <v>-3.47549587112702</v>
      </c>
      <c r="L2722" s="33" t="n">
        <f aca="false">IF(H2722="","",ABS(H2722))</f>
        <v>1</v>
      </c>
      <c r="M2722" s="33" t="n">
        <f aca="false">IF(I2722="","",ABS(I2722))</f>
        <v>4.5</v>
      </c>
      <c r="N2722" s="33" t="n">
        <f aca="false">IF(J2722="","",ABS(J2722))</f>
        <v>2.75</v>
      </c>
      <c r="O2722" s="33" t="n">
        <f aca="false">IF(K2722="","",ABS(K2722))</f>
        <v>3.47549587112702</v>
      </c>
      <c r="P2722" s="34" t="str">
        <f aca="false">IF(B2722&gt;=Eval_Start_Week,"YES","")</f>
        <v/>
      </c>
      <c r="Q2722" s="34" t="str">
        <f aca="false">IF(AND(B2722&gt;=Cal_Start_Week,B2722&lt;=Cal_End_Week),"YES","")</f>
        <v/>
      </c>
    </row>
    <row r="2723" customFormat="false" ht="15" hidden="false" customHeight="false" outlineLevel="0" collapsed="false">
      <c r="A2723" s="31" t="str">
        <f aca="false">Demand_History!C2723</f>
        <v>BED-007</v>
      </c>
      <c r="B2723" s="31" t="n">
        <f aca="false">Demand_History!A2723</f>
        <v>18</v>
      </c>
      <c r="C2723" s="32" t="n">
        <f aca="false">Demand_History!D2723</f>
        <v>23</v>
      </c>
      <c r="D2723" s="33" t="n">
        <f aca="false">IF(B2723&gt;=2,C2722,"")</f>
        <v>28</v>
      </c>
      <c r="E2723" s="33" t="n">
        <f aca="false">IF(B2723&gt;=5,AVERAGE(C2719:C2722),"")</f>
        <v>23.75</v>
      </c>
      <c r="F2723" s="33" t="n">
        <f aca="false">IF(B2723&gt;=9,AVERAGE(C2715:C2722),"")</f>
        <v>25.75</v>
      </c>
      <c r="G2723" s="33" t="n">
        <f aca="false">IF(B2723=1,"",IF(B2723=2,C2722,SES_Alpha*C2722+(1-SES_Alpha)*G2722))</f>
        <v>25.5671528902111</v>
      </c>
      <c r="H2723" s="33" t="n">
        <f aca="false">IF(D2723="","",D2723-C2723)</f>
        <v>5</v>
      </c>
      <c r="I2723" s="33" t="n">
        <f aca="false">IF(E2723="","",E2723-C2723)</f>
        <v>0.75</v>
      </c>
      <c r="J2723" s="33" t="n">
        <f aca="false">IF(F2723="","",F2723-C2723)</f>
        <v>2.75</v>
      </c>
      <c r="K2723" s="33" t="n">
        <f aca="false">IF(G2723="","",G2723-C2723)</f>
        <v>2.56715289021109</v>
      </c>
      <c r="L2723" s="33" t="n">
        <f aca="false">IF(H2723="","",ABS(H2723))</f>
        <v>5</v>
      </c>
      <c r="M2723" s="33" t="n">
        <f aca="false">IF(I2723="","",ABS(I2723))</f>
        <v>0.75</v>
      </c>
      <c r="N2723" s="33" t="n">
        <f aca="false">IF(J2723="","",ABS(J2723))</f>
        <v>2.75</v>
      </c>
      <c r="O2723" s="33" t="n">
        <f aca="false">IF(K2723="","",ABS(K2723))</f>
        <v>2.56715289021109</v>
      </c>
      <c r="P2723" s="34" t="str">
        <f aca="false">IF(B2723&gt;=Eval_Start_Week,"YES","")</f>
        <v/>
      </c>
      <c r="Q2723" s="34" t="str">
        <f aca="false">IF(AND(B2723&gt;=Cal_Start_Week,B2723&lt;=Cal_End_Week),"YES","")</f>
        <v/>
      </c>
    </row>
    <row r="2724" customFormat="false" ht="15" hidden="false" customHeight="false" outlineLevel="0" collapsed="false">
      <c r="A2724" s="31" t="str">
        <f aca="false">Demand_History!C2724</f>
        <v>BED-007</v>
      </c>
      <c r="B2724" s="31" t="n">
        <f aca="false">Demand_History!A2724</f>
        <v>19</v>
      </c>
      <c r="C2724" s="32" t="n">
        <f aca="false">Demand_History!D2724</f>
        <v>22</v>
      </c>
      <c r="D2724" s="33" t="n">
        <f aca="false">IF(B2724&gt;=2,C2723,"")</f>
        <v>23</v>
      </c>
      <c r="E2724" s="33" t="n">
        <f aca="false">IF(B2724&gt;=5,AVERAGE(C2720:C2723),"")</f>
        <v>24.25</v>
      </c>
      <c r="F2724" s="33" t="n">
        <f aca="false">IF(B2724&gt;=9,AVERAGE(C2716:C2723),"")</f>
        <v>24.875</v>
      </c>
      <c r="G2724" s="33" t="n">
        <f aca="false">IF(B2724=1,"",IF(B2724=2,C2723,SES_Alpha*C2723+(1-SES_Alpha)*G2723))</f>
        <v>24.7970070231478</v>
      </c>
      <c r="H2724" s="33" t="n">
        <f aca="false">IF(D2724="","",D2724-C2724)</f>
        <v>1</v>
      </c>
      <c r="I2724" s="33" t="n">
        <f aca="false">IF(E2724="","",E2724-C2724)</f>
        <v>2.25</v>
      </c>
      <c r="J2724" s="33" t="n">
        <f aca="false">IF(F2724="","",F2724-C2724)</f>
        <v>2.875</v>
      </c>
      <c r="K2724" s="33" t="n">
        <f aca="false">IF(G2724="","",G2724-C2724)</f>
        <v>2.79700702314776</v>
      </c>
      <c r="L2724" s="33" t="n">
        <f aca="false">IF(H2724="","",ABS(H2724))</f>
        <v>1</v>
      </c>
      <c r="M2724" s="33" t="n">
        <f aca="false">IF(I2724="","",ABS(I2724))</f>
        <v>2.25</v>
      </c>
      <c r="N2724" s="33" t="n">
        <f aca="false">IF(J2724="","",ABS(J2724))</f>
        <v>2.875</v>
      </c>
      <c r="O2724" s="33" t="n">
        <f aca="false">IF(K2724="","",ABS(K2724))</f>
        <v>2.79700702314776</v>
      </c>
      <c r="P2724" s="34" t="str">
        <f aca="false">IF(B2724&gt;=Eval_Start_Week,"YES","")</f>
        <v/>
      </c>
      <c r="Q2724" s="34" t="str">
        <f aca="false">IF(AND(B2724&gt;=Cal_Start_Week,B2724&lt;=Cal_End_Week),"YES","")</f>
        <v/>
      </c>
    </row>
    <row r="2725" customFormat="false" ht="15" hidden="false" customHeight="false" outlineLevel="0" collapsed="false">
      <c r="A2725" s="31" t="str">
        <f aca="false">Demand_History!C2725</f>
        <v>BED-007</v>
      </c>
      <c r="B2725" s="31" t="n">
        <f aca="false">Demand_History!A2725</f>
        <v>20</v>
      </c>
      <c r="C2725" s="32" t="n">
        <f aca="false">Demand_History!D2725</f>
        <v>42</v>
      </c>
      <c r="D2725" s="33" t="n">
        <f aca="false">IF(B2725&gt;=2,C2724,"")</f>
        <v>22</v>
      </c>
      <c r="E2725" s="33" t="n">
        <f aca="false">IF(B2725&gt;=5,AVERAGE(C2721:C2724),"")</f>
        <v>25.5</v>
      </c>
      <c r="F2725" s="33" t="n">
        <f aca="false">IF(B2725&gt;=9,AVERAGE(C2717:C2724),"")</f>
        <v>24.25</v>
      </c>
      <c r="G2725" s="33" t="n">
        <f aca="false">IF(B2725=1,"",IF(B2725=2,C2724,SES_Alpha*C2724+(1-SES_Alpha)*G2724))</f>
        <v>23.9579049162034</v>
      </c>
      <c r="H2725" s="33" t="n">
        <f aca="false">IF(D2725="","",D2725-C2725)</f>
        <v>-20</v>
      </c>
      <c r="I2725" s="33" t="n">
        <f aca="false">IF(E2725="","",E2725-C2725)</f>
        <v>-16.5</v>
      </c>
      <c r="J2725" s="33" t="n">
        <f aca="false">IF(F2725="","",F2725-C2725)</f>
        <v>-17.75</v>
      </c>
      <c r="K2725" s="33" t="n">
        <f aca="false">IF(G2725="","",G2725-C2725)</f>
        <v>-18.0420950837966</v>
      </c>
      <c r="L2725" s="33" t="n">
        <f aca="false">IF(H2725="","",ABS(H2725))</f>
        <v>20</v>
      </c>
      <c r="M2725" s="33" t="n">
        <f aca="false">IF(I2725="","",ABS(I2725))</f>
        <v>16.5</v>
      </c>
      <c r="N2725" s="33" t="n">
        <f aca="false">IF(J2725="","",ABS(J2725))</f>
        <v>17.75</v>
      </c>
      <c r="O2725" s="33" t="n">
        <f aca="false">IF(K2725="","",ABS(K2725))</f>
        <v>18.0420950837966</v>
      </c>
      <c r="P2725" s="34" t="str">
        <f aca="false">IF(B2725&gt;=Eval_Start_Week,"YES","")</f>
        <v/>
      </c>
      <c r="Q2725" s="34" t="str">
        <f aca="false">IF(AND(B2725&gt;=Cal_Start_Week,B2725&lt;=Cal_End_Week),"YES","")</f>
        <v/>
      </c>
    </row>
    <row r="2726" customFormat="false" ht="15" hidden="false" customHeight="false" outlineLevel="0" collapsed="false">
      <c r="A2726" s="31" t="str">
        <f aca="false">Demand_History!C2726</f>
        <v>BED-007</v>
      </c>
      <c r="B2726" s="31" t="n">
        <f aca="false">Demand_History!A2726</f>
        <v>21</v>
      </c>
      <c r="C2726" s="32" t="n">
        <f aca="false">Demand_History!D2726</f>
        <v>19</v>
      </c>
      <c r="D2726" s="33" t="n">
        <f aca="false">IF(B2726&gt;=2,C2725,"")</f>
        <v>42</v>
      </c>
      <c r="E2726" s="33" t="n">
        <f aca="false">IF(B2726&gt;=5,AVERAGE(C2722:C2725),"")</f>
        <v>28.75</v>
      </c>
      <c r="F2726" s="33" t="n">
        <f aca="false">IF(B2726&gt;=9,AVERAGE(C2718:C2725),"")</f>
        <v>26.125</v>
      </c>
      <c r="G2726" s="33" t="n">
        <f aca="false">IF(B2726=1,"",IF(B2726=2,C2725,SES_Alpha*C2725+(1-SES_Alpha)*G2725))</f>
        <v>29.3705334413424</v>
      </c>
      <c r="H2726" s="33" t="n">
        <f aca="false">IF(D2726="","",D2726-C2726)</f>
        <v>23</v>
      </c>
      <c r="I2726" s="33" t="n">
        <f aca="false">IF(E2726="","",E2726-C2726)</f>
        <v>9.75</v>
      </c>
      <c r="J2726" s="33" t="n">
        <f aca="false">IF(F2726="","",F2726-C2726)</f>
        <v>7.125</v>
      </c>
      <c r="K2726" s="33" t="n">
        <f aca="false">IF(G2726="","",G2726-C2726)</f>
        <v>10.3705334413424</v>
      </c>
      <c r="L2726" s="33" t="n">
        <f aca="false">IF(H2726="","",ABS(H2726))</f>
        <v>23</v>
      </c>
      <c r="M2726" s="33" t="n">
        <f aca="false">IF(I2726="","",ABS(I2726))</f>
        <v>9.75</v>
      </c>
      <c r="N2726" s="33" t="n">
        <f aca="false">IF(J2726="","",ABS(J2726))</f>
        <v>7.125</v>
      </c>
      <c r="O2726" s="33" t="n">
        <f aca="false">IF(K2726="","",ABS(K2726))</f>
        <v>10.3705334413424</v>
      </c>
      <c r="P2726" s="34" t="str">
        <f aca="false">IF(B2726&gt;=Eval_Start_Week,"YES","")</f>
        <v/>
      </c>
      <c r="Q2726" s="34" t="str">
        <f aca="false">IF(AND(B2726&gt;=Cal_Start_Week,B2726&lt;=Cal_End_Week),"YES","")</f>
        <v/>
      </c>
    </row>
    <row r="2727" customFormat="false" ht="15" hidden="false" customHeight="false" outlineLevel="0" collapsed="false">
      <c r="A2727" s="31" t="str">
        <f aca="false">Demand_History!C2727</f>
        <v>BED-007</v>
      </c>
      <c r="B2727" s="31" t="n">
        <f aca="false">Demand_History!A2727</f>
        <v>22</v>
      </c>
      <c r="C2727" s="32" t="n">
        <f aca="false">Demand_History!D2727</f>
        <v>23</v>
      </c>
      <c r="D2727" s="33" t="n">
        <f aca="false">IF(B2727&gt;=2,C2726,"")</f>
        <v>19</v>
      </c>
      <c r="E2727" s="33" t="n">
        <f aca="false">IF(B2727&gt;=5,AVERAGE(C2723:C2726),"")</f>
        <v>26.5</v>
      </c>
      <c r="F2727" s="33" t="n">
        <f aca="false">IF(B2727&gt;=9,AVERAGE(C2719:C2726),"")</f>
        <v>25.125</v>
      </c>
      <c r="G2727" s="33" t="n">
        <f aca="false">IF(B2727=1,"",IF(B2727=2,C2726,SES_Alpha*C2726+(1-SES_Alpha)*G2726))</f>
        <v>26.2593734089397</v>
      </c>
      <c r="H2727" s="33" t="n">
        <f aca="false">IF(D2727="","",D2727-C2727)</f>
        <v>-4</v>
      </c>
      <c r="I2727" s="33" t="n">
        <f aca="false">IF(E2727="","",E2727-C2727)</f>
        <v>3.5</v>
      </c>
      <c r="J2727" s="33" t="n">
        <f aca="false">IF(F2727="","",F2727-C2727)</f>
        <v>2.125</v>
      </c>
      <c r="K2727" s="33" t="n">
        <f aca="false">IF(G2727="","",G2727-C2727)</f>
        <v>3.25937340893968</v>
      </c>
      <c r="L2727" s="33" t="n">
        <f aca="false">IF(H2727="","",ABS(H2727))</f>
        <v>4</v>
      </c>
      <c r="M2727" s="33" t="n">
        <f aca="false">IF(I2727="","",ABS(I2727))</f>
        <v>3.5</v>
      </c>
      <c r="N2727" s="33" t="n">
        <f aca="false">IF(J2727="","",ABS(J2727))</f>
        <v>2.125</v>
      </c>
      <c r="O2727" s="33" t="n">
        <f aca="false">IF(K2727="","",ABS(K2727))</f>
        <v>3.25937340893968</v>
      </c>
      <c r="P2727" s="34" t="str">
        <f aca="false">IF(B2727&gt;=Eval_Start_Week,"YES","")</f>
        <v/>
      </c>
      <c r="Q2727" s="34" t="str">
        <f aca="false">IF(AND(B2727&gt;=Cal_Start_Week,B2727&lt;=Cal_End_Week),"YES","")</f>
        <v/>
      </c>
    </row>
    <row r="2728" customFormat="false" ht="15" hidden="false" customHeight="false" outlineLevel="0" collapsed="false">
      <c r="A2728" s="31" t="str">
        <f aca="false">Demand_History!C2728</f>
        <v>BED-007</v>
      </c>
      <c r="B2728" s="31" t="n">
        <f aca="false">Demand_History!A2728</f>
        <v>23</v>
      </c>
      <c r="C2728" s="32" t="n">
        <f aca="false">Demand_History!D2728</f>
        <v>27</v>
      </c>
      <c r="D2728" s="33" t="n">
        <f aca="false">IF(B2728&gt;=2,C2727,"")</f>
        <v>23</v>
      </c>
      <c r="E2728" s="33" t="n">
        <f aca="false">IF(B2728&gt;=5,AVERAGE(C2724:C2727),"")</f>
        <v>26.5</v>
      </c>
      <c r="F2728" s="33" t="n">
        <f aca="false">IF(B2728&gt;=9,AVERAGE(C2720:C2727),"")</f>
        <v>25.375</v>
      </c>
      <c r="G2728" s="33" t="n">
        <f aca="false">IF(B2728=1,"",IF(B2728=2,C2727,SES_Alpha*C2727+(1-SES_Alpha)*G2727))</f>
        <v>25.2815613862578</v>
      </c>
      <c r="H2728" s="33" t="n">
        <f aca="false">IF(D2728="","",D2728-C2728)</f>
        <v>-4</v>
      </c>
      <c r="I2728" s="33" t="n">
        <f aca="false">IF(E2728="","",E2728-C2728)</f>
        <v>-0.5</v>
      </c>
      <c r="J2728" s="33" t="n">
        <f aca="false">IF(F2728="","",F2728-C2728)</f>
        <v>-1.625</v>
      </c>
      <c r="K2728" s="33" t="n">
        <f aca="false">IF(G2728="","",G2728-C2728)</f>
        <v>-1.71843861374223</v>
      </c>
      <c r="L2728" s="33" t="n">
        <f aca="false">IF(H2728="","",ABS(H2728))</f>
        <v>4</v>
      </c>
      <c r="M2728" s="33" t="n">
        <f aca="false">IF(I2728="","",ABS(I2728))</f>
        <v>0.5</v>
      </c>
      <c r="N2728" s="33" t="n">
        <f aca="false">IF(J2728="","",ABS(J2728))</f>
        <v>1.625</v>
      </c>
      <c r="O2728" s="33" t="n">
        <f aca="false">IF(K2728="","",ABS(K2728))</f>
        <v>1.71843861374223</v>
      </c>
      <c r="P2728" s="34" t="str">
        <f aca="false">IF(B2728&gt;=Eval_Start_Week,"YES","")</f>
        <v/>
      </c>
      <c r="Q2728" s="34" t="str">
        <f aca="false">IF(AND(B2728&gt;=Cal_Start_Week,B2728&lt;=Cal_End_Week),"YES","")</f>
        <v/>
      </c>
    </row>
    <row r="2729" customFormat="false" ht="15" hidden="false" customHeight="false" outlineLevel="0" collapsed="false">
      <c r="A2729" s="31" t="str">
        <f aca="false">Demand_History!C2729</f>
        <v>BED-007</v>
      </c>
      <c r="B2729" s="31" t="n">
        <f aca="false">Demand_History!A2729</f>
        <v>24</v>
      </c>
      <c r="C2729" s="32" t="n">
        <f aca="false">Demand_History!D2729</f>
        <v>17</v>
      </c>
      <c r="D2729" s="33" t="n">
        <f aca="false">IF(B2729&gt;=2,C2728,"")</f>
        <v>27</v>
      </c>
      <c r="E2729" s="33" t="n">
        <f aca="false">IF(B2729&gt;=5,AVERAGE(C2725:C2728),"")</f>
        <v>27.75</v>
      </c>
      <c r="F2729" s="33" t="n">
        <f aca="false">IF(B2729&gt;=9,AVERAGE(C2721:C2728),"")</f>
        <v>26.625</v>
      </c>
      <c r="G2729" s="33" t="n">
        <f aca="false">IF(B2729=1,"",IF(B2729=2,C2728,SES_Alpha*C2728+(1-SES_Alpha)*G2728))</f>
        <v>25.7970929703804</v>
      </c>
      <c r="H2729" s="33" t="n">
        <f aca="false">IF(D2729="","",D2729-C2729)</f>
        <v>10</v>
      </c>
      <c r="I2729" s="33" t="n">
        <f aca="false">IF(E2729="","",E2729-C2729)</f>
        <v>10.75</v>
      </c>
      <c r="J2729" s="33" t="n">
        <f aca="false">IF(F2729="","",F2729-C2729)</f>
        <v>9.625</v>
      </c>
      <c r="K2729" s="33" t="n">
        <f aca="false">IF(G2729="","",G2729-C2729)</f>
        <v>8.79709297038044</v>
      </c>
      <c r="L2729" s="33" t="n">
        <f aca="false">IF(H2729="","",ABS(H2729))</f>
        <v>10</v>
      </c>
      <c r="M2729" s="33" t="n">
        <f aca="false">IF(I2729="","",ABS(I2729))</f>
        <v>10.75</v>
      </c>
      <c r="N2729" s="33" t="n">
        <f aca="false">IF(J2729="","",ABS(J2729))</f>
        <v>9.625</v>
      </c>
      <c r="O2729" s="33" t="n">
        <f aca="false">IF(K2729="","",ABS(K2729))</f>
        <v>8.79709297038044</v>
      </c>
      <c r="P2729" s="34" t="str">
        <f aca="false">IF(B2729&gt;=Eval_Start_Week,"YES","")</f>
        <v/>
      </c>
      <c r="Q2729" s="34" t="str">
        <f aca="false">IF(AND(B2729&gt;=Cal_Start_Week,B2729&lt;=Cal_End_Week),"YES","")</f>
        <v/>
      </c>
    </row>
    <row r="2730" customFormat="false" ht="15" hidden="false" customHeight="false" outlineLevel="0" collapsed="false">
      <c r="A2730" s="31" t="str">
        <f aca="false">Demand_History!C2730</f>
        <v>BED-007</v>
      </c>
      <c r="B2730" s="31" t="n">
        <f aca="false">Demand_History!A2730</f>
        <v>25</v>
      </c>
      <c r="C2730" s="32" t="n">
        <f aca="false">Demand_History!D2730</f>
        <v>26</v>
      </c>
      <c r="D2730" s="33" t="n">
        <f aca="false">IF(B2730&gt;=2,C2729,"")</f>
        <v>17</v>
      </c>
      <c r="E2730" s="33" t="n">
        <f aca="false">IF(B2730&gt;=5,AVERAGE(C2726:C2729),"")</f>
        <v>21.5</v>
      </c>
      <c r="F2730" s="33" t="n">
        <f aca="false">IF(B2730&gt;=9,AVERAGE(C2722:C2729),"")</f>
        <v>25.125</v>
      </c>
      <c r="G2730" s="33" t="n">
        <f aca="false">IF(B2730=1,"",IF(B2730=2,C2729,SES_Alpha*C2729+(1-SES_Alpha)*G2729))</f>
        <v>23.1579650792663</v>
      </c>
      <c r="H2730" s="33" t="n">
        <f aca="false">IF(D2730="","",D2730-C2730)</f>
        <v>-9</v>
      </c>
      <c r="I2730" s="33" t="n">
        <f aca="false">IF(E2730="","",E2730-C2730)</f>
        <v>-4.5</v>
      </c>
      <c r="J2730" s="33" t="n">
        <f aca="false">IF(F2730="","",F2730-C2730)</f>
        <v>-0.875</v>
      </c>
      <c r="K2730" s="33" t="n">
        <f aca="false">IF(G2730="","",G2730-C2730)</f>
        <v>-2.8420349207337</v>
      </c>
      <c r="L2730" s="33" t="n">
        <f aca="false">IF(H2730="","",ABS(H2730))</f>
        <v>9</v>
      </c>
      <c r="M2730" s="33" t="n">
        <f aca="false">IF(I2730="","",ABS(I2730))</f>
        <v>4.5</v>
      </c>
      <c r="N2730" s="33" t="n">
        <f aca="false">IF(J2730="","",ABS(J2730))</f>
        <v>0.875</v>
      </c>
      <c r="O2730" s="33" t="n">
        <f aca="false">IF(K2730="","",ABS(K2730))</f>
        <v>2.8420349207337</v>
      </c>
      <c r="P2730" s="34" t="str">
        <f aca="false">IF(B2730&gt;=Eval_Start_Week,"YES","")</f>
        <v/>
      </c>
      <c r="Q2730" s="34" t="str">
        <f aca="false">IF(AND(B2730&gt;=Cal_Start_Week,B2730&lt;=Cal_End_Week),"YES","")</f>
        <v/>
      </c>
    </row>
    <row r="2731" customFormat="false" ht="15" hidden="false" customHeight="false" outlineLevel="0" collapsed="false">
      <c r="A2731" s="31" t="str">
        <f aca="false">Demand_History!C2731</f>
        <v>BED-007</v>
      </c>
      <c r="B2731" s="31" t="n">
        <f aca="false">Demand_History!A2731</f>
        <v>26</v>
      </c>
      <c r="C2731" s="32" t="n">
        <f aca="false">Demand_History!D2731</f>
        <v>38</v>
      </c>
      <c r="D2731" s="33" t="n">
        <f aca="false">IF(B2731&gt;=2,C2730,"")</f>
        <v>26</v>
      </c>
      <c r="E2731" s="33" t="n">
        <f aca="false">IF(B2731&gt;=5,AVERAGE(C2727:C2730),"")</f>
        <v>23.25</v>
      </c>
      <c r="F2731" s="33" t="n">
        <f aca="false">IF(B2731&gt;=9,AVERAGE(C2723:C2730),"")</f>
        <v>24.875</v>
      </c>
      <c r="G2731" s="33" t="n">
        <f aca="false">IF(B2731=1,"",IF(B2731=2,C2730,SES_Alpha*C2730+(1-SES_Alpha)*G2730))</f>
        <v>24.0105755554864</v>
      </c>
      <c r="H2731" s="33" t="n">
        <f aca="false">IF(D2731="","",D2731-C2731)</f>
        <v>-12</v>
      </c>
      <c r="I2731" s="33" t="n">
        <f aca="false">IF(E2731="","",E2731-C2731)</f>
        <v>-14.75</v>
      </c>
      <c r="J2731" s="33" t="n">
        <f aca="false">IF(F2731="","",F2731-C2731)</f>
        <v>-13.125</v>
      </c>
      <c r="K2731" s="33" t="n">
        <f aca="false">IF(G2731="","",G2731-C2731)</f>
        <v>-13.9894244445136</v>
      </c>
      <c r="L2731" s="33" t="n">
        <f aca="false">IF(H2731="","",ABS(H2731))</f>
        <v>12</v>
      </c>
      <c r="M2731" s="33" t="n">
        <f aca="false">IF(I2731="","",ABS(I2731))</f>
        <v>14.75</v>
      </c>
      <c r="N2731" s="33" t="n">
        <f aca="false">IF(J2731="","",ABS(J2731))</f>
        <v>13.125</v>
      </c>
      <c r="O2731" s="33" t="n">
        <f aca="false">IF(K2731="","",ABS(K2731))</f>
        <v>13.9894244445136</v>
      </c>
      <c r="P2731" s="34" t="str">
        <f aca="false">IF(B2731&gt;=Eval_Start_Week,"YES","")</f>
        <v/>
      </c>
      <c r="Q2731" s="34" t="str">
        <f aca="false">IF(AND(B2731&gt;=Cal_Start_Week,B2731&lt;=Cal_End_Week),"YES","")</f>
        <v/>
      </c>
    </row>
    <row r="2732" customFormat="false" ht="15" hidden="false" customHeight="false" outlineLevel="0" collapsed="false">
      <c r="A2732" s="31" t="str">
        <f aca="false">Demand_History!C2732</f>
        <v>BED-007</v>
      </c>
      <c r="B2732" s="31" t="n">
        <f aca="false">Demand_History!A2732</f>
        <v>27</v>
      </c>
      <c r="C2732" s="32" t="n">
        <f aca="false">Demand_History!D2732</f>
        <v>32</v>
      </c>
      <c r="D2732" s="33" t="n">
        <f aca="false">IF(B2732&gt;=2,C2731,"")</f>
        <v>38</v>
      </c>
      <c r="E2732" s="33" t="n">
        <f aca="false">IF(B2732&gt;=5,AVERAGE(C2728:C2731),"")</f>
        <v>27</v>
      </c>
      <c r="F2732" s="33" t="n">
        <f aca="false">IF(B2732&gt;=9,AVERAGE(C2724:C2731),"")</f>
        <v>26.75</v>
      </c>
      <c r="G2732" s="33" t="n">
        <f aca="false">IF(B2732=1,"",IF(B2732=2,C2731,SES_Alpha*C2731+(1-SES_Alpha)*G2731))</f>
        <v>28.2074028888405</v>
      </c>
      <c r="H2732" s="33" t="n">
        <f aca="false">IF(D2732="","",D2732-C2732)</f>
        <v>6</v>
      </c>
      <c r="I2732" s="33" t="n">
        <f aca="false">IF(E2732="","",E2732-C2732)</f>
        <v>-5</v>
      </c>
      <c r="J2732" s="33" t="n">
        <f aca="false">IF(F2732="","",F2732-C2732)</f>
        <v>-5.25</v>
      </c>
      <c r="K2732" s="33" t="n">
        <f aca="false">IF(G2732="","",G2732-C2732)</f>
        <v>-3.79259711115952</v>
      </c>
      <c r="L2732" s="33" t="n">
        <f aca="false">IF(H2732="","",ABS(H2732))</f>
        <v>6</v>
      </c>
      <c r="M2732" s="33" t="n">
        <f aca="false">IF(I2732="","",ABS(I2732))</f>
        <v>5</v>
      </c>
      <c r="N2732" s="33" t="n">
        <f aca="false">IF(J2732="","",ABS(J2732))</f>
        <v>5.25</v>
      </c>
      <c r="O2732" s="33" t="n">
        <f aca="false">IF(K2732="","",ABS(K2732))</f>
        <v>3.79259711115952</v>
      </c>
      <c r="P2732" s="34" t="str">
        <f aca="false">IF(B2732&gt;=Eval_Start_Week,"YES","")</f>
        <v/>
      </c>
      <c r="Q2732" s="34" t="str">
        <f aca="false">IF(AND(B2732&gt;=Cal_Start_Week,B2732&lt;=Cal_End_Week),"YES","")</f>
        <v/>
      </c>
    </row>
    <row r="2733" customFormat="false" ht="15" hidden="false" customHeight="false" outlineLevel="0" collapsed="false">
      <c r="A2733" s="31" t="str">
        <f aca="false">Demand_History!C2733</f>
        <v>BED-007</v>
      </c>
      <c r="B2733" s="31" t="n">
        <f aca="false">Demand_History!A2733</f>
        <v>28</v>
      </c>
      <c r="C2733" s="32" t="n">
        <f aca="false">Demand_History!D2733</f>
        <v>30</v>
      </c>
      <c r="D2733" s="33" t="n">
        <f aca="false">IF(B2733&gt;=2,C2732,"")</f>
        <v>32</v>
      </c>
      <c r="E2733" s="33" t="n">
        <f aca="false">IF(B2733&gt;=5,AVERAGE(C2729:C2732),"")</f>
        <v>28.25</v>
      </c>
      <c r="F2733" s="33" t="n">
        <f aca="false">IF(B2733&gt;=9,AVERAGE(C2725:C2732),"")</f>
        <v>28</v>
      </c>
      <c r="G2733" s="33" t="n">
        <f aca="false">IF(B2733=1,"",IF(B2733=2,C2732,SES_Alpha*C2732+(1-SES_Alpha)*G2732))</f>
        <v>29.3451820221883</v>
      </c>
      <c r="H2733" s="33" t="n">
        <f aca="false">IF(D2733="","",D2733-C2733)</f>
        <v>2</v>
      </c>
      <c r="I2733" s="33" t="n">
        <f aca="false">IF(E2733="","",E2733-C2733)</f>
        <v>-1.75</v>
      </c>
      <c r="J2733" s="33" t="n">
        <f aca="false">IF(F2733="","",F2733-C2733)</f>
        <v>-2</v>
      </c>
      <c r="K2733" s="33" t="n">
        <f aca="false">IF(G2733="","",G2733-C2733)</f>
        <v>-0.654817977811661</v>
      </c>
      <c r="L2733" s="33" t="n">
        <f aca="false">IF(H2733="","",ABS(H2733))</f>
        <v>2</v>
      </c>
      <c r="M2733" s="33" t="n">
        <f aca="false">IF(I2733="","",ABS(I2733))</f>
        <v>1.75</v>
      </c>
      <c r="N2733" s="33" t="n">
        <f aca="false">IF(J2733="","",ABS(J2733))</f>
        <v>2</v>
      </c>
      <c r="O2733" s="33" t="n">
        <f aca="false">IF(K2733="","",ABS(K2733))</f>
        <v>0.654817977811661</v>
      </c>
      <c r="P2733" s="34" t="str">
        <f aca="false">IF(B2733&gt;=Eval_Start_Week,"YES","")</f>
        <v/>
      </c>
      <c r="Q2733" s="34" t="str">
        <f aca="false">IF(AND(B2733&gt;=Cal_Start_Week,B2733&lt;=Cal_End_Week),"YES","")</f>
        <v/>
      </c>
    </row>
    <row r="2734" customFormat="false" ht="15" hidden="false" customHeight="false" outlineLevel="0" collapsed="false">
      <c r="A2734" s="31" t="str">
        <f aca="false">Demand_History!C2734</f>
        <v>BED-007</v>
      </c>
      <c r="B2734" s="31" t="n">
        <f aca="false">Demand_History!A2734</f>
        <v>29</v>
      </c>
      <c r="C2734" s="32" t="n">
        <f aca="false">Demand_History!D2734</f>
        <v>29</v>
      </c>
      <c r="D2734" s="33" t="n">
        <f aca="false">IF(B2734&gt;=2,C2733,"")</f>
        <v>30</v>
      </c>
      <c r="E2734" s="33" t="n">
        <f aca="false">IF(B2734&gt;=5,AVERAGE(C2730:C2733),"")</f>
        <v>31.5</v>
      </c>
      <c r="F2734" s="33" t="n">
        <f aca="false">IF(B2734&gt;=9,AVERAGE(C2726:C2733),"")</f>
        <v>26.5</v>
      </c>
      <c r="G2734" s="33" t="n">
        <f aca="false">IF(B2734=1,"",IF(B2734=2,C2733,SES_Alpha*C2733+(1-SES_Alpha)*G2733))</f>
        <v>29.5416274155318</v>
      </c>
      <c r="H2734" s="33" t="n">
        <f aca="false">IF(D2734="","",D2734-C2734)</f>
        <v>1</v>
      </c>
      <c r="I2734" s="33" t="n">
        <f aca="false">IF(E2734="","",E2734-C2734)</f>
        <v>2.5</v>
      </c>
      <c r="J2734" s="33" t="n">
        <f aca="false">IF(F2734="","",F2734-C2734)</f>
        <v>-2.5</v>
      </c>
      <c r="K2734" s="33" t="n">
        <f aca="false">IF(G2734="","",G2734-C2734)</f>
        <v>0.541627415531835</v>
      </c>
      <c r="L2734" s="33" t="n">
        <f aca="false">IF(H2734="","",ABS(H2734))</f>
        <v>1</v>
      </c>
      <c r="M2734" s="33" t="n">
        <f aca="false">IF(I2734="","",ABS(I2734))</f>
        <v>2.5</v>
      </c>
      <c r="N2734" s="33" t="n">
        <f aca="false">IF(J2734="","",ABS(J2734))</f>
        <v>2.5</v>
      </c>
      <c r="O2734" s="33" t="n">
        <f aca="false">IF(K2734="","",ABS(K2734))</f>
        <v>0.541627415531835</v>
      </c>
      <c r="P2734" s="34" t="str">
        <f aca="false">IF(B2734&gt;=Eval_Start_Week,"YES","")</f>
        <v/>
      </c>
      <c r="Q2734" s="34" t="str">
        <f aca="false">IF(AND(B2734&gt;=Cal_Start_Week,B2734&lt;=Cal_End_Week),"YES","")</f>
        <v/>
      </c>
    </row>
    <row r="2735" customFormat="false" ht="15" hidden="false" customHeight="false" outlineLevel="0" collapsed="false">
      <c r="A2735" s="31" t="str">
        <f aca="false">Demand_History!C2735</f>
        <v>BED-007</v>
      </c>
      <c r="B2735" s="31" t="n">
        <f aca="false">Demand_History!A2735</f>
        <v>30</v>
      </c>
      <c r="C2735" s="32" t="n">
        <f aca="false">Demand_History!D2735</f>
        <v>26</v>
      </c>
      <c r="D2735" s="33" t="n">
        <f aca="false">IF(B2735&gt;=2,C2734,"")</f>
        <v>29</v>
      </c>
      <c r="E2735" s="33" t="n">
        <f aca="false">IF(B2735&gt;=5,AVERAGE(C2731:C2734),"")</f>
        <v>32.25</v>
      </c>
      <c r="F2735" s="33" t="n">
        <f aca="false">IF(B2735&gt;=9,AVERAGE(C2727:C2734),"")</f>
        <v>27.75</v>
      </c>
      <c r="G2735" s="33" t="n">
        <f aca="false">IF(B2735=1,"",IF(B2735=2,C2734,SES_Alpha*C2734+(1-SES_Alpha)*G2734))</f>
        <v>29.3791391908723</v>
      </c>
      <c r="H2735" s="33" t="n">
        <f aca="false">IF(D2735="","",D2735-C2735)</f>
        <v>3</v>
      </c>
      <c r="I2735" s="33" t="n">
        <f aca="false">IF(E2735="","",E2735-C2735)</f>
        <v>6.25</v>
      </c>
      <c r="J2735" s="33" t="n">
        <f aca="false">IF(F2735="","",F2735-C2735)</f>
        <v>1.75</v>
      </c>
      <c r="K2735" s="33" t="n">
        <f aca="false">IF(G2735="","",G2735-C2735)</f>
        <v>3.37913919087228</v>
      </c>
      <c r="L2735" s="33" t="n">
        <f aca="false">IF(H2735="","",ABS(H2735))</f>
        <v>3</v>
      </c>
      <c r="M2735" s="33" t="n">
        <f aca="false">IF(I2735="","",ABS(I2735))</f>
        <v>6.25</v>
      </c>
      <c r="N2735" s="33" t="n">
        <f aca="false">IF(J2735="","",ABS(J2735))</f>
        <v>1.75</v>
      </c>
      <c r="O2735" s="33" t="n">
        <f aca="false">IF(K2735="","",ABS(K2735))</f>
        <v>3.37913919087228</v>
      </c>
      <c r="P2735" s="34" t="str">
        <f aca="false">IF(B2735&gt;=Eval_Start_Week,"YES","")</f>
        <v/>
      </c>
      <c r="Q2735" s="34" t="str">
        <f aca="false">IF(AND(B2735&gt;=Cal_Start_Week,B2735&lt;=Cal_End_Week),"YES","")</f>
        <v/>
      </c>
    </row>
    <row r="2736" customFormat="false" ht="15" hidden="false" customHeight="false" outlineLevel="0" collapsed="false">
      <c r="A2736" s="31" t="str">
        <f aca="false">Demand_History!C2736</f>
        <v>BED-007</v>
      </c>
      <c r="B2736" s="31" t="n">
        <f aca="false">Demand_History!A2736</f>
        <v>31</v>
      </c>
      <c r="C2736" s="32" t="n">
        <f aca="false">Demand_History!D2736</f>
        <v>32</v>
      </c>
      <c r="D2736" s="33" t="n">
        <f aca="false">IF(B2736&gt;=2,C2735,"")</f>
        <v>26</v>
      </c>
      <c r="E2736" s="33" t="n">
        <f aca="false">IF(B2736&gt;=5,AVERAGE(C2732:C2735),"")</f>
        <v>29.25</v>
      </c>
      <c r="F2736" s="33" t="n">
        <f aca="false">IF(B2736&gt;=9,AVERAGE(C2728:C2735),"")</f>
        <v>28.125</v>
      </c>
      <c r="G2736" s="33" t="n">
        <f aca="false">IF(B2736=1,"",IF(B2736=2,C2735,SES_Alpha*C2735+(1-SES_Alpha)*G2735))</f>
        <v>28.3653974336106</v>
      </c>
      <c r="H2736" s="33" t="n">
        <f aca="false">IF(D2736="","",D2736-C2736)</f>
        <v>-6</v>
      </c>
      <c r="I2736" s="33" t="n">
        <f aca="false">IF(E2736="","",E2736-C2736)</f>
        <v>-2.75</v>
      </c>
      <c r="J2736" s="33" t="n">
        <f aca="false">IF(F2736="","",F2736-C2736)</f>
        <v>-3.875</v>
      </c>
      <c r="K2736" s="33" t="n">
        <f aca="false">IF(G2736="","",G2736-C2736)</f>
        <v>-3.6346025663894</v>
      </c>
      <c r="L2736" s="33" t="n">
        <f aca="false">IF(H2736="","",ABS(H2736))</f>
        <v>6</v>
      </c>
      <c r="M2736" s="33" t="n">
        <f aca="false">IF(I2736="","",ABS(I2736))</f>
        <v>2.75</v>
      </c>
      <c r="N2736" s="33" t="n">
        <f aca="false">IF(J2736="","",ABS(J2736))</f>
        <v>3.875</v>
      </c>
      <c r="O2736" s="33" t="n">
        <f aca="false">IF(K2736="","",ABS(K2736))</f>
        <v>3.6346025663894</v>
      </c>
      <c r="P2736" s="34" t="str">
        <f aca="false">IF(B2736&gt;=Eval_Start_Week,"YES","")</f>
        <v/>
      </c>
      <c r="Q2736" s="34" t="str">
        <f aca="false">IF(AND(B2736&gt;=Cal_Start_Week,B2736&lt;=Cal_End_Week),"YES","")</f>
        <v/>
      </c>
    </row>
    <row r="2737" customFormat="false" ht="15" hidden="false" customHeight="false" outlineLevel="0" collapsed="false">
      <c r="A2737" s="31" t="str">
        <f aca="false">Demand_History!C2737</f>
        <v>BED-007</v>
      </c>
      <c r="B2737" s="31" t="n">
        <f aca="false">Demand_History!A2737</f>
        <v>32</v>
      </c>
      <c r="C2737" s="32" t="n">
        <f aca="false">Demand_History!D2737</f>
        <v>24</v>
      </c>
      <c r="D2737" s="33" t="n">
        <f aca="false">IF(B2737&gt;=2,C2736,"")</f>
        <v>32</v>
      </c>
      <c r="E2737" s="33" t="n">
        <f aca="false">IF(B2737&gt;=5,AVERAGE(C2733:C2736),"")</f>
        <v>29.25</v>
      </c>
      <c r="F2737" s="33" t="n">
        <f aca="false">IF(B2737&gt;=9,AVERAGE(C2729:C2736),"")</f>
        <v>28.75</v>
      </c>
      <c r="G2737" s="33" t="n">
        <f aca="false">IF(B2737=1,"",IF(B2737=2,C2736,SES_Alpha*C2736+(1-SES_Alpha)*G2736))</f>
        <v>29.4557782035274</v>
      </c>
      <c r="H2737" s="33" t="n">
        <f aca="false">IF(D2737="","",D2737-C2737)</f>
        <v>8</v>
      </c>
      <c r="I2737" s="33" t="n">
        <f aca="false">IF(E2737="","",E2737-C2737)</f>
        <v>5.25</v>
      </c>
      <c r="J2737" s="33" t="n">
        <f aca="false">IF(F2737="","",F2737-C2737)</f>
        <v>4.75</v>
      </c>
      <c r="K2737" s="33" t="n">
        <f aca="false">IF(G2737="","",G2737-C2737)</f>
        <v>5.45577820352742</v>
      </c>
      <c r="L2737" s="33" t="n">
        <f aca="false">IF(H2737="","",ABS(H2737))</f>
        <v>8</v>
      </c>
      <c r="M2737" s="33" t="n">
        <f aca="false">IF(I2737="","",ABS(I2737))</f>
        <v>5.25</v>
      </c>
      <c r="N2737" s="33" t="n">
        <f aca="false">IF(J2737="","",ABS(J2737))</f>
        <v>4.75</v>
      </c>
      <c r="O2737" s="33" t="n">
        <f aca="false">IF(K2737="","",ABS(K2737))</f>
        <v>5.45577820352742</v>
      </c>
      <c r="P2737" s="34" t="str">
        <f aca="false">IF(B2737&gt;=Eval_Start_Week,"YES","")</f>
        <v/>
      </c>
      <c r="Q2737" s="34" t="str">
        <f aca="false">IF(AND(B2737&gt;=Cal_Start_Week,B2737&lt;=Cal_End_Week),"YES","")</f>
        <v/>
      </c>
    </row>
    <row r="2738" customFormat="false" ht="15" hidden="false" customHeight="false" outlineLevel="0" collapsed="false">
      <c r="A2738" s="31" t="str">
        <f aca="false">Demand_History!C2738</f>
        <v>BED-007</v>
      </c>
      <c r="B2738" s="31" t="n">
        <f aca="false">Demand_History!A2738</f>
        <v>33</v>
      </c>
      <c r="C2738" s="32" t="n">
        <f aca="false">Demand_History!D2738</f>
        <v>22</v>
      </c>
      <c r="D2738" s="33" t="n">
        <f aca="false">IF(B2738&gt;=2,C2737,"")</f>
        <v>24</v>
      </c>
      <c r="E2738" s="33" t="n">
        <f aca="false">IF(B2738&gt;=5,AVERAGE(C2734:C2737),"")</f>
        <v>27.75</v>
      </c>
      <c r="F2738" s="33" t="n">
        <f aca="false">IF(B2738&gt;=9,AVERAGE(C2730:C2737),"")</f>
        <v>29.625</v>
      </c>
      <c r="G2738" s="33" t="n">
        <f aca="false">IF(B2738=1,"",IF(B2738=2,C2737,SES_Alpha*C2737+(1-SES_Alpha)*G2737))</f>
        <v>27.8190447424692</v>
      </c>
      <c r="H2738" s="33" t="n">
        <f aca="false">IF(D2738="","",D2738-C2738)</f>
        <v>2</v>
      </c>
      <c r="I2738" s="33" t="n">
        <f aca="false">IF(E2738="","",E2738-C2738)</f>
        <v>5.75</v>
      </c>
      <c r="J2738" s="33" t="n">
        <f aca="false">IF(F2738="","",F2738-C2738)</f>
        <v>7.625</v>
      </c>
      <c r="K2738" s="33" t="n">
        <f aca="false">IF(G2738="","",G2738-C2738)</f>
        <v>5.81904474246919</v>
      </c>
      <c r="L2738" s="33" t="n">
        <f aca="false">IF(H2738="","",ABS(H2738))</f>
        <v>2</v>
      </c>
      <c r="M2738" s="33" t="n">
        <f aca="false">IF(I2738="","",ABS(I2738))</f>
        <v>5.75</v>
      </c>
      <c r="N2738" s="33" t="n">
        <f aca="false">IF(J2738="","",ABS(J2738))</f>
        <v>7.625</v>
      </c>
      <c r="O2738" s="33" t="n">
        <f aca="false">IF(K2738="","",ABS(K2738))</f>
        <v>5.81904474246919</v>
      </c>
      <c r="P2738" s="34" t="str">
        <f aca="false">IF(B2738&gt;=Eval_Start_Week,"YES","")</f>
        <v/>
      </c>
      <c r="Q2738" s="34" t="str">
        <f aca="false">IF(AND(B2738&gt;=Cal_Start_Week,B2738&lt;=Cal_End_Week),"YES","")</f>
        <v/>
      </c>
    </row>
    <row r="2739" customFormat="false" ht="15" hidden="false" customHeight="false" outlineLevel="0" collapsed="false">
      <c r="A2739" s="31" t="str">
        <f aca="false">Demand_History!C2739</f>
        <v>BED-007</v>
      </c>
      <c r="B2739" s="31" t="n">
        <f aca="false">Demand_History!A2739</f>
        <v>34</v>
      </c>
      <c r="C2739" s="32" t="n">
        <f aca="false">Demand_History!D2739</f>
        <v>26</v>
      </c>
      <c r="D2739" s="33" t="n">
        <f aca="false">IF(B2739&gt;=2,C2738,"")</f>
        <v>22</v>
      </c>
      <c r="E2739" s="33" t="n">
        <f aca="false">IF(B2739&gt;=5,AVERAGE(C2735:C2738),"")</f>
        <v>26</v>
      </c>
      <c r="F2739" s="33" t="n">
        <f aca="false">IF(B2739&gt;=9,AVERAGE(C2731:C2738),"")</f>
        <v>29.125</v>
      </c>
      <c r="G2739" s="33" t="n">
        <f aca="false">IF(B2739=1,"",IF(B2739=2,C2738,SES_Alpha*C2738+(1-SES_Alpha)*G2738))</f>
        <v>26.0733313197284</v>
      </c>
      <c r="H2739" s="33" t="n">
        <f aca="false">IF(D2739="","",D2739-C2739)</f>
        <v>-4</v>
      </c>
      <c r="I2739" s="33" t="n">
        <f aca="false">IF(E2739="","",E2739-C2739)</f>
        <v>0</v>
      </c>
      <c r="J2739" s="33" t="n">
        <f aca="false">IF(F2739="","",F2739-C2739)</f>
        <v>3.125</v>
      </c>
      <c r="K2739" s="33" t="n">
        <f aca="false">IF(G2739="","",G2739-C2739)</f>
        <v>0.0733313197284318</v>
      </c>
      <c r="L2739" s="33" t="n">
        <f aca="false">IF(H2739="","",ABS(H2739))</f>
        <v>4</v>
      </c>
      <c r="M2739" s="33" t="n">
        <f aca="false">IF(I2739="","",ABS(I2739))</f>
        <v>0</v>
      </c>
      <c r="N2739" s="33" t="n">
        <f aca="false">IF(J2739="","",ABS(J2739))</f>
        <v>3.125</v>
      </c>
      <c r="O2739" s="33" t="n">
        <f aca="false">IF(K2739="","",ABS(K2739))</f>
        <v>0.0733313197284318</v>
      </c>
      <c r="P2739" s="34" t="str">
        <f aca="false">IF(B2739&gt;=Eval_Start_Week,"YES","")</f>
        <v/>
      </c>
      <c r="Q2739" s="34" t="str">
        <f aca="false">IF(AND(B2739&gt;=Cal_Start_Week,B2739&lt;=Cal_End_Week),"YES","")</f>
        <v/>
      </c>
    </row>
    <row r="2740" customFormat="false" ht="15" hidden="false" customHeight="false" outlineLevel="0" collapsed="false">
      <c r="A2740" s="31" t="str">
        <f aca="false">Demand_History!C2740</f>
        <v>BED-007</v>
      </c>
      <c r="B2740" s="31" t="n">
        <f aca="false">Demand_History!A2740</f>
        <v>35</v>
      </c>
      <c r="C2740" s="32" t="n">
        <f aca="false">Demand_History!D2740</f>
        <v>32</v>
      </c>
      <c r="D2740" s="33" t="n">
        <f aca="false">IF(B2740&gt;=2,C2739,"")</f>
        <v>26</v>
      </c>
      <c r="E2740" s="33" t="n">
        <f aca="false">IF(B2740&gt;=5,AVERAGE(C2736:C2739),"")</f>
        <v>26</v>
      </c>
      <c r="F2740" s="33" t="n">
        <f aca="false">IF(B2740&gt;=9,AVERAGE(C2732:C2739),"")</f>
        <v>27.625</v>
      </c>
      <c r="G2740" s="33" t="n">
        <f aca="false">IF(B2740=1,"",IF(B2740=2,C2739,SES_Alpha*C2739+(1-SES_Alpha)*G2739))</f>
        <v>26.0513319238099</v>
      </c>
      <c r="H2740" s="33" t="n">
        <f aca="false">IF(D2740="","",D2740-C2740)</f>
        <v>-6</v>
      </c>
      <c r="I2740" s="33" t="n">
        <f aca="false">IF(E2740="","",E2740-C2740)</f>
        <v>-6</v>
      </c>
      <c r="J2740" s="33" t="n">
        <f aca="false">IF(F2740="","",F2740-C2740)</f>
        <v>-4.375</v>
      </c>
      <c r="K2740" s="33" t="n">
        <f aca="false">IF(G2740="","",G2740-C2740)</f>
        <v>-5.9486680761901</v>
      </c>
      <c r="L2740" s="33" t="n">
        <f aca="false">IF(H2740="","",ABS(H2740))</f>
        <v>6</v>
      </c>
      <c r="M2740" s="33" t="n">
        <f aca="false">IF(I2740="","",ABS(I2740))</f>
        <v>6</v>
      </c>
      <c r="N2740" s="33" t="n">
        <f aca="false">IF(J2740="","",ABS(J2740))</f>
        <v>4.375</v>
      </c>
      <c r="O2740" s="33" t="n">
        <f aca="false">IF(K2740="","",ABS(K2740))</f>
        <v>5.9486680761901</v>
      </c>
      <c r="P2740" s="34" t="str">
        <f aca="false">IF(B2740&gt;=Eval_Start_Week,"YES","")</f>
        <v/>
      </c>
      <c r="Q2740" s="34" t="str">
        <f aca="false">IF(AND(B2740&gt;=Cal_Start_Week,B2740&lt;=Cal_End_Week),"YES","")</f>
        <v/>
      </c>
    </row>
    <row r="2741" customFormat="false" ht="15" hidden="false" customHeight="false" outlineLevel="0" collapsed="false">
      <c r="A2741" s="31" t="str">
        <f aca="false">Demand_History!C2741</f>
        <v>BED-007</v>
      </c>
      <c r="B2741" s="31" t="n">
        <f aca="false">Demand_History!A2741</f>
        <v>36</v>
      </c>
      <c r="C2741" s="32" t="n">
        <f aca="false">Demand_History!D2741</f>
        <v>27</v>
      </c>
      <c r="D2741" s="33" t="n">
        <f aca="false">IF(B2741&gt;=2,C2740,"")</f>
        <v>32</v>
      </c>
      <c r="E2741" s="33" t="n">
        <f aca="false">IF(B2741&gt;=5,AVERAGE(C2737:C2740),"")</f>
        <v>26</v>
      </c>
      <c r="F2741" s="33" t="n">
        <f aca="false">IF(B2741&gt;=9,AVERAGE(C2733:C2740),"")</f>
        <v>27.625</v>
      </c>
      <c r="G2741" s="33" t="n">
        <f aca="false">IF(B2741=1,"",IF(B2741=2,C2740,SES_Alpha*C2740+(1-SES_Alpha)*G2740))</f>
        <v>27.8359323466669</v>
      </c>
      <c r="H2741" s="33" t="n">
        <f aca="false">IF(D2741="","",D2741-C2741)</f>
        <v>5</v>
      </c>
      <c r="I2741" s="33" t="n">
        <f aca="false">IF(E2741="","",E2741-C2741)</f>
        <v>-1</v>
      </c>
      <c r="J2741" s="33" t="n">
        <f aca="false">IF(F2741="","",F2741-C2741)</f>
        <v>0.625</v>
      </c>
      <c r="K2741" s="33" t="n">
        <f aca="false">IF(G2741="","",G2741-C2741)</f>
        <v>0.83593234666693</v>
      </c>
      <c r="L2741" s="33" t="n">
        <f aca="false">IF(H2741="","",ABS(H2741))</f>
        <v>5</v>
      </c>
      <c r="M2741" s="33" t="n">
        <f aca="false">IF(I2741="","",ABS(I2741))</f>
        <v>1</v>
      </c>
      <c r="N2741" s="33" t="n">
        <f aca="false">IF(J2741="","",ABS(J2741))</f>
        <v>0.625</v>
      </c>
      <c r="O2741" s="33" t="n">
        <f aca="false">IF(K2741="","",ABS(K2741))</f>
        <v>0.83593234666693</v>
      </c>
      <c r="P2741" s="34" t="str">
        <f aca="false">IF(B2741&gt;=Eval_Start_Week,"YES","")</f>
        <v/>
      </c>
      <c r="Q2741" s="34" t="str">
        <f aca="false">IF(AND(B2741&gt;=Cal_Start_Week,B2741&lt;=Cal_End_Week),"YES","")</f>
        <v/>
      </c>
    </row>
    <row r="2742" customFormat="false" ht="15" hidden="false" customHeight="false" outlineLevel="0" collapsed="false">
      <c r="A2742" s="31" t="str">
        <f aca="false">Demand_History!C2742</f>
        <v>BED-007</v>
      </c>
      <c r="B2742" s="31" t="n">
        <f aca="false">Demand_History!A2742</f>
        <v>37</v>
      </c>
      <c r="C2742" s="32" t="n">
        <f aca="false">Demand_History!D2742</f>
        <v>30</v>
      </c>
      <c r="D2742" s="33" t="n">
        <f aca="false">IF(B2742&gt;=2,C2741,"")</f>
        <v>27</v>
      </c>
      <c r="E2742" s="33" t="n">
        <f aca="false">IF(B2742&gt;=5,AVERAGE(C2738:C2741),"")</f>
        <v>26.75</v>
      </c>
      <c r="F2742" s="33" t="n">
        <f aca="false">IF(B2742&gt;=9,AVERAGE(C2734:C2741),"")</f>
        <v>27.25</v>
      </c>
      <c r="G2742" s="33" t="n">
        <f aca="false">IF(B2742=1,"",IF(B2742=2,C2741,SES_Alpha*C2741+(1-SES_Alpha)*G2741))</f>
        <v>27.5851526426669</v>
      </c>
      <c r="H2742" s="33" t="n">
        <f aca="false">IF(D2742="","",D2742-C2742)</f>
        <v>-3</v>
      </c>
      <c r="I2742" s="33" t="n">
        <f aca="false">IF(E2742="","",E2742-C2742)</f>
        <v>-3.25</v>
      </c>
      <c r="J2742" s="33" t="n">
        <f aca="false">IF(F2742="","",F2742-C2742)</f>
        <v>-2.75</v>
      </c>
      <c r="K2742" s="33" t="n">
        <f aca="false">IF(G2742="","",G2742-C2742)</f>
        <v>-2.41484735733315</v>
      </c>
      <c r="L2742" s="33" t="n">
        <f aca="false">IF(H2742="","",ABS(H2742))</f>
        <v>3</v>
      </c>
      <c r="M2742" s="33" t="n">
        <f aca="false">IF(I2742="","",ABS(I2742))</f>
        <v>3.25</v>
      </c>
      <c r="N2742" s="33" t="n">
        <f aca="false">IF(J2742="","",ABS(J2742))</f>
        <v>2.75</v>
      </c>
      <c r="O2742" s="33" t="n">
        <f aca="false">IF(K2742="","",ABS(K2742))</f>
        <v>2.41484735733315</v>
      </c>
      <c r="P2742" s="34" t="str">
        <f aca="false">IF(B2742&gt;=Eval_Start_Week,"YES","")</f>
        <v/>
      </c>
      <c r="Q2742" s="34" t="str">
        <f aca="false">IF(AND(B2742&gt;=Cal_Start_Week,B2742&lt;=Cal_End_Week),"YES","")</f>
        <v>YES</v>
      </c>
    </row>
    <row r="2743" customFormat="false" ht="15" hidden="false" customHeight="false" outlineLevel="0" collapsed="false">
      <c r="A2743" s="31" t="str">
        <f aca="false">Demand_History!C2743</f>
        <v>BED-007</v>
      </c>
      <c r="B2743" s="31" t="n">
        <f aca="false">Demand_History!A2743</f>
        <v>38</v>
      </c>
      <c r="C2743" s="32" t="n">
        <f aca="false">Demand_History!D2743</f>
        <v>10</v>
      </c>
      <c r="D2743" s="33" t="n">
        <f aca="false">IF(B2743&gt;=2,C2742,"")</f>
        <v>30</v>
      </c>
      <c r="E2743" s="33" t="n">
        <f aca="false">IF(B2743&gt;=5,AVERAGE(C2739:C2742),"")</f>
        <v>28.75</v>
      </c>
      <c r="F2743" s="33" t="n">
        <f aca="false">IF(B2743&gt;=9,AVERAGE(C2735:C2742),"")</f>
        <v>27.375</v>
      </c>
      <c r="G2743" s="33" t="n">
        <f aca="false">IF(B2743=1,"",IF(B2743=2,C2742,SES_Alpha*C2742+(1-SES_Alpha)*G2742))</f>
        <v>28.3096068498668</v>
      </c>
      <c r="H2743" s="33" t="n">
        <f aca="false">IF(D2743="","",D2743-C2743)</f>
        <v>20</v>
      </c>
      <c r="I2743" s="33" t="n">
        <f aca="false">IF(E2743="","",E2743-C2743)</f>
        <v>18.75</v>
      </c>
      <c r="J2743" s="33" t="n">
        <f aca="false">IF(F2743="","",F2743-C2743)</f>
        <v>17.375</v>
      </c>
      <c r="K2743" s="33" t="n">
        <f aca="false">IF(G2743="","",G2743-C2743)</f>
        <v>18.3096068498668</v>
      </c>
      <c r="L2743" s="33" t="n">
        <f aca="false">IF(H2743="","",ABS(H2743))</f>
        <v>20</v>
      </c>
      <c r="M2743" s="33" t="n">
        <f aca="false">IF(I2743="","",ABS(I2743))</f>
        <v>18.75</v>
      </c>
      <c r="N2743" s="33" t="n">
        <f aca="false">IF(J2743="","",ABS(J2743))</f>
        <v>17.375</v>
      </c>
      <c r="O2743" s="33" t="n">
        <f aca="false">IF(K2743="","",ABS(K2743))</f>
        <v>18.3096068498668</v>
      </c>
      <c r="P2743" s="34" t="str">
        <f aca="false">IF(B2743&gt;=Eval_Start_Week,"YES","")</f>
        <v/>
      </c>
      <c r="Q2743" s="34" t="str">
        <f aca="false">IF(AND(B2743&gt;=Cal_Start_Week,B2743&lt;=Cal_End_Week),"YES","")</f>
        <v>YES</v>
      </c>
    </row>
    <row r="2744" customFormat="false" ht="15" hidden="false" customHeight="false" outlineLevel="0" collapsed="false">
      <c r="A2744" s="31" t="str">
        <f aca="false">Demand_History!C2744</f>
        <v>BED-007</v>
      </c>
      <c r="B2744" s="31" t="n">
        <f aca="false">Demand_History!A2744</f>
        <v>39</v>
      </c>
      <c r="C2744" s="32" t="n">
        <f aca="false">Demand_History!D2744</f>
        <v>34</v>
      </c>
      <c r="D2744" s="33" t="n">
        <f aca="false">IF(B2744&gt;=2,C2743,"")</f>
        <v>10</v>
      </c>
      <c r="E2744" s="33" t="n">
        <f aca="false">IF(B2744&gt;=5,AVERAGE(C2740:C2743),"")</f>
        <v>24.75</v>
      </c>
      <c r="F2744" s="33" t="n">
        <f aca="false">IF(B2744&gt;=9,AVERAGE(C2736:C2743),"")</f>
        <v>25.375</v>
      </c>
      <c r="G2744" s="33" t="n">
        <f aca="false">IF(B2744=1,"",IF(B2744=2,C2743,SES_Alpha*C2743+(1-SES_Alpha)*G2743))</f>
        <v>22.8167247949068</v>
      </c>
      <c r="H2744" s="33" t="n">
        <f aca="false">IF(D2744="","",D2744-C2744)</f>
        <v>-24</v>
      </c>
      <c r="I2744" s="33" t="n">
        <f aca="false">IF(E2744="","",E2744-C2744)</f>
        <v>-9.25</v>
      </c>
      <c r="J2744" s="33" t="n">
        <f aca="false">IF(F2744="","",F2744-C2744)</f>
        <v>-8.625</v>
      </c>
      <c r="K2744" s="33" t="n">
        <f aca="false">IF(G2744="","",G2744-C2744)</f>
        <v>-11.1832752050932</v>
      </c>
      <c r="L2744" s="33" t="n">
        <f aca="false">IF(H2744="","",ABS(H2744))</f>
        <v>24</v>
      </c>
      <c r="M2744" s="33" t="n">
        <f aca="false">IF(I2744="","",ABS(I2744))</f>
        <v>9.25</v>
      </c>
      <c r="N2744" s="33" t="n">
        <f aca="false">IF(J2744="","",ABS(J2744))</f>
        <v>8.625</v>
      </c>
      <c r="O2744" s="33" t="n">
        <f aca="false">IF(K2744="","",ABS(K2744))</f>
        <v>11.1832752050932</v>
      </c>
      <c r="P2744" s="34" t="str">
        <f aca="false">IF(B2744&gt;=Eval_Start_Week,"YES","")</f>
        <v/>
      </c>
      <c r="Q2744" s="34" t="str">
        <f aca="false">IF(AND(B2744&gt;=Cal_Start_Week,B2744&lt;=Cal_End_Week),"YES","")</f>
        <v>YES</v>
      </c>
    </row>
    <row r="2745" customFormat="false" ht="15" hidden="false" customHeight="false" outlineLevel="0" collapsed="false">
      <c r="A2745" s="31" t="str">
        <f aca="false">Demand_History!C2745</f>
        <v>BED-007</v>
      </c>
      <c r="B2745" s="31" t="n">
        <f aca="false">Demand_History!A2745</f>
        <v>40</v>
      </c>
      <c r="C2745" s="32" t="n">
        <f aca="false">Demand_History!D2745</f>
        <v>42</v>
      </c>
      <c r="D2745" s="33" t="n">
        <f aca="false">IF(B2745&gt;=2,C2744,"")</f>
        <v>34</v>
      </c>
      <c r="E2745" s="33" t="n">
        <f aca="false">IF(B2745&gt;=5,AVERAGE(C2741:C2744),"")</f>
        <v>25.25</v>
      </c>
      <c r="F2745" s="33" t="n">
        <f aca="false">IF(B2745&gt;=9,AVERAGE(C2737:C2744),"")</f>
        <v>25.625</v>
      </c>
      <c r="G2745" s="33" t="n">
        <f aca="false">IF(B2745=1,"",IF(B2745=2,C2744,SES_Alpha*C2744+(1-SES_Alpha)*G2744))</f>
        <v>26.1717073564347</v>
      </c>
      <c r="H2745" s="33" t="n">
        <f aca="false">IF(D2745="","",D2745-C2745)</f>
        <v>-8</v>
      </c>
      <c r="I2745" s="33" t="n">
        <f aca="false">IF(E2745="","",E2745-C2745)</f>
        <v>-16.75</v>
      </c>
      <c r="J2745" s="33" t="n">
        <f aca="false">IF(F2745="","",F2745-C2745)</f>
        <v>-16.375</v>
      </c>
      <c r="K2745" s="33" t="n">
        <f aca="false">IF(G2745="","",G2745-C2745)</f>
        <v>-15.8282926435653</v>
      </c>
      <c r="L2745" s="33" t="n">
        <f aca="false">IF(H2745="","",ABS(H2745))</f>
        <v>8</v>
      </c>
      <c r="M2745" s="33" t="n">
        <f aca="false">IF(I2745="","",ABS(I2745))</f>
        <v>16.75</v>
      </c>
      <c r="N2745" s="33" t="n">
        <f aca="false">IF(J2745="","",ABS(J2745))</f>
        <v>16.375</v>
      </c>
      <c r="O2745" s="33" t="n">
        <f aca="false">IF(K2745="","",ABS(K2745))</f>
        <v>15.8282926435653</v>
      </c>
      <c r="P2745" s="34" t="str">
        <f aca="false">IF(B2745&gt;=Eval_Start_Week,"YES","")</f>
        <v/>
      </c>
      <c r="Q2745" s="34" t="str">
        <f aca="false">IF(AND(B2745&gt;=Cal_Start_Week,B2745&lt;=Cal_End_Week),"YES","")</f>
        <v>YES</v>
      </c>
    </row>
    <row r="2746" customFormat="false" ht="15" hidden="false" customHeight="false" outlineLevel="0" collapsed="false">
      <c r="A2746" s="31" t="str">
        <f aca="false">Demand_History!C2746</f>
        <v>BED-007</v>
      </c>
      <c r="B2746" s="31" t="n">
        <f aca="false">Demand_History!A2746</f>
        <v>41</v>
      </c>
      <c r="C2746" s="32" t="n">
        <f aca="false">Demand_History!D2746</f>
        <v>35</v>
      </c>
      <c r="D2746" s="33" t="n">
        <f aca="false">IF(B2746&gt;=2,C2745,"")</f>
        <v>42</v>
      </c>
      <c r="E2746" s="33" t="n">
        <f aca="false">IF(B2746&gt;=5,AVERAGE(C2742:C2745),"")</f>
        <v>29</v>
      </c>
      <c r="F2746" s="33" t="n">
        <f aca="false">IF(B2746&gt;=9,AVERAGE(C2738:C2745),"")</f>
        <v>27.875</v>
      </c>
      <c r="G2746" s="33" t="n">
        <f aca="false">IF(B2746=1,"",IF(B2746=2,C2745,SES_Alpha*C2745+(1-SES_Alpha)*G2745))</f>
        <v>30.9201951495043</v>
      </c>
      <c r="H2746" s="33" t="n">
        <f aca="false">IF(D2746="","",D2746-C2746)</f>
        <v>7</v>
      </c>
      <c r="I2746" s="33" t="n">
        <f aca="false">IF(E2746="","",E2746-C2746)</f>
        <v>-6</v>
      </c>
      <c r="J2746" s="33" t="n">
        <f aca="false">IF(F2746="","",F2746-C2746)</f>
        <v>-7.125</v>
      </c>
      <c r="K2746" s="33" t="n">
        <f aca="false">IF(G2746="","",G2746-C2746)</f>
        <v>-4.07980485049569</v>
      </c>
      <c r="L2746" s="33" t="n">
        <f aca="false">IF(H2746="","",ABS(H2746))</f>
        <v>7</v>
      </c>
      <c r="M2746" s="33" t="n">
        <f aca="false">IF(I2746="","",ABS(I2746))</f>
        <v>6</v>
      </c>
      <c r="N2746" s="33" t="n">
        <f aca="false">IF(J2746="","",ABS(J2746))</f>
        <v>7.125</v>
      </c>
      <c r="O2746" s="33" t="n">
        <f aca="false">IF(K2746="","",ABS(K2746))</f>
        <v>4.07980485049569</v>
      </c>
      <c r="P2746" s="34" t="str">
        <f aca="false">IF(B2746&gt;=Eval_Start_Week,"YES","")</f>
        <v/>
      </c>
      <c r="Q2746" s="34" t="str">
        <f aca="false">IF(AND(B2746&gt;=Cal_Start_Week,B2746&lt;=Cal_End_Week),"YES","")</f>
        <v>YES</v>
      </c>
    </row>
    <row r="2747" customFormat="false" ht="15" hidden="false" customHeight="false" outlineLevel="0" collapsed="false">
      <c r="A2747" s="31" t="str">
        <f aca="false">Demand_History!C2747</f>
        <v>BED-007</v>
      </c>
      <c r="B2747" s="31" t="n">
        <f aca="false">Demand_History!A2747</f>
        <v>42</v>
      </c>
      <c r="C2747" s="32" t="n">
        <f aca="false">Demand_History!D2747</f>
        <v>23</v>
      </c>
      <c r="D2747" s="33" t="n">
        <f aca="false">IF(B2747&gt;=2,C2746,"")</f>
        <v>35</v>
      </c>
      <c r="E2747" s="33" t="n">
        <f aca="false">IF(B2747&gt;=5,AVERAGE(C2743:C2746),"")</f>
        <v>30.25</v>
      </c>
      <c r="F2747" s="33" t="n">
        <f aca="false">IF(B2747&gt;=9,AVERAGE(C2739:C2746),"")</f>
        <v>29.5</v>
      </c>
      <c r="G2747" s="33" t="n">
        <f aca="false">IF(B2747=1,"",IF(B2747=2,C2746,SES_Alpha*C2746+(1-SES_Alpha)*G2746))</f>
        <v>32.144136604653</v>
      </c>
      <c r="H2747" s="33" t="n">
        <f aca="false">IF(D2747="","",D2747-C2747)</f>
        <v>12</v>
      </c>
      <c r="I2747" s="33" t="n">
        <f aca="false">IF(E2747="","",E2747-C2747)</f>
        <v>7.25</v>
      </c>
      <c r="J2747" s="33" t="n">
        <f aca="false">IF(F2747="","",F2747-C2747)</f>
        <v>6.5</v>
      </c>
      <c r="K2747" s="33" t="n">
        <f aca="false">IF(G2747="","",G2747-C2747)</f>
        <v>9.14413660465301</v>
      </c>
      <c r="L2747" s="33" t="n">
        <f aca="false">IF(H2747="","",ABS(H2747))</f>
        <v>12</v>
      </c>
      <c r="M2747" s="33" t="n">
        <f aca="false">IF(I2747="","",ABS(I2747))</f>
        <v>7.25</v>
      </c>
      <c r="N2747" s="33" t="n">
        <f aca="false">IF(J2747="","",ABS(J2747))</f>
        <v>6.5</v>
      </c>
      <c r="O2747" s="33" t="n">
        <f aca="false">IF(K2747="","",ABS(K2747))</f>
        <v>9.14413660465301</v>
      </c>
      <c r="P2747" s="34" t="str">
        <f aca="false">IF(B2747&gt;=Eval_Start_Week,"YES","")</f>
        <v/>
      </c>
      <c r="Q2747" s="34" t="str">
        <f aca="false">IF(AND(B2747&gt;=Cal_Start_Week,B2747&lt;=Cal_End_Week),"YES","")</f>
        <v>YES</v>
      </c>
    </row>
    <row r="2748" customFormat="false" ht="15" hidden="false" customHeight="false" outlineLevel="0" collapsed="false">
      <c r="A2748" s="31" t="str">
        <f aca="false">Demand_History!C2748</f>
        <v>BED-007</v>
      </c>
      <c r="B2748" s="31" t="n">
        <f aca="false">Demand_History!A2748</f>
        <v>43</v>
      </c>
      <c r="C2748" s="32" t="n">
        <f aca="false">Demand_History!D2748</f>
        <v>19</v>
      </c>
      <c r="D2748" s="33" t="n">
        <f aca="false">IF(B2748&gt;=2,C2747,"")</f>
        <v>23</v>
      </c>
      <c r="E2748" s="33" t="n">
        <f aca="false">IF(B2748&gt;=5,AVERAGE(C2744:C2747),"")</f>
        <v>33.5</v>
      </c>
      <c r="F2748" s="33" t="n">
        <f aca="false">IF(B2748&gt;=9,AVERAGE(C2740:C2747),"")</f>
        <v>29.125</v>
      </c>
      <c r="G2748" s="33" t="n">
        <f aca="false">IF(B2748=1,"",IF(B2748=2,C2747,SES_Alpha*C2747+(1-SES_Alpha)*G2747))</f>
        <v>29.4008956232571</v>
      </c>
      <c r="H2748" s="33" t="n">
        <f aca="false">IF(D2748="","",D2748-C2748)</f>
        <v>4</v>
      </c>
      <c r="I2748" s="33" t="n">
        <f aca="false">IF(E2748="","",E2748-C2748)</f>
        <v>14.5</v>
      </c>
      <c r="J2748" s="33" t="n">
        <f aca="false">IF(F2748="","",F2748-C2748)</f>
        <v>10.125</v>
      </c>
      <c r="K2748" s="33" t="n">
        <f aca="false">IF(G2748="","",G2748-C2748)</f>
        <v>10.4008956232571</v>
      </c>
      <c r="L2748" s="33" t="n">
        <f aca="false">IF(H2748="","",ABS(H2748))</f>
        <v>4</v>
      </c>
      <c r="M2748" s="33" t="n">
        <f aca="false">IF(I2748="","",ABS(I2748))</f>
        <v>14.5</v>
      </c>
      <c r="N2748" s="33" t="n">
        <f aca="false">IF(J2748="","",ABS(J2748))</f>
        <v>10.125</v>
      </c>
      <c r="O2748" s="33" t="n">
        <f aca="false">IF(K2748="","",ABS(K2748))</f>
        <v>10.4008956232571</v>
      </c>
      <c r="P2748" s="34" t="str">
        <f aca="false">IF(B2748&gt;=Eval_Start_Week,"YES","")</f>
        <v/>
      </c>
      <c r="Q2748" s="34" t="str">
        <f aca="false">IF(AND(B2748&gt;=Cal_Start_Week,B2748&lt;=Cal_End_Week),"YES","")</f>
        <v>YES</v>
      </c>
    </row>
    <row r="2749" customFormat="false" ht="15" hidden="false" customHeight="false" outlineLevel="0" collapsed="false">
      <c r="A2749" s="31" t="str">
        <f aca="false">Demand_History!C2749</f>
        <v>BED-007</v>
      </c>
      <c r="B2749" s="31" t="n">
        <f aca="false">Demand_History!A2749</f>
        <v>44</v>
      </c>
      <c r="C2749" s="32" t="n">
        <f aca="false">Demand_History!D2749</f>
        <v>27</v>
      </c>
      <c r="D2749" s="33" t="n">
        <f aca="false">IF(B2749&gt;=2,C2748,"")</f>
        <v>19</v>
      </c>
      <c r="E2749" s="33" t="n">
        <f aca="false">IF(B2749&gt;=5,AVERAGE(C2745:C2748),"")</f>
        <v>29.75</v>
      </c>
      <c r="F2749" s="33" t="n">
        <f aca="false">IF(B2749&gt;=9,AVERAGE(C2741:C2748),"")</f>
        <v>27.5</v>
      </c>
      <c r="G2749" s="33" t="n">
        <f aca="false">IF(B2749=1,"",IF(B2749=2,C2748,SES_Alpha*C2748+(1-SES_Alpha)*G2748))</f>
        <v>26.28062693628</v>
      </c>
      <c r="H2749" s="33" t="n">
        <f aca="false">IF(D2749="","",D2749-C2749)</f>
        <v>-8</v>
      </c>
      <c r="I2749" s="33" t="n">
        <f aca="false">IF(E2749="","",E2749-C2749)</f>
        <v>2.75</v>
      </c>
      <c r="J2749" s="33" t="n">
        <f aca="false">IF(F2749="","",F2749-C2749)</f>
        <v>0.5</v>
      </c>
      <c r="K2749" s="33" t="n">
        <f aca="false">IF(G2749="","",G2749-C2749)</f>
        <v>-0.719373063720028</v>
      </c>
      <c r="L2749" s="33" t="n">
        <f aca="false">IF(H2749="","",ABS(H2749))</f>
        <v>8</v>
      </c>
      <c r="M2749" s="33" t="n">
        <f aca="false">IF(I2749="","",ABS(I2749))</f>
        <v>2.75</v>
      </c>
      <c r="N2749" s="33" t="n">
        <f aca="false">IF(J2749="","",ABS(J2749))</f>
        <v>0.5</v>
      </c>
      <c r="O2749" s="33" t="n">
        <f aca="false">IF(K2749="","",ABS(K2749))</f>
        <v>0.719373063720028</v>
      </c>
      <c r="P2749" s="34" t="str">
        <f aca="false">IF(B2749&gt;=Eval_Start_Week,"YES","")</f>
        <v/>
      </c>
      <c r="Q2749" s="34" t="str">
        <f aca="false">IF(AND(B2749&gt;=Cal_Start_Week,B2749&lt;=Cal_End_Week),"YES","")</f>
        <v>YES</v>
      </c>
    </row>
    <row r="2750" customFormat="false" ht="15" hidden="false" customHeight="false" outlineLevel="0" collapsed="false">
      <c r="A2750" s="31" t="str">
        <f aca="false">Demand_History!C2750</f>
        <v>BED-007</v>
      </c>
      <c r="B2750" s="31" t="n">
        <f aca="false">Demand_History!A2750</f>
        <v>45</v>
      </c>
      <c r="C2750" s="32" t="n">
        <f aca="false">Demand_History!D2750</f>
        <v>18</v>
      </c>
      <c r="D2750" s="33" t="n">
        <f aca="false">IF(B2750&gt;=2,C2749,"")</f>
        <v>27</v>
      </c>
      <c r="E2750" s="33" t="n">
        <f aca="false">IF(B2750&gt;=5,AVERAGE(C2746:C2749),"")</f>
        <v>26</v>
      </c>
      <c r="F2750" s="33" t="n">
        <f aca="false">IF(B2750&gt;=9,AVERAGE(C2742:C2749),"")</f>
        <v>27.5</v>
      </c>
      <c r="G2750" s="33" t="n">
        <f aca="false">IF(B2750=1,"",IF(B2750=2,C2749,SES_Alpha*C2749+(1-SES_Alpha)*G2749))</f>
        <v>26.496438855396</v>
      </c>
      <c r="H2750" s="33" t="n">
        <f aca="false">IF(D2750="","",D2750-C2750)</f>
        <v>9</v>
      </c>
      <c r="I2750" s="33" t="n">
        <f aca="false">IF(E2750="","",E2750-C2750)</f>
        <v>8</v>
      </c>
      <c r="J2750" s="33" t="n">
        <f aca="false">IF(F2750="","",F2750-C2750)</f>
        <v>9.5</v>
      </c>
      <c r="K2750" s="33" t="n">
        <f aca="false">IF(G2750="","",G2750-C2750)</f>
        <v>8.49643885539598</v>
      </c>
      <c r="L2750" s="33" t="n">
        <f aca="false">IF(H2750="","",ABS(H2750))</f>
        <v>9</v>
      </c>
      <c r="M2750" s="33" t="n">
        <f aca="false">IF(I2750="","",ABS(I2750))</f>
        <v>8</v>
      </c>
      <c r="N2750" s="33" t="n">
        <f aca="false">IF(J2750="","",ABS(J2750))</f>
        <v>9.5</v>
      </c>
      <c r="O2750" s="33" t="n">
        <f aca="false">IF(K2750="","",ABS(K2750))</f>
        <v>8.49643885539598</v>
      </c>
      <c r="P2750" s="34" t="str">
        <f aca="false">IF(B2750&gt;=Eval_Start_Week,"YES","")</f>
        <v/>
      </c>
      <c r="Q2750" s="34" t="str">
        <f aca="false">IF(AND(B2750&gt;=Cal_Start_Week,B2750&lt;=Cal_End_Week),"YES","")</f>
        <v>YES</v>
      </c>
    </row>
    <row r="2751" customFormat="false" ht="15" hidden="false" customHeight="false" outlineLevel="0" collapsed="false">
      <c r="A2751" s="31" t="str">
        <f aca="false">Demand_History!C2751</f>
        <v>BED-007</v>
      </c>
      <c r="B2751" s="31" t="n">
        <f aca="false">Demand_History!A2751</f>
        <v>46</v>
      </c>
      <c r="C2751" s="32" t="n">
        <f aca="false">Demand_History!D2751</f>
        <v>30</v>
      </c>
      <c r="D2751" s="33" t="n">
        <f aca="false">IF(B2751&gt;=2,C2750,"")</f>
        <v>18</v>
      </c>
      <c r="E2751" s="33" t="n">
        <f aca="false">IF(B2751&gt;=5,AVERAGE(C2747:C2750),"")</f>
        <v>21.75</v>
      </c>
      <c r="F2751" s="33" t="n">
        <f aca="false">IF(B2751&gt;=9,AVERAGE(C2743:C2750),"")</f>
        <v>26</v>
      </c>
      <c r="G2751" s="33" t="n">
        <f aca="false">IF(B2751=1,"",IF(B2751=2,C2750,SES_Alpha*C2750+(1-SES_Alpha)*G2750))</f>
        <v>23.9475071987772</v>
      </c>
      <c r="H2751" s="33" t="n">
        <f aca="false">IF(D2751="","",D2751-C2751)</f>
        <v>-12</v>
      </c>
      <c r="I2751" s="33" t="n">
        <f aca="false">IF(E2751="","",E2751-C2751)</f>
        <v>-8.25</v>
      </c>
      <c r="J2751" s="33" t="n">
        <f aca="false">IF(F2751="","",F2751-C2751)</f>
        <v>-4</v>
      </c>
      <c r="K2751" s="33" t="n">
        <f aca="false">IF(G2751="","",G2751-C2751)</f>
        <v>-6.05249280122282</v>
      </c>
      <c r="L2751" s="33" t="n">
        <f aca="false">IF(H2751="","",ABS(H2751))</f>
        <v>12</v>
      </c>
      <c r="M2751" s="33" t="n">
        <f aca="false">IF(I2751="","",ABS(I2751))</f>
        <v>8.25</v>
      </c>
      <c r="N2751" s="33" t="n">
        <f aca="false">IF(J2751="","",ABS(J2751))</f>
        <v>4</v>
      </c>
      <c r="O2751" s="33" t="n">
        <f aca="false">IF(K2751="","",ABS(K2751))</f>
        <v>6.05249280122282</v>
      </c>
      <c r="P2751" s="34" t="str">
        <f aca="false">IF(B2751&gt;=Eval_Start_Week,"YES","")</f>
        <v/>
      </c>
      <c r="Q2751" s="34" t="str">
        <f aca="false">IF(AND(B2751&gt;=Cal_Start_Week,B2751&lt;=Cal_End_Week),"YES","")</f>
        <v>YES</v>
      </c>
    </row>
    <row r="2752" customFormat="false" ht="15" hidden="false" customHeight="false" outlineLevel="0" collapsed="false">
      <c r="A2752" s="31" t="str">
        <f aca="false">Demand_History!C2752</f>
        <v>BED-007</v>
      </c>
      <c r="B2752" s="31" t="n">
        <f aca="false">Demand_History!A2752</f>
        <v>47</v>
      </c>
      <c r="C2752" s="32" t="n">
        <f aca="false">Demand_History!D2752</f>
        <v>21</v>
      </c>
      <c r="D2752" s="33" t="n">
        <f aca="false">IF(B2752&gt;=2,C2751,"")</f>
        <v>30</v>
      </c>
      <c r="E2752" s="33" t="n">
        <f aca="false">IF(B2752&gt;=5,AVERAGE(C2748:C2751),"")</f>
        <v>23.5</v>
      </c>
      <c r="F2752" s="33" t="n">
        <f aca="false">IF(B2752&gt;=9,AVERAGE(C2744:C2751),"")</f>
        <v>28.5</v>
      </c>
      <c r="G2752" s="33" t="n">
        <f aca="false">IF(B2752=1,"",IF(B2752=2,C2751,SES_Alpha*C2751+(1-SES_Alpha)*G2751))</f>
        <v>25.763255039144</v>
      </c>
      <c r="H2752" s="33" t="n">
        <f aca="false">IF(D2752="","",D2752-C2752)</f>
        <v>9</v>
      </c>
      <c r="I2752" s="33" t="n">
        <f aca="false">IF(E2752="","",E2752-C2752)</f>
        <v>2.5</v>
      </c>
      <c r="J2752" s="33" t="n">
        <f aca="false">IF(F2752="","",F2752-C2752)</f>
        <v>7.5</v>
      </c>
      <c r="K2752" s="33" t="n">
        <f aca="false">IF(G2752="","",G2752-C2752)</f>
        <v>4.76325503914403</v>
      </c>
      <c r="L2752" s="33" t="n">
        <f aca="false">IF(H2752="","",ABS(H2752))</f>
        <v>9</v>
      </c>
      <c r="M2752" s="33" t="n">
        <f aca="false">IF(I2752="","",ABS(I2752))</f>
        <v>2.5</v>
      </c>
      <c r="N2752" s="33" t="n">
        <f aca="false">IF(J2752="","",ABS(J2752))</f>
        <v>7.5</v>
      </c>
      <c r="O2752" s="33" t="n">
        <f aca="false">IF(K2752="","",ABS(K2752))</f>
        <v>4.76325503914403</v>
      </c>
      <c r="P2752" s="34" t="str">
        <f aca="false">IF(B2752&gt;=Eval_Start_Week,"YES","")</f>
        <v/>
      </c>
      <c r="Q2752" s="34" t="str">
        <f aca="false">IF(AND(B2752&gt;=Cal_Start_Week,B2752&lt;=Cal_End_Week),"YES","")</f>
        <v>YES</v>
      </c>
    </row>
    <row r="2753" customFormat="false" ht="15" hidden="false" customHeight="false" outlineLevel="0" collapsed="false">
      <c r="A2753" s="31" t="str">
        <f aca="false">Demand_History!C2753</f>
        <v>BED-007</v>
      </c>
      <c r="B2753" s="31" t="n">
        <f aca="false">Demand_History!A2753</f>
        <v>48</v>
      </c>
      <c r="C2753" s="32" t="n">
        <f aca="false">Demand_History!D2753</f>
        <v>32</v>
      </c>
      <c r="D2753" s="33" t="n">
        <f aca="false">IF(B2753&gt;=2,C2752,"")</f>
        <v>21</v>
      </c>
      <c r="E2753" s="33" t="n">
        <f aca="false">IF(B2753&gt;=5,AVERAGE(C2749:C2752),"")</f>
        <v>24</v>
      </c>
      <c r="F2753" s="33" t="n">
        <f aca="false">IF(B2753&gt;=9,AVERAGE(C2745:C2752),"")</f>
        <v>26.875</v>
      </c>
      <c r="G2753" s="33" t="n">
        <f aca="false">IF(B2753=1,"",IF(B2753=2,C2752,SES_Alpha*C2752+(1-SES_Alpha)*G2752))</f>
        <v>24.3342785274008</v>
      </c>
      <c r="H2753" s="33" t="n">
        <f aca="false">IF(D2753="","",D2753-C2753)</f>
        <v>-11</v>
      </c>
      <c r="I2753" s="33" t="n">
        <f aca="false">IF(E2753="","",E2753-C2753)</f>
        <v>-8</v>
      </c>
      <c r="J2753" s="33" t="n">
        <f aca="false">IF(F2753="","",F2753-C2753)</f>
        <v>-5.125</v>
      </c>
      <c r="K2753" s="33" t="n">
        <f aca="false">IF(G2753="","",G2753-C2753)</f>
        <v>-7.66572147259918</v>
      </c>
      <c r="L2753" s="33" t="n">
        <f aca="false">IF(H2753="","",ABS(H2753))</f>
        <v>11</v>
      </c>
      <c r="M2753" s="33" t="n">
        <f aca="false">IF(I2753="","",ABS(I2753))</f>
        <v>8</v>
      </c>
      <c r="N2753" s="33" t="n">
        <f aca="false">IF(J2753="","",ABS(J2753))</f>
        <v>5.125</v>
      </c>
      <c r="O2753" s="33" t="n">
        <f aca="false">IF(K2753="","",ABS(K2753))</f>
        <v>7.66572147259918</v>
      </c>
      <c r="P2753" s="34" t="str">
        <f aca="false">IF(B2753&gt;=Eval_Start_Week,"YES","")</f>
        <v/>
      </c>
      <c r="Q2753" s="34" t="str">
        <f aca="false">IF(AND(B2753&gt;=Cal_Start_Week,B2753&lt;=Cal_End_Week),"YES","")</f>
        <v>YES</v>
      </c>
    </row>
    <row r="2754" customFormat="false" ht="15" hidden="false" customHeight="false" outlineLevel="0" collapsed="false">
      <c r="A2754" s="31" t="str">
        <f aca="false">Demand_History!C2754</f>
        <v>BED-007</v>
      </c>
      <c r="B2754" s="31" t="n">
        <f aca="false">Demand_History!A2754</f>
        <v>49</v>
      </c>
      <c r="C2754" s="32" t="n">
        <f aca="false">Demand_History!D2754</f>
        <v>35</v>
      </c>
      <c r="D2754" s="33" t="n">
        <f aca="false">IF(B2754&gt;=2,C2753,"")</f>
        <v>32</v>
      </c>
      <c r="E2754" s="33" t="n">
        <f aca="false">IF(B2754&gt;=5,AVERAGE(C2750:C2753),"")</f>
        <v>25.25</v>
      </c>
      <c r="F2754" s="33" t="n">
        <f aca="false">IF(B2754&gt;=9,AVERAGE(C2746:C2753),"")</f>
        <v>25.625</v>
      </c>
      <c r="G2754" s="33" t="n">
        <f aca="false">IF(B2754=1,"",IF(B2754=2,C2753,SES_Alpha*C2753+(1-SES_Alpha)*G2753))</f>
        <v>26.6339949691806</v>
      </c>
      <c r="H2754" s="33" t="n">
        <f aca="false">IF(D2754="","",D2754-C2754)</f>
        <v>-3</v>
      </c>
      <c r="I2754" s="33" t="n">
        <f aca="false">IF(E2754="","",E2754-C2754)</f>
        <v>-9.75</v>
      </c>
      <c r="J2754" s="33" t="n">
        <f aca="false">IF(F2754="","",F2754-C2754)</f>
        <v>-9.375</v>
      </c>
      <c r="K2754" s="33" t="n">
        <f aca="false">IF(G2754="","",G2754-C2754)</f>
        <v>-8.36600503081943</v>
      </c>
      <c r="L2754" s="33" t="n">
        <f aca="false">IF(H2754="","",ABS(H2754))</f>
        <v>3</v>
      </c>
      <c r="M2754" s="33" t="n">
        <f aca="false">IF(I2754="","",ABS(I2754))</f>
        <v>9.75</v>
      </c>
      <c r="N2754" s="33" t="n">
        <f aca="false">IF(J2754="","",ABS(J2754))</f>
        <v>9.375</v>
      </c>
      <c r="O2754" s="33" t="n">
        <f aca="false">IF(K2754="","",ABS(K2754))</f>
        <v>8.36600503081943</v>
      </c>
      <c r="P2754" s="34" t="str">
        <f aca="false">IF(B2754&gt;=Eval_Start_Week,"YES","")</f>
        <v/>
      </c>
      <c r="Q2754" s="34" t="str">
        <f aca="false">IF(AND(B2754&gt;=Cal_Start_Week,B2754&lt;=Cal_End_Week),"YES","")</f>
        <v>YES</v>
      </c>
    </row>
    <row r="2755" customFormat="false" ht="15" hidden="false" customHeight="false" outlineLevel="0" collapsed="false">
      <c r="A2755" s="31" t="str">
        <f aca="false">Demand_History!C2755</f>
        <v>BED-007</v>
      </c>
      <c r="B2755" s="31" t="n">
        <f aca="false">Demand_History!A2755</f>
        <v>50</v>
      </c>
      <c r="C2755" s="32" t="n">
        <f aca="false">Demand_History!D2755</f>
        <v>10</v>
      </c>
      <c r="D2755" s="33" t="n">
        <f aca="false">IF(B2755&gt;=2,C2754,"")</f>
        <v>35</v>
      </c>
      <c r="E2755" s="33" t="n">
        <f aca="false">IF(B2755&gt;=5,AVERAGE(C2751:C2754),"")</f>
        <v>29.5</v>
      </c>
      <c r="F2755" s="33" t="n">
        <f aca="false">IF(B2755&gt;=9,AVERAGE(C2747:C2754),"")</f>
        <v>25.625</v>
      </c>
      <c r="G2755" s="33" t="n">
        <f aca="false">IF(B2755=1,"",IF(B2755=2,C2754,SES_Alpha*C2754+(1-SES_Alpha)*G2754))</f>
        <v>29.1437964784264</v>
      </c>
      <c r="H2755" s="33" t="n">
        <f aca="false">IF(D2755="","",D2755-C2755)</f>
        <v>25</v>
      </c>
      <c r="I2755" s="33" t="n">
        <f aca="false">IF(E2755="","",E2755-C2755)</f>
        <v>19.5</v>
      </c>
      <c r="J2755" s="33" t="n">
        <f aca="false">IF(F2755="","",F2755-C2755)</f>
        <v>15.625</v>
      </c>
      <c r="K2755" s="33" t="n">
        <f aca="false">IF(G2755="","",G2755-C2755)</f>
        <v>19.1437964784264</v>
      </c>
      <c r="L2755" s="33" t="n">
        <f aca="false">IF(H2755="","",ABS(H2755))</f>
        <v>25</v>
      </c>
      <c r="M2755" s="33" t="n">
        <f aca="false">IF(I2755="","",ABS(I2755))</f>
        <v>19.5</v>
      </c>
      <c r="N2755" s="33" t="n">
        <f aca="false">IF(J2755="","",ABS(J2755))</f>
        <v>15.625</v>
      </c>
      <c r="O2755" s="33" t="n">
        <f aca="false">IF(K2755="","",ABS(K2755))</f>
        <v>19.1437964784264</v>
      </c>
      <c r="P2755" s="34" t="str">
        <f aca="false">IF(B2755&gt;=Eval_Start_Week,"YES","")</f>
        <v/>
      </c>
      <c r="Q2755" s="34" t="str">
        <f aca="false">IF(AND(B2755&gt;=Cal_Start_Week,B2755&lt;=Cal_End_Week),"YES","")</f>
        <v>YES</v>
      </c>
    </row>
    <row r="2756" customFormat="false" ht="15" hidden="false" customHeight="false" outlineLevel="0" collapsed="false">
      <c r="A2756" s="31" t="str">
        <f aca="false">Demand_History!C2756</f>
        <v>BED-007</v>
      </c>
      <c r="B2756" s="31" t="n">
        <f aca="false">Demand_History!A2756</f>
        <v>51</v>
      </c>
      <c r="C2756" s="32" t="n">
        <f aca="false">Demand_History!D2756</f>
        <v>27</v>
      </c>
      <c r="D2756" s="33" t="n">
        <f aca="false">IF(B2756&gt;=2,C2755,"")</f>
        <v>10</v>
      </c>
      <c r="E2756" s="33" t="n">
        <f aca="false">IF(B2756&gt;=5,AVERAGE(C2752:C2755),"")</f>
        <v>24.5</v>
      </c>
      <c r="F2756" s="33" t="n">
        <f aca="false">IF(B2756&gt;=9,AVERAGE(C2748:C2755),"")</f>
        <v>24</v>
      </c>
      <c r="G2756" s="33" t="n">
        <f aca="false">IF(B2756=1,"",IF(B2756=2,C2755,SES_Alpha*C2755+(1-SES_Alpha)*G2755))</f>
        <v>23.4006575348985</v>
      </c>
      <c r="H2756" s="33" t="n">
        <f aca="false">IF(D2756="","",D2756-C2756)</f>
        <v>-17</v>
      </c>
      <c r="I2756" s="33" t="n">
        <f aca="false">IF(E2756="","",E2756-C2756)</f>
        <v>-2.5</v>
      </c>
      <c r="J2756" s="33" t="n">
        <f aca="false">IF(F2756="","",F2756-C2756)</f>
        <v>-3</v>
      </c>
      <c r="K2756" s="33" t="n">
        <f aca="false">IF(G2756="","",G2756-C2756)</f>
        <v>-3.59934246510152</v>
      </c>
      <c r="L2756" s="33" t="n">
        <f aca="false">IF(H2756="","",ABS(H2756))</f>
        <v>17</v>
      </c>
      <c r="M2756" s="33" t="n">
        <f aca="false">IF(I2756="","",ABS(I2756))</f>
        <v>2.5</v>
      </c>
      <c r="N2756" s="33" t="n">
        <f aca="false">IF(J2756="","",ABS(J2756))</f>
        <v>3</v>
      </c>
      <c r="O2756" s="33" t="n">
        <f aca="false">IF(K2756="","",ABS(K2756))</f>
        <v>3.59934246510152</v>
      </c>
      <c r="P2756" s="34" t="str">
        <f aca="false">IF(B2756&gt;=Eval_Start_Week,"YES","")</f>
        <v/>
      </c>
      <c r="Q2756" s="34" t="str">
        <f aca="false">IF(AND(B2756&gt;=Cal_Start_Week,B2756&lt;=Cal_End_Week),"YES","")</f>
        <v>YES</v>
      </c>
    </row>
    <row r="2757" customFormat="false" ht="15" hidden="false" customHeight="false" outlineLevel="0" collapsed="false">
      <c r="A2757" s="31" t="str">
        <f aca="false">Demand_History!C2757</f>
        <v>BED-007</v>
      </c>
      <c r="B2757" s="31" t="n">
        <f aca="false">Demand_History!A2757</f>
        <v>52</v>
      </c>
      <c r="C2757" s="32" t="n">
        <f aca="false">Demand_History!D2757</f>
        <v>20</v>
      </c>
      <c r="D2757" s="33" t="n">
        <f aca="false">IF(B2757&gt;=2,C2756,"")</f>
        <v>27</v>
      </c>
      <c r="E2757" s="33" t="n">
        <f aca="false">IF(B2757&gt;=5,AVERAGE(C2753:C2756),"")</f>
        <v>26</v>
      </c>
      <c r="F2757" s="33" t="n">
        <f aca="false">IF(B2757&gt;=9,AVERAGE(C2749:C2756),"")</f>
        <v>25</v>
      </c>
      <c r="G2757" s="33" t="n">
        <f aca="false">IF(B2757=1,"",IF(B2757=2,C2756,SES_Alpha*C2756+(1-SES_Alpha)*G2756))</f>
        <v>24.4804602744289</v>
      </c>
      <c r="H2757" s="33" t="n">
        <f aca="false">IF(D2757="","",D2757-C2757)</f>
        <v>7</v>
      </c>
      <c r="I2757" s="33" t="n">
        <f aca="false">IF(E2757="","",E2757-C2757)</f>
        <v>6</v>
      </c>
      <c r="J2757" s="33" t="n">
        <f aca="false">IF(F2757="","",F2757-C2757)</f>
        <v>5</v>
      </c>
      <c r="K2757" s="33" t="n">
        <f aca="false">IF(G2757="","",G2757-C2757)</f>
        <v>4.48046027442894</v>
      </c>
      <c r="L2757" s="33" t="n">
        <f aca="false">IF(H2757="","",ABS(H2757))</f>
        <v>7</v>
      </c>
      <c r="M2757" s="33" t="n">
        <f aca="false">IF(I2757="","",ABS(I2757))</f>
        <v>6</v>
      </c>
      <c r="N2757" s="33" t="n">
        <f aca="false">IF(J2757="","",ABS(J2757))</f>
        <v>5</v>
      </c>
      <c r="O2757" s="33" t="n">
        <f aca="false">IF(K2757="","",ABS(K2757))</f>
        <v>4.48046027442894</v>
      </c>
      <c r="P2757" s="34" t="str">
        <f aca="false">IF(B2757&gt;=Eval_Start_Week,"YES","")</f>
        <v/>
      </c>
      <c r="Q2757" s="34" t="str">
        <f aca="false">IF(AND(B2757&gt;=Cal_Start_Week,B2757&lt;=Cal_End_Week),"YES","")</f>
        <v>YES</v>
      </c>
    </row>
    <row r="2758" customFormat="false" ht="15" hidden="false" customHeight="false" outlineLevel="0" collapsed="false">
      <c r="A2758" s="31" t="str">
        <f aca="false">Demand_History!C2758</f>
        <v>BED-007</v>
      </c>
      <c r="B2758" s="31" t="n">
        <f aca="false">Demand_History!A2758</f>
        <v>53</v>
      </c>
      <c r="C2758" s="32" t="n">
        <f aca="false">Demand_History!D2758</f>
        <v>15</v>
      </c>
      <c r="D2758" s="33" t="n">
        <f aca="false">IF(B2758&gt;=2,C2757,"")</f>
        <v>20</v>
      </c>
      <c r="E2758" s="33" t="n">
        <f aca="false">IF(B2758&gt;=5,AVERAGE(C2754:C2757),"")</f>
        <v>23</v>
      </c>
      <c r="F2758" s="33" t="n">
        <f aca="false">IF(B2758&gt;=9,AVERAGE(C2750:C2757),"")</f>
        <v>24.125</v>
      </c>
      <c r="G2758" s="33" t="n">
        <f aca="false">IF(B2758=1,"",IF(B2758=2,C2757,SES_Alpha*C2757+(1-SES_Alpha)*G2757))</f>
        <v>23.1363221921003</v>
      </c>
      <c r="H2758" s="33" t="n">
        <f aca="false">IF(D2758="","",D2758-C2758)</f>
        <v>5</v>
      </c>
      <c r="I2758" s="33" t="n">
        <f aca="false">IF(E2758="","",E2758-C2758)</f>
        <v>8</v>
      </c>
      <c r="J2758" s="33" t="n">
        <f aca="false">IF(F2758="","",F2758-C2758)</f>
        <v>9.125</v>
      </c>
      <c r="K2758" s="33" t="n">
        <f aca="false">IF(G2758="","",G2758-C2758)</f>
        <v>8.13632219210025</v>
      </c>
      <c r="L2758" s="33" t="n">
        <f aca="false">IF(H2758="","",ABS(H2758))</f>
        <v>5</v>
      </c>
      <c r="M2758" s="33" t="n">
        <f aca="false">IF(I2758="","",ABS(I2758))</f>
        <v>8</v>
      </c>
      <c r="N2758" s="33" t="n">
        <f aca="false">IF(J2758="","",ABS(J2758))</f>
        <v>9.125</v>
      </c>
      <c r="O2758" s="33" t="n">
        <f aca="false">IF(K2758="","",ABS(K2758))</f>
        <v>8.13632219210025</v>
      </c>
      <c r="P2758" s="34" t="str">
        <f aca="false">IF(B2758&gt;=Eval_Start_Week,"YES","")</f>
        <v>YES</v>
      </c>
      <c r="Q2758" s="34" t="str">
        <f aca="false">IF(AND(B2758&gt;=Cal_Start_Week,B2758&lt;=Cal_End_Week),"YES","")</f>
        <v>YES</v>
      </c>
    </row>
    <row r="2759" customFormat="false" ht="15" hidden="false" customHeight="false" outlineLevel="0" collapsed="false">
      <c r="A2759" s="31" t="str">
        <f aca="false">Demand_History!C2759</f>
        <v>BED-007</v>
      </c>
      <c r="B2759" s="31" t="n">
        <f aca="false">Demand_History!A2759</f>
        <v>54</v>
      </c>
      <c r="C2759" s="32" t="n">
        <f aca="false">Demand_History!D2759</f>
        <v>20</v>
      </c>
      <c r="D2759" s="33" t="n">
        <f aca="false">IF(B2759&gt;=2,C2758,"")</f>
        <v>15</v>
      </c>
      <c r="E2759" s="33" t="n">
        <f aca="false">IF(B2759&gt;=5,AVERAGE(C2755:C2758),"")</f>
        <v>18</v>
      </c>
      <c r="F2759" s="33" t="n">
        <f aca="false">IF(B2759&gt;=9,AVERAGE(C2751:C2758),"")</f>
        <v>23.75</v>
      </c>
      <c r="G2759" s="33" t="n">
        <f aca="false">IF(B2759=1,"",IF(B2759=2,C2758,SES_Alpha*C2758+(1-SES_Alpha)*G2758))</f>
        <v>20.6954255344702</v>
      </c>
      <c r="H2759" s="33" t="n">
        <f aca="false">IF(D2759="","",D2759-C2759)</f>
        <v>-5</v>
      </c>
      <c r="I2759" s="33" t="n">
        <f aca="false">IF(E2759="","",E2759-C2759)</f>
        <v>-2</v>
      </c>
      <c r="J2759" s="33" t="n">
        <f aca="false">IF(F2759="","",F2759-C2759)</f>
        <v>3.75</v>
      </c>
      <c r="K2759" s="33" t="n">
        <f aca="false">IF(G2759="","",G2759-C2759)</f>
        <v>0.695425534470175</v>
      </c>
      <c r="L2759" s="33" t="n">
        <f aca="false">IF(H2759="","",ABS(H2759))</f>
        <v>5</v>
      </c>
      <c r="M2759" s="33" t="n">
        <f aca="false">IF(I2759="","",ABS(I2759))</f>
        <v>2</v>
      </c>
      <c r="N2759" s="33" t="n">
        <f aca="false">IF(J2759="","",ABS(J2759))</f>
        <v>3.75</v>
      </c>
      <c r="O2759" s="33" t="n">
        <f aca="false">IF(K2759="","",ABS(K2759))</f>
        <v>0.695425534470175</v>
      </c>
      <c r="P2759" s="34" t="str">
        <f aca="false">IF(B2759&gt;=Eval_Start_Week,"YES","")</f>
        <v>YES</v>
      </c>
      <c r="Q2759" s="34" t="str">
        <f aca="false">IF(AND(B2759&gt;=Cal_Start_Week,B2759&lt;=Cal_End_Week),"YES","")</f>
        <v>YES</v>
      </c>
    </row>
    <row r="2760" customFormat="false" ht="15" hidden="false" customHeight="false" outlineLevel="0" collapsed="false">
      <c r="A2760" s="31" t="str">
        <f aca="false">Demand_History!C2760</f>
        <v>BED-007</v>
      </c>
      <c r="B2760" s="31" t="n">
        <f aca="false">Demand_History!A2760</f>
        <v>55</v>
      </c>
      <c r="C2760" s="32" t="n">
        <f aca="false">Demand_History!D2760</f>
        <v>23</v>
      </c>
      <c r="D2760" s="33" t="n">
        <f aca="false">IF(B2760&gt;=2,C2759,"")</f>
        <v>20</v>
      </c>
      <c r="E2760" s="33" t="n">
        <f aca="false">IF(B2760&gt;=5,AVERAGE(C2756:C2759),"")</f>
        <v>20.5</v>
      </c>
      <c r="F2760" s="33" t="n">
        <f aca="false">IF(B2760&gt;=9,AVERAGE(C2752:C2759),"")</f>
        <v>22.5</v>
      </c>
      <c r="G2760" s="33" t="n">
        <f aca="false">IF(B2760=1,"",IF(B2760=2,C2759,SES_Alpha*C2759+(1-SES_Alpha)*G2759))</f>
        <v>20.4867978741291</v>
      </c>
      <c r="H2760" s="33" t="n">
        <f aca="false">IF(D2760="","",D2760-C2760)</f>
        <v>-3</v>
      </c>
      <c r="I2760" s="33" t="n">
        <f aca="false">IF(E2760="","",E2760-C2760)</f>
        <v>-2.5</v>
      </c>
      <c r="J2760" s="33" t="n">
        <f aca="false">IF(F2760="","",F2760-C2760)</f>
        <v>-0.5</v>
      </c>
      <c r="K2760" s="33" t="n">
        <f aca="false">IF(G2760="","",G2760-C2760)</f>
        <v>-2.51320212587088</v>
      </c>
      <c r="L2760" s="33" t="n">
        <f aca="false">IF(H2760="","",ABS(H2760))</f>
        <v>3</v>
      </c>
      <c r="M2760" s="33" t="n">
        <f aca="false">IF(I2760="","",ABS(I2760))</f>
        <v>2.5</v>
      </c>
      <c r="N2760" s="33" t="n">
        <f aca="false">IF(J2760="","",ABS(J2760))</f>
        <v>0.5</v>
      </c>
      <c r="O2760" s="33" t="n">
        <f aca="false">IF(K2760="","",ABS(K2760))</f>
        <v>2.51320212587088</v>
      </c>
      <c r="P2760" s="34" t="str">
        <f aca="false">IF(B2760&gt;=Eval_Start_Week,"YES","")</f>
        <v>YES</v>
      </c>
      <c r="Q2760" s="34" t="str">
        <f aca="false">IF(AND(B2760&gt;=Cal_Start_Week,B2760&lt;=Cal_End_Week),"YES","")</f>
        <v>YES</v>
      </c>
    </row>
    <row r="2761" customFormat="false" ht="15" hidden="false" customHeight="false" outlineLevel="0" collapsed="false">
      <c r="A2761" s="31" t="str">
        <f aca="false">Demand_History!C2761</f>
        <v>BED-007</v>
      </c>
      <c r="B2761" s="31" t="n">
        <f aca="false">Demand_History!A2761</f>
        <v>56</v>
      </c>
      <c r="C2761" s="32" t="n">
        <f aca="false">Demand_History!D2761</f>
        <v>33</v>
      </c>
      <c r="D2761" s="33" t="n">
        <f aca="false">IF(B2761&gt;=2,C2760,"")</f>
        <v>23</v>
      </c>
      <c r="E2761" s="33" t="n">
        <f aca="false">IF(B2761&gt;=5,AVERAGE(C2757:C2760),"")</f>
        <v>19.5</v>
      </c>
      <c r="F2761" s="33" t="n">
        <f aca="false">IF(B2761&gt;=9,AVERAGE(C2753:C2760),"")</f>
        <v>22.75</v>
      </c>
      <c r="G2761" s="33" t="n">
        <f aca="false">IF(B2761=1,"",IF(B2761=2,C2760,SES_Alpha*C2760+(1-SES_Alpha)*G2760))</f>
        <v>21.2407585118904</v>
      </c>
      <c r="H2761" s="33" t="n">
        <f aca="false">IF(D2761="","",D2761-C2761)</f>
        <v>-10</v>
      </c>
      <c r="I2761" s="33" t="n">
        <f aca="false">IF(E2761="","",E2761-C2761)</f>
        <v>-13.5</v>
      </c>
      <c r="J2761" s="33" t="n">
        <f aca="false">IF(F2761="","",F2761-C2761)</f>
        <v>-10.25</v>
      </c>
      <c r="K2761" s="33" t="n">
        <f aca="false">IF(G2761="","",G2761-C2761)</f>
        <v>-11.7592414881096</v>
      </c>
      <c r="L2761" s="33" t="n">
        <f aca="false">IF(H2761="","",ABS(H2761))</f>
        <v>10</v>
      </c>
      <c r="M2761" s="33" t="n">
        <f aca="false">IF(I2761="","",ABS(I2761))</f>
        <v>13.5</v>
      </c>
      <c r="N2761" s="33" t="n">
        <f aca="false">IF(J2761="","",ABS(J2761))</f>
        <v>10.25</v>
      </c>
      <c r="O2761" s="33" t="n">
        <f aca="false">IF(K2761="","",ABS(K2761))</f>
        <v>11.7592414881096</v>
      </c>
      <c r="P2761" s="34" t="str">
        <f aca="false">IF(B2761&gt;=Eval_Start_Week,"YES","")</f>
        <v>YES</v>
      </c>
      <c r="Q2761" s="34" t="str">
        <f aca="false">IF(AND(B2761&gt;=Cal_Start_Week,B2761&lt;=Cal_End_Week),"YES","")</f>
        <v>YES</v>
      </c>
    </row>
    <row r="2762" customFormat="false" ht="15" hidden="false" customHeight="false" outlineLevel="0" collapsed="false">
      <c r="A2762" s="31" t="str">
        <f aca="false">Demand_History!C2762</f>
        <v>BED-007</v>
      </c>
      <c r="B2762" s="31" t="n">
        <f aca="false">Demand_History!A2762</f>
        <v>57</v>
      </c>
      <c r="C2762" s="32" t="n">
        <f aca="false">Demand_History!D2762</f>
        <v>14</v>
      </c>
      <c r="D2762" s="33" t="n">
        <f aca="false">IF(B2762&gt;=2,C2761,"")</f>
        <v>33</v>
      </c>
      <c r="E2762" s="33" t="n">
        <f aca="false">IF(B2762&gt;=5,AVERAGE(C2758:C2761),"")</f>
        <v>22.75</v>
      </c>
      <c r="F2762" s="33" t="n">
        <f aca="false">IF(B2762&gt;=9,AVERAGE(C2754:C2761),"")</f>
        <v>22.875</v>
      </c>
      <c r="G2762" s="33" t="n">
        <f aca="false">IF(B2762=1,"",IF(B2762=2,C2761,SES_Alpha*C2761+(1-SES_Alpha)*G2761))</f>
        <v>24.7685309583233</v>
      </c>
      <c r="H2762" s="33" t="n">
        <f aca="false">IF(D2762="","",D2762-C2762)</f>
        <v>19</v>
      </c>
      <c r="I2762" s="33" t="n">
        <f aca="false">IF(E2762="","",E2762-C2762)</f>
        <v>8.75</v>
      </c>
      <c r="J2762" s="33" t="n">
        <f aca="false">IF(F2762="","",F2762-C2762)</f>
        <v>8.875</v>
      </c>
      <c r="K2762" s="33" t="n">
        <f aca="false">IF(G2762="","",G2762-C2762)</f>
        <v>10.7685309583233</v>
      </c>
      <c r="L2762" s="33" t="n">
        <f aca="false">IF(H2762="","",ABS(H2762))</f>
        <v>19</v>
      </c>
      <c r="M2762" s="33" t="n">
        <f aca="false">IF(I2762="","",ABS(I2762))</f>
        <v>8.75</v>
      </c>
      <c r="N2762" s="33" t="n">
        <f aca="false">IF(J2762="","",ABS(J2762))</f>
        <v>8.875</v>
      </c>
      <c r="O2762" s="33" t="n">
        <f aca="false">IF(K2762="","",ABS(K2762))</f>
        <v>10.7685309583233</v>
      </c>
      <c r="P2762" s="34" t="str">
        <f aca="false">IF(B2762&gt;=Eval_Start_Week,"YES","")</f>
        <v>YES</v>
      </c>
      <c r="Q2762" s="34" t="str">
        <f aca="false">IF(AND(B2762&gt;=Cal_Start_Week,B2762&lt;=Cal_End_Week),"YES","")</f>
        <v>YES</v>
      </c>
    </row>
    <row r="2763" customFormat="false" ht="15" hidden="false" customHeight="false" outlineLevel="0" collapsed="false">
      <c r="A2763" s="31" t="str">
        <f aca="false">Demand_History!C2763</f>
        <v>BED-007</v>
      </c>
      <c r="B2763" s="31" t="n">
        <f aca="false">Demand_History!A2763</f>
        <v>58</v>
      </c>
      <c r="C2763" s="32" t="n">
        <f aca="false">Demand_History!D2763</f>
        <v>33</v>
      </c>
      <c r="D2763" s="33" t="n">
        <f aca="false">IF(B2763&gt;=2,C2762,"")</f>
        <v>14</v>
      </c>
      <c r="E2763" s="33" t="n">
        <f aca="false">IF(B2763&gt;=5,AVERAGE(C2759:C2762),"")</f>
        <v>22.5</v>
      </c>
      <c r="F2763" s="33" t="n">
        <f aca="false">IF(B2763&gt;=9,AVERAGE(C2755:C2762),"")</f>
        <v>20.25</v>
      </c>
      <c r="G2763" s="33" t="n">
        <f aca="false">IF(B2763=1,"",IF(B2763=2,C2762,SES_Alpha*C2762+(1-SES_Alpha)*G2762))</f>
        <v>21.5379716708263</v>
      </c>
      <c r="H2763" s="33" t="n">
        <f aca="false">IF(D2763="","",D2763-C2763)</f>
        <v>-19</v>
      </c>
      <c r="I2763" s="33" t="n">
        <f aca="false">IF(E2763="","",E2763-C2763)</f>
        <v>-10.5</v>
      </c>
      <c r="J2763" s="33" t="n">
        <f aca="false">IF(F2763="","",F2763-C2763)</f>
        <v>-12.75</v>
      </c>
      <c r="K2763" s="33" t="n">
        <f aca="false">IF(G2763="","",G2763-C2763)</f>
        <v>-11.4620283291737</v>
      </c>
      <c r="L2763" s="33" t="n">
        <f aca="false">IF(H2763="","",ABS(H2763))</f>
        <v>19</v>
      </c>
      <c r="M2763" s="33" t="n">
        <f aca="false">IF(I2763="","",ABS(I2763))</f>
        <v>10.5</v>
      </c>
      <c r="N2763" s="33" t="n">
        <f aca="false">IF(J2763="","",ABS(J2763))</f>
        <v>12.75</v>
      </c>
      <c r="O2763" s="33" t="n">
        <f aca="false">IF(K2763="","",ABS(K2763))</f>
        <v>11.4620283291737</v>
      </c>
      <c r="P2763" s="34" t="str">
        <f aca="false">IF(B2763&gt;=Eval_Start_Week,"YES","")</f>
        <v>YES</v>
      </c>
      <c r="Q2763" s="34" t="str">
        <f aca="false">IF(AND(B2763&gt;=Cal_Start_Week,B2763&lt;=Cal_End_Week),"YES","")</f>
        <v>YES</v>
      </c>
    </row>
    <row r="2764" customFormat="false" ht="15" hidden="false" customHeight="false" outlineLevel="0" collapsed="false">
      <c r="A2764" s="31" t="str">
        <f aca="false">Demand_History!C2764</f>
        <v>BED-007</v>
      </c>
      <c r="B2764" s="31" t="n">
        <f aca="false">Demand_History!A2764</f>
        <v>59</v>
      </c>
      <c r="C2764" s="32" t="n">
        <f aca="false">Demand_History!D2764</f>
        <v>40</v>
      </c>
      <c r="D2764" s="33" t="n">
        <f aca="false">IF(B2764&gt;=2,C2763,"")</f>
        <v>33</v>
      </c>
      <c r="E2764" s="33" t="n">
        <f aca="false">IF(B2764&gt;=5,AVERAGE(C2760:C2763),"")</f>
        <v>25.75</v>
      </c>
      <c r="F2764" s="33" t="n">
        <f aca="false">IF(B2764&gt;=9,AVERAGE(C2756:C2763),"")</f>
        <v>23.125</v>
      </c>
      <c r="G2764" s="33" t="n">
        <f aca="false">IF(B2764=1,"",IF(B2764=2,C2763,SES_Alpha*C2763+(1-SES_Alpha)*G2763))</f>
        <v>24.9765801695784</v>
      </c>
      <c r="H2764" s="33" t="n">
        <f aca="false">IF(D2764="","",D2764-C2764)</f>
        <v>-7</v>
      </c>
      <c r="I2764" s="33" t="n">
        <f aca="false">IF(E2764="","",E2764-C2764)</f>
        <v>-14.25</v>
      </c>
      <c r="J2764" s="33" t="n">
        <f aca="false">IF(F2764="","",F2764-C2764)</f>
        <v>-16.875</v>
      </c>
      <c r="K2764" s="33" t="n">
        <f aca="false">IF(G2764="","",G2764-C2764)</f>
        <v>-15.0234198304216</v>
      </c>
      <c r="L2764" s="33" t="n">
        <f aca="false">IF(H2764="","",ABS(H2764))</f>
        <v>7</v>
      </c>
      <c r="M2764" s="33" t="n">
        <f aca="false">IF(I2764="","",ABS(I2764))</f>
        <v>14.25</v>
      </c>
      <c r="N2764" s="33" t="n">
        <f aca="false">IF(J2764="","",ABS(J2764))</f>
        <v>16.875</v>
      </c>
      <c r="O2764" s="33" t="n">
        <f aca="false">IF(K2764="","",ABS(K2764))</f>
        <v>15.0234198304216</v>
      </c>
      <c r="P2764" s="34" t="str">
        <f aca="false">IF(B2764&gt;=Eval_Start_Week,"YES","")</f>
        <v>YES</v>
      </c>
      <c r="Q2764" s="34" t="str">
        <f aca="false">IF(AND(B2764&gt;=Cal_Start_Week,B2764&lt;=Cal_End_Week),"YES","")</f>
        <v>YES</v>
      </c>
    </row>
    <row r="2765" customFormat="false" ht="15" hidden="false" customHeight="false" outlineLevel="0" collapsed="false">
      <c r="A2765" s="31" t="str">
        <f aca="false">Demand_History!C2765</f>
        <v>BED-007</v>
      </c>
      <c r="B2765" s="31" t="n">
        <f aca="false">Demand_History!A2765</f>
        <v>60</v>
      </c>
      <c r="C2765" s="32" t="n">
        <f aca="false">Demand_History!D2765</f>
        <v>29</v>
      </c>
      <c r="D2765" s="33" t="n">
        <f aca="false">IF(B2765&gt;=2,C2764,"")</f>
        <v>40</v>
      </c>
      <c r="E2765" s="33" t="n">
        <f aca="false">IF(B2765&gt;=5,AVERAGE(C2761:C2764),"")</f>
        <v>30</v>
      </c>
      <c r="F2765" s="33" t="n">
        <f aca="false">IF(B2765&gt;=9,AVERAGE(C2757:C2764),"")</f>
        <v>24.75</v>
      </c>
      <c r="G2765" s="33" t="n">
        <f aca="false">IF(B2765=1,"",IF(B2765=2,C2764,SES_Alpha*C2764+(1-SES_Alpha)*G2764))</f>
        <v>29.4836061187049</v>
      </c>
      <c r="H2765" s="33" t="n">
        <f aca="false">IF(D2765="","",D2765-C2765)</f>
        <v>11</v>
      </c>
      <c r="I2765" s="33" t="n">
        <f aca="false">IF(E2765="","",E2765-C2765)</f>
        <v>1</v>
      </c>
      <c r="J2765" s="33" t="n">
        <f aca="false">IF(F2765="","",F2765-C2765)</f>
        <v>-4.25</v>
      </c>
      <c r="K2765" s="33" t="n">
        <f aca="false">IF(G2765="","",G2765-C2765)</f>
        <v>0.483606118704877</v>
      </c>
      <c r="L2765" s="33" t="n">
        <f aca="false">IF(H2765="","",ABS(H2765))</f>
        <v>11</v>
      </c>
      <c r="M2765" s="33" t="n">
        <f aca="false">IF(I2765="","",ABS(I2765))</f>
        <v>1</v>
      </c>
      <c r="N2765" s="33" t="n">
        <f aca="false">IF(J2765="","",ABS(J2765))</f>
        <v>4.25</v>
      </c>
      <c r="O2765" s="33" t="n">
        <f aca="false">IF(K2765="","",ABS(K2765))</f>
        <v>0.483606118704877</v>
      </c>
      <c r="P2765" s="34" t="str">
        <f aca="false">IF(B2765&gt;=Eval_Start_Week,"YES","")</f>
        <v>YES</v>
      </c>
      <c r="Q2765" s="34" t="str">
        <f aca="false">IF(AND(B2765&gt;=Cal_Start_Week,B2765&lt;=Cal_End_Week),"YES","")</f>
        <v>YES</v>
      </c>
    </row>
    <row r="2766" customFormat="false" ht="15" hidden="false" customHeight="false" outlineLevel="0" collapsed="false">
      <c r="A2766" s="31" t="str">
        <f aca="false">Demand_History!C2766</f>
        <v>BED-007</v>
      </c>
      <c r="B2766" s="31" t="n">
        <f aca="false">Demand_History!A2766</f>
        <v>61</v>
      </c>
      <c r="C2766" s="32" t="n">
        <f aca="false">Demand_History!D2766</f>
        <v>29</v>
      </c>
      <c r="D2766" s="33" t="n">
        <f aca="false">IF(B2766&gt;=2,C2765,"")</f>
        <v>29</v>
      </c>
      <c r="E2766" s="33" t="n">
        <f aca="false">IF(B2766&gt;=5,AVERAGE(C2762:C2765),"")</f>
        <v>29</v>
      </c>
      <c r="F2766" s="33" t="n">
        <f aca="false">IF(B2766&gt;=9,AVERAGE(C2758:C2765),"")</f>
        <v>25.875</v>
      </c>
      <c r="G2766" s="33" t="n">
        <f aca="false">IF(B2766=1,"",IF(B2766=2,C2765,SES_Alpha*C2765+(1-SES_Alpha)*G2765))</f>
        <v>29.3385242830934</v>
      </c>
      <c r="H2766" s="33" t="n">
        <f aca="false">IF(D2766="","",D2766-C2766)</f>
        <v>0</v>
      </c>
      <c r="I2766" s="33" t="n">
        <f aca="false">IF(E2766="","",E2766-C2766)</f>
        <v>0</v>
      </c>
      <c r="J2766" s="33" t="n">
        <f aca="false">IF(F2766="","",F2766-C2766)</f>
        <v>-3.125</v>
      </c>
      <c r="K2766" s="33" t="n">
        <f aca="false">IF(G2766="","",G2766-C2766)</f>
        <v>0.338524283093413</v>
      </c>
      <c r="L2766" s="33" t="n">
        <f aca="false">IF(H2766="","",ABS(H2766))</f>
        <v>0</v>
      </c>
      <c r="M2766" s="33" t="n">
        <f aca="false">IF(I2766="","",ABS(I2766))</f>
        <v>0</v>
      </c>
      <c r="N2766" s="33" t="n">
        <f aca="false">IF(J2766="","",ABS(J2766))</f>
        <v>3.125</v>
      </c>
      <c r="O2766" s="33" t="n">
        <f aca="false">IF(K2766="","",ABS(K2766))</f>
        <v>0.338524283093413</v>
      </c>
      <c r="P2766" s="34" t="str">
        <f aca="false">IF(B2766&gt;=Eval_Start_Week,"YES","")</f>
        <v>YES</v>
      </c>
      <c r="Q2766" s="34" t="str">
        <f aca="false">IF(AND(B2766&gt;=Cal_Start_Week,B2766&lt;=Cal_End_Week),"YES","")</f>
        <v>YES</v>
      </c>
    </row>
    <row r="2767" customFormat="false" ht="15" hidden="false" customHeight="false" outlineLevel="0" collapsed="false">
      <c r="A2767" s="31" t="str">
        <f aca="false">Demand_History!C2767</f>
        <v>BED-007</v>
      </c>
      <c r="B2767" s="31" t="n">
        <f aca="false">Demand_History!A2767</f>
        <v>62</v>
      </c>
      <c r="C2767" s="32" t="n">
        <f aca="false">Demand_History!D2767</f>
        <v>25</v>
      </c>
      <c r="D2767" s="33" t="n">
        <f aca="false">IF(B2767&gt;=2,C2766,"")</f>
        <v>29</v>
      </c>
      <c r="E2767" s="33" t="n">
        <f aca="false">IF(B2767&gt;=5,AVERAGE(C2763:C2766),"")</f>
        <v>32.75</v>
      </c>
      <c r="F2767" s="33" t="n">
        <f aca="false">IF(B2767&gt;=9,AVERAGE(C2759:C2766),"")</f>
        <v>27.625</v>
      </c>
      <c r="G2767" s="33" t="n">
        <f aca="false">IF(B2767=1,"",IF(B2767=2,C2766,SES_Alpha*C2766+(1-SES_Alpha)*G2766))</f>
        <v>29.2369669981654</v>
      </c>
      <c r="H2767" s="33" t="n">
        <f aca="false">IF(D2767="","",D2767-C2767)</f>
        <v>4</v>
      </c>
      <c r="I2767" s="33" t="n">
        <f aca="false">IF(E2767="","",E2767-C2767)</f>
        <v>7.75</v>
      </c>
      <c r="J2767" s="33" t="n">
        <f aca="false">IF(F2767="","",F2767-C2767)</f>
        <v>2.625</v>
      </c>
      <c r="K2767" s="33" t="n">
        <f aca="false">IF(G2767="","",G2767-C2767)</f>
        <v>4.23696699816539</v>
      </c>
      <c r="L2767" s="33" t="n">
        <f aca="false">IF(H2767="","",ABS(H2767))</f>
        <v>4</v>
      </c>
      <c r="M2767" s="33" t="n">
        <f aca="false">IF(I2767="","",ABS(I2767))</f>
        <v>7.75</v>
      </c>
      <c r="N2767" s="33" t="n">
        <f aca="false">IF(J2767="","",ABS(J2767))</f>
        <v>2.625</v>
      </c>
      <c r="O2767" s="33" t="n">
        <f aca="false">IF(K2767="","",ABS(K2767))</f>
        <v>4.23696699816539</v>
      </c>
      <c r="P2767" s="34" t="str">
        <f aca="false">IF(B2767&gt;=Eval_Start_Week,"YES","")</f>
        <v>YES</v>
      </c>
      <c r="Q2767" s="34" t="str">
        <f aca="false">IF(AND(B2767&gt;=Cal_Start_Week,B2767&lt;=Cal_End_Week),"YES","")</f>
        <v>YES</v>
      </c>
    </row>
    <row r="2768" customFormat="false" ht="15" hidden="false" customHeight="false" outlineLevel="0" collapsed="false">
      <c r="A2768" s="31" t="str">
        <f aca="false">Demand_History!C2768</f>
        <v>BED-007</v>
      </c>
      <c r="B2768" s="31" t="n">
        <f aca="false">Demand_History!A2768</f>
        <v>63</v>
      </c>
      <c r="C2768" s="32" t="n">
        <f aca="false">Demand_History!D2768</f>
        <v>16</v>
      </c>
      <c r="D2768" s="33" t="n">
        <f aca="false">IF(B2768&gt;=2,C2767,"")</f>
        <v>25</v>
      </c>
      <c r="E2768" s="33" t="n">
        <f aca="false">IF(B2768&gt;=5,AVERAGE(C2764:C2767),"")</f>
        <v>30.75</v>
      </c>
      <c r="F2768" s="33" t="n">
        <f aca="false">IF(B2768&gt;=9,AVERAGE(C2760:C2767),"")</f>
        <v>28.25</v>
      </c>
      <c r="G2768" s="33" t="n">
        <f aca="false">IF(B2768=1,"",IF(B2768=2,C2767,SES_Alpha*C2767+(1-SES_Alpha)*G2767))</f>
        <v>27.9658768987158</v>
      </c>
      <c r="H2768" s="33" t="n">
        <f aca="false">IF(D2768="","",D2768-C2768)</f>
        <v>9</v>
      </c>
      <c r="I2768" s="33" t="n">
        <f aca="false">IF(E2768="","",E2768-C2768)</f>
        <v>14.75</v>
      </c>
      <c r="J2768" s="33" t="n">
        <f aca="false">IF(F2768="","",F2768-C2768)</f>
        <v>12.25</v>
      </c>
      <c r="K2768" s="33" t="n">
        <f aca="false">IF(G2768="","",G2768-C2768)</f>
        <v>11.9658768987158</v>
      </c>
      <c r="L2768" s="33" t="n">
        <f aca="false">IF(H2768="","",ABS(H2768))</f>
        <v>9</v>
      </c>
      <c r="M2768" s="33" t="n">
        <f aca="false">IF(I2768="","",ABS(I2768))</f>
        <v>14.75</v>
      </c>
      <c r="N2768" s="33" t="n">
        <f aca="false">IF(J2768="","",ABS(J2768))</f>
        <v>12.25</v>
      </c>
      <c r="O2768" s="33" t="n">
        <f aca="false">IF(K2768="","",ABS(K2768))</f>
        <v>11.9658768987158</v>
      </c>
      <c r="P2768" s="34" t="str">
        <f aca="false">IF(B2768&gt;=Eval_Start_Week,"YES","")</f>
        <v>YES</v>
      </c>
      <c r="Q2768" s="34" t="str">
        <f aca="false">IF(AND(B2768&gt;=Cal_Start_Week,B2768&lt;=Cal_End_Week),"YES","")</f>
        <v>YES</v>
      </c>
    </row>
    <row r="2769" customFormat="false" ht="15" hidden="false" customHeight="false" outlineLevel="0" collapsed="false">
      <c r="A2769" s="31" t="str">
        <f aca="false">Demand_History!C2769</f>
        <v>BED-007</v>
      </c>
      <c r="B2769" s="31" t="n">
        <f aca="false">Demand_History!A2769</f>
        <v>64</v>
      </c>
      <c r="C2769" s="32" t="n">
        <f aca="false">Demand_History!D2769</f>
        <v>29</v>
      </c>
      <c r="D2769" s="33" t="n">
        <f aca="false">IF(B2769&gt;=2,C2768,"")</f>
        <v>16</v>
      </c>
      <c r="E2769" s="33" t="n">
        <f aca="false">IF(B2769&gt;=5,AVERAGE(C2765:C2768),"")</f>
        <v>24.75</v>
      </c>
      <c r="F2769" s="33" t="n">
        <f aca="false">IF(B2769&gt;=9,AVERAGE(C2761:C2768),"")</f>
        <v>27.375</v>
      </c>
      <c r="G2769" s="33" t="n">
        <f aca="false">IF(B2769=1,"",IF(B2769=2,C2768,SES_Alpha*C2768+(1-SES_Alpha)*G2768))</f>
        <v>24.376113829101</v>
      </c>
      <c r="H2769" s="33" t="n">
        <f aca="false">IF(D2769="","",D2769-C2769)</f>
        <v>-13</v>
      </c>
      <c r="I2769" s="33" t="n">
        <f aca="false">IF(E2769="","",E2769-C2769)</f>
        <v>-4.25</v>
      </c>
      <c r="J2769" s="33" t="n">
        <f aca="false">IF(F2769="","",F2769-C2769)</f>
        <v>-1.625</v>
      </c>
      <c r="K2769" s="33" t="n">
        <f aca="false">IF(G2769="","",G2769-C2769)</f>
        <v>-4.62388617089896</v>
      </c>
      <c r="L2769" s="33" t="n">
        <f aca="false">IF(H2769="","",ABS(H2769))</f>
        <v>13</v>
      </c>
      <c r="M2769" s="33" t="n">
        <f aca="false">IF(I2769="","",ABS(I2769))</f>
        <v>4.25</v>
      </c>
      <c r="N2769" s="33" t="n">
        <f aca="false">IF(J2769="","",ABS(J2769))</f>
        <v>1.625</v>
      </c>
      <c r="O2769" s="33" t="n">
        <f aca="false">IF(K2769="","",ABS(K2769))</f>
        <v>4.62388617089896</v>
      </c>
      <c r="P2769" s="34" t="str">
        <f aca="false">IF(B2769&gt;=Eval_Start_Week,"YES","")</f>
        <v>YES</v>
      </c>
      <c r="Q2769" s="34" t="str">
        <f aca="false">IF(AND(B2769&gt;=Cal_Start_Week,B2769&lt;=Cal_End_Week),"YES","")</f>
        <v>YES</v>
      </c>
    </row>
    <row r="2770" customFormat="false" ht="15" hidden="false" customHeight="false" outlineLevel="0" collapsed="false">
      <c r="A2770" s="31" t="str">
        <f aca="false">Demand_History!C2770</f>
        <v>BED-007</v>
      </c>
      <c r="B2770" s="31" t="n">
        <f aca="false">Demand_History!A2770</f>
        <v>65</v>
      </c>
      <c r="C2770" s="32" t="n">
        <f aca="false">Demand_History!D2770</f>
        <v>28</v>
      </c>
      <c r="D2770" s="33" t="n">
        <f aca="false">IF(B2770&gt;=2,C2769,"")</f>
        <v>29</v>
      </c>
      <c r="E2770" s="33" t="n">
        <f aca="false">IF(B2770&gt;=5,AVERAGE(C2766:C2769),"")</f>
        <v>24.75</v>
      </c>
      <c r="F2770" s="33" t="n">
        <f aca="false">IF(B2770&gt;=9,AVERAGE(C2762:C2769),"")</f>
        <v>26.875</v>
      </c>
      <c r="G2770" s="33" t="n">
        <f aca="false">IF(B2770=1,"",IF(B2770=2,C2769,SES_Alpha*C2769+(1-SES_Alpha)*G2769))</f>
        <v>25.7632796803707</v>
      </c>
      <c r="H2770" s="33" t="n">
        <f aca="false">IF(D2770="","",D2770-C2770)</f>
        <v>1</v>
      </c>
      <c r="I2770" s="33" t="n">
        <f aca="false">IF(E2770="","",E2770-C2770)</f>
        <v>-3.25</v>
      </c>
      <c r="J2770" s="33" t="n">
        <f aca="false">IF(F2770="","",F2770-C2770)</f>
        <v>-1.125</v>
      </c>
      <c r="K2770" s="33" t="n">
        <f aca="false">IF(G2770="","",G2770-C2770)</f>
        <v>-2.23672031962928</v>
      </c>
      <c r="L2770" s="33" t="n">
        <f aca="false">IF(H2770="","",ABS(H2770))</f>
        <v>1</v>
      </c>
      <c r="M2770" s="33" t="n">
        <f aca="false">IF(I2770="","",ABS(I2770))</f>
        <v>3.25</v>
      </c>
      <c r="N2770" s="33" t="n">
        <f aca="false">IF(J2770="","",ABS(J2770))</f>
        <v>1.125</v>
      </c>
      <c r="O2770" s="33" t="n">
        <f aca="false">IF(K2770="","",ABS(K2770))</f>
        <v>2.23672031962928</v>
      </c>
      <c r="P2770" s="34" t="str">
        <f aca="false">IF(B2770&gt;=Eval_Start_Week,"YES","")</f>
        <v>YES</v>
      </c>
      <c r="Q2770" s="34" t="str">
        <f aca="false">IF(AND(B2770&gt;=Cal_Start_Week,B2770&lt;=Cal_End_Week),"YES","")</f>
        <v>YES</v>
      </c>
    </row>
    <row r="2771" customFormat="false" ht="15" hidden="false" customHeight="false" outlineLevel="0" collapsed="false">
      <c r="A2771" s="31" t="str">
        <f aca="false">Demand_History!C2771</f>
        <v>BED-007</v>
      </c>
      <c r="B2771" s="31" t="n">
        <f aca="false">Demand_History!A2771</f>
        <v>66</v>
      </c>
      <c r="C2771" s="32" t="n">
        <f aca="false">Demand_History!D2771</f>
        <v>30</v>
      </c>
      <c r="D2771" s="33" t="n">
        <f aca="false">IF(B2771&gt;=2,C2770,"")</f>
        <v>28</v>
      </c>
      <c r="E2771" s="33" t="n">
        <f aca="false">IF(B2771&gt;=5,AVERAGE(C2767:C2770),"")</f>
        <v>24.5</v>
      </c>
      <c r="F2771" s="33" t="n">
        <f aca="false">IF(B2771&gt;=9,AVERAGE(C2763:C2770),"")</f>
        <v>28.625</v>
      </c>
      <c r="G2771" s="33" t="n">
        <f aca="false">IF(B2771=1,"",IF(B2771=2,C2770,SES_Alpha*C2770+(1-SES_Alpha)*G2770))</f>
        <v>26.4342957762595</v>
      </c>
      <c r="H2771" s="33" t="n">
        <f aca="false">IF(D2771="","",D2771-C2771)</f>
        <v>-2</v>
      </c>
      <c r="I2771" s="33" t="n">
        <f aca="false">IF(E2771="","",E2771-C2771)</f>
        <v>-5.5</v>
      </c>
      <c r="J2771" s="33" t="n">
        <f aca="false">IF(F2771="","",F2771-C2771)</f>
        <v>-1.375</v>
      </c>
      <c r="K2771" s="33" t="n">
        <f aca="false">IF(G2771="","",G2771-C2771)</f>
        <v>-3.5657042237405</v>
      </c>
      <c r="L2771" s="33" t="n">
        <f aca="false">IF(H2771="","",ABS(H2771))</f>
        <v>2</v>
      </c>
      <c r="M2771" s="33" t="n">
        <f aca="false">IF(I2771="","",ABS(I2771))</f>
        <v>5.5</v>
      </c>
      <c r="N2771" s="33" t="n">
        <f aca="false">IF(J2771="","",ABS(J2771))</f>
        <v>1.375</v>
      </c>
      <c r="O2771" s="33" t="n">
        <f aca="false">IF(K2771="","",ABS(K2771))</f>
        <v>3.5657042237405</v>
      </c>
      <c r="P2771" s="34" t="str">
        <f aca="false">IF(B2771&gt;=Eval_Start_Week,"YES","")</f>
        <v>YES</v>
      </c>
      <c r="Q2771" s="34" t="str">
        <f aca="false">IF(AND(B2771&gt;=Cal_Start_Week,B2771&lt;=Cal_End_Week),"YES","")</f>
        <v>YES</v>
      </c>
    </row>
    <row r="2772" customFormat="false" ht="15" hidden="false" customHeight="false" outlineLevel="0" collapsed="false">
      <c r="A2772" s="31" t="str">
        <f aca="false">Demand_History!C2772</f>
        <v>BED-007</v>
      </c>
      <c r="B2772" s="31" t="n">
        <f aca="false">Demand_History!A2772</f>
        <v>67</v>
      </c>
      <c r="C2772" s="32" t="n">
        <f aca="false">Demand_History!D2772</f>
        <v>44</v>
      </c>
      <c r="D2772" s="33" t="n">
        <f aca="false">IF(B2772&gt;=2,C2771,"")</f>
        <v>30</v>
      </c>
      <c r="E2772" s="33" t="n">
        <f aca="false">IF(B2772&gt;=5,AVERAGE(C2768:C2771),"")</f>
        <v>25.75</v>
      </c>
      <c r="F2772" s="33" t="n">
        <f aca="false">IF(B2772&gt;=9,AVERAGE(C2764:C2771),"")</f>
        <v>28.25</v>
      </c>
      <c r="G2772" s="33" t="n">
        <f aca="false">IF(B2772=1,"",IF(B2772=2,C2771,SES_Alpha*C2771+(1-SES_Alpha)*G2771))</f>
        <v>27.5040070433817</v>
      </c>
      <c r="H2772" s="33" t="n">
        <f aca="false">IF(D2772="","",D2772-C2772)</f>
        <v>-14</v>
      </c>
      <c r="I2772" s="33" t="n">
        <f aca="false">IF(E2772="","",E2772-C2772)</f>
        <v>-18.25</v>
      </c>
      <c r="J2772" s="33" t="n">
        <f aca="false">IF(F2772="","",F2772-C2772)</f>
        <v>-15.75</v>
      </c>
      <c r="K2772" s="33" t="n">
        <f aca="false">IF(G2772="","",G2772-C2772)</f>
        <v>-16.4959929566184</v>
      </c>
      <c r="L2772" s="33" t="n">
        <f aca="false">IF(H2772="","",ABS(H2772))</f>
        <v>14</v>
      </c>
      <c r="M2772" s="33" t="n">
        <f aca="false">IF(I2772="","",ABS(I2772))</f>
        <v>18.25</v>
      </c>
      <c r="N2772" s="33" t="n">
        <f aca="false">IF(J2772="","",ABS(J2772))</f>
        <v>15.75</v>
      </c>
      <c r="O2772" s="33" t="n">
        <f aca="false">IF(K2772="","",ABS(K2772))</f>
        <v>16.4959929566184</v>
      </c>
      <c r="P2772" s="34" t="str">
        <f aca="false">IF(B2772&gt;=Eval_Start_Week,"YES","")</f>
        <v>YES</v>
      </c>
      <c r="Q2772" s="34" t="str">
        <f aca="false">IF(AND(B2772&gt;=Cal_Start_Week,B2772&lt;=Cal_End_Week),"YES","")</f>
        <v>YES</v>
      </c>
    </row>
    <row r="2773" customFormat="false" ht="15" hidden="false" customHeight="false" outlineLevel="0" collapsed="false">
      <c r="A2773" s="31" t="str">
        <f aca="false">Demand_History!C2773</f>
        <v>BED-007</v>
      </c>
      <c r="B2773" s="31" t="n">
        <f aca="false">Demand_History!A2773</f>
        <v>68</v>
      </c>
      <c r="C2773" s="32" t="n">
        <f aca="false">Demand_History!D2773</f>
        <v>30</v>
      </c>
      <c r="D2773" s="33" t="n">
        <f aca="false">IF(B2773&gt;=2,C2772,"")</f>
        <v>44</v>
      </c>
      <c r="E2773" s="33" t="n">
        <f aca="false">IF(B2773&gt;=5,AVERAGE(C2769:C2772),"")</f>
        <v>32.75</v>
      </c>
      <c r="F2773" s="33" t="n">
        <f aca="false">IF(B2773&gt;=9,AVERAGE(C2765:C2772),"")</f>
        <v>28.75</v>
      </c>
      <c r="G2773" s="33" t="n">
        <f aca="false">IF(B2773=1,"",IF(B2773=2,C2772,SES_Alpha*C2772+(1-SES_Alpha)*G2772))</f>
        <v>32.4528049303672</v>
      </c>
      <c r="H2773" s="33" t="n">
        <f aca="false">IF(D2773="","",D2773-C2773)</f>
        <v>14</v>
      </c>
      <c r="I2773" s="33" t="n">
        <f aca="false">IF(E2773="","",E2773-C2773)</f>
        <v>2.75</v>
      </c>
      <c r="J2773" s="33" t="n">
        <f aca="false">IF(F2773="","",F2773-C2773)</f>
        <v>-1.25</v>
      </c>
      <c r="K2773" s="33" t="n">
        <f aca="false">IF(G2773="","",G2773-C2773)</f>
        <v>2.45280493036715</v>
      </c>
      <c r="L2773" s="33" t="n">
        <f aca="false">IF(H2773="","",ABS(H2773))</f>
        <v>14</v>
      </c>
      <c r="M2773" s="33" t="n">
        <f aca="false">IF(I2773="","",ABS(I2773))</f>
        <v>2.75</v>
      </c>
      <c r="N2773" s="33" t="n">
        <f aca="false">IF(J2773="","",ABS(J2773))</f>
        <v>1.25</v>
      </c>
      <c r="O2773" s="33" t="n">
        <f aca="false">IF(K2773="","",ABS(K2773))</f>
        <v>2.45280493036715</v>
      </c>
      <c r="P2773" s="34" t="str">
        <f aca="false">IF(B2773&gt;=Eval_Start_Week,"YES","")</f>
        <v>YES</v>
      </c>
      <c r="Q2773" s="34" t="str">
        <f aca="false">IF(AND(B2773&gt;=Cal_Start_Week,B2773&lt;=Cal_End_Week),"YES","")</f>
        <v>YES</v>
      </c>
    </row>
    <row r="2774" customFormat="false" ht="15" hidden="false" customHeight="false" outlineLevel="0" collapsed="false">
      <c r="A2774" s="31" t="str">
        <f aca="false">Demand_History!C2774</f>
        <v>BED-007</v>
      </c>
      <c r="B2774" s="31" t="n">
        <f aca="false">Demand_History!A2774</f>
        <v>69</v>
      </c>
      <c r="C2774" s="32" t="n">
        <f aca="false">Demand_History!D2774</f>
        <v>28</v>
      </c>
      <c r="D2774" s="33" t="n">
        <f aca="false">IF(B2774&gt;=2,C2773,"")</f>
        <v>30</v>
      </c>
      <c r="E2774" s="33" t="n">
        <f aca="false">IF(B2774&gt;=5,AVERAGE(C2770:C2773),"")</f>
        <v>33</v>
      </c>
      <c r="F2774" s="33" t="n">
        <f aca="false">IF(B2774&gt;=9,AVERAGE(C2766:C2773),"")</f>
        <v>28.875</v>
      </c>
      <c r="G2774" s="33" t="n">
        <f aca="false">IF(B2774=1,"",IF(B2774=2,C2773,SES_Alpha*C2773+(1-SES_Alpha)*G2773))</f>
        <v>31.716963451257</v>
      </c>
      <c r="H2774" s="33" t="n">
        <f aca="false">IF(D2774="","",D2774-C2774)</f>
        <v>2</v>
      </c>
      <c r="I2774" s="33" t="n">
        <f aca="false">IF(E2774="","",E2774-C2774)</f>
        <v>5</v>
      </c>
      <c r="J2774" s="33" t="n">
        <f aca="false">IF(F2774="","",F2774-C2774)</f>
        <v>0.875</v>
      </c>
      <c r="K2774" s="33" t="n">
        <f aca="false">IF(G2774="","",G2774-C2774)</f>
        <v>3.71696345125701</v>
      </c>
      <c r="L2774" s="33" t="n">
        <f aca="false">IF(H2774="","",ABS(H2774))</f>
        <v>2</v>
      </c>
      <c r="M2774" s="33" t="n">
        <f aca="false">IF(I2774="","",ABS(I2774))</f>
        <v>5</v>
      </c>
      <c r="N2774" s="33" t="n">
        <f aca="false">IF(J2774="","",ABS(J2774))</f>
        <v>0.875</v>
      </c>
      <c r="O2774" s="33" t="n">
        <f aca="false">IF(K2774="","",ABS(K2774))</f>
        <v>3.71696345125701</v>
      </c>
      <c r="P2774" s="34" t="str">
        <f aca="false">IF(B2774&gt;=Eval_Start_Week,"YES","")</f>
        <v>YES</v>
      </c>
      <c r="Q2774" s="34" t="str">
        <f aca="false">IF(AND(B2774&gt;=Cal_Start_Week,B2774&lt;=Cal_End_Week),"YES","")</f>
        <v>YES</v>
      </c>
    </row>
    <row r="2775" customFormat="false" ht="15" hidden="false" customHeight="false" outlineLevel="0" collapsed="false">
      <c r="A2775" s="31" t="str">
        <f aca="false">Demand_History!C2775</f>
        <v>BED-007</v>
      </c>
      <c r="B2775" s="31" t="n">
        <f aca="false">Demand_History!A2775</f>
        <v>70</v>
      </c>
      <c r="C2775" s="32" t="n">
        <f aca="false">Demand_History!D2775</f>
        <v>36</v>
      </c>
      <c r="D2775" s="33" t="n">
        <f aca="false">IF(B2775&gt;=2,C2774,"")</f>
        <v>28</v>
      </c>
      <c r="E2775" s="33" t="n">
        <f aca="false">IF(B2775&gt;=5,AVERAGE(C2771:C2774),"")</f>
        <v>33</v>
      </c>
      <c r="F2775" s="33" t="n">
        <f aca="false">IF(B2775&gt;=9,AVERAGE(C2767:C2774),"")</f>
        <v>28.75</v>
      </c>
      <c r="G2775" s="33" t="n">
        <f aca="false">IF(B2775=1,"",IF(B2775=2,C2774,SES_Alpha*C2774+(1-SES_Alpha)*G2774))</f>
        <v>30.6018744158799</v>
      </c>
      <c r="H2775" s="33" t="n">
        <f aca="false">IF(D2775="","",D2775-C2775)</f>
        <v>-8</v>
      </c>
      <c r="I2775" s="33" t="n">
        <f aca="false">IF(E2775="","",E2775-C2775)</f>
        <v>-3</v>
      </c>
      <c r="J2775" s="33" t="n">
        <f aca="false">IF(F2775="","",F2775-C2775)</f>
        <v>-7.25</v>
      </c>
      <c r="K2775" s="33" t="n">
        <f aca="false">IF(G2775="","",G2775-C2775)</f>
        <v>-5.3981255841201</v>
      </c>
      <c r="L2775" s="33" t="n">
        <f aca="false">IF(H2775="","",ABS(H2775))</f>
        <v>8</v>
      </c>
      <c r="M2775" s="33" t="n">
        <f aca="false">IF(I2775="","",ABS(I2775))</f>
        <v>3</v>
      </c>
      <c r="N2775" s="33" t="n">
        <f aca="false">IF(J2775="","",ABS(J2775))</f>
        <v>7.25</v>
      </c>
      <c r="O2775" s="33" t="n">
        <f aca="false">IF(K2775="","",ABS(K2775))</f>
        <v>5.3981255841201</v>
      </c>
      <c r="P2775" s="34" t="str">
        <f aca="false">IF(B2775&gt;=Eval_Start_Week,"YES","")</f>
        <v>YES</v>
      </c>
      <c r="Q2775" s="34" t="str">
        <f aca="false">IF(AND(B2775&gt;=Cal_Start_Week,B2775&lt;=Cal_End_Week),"YES","")</f>
        <v>YES</v>
      </c>
    </row>
    <row r="2776" customFormat="false" ht="15" hidden="false" customHeight="false" outlineLevel="0" collapsed="false">
      <c r="A2776" s="31" t="str">
        <f aca="false">Demand_History!C2776</f>
        <v>BED-007</v>
      </c>
      <c r="B2776" s="31" t="n">
        <f aca="false">Demand_History!A2776</f>
        <v>71</v>
      </c>
      <c r="C2776" s="32" t="n">
        <f aca="false">Demand_History!D2776</f>
        <v>15</v>
      </c>
      <c r="D2776" s="33" t="n">
        <f aca="false">IF(B2776&gt;=2,C2775,"")</f>
        <v>36</v>
      </c>
      <c r="E2776" s="33" t="n">
        <f aca="false">IF(B2776&gt;=5,AVERAGE(C2772:C2775),"")</f>
        <v>34.5</v>
      </c>
      <c r="F2776" s="33" t="n">
        <f aca="false">IF(B2776&gt;=9,AVERAGE(C2768:C2775),"")</f>
        <v>30.125</v>
      </c>
      <c r="G2776" s="33" t="n">
        <f aca="false">IF(B2776=1,"",IF(B2776=2,C2775,SES_Alpha*C2775+(1-SES_Alpha)*G2775))</f>
        <v>32.2213120911159</v>
      </c>
      <c r="H2776" s="33" t="n">
        <f aca="false">IF(D2776="","",D2776-C2776)</f>
        <v>21</v>
      </c>
      <c r="I2776" s="33" t="n">
        <f aca="false">IF(E2776="","",E2776-C2776)</f>
        <v>19.5</v>
      </c>
      <c r="J2776" s="33" t="n">
        <f aca="false">IF(F2776="","",F2776-C2776)</f>
        <v>15.125</v>
      </c>
      <c r="K2776" s="33" t="n">
        <f aca="false">IF(G2776="","",G2776-C2776)</f>
        <v>17.2213120911159</v>
      </c>
      <c r="L2776" s="33" t="n">
        <f aca="false">IF(H2776="","",ABS(H2776))</f>
        <v>21</v>
      </c>
      <c r="M2776" s="33" t="n">
        <f aca="false">IF(I2776="","",ABS(I2776))</f>
        <v>19.5</v>
      </c>
      <c r="N2776" s="33" t="n">
        <f aca="false">IF(J2776="","",ABS(J2776))</f>
        <v>15.125</v>
      </c>
      <c r="O2776" s="33" t="n">
        <f aca="false">IF(K2776="","",ABS(K2776))</f>
        <v>17.2213120911159</v>
      </c>
      <c r="P2776" s="34" t="str">
        <f aca="false">IF(B2776&gt;=Eval_Start_Week,"YES","")</f>
        <v>YES</v>
      </c>
      <c r="Q2776" s="34" t="str">
        <f aca="false">IF(AND(B2776&gt;=Cal_Start_Week,B2776&lt;=Cal_End_Week),"YES","")</f>
        <v>YES</v>
      </c>
    </row>
    <row r="2777" customFormat="false" ht="15" hidden="false" customHeight="false" outlineLevel="0" collapsed="false">
      <c r="A2777" s="31" t="str">
        <f aca="false">Demand_History!C2777</f>
        <v>BED-007</v>
      </c>
      <c r="B2777" s="31" t="n">
        <f aca="false">Demand_History!A2777</f>
        <v>72</v>
      </c>
      <c r="C2777" s="32" t="n">
        <f aca="false">Demand_History!D2777</f>
        <v>17</v>
      </c>
      <c r="D2777" s="33" t="n">
        <f aca="false">IF(B2777&gt;=2,C2776,"")</f>
        <v>15</v>
      </c>
      <c r="E2777" s="33" t="n">
        <f aca="false">IF(B2777&gt;=5,AVERAGE(C2773:C2776),"")</f>
        <v>27.25</v>
      </c>
      <c r="F2777" s="33" t="n">
        <f aca="false">IF(B2777&gt;=9,AVERAGE(C2769:C2776),"")</f>
        <v>30</v>
      </c>
      <c r="G2777" s="33" t="n">
        <f aca="false">IF(B2777=1,"",IF(B2777=2,C2776,SES_Alpha*C2776+(1-SES_Alpha)*G2776))</f>
        <v>27.0549184637812</v>
      </c>
      <c r="H2777" s="33" t="n">
        <f aca="false">IF(D2777="","",D2777-C2777)</f>
        <v>-2</v>
      </c>
      <c r="I2777" s="33" t="n">
        <f aca="false">IF(E2777="","",E2777-C2777)</f>
        <v>10.25</v>
      </c>
      <c r="J2777" s="33" t="n">
        <f aca="false">IF(F2777="","",F2777-C2777)</f>
        <v>13</v>
      </c>
      <c r="K2777" s="33" t="n">
        <f aca="false">IF(G2777="","",G2777-C2777)</f>
        <v>10.0549184637812</v>
      </c>
      <c r="L2777" s="33" t="n">
        <f aca="false">IF(H2777="","",ABS(H2777))</f>
        <v>2</v>
      </c>
      <c r="M2777" s="33" t="n">
        <f aca="false">IF(I2777="","",ABS(I2777))</f>
        <v>10.25</v>
      </c>
      <c r="N2777" s="33" t="n">
        <f aca="false">IF(J2777="","",ABS(J2777))</f>
        <v>13</v>
      </c>
      <c r="O2777" s="33" t="n">
        <f aca="false">IF(K2777="","",ABS(K2777))</f>
        <v>10.0549184637812</v>
      </c>
      <c r="P2777" s="34" t="str">
        <f aca="false">IF(B2777&gt;=Eval_Start_Week,"YES","")</f>
        <v>YES</v>
      </c>
      <c r="Q2777" s="34" t="str">
        <f aca="false">IF(AND(B2777&gt;=Cal_Start_Week,B2777&lt;=Cal_End_Week),"YES","")</f>
        <v>YES</v>
      </c>
    </row>
    <row r="2778" customFormat="false" ht="15" hidden="false" customHeight="false" outlineLevel="0" collapsed="false">
      <c r="A2778" s="31" t="str">
        <f aca="false">Demand_History!C2778</f>
        <v>BED-007</v>
      </c>
      <c r="B2778" s="31" t="n">
        <f aca="false">Demand_History!A2778</f>
        <v>73</v>
      </c>
      <c r="C2778" s="32" t="n">
        <f aca="false">Demand_History!D2778</f>
        <v>22</v>
      </c>
      <c r="D2778" s="33" t="n">
        <f aca="false">IF(B2778&gt;=2,C2777,"")</f>
        <v>17</v>
      </c>
      <c r="E2778" s="33" t="n">
        <f aca="false">IF(B2778&gt;=5,AVERAGE(C2774:C2777),"")</f>
        <v>24</v>
      </c>
      <c r="F2778" s="33" t="n">
        <f aca="false">IF(B2778&gt;=9,AVERAGE(C2770:C2777),"")</f>
        <v>28.5</v>
      </c>
      <c r="G2778" s="33" t="n">
        <f aca="false">IF(B2778=1,"",IF(B2778=2,C2777,SES_Alpha*C2777+(1-SES_Alpha)*G2777))</f>
        <v>24.0384429246468</v>
      </c>
      <c r="H2778" s="33" t="n">
        <f aca="false">IF(D2778="","",D2778-C2778)</f>
        <v>-5</v>
      </c>
      <c r="I2778" s="33" t="n">
        <f aca="false">IF(E2778="","",E2778-C2778)</f>
        <v>2</v>
      </c>
      <c r="J2778" s="33" t="n">
        <f aca="false">IF(F2778="","",F2778-C2778)</f>
        <v>6.5</v>
      </c>
      <c r="K2778" s="33" t="n">
        <f aca="false">IF(G2778="","",G2778-C2778)</f>
        <v>2.03844292464681</v>
      </c>
      <c r="L2778" s="33" t="n">
        <f aca="false">IF(H2778="","",ABS(H2778))</f>
        <v>5</v>
      </c>
      <c r="M2778" s="33" t="n">
        <f aca="false">IF(I2778="","",ABS(I2778))</f>
        <v>2</v>
      </c>
      <c r="N2778" s="33" t="n">
        <f aca="false">IF(J2778="","",ABS(J2778))</f>
        <v>6.5</v>
      </c>
      <c r="O2778" s="33" t="n">
        <f aca="false">IF(K2778="","",ABS(K2778))</f>
        <v>2.03844292464681</v>
      </c>
      <c r="P2778" s="34" t="str">
        <f aca="false">IF(B2778&gt;=Eval_Start_Week,"YES","")</f>
        <v>YES</v>
      </c>
      <c r="Q2778" s="34" t="str">
        <f aca="false">IF(AND(B2778&gt;=Cal_Start_Week,B2778&lt;=Cal_End_Week),"YES","")</f>
        <v>YES</v>
      </c>
    </row>
    <row r="2779" customFormat="false" ht="15" hidden="false" customHeight="false" outlineLevel="0" collapsed="false">
      <c r="A2779" s="31" t="str">
        <f aca="false">Demand_History!C2779</f>
        <v>BED-007</v>
      </c>
      <c r="B2779" s="31" t="n">
        <f aca="false">Demand_History!A2779</f>
        <v>74</v>
      </c>
      <c r="C2779" s="32" t="n">
        <f aca="false">Demand_History!D2779</f>
        <v>20</v>
      </c>
      <c r="D2779" s="33" t="n">
        <f aca="false">IF(B2779&gt;=2,C2778,"")</f>
        <v>22</v>
      </c>
      <c r="E2779" s="33" t="n">
        <f aca="false">IF(B2779&gt;=5,AVERAGE(C2775:C2778),"")</f>
        <v>22.5</v>
      </c>
      <c r="F2779" s="33" t="n">
        <f aca="false">IF(B2779&gt;=9,AVERAGE(C2771:C2778),"")</f>
        <v>27.75</v>
      </c>
      <c r="G2779" s="33" t="n">
        <f aca="false">IF(B2779=1,"",IF(B2779=2,C2778,SES_Alpha*C2778+(1-SES_Alpha)*G2778))</f>
        <v>23.4269100472528</v>
      </c>
      <c r="H2779" s="33" t="n">
        <f aca="false">IF(D2779="","",D2779-C2779)</f>
        <v>2</v>
      </c>
      <c r="I2779" s="33" t="n">
        <f aca="false">IF(E2779="","",E2779-C2779)</f>
        <v>2.5</v>
      </c>
      <c r="J2779" s="33" t="n">
        <f aca="false">IF(F2779="","",F2779-C2779)</f>
        <v>7.75</v>
      </c>
      <c r="K2779" s="33" t="n">
        <f aca="false">IF(G2779="","",G2779-C2779)</f>
        <v>3.42691004725276</v>
      </c>
      <c r="L2779" s="33" t="n">
        <f aca="false">IF(H2779="","",ABS(H2779))</f>
        <v>2</v>
      </c>
      <c r="M2779" s="33" t="n">
        <f aca="false">IF(I2779="","",ABS(I2779))</f>
        <v>2.5</v>
      </c>
      <c r="N2779" s="33" t="n">
        <f aca="false">IF(J2779="","",ABS(J2779))</f>
        <v>7.75</v>
      </c>
      <c r="O2779" s="33" t="n">
        <f aca="false">IF(K2779="","",ABS(K2779))</f>
        <v>3.42691004725276</v>
      </c>
      <c r="P2779" s="34" t="str">
        <f aca="false">IF(B2779&gt;=Eval_Start_Week,"YES","")</f>
        <v>YES</v>
      </c>
      <c r="Q2779" s="34" t="str">
        <f aca="false">IF(AND(B2779&gt;=Cal_Start_Week,B2779&lt;=Cal_End_Week),"YES","")</f>
        <v>YES</v>
      </c>
    </row>
    <row r="2780" customFormat="false" ht="15" hidden="false" customHeight="false" outlineLevel="0" collapsed="false">
      <c r="A2780" s="31" t="str">
        <f aca="false">Demand_History!C2780</f>
        <v>BED-007</v>
      </c>
      <c r="B2780" s="31" t="n">
        <f aca="false">Demand_History!A2780</f>
        <v>75</v>
      </c>
      <c r="C2780" s="32" t="n">
        <f aca="false">Demand_History!D2780</f>
        <v>30</v>
      </c>
      <c r="D2780" s="33" t="n">
        <f aca="false">IF(B2780&gt;=2,C2779,"")</f>
        <v>20</v>
      </c>
      <c r="E2780" s="33" t="n">
        <f aca="false">IF(B2780&gt;=5,AVERAGE(C2776:C2779),"")</f>
        <v>18.5</v>
      </c>
      <c r="F2780" s="33" t="n">
        <f aca="false">IF(B2780&gt;=9,AVERAGE(C2772:C2779),"")</f>
        <v>26.5</v>
      </c>
      <c r="G2780" s="33" t="n">
        <f aca="false">IF(B2780=1,"",IF(B2780=2,C2779,SES_Alpha*C2779+(1-SES_Alpha)*G2779))</f>
        <v>22.3988370330769</v>
      </c>
      <c r="H2780" s="33" t="n">
        <f aca="false">IF(D2780="","",D2780-C2780)</f>
        <v>-10</v>
      </c>
      <c r="I2780" s="33" t="n">
        <f aca="false">IF(E2780="","",E2780-C2780)</f>
        <v>-11.5</v>
      </c>
      <c r="J2780" s="33" t="n">
        <f aca="false">IF(F2780="","",F2780-C2780)</f>
        <v>-3.5</v>
      </c>
      <c r="K2780" s="33" t="n">
        <f aca="false">IF(G2780="","",G2780-C2780)</f>
        <v>-7.60116296692307</v>
      </c>
      <c r="L2780" s="33" t="n">
        <f aca="false">IF(H2780="","",ABS(H2780))</f>
        <v>10</v>
      </c>
      <c r="M2780" s="33" t="n">
        <f aca="false">IF(I2780="","",ABS(I2780))</f>
        <v>11.5</v>
      </c>
      <c r="N2780" s="33" t="n">
        <f aca="false">IF(J2780="","",ABS(J2780))</f>
        <v>3.5</v>
      </c>
      <c r="O2780" s="33" t="n">
        <f aca="false">IF(K2780="","",ABS(K2780))</f>
        <v>7.60116296692307</v>
      </c>
      <c r="P2780" s="34" t="str">
        <f aca="false">IF(B2780&gt;=Eval_Start_Week,"YES","")</f>
        <v>YES</v>
      </c>
      <c r="Q2780" s="34" t="str">
        <f aca="false">IF(AND(B2780&gt;=Cal_Start_Week,B2780&lt;=Cal_End_Week),"YES","")</f>
        <v>YES</v>
      </c>
    </row>
    <row r="2781" customFormat="false" ht="15" hidden="false" customHeight="false" outlineLevel="0" collapsed="false">
      <c r="A2781" s="31" t="str">
        <f aca="false">Demand_History!C2781</f>
        <v>BED-007</v>
      </c>
      <c r="B2781" s="31" t="n">
        <f aca="false">Demand_History!A2781</f>
        <v>76</v>
      </c>
      <c r="C2781" s="32" t="n">
        <f aca="false">Demand_History!D2781</f>
        <v>23</v>
      </c>
      <c r="D2781" s="33" t="n">
        <f aca="false">IF(B2781&gt;=2,C2780,"")</f>
        <v>30</v>
      </c>
      <c r="E2781" s="33" t="n">
        <f aca="false">IF(B2781&gt;=5,AVERAGE(C2777:C2780),"")</f>
        <v>22.25</v>
      </c>
      <c r="F2781" s="33" t="n">
        <f aca="false">IF(B2781&gt;=9,AVERAGE(C2773:C2780),"")</f>
        <v>24.75</v>
      </c>
      <c r="G2781" s="33" t="n">
        <f aca="false">IF(B2781=1,"",IF(B2781=2,C2780,SES_Alpha*C2780+(1-SES_Alpha)*G2780))</f>
        <v>24.6791859231539</v>
      </c>
      <c r="H2781" s="33" t="n">
        <f aca="false">IF(D2781="","",D2781-C2781)</f>
        <v>7</v>
      </c>
      <c r="I2781" s="33" t="n">
        <f aca="false">IF(E2781="","",E2781-C2781)</f>
        <v>-0.75</v>
      </c>
      <c r="J2781" s="33" t="n">
        <f aca="false">IF(F2781="","",F2781-C2781)</f>
        <v>1.75</v>
      </c>
      <c r="K2781" s="33" t="n">
        <f aca="false">IF(G2781="","",G2781-C2781)</f>
        <v>1.67918592315385</v>
      </c>
      <c r="L2781" s="33" t="n">
        <f aca="false">IF(H2781="","",ABS(H2781))</f>
        <v>7</v>
      </c>
      <c r="M2781" s="33" t="n">
        <f aca="false">IF(I2781="","",ABS(I2781))</f>
        <v>0.75</v>
      </c>
      <c r="N2781" s="33" t="n">
        <f aca="false">IF(J2781="","",ABS(J2781))</f>
        <v>1.75</v>
      </c>
      <c r="O2781" s="33" t="n">
        <f aca="false">IF(K2781="","",ABS(K2781))</f>
        <v>1.67918592315385</v>
      </c>
      <c r="P2781" s="34" t="str">
        <f aca="false">IF(B2781&gt;=Eval_Start_Week,"YES","")</f>
        <v>YES</v>
      </c>
      <c r="Q2781" s="34" t="str">
        <f aca="false">IF(AND(B2781&gt;=Cal_Start_Week,B2781&lt;=Cal_End_Week),"YES","")</f>
        <v>YES</v>
      </c>
    </row>
    <row r="2782" customFormat="false" ht="15" hidden="false" customHeight="false" outlineLevel="0" collapsed="false">
      <c r="A2782" s="31" t="str">
        <f aca="false">Demand_History!C2782</f>
        <v>BED-007</v>
      </c>
      <c r="B2782" s="31" t="n">
        <f aca="false">Demand_History!A2782</f>
        <v>77</v>
      </c>
      <c r="C2782" s="32" t="n">
        <f aca="false">Demand_History!D2782</f>
        <v>38</v>
      </c>
      <c r="D2782" s="33" t="n">
        <f aca="false">IF(B2782&gt;=2,C2781,"")</f>
        <v>23</v>
      </c>
      <c r="E2782" s="33" t="n">
        <f aca="false">IF(B2782&gt;=5,AVERAGE(C2778:C2781),"")</f>
        <v>23.75</v>
      </c>
      <c r="F2782" s="33" t="n">
        <f aca="false">IF(B2782&gt;=9,AVERAGE(C2774:C2781),"")</f>
        <v>23.875</v>
      </c>
      <c r="G2782" s="33" t="n">
        <f aca="false">IF(B2782=1,"",IF(B2782=2,C2781,SES_Alpha*C2781+(1-SES_Alpha)*G2781))</f>
        <v>24.1754301462077</v>
      </c>
      <c r="H2782" s="33" t="n">
        <f aca="false">IF(D2782="","",D2782-C2782)</f>
        <v>-15</v>
      </c>
      <c r="I2782" s="33" t="n">
        <f aca="false">IF(E2782="","",E2782-C2782)</f>
        <v>-14.25</v>
      </c>
      <c r="J2782" s="33" t="n">
        <f aca="false">IF(F2782="","",F2782-C2782)</f>
        <v>-14.125</v>
      </c>
      <c r="K2782" s="33" t="n">
        <f aca="false">IF(G2782="","",G2782-C2782)</f>
        <v>-13.8245698537923</v>
      </c>
      <c r="L2782" s="33" t="n">
        <f aca="false">IF(H2782="","",ABS(H2782))</f>
        <v>15</v>
      </c>
      <c r="M2782" s="33" t="n">
        <f aca="false">IF(I2782="","",ABS(I2782))</f>
        <v>14.25</v>
      </c>
      <c r="N2782" s="33" t="n">
        <f aca="false">IF(J2782="","",ABS(J2782))</f>
        <v>14.125</v>
      </c>
      <c r="O2782" s="33" t="n">
        <f aca="false">IF(K2782="","",ABS(K2782))</f>
        <v>13.8245698537923</v>
      </c>
      <c r="P2782" s="34" t="str">
        <f aca="false">IF(B2782&gt;=Eval_Start_Week,"YES","")</f>
        <v>YES</v>
      </c>
      <c r="Q2782" s="34" t="str">
        <f aca="false">IF(AND(B2782&gt;=Cal_Start_Week,B2782&lt;=Cal_End_Week),"YES","")</f>
        <v>YES</v>
      </c>
    </row>
    <row r="2783" customFormat="false" ht="15" hidden="false" customHeight="false" outlineLevel="0" collapsed="false">
      <c r="A2783" s="31" t="str">
        <f aca="false">Demand_History!C2783</f>
        <v>BED-007</v>
      </c>
      <c r="B2783" s="31" t="n">
        <f aca="false">Demand_History!A2783</f>
        <v>78</v>
      </c>
      <c r="C2783" s="32" t="n">
        <f aca="false">Demand_History!D2783</f>
        <v>36</v>
      </c>
      <c r="D2783" s="33" t="n">
        <f aca="false">IF(B2783&gt;=2,C2782,"")</f>
        <v>38</v>
      </c>
      <c r="E2783" s="33" t="n">
        <f aca="false">IF(B2783&gt;=5,AVERAGE(C2779:C2782),"")</f>
        <v>27.75</v>
      </c>
      <c r="F2783" s="33" t="n">
        <f aca="false">IF(B2783&gt;=9,AVERAGE(C2775:C2782),"")</f>
        <v>25.125</v>
      </c>
      <c r="G2783" s="33" t="n">
        <f aca="false">IF(B2783=1,"",IF(B2783=2,C2782,SES_Alpha*C2782+(1-SES_Alpha)*G2782))</f>
        <v>28.3228011023454</v>
      </c>
      <c r="H2783" s="33" t="n">
        <f aca="false">IF(D2783="","",D2783-C2783)</f>
        <v>2</v>
      </c>
      <c r="I2783" s="33" t="n">
        <f aca="false">IF(E2783="","",E2783-C2783)</f>
        <v>-8.25</v>
      </c>
      <c r="J2783" s="33" t="n">
        <f aca="false">IF(F2783="","",F2783-C2783)</f>
        <v>-10.875</v>
      </c>
      <c r="K2783" s="33" t="n">
        <f aca="false">IF(G2783="","",G2783-C2783)</f>
        <v>-7.67719889765461</v>
      </c>
      <c r="L2783" s="33" t="n">
        <f aca="false">IF(H2783="","",ABS(H2783))</f>
        <v>2</v>
      </c>
      <c r="M2783" s="33" t="n">
        <f aca="false">IF(I2783="","",ABS(I2783))</f>
        <v>8.25</v>
      </c>
      <c r="N2783" s="33" t="n">
        <f aca="false">IF(J2783="","",ABS(J2783))</f>
        <v>10.875</v>
      </c>
      <c r="O2783" s="33" t="n">
        <f aca="false">IF(K2783="","",ABS(K2783))</f>
        <v>7.67719889765461</v>
      </c>
      <c r="P2783" s="34" t="str">
        <f aca="false">IF(B2783&gt;=Eval_Start_Week,"YES","")</f>
        <v>YES</v>
      </c>
      <c r="Q2783" s="34" t="str">
        <f aca="false">IF(AND(B2783&gt;=Cal_Start_Week,B2783&lt;=Cal_End_Week),"YES","")</f>
        <v>YES</v>
      </c>
    </row>
    <row r="2784" customFormat="false" ht="15" hidden="false" customHeight="false" outlineLevel="0" collapsed="false">
      <c r="A2784" s="31" t="str">
        <f aca="false">Demand_History!C2784</f>
        <v>BED-007</v>
      </c>
      <c r="B2784" s="31" t="n">
        <f aca="false">Demand_History!A2784</f>
        <v>79</v>
      </c>
      <c r="C2784" s="32" t="n">
        <f aca="false">Demand_History!D2784</f>
        <v>31</v>
      </c>
      <c r="D2784" s="33" t="n">
        <f aca="false">IF(B2784&gt;=2,C2783,"")</f>
        <v>36</v>
      </c>
      <c r="E2784" s="33" t="n">
        <f aca="false">IF(B2784&gt;=5,AVERAGE(C2780:C2783),"")</f>
        <v>31.75</v>
      </c>
      <c r="F2784" s="33" t="n">
        <f aca="false">IF(B2784&gt;=9,AVERAGE(C2776:C2783),"")</f>
        <v>25.125</v>
      </c>
      <c r="G2784" s="33" t="n">
        <f aca="false">IF(B2784=1,"",IF(B2784=2,C2783,SES_Alpha*C2783+(1-SES_Alpha)*G2783))</f>
        <v>30.6259607716418</v>
      </c>
      <c r="H2784" s="33" t="n">
        <f aca="false">IF(D2784="","",D2784-C2784)</f>
        <v>5</v>
      </c>
      <c r="I2784" s="33" t="n">
        <f aca="false">IF(E2784="","",E2784-C2784)</f>
        <v>0.75</v>
      </c>
      <c r="J2784" s="33" t="n">
        <f aca="false">IF(F2784="","",F2784-C2784)</f>
        <v>-5.875</v>
      </c>
      <c r="K2784" s="33" t="n">
        <f aca="false">IF(G2784="","",G2784-C2784)</f>
        <v>-0.374039228358228</v>
      </c>
      <c r="L2784" s="33" t="n">
        <f aca="false">IF(H2784="","",ABS(H2784))</f>
        <v>5</v>
      </c>
      <c r="M2784" s="33" t="n">
        <f aca="false">IF(I2784="","",ABS(I2784))</f>
        <v>0.75</v>
      </c>
      <c r="N2784" s="33" t="n">
        <f aca="false">IF(J2784="","",ABS(J2784))</f>
        <v>5.875</v>
      </c>
      <c r="O2784" s="33" t="n">
        <f aca="false">IF(K2784="","",ABS(K2784))</f>
        <v>0.374039228358228</v>
      </c>
      <c r="P2784" s="34" t="str">
        <f aca="false">IF(B2784&gt;=Eval_Start_Week,"YES","")</f>
        <v>YES</v>
      </c>
      <c r="Q2784" s="34" t="str">
        <f aca="false">IF(AND(B2784&gt;=Cal_Start_Week,B2784&lt;=Cal_End_Week),"YES","")</f>
        <v>YES</v>
      </c>
    </row>
    <row r="2785" customFormat="false" ht="15" hidden="false" customHeight="false" outlineLevel="0" collapsed="false">
      <c r="A2785" s="31" t="str">
        <f aca="false">Demand_History!C2785</f>
        <v>BED-007</v>
      </c>
      <c r="B2785" s="31" t="n">
        <f aca="false">Demand_History!A2785</f>
        <v>80</v>
      </c>
      <c r="C2785" s="32" t="n">
        <f aca="false">Demand_History!D2785</f>
        <v>22</v>
      </c>
      <c r="D2785" s="33" t="n">
        <f aca="false">IF(B2785&gt;=2,C2784,"")</f>
        <v>31</v>
      </c>
      <c r="E2785" s="33" t="n">
        <f aca="false">IF(B2785&gt;=5,AVERAGE(C2781:C2784),"")</f>
        <v>32</v>
      </c>
      <c r="F2785" s="33" t="n">
        <f aca="false">IF(B2785&gt;=9,AVERAGE(C2777:C2784),"")</f>
        <v>27.125</v>
      </c>
      <c r="G2785" s="33" t="n">
        <f aca="false">IF(B2785=1,"",IF(B2785=2,C2784,SES_Alpha*C2784+(1-SES_Alpha)*G2784))</f>
        <v>30.7381725401492</v>
      </c>
      <c r="H2785" s="33" t="n">
        <f aca="false">IF(D2785="","",D2785-C2785)</f>
        <v>9</v>
      </c>
      <c r="I2785" s="33" t="n">
        <f aca="false">IF(E2785="","",E2785-C2785)</f>
        <v>10</v>
      </c>
      <c r="J2785" s="33" t="n">
        <f aca="false">IF(F2785="","",F2785-C2785)</f>
        <v>5.125</v>
      </c>
      <c r="K2785" s="33" t="n">
        <f aca="false">IF(G2785="","",G2785-C2785)</f>
        <v>8.73817254014924</v>
      </c>
      <c r="L2785" s="33" t="n">
        <f aca="false">IF(H2785="","",ABS(H2785))</f>
        <v>9</v>
      </c>
      <c r="M2785" s="33" t="n">
        <f aca="false">IF(I2785="","",ABS(I2785))</f>
        <v>10</v>
      </c>
      <c r="N2785" s="33" t="n">
        <f aca="false">IF(J2785="","",ABS(J2785))</f>
        <v>5.125</v>
      </c>
      <c r="O2785" s="33" t="n">
        <f aca="false">IF(K2785="","",ABS(K2785))</f>
        <v>8.73817254014924</v>
      </c>
      <c r="P2785" s="34" t="str">
        <f aca="false">IF(B2785&gt;=Eval_Start_Week,"YES","")</f>
        <v>YES</v>
      </c>
      <c r="Q2785" s="34" t="str">
        <f aca="false">IF(AND(B2785&gt;=Cal_Start_Week,B2785&lt;=Cal_End_Week),"YES","")</f>
        <v>YES</v>
      </c>
    </row>
    <row r="2786" customFormat="false" ht="15" hidden="false" customHeight="false" outlineLevel="0" collapsed="false">
      <c r="A2786" s="31" t="str">
        <f aca="false">Demand_History!C2786</f>
        <v>BED-007</v>
      </c>
      <c r="B2786" s="31" t="n">
        <f aca="false">Demand_History!A2786</f>
        <v>81</v>
      </c>
      <c r="C2786" s="32" t="n">
        <f aca="false">Demand_History!D2786</f>
        <v>30</v>
      </c>
      <c r="D2786" s="33" t="n">
        <f aca="false">IF(B2786&gt;=2,C2785,"")</f>
        <v>22</v>
      </c>
      <c r="E2786" s="33" t="n">
        <f aca="false">IF(B2786&gt;=5,AVERAGE(C2782:C2785),"")</f>
        <v>31.75</v>
      </c>
      <c r="F2786" s="33" t="n">
        <f aca="false">IF(B2786&gt;=9,AVERAGE(C2778:C2785),"")</f>
        <v>27.75</v>
      </c>
      <c r="G2786" s="33" t="n">
        <f aca="false">IF(B2786=1,"",IF(B2786=2,C2785,SES_Alpha*C2785+(1-SES_Alpha)*G2785))</f>
        <v>28.1167207781045</v>
      </c>
      <c r="H2786" s="33" t="n">
        <f aca="false">IF(D2786="","",D2786-C2786)</f>
        <v>-8</v>
      </c>
      <c r="I2786" s="33" t="n">
        <f aca="false">IF(E2786="","",E2786-C2786)</f>
        <v>1.75</v>
      </c>
      <c r="J2786" s="33" t="n">
        <f aca="false">IF(F2786="","",F2786-C2786)</f>
        <v>-2.25</v>
      </c>
      <c r="K2786" s="33" t="n">
        <f aca="false">IF(G2786="","",G2786-C2786)</f>
        <v>-1.88327922189553</v>
      </c>
      <c r="L2786" s="33" t="n">
        <f aca="false">IF(H2786="","",ABS(H2786))</f>
        <v>8</v>
      </c>
      <c r="M2786" s="33" t="n">
        <f aca="false">IF(I2786="","",ABS(I2786))</f>
        <v>1.75</v>
      </c>
      <c r="N2786" s="33" t="n">
        <f aca="false">IF(J2786="","",ABS(J2786))</f>
        <v>2.25</v>
      </c>
      <c r="O2786" s="33" t="n">
        <f aca="false">IF(K2786="","",ABS(K2786))</f>
        <v>1.88327922189553</v>
      </c>
      <c r="P2786" s="34" t="str">
        <f aca="false">IF(B2786&gt;=Eval_Start_Week,"YES","")</f>
        <v>YES</v>
      </c>
      <c r="Q2786" s="34" t="str">
        <f aca="false">IF(AND(B2786&gt;=Cal_Start_Week,B2786&lt;=Cal_End_Week),"YES","")</f>
        <v>YES</v>
      </c>
    </row>
    <row r="2787" customFormat="false" ht="15" hidden="false" customHeight="false" outlineLevel="0" collapsed="false">
      <c r="A2787" s="31" t="str">
        <f aca="false">Demand_History!C2787</f>
        <v>BED-007</v>
      </c>
      <c r="B2787" s="31" t="n">
        <f aca="false">Demand_History!A2787</f>
        <v>82</v>
      </c>
      <c r="C2787" s="32" t="n">
        <f aca="false">Demand_History!D2787</f>
        <v>31</v>
      </c>
      <c r="D2787" s="33" t="n">
        <f aca="false">IF(B2787&gt;=2,C2786,"")</f>
        <v>30</v>
      </c>
      <c r="E2787" s="33" t="n">
        <f aca="false">IF(B2787&gt;=5,AVERAGE(C2783:C2786),"")</f>
        <v>29.75</v>
      </c>
      <c r="F2787" s="33" t="n">
        <f aca="false">IF(B2787&gt;=9,AVERAGE(C2779:C2786),"")</f>
        <v>28.75</v>
      </c>
      <c r="G2787" s="33" t="n">
        <f aca="false">IF(B2787=1,"",IF(B2787=2,C2786,SES_Alpha*C2786+(1-SES_Alpha)*G2786))</f>
        <v>28.6817045446731</v>
      </c>
      <c r="H2787" s="33" t="n">
        <f aca="false">IF(D2787="","",D2787-C2787)</f>
        <v>-1</v>
      </c>
      <c r="I2787" s="33" t="n">
        <f aca="false">IF(E2787="","",E2787-C2787)</f>
        <v>-1.25</v>
      </c>
      <c r="J2787" s="33" t="n">
        <f aca="false">IF(F2787="","",F2787-C2787)</f>
        <v>-2.25</v>
      </c>
      <c r="K2787" s="33" t="n">
        <f aca="false">IF(G2787="","",G2787-C2787)</f>
        <v>-2.31829545532688</v>
      </c>
      <c r="L2787" s="33" t="n">
        <f aca="false">IF(H2787="","",ABS(H2787))</f>
        <v>1</v>
      </c>
      <c r="M2787" s="33" t="n">
        <f aca="false">IF(I2787="","",ABS(I2787))</f>
        <v>1.25</v>
      </c>
      <c r="N2787" s="33" t="n">
        <f aca="false">IF(J2787="","",ABS(J2787))</f>
        <v>2.25</v>
      </c>
      <c r="O2787" s="33" t="n">
        <f aca="false">IF(K2787="","",ABS(K2787))</f>
        <v>2.31829545532688</v>
      </c>
      <c r="P2787" s="34" t="str">
        <f aca="false">IF(B2787&gt;=Eval_Start_Week,"YES","")</f>
        <v>YES</v>
      </c>
      <c r="Q2787" s="34" t="str">
        <f aca="false">IF(AND(B2787&gt;=Cal_Start_Week,B2787&lt;=Cal_End_Week),"YES","")</f>
        <v>YES</v>
      </c>
    </row>
    <row r="2788" customFormat="false" ht="15" hidden="false" customHeight="false" outlineLevel="0" collapsed="false">
      <c r="A2788" s="31" t="str">
        <f aca="false">Demand_History!C2788</f>
        <v>BED-007</v>
      </c>
      <c r="B2788" s="31" t="n">
        <f aca="false">Demand_History!A2788</f>
        <v>83</v>
      </c>
      <c r="C2788" s="32" t="n">
        <f aca="false">Demand_History!D2788</f>
        <v>17</v>
      </c>
      <c r="D2788" s="33" t="n">
        <f aca="false">IF(B2788&gt;=2,C2787,"")</f>
        <v>31</v>
      </c>
      <c r="E2788" s="33" t="n">
        <f aca="false">IF(B2788&gt;=5,AVERAGE(C2784:C2787),"")</f>
        <v>28.5</v>
      </c>
      <c r="F2788" s="33" t="n">
        <f aca="false">IF(B2788&gt;=9,AVERAGE(C2780:C2787),"")</f>
        <v>30.125</v>
      </c>
      <c r="G2788" s="33" t="n">
        <f aca="false">IF(B2788=1,"",IF(B2788=2,C2787,SES_Alpha*C2787+(1-SES_Alpha)*G2787))</f>
        <v>29.3771931812712</v>
      </c>
      <c r="H2788" s="33" t="n">
        <f aca="false">IF(D2788="","",D2788-C2788)</f>
        <v>14</v>
      </c>
      <c r="I2788" s="33" t="n">
        <f aca="false">IF(E2788="","",E2788-C2788)</f>
        <v>11.5</v>
      </c>
      <c r="J2788" s="33" t="n">
        <f aca="false">IF(F2788="","",F2788-C2788)</f>
        <v>13.125</v>
      </c>
      <c r="K2788" s="33" t="n">
        <f aca="false">IF(G2788="","",G2788-C2788)</f>
        <v>12.3771931812712</v>
      </c>
      <c r="L2788" s="33" t="n">
        <f aca="false">IF(H2788="","",ABS(H2788))</f>
        <v>14</v>
      </c>
      <c r="M2788" s="33" t="n">
        <f aca="false">IF(I2788="","",ABS(I2788))</f>
        <v>11.5</v>
      </c>
      <c r="N2788" s="33" t="n">
        <f aca="false">IF(J2788="","",ABS(J2788))</f>
        <v>13.125</v>
      </c>
      <c r="O2788" s="33" t="n">
        <f aca="false">IF(K2788="","",ABS(K2788))</f>
        <v>12.3771931812712</v>
      </c>
      <c r="P2788" s="34" t="str">
        <f aca="false">IF(B2788&gt;=Eval_Start_Week,"YES","")</f>
        <v>YES</v>
      </c>
      <c r="Q2788" s="34" t="str">
        <f aca="false">IF(AND(B2788&gt;=Cal_Start_Week,B2788&lt;=Cal_End_Week),"YES","")</f>
        <v>YES</v>
      </c>
    </row>
    <row r="2789" customFormat="false" ht="15" hidden="false" customHeight="false" outlineLevel="0" collapsed="false">
      <c r="A2789" s="31" t="str">
        <f aca="false">Demand_History!C2789</f>
        <v>BED-007</v>
      </c>
      <c r="B2789" s="31" t="n">
        <f aca="false">Demand_History!A2789</f>
        <v>84</v>
      </c>
      <c r="C2789" s="32" t="n">
        <f aca="false">Demand_History!D2789</f>
        <v>28</v>
      </c>
      <c r="D2789" s="33" t="n">
        <f aca="false">IF(B2789&gt;=2,C2788,"")</f>
        <v>17</v>
      </c>
      <c r="E2789" s="33" t="n">
        <f aca="false">IF(B2789&gt;=5,AVERAGE(C2785:C2788),"")</f>
        <v>25</v>
      </c>
      <c r="F2789" s="33" t="n">
        <f aca="false">IF(B2789&gt;=9,AVERAGE(C2781:C2788),"")</f>
        <v>28.5</v>
      </c>
      <c r="G2789" s="33" t="n">
        <f aca="false">IF(B2789=1,"",IF(B2789=2,C2788,SES_Alpha*C2788+(1-SES_Alpha)*G2788))</f>
        <v>25.6640352268898</v>
      </c>
      <c r="H2789" s="33" t="n">
        <f aca="false">IF(D2789="","",D2789-C2789)</f>
        <v>-11</v>
      </c>
      <c r="I2789" s="33" t="n">
        <f aca="false">IF(E2789="","",E2789-C2789)</f>
        <v>-3</v>
      </c>
      <c r="J2789" s="33" t="n">
        <f aca="false">IF(F2789="","",F2789-C2789)</f>
        <v>0.5</v>
      </c>
      <c r="K2789" s="33" t="n">
        <f aca="false">IF(G2789="","",G2789-C2789)</f>
        <v>-2.33596477311018</v>
      </c>
      <c r="L2789" s="33" t="n">
        <f aca="false">IF(H2789="","",ABS(H2789))</f>
        <v>11</v>
      </c>
      <c r="M2789" s="33" t="n">
        <f aca="false">IF(I2789="","",ABS(I2789))</f>
        <v>3</v>
      </c>
      <c r="N2789" s="33" t="n">
        <f aca="false">IF(J2789="","",ABS(J2789))</f>
        <v>0.5</v>
      </c>
      <c r="O2789" s="33" t="n">
        <f aca="false">IF(K2789="","",ABS(K2789))</f>
        <v>2.33596477311018</v>
      </c>
      <c r="P2789" s="34" t="str">
        <f aca="false">IF(B2789&gt;=Eval_Start_Week,"YES","")</f>
        <v>YES</v>
      </c>
      <c r="Q2789" s="34" t="str">
        <f aca="false">IF(AND(B2789&gt;=Cal_Start_Week,B2789&lt;=Cal_End_Week),"YES","")</f>
        <v>YES</v>
      </c>
    </row>
    <row r="2790" customFormat="false" ht="15" hidden="false" customHeight="false" outlineLevel="0" collapsed="false">
      <c r="A2790" s="31" t="str">
        <f aca="false">Demand_History!C2790</f>
        <v>BED-007</v>
      </c>
      <c r="B2790" s="31" t="n">
        <f aca="false">Demand_History!A2790</f>
        <v>85</v>
      </c>
      <c r="C2790" s="32" t="n">
        <f aca="false">Demand_History!D2790</f>
        <v>30</v>
      </c>
      <c r="D2790" s="33" t="n">
        <f aca="false">IF(B2790&gt;=2,C2789,"")</f>
        <v>28</v>
      </c>
      <c r="E2790" s="33" t="n">
        <f aca="false">IF(B2790&gt;=5,AVERAGE(C2786:C2789),"")</f>
        <v>26.5</v>
      </c>
      <c r="F2790" s="33" t="n">
        <f aca="false">IF(B2790&gt;=9,AVERAGE(C2782:C2789),"")</f>
        <v>29.125</v>
      </c>
      <c r="G2790" s="33" t="n">
        <f aca="false">IF(B2790=1,"",IF(B2790=2,C2789,SES_Alpha*C2789+(1-SES_Alpha)*G2789))</f>
        <v>26.3648246588229</v>
      </c>
      <c r="H2790" s="33" t="n">
        <f aca="false">IF(D2790="","",D2790-C2790)</f>
        <v>-2</v>
      </c>
      <c r="I2790" s="33" t="n">
        <f aca="false">IF(E2790="","",E2790-C2790)</f>
        <v>-3.5</v>
      </c>
      <c r="J2790" s="33" t="n">
        <f aca="false">IF(F2790="","",F2790-C2790)</f>
        <v>-0.875</v>
      </c>
      <c r="K2790" s="33" t="n">
        <f aca="false">IF(G2790="","",G2790-C2790)</f>
        <v>-3.63517534117712</v>
      </c>
      <c r="L2790" s="33" t="n">
        <f aca="false">IF(H2790="","",ABS(H2790))</f>
        <v>2</v>
      </c>
      <c r="M2790" s="33" t="n">
        <f aca="false">IF(I2790="","",ABS(I2790))</f>
        <v>3.5</v>
      </c>
      <c r="N2790" s="33" t="n">
        <f aca="false">IF(J2790="","",ABS(J2790))</f>
        <v>0.875</v>
      </c>
      <c r="O2790" s="33" t="n">
        <f aca="false">IF(K2790="","",ABS(K2790))</f>
        <v>3.63517534117712</v>
      </c>
      <c r="P2790" s="34" t="str">
        <f aca="false">IF(B2790&gt;=Eval_Start_Week,"YES","")</f>
        <v>YES</v>
      </c>
      <c r="Q2790" s="34" t="str">
        <f aca="false">IF(AND(B2790&gt;=Cal_Start_Week,B2790&lt;=Cal_End_Week),"YES","")</f>
        <v>YES</v>
      </c>
    </row>
    <row r="2791" customFormat="false" ht="15" hidden="false" customHeight="false" outlineLevel="0" collapsed="false">
      <c r="A2791" s="31" t="str">
        <f aca="false">Demand_History!C2791</f>
        <v>BED-007</v>
      </c>
      <c r="B2791" s="31" t="n">
        <f aca="false">Demand_History!A2791</f>
        <v>86</v>
      </c>
      <c r="C2791" s="32" t="n">
        <f aca="false">Demand_History!D2791</f>
        <v>27</v>
      </c>
      <c r="D2791" s="33" t="n">
        <f aca="false">IF(B2791&gt;=2,C2790,"")</f>
        <v>30</v>
      </c>
      <c r="E2791" s="33" t="n">
        <f aca="false">IF(B2791&gt;=5,AVERAGE(C2787:C2790),"")</f>
        <v>26.5</v>
      </c>
      <c r="F2791" s="33" t="n">
        <f aca="false">IF(B2791&gt;=9,AVERAGE(C2783:C2790),"")</f>
        <v>28.125</v>
      </c>
      <c r="G2791" s="33" t="n">
        <f aca="false">IF(B2791=1,"",IF(B2791=2,C2790,SES_Alpha*C2790+(1-SES_Alpha)*G2790))</f>
        <v>27.455377261176</v>
      </c>
      <c r="H2791" s="33" t="n">
        <f aca="false">IF(D2791="","",D2791-C2791)</f>
        <v>3</v>
      </c>
      <c r="I2791" s="33" t="n">
        <f aca="false">IF(E2791="","",E2791-C2791)</f>
        <v>-0.5</v>
      </c>
      <c r="J2791" s="33" t="n">
        <f aca="false">IF(F2791="","",F2791-C2791)</f>
        <v>1.125</v>
      </c>
      <c r="K2791" s="33" t="n">
        <f aca="false">IF(G2791="","",G2791-C2791)</f>
        <v>0.455377261176011</v>
      </c>
      <c r="L2791" s="33" t="n">
        <f aca="false">IF(H2791="","",ABS(H2791))</f>
        <v>3</v>
      </c>
      <c r="M2791" s="33" t="n">
        <f aca="false">IF(I2791="","",ABS(I2791))</f>
        <v>0.5</v>
      </c>
      <c r="N2791" s="33" t="n">
        <f aca="false">IF(J2791="","",ABS(J2791))</f>
        <v>1.125</v>
      </c>
      <c r="O2791" s="33" t="n">
        <f aca="false">IF(K2791="","",ABS(K2791))</f>
        <v>0.455377261176011</v>
      </c>
      <c r="P2791" s="34" t="str">
        <f aca="false">IF(B2791&gt;=Eval_Start_Week,"YES","")</f>
        <v>YES</v>
      </c>
      <c r="Q2791" s="34" t="str">
        <f aca="false">IF(AND(B2791&gt;=Cal_Start_Week,B2791&lt;=Cal_End_Week),"YES","")</f>
        <v>YES</v>
      </c>
    </row>
    <row r="2792" customFormat="false" ht="15" hidden="false" customHeight="false" outlineLevel="0" collapsed="false">
      <c r="A2792" s="31" t="str">
        <f aca="false">Demand_History!C2792</f>
        <v>BED-007</v>
      </c>
      <c r="B2792" s="31" t="n">
        <f aca="false">Demand_History!A2792</f>
        <v>87</v>
      </c>
      <c r="C2792" s="32" t="n">
        <f aca="false">Demand_History!D2792</f>
        <v>36</v>
      </c>
      <c r="D2792" s="33" t="n">
        <f aca="false">IF(B2792&gt;=2,C2791,"")</f>
        <v>27</v>
      </c>
      <c r="E2792" s="33" t="n">
        <f aca="false">IF(B2792&gt;=5,AVERAGE(C2788:C2791),"")</f>
        <v>25.5</v>
      </c>
      <c r="F2792" s="33" t="n">
        <f aca="false">IF(B2792&gt;=9,AVERAGE(C2784:C2791),"")</f>
        <v>27</v>
      </c>
      <c r="G2792" s="33" t="n">
        <f aca="false">IF(B2792=1,"",IF(B2792=2,C2791,SES_Alpha*C2791+(1-SES_Alpha)*G2791))</f>
        <v>27.3187640828232</v>
      </c>
      <c r="H2792" s="33" t="n">
        <f aca="false">IF(D2792="","",D2792-C2792)</f>
        <v>-9</v>
      </c>
      <c r="I2792" s="33" t="n">
        <f aca="false">IF(E2792="","",E2792-C2792)</f>
        <v>-10.5</v>
      </c>
      <c r="J2792" s="33" t="n">
        <f aca="false">IF(F2792="","",F2792-C2792)</f>
        <v>-9</v>
      </c>
      <c r="K2792" s="33" t="n">
        <f aca="false">IF(G2792="","",G2792-C2792)</f>
        <v>-8.68123591717679</v>
      </c>
      <c r="L2792" s="33" t="n">
        <f aca="false">IF(H2792="","",ABS(H2792))</f>
        <v>9</v>
      </c>
      <c r="M2792" s="33" t="n">
        <f aca="false">IF(I2792="","",ABS(I2792))</f>
        <v>10.5</v>
      </c>
      <c r="N2792" s="33" t="n">
        <f aca="false">IF(J2792="","",ABS(J2792))</f>
        <v>9</v>
      </c>
      <c r="O2792" s="33" t="n">
        <f aca="false">IF(K2792="","",ABS(K2792))</f>
        <v>8.68123591717679</v>
      </c>
      <c r="P2792" s="34" t="str">
        <f aca="false">IF(B2792&gt;=Eval_Start_Week,"YES","")</f>
        <v>YES</v>
      </c>
      <c r="Q2792" s="34" t="str">
        <f aca="false">IF(AND(B2792&gt;=Cal_Start_Week,B2792&lt;=Cal_End_Week),"YES","")</f>
        <v>YES</v>
      </c>
    </row>
    <row r="2793" customFormat="false" ht="15" hidden="false" customHeight="false" outlineLevel="0" collapsed="false">
      <c r="A2793" s="31" t="str">
        <f aca="false">Demand_History!C2793</f>
        <v>BED-007</v>
      </c>
      <c r="B2793" s="31" t="n">
        <f aca="false">Demand_History!A2793</f>
        <v>88</v>
      </c>
      <c r="C2793" s="32" t="n">
        <f aca="false">Demand_History!D2793</f>
        <v>34</v>
      </c>
      <c r="D2793" s="33" t="n">
        <f aca="false">IF(B2793&gt;=2,C2792,"")</f>
        <v>36</v>
      </c>
      <c r="E2793" s="33" t="n">
        <f aca="false">IF(B2793&gt;=5,AVERAGE(C2789:C2792),"")</f>
        <v>30.25</v>
      </c>
      <c r="F2793" s="33" t="n">
        <f aca="false">IF(B2793&gt;=9,AVERAGE(C2785:C2792),"")</f>
        <v>27.625</v>
      </c>
      <c r="G2793" s="33" t="n">
        <f aca="false">IF(B2793=1,"",IF(B2793=2,C2792,SES_Alpha*C2792+(1-SES_Alpha)*G2792))</f>
        <v>29.9231348579762</v>
      </c>
      <c r="H2793" s="33" t="n">
        <f aca="false">IF(D2793="","",D2793-C2793)</f>
        <v>2</v>
      </c>
      <c r="I2793" s="33" t="n">
        <f aca="false">IF(E2793="","",E2793-C2793)</f>
        <v>-3.75</v>
      </c>
      <c r="J2793" s="33" t="n">
        <f aca="false">IF(F2793="","",F2793-C2793)</f>
        <v>-6.375</v>
      </c>
      <c r="K2793" s="33" t="n">
        <f aca="false">IF(G2793="","",G2793-C2793)</f>
        <v>-4.07686514202376</v>
      </c>
      <c r="L2793" s="33" t="n">
        <f aca="false">IF(H2793="","",ABS(H2793))</f>
        <v>2</v>
      </c>
      <c r="M2793" s="33" t="n">
        <f aca="false">IF(I2793="","",ABS(I2793))</f>
        <v>3.75</v>
      </c>
      <c r="N2793" s="33" t="n">
        <f aca="false">IF(J2793="","",ABS(J2793))</f>
        <v>6.375</v>
      </c>
      <c r="O2793" s="33" t="n">
        <f aca="false">IF(K2793="","",ABS(K2793))</f>
        <v>4.07686514202376</v>
      </c>
      <c r="P2793" s="34" t="str">
        <f aca="false">IF(B2793&gt;=Eval_Start_Week,"YES","")</f>
        <v>YES</v>
      </c>
      <c r="Q2793" s="34" t="str">
        <f aca="false">IF(AND(B2793&gt;=Cal_Start_Week,B2793&lt;=Cal_End_Week),"YES","")</f>
        <v>YES</v>
      </c>
    </row>
    <row r="2794" customFormat="false" ht="15" hidden="false" customHeight="false" outlineLevel="0" collapsed="false">
      <c r="A2794" s="31" t="str">
        <f aca="false">Demand_History!C2794</f>
        <v>BED-007</v>
      </c>
      <c r="B2794" s="31" t="n">
        <f aca="false">Demand_History!A2794</f>
        <v>89</v>
      </c>
      <c r="C2794" s="32" t="n">
        <f aca="false">Demand_History!D2794</f>
        <v>19</v>
      </c>
      <c r="D2794" s="33" t="n">
        <f aca="false">IF(B2794&gt;=2,C2793,"")</f>
        <v>34</v>
      </c>
      <c r="E2794" s="33" t="n">
        <f aca="false">IF(B2794&gt;=5,AVERAGE(C2790:C2793),"")</f>
        <v>31.75</v>
      </c>
      <c r="F2794" s="33" t="n">
        <f aca="false">IF(B2794&gt;=9,AVERAGE(C2786:C2793),"")</f>
        <v>29.125</v>
      </c>
      <c r="G2794" s="33" t="n">
        <f aca="false">IF(B2794=1,"",IF(B2794=2,C2793,SES_Alpha*C2793+(1-SES_Alpha)*G2793))</f>
        <v>31.1461944005834</v>
      </c>
      <c r="H2794" s="33" t="n">
        <f aca="false">IF(D2794="","",D2794-C2794)</f>
        <v>15</v>
      </c>
      <c r="I2794" s="33" t="n">
        <f aca="false">IF(E2794="","",E2794-C2794)</f>
        <v>12.75</v>
      </c>
      <c r="J2794" s="33" t="n">
        <f aca="false">IF(F2794="","",F2794-C2794)</f>
        <v>10.125</v>
      </c>
      <c r="K2794" s="33" t="n">
        <f aca="false">IF(G2794="","",G2794-C2794)</f>
        <v>12.1461944005834</v>
      </c>
      <c r="L2794" s="33" t="n">
        <f aca="false">IF(H2794="","",ABS(H2794))</f>
        <v>15</v>
      </c>
      <c r="M2794" s="33" t="n">
        <f aca="false">IF(I2794="","",ABS(I2794))</f>
        <v>12.75</v>
      </c>
      <c r="N2794" s="33" t="n">
        <f aca="false">IF(J2794="","",ABS(J2794))</f>
        <v>10.125</v>
      </c>
      <c r="O2794" s="33" t="n">
        <f aca="false">IF(K2794="","",ABS(K2794))</f>
        <v>12.1461944005834</v>
      </c>
      <c r="P2794" s="34" t="str">
        <f aca="false">IF(B2794&gt;=Eval_Start_Week,"YES","")</f>
        <v>YES</v>
      </c>
      <c r="Q2794" s="34" t="str">
        <f aca="false">IF(AND(B2794&gt;=Cal_Start_Week,B2794&lt;=Cal_End_Week),"YES","")</f>
        <v/>
      </c>
    </row>
    <row r="2795" customFormat="false" ht="15" hidden="false" customHeight="false" outlineLevel="0" collapsed="false">
      <c r="A2795" s="31" t="str">
        <f aca="false">Demand_History!C2795</f>
        <v>BED-007</v>
      </c>
      <c r="B2795" s="31" t="n">
        <f aca="false">Demand_History!A2795</f>
        <v>90</v>
      </c>
      <c r="C2795" s="32" t="n">
        <f aca="false">Demand_History!D2795</f>
        <v>26</v>
      </c>
      <c r="D2795" s="33" t="n">
        <f aca="false">IF(B2795&gt;=2,C2794,"")</f>
        <v>19</v>
      </c>
      <c r="E2795" s="33" t="n">
        <f aca="false">IF(B2795&gt;=5,AVERAGE(C2791:C2794),"")</f>
        <v>29</v>
      </c>
      <c r="F2795" s="33" t="n">
        <f aca="false">IF(B2795&gt;=9,AVERAGE(C2787:C2794),"")</f>
        <v>27.75</v>
      </c>
      <c r="G2795" s="33" t="n">
        <f aca="false">IF(B2795=1,"",IF(B2795=2,C2794,SES_Alpha*C2794+(1-SES_Alpha)*G2794))</f>
        <v>27.5023360804084</v>
      </c>
      <c r="H2795" s="33" t="n">
        <f aca="false">IF(D2795="","",D2795-C2795)</f>
        <v>-7</v>
      </c>
      <c r="I2795" s="33" t="n">
        <f aca="false">IF(E2795="","",E2795-C2795)</f>
        <v>3</v>
      </c>
      <c r="J2795" s="33" t="n">
        <f aca="false">IF(F2795="","",F2795-C2795)</f>
        <v>1.75</v>
      </c>
      <c r="K2795" s="33" t="n">
        <f aca="false">IF(G2795="","",G2795-C2795)</f>
        <v>1.50233608040836</v>
      </c>
      <c r="L2795" s="33" t="n">
        <f aca="false">IF(H2795="","",ABS(H2795))</f>
        <v>7</v>
      </c>
      <c r="M2795" s="33" t="n">
        <f aca="false">IF(I2795="","",ABS(I2795))</f>
        <v>3</v>
      </c>
      <c r="N2795" s="33" t="n">
        <f aca="false">IF(J2795="","",ABS(J2795))</f>
        <v>1.75</v>
      </c>
      <c r="O2795" s="33" t="n">
        <f aca="false">IF(K2795="","",ABS(K2795))</f>
        <v>1.50233608040836</v>
      </c>
      <c r="P2795" s="34" t="str">
        <f aca="false">IF(B2795&gt;=Eval_Start_Week,"YES","")</f>
        <v>YES</v>
      </c>
      <c r="Q2795" s="34" t="str">
        <f aca="false">IF(AND(B2795&gt;=Cal_Start_Week,B2795&lt;=Cal_End_Week),"YES","")</f>
        <v/>
      </c>
    </row>
    <row r="2796" customFormat="false" ht="15" hidden="false" customHeight="false" outlineLevel="0" collapsed="false">
      <c r="A2796" s="31" t="str">
        <f aca="false">Demand_History!C2796</f>
        <v>BED-007</v>
      </c>
      <c r="B2796" s="31" t="n">
        <f aca="false">Demand_History!A2796</f>
        <v>91</v>
      </c>
      <c r="C2796" s="32" t="n">
        <f aca="false">Demand_History!D2796</f>
        <v>19</v>
      </c>
      <c r="D2796" s="33" t="n">
        <f aca="false">IF(B2796&gt;=2,C2795,"")</f>
        <v>26</v>
      </c>
      <c r="E2796" s="33" t="n">
        <f aca="false">IF(B2796&gt;=5,AVERAGE(C2792:C2795),"")</f>
        <v>28.75</v>
      </c>
      <c r="F2796" s="33" t="n">
        <f aca="false">IF(B2796&gt;=9,AVERAGE(C2788:C2795),"")</f>
        <v>27.125</v>
      </c>
      <c r="G2796" s="33" t="n">
        <f aca="false">IF(B2796=1,"",IF(B2796=2,C2795,SES_Alpha*C2795+(1-SES_Alpha)*G2795))</f>
        <v>27.0516352562859</v>
      </c>
      <c r="H2796" s="33" t="n">
        <f aca="false">IF(D2796="","",D2796-C2796)</f>
        <v>7</v>
      </c>
      <c r="I2796" s="33" t="n">
        <f aca="false">IF(E2796="","",E2796-C2796)</f>
        <v>9.75</v>
      </c>
      <c r="J2796" s="33" t="n">
        <f aca="false">IF(F2796="","",F2796-C2796)</f>
        <v>8.125</v>
      </c>
      <c r="K2796" s="33" t="n">
        <f aca="false">IF(G2796="","",G2796-C2796)</f>
        <v>8.05163525628585</v>
      </c>
      <c r="L2796" s="33" t="n">
        <f aca="false">IF(H2796="","",ABS(H2796))</f>
        <v>7</v>
      </c>
      <c r="M2796" s="33" t="n">
        <f aca="false">IF(I2796="","",ABS(I2796))</f>
        <v>9.75</v>
      </c>
      <c r="N2796" s="33" t="n">
        <f aca="false">IF(J2796="","",ABS(J2796))</f>
        <v>8.125</v>
      </c>
      <c r="O2796" s="33" t="n">
        <f aca="false">IF(K2796="","",ABS(K2796))</f>
        <v>8.05163525628585</v>
      </c>
      <c r="P2796" s="34" t="str">
        <f aca="false">IF(B2796&gt;=Eval_Start_Week,"YES","")</f>
        <v>YES</v>
      </c>
      <c r="Q2796" s="34" t="str">
        <f aca="false">IF(AND(B2796&gt;=Cal_Start_Week,B2796&lt;=Cal_End_Week),"YES","")</f>
        <v/>
      </c>
    </row>
    <row r="2797" customFormat="false" ht="15" hidden="false" customHeight="false" outlineLevel="0" collapsed="false">
      <c r="A2797" s="31" t="str">
        <f aca="false">Demand_History!C2797</f>
        <v>BED-007</v>
      </c>
      <c r="B2797" s="31" t="n">
        <f aca="false">Demand_History!A2797</f>
        <v>92</v>
      </c>
      <c r="C2797" s="32" t="n">
        <f aca="false">Demand_History!D2797</f>
        <v>29</v>
      </c>
      <c r="D2797" s="33" t="n">
        <f aca="false">IF(B2797&gt;=2,C2796,"")</f>
        <v>19</v>
      </c>
      <c r="E2797" s="33" t="n">
        <f aca="false">IF(B2797&gt;=5,AVERAGE(C2793:C2796),"")</f>
        <v>24.5</v>
      </c>
      <c r="F2797" s="33" t="n">
        <f aca="false">IF(B2797&gt;=9,AVERAGE(C2789:C2796),"")</f>
        <v>27.375</v>
      </c>
      <c r="G2797" s="33" t="n">
        <f aca="false">IF(B2797=1,"",IF(B2797=2,C2796,SES_Alpha*C2796+(1-SES_Alpha)*G2796))</f>
        <v>24.6361446794001</v>
      </c>
      <c r="H2797" s="33" t="n">
        <f aca="false">IF(D2797="","",D2797-C2797)</f>
        <v>-10</v>
      </c>
      <c r="I2797" s="33" t="n">
        <f aca="false">IF(E2797="","",E2797-C2797)</f>
        <v>-4.5</v>
      </c>
      <c r="J2797" s="33" t="n">
        <f aca="false">IF(F2797="","",F2797-C2797)</f>
        <v>-1.625</v>
      </c>
      <c r="K2797" s="33" t="n">
        <f aca="false">IF(G2797="","",G2797-C2797)</f>
        <v>-4.36385532059991</v>
      </c>
      <c r="L2797" s="33" t="n">
        <f aca="false">IF(H2797="","",ABS(H2797))</f>
        <v>10</v>
      </c>
      <c r="M2797" s="33" t="n">
        <f aca="false">IF(I2797="","",ABS(I2797))</f>
        <v>4.5</v>
      </c>
      <c r="N2797" s="33" t="n">
        <f aca="false">IF(J2797="","",ABS(J2797))</f>
        <v>1.625</v>
      </c>
      <c r="O2797" s="33" t="n">
        <f aca="false">IF(K2797="","",ABS(K2797))</f>
        <v>4.36385532059991</v>
      </c>
      <c r="P2797" s="34" t="str">
        <f aca="false">IF(B2797&gt;=Eval_Start_Week,"YES","")</f>
        <v>YES</v>
      </c>
      <c r="Q2797" s="34" t="str">
        <f aca="false">IF(AND(B2797&gt;=Cal_Start_Week,B2797&lt;=Cal_End_Week),"YES","")</f>
        <v/>
      </c>
    </row>
    <row r="2798" customFormat="false" ht="15" hidden="false" customHeight="false" outlineLevel="0" collapsed="false">
      <c r="A2798" s="31" t="str">
        <f aca="false">Demand_History!C2798</f>
        <v>BED-007</v>
      </c>
      <c r="B2798" s="31" t="n">
        <f aca="false">Demand_History!A2798</f>
        <v>93</v>
      </c>
      <c r="C2798" s="32" t="n">
        <f aca="false">Demand_History!D2798</f>
        <v>19</v>
      </c>
      <c r="D2798" s="33" t="n">
        <f aca="false">IF(B2798&gt;=2,C2797,"")</f>
        <v>29</v>
      </c>
      <c r="E2798" s="33" t="n">
        <f aca="false">IF(B2798&gt;=5,AVERAGE(C2794:C2797),"")</f>
        <v>23.25</v>
      </c>
      <c r="F2798" s="33" t="n">
        <f aca="false">IF(B2798&gt;=9,AVERAGE(C2790:C2797),"")</f>
        <v>27.5</v>
      </c>
      <c r="G2798" s="33" t="n">
        <f aca="false">IF(B2798=1,"",IF(B2798=2,C2797,SES_Alpha*C2797+(1-SES_Alpha)*G2797))</f>
        <v>25.9453012755801</v>
      </c>
      <c r="H2798" s="33" t="n">
        <f aca="false">IF(D2798="","",D2798-C2798)</f>
        <v>10</v>
      </c>
      <c r="I2798" s="33" t="n">
        <f aca="false">IF(E2798="","",E2798-C2798)</f>
        <v>4.25</v>
      </c>
      <c r="J2798" s="33" t="n">
        <f aca="false">IF(F2798="","",F2798-C2798)</f>
        <v>8.5</v>
      </c>
      <c r="K2798" s="33" t="n">
        <f aca="false">IF(G2798="","",G2798-C2798)</f>
        <v>6.94530127558006</v>
      </c>
      <c r="L2798" s="33" t="n">
        <f aca="false">IF(H2798="","",ABS(H2798))</f>
        <v>10</v>
      </c>
      <c r="M2798" s="33" t="n">
        <f aca="false">IF(I2798="","",ABS(I2798))</f>
        <v>4.25</v>
      </c>
      <c r="N2798" s="33" t="n">
        <f aca="false">IF(J2798="","",ABS(J2798))</f>
        <v>8.5</v>
      </c>
      <c r="O2798" s="33" t="n">
        <f aca="false">IF(K2798="","",ABS(K2798))</f>
        <v>6.94530127558006</v>
      </c>
      <c r="P2798" s="34" t="str">
        <f aca="false">IF(B2798&gt;=Eval_Start_Week,"YES","")</f>
        <v>YES</v>
      </c>
      <c r="Q2798" s="34" t="str">
        <f aca="false">IF(AND(B2798&gt;=Cal_Start_Week,B2798&lt;=Cal_End_Week),"YES","")</f>
        <v/>
      </c>
    </row>
    <row r="2799" customFormat="false" ht="15" hidden="false" customHeight="false" outlineLevel="0" collapsed="false">
      <c r="A2799" s="31" t="str">
        <f aca="false">Demand_History!C2799</f>
        <v>BED-007</v>
      </c>
      <c r="B2799" s="31" t="n">
        <f aca="false">Demand_History!A2799</f>
        <v>94</v>
      </c>
      <c r="C2799" s="32" t="n">
        <f aca="false">Demand_History!D2799</f>
        <v>32</v>
      </c>
      <c r="D2799" s="33" t="n">
        <f aca="false">IF(B2799&gt;=2,C2798,"")</f>
        <v>19</v>
      </c>
      <c r="E2799" s="33" t="n">
        <f aca="false">IF(B2799&gt;=5,AVERAGE(C2795:C2798),"")</f>
        <v>23.25</v>
      </c>
      <c r="F2799" s="33" t="n">
        <f aca="false">IF(B2799&gt;=9,AVERAGE(C2791:C2798),"")</f>
        <v>26.125</v>
      </c>
      <c r="G2799" s="33" t="n">
        <f aca="false">IF(B2799=1,"",IF(B2799=2,C2798,SES_Alpha*C2798+(1-SES_Alpha)*G2798))</f>
        <v>23.861710892906</v>
      </c>
      <c r="H2799" s="33" t="n">
        <f aca="false">IF(D2799="","",D2799-C2799)</f>
        <v>-13</v>
      </c>
      <c r="I2799" s="33" t="n">
        <f aca="false">IF(E2799="","",E2799-C2799)</f>
        <v>-8.75</v>
      </c>
      <c r="J2799" s="33" t="n">
        <f aca="false">IF(F2799="","",F2799-C2799)</f>
        <v>-5.875</v>
      </c>
      <c r="K2799" s="33" t="n">
        <f aca="false">IF(G2799="","",G2799-C2799)</f>
        <v>-8.13828910709396</v>
      </c>
      <c r="L2799" s="33" t="n">
        <f aca="false">IF(H2799="","",ABS(H2799))</f>
        <v>13</v>
      </c>
      <c r="M2799" s="33" t="n">
        <f aca="false">IF(I2799="","",ABS(I2799))</f>
        <v>8.75</v>
      </c>
      <c r="N2799" s="33" t="n">
        <f aca="false">IF(J2799="","",ABS(J2799))</f>
        <v>5.875</v>
      </c>
      <c r="O2799" s="33" t="n">
        <f aca="false">IF(K2799="","",ABS(K2799))</f>
        <v>8.13828910709396</v>
      </c>
      <c r="P2799" s="34" t="str">
        <f aca="false">IF(B2799&gt;=Eval_Start_Week,"YES","")</f>
        <v>YES</v>
      </c>
      <c r="Q2799" s="34" t="str">
        <f aca="false">IF(AND(B2799&gt;=Cal_Start_Week,B2799&lt;=Cal_End_Week),"YES","")</f>
        <v/>
      </c>
    </row>
    <row r="2800" customFormat="false" ht="15" hidden="false" customHeight="false" outlineLevel="0" collapsed="false">
      <c r="A2800" s="31" t="str">
        <f aca="false">Demand_History!C2800</f>
        <v>BED-007</v>
      </c>
      <c r="B2800" s="31" t="n">
        <f aca="false">Demand_History!A2800</f>
        <v>95</v>
      </c>
      <c r="C2800" s="32" t="n">
        <f aca="false">Demand_History!D2800</f>
        <v>28</v>
      </c>
      <c r="D2800" s="33" t="n">
        <f aca="false">IF(B2800&gt;=2,C2799,"")</f>
        <v>32</v>
      </c>
      <c r="E2800" s="33" t="n">
        <f aca="false">IF(B2800&gt;=5,AVERAGE(C2796:C2799),"")</f>
        <v>24.75</v>
      </c>
      <c r="F2800" s="33" t="n">
        <f aca="false">IF(B2800&gt;=9,AVERAGE(C2792:C2799),"")</f>
        <v>26.75</v>
      </c>
      <c r="G2800" s="33" t="n">
        <f aca="false">IF(B2800=1,"",IF(B2800=2,C2799,SES_Alpha*C2799+(1-SES_Alpha)*G2799))</f>
        <v>26.3031976250342</v>
      </c>
      <c r="H2800" s="33" t="n">
        <f aca="false">IF(D2800="","",D2800-C2800)</f>
        <v>4</v>
      </c>
      <c r="I2800" s="33" t="n">
        <f aca="false">IF(E2800="","",E2800-C2800)</f>
        <v>-3.25</v>
      </c>
      <c r="J2800" s="33" t="n">
        <f aca="false">IF(F2800="","",F2800-C2800)</f>
        <v>-1.25</v>
      </c>
      <c r="K2800" s="33" t="n">
        <f aca="false">IF(G2800="","",G2800-C2800)</f>
        <v>-1.69680237496577</v>
      </c>
      <c r="L2800" s="33" t="n">
        <f aca="false">IF(H2800="","",ABS(H2800))</f>
        <v>4</v>
      </c>
      <c r="M2800" s="33" t="n">
        <f aca="false">IF(I2800="","",ABS(I2800))</f>
        <v>3.25</v>
      </c>
      <c r="N2800" s="33" t="n">
        <f aca="false">IF(J2800="","",ABS(J2800))</f>
        <v>1.25</v>
      </c>
      <c r="O2800" s="33" t="n">
        <f aca="false">IF(K2800="","",ABS(K2800))</f>
        <v>1.69680237496577</v>
      </c>
      <c r="P2800" s="34" t="str">
        <f aca="false">IF(B2800&gt;=Eval_Start_Week,"YES","")</f>
        <v>YES</v>
      </c>
      <c r="Q2800" s="34" t="str">
        <f aca="false">IF(AND(B2800&gt;=Cal_Start_Week,B2800&lt;=Cal_End_Week),"YES","")</f>
        <v/>
      </c>
    </row>
    <row r="2801" customFormat="false" ht="15" hidden="false" customHeight="false" outlineLevel="0" collapsed="false">
      <c r="A2801" s="31" t="str">
        <f aca="false">Demand_History!C2801</f>
        <v>BED-007</v>
      </c>
      <c r="B2801" s="31" t="n">
        <f aca="false">Demand_History!A2801</f>
        <v>96</v>
      </c>
      <c r="C2801" s="32" t="n">
        <f aca="false">Demand_History!D2801</f>
        <v>32</v>
      </c>
      <c r="D2801" s="33" t="n">
        <f aca="false">IF(B2801&gt;=2,C2800,"")</f>
        <v>28</v>
      </c>
      <c r="E2801" s="33" t="n">
        <f aca="false">IF(B2801&gt;=5,AVERAGE(C2797:C2800),"")</f>
        <v>27</v>
      </c>
      <c r="F2801" s="33" t="n">
        <f aca="false">IF(B2801&gt;=9,AVERAGE(C2793:C2800),"")</f>
        <v>25.75</v>
      </c>
      <c r="G2801" s="33" t="n">
        <f aca="false">IF(B2801=1,"",IF(B2801=2,C2800,SES_Alpha*C2800+(1-SES_Alpha)*G2800))</f>
        <v>26.812238337524</v>
      </c>
      <c r="H2801" s="33" t="n">
        <f aca="false">IF(D2801="","",D2801-C2801)</f>
        <v>-4</v>
      </c>
      <c r="I2801" s="33" t="n">
        <f aca="false">IF(E2801="","",E2801-C2801)</f>
        <v>-5</v>
      </c>
      <c r="J2801" s="33" t="n">
        <f aca="false">IF(F2801="","",F2801-C2801)</f>
        <v>-6.25</v>
      </c>
      <c r="K2801" s="33" t="n">
        <f aca="false">IF(G2801="","",G2801-C2801)</f>
        <v>-5.18776166247604</v>
      </c>
      <c r="L2801" s="33" t="n">
        <f aca="false">IF(H2801="","",ABS(H2801))</f>
        <v>4</v>
      </c>
      <c r="M2801" s="33" t="n">
        <f aca="false">IF(I2801="","",ABS(I2801))</f>
        <v>5</v>
      </c>
      <c r="N2801" s="33" t="n">
        <f aca="false">IF(J2801="","",ABS(J2801))</f>
        <v>6.25</v>
      </c>
      <c r="O2801" s="33" t="n">
        <f aca="false">IF(K2801="","",ABS(K2801))</f>
        <v>5.18776166247604</v>
      </c>
      <c r="P2801" s="34" t="str">
        <f aca="false">IF(B2801&gt;=Eval_Start_Week,"YES","")</f>
        <v>YES</v>
      </c>
      <c r="Q2801" s="34" t="str">
        <f aca="false">IF(AND(B2801&gt;=Cal_Start_Week,B2801&lt;=Cal_End_Week),"YES","")</f>
        <v/>
      </c>
    </row>
    <row r="2802" customFormat="false" ht="15" hidden="false" customHeight="false" outlineLevel="0" collapsed="false">
      <c r="A2802" s="31" t="str">
        <f aca="false">Demand_History!C2802</f>
        <v>BED-007</v>
      </c>
      <c r="B2802" s="31" t="n">
        <f aca="false">Demand_History!A2802</f>
        <v>97</v>
      </c>
      <c r="C2802" s="32" t="n">
        <f aca="false">Demand_History!D2802</f>
        <v>24</v>
      </c>
      <c r="D2802" s="33" t="n">
        <f aca="false">IF(B2802&gt;=2,C2801,"")</f>
        <v>32</v>
      </c>
      <c r="E2802" s="33" t="n">
        <f aca="false">IF(B2802&gt;=5,AVERAGE(C2798:C2801),"")</f>
        <v>27.75</v>
      </c>
      <c r="F2802" s="33" t="n">
        <f aca="false">IF(B2802&gt;=9,AVERAGE(C2794:C2801),"")</f>
        <v>25.5</v>
      </c>
      <c r="G2802" s="33" t="n">
        <f aca="false">IF(B2802=1,"",IF(B2802=2,C2801,SES_Alpha*C2801+(1-SES_Alpha)*G2801))</f>
        <v>28.3685668362668</v>
      </c>
      <c r="H2802" s="33" t="n">
        <f aca="false">IF(D2802="","",D2802-C2802)</f>
        <v>8</v>
      </c>
      <c r="I2802" s="33" t="n">
        <f aca="false">IF(E2802="","",E2802-C2802)</f>
        <v>3.75</v>
      </c>
      <c r="J2802" s="33" t="n">
        <f aca="false">IF(F2802="","",F2802-C2802)</f>
        <v>1.5</v>
      </c>
      <c r="K2802" s="33" t="n">
        <f aca="false">IF(G2802="","",G2802-C2802)</f>
        <v>4.36856683626677</v>
      </c>
      <c r="L2802" s="33" t="n">
        <f aca="false">IF(H2802="","",ABS(H2802))</f>
        <v>8</v>
      </c>
      <c r="M2802" s="33" t="n">
        <f aca="false">IF(I2802="","",ABS(I2802))</f>
        <v>3.75</v>
      </c>
      <c r="N2802" s="33" t="n">
        <f aca="false">IF(J2802="","",ABS(J2802))</f>
        <v>1.5</v>
      </c>
      <c r="O2802" s="33" t="n">
        <f aca="false">IF(K2802="","",ABS(K2802))</f>
        <v>4.36856683626677</v>
      </c>
      <c r="P2802" s="34" t="str">
        <f aca="false">IF(B2802&gt;=Eval_Start_Week,"YES","")</f>
        <v>YES</v>
      </c>
      <c r="Q2802" s="34" t="str">
        <f aca="false">IF(AND(B2802&gt;=Cal_Start_Week,B2802&lt;=Cal_End_Week),"YES","")</f>
        <v/>
      </c>
    </row>
    <row r="2803" customFormat="false" ht="15" hidden="false" customHeight="false" outlineLevel="0" collapsed="false">
      <c r="A2803" s="31" t="str">
        <f aca="false">Demand_History!C2803</f>
        <v>BED-007</v>
      </c>
      <c r="B2803" s="31" t="n">
        <f aca="false">Demand_History!A2803</f>
        <v>98</v>
      </c>
      <c r="C2803" s="32" t="n">
        <f aca="false">Demand_History!D2803</f>
        <v>14</v>
      </c>
      <c r="D2803" s="33" t="n">
        <f aca="false">IF(B2803&gt;=2,C2802,"")</f>
        <v>24</v>
      </c>
      <c r="E2803" s="33" t="n">
        <f aca="false">IF(B2803&gt;=5,AVERAGE(C2799:C2802),"")</f>
        <v>29</v>
      </c>
      <c r="F2803" s="33" t="n">
        <f aca="false">IF(B2803&gt;=9,AVERAGE(C2795:C2802),"")</f>
        <v>26.125</v>
      </c>
      <c r="G2803" s="33" t="n">
        <f aca="false">IF(B2803=1,"",IF(B2803=2,C2802,SES_Alpha*C2802+(1-SES_Alpha)*G2802))</f>
        <v>27.0579967853867</v>
      </c>
      <c r="H2803" s="33" t="n">
        <f aca="false">IF(D2803="","",D2803-C2803)</f>
        <v>10</v>
      </c>
      <c r="I2803" s="33" t="n">
        <f aca="false">IF(E2803="","",E2803-C2803)</f>
        <v>15</v>
      </c>
      <c r="J2803" s="33" t="n">
        <f aca="false">IF(F2803="","",F2803-C2803)</f>
        <v>12.125</v>
      </c>
      <c r="K2803" s="33" t="n">
        <f aca="false">IF(G2803="","",G2803-C2803)</f>
        <v>13.0579967853867</v>
      </c>
      <c r="L2803" s="33" t="n">
        <f aca="false">IF(H2803="","",ABS(H2803))</f>
        <v>10</v>
      </c>
      <c r="M2803" s="33" t="n">
        <f aca="false">IF(I2803="","",ABS(I2803))</f>
        <v>15</v>
      </c>
      <c r="N2803" s="33" t="n">
        <f aca="false">IF(J2803="","",ABS(J2803))</f>
        <v>12.125</v>
      </c>
      <c r="O2803" s="33" t="n">
        <f aca="false">IF(K2803="","",ABS(K2803))</f>
        <v>13.0579967853867</v>
      </c>
      <c r="P2803" s="34" t="str">
        <f aca="false">IF(B2803&gt;=Eval_Start_Week,"YES","")</f>
        <v>YES</v>
      </c>
      <c r="Q2803" s="34" t="str">
        <f aca="false">IF(AND(B2803&gt;=Cal_Start_Week,B2803&lt;=Cal_End_Week),"YES","")</f>
        <v/>
      </c>
    </row>
    <row r="2804" customFormat="false" ht="15" hidden="false" customHeight="false" outlineLevel="0" collapsed="false">
      <c r="A2804" s="31" t="str">
        <f aca="false">Demand_History!C2804</f>
        <v>BED-007</v>
      </c>
      <c r="B2804" s="31" t="n">
        <f aca="false">Demand_History!A2804</f>
        <v>99</v>
      </c>
      <c r="C2804" s="32" t="n">
        <f aca="false">Demand_History!D2804</f>
        <v>38</v>
      </c>
      <c r="D2804" s="33" t="n">
        <f aca="false">IF(B2804&gt;=2,C2803,"")</f>
        <v>14</v>
      </c>
      <c r="E2804" s="33" t="n">
        <f aca="false">IF(B2804&gt;=5,AVERAGE(C2800:C2803),"")</f>
        <v>24.5</v>
      </c>
      <c r="F2804" s="33" t="n">
        <f aca="false">IF(B2804&gt;=9,AVERAGE(C2796:C2803),"")</f>
        <v>24.625</v>
      </c>
      <c r="G2804" s="33" t="n">
        <f aca="false">IF(B2804=1,"",IF(B2804=2,C2803,SES_Alpha*C2803+(1-SES_Alpha)*G2803))</f>
        <v>23.1405977497707</v>
      </c>
      <c r="H2804" s="33" t="n">
        <f aca="false">IF(D2804="","",D2804-C2804)</f>
        <v>-24</v>
      </c>
      <c r="I2804" s="33" t="n">
        <f aca="false">IF(E2804="","",E2804-C2804)</f>
        <v>-13.5</v>
      </c>
      <c r="J2804" s="33" t="n">
        <f aca="false">IF(F2804="","",F2804-C2804)</f>
        <v>-13.375</v>
      </c>
      <c r="K2804" s="33" t="n">
        <f aca="false">IF(G2804="","",G2804-C2804)</f>
        <v>-14.8594022502293</v>
      </c>
      <c r="L2804" s="33" t="n">
        <f aca="false">IF(H2804="","",ABS(H2804))</f>
        <v>24</v>
      </c>
      <c r="M2804" s="33" t="n">
        <f aca="false">IF(I2804="","",ABS(I2804))</f>
        <v>13.5</v>
      </c>
      <c r="N2804" s="33" t="n">
        <f aca="false">IF(J2804="","",ABS(J2804))</f>
        <v>13.375</v>
      </c>
      <c r="O2804" s="33" t="n">
        <f aca="false">IF(K2804="","",ABS(K2804))</f>
        <v>14.8594022502293</v>
      </c>
      <c r="P2804" s="34" t="str">
        <f aca="false">IF(B2804&gt;=Eval_Start_Week,"YES","")</f>
        <v>YES</v>
      </c>
      <c r="Q2804" s="34" t="str">
        <f aca="false">IF(AND(B2804&gt;=Cal_Start_Week,B2804&lt;=Cal_End_Week),"YES","")</f>
        <v/>
      </c>
    </row>
    <row r="2805" customFormat="false" ht="15" hidden="false" customHeight="false" outlineLevel="0" collapsed="false">
      <c r="A2805" s="31" t="str">
        <f aca="false">Demand_History!C2805</f>
        <v>BED-007</v>
      </c>
      <c r="B2805" s="31" t="n">
        <f aca="false">Demand_History!A2805</f>
        <v>100</v>
      </c>
      <c r="C2805" s="32" t="n">
        <f aca="false">Demand_History!D2805</f>
        <v>24</v>
      </c>
      <c r="D2805" s="33" t="n">
        <f aca="false">IF(B2805&gt;=2,C2804,"")</f>
        <v>38</v>
      </c>
      <c r="E2805" s="33" t="n">
        <f aca="false">IF(B2805&gt;=5,AVERAGE(C2801:C2804),"")</f>
        <v>27</v>
      </c>
      <c r="F2805" s="33" t="n">
        <f aca="false">IF(B2805&gt;=9,AVERAGE(C2797:C2804),"")</f>
        <v>27</v>
      </c>
      <c r="G2805" s="33" t="n">
        <f aca="false">IF(B2805=1,"",IF(B2805=2,C2804,SES_Alpha*C2804+(1-SES_Alpha)*G2804))</f>
        <v>27.5984184248395</v>
      </c>
      <c r="H2805" s="33" t="n">
        <f aca="false">IF(D2805="","",D2805-C2805)</f>
        <v>14</v>
      </c>
      <c r="I2805" s="33" t="n">
        <f aca="false">IF(E2805="","",E2805-C2805)</f>
        <v>3</v>
      </c>
      <c r="J2805" s="33" t="n">
        <f aca="false">IF(F2805="","",F2805-C2805)</f>
        <v>3</v>
      </c>
      <c r="K2805" s="33" t="n">
        <f aca="false">IF(G2805="","",G2805-C2805)</f>
        <v>3.5984184248395</v>
      </c>
      <c r="L2805" s="33" t="n">
        <f aca="false">IF(H2805="","",ABS(H2805))</f>
        <v>14</v>
      </c>
      <c r="M2805" s="33" t="n">
        <f aca="false">IF(I2805="","",ABS(I2805))</f>
        <v>3</v>
      </c>
      <c r="N2805" s="33" t="n">
        <f aca="false">IF(J2805="","",ABS(J2805))</f>
        <v>3</v>
      </c>
      <c r="O2805" s="33" t="n">
        <f aca="false">IF(K2805="","",ABS(K2805))</f>
        <v>3.5984184248395</v>
      </c>
      <c r="P2805" s="34" t="str">
        <f aca="false">IF(B2805&gt;=Eval_Start_Week,"YES","")</f>
        <v>YES</v>
      </c>
      <c r="Q2805" s="34" t="str">
        <f aca="false">IF(AND(B2805&gt;=Cal_Start_Week,B2805&lt;=Cal_End_Week),"YES","")</f>
        <v/>
      </c>
    </row>
    <row r="2806" customFormat="false" ht="15" hidden="false" customHeight="false" outlineLevel="0" collapsed="false">
      <c r="A2806" s="31" t="str">
        <f aca="false">Demand_History!C2806</f>
        <v>BED-007</v>
      </c>
      <c r="B2806" s="31" t="n">
        <f aca="false">Demand_History!A2806</f>
        <v>101</v>
      </c>
      <c r="C2806" s="32" t="n">
        <f aca="false">Demand_History!D2806</f>
        <v>35</v>
      </c>
      <c r="D2806" s="33" t="n">
        <f aca="false">IF(B2806&gt;=2,C2805,"")</f>
        <v>24</v>
      </c>
      <c r="E2806" s="33" t="n">
        <f aca="false">IF(B2806&gt;=5,AVERAGE(C2802:C2805),"")</f>
        <v>25</v>
      </c>
      <c r="F2806" s="33" t="n">
        <f aca="false">IF(B2806&gt;=9,AVERAGE(C2798:C2805),"")</f>
        <v>26.375</v>
      </c>
      <c r="G2806" s="33" t="n">
        <f aca="false">IF(B2806=1,"",IF(B2806=2,C2805,SES_Alpha*C2805+(1-SES_Alpha)*G2805))</f>
        <v>26.5188928973876</v>
      </c>
      <c r="H2806" s="33" t="n">
        <f aca="false">IF(D2806="","",D2806-C2806)</f>
        <v>-11</v>
      </c>
      <c r="I2806" s="33" t="n">
        <f aca="false">IF(E2806="","",E2806-C2806)</f>
        <v>-10</v>
      </c>
      <c r="J2806" s="33" t="n">
        <f aca="false">IF(F2806="","",F2806-C2806)</f>
        <v>-8.625</v>
      </c>
      <c r="K2806" s="33" t="n">
        <f aca="false">IF(G2806="","",G2806-C2806)</f>
        <v>-8.48110710261235</v>
      </c>
      <c r="L2806" s="33" t="n">
        <f aca="false">IF(H2806="","",ABS(H2806))</f>
        <v>11</v>
      </c>
      <c r="M2806" s="33" t="n">
        <f aca="false">IF(I2806="","",ABS(I2806))</f>
        <v>10</v>
      </c>
      <c r="N2806" s="33" t="n">
        <f aca="false">IF(J2806="","",ABS(J2806))</f>
        <v>8.625</v>
      </c>
      <c r="O2806" s="33" t="n">
        <f aca="false">IF(K2806="","",ABS(K2806))</f>
        <v>8.48110710261235</v>
      </c>
      <c r="P2806" s="34" t="str">
        <f aca="false">IF(B2806&gt;=Eval_Start_Week,"YES","")</f>
        <v>YES</v>
      </c>
      <c r="Q2806" s="34" t="str">
        <f aca="false">IF(AND(B2806&gt;=Cal_Start_Week,B2806&lt;=Cal_End_Week),"YES","")</f>
        <v/>
      </c>
    </row>
    <row r="2807" customFormat="false" ht="15" hidden="false" customHeight="false" outlineLevel="0" collapsed="false">
      <c r="A2807" s="31" t="str">
        <f aca="false">Demand_History!C2807</f>
        <v>BED-007</v>
      </c>
      <c r="B2807" s="31" t="n">
        <f aca="false">Demand_History!A2807</f>
        <v>102</v>
      </c>
      <c r="C2807" s="32" t="n">
        <f aca="false">Demand_History!D2807</f>
        <v>28</v>
      </c>
      <c r="D2807" s="33" t="n">
        <f aca="false">IF(B2807&gt;=2,C2806,"")</f>
        <v>35</v>
      </c>
      <c r="E2807" s="33" t="n">
        <f aca="false">IF(B2807&gt;=5,AVERAGE(C2803:C2806),"")</f>
        <v>27.75</v>
      </c>
      <c r="F2807" s="33" t="n">
        <f aca="false">IF(B2807&gt;=9,AVERAGE(C2799:C2806),"")</f>
        <v>28.375</v>
      </c>
      <c r="G2807" s="33" t="n">
        <f aca="false">IF(B2807=1,"",IF(B2807=2,C2806,SES_Alpha*C2806+(1-SES_Alpha)*G2806))</f>
        <v>29.0632250281714</v>
      </c>
      <c r="H2807" s="33" t="n">
        <f aca="false">IF(D2807="","",D2807-C2807)</f>
        <v>7</v>
      </c>
      <c r="I2807" s="33" t="n">
        <f aca="false">IF(E2807="","",E2807-C2807)</f>
        <v>-0.25</v>
      </c>
      <c r="J2807" s="33" t="n">
        <f aca="false">IF(F2807="","",F2807-C2807)</f>
        <v>0.375</v>
      </c>
      <c r="K2807" s="33" t="n">
        <f aca="false">IF(G2807="","",G2807-C2807)</f>
        <v>1.06322502817135</v>
      </c>
      <c r="L2807" s="33" t="n">
        <f aca="false">IF(H2807="","",ABS(H2807))</f>
        <v>7</v>
      </c>
      <c r="M2807" s="33" t="n">
        <f aca="false">IF(I2807="","",ABS(I2807))</f>
        <v>0.25</v>
      </c>
      <c r="N2807" s="33" t="n">
        <f aca="false">IF(J2807="","",ABS(J2807))</f>
        <v>0.375</v>
      </c>
      <c r="O2807" s="33" t="n">
        <f aca="false">IF(K2807="","",ABS(K2807))</f>
        <v>1.06322502817135</v>
      </c>
      <c r="P2807" s="34" t="str">
        <f aca="false">IF(B2807&gt;=Eval_Start_Week,"YES","")</f>
        <v>YES</v>
      </c>
      <c r="Q2807" s="34" t="str">
        <f aca="false">IF(AND(B2807&gt;=Cal_Start_Week,B2807&lt;=Cal_End_Week),"YES","")</f>
        <v/>
      </c>
    </row>
    <row r="2808" customFormat="false" ht="15" hidden="false" customHeight="false" outlineLevel="0" collapsed="false">
      <c r="A2808" s="31" t="str">
        <f aca="false">Demand_History!C2808</f>
        <v>BED-007</v>
      </c>
      <c r="B2808" s="31" t="n">
        <f aca="false">Demand_History!A2808</f>
        <v>103</v>
      </c>
      <c r="C2808" s="32" t="n">
        <f aca="false">Demand_History!D2808</f>
        <v>30</v>
      </c>
      <c r="D2808" s="33" t="n">
        <f aca="false">IF(B2808&gt;=2,C2807,"")</f>
        <v>28</v>
      </c>
      <c r="E2808" s="33" t="n">
        <f aca="false">IF(B2808&gt;=5,AVERAGE(C2804:C2807),"")</f>
        <v>31.25</v>
      </c>
      <c r="F2808" s="33" t="n">
        <f aca="false">IF(B2808&gt;=9,AVERAGE(C2800:C2807),"")</f>
        <v>27.875</v>
      </c>
      <c r="G2808" s="33" t="n">
        <f aca="false">IF(B2808=1,"",IF(B2808=2,C2807,SES_Alpha*C2807+(1-SES_Alpha)*G2807))</f>
        <v>28.7442575197199</v>
      </c>
      <c r="H2808" s="33" t="n">
        <f aca="false">IF(D2808="","",D2808-C2808)</f>
        <v>-2</v>
      </c>
      <c r="I2808" s="33" t="n">
        <f aca="false">IF(E2808="","",E2808-C2808)</f>
        <v>1.25</v>
      </c>
      <c r="J2808" s="33" t="n">
        <f aca="false">IF(F2808="","",F2808-C2808)</f>
        <v>-2.125</v>
      </c>
      <c r="K2808" s="33" t="n">
        <f aca="false">IF(G2808="","",G2808-C2808)</f>
        <v>-1.25574248028006</v>
      </c>
      <c r="L2808" s="33" t="n">
        <f aca="false">IF(H2808="","",ABS(H2808))</f>
        <v>2</v>
      </c>
      <c r="M2808" s="33" t="n">
        <f aca="false">IF(I2808="","",ABS(I2808))</f>
        <v>1.25</v>
      </c>
      <c r="N2808" s="33" t="n">
        <f aca="false">IF(J2808="","",ABS(J2808))</f>
        <v>2.125</v>
      </c>
      <c r="O2808" s="33" t="n">
        <f aca="false">IF(K2808="","",ABS(K2808))</f>
        <v>1.25574248028006</v>
      </c>
      <c r="P2808" s="34" t="str">
        <f aca="false">IF(B2808&gt;=Eval_Start_Week,"YES","")</f>
        <v>YES</v>
      </c>
      <c r="Q2808" s="34" t="str">
        <f aca="false">IF(AND(B2808&gt;=Cal_Start_Week,B2808&lt;=Cal_End_Week),"YES","")</f>
        <v/>
      </c>
    </row>
    <row r="2809" customFormat="false" ht="15" hidden="false" customHeight="false" outlineLevel="0" collapsed="false">
      <c r="A2809" s="31" t="str">
        <f aca="false">Demand_History!C2809</f>
        <v>BED-007</v>
      </c>
      <c r="B2809" s="31" t="n">
        <f aca="false">Demand_History!A2809</f>
        <v>104</v>
      </c>
      <c r="C2809" s="32" t="n">
        <f aca="false">Demand_History!D2809</f>
        <v>38</v>
      </c>
      <c r="D2809" s="33" t="n">
        <f aca="false">IF(B2809&gt;=2,C2808,"")</f>
        <v>30</v>
      </c>
      <c r="E2809" s="33" t="n">
        <f aca="false">IF(B2809&gt;=5,AVERAGE(C2805:C2808),"")</f>
        <v>29.25</v>
      </c>
      <c r="F2809" s="33" t="n">
        <f aca="false">IF(B2809&gt;=9,AVERAGE(C2801:C2808),"")</f>
        <v>28.125</v>
      </c>
      <c r="G2809" s="33" t="n">
        <f aca="false">IF(B2809=1,"",IF(B2809=2,C2808,SES_Alpha*C2808+(1-SES_Alpha)*G2808))</f>
        <v>29.120980263804</v>
      </c>
      <c r="H2809" s="33" t="n">
        <f aca="false">IF(D2809="","",D2809-C2809)</f>
        <v>-8</v>
      </c>
      <c r="I2809" s="33" t="n">
        <f aca="false">IF(E2809="","",E2809-C2809)</f>
        <v>-8.75</v>
      </c>
      <c r="J2809" s="33" t="n">
        <f aca="false">IF(F2809="","",F2809-C2809)</f>
        <v>-9.875</v>
      </c>
      <c r="K2809" s="33" t="n">
        <f aca="false">IF(G2809="","",G2809-C2809)</f>
        <v>-8.87901973619604</v>
      </c>
      <c r="L2809" s="33" t="n">
        <f aca="false">IF(H2809="","",ABS(H2809))</f>
        <v>8</v>
      </c>
      <c r="M2809" s="33" t="n">
        <f aca="false">IF(I2809="","",ABS(I2809))</f>
        <v>8.75</v>
      </c>
      <c r="N2809" s="33" t="n">
        <f aca="false">IF(J2809="","",ABS(J2809))</f>
        <v>9.875</v>
      </c>
      <c r="O2809" s="33" t="n">
        <f aca="false">IF(K2809="","",ABS(K2809))</f>
        <v>8.87901973619604</v>
      </c>
      <c r="P2809" s="34" t="str">
        <f aca="false">IF(B2809&gt;=Eval_Start_Week,"YES","")</f>
        <v>YES</v>
      </c>
      <c r="Q2809" s="34" t="str">
        <f aca="false">IF(AND(B2809&gt;=Cal_Start_Week,B2809&lt;=Cal_End_Week),"YES","")</f>
        <v/>
      </c>
    </row>
    <row r="2810" customFormat="false" ht="15" hidden="false" customHeight="false" outlineLevel="0" collapsed="false">
      <c r="A2810" s="31" t="str">
        <f aca="false">Demand_History!C2810</f>
        <v>BED-008</v>
      </c>
      <c r="B2810" s="31" t="n">
        <f aca="false">Demand_History!A2810</f>
        <v>1</v>
      </c>
      <c r="C2810" s="32" t="n">
        <f aca="false">Demand_History!D2810</f>
        <v>8</v>
      </c>
      <c r="D2810" s="33" t="str">
        <f aca="false">IF(B2810&gt;=2,C2809,"")</f>
        <v/>
      </c>
      <c r="E2810" s="33" t="str">
        <f aca="false">IF(B2810&gt;=5,AVERAGE(C2806:C2809),"")</f>
        <v/>
      </c>
      <c r="F2810" s="33" t="str">
        <f aca="false">IF(B2810&gt;=9,AVERAGE(C2802:C2809),"")</f>
        <v/>
      </c>
      <c r="G2810" s="33" t="str">
        <f aca="false">IF(B2810=1,"",IF(B2810=2,C2809,SES_Alpha*C2809+(1-SES_Alpha)*G2809))</f>
        <v/>
      </c>
      <c r="H2810" s="33" t="str">
        <f aca="false">IF(D2810="","",D2810-C2810)</f>
        <v/>
      </c>
      <c r="I2810" s="33" t="str">
        <f aca="false">IF(E2810="","",E2810-C2810)</f>
        <v/>
      </c>
      <c r="J2810" s="33" t="str">
        <f aca="false">IF(F2810="","",F2810-C2810)</f>
        <v/>
      </c>
      <c r="K2810" s="33" t="str">
        <f aca="false">IF(G2810="","",G2810-C2810)</f>
        <v/>
      </c>
      <c r="L2810" s="33" t="str">
        <f aca="false">IF(H2810="","",ABS(H2810))</f>
        <v/>
      </c>
      <c r="M2810" s="33" t="str">
        <f aca="false">IF(I2810="","",ABS(I2810))</f>
        <v/>
      </c>
      <c r="N2810" s="33" t="str">
        <f aca="false">IF(J2810="","",ABS(J2810))</f>
        <v/>
      </c>
      <c r="O2810" s="33" t="str">
        <f aca="false">IF(K2810="","",ABS(K2810))</f>
        <v/>
      </c>
      <c r="P2810" s="34" t="str">
        <f aca="false">IF(B2810&gt;=Eval_Start_Week,"YES","")</f>
        <v/>
      </c>
      <c r="Q2810" s="34" t="str">
        <f aca="false">IF(AND(B2810&gt;=Cal_Start_Week,B2810&lt;=Cal_End_Week),"YES","")</f>
        <v/>
      </c>
    </row>
    <row r="2811" customFormat="false" ht="15" hidden="false" customHeight="false" outlineLevel="0" collapsed="false">
      <c r="A2811" s="31" t="str">
        <f aca="false">Demand_History!C2811</f>
        <v>BED-008</v>
      </c>
      <c r="B2811" s="31" t="n">
        <f aca="false">Demand_History!A2811</f>
        <v>2</v>
      </c>
      <c r="C2811" s="32" t="n">
        <f aca="false">Demand_History!D2811</f>
        <v>6</v>
      </c>
      <c r="D2811" s="33" t="n">
        <f aca="false">IF(B2811&gt;=2,C2810,"")</f>
        <v>8</v>
      </c>
      <c r="E2811" s="33" t="str">
        <f aca="false">IF(B2811&gt;=5,AVERAGE(C2807:C2810),"")</f>
        <v/>
      </c>
      <c r="F2811" s="33" t="str">
        <f aca="false">IF(B2811&gt;=9,AVERAGE(C2803:C2810),"")</f>
        <v/>
      </c>
      <c r="G2811" s="33" t="n">
        <f aca="false">IF(B2811=1,"",IF(B2811=2,C2810,SES_Alpha*C2810+(1-SES_Alpha)*G2810))</f>
        <v>8</v>
      </c>
      <c r="H2811" s="33" t="n">
        <f aca="false">IF(D2811="","",D2811-C2811)</f>
        <v>2</v>
      </c>
      <c r="I2811" s="33" t="str">
        <f aca="false">IF(E2811="","",E2811-C2811)</f>
        <v/>
      </c>
      <c r="J2811" s="33" t="str">
        <f aca="false">IF(F2811="","",F2811-C2811)</f>
        <v/>
      </c>
      <c r="K2811" s="33" t="n">
        <f aca="false">IF(G2811="","",G2811-C2811)</f>
        <v>2</v>
      </c>
      <c r="L2811" s="33" t="n">
        <f aca="false">IF(H2811="","",ABS(H2811))</f>
        <v>2</v>
      </c>
      <c r="M2811" s="33" t="str">
        <f aca="false">IF(I2811="","",ABS(I2811))</f>
        <v/>
      </c>
      <c r="N2811" s="33" t="str">
        <f aca="false">IF(J2811="","",ABS(J2811))</f>
        <v/>
      </c>
      <c r="O2811" s="33" t="n">
        <f aca="false">IF(K2811="","",ABS(K2811))</f>
        <v>2</v>
      </c>
      <c r="P2811" s="34" t="str">
        <f aca="false">IF(B2811&gt;=Eval_Start_Week,"YES","")</f>
        <v/>
      </c>
      <c r="Q2811" s="34" t="str">
        <f aca="false">IF(AND(B2811&gt;=Cal_Start_Week,B2811&lt;=Cal_End_Week),"YES","")</f>
        <v/>
      </c>
    </row>
    <row r="2812" customFormat="false" ht="15" hidden="false" customHeight="false" outlineLevel="0" collapsed="false">
      <c r="A2812" s="31" t="str">
        <f aca="false">Demand_History!C2812</f>
        <v>BED-008</v>
      </c>
      <c r="B2812" s="31" t="n">
        <f aca="false">Demand_History!A2812</f>
        <v>3</v>
      </c>
      <c r="C2812" s="32" t="n">
        <f aca="false">Demand_History!D2812</f>
        <v>6</v>
      </c>
      <c r="D2812" s="33" t="n">
        <f aca="false">IF(B2812&gt;=2,C2811,"")</f>
        <v>6</v>
      </c>
      <c r="E2812" s="33" t="str">
        <f aca="false">IF(B2812&gt;=5,AVERAGE(C2808:C2811),"")</f>
        <v/>
      </c>
      <c r="F2812" s="33" t="str">
        <f aca="false">IF(B2812&gt;=9,AVERAGE(C2804:C2811),"")</f>
        <v/>
      </c>
      <c r="G2812" s="33" t="n">
        <f aca="false">IF(B2812=1,"",IF(B2812=2,C2811,SES_Alpha*C2811+(1-SES_Alpha)*G2811))</f>
        <v>7.4</v>
      </c>
      <c r="H2812" s="33" t="n">
        <f aca="false">IF(D2812="","",D2812-C2812)</f>
        <v>0</v>
      </c>
      <c r="I2812" s="33" t="str">
        <f aca="false">IF(E2812="","",E2812-C2812)</f>
        <v/>
      </c>
      <c r="J2812" s="33" t="str">
        <f aca="false">IF(F2812="","",F2812-C2812)</f>
        <v/>
      </c>
      <c r="K2812" s="33" t="n">
        <f aca="false">IF(G2812="","",G2812-C2812)</f>
        <v>1.4</v>
      </c>
      <c r="L2812" s="33" t="n">
        <f aca="false">IF(H2812="","",ABS(H2812))</f>
        <v>0</v>
      </c>
      <c r="M2812" s="33" t="str">
        <f aca="false">IF(I2812="","",ABS(I2812))</f>
        <v/>
      </c>
      <c r="N2812" s="33" t="str">
        <f aca="false">IF(J2812="","",ABS(J2812))</f>
        <v/>
      </c>
      <c r="O2812" s="33" t="n">
        <f aca="false">IF(K2812="","",ABS(K2812))</f>
        <v>1.4</v>
      </c>
      <c r="P2812" s="34" t="str">
        <f aca="false">IF(B2812&gt;=Eval_Start_Week,"YES","")</f>
        <v/>
      </c>
      <c r="Q2812" s="34" t="str">
        <f aca="false">IF(AND(B2812&gt;=Cal_Start_Week,B2812&lt;=Cal_End_Week),"YES","")</f>
        <v/>
      </c>
    </row>
    <row r="2813" customFormat="false" ht="15" hidden="false" customHeight="false" outlineLevel="0" collapsed="false">
      <c r="A2813" s="31" t="str">
        <f aca="false">Demand_History!C2813</f>
        <v>BED-008</v>
      </c>
      <c r="B2813" s="31" t="n">
        <f aca="false">Demand_History!A2813</f>
        <v>4</v>
      </c>
      <c r="C2813" s="32" t="n">
        <f aca="false">Demand_History!D2813</f>
        <v>9</v>
      </c>
      <c r="D2813" s="33" t="n">
        <f aca="false">IF(B2813&gt;=2,C2812,"")</f>
        <v>6</v>
      </c>
      <c r="E2813" s="33" t="str">
        <f aca="false">IF(B2813&gt;=5,AVERAGE(C2809:C2812),"")</f>
        <v/>
      </c>
      <c r="F2813" s="33" t="str">
        <f aca="false">IF(B2813&gt;=9,AVERAGE(C2805:C2812),"")</f>
        <v/>
      </c>
      <c r="G2813" s="33" t="n">
        <f aca="false">IF(B2813=1,"",IF(B2813=2,C2812,SES_Alpha*C2812+(1-SES_Alpha)*G2812))</f>
        <v>6.98</v>
      </c>
      <c r="H2813" s="33" t="n">
        <f aca="false">IF(D2813="","",D2813-C2813)</f>
        <v>-3</v>
      </c>
      <c r="I2813" s="33" t="str">
        <f aca="false">IF(E2813="","",E2813-C2813)</f>
        <v/>
      </c>
      <c r="J2813" s="33" t="str">
        <f aca="false">IF(F2813="","",F2813-C2813)</f>
        <v/>
      </c>
      <c r="K2813" s="33" t="n">
        <f aca="false">IF(G2813="","",G2813-C2813)</f>
        <v>-2.02</v>
      </c>
      <c r="L2813" s="33" t="n">
        <f aca="false">IF(H2813="","",ABS(H2813))</f>
        <v>3</v>
      </c>
      <c r="M2813" s="33" t="str">
        <f aca="false">IF(I2813="","",ABS(I2813))</f>
        <v/>
      </c>
      <c r="N2813" s="33" t="str">
        <f aca="false">IF(J2813="","",ABS(J2813))</f>
        <v/>
      </c>
      <c r="O2813" s="33" t="n">
        <f aca="false">IF(K2813="","",ABS(K2813))</f>
        <v>2.02</v>
      </c>
      <c r="P2813" s="34" t="str">
        <f aca="false">IF(B2813&gt;=Eval_Start_Week,"YES","")</f>
        <v/>
      </c>
      <c r="Q2813" s="34" t="str">
        <f aca="false">IF(AND(B2813&gt;=Cal_Start_Week,B2813&lt;=Cal_End_Week),"YES","")</f>
        <v/>
      </c>
    </row>
    <row r="2814" customFormat="false" ht="15" hidden="false" customHeight="false" outlineLevel="0" collapsed="false">
      <c r="A2814" s="31" t="str">
        <f aca="false">Demand_History!C2814</f>
        <v>BED-008</v>
      </c>
      <c r="B2814" s="31" t="n">
        <f aca="false">Demand_History!A2814</f>
        <v>5</v>
      </c>
      <c r="C2814" s="32" t="n">
        <f aca="false">Demand_History!D2814</f>
        <v>6</v>
      </c>
      <c r="D2814" s="33" t="n">
        <f aca="false">IF(B2814&gt;=2,C2813,"")</f>
        <v>9</v>
      </c>
      <c r="E2814" s="33" t="n">
        <f aca="false">IF(B2814&gt;=5,AVERAGE(C2810:C2813),"")</f>
        <v>7.25</v>
      </c>
      <c r="F2814" s="33" t="str">
        <f aca="false">IF(B2814&gt;=9,AVERAGE(C2806:C2813),"")</f>
        <v/>
      </c>
      <c r="G2814" s="33" t="n">
        <f aca="false">IF(B2814=1,"",IF(B2814=2,C2813,SES_Alpha*C2813+(1-SES_Alpha)*G2813))</f>
        <v>7.586</v>
      </c>
      <c r="H2814" s="33" t="n">
        <f aca="false">IF(D2814="","",D2814-C2814)</f>
        <v>3</v>
      </c>
      <c r="I2814" s="33" t="n">
        <f aca="false">IF(E2814="","",E2814-C2814)</f>
        <v>1.25</v>
      </c>
      <c r="J2814" s="33" t="str">
        <f aca="false">IF(F2814="","",F2814-C2814)</f>
        <v/>
      </c>
      <c r="K2814" s="33" t="n">
        <f aca="false">IF(G2814="","",G2814-C2814)</f>
        <v>1.586</v>
      </c>
      <c r="L2814" s="33" t="n">
        <f aca="false">IF(H2814="","",ABS(H2814))</f>
        <v>3</v>
      </c>
      <c r="M2814" s="33" t="n">
        <f aca="false">IF(I2814="","",ABS(I2814))</f>
        <v>1.25</v>
      </c>
      <c r="N2814" s="33" t="str">
        <f aca="false">IF(J2814="","",ABS(J2814))</f>
        <v/>
      </c>
      <c r="O2814" s="33" t="n">
        <f aca="false">IF(K2814="","",ABS(K2814))</f>
        <v>1.586</v>
      </c>
      <c r="P2814" s="34" t="str">
        <f aca="false">IF(B2814&gt;=Eval_Start_Week,"YES","")</f>
        <v/>
      </c>
      <c r="Q2814" s="34" t="str">
        <f aca="false">IF(AND(B2814&gt;=Cal_Start_Week,B2814&lt;=Cal_End_Week),"YES","")</f>
        <v/>
      </c>
    </row>
    <row r="2815" customFormat="false" ht="15" hidden="false" customHeight="false" outlineLevel="0" collapsed="false">
      <c r="A2815" s="31" t="str">
        <f aca="false">Demand_History!C2815</f>
        <v>BED-008</v>
      </c>
      <c r="B2815" s="31" t="n">
        <f aca="false">Demand_History!A2815</f>
        <v>6</v>
      </c>
      <c r="C2815" s="32" t="n">
        <f aca="false">Demand_History!D2815</f>
        <v>10</v>
      </c>
      <c r="D2815" s="33" t="n">
        <f aca="false">IF(B2815&gt;=2,C2814,"")</f>
        <v>6</v>
      </c>
      <c r="E2815" s="33" t="n">
        <f aca="false">IF(B2815&gt;=5,AVERAGE(C2811:C2814),"")</f>
        <v>6.75</v>
      </c>
      <c r="F2815" s="33" t="str">
        <f aca="false">IF(B2815&gt;=9,AVERAGE(C2807:C2814),"")</f>
        <v/>
      </c>
      <c r="G2815" s="33" t="n">
        <f aca="false">IF(B2815=1,"",IF(B2815=2,C2814,SES_Alpha*C2814+(1-SES_Alpha)*G2814))</f>
        <v>7.1102</v>
      </c>
      <c r="H2815" s="33" t="n">
        <f aca="false">IF(D2815="","",D2815-C2815)</f>
        <v>-4</v>
      </c>
      <c r="I2815" s="33" t="n">
        <f aca="false">IF(E2815="","",E2815-C2815)</f>
        <v>-3.25</v>
      </c>
      <c r="J2815" s="33" t="str">
        <f aca="false">IF(F2815="","",F2815-C2815)</f>
        <v/>
      </c>
      <c r="K2815" s="33" t="n">
        <f aca="false">IF(G2815="","",G2815-C2815)</f>
        <v>-2.8898</v>
      </c>
      <c r="L2815" s="33" t="n">
        <f aca="false">IF(H2815="","",ABS(H2815))</f>
        <v>4</v>
      </c>
      <c r="M2815" s="33" t="n">
        <f aca="false">IF(I2815="","",ABS(I2815))</f>
        <v>3.25</v>
      </c>
      <c r="N2815" s="33" t="str">
        <f aca="false">IF(J2815="","",ABS(J2815))</f>
        <v/>
      </c>
      <c r="O2815" s="33" t="n">
        <f aca="false">IF(K2815="","",ABS(K2815))</f>
        <v>2.8898</v>
      </c>
      <c r="P2815" s="34" t="str">
        <f aca="false">IF(B2815&gt;=Eval_Start_Week,"YES","")</f>
        <v/>
      </c>
      <c r="Q2815" s="34" t="str">
        <f aca="false">IF(AND(B2815&gt;=Cal_Start_Week,B2815&lt;=Cal_End_Week),"YES","")</f>
        <v/>
      </c>
    </row>
    <row r="2816" customFormat="false" ht="15" hidden="false" customHeight="false" outlineLevel="0" collapsed="false">
      <c r="A2816" s="31" t="str">
        <f aca="false">Demand_History!C2816</f>
        <v>BED-008</v>
      </c>
      <c r="B2816" s="31" t="n">
        <f aca="false">Demand_History!A2816</f>
        <v>7</v>
      </c>
      <c r="C2816" s="32" t="n">
        <f aca="false">Demand_History!D2816</f>
        <v>8</v>
      </c>
      <c r="D2816" s="33" t="n">
        <f aca="false">IF(B2816&gt;=2,C2815,"")</f>
        <v>10</v>
      </c>
      <c r="E2816" s="33" t="n">
        <f aca="false">IF(B2816&gt;=5,AVERAGE(C2812:C2815),"")</f>
        <v>7.75</v>
      </c>
      <c r="F2816" s="33" t="str">
        <f aca="false">IF(B2816&gt;=9,AVERAGE(C2808:C2815),"")</f>
        <v/>
      </c>
      <c r="G2816" s="33" t="n">
        <f aca="false">IF(B2816=1,"",IF(B2816=2,C2815,SES_Alpha*C2815+(1-SES_Alpha)*G2815))</f>
        <v>7.97714</v>
      </c>
      <c r="H2816" s="33" t="n">
        <f aca="false">IF(D2816="","",D2816-C2816)</f>
        <v>2</v>
      </c>
      <c r="I2816" s="33" t="n">
        <f aca="false">IF(E2816="","",E2816-C2816)</f>
        <v>-0.25</v>
      </c>
      <c r="J2816" s="33" t="str">
        <f aca="false">IF(F2816="","",F2816-C2816)</f>
        <v/>
      </c>
      <c r="K2816" s="33" t="n">
        <f aca="false">IF(G2816="","",G2816-C2816)</f>
        <v>-0.0228600000000014</v>
      </c>
      <c r="L2816" s="33" t="n">
        <f aca="false">IF(H2816="","",ABS(H2816))</f>
        <v>2</v>
      </c>
      <c r="M2816" s="33" t="n">
        <f aca="false">IF(I2816="","",ABS(I2816))</f>
        <v>0.25</v>
      </c>
      <c r="N2816" s="33" t="str">
        <f aca="false">IF(J2816="","",ABS(J2816))</f>
        <v/>
      </c>
      <c r="O2816" s="33" t="n">
        <f aca="false">IF(K2816="","",ABS(K2816))</f>
        <v>0.0228600000000014</v>
      </c>
      <c r="P2816" s="34" t="str">
        <f aca="false">IF(B2816&gt;=Eval_Start_Week,"YES","")</f>
        <v/>
      </c>
      <c r="Q2816" s="34" t="str">
        <f aca="false">IF(AND(B2816&gt;=Cal_Start_Week,B2816&lt;=Cal_End_Week),"YES","")</f>
        <v/>
      </c>
    </row>
    <row r="2817" customFormat="false" ht="15" hidden="false" customHeight="false" outlineLevel="0" collapsed="false">
      <c r="A2817" s="31" t="str">
        <f aca="false">Demand_History!C2817</f>
        <v>BED-008</v>
      </c>
      <c r="B2817" s="31" t="n">
        <f aca="false">Demand_History!A2817</f>
        <v>8</v>
      </c>
      <c r="C2817" s="32" t="n">
        <f aca="false">Demand_History!D2817</f>
        <v>7</v>
      </c>
      <c r="D2817" s="33" t="n">
        <f aca="false">IF(B2817&gt;=2,C2816,"")</f>
        <v>8</v>
      </c>
      <c r="E2817" s="33" t="n">
        <f aca="false">IF(B2817&gt;=5,AVERAGE(C2813:C2816),"")</f>
        <v>8.25</v>
      </c>
      <c r="F2817" s="33" t="str">
        <f aca="false">IF(B2817&gt;=9,AVERAGE(C2809:C2816),"")</f>
        <v/>
      </c>
      <c r="G2817" s="33" t="n">
        <f aca="false">IF(B2817=1,"",IF(B2817=2,C2816,SES_Alpha*C2816+(1-SES_Alpha)*G2816))</f>
        <v>7.983998</v>
      </c>
      <c r="H2817" s="33" t="n">
        <f aca="false">IF(D2817="","",D2817-C2817)</f>
        <v>1</v>
      </c>
      <c r="I2817" s="33" t="n">
        <f aca="false">IF(E2817="","",E2817-C2817)</f>
        <v>1.25</v>
      </c>
      <c r="J2817" s="33" t="str">
        <f aca="false">IF(F2817="","",F2817-C2817)</f>
        <v/>
      </c>
      <c r="K2817" s="33" t="n">
        <f aca="false">IF(G2817="","",G2817-C2817)</f>
        <v>0.983997999999998</v>
      </c>
      <c r="L2817" s="33" t="n">
        <f aca="false">IF(H2817="","",ABS(H2817))</f>
        <v>1</v>
      </c>
      <c r="M2817" s="33" t="n">
        <f aca="false">IF(I2817="","",ABS(I2817))</f>
        <v>1.25</v>
      </c>
      <c r="N2817" s="33" t="str">
        <f aca="false">IF(J2817="","",ABS(J2817))</f>
        <v/>
      </c>
      <c r="O2817" s="33" t="n">
        <f aca="false">IF(K2817="","",ABS(K2817))</f>
        <v>0.983997999999998</v>
      </c>
      <c r="P2817" s="34" t="str">
        <f aca="false">IF(B2817&gt;=Eval_Start_Week,"YES","")</f>
        <v/>
      </c>
      <c r="Q2817" s="34" t="str">
        <f aca="false">IF(AND(B2817&gt;=Cal_Start_Week,B2817&lt;=Cal_End_Week),"YES","")</f>
        <v/>
      </c>
    </row>
    <row r="2818" customFormat="false" ht="15" hidden="false" customHeight="false" outlineLevel="0" collapsed="false">
      <c r="A2818" s="31" t="str">
        <f aca="false">Demand_History!C2818</f>
        <v>BED-008</v>
      </c>
      <c r="B2818" s="31" t="n">
        <f aca="false">Demand_History!A2818</f>
        <v>9</v>
      </c>
      <c r="C2818" s="32" t="n">
        <f aca="false">Demand_History!D2818</f>
        <v>8</v>
      </c>
      <c r="D2818" s="33" t="n">
        <f aca="false">IF(B2818&gt;=2,C2817,"")</f>
        <v>7</v>
      </c>
      <c r="E2818" s="33" t="n">
        <f aca="false">IF(B2818&gt;=5,AVERAGE(C2814:C2817),"")</f>
        <v>7.75</v>
      </c>
      <c r="F2818" s="33" t="n">
        <f aca="false">IF(B2818&gt;=9,AVERAGE(C2810:C2817),"")</f>
        <v>7.5</v>
      </c>
      <c r="G2818" s="33" t="n">
        <f aca="false">IF(B2818=1,"",IF(B2818=2,C2817,SES_Alpha*C2817+(1-SES_Alpha)*G2817))</f>
        <v>7.6887986</v>
      </c>
      <c r="H2818" s="33" t="n">
        <f aca="false">IF(D2818="","",D2818-C2818)</f>
        <v>-1</v>
      </c>
      <c r="I2818" s="33" t="n">
        <f aca="false">IF(E2818="","",E2818-C2818)</f>
        <v>-0.25</v>
      </c>
      <c r="J2818" s="33" t="n">
        <f aca="false">IF(F2818="","",F2818-C2818)</f>
        <v>-0.5</v>
      </c>
      <c r="K2818" s="33" t="n">
        <f aca="false">IF(G2818="","",G2818-C2818)</f>
        <v>-0.311201400000002</v>
      </c>
      <c r="L2818" s="33" t="n">
        <f aca="false">IF(H2818="","",ABS(H2818))</f>
        <v>1</v>
      </c>
      <c r="M2818" s="33" t="n">
        <f aca="false">IF(I2818="","",ABS(I2818))</f>
        <v>0.25</v>
      </c>
      <c r="N2818" s="33" t="n">
        <f aca="false">IF(J2818="","",ABS(J2818))</f>
        <v>0.5</v>
      </c>
      <c r="O2818" s="33" t="n">
        <f aca="false">IF(K2818="","",ABS(K2818))</f>
        <v>0.311201400000002</v>
      </c>
      <c r="P2818" s="34" t="str">
        <f aca="false">IF(B2818&gt;=Eval_Start_Week,"YES","")</f>
        <v/>
      </c>
      <c r="Q2818" s="34" t="str">
        <f aca="false">IF(AND(B2818&gt;=Cal_Start_Week,B2818&lt;=Cal_End_Week),"YES","")</f>
        <v/>
      </c>
    </row>
    <row r="2819" customFormat="false" ht="15" hidden="false" customHeight="false" outlineLevel="0" collapsed="false">
      <c r="A2819" s="31" t="str">
        <f aca="false">Demand_History!C2819</f>
        <v>BED-008</v>
      </c>
      <c r="B2819" s="31" t="n">
        <f aca="false">Demand_History!A2819</f>
        <v>10</v>
      </c>
      <c r="C2819" s="32" t="n">
        <f aca="false">Demand_History!D2819</f>
        <v>9</v>
      </c>
      <c r="D2819" s="33" t="n">
        <f aca="false">IF(B2819&gt;=2,C2818,"")</f>
        <v>8</v>
      </c>
      <c r="E2819" s="33" t="n">
        <f aca="false">IF(B2819&gt;=5,AVERAGE(C2815:C2818),"")</f>
        <v>8.25</v>
      </c>
      <c r="F2819" s="33" t="n">
        <f aca="false">IF(B2819&gt;=9,AVERAGE(C2811:C2818),"")</f>
        <v>7.5</v>
      </c>
      <c r="G2819" s="33" t="n">
        <f aca="false">IF(B2819=1,"",IF(B2819=2,C2818,SES_Alpha*C2818+(1-SES_Alpha)*G2818))</f>
        <v>7.78215902</v>
      </c>
      <c r="H2819" s="33" t="n">
        <f aca="false">IF(D2819="","",D2819-C2819)</f>
        <v>-1</v>
      </c>
      <c r="I2819" s="33" t="n">
        <f aca="false">IF(E2819="","",E2819-C2819)</f>
        <v>-0.75</v>
      </c>
      <c r="J2819" s="33" t="n">
        <f aca="false">IF(F2819="","",F2819-C2819)</f>
        <v>-1.5</v>
      </c>
      <c r="K2819" s="33" t="n">
        <f aca="false">IF(G2819="","",G2819-C2819)</f>
        <v>-1.21784098</v>
      </c>
      <c r="L2819" s="33" t="n">
        <f aca="false">IF(H2819="","",ABS(H2819))</f>
        <v>1</v>
      </c>
      <c r="M2819" s="33" t="n">
        <f aca="false">IF(I2819="","",ABS(I2819))</f>
        <v>0.75</v>
      </c>
      <c r="N2819" s="33" t="n">
        <f aca="false">IF(J2819="","",ABS(J2819))</f>
        <v>1.5</v>
      </c>
      <c r="O2819" s="33" t="n">
        <f aca="false">IF(K2819="","",ABS(K2819))</f>
        <v>1.21784098</v>
      </c>
      <c r="P2819" s="34" t="str">
        <f aca="false">IF(B2819&gt;=Eval_Start_Week,"YES","")</f>
        <v/>
      </c>
      <c r="Q2819" s="34" t="str">
        <f aca="false">IF(AND(B2819&gt;=Cal_Start_Week,B2819&lt;=Cal_End_Week),"YES","")</f>
        <v/>
      </c>
    </row>
    <row r="2820" customFormat="false" ht="15" hidden="false" customHeight="false" outlineLevel="0" collapsed="false">
      <c r="A2820" s="31" t="str">
        <f aca="false">Demand_History!C2820</f>
        <v>BED-008</v>
      </c>
      <c r="B2820" s="31" t="n">
        <f aca="false">Demand_History!A2820</f>
        <v>11</v>
      </c>
      <c r="C2820" s="32" t="n">
        <f aca="false">Demand_History!D2820</f>
        <v>10</v>
      </c>
      <c r="D2820" s="33" t="n">
        <f aca="false">IF(B2820&gt;=2,C2819,"")</f>
        <v>9</v>
      </c>
      <c r="E2820" s="33" t="n">
        <f aca="false">IF(B2820&gt;=5,AVERAGE(C2816:C2819),"")</f>
        <v>8</v>
      </c>
      <c r="F2820" s="33" t="n">
        <f aca="false">IF(B2820&gt;=9,AVERAGE(C2812:C2819),"")</f>
        <v>7.875</v>
      </c>
      <c r="G2820" s="33" t="n">
        <f aca="false">IF(B2820=1,"",IF(B2820=2,C2819,SES_Alpha*C2819+(1-SES_Alpha)*G2819))</f>
        <v>8.147511314</v>
      </c>
      <c r="H2820" s="33" t="n">
        <f aca="false">IF(D2820="","",D2820-C2820)</f>
        <v>-1</v>
      </c>
      <c r="I2820" s="33" t="n">
        <f aca="false">IF(E2820="","",E2820-C2820)</f>
        <v>-2</v>
      </c>
      <c r="J2820" s="33" t="n">
        <f aca="false">IF(F2820="","",F2820-C2820)</f>
        <v>-2.125</v>
      </c>
      <c r="K2820" s="33" t="n">
        <f aca="false">IF(G2820="","",G2820-C2820)</f>
        <v>-1.852488686</v>
      </c>
      <c r="L2820" s="33" t="n">
        <f aca="false">IF(H2820="","",ABS(H2820))</f>
        <v>1</v>
      </c>
      <c r="M2820" s="33" t="n">
        <f aca="false">IF(I2820="","",ABS(I2820))</f>
        <v>2</v>
      </c>
      <c r="N2820" s="33" t="n">
        <f aca="false">IF(J2820="","",ABS(J2820))</f>
        <v>2.125</v>
      </c>
      <c r="O2820" s="33" t="n">
        <f aca="false">IF(K2820="","",ABS(K2820))</f>
        <v>1.852488686</v>
      </c>
      <c r="P2820" s="34" t="str">
        <f aca="false">IF(B2820&gt;=Eval_Start_Week,"YES","")</f>
        <v/>
      </c>
      <c r="Q2820" s="34" t="str">
        <f aca="false">IF(AND(B2820&gt;=Cal_Start_Week,B2820&lt;=Cal_End_Week),"YES","")</f>
        <v/>
      </c>
    </row>
    <row r="2821" customFormat="false" ht="15" hidden="false" customHeight="false" outlineLevel="0" collapsed="false">
      <c r="A2821" s="31" t="str">
        <f aca="false">Demand_History!C2821</f>
        <v>BED-008</v>
      </c>
      <c r="B2821" s="31" t="n">
        <f aca="false">Demand_History!A2821</f>
        <v>12</v>
      </c>
      <c r="C2821" s="32" t="n">
        <f aca="false">Demand_History!D2821</f>
        <v>8</v>
      </c>
      <c r="D2821" s="33" t="n">
        <f aca="false">IF(B2821&gt;=2,C2820,"")</f>
        <v>10</v>
      </c>
      <c r="E2821" s="33" t="n">
        <f aca="false">IF(B2821&gt;=5,AVERAGE(C2817:C2820),"")</f>
        <v>8.5</v>
      </c>
      <c r="F2821" s="33" t="n">
        <f aca="false">IF(B2821&gt;=9,AVERAGE(C2813:C2820),"")</f>
        <v>8.375</v>
      </c>
      <c r="G2821" s="33" t="n">
        <f aca="false">IF(B2821=1,"",IF(B2821=2,C2820,SES_Alpha*C2820+(1-SES_Alpha)*G2820))</f>
        <v>8.7032579198</v>
      </c>
      <c r="H2821" s="33" t="n">
        <f aca="false">IF(D2821="","",D2821-C2821)</f>
        <v>2</v>
      </c>
      <c r="I2821" s="33" t="n">
        <f aca="false">IF(E2821="","",E2821-C2821)</f>
        <v>0.5</v>
      </c>
      <c r="J2821" s="33" t="n">
        <f aca="false">IF(F2821="","",F2821-C2821)</f>
        <v>0.375</v>
      </c>
      <c r="K2821" s="33" t="n">
        <f aca="false">IF(G2821="","",G2821-C2821)</f>
        <v>0.703257919799999</v>
      </c>
      <c r="L2821" s="33" t="n">
        <f aca="false">IF(H2821="","",ABS(H2821))</f>
        <v>2</v>
      </c>
      <c r="M2821" s="33" t="n">
        <f aca="false">IF(I2821="","",ABS(I2821))</f>
        <v>0.5</v>
      </c>
      <c r="N2821" s="33" t="n">
        <f aca="false">IF(J2821="","",ABS(J2821))</f>
        <v>0.375</v>
      </c>
      <c r="O2821" s="33" t="n">
        <f aca="false">IF(K2821="","",ABS(K2821))</f>
        <v>0.703257919799999</v>
      </c>
      <c r="P2821" s="34" t="str">
        <f aca="false">IF(B2821&gt;=Eval_Start_Week,"YES","")</f>
        <v/>
      </c>
      <c r="Q2821" s="34" t="str">
        <f aca="false">IF(AND(B2821&gt;=Cal_Start_Week,B2821&lt;=Cal_End_Week),"YES","")</f>
        <v/>
      </c>
    </row>
    <row r="2822" customFormat="false" ht="15" hidden="false" customHeight="false" outlineLevel="0" collapsed="false">
      <c r="A2822" s="31" t="str">
        <f aca="false">Demand_History!C2822</f>
        <v>BED-008</v>
      </c>
      <c r="B2822" s="31" t="n">
        <f aca="false">Demand_History!A2822</f>
        <v>13</v>
      </c>
      <c r="C2822" s="32" t="n">
        <f aca="false">Demand_History!D2822</f>
        <v>8</v>
      </c>
      <c r="D2822" s="33" t="n">
        <f aca="false">IF(B2822&gt;=2,C2821,"")</f>
        <v>8</v>
      </c>
      <c r="E2822" s="33" t="n">
        <f aca="false">IF(B2822&gt;=5,AVERAGE(C2818:C2821),"")</f>
        <v>8.75</v>
      </c>
      <c r="F2822" s="33" t="n">
        <f aca="false">IF(B2822&gt;=9,AVERAGE(C2814:C2821),"")</f>
        <v>8.25</v>
      </c>
      <c r="G2822" s="33" t="n">
        <f aca="false">IF(B2822=1,"",IF(B2822=2,C2821,SES_Alpha*C2821+(1-SES_Alpha)*G2821))</f>
        <v>8.49228054386</v>
      </c>
      <c r="H2822" s="33" t="n">
        <f aca="false">IF(D2822="","",D2822-C2822)</f>
        <v>0</v>
      </c>
      <c r="I2822" s="33" t="n">
        <f aca="false">IF(E2822="","",E2822-C2822)</f>
        <v>0.75</v>
      </c>
      <c r="J2822" s="33" t="n">
        <f aca="false">IF(F2822="","",F2822-C2822)</f>
        <v>0.25</v>
      </c>
      <c r="K2822" s="33" t="n">
        <f aca="false">IF(G2822="","",G2822-C2822)</f>
        <v>0.492280543859998</v>
      </c>
      <c r="L2822" s="33" t="n">
        <f aca="false">IF(H2822="","",ABS(H2822))</f>
        <v>0</v>
      </c>
      <c r="M2822" s="33" t="n">
        <f aca="false">IF(I2822="","",ABS(I2822))</f>
        <v>0.75</v>
      </c>
      <c r="N2822" s="33" t="n">
        <f aca="false">IF(J2822="","",ABS(J2822))</f>
        <v>0.25</v>
      </c>
      <c r="O2822" s="33" t="n">
        <f aca="false">IF(K2822="","",ABS(K2822))</f>
        <v>0.492280543859998</v>
      </c>
      <c r="P2822" s="34" t="str">
        <f aca="false">IF(B2822&gt;=Eval_Start_Week,"YES","")</f>
        <v/>
      </c>
      <c r="Q2822" s="34" t="str">
        <f aca="false">IF(AND(B2822&gt;=Cal_Start_Week,B2822&lt;=Cal_End_Week),"YES","")</f>
        <v/>
      </c>
    </row>
    <row r="2823" customFormat="false" ht="15" hidden="false" customHeight="false" outlineLevel="0" collapsed="false">
      <c r="A2823" s="31" t="str">
        <f aca="false">Demand_History!C2823</f>
        <v>BED-008</v>
      </c>
      <c r="B2823" s="31" t="n">
        <f aca="false">Demand_History!A2823</f>
        <v>14</v>
      </c>
      <c r="C2823" s="32" t="n">
        <f aca="false">Demand_History!D2823</f>
        <v>9</v>
      </c>
      <c r="D2823" s="33" t="n">
        <f aca="false">IF(B2823&gt;=2,C2822,"")</f>
        <v>8</v>
      </c>
      <c r="E2823" s="33" t="n">
        <f aca="false">IF(B2823&gt;=5,AVERAGE(C2819:C2822),"")</f>
        <v>8.75</v>
      </c>
      <c r="F2823" s="33" t="n">
        <f aca="false">IF(B2823&gt;=9,AVERAGE(C2815:C2822),"")</f>
        <v>8.5</v>
      </c>
      <c r="G2823" s="33" t="n">
        <f aca="false">IF(B2823=1,"",IF(B2823=2,C2822,SES_Alpha*C2822+(1-SES_Alpha)*G2822))</f>
        <v>8.344596380702</v>
      </c>
      <c r="H2823" s="33" t="n">
        <f aca="false">IF(D2823="","",D2823-C2823)</f>
        <v>-1</v>
      </c>
      <c r="I2823" s="33" t="n">
        <f aca="false">IF(E2823="","",E2823-C2823)</f>
        <v>-0.25</v>
      </c>
      <c r="J2823" s="33" t="n">
        <f aca="false">IF(F2823="","",F2823-C2823)</f>
        <v>-0.5</v>
      </c>
      <c r="K2823" s="33" t="n">
        <f aca="false">IF(G2823="","",G2823-C2823)</f>
        <v>-0.655403619298001</v>
      </c>
      <c r="L2823" s="33" t="n">
        <f aca="false">IF(H2823="","",ABS(H2823))</f>
        <v>1</v>
      </c>
      <c r="M2823" s="33" t="n">
        <f aca="false">IF(I2823="","",ABS(I2823))</f>
        <v>0.25</v>
      </c>
      <c r="N2823" s="33" t="n">
        <f aca="false">IF(J2823="","",ABS(J2823))</f>
        <v>0.5</v>
      </c>
      <c r="O2823" s="33" t="n">
        <f aca="false">IF(K2823="","",ABS(K2823))</f>
        <v>0.655403619298001</v>
      </c>
      <c r="P2823" s="34" t="str">
        <f aca="false">IF(B2823&gt;=Eval_Start_Week,"YES","")</f>
        <v/>
      </c>
      <c r="Q2823" s="34" t="str">
        <f aca="false">IF(AND(B2823&gt;=Cal_Start_Week,B2823&lt;=Cal_End_Week),"YES","")</f>
        <v/>
      </c>
    </row>
    <row r="2824" customFormat="false" ht="15" hidden="false" customHeight="false" outlineLevel="0" collapsed="false">
      <c r="A2824" s="31" t="str">
        <f aca="false">Demand_History!C2824</f>
        <v>BED-008</v>
      </c>
      <c r="B2824" s="31" t="n">
        <f aca="false">Demand_History!A2824</f>
        <v>15</v>
      </c>
      <c r="C2824" s="32" t="n">
        <f aca="false">Demand_History!D2824</f>
        <v>4</v>
      </c>
      <c r="D2824" s="33" t="n">
        <f aca="false">IF(B2824&gt;=2,C2823,"")</f>
        <v>9</v>
      </c>
      <c r="E2824" s="33" t="n">
        <f aca="false">IF(B2824&gt;=5,AVERAGE(C2820:C2823),"")</f>
        <v>8.75</v>
      </c>
      <c r="F2824" s="33" t="n">
        <f aca="false">IF(B2824&gt;=9,AVERAGE(C2816:C2823),"")</f>
        <v>8.375</v>
      </c>
      <c r="G2824" s="33" t="n">
        <f aca="false">IF(B2824=1,"",IF(B2824=2,C2823,SES_Alpha*C2823+(1-SES_Alpha)*G2823))</f>
        <v>8.5412174664914</v>
      </c>
      <c r="H2824" s="33" t="n">
        <f aca="false">IF(D2824="","",D2824-C2824)</f>
        <v>5</v>
      </c>
      <c r="I2824" s="33" t="n">
        <f aca="false">IF(E2824="","",E2824-C2824)</f>
        <v>4.75</v>
      </c>
      <c r="J2824" s="33" t="n">
        <f aca="false">IF(F2824="","",F2824-C2824)</f>
        <v>4.375</v>
      </c>
      <c r="K2824" s="33" t="n">
        <f aca="false">IF(G2824="","",G2824-C2824)</f>
        <v>4.5412174664914</v>
      </c>
      <c r="L2824" s="33" t="n">
        <f aca="false">IF(H2824="","",ABS(H2824))</f>
        <v>5</v>
      </c>
      <c r="M2824" s="33" t="n">
        <f aca="false">IF(I2824="","",ABS(I2824))</f>
        <v>4.75</v>
      </c>
      <c r="N2824" s="33" t="n">
        <f aca="false">IF(J2824="","",ABS(J2824))</f>
        <v>4.375</v>
      </c>
      <c r="O2824" s="33" t="n">
        <f aca="false">IF(K2824="","",ABS(K2824))</f>
        <v>4.5412174664914</v>
      </c>
      <c r="P2824" s="34" t="str">
        <f aca="false">IF(B2824&gt;=Eval_Start_Week,"YES","")</f>
        <v/>
      </c>
      <c r="Q2824" s="34" t="str">
        <f aca="false">IF(AND(B2824&gt;=Cal_Start_Week,B2824&lt;=Cal_End_Week),"YES","")</f>
        <v/>
      </c>
    </row>
    <row r="2825" customFormat="false" ht="15" hidden="false" customHeight="false" outlineLevel="0" collapsed="false">
      <c r="A2825" s="31" t="str">
        <f aca="false">Demand_History!C2825</f>
        <v>BED-008</v>
      </c>
      <c r="B2825" s="31" t="n">
        <f aca="false">Demand_History!A2825</f>
        <v>16</v>
      </c>
      <c r="C2825" s="32" t="n">
        <f aca="false">Demand_History!D2825</f>
        <v>5</v>
      </c>
      <c r="D2825" s="33" t="n">
        <f aca="false">IF(B2825&gt;=2,C2824,"")</f>
        <v>4</v>
      </c>
      <c r="E2825" s="33" t="n">
        <f aca="false">IF(B2825&gt;=5,AVERAGE(C2821:C2824),"")</f>
        <v>7.25</v>
      </c>
      <c r="F2825" s="33" t="n">
        <f aca="false">IF(B2825&gt;=9,AVERAGE(C2817:C2824),"")</f>
        <v>7.875</v>
      </c>
      <c r="G2825" s="33" t="n">
        <f aca="false">IF(B2825=1,"",IF(B2825=2,C2824,SES_Alpha*C2824+(1-SES_Alpha)*G2824))</f>
        <v>7.17885222654398</v>
      </c>
      <c r="H2825" s="33" t="n">
        <f aca="false">IF(D2825="","",D2825-C2825)</f>
        <v>-1</v>
      </c>
      <c r="I2825" s="33" t="n">
        <f aca="false">IF(E2825="","",E2825-C2825)</f>
        <v>2.25</v>
      </c>
      <c r="J2825" s="33" t="n">
        <f aca="false">IF(F2825="","",F2825-C2825)</f>
        <v>2.875</v>
      </c>
      <c r="K2825" s="33" t="n">
        <f aca="false">IF(G2825="","",G2825-C2825)</f>
        <v>2.17885222654398</v>
      </c>
      <c r="L2825" s="33" t="n">
        <f aca="false">IF(H2825="","",ABS(H2825))</f>
        <v>1</v>
      </c>
      <c r="M2825" s="33" t="n">
        <f aca="false">IF(I2825="","",ABS(I2825))</f>
        <v>2.25</v>
      </c>
      <c r="N2825" s="33" t="n">
        <f aca="false">IF(J2825="","",ABS(J2825))</f>
        <v>2.875</v>
      </c>
      <c r="O2825" s="33" t="n">
        <f aca="false">IF(K2825="","",ABS(K2825))</f>
        <v>2.17885222654398</v>
      </c>
      <c r="P2825" s="34" t="str">
        <f aca="false">IF(B2825&gt;=Eval_Start_Week,"YES","")</f>
        <v/>
      </c>
      <c r="Q2825" s="34" t="str">
        <f aca="false">IF(AND(B2825&gt;=Cal_Start_Week,B2825&lt;=Cal_End_Week),"YES","")</f>
        <v/>
      </c>
    </row>
    <row r="2826" customFormat="false" ht="15" hidden="false" customHeight="false" outlineLevel="0" collapsed="false">
      <c r="A2826" s="31" t="str">
        <f aca="false">Demand_History!C2826</f>
        <v>BED-008</v>
      </c>
      <c r="B2826" s="31" t="n">
        <f aca="false">Demand_History!A2826</f>
        <v>17</v>
      </c>
      <c r="C2826" s="32" t="n">
        <f aca="false">Demand_History!D2826</f>
        <v>9</v>
      </c>
      <c r="D2826" s="33" t="n">
        <f aca="false">IF(B2826&gt;=2,C2825,"")</f>
        <v>5</v>
      </c>
      <c r="E2826" s="33" t="n">
        <f aca="false">IF(B2826&gt;=5,AVERAGE(C2822:C2825),"")</f>
        <v>6.5</v>
      </c>
      <c r="F2826" s="33" t="n">
        <f aca="false">IF(B2826&gt;=9,AVERAGE(C2818:C2825),"")</f>
        <v>7.625</v>
      </c>
      <c r="G2826" s="33" t="n">
        <f aca="false">IF(B2826=1,"",IF(B2826=2,C2825,SES_Alpha*C2825+(1-SES_Alpha)*G2825))</f>
        <v>6.52519655858078</v>
      </c>
      <c r="H2826" s="33" t="n">
        <f aca="false">IF(D2826="","",D2826-C2826)</f>
        <v>-4</v>
      </c>
      <c r="I2826" s="33" t="n">
        <f aca="false">IF(E2826="","",E2826-C2826)</f>
        <v>-2.5</v>
      </c>
      <c r="J2826" s="33" t="n">
        <f aca="false">IF(F2826="","",F2826-C2826)</f>
        <v>-1.375</v>
      </c>
      <c r="K2826" s="33" t="n">
        <f aca="false">IF(G2826="","",G2826-C2826)</f>
        <v>-2.47480344141922</v>
      </c>
      <c r="L2826" s="33" t="n">
        <f aca="false">IF(H2826="","",ABS(H2826))</f>
        <v>4</v>
      </c>
      <c r="M2826" s="33" t="n">
        <f aca="false">IF(I2826="","",ABS(I2826))</f>
        <v>2.5</v>
      </c>
      <c r="N2826" s="33" t="n">
        <f aca="false">IF(J2826="","",ABS(J2826))</f>
        <v>1.375</v>
      </c>
      <c r="O2826" s="33" t="n">
        <f aca="false">IF(K2826="","",ABS(K2826))</f>
        <v>2.47480344141922</v>
      </c>
      <c r="P2826" s="34" t="str">
        <f aca="false">IF(B2826&gt;=Eval_Start_Week,"YES","")</f>
        <v/>
      </c>
      <c r="Q2826" s="34" t="str">
        <f aca="false">IF(AND(B2826&gt;=Cal_Start_Week,B2826&lt;=Cal_End_Week),"YES","")</f>
        <v/>
      </c>
    </row>
    <row r="2827" customFormat="false" ht="15" hidden="false" customHeight="false" outlineLevel="0" collapsed="false">
      <c r="A2827" s="31" t="str">
        <f aca="false">Demand_History!C2827</f>
        <v>BED-008</v>
      </c>
      <c r="B2827" s="31" t="n">
        <f aca="false">Demand_History!A2827</f>
        <v>18</v>
      </c>
      <c r="C2827" s="32" t="n">
        <f aca="false">Demand_History!D2827</f>
        <v>5</v>
      </c>
      <c r="D2827" s="33" t="n">
        <f aca="false">IF(B2827&gt;=2,C2826,"")</f>
        <v>9</v>
      </c>
      <c r="E2827" s="33" t="n">
        <f aca="false">IF(B2827&gt;=5,AVERAGE(C2823:C2826),"")</f>
        <v>6.75</v>
      </c>
      <c r="F2827" s="33" t="n">
        <f aca="false">IF(B2827&gt;=9,AVERAGE(C2819:C2826),"")</f>
        <v>7.75</v>
      </c>
      <c r="G2827" s="33" t="n">
        <f aca="false">IF(B2827=1,"",IF(B2827=2,C2826,SES_Alpha*C2826+(1-SES_Alpha)*G2826))</f>
        <v>7.26763759100655</v>
      </c>
      <c r="H2827" s="33" t="n">
        <f aca="false">IF(D2827="","",D2827-C2827)</f>
        <v>4</v>
      </c>
      <c r="I2827" s="33" t="n">
        <f aca="false">IF(E2827="","",E2827-C2827)</f>
        <v>1.75</v>
      </c>
      <c r="J2827" s="33" t="n">
        <f aca="false">IF(F2827="","",F2827-C2827)</f>
        <v>2.75</v>
      </c>
      <c r="K2827" s="33" t="n">
        <f aca="false">IF(G2827="","",G2827-C2827)</f>
        <v>2.26763759100655</v>
      </c>
      <c r="L2827" s="33" t="n">
        <f aca="false">IF(H2827="","",ABS(H2827))</f>
        <v>4</v>
      </c>
      <c r="M2827" s="33" t="n">
        <f aca="false">IF(I2827="","",ABS(I2827))</f>
        <v>1.75</v>
      </c>
      <c r="N2827" s="33" t="n">
        <f aca="false">IF(J2827="","",ABS(J2827))</f>
        <v>2.75</v>
      </c>
      <c r="O2827" s="33" t="n">
        <f aca="false">IF(K2827="","",ABS(K2827))</f>
        <v>2.26763759100655</v>
      </c>
      <c r="P2827" s="34" t="str">
        <f aca="false">IF(B2827&gt;=Eval_Start_Week,"YES","")</f>
        <v/>
      </c>
      <c r="Q2827" s="34" t="str">
        <f aca="false">IF(AND(B2827&gt;=Cal_Start_Week,B2827&lt;=Cal_End_Week),"YES","")</f>
        <v/>
      </c>
    </row>
    <row r="2828" customFormat="false" ht="15" hidden="false" customHeight="false" outlineLevel="0" collapsed="false">
      <c r="A2828" s="31" t="str">
        <f aca="false">Demand_History!C2828</f>
        <v>BED-008</v>
      </c>
      <c r="B2828" s="31" t="n">
        <f aca="false">Demand_History!A2828</f>
        <v>19</v>
      </c>
      <c r="C2828" s="32" t="n">
        <f aca="false">Demand_History!D2828</f>
        <v>10</v>
      </c>
      <c r="D2828" s="33" t="n">
        <f aca="false">IF(B2828&gt;=2,C2827,"")</f>
        <v>5</v>
      </c>
      <c r="E2828" s="33" t="n">
        <f aca="false">IF(B2828&gt;=5,AVERAGE(C2824:C2827),"")</f>
        <v>5.75</v>
      </c>
      <c r="F2828" s="33" t="n">
        <f aca="false">IF(B2828&gt;=9,AVERAGE(C2820:C2827),"")</f>
        <v>7.25</v>
      </c>
      <c r="G2828" s="33" t="n">
        <f aca="false">IF(B2828=1,"",IF(B2828=2,C2827,SES_Alpha*C2827+(1-SES_Alpha)*G2827))</f>
        <v>6.58734631370458</v>
      </c>
      <c r="H2828" s="33" t="n">
        <f aca="false">IF(D2828="","",D2828-C2828)</f>
        <v>-5</v>
      </c>
      <c r="I2828" s="33" t="n">
        <f aca="false">IF(E2828="","",E2828-C2828)</f>
        <v>-4.25</v>
      </c>
      <c r="J2828" s="33" t="n">
        <f aca="false">IF(F2828="","",F2828-C2828)</f>
        <v>-2.75</v>
      </c>
      <c r="K2828" s="33" t="n">
        <f aca="false">IF(G2828="","",G2828-C2828)</f>
        <v>-3.41265368629542</v>
      </c>
      <c r="L2828" s="33" t="n">
        <f aca="false">IF(H2828="","",ABS(H2828))</f>
        <v>5</v>
      </c>
      <c r="M2828" s="33" t="n">
        <f aca="false">IF(I2828="","",ABS(I2828))</f>
        <v>4.25</v>
      </c>
      <c r="N2828" s="33" t="n">
        <f aca="false">IF(J2828="","",ABS(J2828))</f>
        <v>2.75</v>
      </c>
      <c r="O2828" s="33" t="n">
        <f aca="false">IF(K2828="","",ABS(K2828))</f>
        <v>3.41265368629542</v>
      </c>
      <c r="P2828" s="34" t="str">
        <f aca="false">IF(B2828&gt;=Eval_Start_Week,"YES","")</f>
        <v/>
      </c>
      <c r="Q2828" s="34" t="str">
        <f aca="false">IF(AND(B2828&gt;=Cal_Start_Week,B2828&lt;=Cal_End_Week),"YES","")</f>
        <v/>
      </c>
    </row>
    <row r="2829" customFormat="false" ht="15" hidden="false" customHeight="false" outlineLevel="0" collapsed="false">
      <c r="A2829" s="31" t="str">
        <f aca="false">Demand_History!C2829</f>
        <v>BED-008</v>
      </c>
      <c r="B2829" s="31" t="n">
        <f aca="false">Demand_History!A2829</f>
        <v>20</v>
      </c>
      <c r="C2829" s="32" t="n">
        <f aca="false">Demand_History!D2829</f>
        <v>4</v>
      </c>
      <c r="D2829" s="33" t="n">
        <f aca="false">IF(B2829&gt;=2,C2828,"")</f>
        <v>10</v>
      </c>
      <c r="E2829" s="33" t="n">
        <f aca="false">IF(B2829&gt;=5,AVERAGE(C2825:C2828),"")</f>
        <v>7.25</v>
      </c>
      <c r="F2829" s="33" t="n">
        <f aca="false">IF(B2829&gt;=9,AVERAGE(C2821:C2828),"")</f>
        <v>7.25</v>
      </c>
      <c r="G2829" s="33" t="n">
        <f aca="false">IF(B2829=1,"",IF(B2829=2,C2828,SES_Alpha*C2828+(1-SES_Alpha)*G2828))</f>
        <v>7.61114241959321</v>
      </c>
      <c r="H2829" s="33" t="n">
        <f aca="false">IF(D2829="","",D2829-C2829)</f>
        <v>6</v>
      </c>
      <c r="I2829" s="33" t="n">
        <f aca="false">IF(E2829="","",E2829-C2829)</f>
        <v>3.25</v>
      </c>
      <c r="J2829" s="33" t="n">
        <f aca="false">IF(F2829="","",F2829-C2829)</f>
        <v>3.25</v>
      </c>
      <c r="K2829" s="33" t="n">
        <f aca="false">IF(G2829="","",G2829-C2829)</f>
        <v>3.61114241959321</v>
      </c>
      <c r="L2829" s="33" t="n">
        <f aca="false">IF(H2829="","",ABS(H2829))</f>
        <v>6</v>
      </c>
      <c r="M2829" s="33" t="n">
        <f aca="false">IF(I2829="","",ABS(I2829))</f>
        <v>3.25</v>
      </c>
      <c r="N2829" s="33" t="n">
        <f aca="false">IF(J2829="","",ABS(J2829))</f>
        <v>3.25</v>
      </c>
      <c r="O2829" s="33" t="n">
        <f aca="false">IF(K2829="","",ABS(K2829))</f>
        <v>3.61114241959321</v>
      </c>
      <c r="P2829" s="34" t="str">
        <f aca="false">IF(B2829&gt;=Eval_Start_Week,"YES","")</f>
        <v/>
      </c>
      <c r="Q2829" s="34" t="str">
        <f aca="false">IF(AND(B2829&gt;=Cal_Start_Week,B2829&lt;=Cal_End_Week),"YES","")</f>
        <v/>
      </c>
    </row>
    <row r="2830" customFormat="false" ht="15" hidden="false" customHeight="false" outlineLevel="0" collapsed="false">
      <c r="A2830" s="31" t="str">
        <f aca="false">Demand_History!C2830</f>
        <v>BED-008</v>
      </c>
      <c r="B2830" s="31" t="n">
        <f aca="false">Demand_History!A2830</f>
        <v>21</v>
      </c>
      <c r="C2830" s="32" t="n">
        <f aca="false">Demand_History!D2830</f>
        <v>9</v>
      </c>
      <c r="D2830" s="33" t="n">
        <f aca="false">IF(B2830&gt;=2,C2829,"")</f>
        <v>4</v>
      </c>
      <c r="E2830" s="33" t="n">
        <f aca="false">IF(B2830&gt;=5,AVERAGE(C2826:C2829),"")</f>
        <v>7</v>
      </c>
      <c r="F2830" s="33" t="n">
        <f aca="false">IF(B2830&gt;=9,AVERAGE(C2822:C2829),"")</f>
        <v>6.75</v>
      </c>
      <c r="G2830" s="33" t="n">
        <f aca="false">IF(B2830=1,"",IF(B2830=2,C2829,SES_Alpha*C2829+(1-SES_Alpha)*G2829))</f>
        <v>6.52779969371525</v>
      </c>
      <c r="H2830" s="33" t="n">
        <f aca="false">IF(D2830="","",D2830-C2830)</f>
        <v>-5</v>
      </c>
      <c r="I2830" s="33" t="n">
        <f aca="false">IF(E2830="","",E2830-C2830)</f>
        <v>-2</v>
      </c>
      <c r="J2830" s="33" t="n">
        <f aca="false">IF(F2830="","",F2830-C2830)</f>
        <v>-2.25</v>
      </c>
      <c r="K2830" s="33" t="n">
        <f aca="false">IF(G2830="","",G2830-C2830)</f>
        <v>-2.47220030628475</v>
      </c>
      <c r="L2830" s="33" t="n">
        <f aca="false">IF(H2830="","",ABS(H2830))</f>
        <v>5</v>
      </c>
      <c r="M2830" s="33" t="n">
        <f aca="false">IF(I2830="","",ABS(I2830))</f>
        <v>2</v>
      </c>
      <c r="N2830" s="33" t="n">
        <f aca="false">IF(J2830="","",ABS(J2830))</f>
        <v>2.25</v>
      </c>
      <c r="O2830" s="33" t="n">
        <f aca="false">IF(K2830="","",ABS(K2830))</f>
        <v>2.47220030628475</v>
      </c>
      <c r="P2830" s="34" t="str">
        <f aca="false">IF(B2830&gt;=Eval_Start_Week,"YES","")</f>
        <v/>
      </c>
      <c r="Q2830" s="34" t="str">
        <f aca="false">IF(AND(B2830&gt;=Cal_Start_Week,B2830&lt;=Cal_End_Week),"YES","")</f>
        <v/>
      </c>
    </row>
    <row r="2831" customFormat="false" ht="15" hidden="false" customHeight="false" outlineLevel="0" collapsed="false">
      <c r="A2831" s="31" t="str">
        <f aca="false">Demand_History!C2831</f>
        <v>BED-008</v>
      </c>
      <c r="B2831" s="31" t="n">
        <f aca="false">Demand_History!A2831</f>
        <v>22</v>
      </c>
      <c r="C2831" s="32" t="n">
        <f aca="false">Demand_History!D2831</f>
        <v>6</v>
      </c>
      <c r="D2831" s="33" t="n">
        <f aca="false">IF(B2831&gt;=2,C2830,"")</f>
        <v>9</v>
      </c>
      <c r="E2831" s="33" t="n">
        <f aca="false">IF(B2831&gt;=5,AVERAGE(C2827:C2830),"")</f>
        <v>7</v>
      </c>
      <c r="F2831" s="33" t="n">
        <f aca="false">IF(B2831&gt;=9,AVERAGE(C2823:C2830),"")</f>
        <v>6.875</v>
      </c>
      <c r="G2831" s="33" t="n">
        <f aca="false">IF(B2831=1,"",IF(B2831=2,C2830,SES_Alpha*C2830+(1-SES_Alpha)*G2830))</f>
        <v>7.26945978560067</v>
      </c>
      <c r="H2831" s="33" t="n">
        <f aca="false">IF(D2831="","",D2831-C2831)</f>
        <v>3</v>
      </c>
      <c r="I2831" s="33" t="n">
        <f aca="false">IF(E2831="","",E2831-C2831)</f>
        <v>1</v>
      </c>
      <c r="J2831" s="33" t="n">
        <f aca="false">IF(F2831="","",F2831-C2831)</f>
        <v>0.875</v>
      </c>
      <c r="K2831" s="33" t="n">
        <f aca="false">IF(G2831="","",G2831-C2831)</f>
        <v>1.26945978560067</v>
      </c>
      <c r="L2831" s="33" t="n">
        <f aca="false">IF(H2831="","",ABS(H2831))</f>
        <v>3</v>
      </c>
      <c r="M2831" s="33" t="n">
        <f aca="false">IF(I2831="","",ABS(I2831))</f>
        <v>1</v>
      </c>
      <c r="N2831" s="33" t="n">
        <f aca="false">IF(J2831="","",ABS(J2831))</f>
        <v>0.875</v>
      </c>
      <c r="O2831" s="33" t="n">
        <f aca="false">IF(K2831="","",ABS(K2831))</f>
        <v>1.26945978560067</v>
      </c>
      <c r="P2831" s="34" t="str">
        <f aca="false">IF(B2831&gt;=Eval_Start_Week,"YES","")</f>
        <v/>
      </c>
      <c r="Q2831" s="34" t="str">
        <f aca="false">IF(AND(B2831&gt;=Cal_Start_Week,B2831&lt;=Cal_End_Week),"YES","")</f>
        <v/>
      </c>
    </row>
    <row r="2832" customFormat="false" ht="15" hidden="false" customHeight="false" outlineLevel="0" collapsed="false">
      <c r="A2832" s="31" t="str">
        <f aca="false">Demand_History!C2832</f>
        <v>BED-008</v>
      </c>
      <c r="B2832" s="31" t="n">
        <f aca="false">Demand_History!A2832</f>
        <v>23</v>
      </c>
      <c r="C2832" s="32" t="n">
        <f aca="false">Demand_History!D2832</f>
        <v>5</v>
      </c>
      <c r="D2832" s="33" t="n">
        <f aca="false">IF(B2832&gt;=2,C2831,"")</f>
        <v>6</v>
      </c>
      <c r="E2832" s="33" t="n">
        <f aca="false">IF(B2832&gt;=5,AVERAGE(C2828:C2831),"")</f>
        <v>7.25</v>
      </c>
      <c r="F2832" s="33" t="n">
        <f aca="false">IF(B2832&gt;=9,AVERAGE(C2824:C2831),"")</f>
        <v>6.5</v>
      </c>
      <c r="G2832" s="33" t="n">
        <f aca="false">IF(B2832=1,"",IF(B2832=2,C2831,SES_Alpha*C2831+(1-SES_Alpha)*G2831))</f>
        <v>6.88862184992047</v>
      </c>
      <c r="H2832" s="33" t="n">
        <f aca="false">IF(D2832="","",D2832-C2832)</f>
        <v>1</v>
      </c>
      <c r="I2832" s="33" t="n">
        <f aca="false">IF(E2832="","",E2832-C2832)</f>
        <v>2.25</v>
      </c>
      <c r="J2832" s="33" t="n">
        <f aca="false">IF(F2832="","",F2832-C2832)</f>
        <v>1.5</v>
      </c>
      <c r="K2832" s="33" t="n">
        <f aca="false">IF(G2832="","",G2832-C2832)</f>
        <v>1.88862184992047</v>
      </c>
      <c r="L2832" s="33" t="n">
        <f aca="false">IF(H2832="","",ABS(H2832))</f>
        <v>1</v>
      </c>
      <c r="M2832" s="33" t="n">
        <f aca="false">IF(I2832="","",ABS(I2832))</f>
        <v>2.25</v>
      </c>
      <c r="N2832" s="33" t="n">
        <f aca="false">IF(J2832="","",ABS(J2832))</f>
        <v>1.5</v>
      </c>
      <c r="O2832" s="33" t="n">
        <f aca="false">IF(K2832="","",ABS(K2832))</f>
        <v>1.88862184992047</v>
      </c>
      <c r="P2832" s="34" t="str">
        <f aca="false">IF(B2832&gt;=Eval_Start_Week,"YES","")</f>
        <v/>
      </c>
      <c r="Q2832" s="34" t="str">
        <f aca="false">IF(AND(B2832&gt;=Cal_Start_Week,B2832&lt;=Cal_End_Week),"YES","")</f>
        <v/>
      </c>
    </row>
    <row r="2833" customFormat="false" ht="15" hidden="false" customHeight="false" outlineLevel="0" collapsed="false">
      <c r="A2833" s="31" t="str">
        <f aca="false">Demand_History!C2833</f>
        <v>BED-008</v>
      </c>
      <c r="B2833" s="31" t="n">
        <f aca="false">Demand_History!A2833</f>
        <v>24</v>
      </c>
      <c r="C2833" s="32" t="n">
        <f aca="false">Demand_History!D2833</f>
        <v>7</v>
      </c>
      <c r="D2833" s="33" t="n">
        <f aca="false">IF(B2833&gt;=2,C2832,"")</f>
        <v>5</v>
      </c>
      <c r="E2833" s="33" t="n">
        <f aca="false">IF(B2833&gt;=5,AVERAGE(C2829:C2832),"")</f>
        <v>6</v>
      </c>
      <c r="F2833" s="33" t="n">
        <f aca="false">IF(B2833&gt;=9,AVERAGE(C2825:C2832),"")</f>
        <v>6.625</v>
      </c>
      <c r="G2833" s="33" t="n">
        <f aca="false">IF(B2833=1,"",IF(B2833=2,C2832,SES_Alpha*C2832+(1-SES_Alpha)*G2832))</f>
        <v>6.32203529494433</v>
      </c>
      <c r="H2833" s="33" t="n">
        <f aca="false">IF(D2833="","",D2833-C2833)</f>
        <v>-2</v>
      </c>
      <c r="I2833" s="33" t="n">
        <f aca="false">IF(E2833="","",E2833-C2833)</f>
        <v>-1</v>
      </c>
      <c r="J2833" s="33" t="n">
        <f aca="false">IF(F2833="","",F2833-C2833)</f>
        <v>-0.375</v>
      </c>
      <c r="K2833" s="33" t="n">
        <f aca="false">IF(G2833="","",G2833-C2833)</f>
        <v>-0.677964705055672</v>
      </c>
      <c r="L2833" s="33" t="n">
        <f aca="false">IF(H2833="","",ABS(H2833))</f>
        <v>2</v>
      </c>
      <c r="M2833" s="33" t="n">
        <f aca="false">IF(I2833="","",ABS(I2833))</f>
        <v>1</v>
      </c>
      <c r="N2833" s="33" t="n">
        <f aca="false">IF(J2833="","",ABS(J2833))</f>
        <v>0.375</v>
      </c>
      <c r="O2833" s="33" t="n">
        <f aca="false">IF(K2833="","",ABS(K2833))</f>
        <v>0.677964705055672</v>
      </c>
      <c r="P2833" s="34" t="str">
        <f aca="false">IF(B2833&gt;=Eval_Start_Week,"YES","")</f>
        <v/>
      </c>
      <c r="Q2833" s="34" t="str">
        <f aca="false">IF(AND(B2833&gt;=Cal_Start_Week,B2833&lt;=Cal_End_Week),"YES","")</f>
        <v/>
      </c>
    </row>
    <row r="2834" customFormat="false" ht="15" hidden="false" customHeight="false" outlineLevel="0" collapsed="false">
      <c r="A2834" s="31" t="str">
        <f aca="false">Demand_History!C2834</f>
        <v>BED-008</v>
      </c>
      <c r="B2834" s="31" t="n">
        <f aca="false">Demand_History!A2834</f>
        <v>25</v>
      </c>
      <c r="C2834" s="32" t="n">
        <f aca="false">Demand_History!D2834</f>
        <v>2</v>
      </c>
      <c r="D2834" s="33" t="n">
        <f aca="false">IF(B2834&gt;=2,C2833,"")</f>
        <v>7</v>
      </c>
      <c r="E2834" s="33" t="n">
        <f aca="false">IF(B2834&gt;=5,AVERAGE(C2830:C2833),"")</f>
        <v>6.75</v>
      </c>
      <c r="F2834" s="33" t="n">
        <f aca="false">IF(B2834&gt;=9,AVERAGE(C2826:C2833),"")</f>
        <v>6.875</v>
      </c>
      <c r="G2834" s="33" t="n">
        <f aca="false">IF(B2834=1,"",IF(B2834=2,C2833,SES_Alpha*C2833+(1-SES_Alpha)*G2833))</f>
        <v>6.52542470646103</v>
      </c>
      <c r="H2834" s="33" t="n">
        <f aca="false">IF(D2834="","",D2834-C2834)</f>
        <v>5</v>
      </c>
      <c r="I2834" s="33" t="n">
        <f aca="false">IF(E2834="","",E2834-C2834)</f>
        <v>4.75</v>
      </c>
      <c r="J2834" s="33" t="n">
        <f aca="false">IF(F2834="","",F2834-C2834)</f>
        <v>4.875</v>
      </c>
      <c r="K2834" s="33" t="n">
        <f aca="false">IF(G2834="","",G2834-C2834)</f>
        <v>4.52542470646103</v>
      </c>
      <c r="L2834" s="33" t="n">
        <f aca="false">IF(H2834="","",ABS(H2834))</f>
        <v>5</v>
      </c>
      <c r="M2834" s="33" t="n">
        <f aca="false">IF(I2834="","",ABS(I2834))</f>
        <v>4.75</v>
      </c>
      <c r="N2834" s="33" t="n">
        <f aca="false">IF(J2834="","",ABS(J2834))</f>
        <v>4.875</v>
      </c>
      <c r="O2834" s="33" t="n">
        <f aca="false">IF(K2834="","",ABS(K2834))</f>
        <v>4.52542470646103</v>
      </c>
      <c r="P2834" s="34" t="str">
        <f aca="false">IF(B2834&gt;=Eval_Start_Week,"YES","")</f>
        <v/>
      </c>
      <c r="Q2834" s="34" t="str">
        <f aca="false">IF(AND(B2834&gt;=Cal_Start_Week,B2834&lt;=Cal_End_Week),"YES","")</f>
        <v/>
      </c>
    </row>
    <row r="2835" customFormat="false" ht="15" hidden="false" customHeight="false" outlineLevel="0" collapsed="false">
      <c r="A2835" s="31" t="str">
        <f aca="false">Demand_History!C2835</f>
        <v>BED-008</v>
      </c>
      <c r="B2835" s="31" t="n">
        <f aca="false">Demand_History!A2835</f>
        <v>26</v>
      </c>
      <c r="C2835" s="32" t="n">
        <f aca="false">Demand_History!D2835</f>
        <v>8</v>
      </c>
      <c r="D2835" s="33" t="n">
        <f aca="false">IF(B2835&gt;=2,C2834,"")</f>
        <v>2</v>
      </c>
      <c r="E2835" s="33" t="n">
        <f aca="false">IF(B2835&gt;=5,AVERAGE(C2831:C2834),"")</f>
        <v>5</v>
      </c>
      <c r="F2835" s="33" t="n">
        <f aca="false">IF(B2835&gt;=9,AVERAGE(C2827:C2834),"")</f>
        <v>6</v>
      </c>
      <c r="G2835" s="33" t="n">
        <f aca="false">IF(B2835=1,"",IF(B2835=2,C2834,SES_Alpha*C2834+(1-SES_Alpha)*G2834))</f>
        <v>5.16779729452272</v>
      </c>
      <c r="H2835" s="33" t="n">
        <f aca="false">IF(D2835="","",D2835-C2835)</f>
        <v>-6</v>
      </c>
      <c r="I2835" s="33" t="n">
        <f aca="false">IF(E2835="","",E2835-C2835)</f>
        <v>-3</v>
      </c>
      <c r="J2835" s="33" t="n">
        <f aca="false">IF(F2835="","",F2835-C2835)</f>
        <v>-2</v>
      </c>
      <c r="K2835" s="33" t="n">
        <f aca="false">IF(G2835="","",G2835-C2835)</f>
        <v>-2.83220270547728</v>
      </c>
      <c r="L2835" s="33" t="n">
        <f aca="false">IF(H2835="","",ABS(H2835))</f>
        <v>6</v>
      </c>
      <c r="M2835" s="33" t="n">
        <f aca="false">IF(I2835="","",ABS(I2835))</f>
        <v>3</v>
      </c>
      <c r="N2835" s="33" t="n">
        <f aca="false">IF(J2835="","",ABS(J2835))</f>
        <v>2</v>
      </c>
      <c r="O2835" s="33" t="n">
        <f aca="false">IF(K2835="","",ABS(K2835))</f>
        <v>2.83220270547728</v>
      </c>
      <c r="P2835" s="34" t="str">
        <f aca="false">IF(B2835&gt;=Eval_Start_Week,"YES","")</f>
        <v/>
      </c>
      <c r="Q2835" s="34" t="str">
        <f aca="false">IF(AND(B2835&gt;=Cal_Start_Week,B2835&lt;=Cal_End_Week),"YES","")</f>
        <v/>
      </c>
    </row>
    <row r="2836" customFormat="false" ht="15" hidden="false" customHeight="false" outlineLevel="0" collapsed="false">
      <c r="A2836" s="31" t="str">
        <f aca="false">Demand_History!C2836</f>
        <v>BED-008</v>
      </c>
      <c r="B2836" s="31" t="n">
        <f aca="false">Demand_History!A2836</f>
        <v>27</v>
      </c>
      <c r="C2836" s="32" t="n">
        <f aca="false">Demand_History!D2836</f>
        <v>6</v>
      </c>
      <c r="D2836" s="33" t="n">
        <f aca="false">IF(B2836&gt;=2,C2835,"")</f>
        <v>8</v>
      </c>
      <c r="E2836" s="33" t="n">
        <f aca="false">IF(B2836&gt;=5,AVERAGE(C2832:C2835),"")</f>
        <v>5.5</v>
      </c>
      <c r="F2836" s="33" t="n">
        <f aca="false">IF(B2836&gt;=9,AVERAGE(C2828:C2835),"")</f>
        <v>6.375</v>
      </c>
      <c r="G2836" s="33" t="n">
        <f aca="false">IF(B2836=1,"",IF(B2836=2,C2835,SES_Alpha*C2835+(1-SES_Alpha)*G2835))</f>
        <v>6.0174581061659</v>
      </c>
      <c r="H2836" s="33" t="n">
        <f aca="false">IF(D2836="","",D2836-C2836)</f>
        <v>2</v>
      </c>
      <c r="I2836" s="33" t="n">
        <f aca="false">IF(E2836="","",E2836-C2836)</f>
        <v>-0.5</v>
      </c>
      <c r="J2836" s="33" t="n">
        <f aca="false">IF(F2836="","",F2836-C2836)</f>
        <v>0.375</v>
      </c>
      <c r="K2836" s="33" t="n">
        <f aca="false">IF(G2836="","",G2836-C2836)</f>
        <v>0.017458106165904</v>
      </c>
      <c r="L2836" s="33" t="n">
        <f aca="false">IF(H2836="","",ABS(H2836))</f>
        <v>2</v>
      </c>
      <c r="M2836" s="33" t="n">
        <f aca="false">IF(I2836="","",ABS(I2836))</f>
        <v>0.5</v>
      </c>
      <c r="N2836" s="33" t="n">
        <f aca="false">IF(J2836="","",ABS(J2836))</f>
        <v>0.375</v>
      </c>
      <c r="O2836" s="33" t="n">
        <f aca="false">IF(K2836="","",ABS(K2836))</f>
        <v>0.017458106165904</v>
      </c>
      <c r="P2836" s="34" t="str">
        <f aca="false">IF(B2836&gt;=Eval_Start_Week,"YES","")</f>
        <v/>
      </c>
      <c r="Q2836" s="34" t="str">
        <f aca="false">IF(AND(B2836&gt;=Cal_Start_Week,B2836&lt;=Cal_End_Week),"YES","")</f>
        <v/>
      </c>
    </row>
    <row r="2837" customFormat="false" ht="15" hidden="false" customHeight="false" outlineLevel="0" collapsed="false">
      <c r="A2837" s="31" t="str">
        <f aca="false">Demand_History!C2837</f>
        <v>BED-008</v>
      </c>
      <c r="B2837" s="31" t="n">
        <f aca="false">Demand_History!A2837</f>
        <v>28</v>
      </c>
      <c r="C2837" s="32" t="n">
        <f aca="false">Demand_History!D2837</f>
        <v>11</v>
      </c>
      <c r="D2837" s="33" t="n">
        <f aca="false">IF(B2837&gt;=2,C2836,"")</f>
        <v>6</v>
      </c>
      <c r="E2837" s="33" t="n">
        <f aca="false">IF(B2837&gt;=5,AVERAGE(C2833:C2836),"")</f>
        <v>5.75</v>
      </c>
      <c r="F2837" s="33" t="n">
        <f aca="false">IF(B2837&gt;=9,AVERAGE(C2829:C2836),"")</f>
        <v>5.875</v>
      </c>
      <c r="G2837" s="33" t="n">
        <f aca="false">IF(B2837=1,"",IF(B2837=2,C2836,SES_Alpha*C2836+(1-SES_Alpha)*G2836))</f>
        <v>6.01222067431613</v>
      </c>
      <c r="H2837" s="33" t="n">
        <f aca="false">IF(D2837="","",D2837-C2837)</f>
        <v>-5</v>
      </c>
      <c r="I2837" s="33" t="n">
        <f aca="false">IF(E2837="","",E2837-C2837)</f>
        <v>-5.25</v>
      </c>
      <c r="J2837" s="33" t="n">
        <f aca="false">IF(F2837="","",F2837-C2837)</f>
        <v>-5.125</v>
      </c>
      <c r="K2837" s="33" t="n">
        <f aca="false">IF(G2837="","",G2837-C2837)</f>
        <v>-4.98777932568387</v>
      </c>
      <c r="L2837" s="33" t="n">
        <f aca="false">IF(H2837="","",ABS(H2837))</f>
        <v>5</v>
      </c>
      <c r="M2837" s="33" t="n">
        <f aca="false">IF(I2837="","",ABS(I2837))</f>
        <v>5.25</v>
      </c>
      <c r="N2837" s="33" t="n">
        <f aca="false">IF(J2837="","",ABS(J2837))</f>
        <v>5.125</v>
      </c>
      <c r="O2837" s="33" t="n">
        <f aca="false">IF(K2837="","",ABS(K2837))</f>
        <v>4.98777932568387</v>
      </c>
      <c r="P2837" s="34" t="str">
        <f aca="false">IF(B2837&gt;=Eval_Start_Week,"YES","")</f>
        <v/>
      </c>
      <c r="Q2837" s="34" t="str">
        <f aca="false">IF(AND(B2837&gt;=Cal_Start_Week,B2837&lt;=Cal_End_Week),"YES","")</f>
        <v/>
      </c>
    </row>
    <row r="2838" customFormat="false" ht="15" hidden="false" customHeight="false" outlineLevel="0" collapsed="false">
      <c r="A2838" s="31" t="str">
        <f aca="false">Demand_History!C2838</f>
        <v>BED-008</v>
      </c>
      <c r="B2838" s="31" t="n">
        <f aca="false">Demand_History!A2838</f>
        <v>29</v>
      </c>
      <c r="C2838" s="32" t="n">
        <f aca="false">Demand_History!D2838</f>
        <v>7</v>
      </c>
      <c r="D2838" s="33" t="n">
        <f aca="false">IF(B2838&gt;=2,C2837,"")</f>
        <v>11</v>
      </c>
      <c r="E2838" s="33" t="n">
        <f aca="false">IF(B2838&gt;=5,AVERAGE(C2834:C2837),"")</f>
        <v>6.75</v>
      </c>
      <c r="F2838" s="33" t="n">
        <f aca="false">IF(B2838&gt;=9,AVERAGE(C2830:C2837),"")</f>
        <v>6.75</v>
      </c>
      <c r="G2838" s="33" t="n">
        <f aca="false">IF(B2838=1,"",IF(B2838=2,C2837,SES_Alpha*C2837+(1-SES_Alpha)*G2837))</f>
        <v>7.50855447202129</v>
      </c>
      <c r="H2838" s="33" t="n">
        <f aca="false">IF(D2838="","",D2838-C2838)</f>
        <v>4</v>
      </c>
      <c r="I2838" s="33" t="n">
        <f aca="false">IF(E2838="","",E2838-C2838)</f>
        <v>-0.25</v>
      </c>
      <c r="J2838" s="33" t="n">
        <f aca="false">IF(F2838="","",F2838-C2838)</f>
        <v>-0.25</v>
      </c>
      <c r="K2838" s="33" t="n">
        <f aca="false">IF(G2838="","",G2838-C2838)</f>
        <v>0.508554472021292</v>
      </c>
      <c r="L2838" s="33" t="n">
        <f aca="false">IF(H2838="","",ABS(H2838))</f>
        <v>4</v>
      </c>
      <c r="M2838" s="33" t="n">
        <f aca="false">IF(I2838="","",ABS(I2838))</f>
        <v>0.25</v>
      </c>
      <c r="N2838" s="33" t="n">
        <f aca="false">IF(J2838="","",ABS(J2838))</f>
        <v>0.25</v>
      </c>
      <c r="O2838" s="33" t="n">
        <f aca="false">IF(K2838="","",ABS(K2838))</f>
        <v>0.508554472021292</v>
      </c>
      <c r="P2838" s="34" t="str">
        <f aca="false">IF(B2838&gt;=Eval_Start_Week,"YES","")</f>
        <v/>
      </c>
      <c r="Q2838" s="34" t="str">
        <f aca="false">IF(AND(B2838&gt;=Cal_Start_Week,B2838&lt;=Cal_End_Week),"YES","")</f>
        <v/>
      </c>
    </row>
    <row r="2839" customFormat="false" ht="15" hidden="false" customHeight="false" outlineLevel="0" collapsed="false">
      <c r="A2839" s="31" t="str">
        <f aca="false">Demand_History!C2839</f>
        <v>BED-008</v>
      </c>
      <c r="B2839" s="31" t="n">
        <f aca="false">Demand_History!A2839</f>
        <v>30</v>
      </c>
      <c r="C2839" s="32" t="n">
        <f aca="false">Demand_History!D2839</f>
        <v>7</v>
      </c>
      <c r="D2839" s="33" t="n">
        <f aca="false">IF(B2839&gt;=2,C2838,"")</f>
        <v>7</v>
      </c>
      <c r="E2839" s="33" t="n">
        <f aca="false">IF(B2839&gt;=5,AVERAGE(C2835:C2838),"")</f>
        <v>8</v>
      </c>
      <c r="F2839" s="33" t="n">
        <f aca="false">IF(B2839&gt;=9,AVERAGE(C2831:C2838),"")</f>
        <v>6.5</v>
      </c>
      <c r="G2839" s="33" t="n">
        <f aca="false">IF(B2839=1,"",IF(B2839=2,C2838,SES_Alpha*C2838+(1-SES_Alpha)*G2838))</f>
        <v>7.3559881304149</v>
      </c>
      <c r="H2839" s="33" t="n">
        <f aca="false">IF(D2839="","",D2839-C2839)</f>
        <v>0</v>
      </c>
      <c r="I2839" s="33" t="n">
        <f aca="false">IF(E2839="","",E2839-C2839)</f>
        <v>1</v>
      </c>
      <c r="J2839" s="33" t="n">
        <f aca="false">IF(F2839="","",F2839-C2839)</f>
        <v>-0.5</v>
      </c>
      <c r="K2839" s="33" t="n">
        <f aca="false">IF(G2839="","",G2839-C2839)</f>
        <v>0.355988130414904</v>
      </c>
      <c r="L2839" s="33" t="n">
        <f aca="false">IF(H2839="","",ABS(H2839))</f>
        <v>0</v>
      </c>
      <c r="M2839" s="33" t="n">
        <f aca="false">IF(I2839="","",ABS(I2839))</f>
        <v>1</v>
      </c>
      <c r="N2839" s="33" t="n">
        <f aca="false">IF(J2839="","",ABS(J2839))</f>
        <v>0.5</v>
      </c>
      <c r="O2839" s="33" t="n">
        <f aca="false">IF(K2839="","",ABS(K2839))</f>
        <v>0.355988130414904</v>
      </c>
      <c r="P2839" s="34" t="str">
        <f aca="false">IF(B2839&gt;=Eval_Start_Week,"YES","")</f>
        <v/>
      </c>
      <c r="Q2839" s="34" t="str">
        <f aca="false">IF(AND(B2839&gt;=Cal_Start_Week,B2839&lt;=Cal_End_Week),"YES","")</f>
        <v/>
      </c>
    </row>
    <row r="2840" customFormat="false" ht="15" hidden="false" customHeight="false" outlineLevel="0" collapsed="false">
      <c r="A2840" s="31" t="str">
        <f aca="false">Demand_History!C2840</f>
        <v>BED-008</v>
      </c>
      <c r="B2840" s="31" t="n">
        <f aca="false">Demand_History!A2840</f>
        <v>31</v>
      </c>
      <c r="C2840" s="32" t="n">
        <f aca="false">Demand_History!D2840</f>
        <v>4</v>
      </c>
      <c r="D2840" s="33" t="n">
        <f aca="false">IF(B2840&gt;=2,C2839,"")</f>
        <v>7</v>
      </c>
      <c r="E2840" s="33" t="n">
        <f aca="false">IF(B2840&gt;=5,AVERAGE(C2836:C2839),"")</f>
        <v>7.75</v>
      </c>
      <c r="F2840" s="33" t="n">
        <f aca="false">IF(B2840&gt;=9,AVERAGE(C2832:C2839),"")</f>
        <v>6.625</v>
      </c>
      <c r="G2840" s="33" t="n">
        <f aca="false">IF(B2840=1,"",IF(B2840=2,C2839,SES_Alpha*C2839+(1-SES_Alpha)*G2839))</f>
        <v>7.24919169129043</v>
      </c>
      <c r="H2840" s="33" t="n">
        <f aca="false">IF(D2840="","",D2840-C2840)</f>
        <v>3</v>
      </c>
      <c r="I2840" s="33" t="n">
        <f aca="false">IF(E2840="","",E2840-C2840)</f>
        <v>3.75</v>
      </c>
      <c r="J2840" s="33" t="n">
        <f aca="false">IF(F2840="","",F2840-C2840)</f>
        <v>2.625</v>
      </c>
      <c r="K2840" s="33" t="n">
        <f aca="false">IF(G2840="","",G2840-C2840)</f>
        <v>3.24919169129043</v>
      </c>
      <c r="L2840" s="33" t="n">
        <f aca="false">IF(H2840="","",ABS(H2840))</f>
        <v>3</v>
      </c>
      <c r="M2840" s="33" t="n">
        <f aca="false">IF(I2840="","",ABS(I2840))</f>
        <v>3.75</v>
      </c>
      <c r="N2840" s="33" t="n">
        <f aca="false">IF(J2840="","",ABS(J2840))</f>
        <v>2.625</v>
      </c>
      <c r="O2840" s="33" t="n">
        <f aca="false">IF(K2840="","",ABS(K2840))</f>
        <v>3.24919169129043</v>
      </c>
      <c r="P2840" s="34" t="str">
        <f aca="false">IF(B2840&gt;=Eval_Start_Week,"YES","")</f>
        <v/>
      </c>
      <c r="Q2840" s="34" t="str">
        <f aca="false">IF(AND(B2840&gt;=Cal_Start_Week,B2840&lt;=Cal_End_Week),"YES","")</f>
        <v/>
      </c>
    </row>
    <row r="2841" customFormat="false" ht="15" hidden="false" customHeight="false" outlineLevel="0" collapsed="false">
      <c r="A2841" s="31" t="str">
        <f aca="false">Demand_History!C2841</f>
        <v>BED-008</v>
      </c>
      <c r="B2841" s="31" t="n">
        <f aca="false">Demand_History!A2841</f>
        <v>32</v>
      </c>
      <c r="C2841" s="32" t="n">
        <f aca="false">Demand_History!D2841</f>
        <v>8</v>
      </c>
      <c r="D2841" s="33" t="n">
        <f aca="false">IF(B2841&gt;=2,C2840,"")</f>
        <v>4</v>
      </c>
      <c r="E2841" s="33" t="n">
        <f aca="false">IF(B2841&gt;=5,AVERAGE(C2837:C2840),"")</f>
        <v>7.25</v>
      </c>
      <c r="F2841" s="33" t="n">
        <f aca="false">IF(B2841&gt;=9,AVERAGE(C2833:C2840),"")</f>
        <v>6.5</v>
      </c>
      <c r="G2841" s="33" t="n">
        <f aca="false">IF(B2841=1,"",IF(B2841=2,C2840,SES_Alpha*C2840+(1-SES_Alpha)*G2840))</f>
        <v>6.2744341839033</v>
      </c>
      <c r="H2841" s="33" t="n">
        <f aca="false">IF(D2841="","",D2841-C2841)</f>
        <v>-4</v>
      </c>
      <c r="I2841" s="33" t="n">
        <f aca="false">IF(E2841="","",E2841-C2841)</f>
        <v>-0.75</v>
      </c>
      <c r="J2841" s="33" t="n">
        <f aca="false">IF(F2841="","",F2841-C2841)</f>
        <v>-1.5</v>
      </c>
      <c r="K2841" s="33" t="n">
        <f aca="false">IF(G2841="","",G2841-C2841)</f>
        <v>-1.7255658160967</v>
      </c>
      <c r="L2841" s="33" t="n">
        <f aca="false">IF(H2841="","",ABS(H2841))</f>
        <v>4</v>
      </c>
      <c r="M2841" s="33" t="n">
        <f aca="false">IF(I2841="","",ABS(I2841))</f>
        <v>0.75</v>
      </c>
      <c r="N2841" s="33" t="n">
        <f aca="false">IF(J2841="","",ABS(J2841))</f>
        <v>1.5</v>
      </c>
      <c r="O2841" s="33" t="n">
        <f aca="false">IF(K2841="","",ABS(K2841))</f>
        <v>1.7255658160967</v>
      </c>
      <c r="P2841" s="34" t="str">
        <f aca="false">IF(B2841&gt;=Eval_Start_Week,"YES","")</f>
        <v/>
      </c>
      <c r="Q2841" s="34" t="str">
        <f aca="false">IF(AND(B2841&gt;=Cal_Start_Week,B2841&lt;=Cal_End_Week),"YES","")</f>
        <v/>
      </c>
    </row>
    <row r="2842" customFormat="false" ht="15" hidden="false" customHeight="false" outlineLevel="0" collapsed="false">
      <c r="A2842" s="31" t="str">
        <f aca="false">Demand_History!C2842</f>
        <v>BED-008</v>
      </c>
      <c r="B2842" s="31" t="n">
        <f aca="false">Demand_History!A2842</f>
        <v>33</v>
      </c>
      <c r="C2842" s="32" t="n">
        <f aca="false">Demand_History!D2842</f>
        <v>7</v>
      </c>
      <c r="D2842" s="33" t="n">
        <f aca="false">IF(B2842&gt;=2,C2841,"")</f>
        <v>8</v>
      </c>
      <c r="E2842" s="33" t="n">
        <f aca="false">IF(B2842&gt;=5,AVERAGE(C2838:C2841),"")</f>
        <v>6.5</v>
      </c>
      <c r="F2842" s="33" t="n">
        <f aca="false">IF(B2842&gt;=9,AVERAGE(C2834:C2841),"")</f>
        <v>6.625</v>
      </c>
      <c r="G2842" s="33" t="n">
        <f aca="false">IF(B2842=1,"",IF(B2842=2,C2841,SES_Alpha*C2841+(1-SES_Alpha)*G2841))</f>
        <v>6.79210392873231</v>
      </c>
      <c r="H2842" s="33" t="n">
        <f aca="false">IF(D2842="","",D2842-C2842)</f>
        <v>1</v>
      </c>
      <c r="I2842" s="33" t="n">
        <f aca="false">IF(E2842="","",E2842-C2842)</f>
        <v>-0.5</v>
      </c>
      <c r="J2842" s="33" t="n">
        <f aca="false">IF(F2842="","",F2842-C2842)</f>
        <v>-0.375</v>
      </c>
      <c r="K2842" s="33" t="n">
        <f aca="false">IF(G2842="","",G2842-C2842)</f>
        <v>-0.207896071267689</v>
      </c>
      <c r="L2842" s="33" t="n">
        <f aca="false">IF(H2842="","",ABS(H2842))</f>
        <v>1</v>
      </c>
      <c r="M2842" s="33" t="n">
        <f aca="false">IF(I2842="","",ABS(I2842))</f>
        <v>0.5</v>
      </c>
      <c r="N2842" s="33" t="n">
        <f aca="false">IF(J2842="","",ABS(J2842))</f>
        <v>0.375</v>
      </c>
      <c r="O2842" s="33" t="n">
        <f aca="false">IF(K2842="","",ABS(K2842))</f>
        <v>0.207896071267689</v>
      </c>
      <c r="P2842" s="34" t="str">
        <f aca="false">IF(B2842&gt;=Eval_Start_Week,"YES","")</f>
        <v/>
      </c>
      <c r="Q2842" s="34" t="str">
        <f aca="false">IF(AND(B2842&gt;=Cal_Start_Week,B2842&lt;=Cal_End_Week),"YES","")</f>
        <v/>
      </c>
    </row>
    <row r="2843" customFormat="false" ht="15" hidden="false" customHeight="false" outlineLevel="0" collapsed="false">
      <c r="A2843" s="31" t="str">
        <f aca="false">Demand_History!C2843</f>
        <v>BED-008</v>
      </c>
      <c r="B2843" s="31" t="n">
        <f aca="false">Demand_History!A2843</f>
        <v>34</v>
      </c>
      <c r="C2843" s="32" t="n">
        <f aca="false">Demand_History!D2843</f>
        <v>3</v>
      </c>
      <c r="D2843" s="33" t="n">
        <f aca="false">IF(B2843&gt;=2,C2842,"")</f>
        <v>7</v>
      </c>
      <c r="E2843" s="33" t="n">
        <f aca="false">IF(B2843&gt;=5,AVERAGE(C2839:C2842),"")</f>
        <v>6.5</v>
      </c>
      <c r="F2843" s="33" t="n">
        <f aca="false">IF(B2843&gt;=9,AVERAGE(C2835:C2842),"")</f>
        <v>7.25</v>
      </c>
      <c r="G2843" s="33" t="n">
        <f aca="false">IF(B2843=1,"",IF(B2843=2,C2842,SES_Alpha*C2842+(1-SES_Alpha)*G2842))</f>
        <v>6.85447275011262</v>
      </c>
      <c r="H2843" s="33" t="n">
        <f aca="false">IF(D2843="","",D2843-C2843)</f>
        <v>4</v>
      </c>
      <c r="I2843" s="33" t="n">
        <f aca="false">IF(E2843="","",E2843-C2843)</f>
        <v>3.5</v>
      </c>
      <c r="J2843" s="33" t="n">
        <f aca="false">IF(F2843="","",F2843-C2843)</f>
        <v>4.25</v>
      </c>
      <c r="K2843" s="33" t="n">
        <f aca="false">IF(G2843="","",G2843-C2843)</f>
        <v>3.85447275011262</v>
      </c>
      <c r="L2843" s="33" t="n">
        <f aca="false">IF(H2843="","",ABS(H2843))</f>
        <v>4</v>
      </c>
      <c r="M2843" s="33" t="n">
        <f aca="false">IF(I2843="","",ABS(I2843))</f>
        <v>3.5</v>
      </c>
      <c r="N2843" s="33" t="n">
        <f aca="false">IF(J2843="","",ABS(J2843))</f>
        <v>4.25</v>
      </c>
      <c r="O2843" s="33" t="n">
        <f aca="false">IF(K2843="","",ABS(K2843))</f>
        <v>3.85447275011262</v>
      </c>
      <c r="P2843" s="34" t="str">
        <f aca="false">IF(B2843&gt;=Eval_Start_Week,"YES","")</f>
        <v/>
      </c>
      <c r="Q2843" s="34" t="str">
        <f aca="false">IF(AND(B2843&gt;=Cal_Start_Week,B2843&lt;=Cal_End_Week),"YES","")</f>
        <v/>
      </c>
    </row>
    <row r="2844" customFormat="false" ht="15" hidden="false" customHeight="false" outlineLevel="0" collapsed="false">
      <c r="A2844" s="31" t="str">
        <f aca="false">Demand_History!C2844</f>
        <v>BED-008</v>
      </c>
      <c r="B2844" s="31" t="n">
        <f aca="false">Demand_History!A2844</f>
        <v>35</v>
      </c>
      <c r="C2844" s="32" t="n">
        <f aca="false">Demand_History!D2844</f>
        <v>10</v>
      </c>
      <c r="D2844" s="33" t="n">
        <f aca="false">IF(B2844&gt;=2,C2843,"")</f>
        <v>3</v>
      </c>
      <c r="E2844" s="33" t="n">
        <f aca="false">IF(B2844&gt;=5,AVERAGE(C2840:C2843),"")</f>
        <v>5.5</v>
      </c>
      <c r="F2844" s="33" t="n">
        <f aca="false">IF(B2844&gt;=9,AVERAGE(C2836:C2843),"")</f>
        <v>6.625</v>
      </c>
      <c r="G2844" s="33" t="n">
        <f aca="false">IF(B2844=1,"",IF(B2844=2,C2843,SES_Alpha*C2843+(1-SES_Alpha)*G2843))</f>
        <v>5.69813092507883</v>
      </c>
      <c r="H2844" s="33" t="n">
        <f aca="false">IF(D2844="","",D2844-C2844)</f>
        <v>-7</v>
      </c>
      <c r="I2844" s="33" t="n">
        <f aca="false">IF(E2844="","",E2844-C2844)</f>
        <v>-4.5</v>
      </c>
      <c r="J2844" s="33" t="n">
        <f aca="false">IF(F2844="","",F2844-C2844)</f>
        <v>-3.375</v>
      </c>
      <c r="K2844" s="33" t="n">
        <f aca="false">IF(G2844="","",G2844-C2844)</f>
        <v>-4.30186907492117</v>
      </c>
      <c r="L2844" s="33" t="n">
        <f aca="false">IF(H2844="","",ABS(H2844))</f>
        <v>7</v>
      </c>
      <c r="M2844" s="33" t="n">
        <f aca="false">IF(I2844="","",ABS(I2844))</f>
        <v>4.5</v>
      </c>
      <c r="N2844" s="33" t="n">
        <f aca="false">IF(J2844="","",ABS(J2844))</f>
        <v>3.375</v>
      </c>
      <c r="O2844" s="33" t="n">
        <f aca="false">IF(K2844="","",ABS(K2844))</f>
        <v>4.30186907492117</v>
      </c>
      <c r="P2844" s="34" t="str">
        <f aca="false">IF(B2844&gt;=Eval_Start_Week,"YES","")</f>
        <v/>
      </c>
      <c r="Q2844" s="34" t="str">
        <f aca="false">IF(AND(B2844&gt;=Cal_Start_Week,B2844&lt;=Cal_End_Week),"YES","")</f>
        <v/>
      </c>
    </row>
    <row r="2845" customFormat="false" ht="15" hidden="false" customHeight="false" outlineLevel="0" collapsed="false">
      <c r="A2845" s="31" t="str">
        <f aca="false">Demand_History!C2845</f>
        <v>BED-008</v>
      </c>
      <c r="B2845" s="31" t="n">
        <f aca="false">Demand_History!A2845</f>
        <v>36</v>
      </c>
      <c r="C2845" s="32" t="n">
        <f aca="false">Demand_History!D2845</f>
        <v>5</v>
      </c>
      <c r="D2845" s="33" t="n">
        <f aca="false">IF(B2845&gt;=2,C2844,"")</f>
        <v>10</v>
      </c>
      <c r="E2845" s="33" t="n">
        <f aca="false">IF(B2845&gt;=5,AVERAGE(C2841:C2844),"")</f>
        <v>7</v>
      </c>
      <c r="F2845" s="33" t="n">
        <f aca="false">IF(B2845&gt;=9,AVERAGE(C2837:C2844),"")</f>
        <v>7.125</v>
      </c>
      <c r="G2845" s="33" t="n">
        <f aca="false">IF(B2845=1,"",IF(B2845=2,C2844,SES_Alpha*C2844+(1-SES_Alpha)*G2844))</f>
        <v>6.98869164755518</v>
      </c>
      <c r="H2845" s="33" t="n">
        <f aca="false">IF(D2845="","",D2845-C2845)</f>
        <v>5</v>
      </c>
      <c r="I2845" s="33" t="n">
        <f aca="false">IF(E2845="","",E2845-C2845)</f>
        <v>2</v>
      </c>
      <c r="J2845" s="33" t="n">
        <f aca="false">IF(F2845="","",F2845-C2845)</f>
        <v>2.125</v>
      </c>
      <c r="K2845" s="33" t="n">
        <f aca="false">IF(G2845="","",G2845-C2845)</f>
        <v>1.98869164755518</v>
      </c>
      <c r="L2845" s="33" t="n">
        <f aca="false">IF(H2845="","",ABS(H2845))</f>
        <v>5</v>
      </c>
      <c r="M2845" s="33" t="n">
        <f aca="false">IF(I2845="","",ABS(I2845))</f>
        <v>2</v>
      </c>
      <c r="N2845" s="33" t="n">
        <f aca="false">IF(J2845="","",ABS(J2845))</f>
        <v>2.125</v>
      </c>
      <c r="O2845" s="33" t="n">
        <f aca="false">IF(K2845="","",ABS(K2845))</f>
        <v>1.98869164755518</v>
      </c>
      <c r="P2845" s="34" t="str">
        <f aca="false">IF(B2845&gt;=Eval_Start_Week,"YES","")</f>
        <v/>
      </c>
      <c r="Q2845" s="34" t="str">
        <f aca="false">IF(AND(B2845&gt;=Cal_Start_Week,B2845&lt;=Cal_End_Week),"YES","")</f>
        <v/>
      </c>
    </row>
    <row r="2846" customFormat="false" ht="15" hidden="false" customHeight="false" outlineLevel="0" collapsed="false">
      <c r="A2846" s="31" t="str">
        <f aca="false">Demand_History!C2846</f>
        <v>BED-008</v>
      </c>
      <c r="B2846" s="31" t="n">
        <f aca="false">Demand_History!A2846</f>
        <v>37</v>
      </c>
      <c r="C2846" s="32" t="n">
        <f aca="false">Demand_History!D2846</f>
        <v>6</v>
      </c>
      <c r="D2846" s="33" t="n">
        <f aca="false">IF(B2846&gt;=2,C2845,"")</f>
        <v>5</v>
      </c>
      <c r="E2846" s="33" t="n">
        <f aca="false">IF(B2846&gt;=5,AVERAGE(C2842:C2845),"")</f>
        <v>6.25</v>
      </c>
      <c r="F2846" s="33" t="n">
        <f aca="false">IF(B2846&gt;=9,AVERAGE(C2838:C2845),"")</f>
        <v>6.375</v>
      </c>
      <c r="G2846" s="33" t="n">
        <f aca="false">IF(B2846=1,"",IF(B2846=2,C2845,SES_Alpha*C2845+(1-SES_Alpha)*G2845))</f>
        <v>6.39208415328863</v>
      </c>
      <c r="H2846" s="33" t="n">
        <f aca="false">IF(D2846="","",D2846-C2846)</f>
        <v>-1</v>
      </c>
      <c r="I2846" s="33" t="n">
        <f aca="false">IF(E2846="","",E2846-C2846)</f>
        <v>0.25</v>
      </c>
      <c r="J2846" s="33" t="n">
        <f aca="false">IF(F2846="","",F2846-C2846)</f>
        <v>0.375</v>
      </c>
      <c r="K2846" s="33" t="n">
        <f aca="false">IF(G2846="","",G2846-C2846)</f>
        <v>0.392084153288627</v>
      </c>
      <c r="L2846" s="33" t="n">
        <f aca="false">IF(H2846="","",ABS(H2846))</f>
        <v>1</v>
      </c>
      <c r="M2846" s="33" t="n">
        <f aca="false">IF(I2846="","",ABS(I2846))</f>
        <v>0.25</v>
      </c>
      <c r="N2846" s="33" t="n">
        <f aca="false">IF(J2846="","",ABS(J2846))</f>
        <v>0.375</v>
      </c>
      <c r="O2846" s="33" t="n">
        <f aca="false">IF(K2846="","",ABS(K2846))</f>
        <v>0.392084153288627</v>
      </c>
      <c r="P2846" s="34" t="str">
        <f aca="false">IF(B2846&gt;=Eval_Start_Week,"YES","")</f>
        <v/>
      </c>
      <c r="Q2846" s="34" t="str">
        <f aca="false">IF(AND(B2846&gt;=Cal_Start_Week,B2846&lt;=Cal_End_Week),"YES","")</f>
        <v>YES</v>
      </c>
    </row>
    <row r="2847" customFormat="false" ht="15" hidden="false" customHeight="false" outlineLevel="0" collapsed="false">
      <c r="A2847" s="31" t="str">
        <f aca="false">Demand_History!C2847</f>
        <v>BED-008</v>
      </c>
      <c r="B2847" s="31" t="n">
        <f aca="false">Demand_History!A2847</f>
        <v>38</v>
      </c>
      <c r="C2847" s="32" t="n">
        <f aca="false">Demand_History!D2847</f>
        <v>11</v>
      </c>
      <c r="D2847" s="33" t="n">
        <f aca="false">IF(B2847&gt;=2,C2846,"")</f>
        <v>6</v>
      </c>
      <c r="E2847" s="33" t="n">
        <f aca="false">IF(B2847&gt;=5,AVERAGE(C2843:C2846),"")</f>
        <v>6</v>
      </c>
      <c r="F2847" s="33" t="n">
        <f aca="false">IF(B2847&gt;=9,AVERAGE(C2839:C2846),"")</f>
        <v>6.25</v>
      </c>
      <c r="G2847" s="33" t="n">
        <f aca="false">IF(B2847=1,"",IF(B2847=2,C2846,SES_Alpha*C2846+(1-SES_Alpha)*G2846))</f>
        <v>6.27445890730204</v>
      </c>
      <c r="H2847" s="33" t="n">
        <f aca="false">IF(D2847="","",D2847-C2847)</f>
        <v>-5</v>
      </c>
      <c r="I2847" s="33" t="n">
        <f aca="false">IF(E2847="","",E2847-C2847)</f>
        <v>-5</v>
      </c>
      <c r="J2847" s="33" t="n">
        <f aca="false">IF(F2847="","",F2847-C2847)</f>
        <v>-4.75</v>
      </c>
      <c r="K2847" s="33" t="n">
        <f aca="false">IF(G2847="","",G2847-C2847)</f>
        <v>-4.72554109269796</v>
      </c>
      <c r="L2847" s="33" t="n">
        <f aca="false">IF(H2847="","",ABS(H2847))</f>
        <v>5</v>
      </c>
      <c r="M2847" s="33" t="n">
        <f aca="false">IF(I2847="","",ABS(I2847))</f>
        <v>5</v>
      </c>
      <c r="N2847" s="33" t="n">
        <f aca="false">IF(J2847="","",ABS(J2847))</f>
        <v>4.75</v>
      </c>
      <c r="O2847" s="33" t="n">
        <f aca="false">IF(K2847="","",ABS(K2847))</f>
        <v>4.72554109269796</v>
      </c>
      <c r="P2847" s="34" t="str">
        <f aca="false">IF(B2847&gt;=Eval_Start_Week,"YES","")</f>
        <v/>
      </c>
      <c r="Q2847" s="34" t="str">
        <f aca="false">IF(AND(B2847&gt;=Cal_Start_Week,B2847&lt;=Cal_End_Week),"YES","")</f>
        <v>YES</v>
      </c>
    </row>
    <row r="2848" customFormat="false" ht="15" hidden="false" customHeight="false" outlineLevel="0" collapsed="false">
      <c r="A2848" s="31" t="str">
        <f aca="false">Demand_History!C2848</f>
        <v>BED-008</v>
      </c>
      <c r="B2848" s="31" t="n">
        <f aca="false">Demand_History!A2848</f>
        <v>39</v>
      </c>
      <c r="C2848" s="32" t="n">
        <f aca="false">Demand_History!D2848</f>
        <v>11</v>
      </c>
      <c r="D2848" s="33" t="n">
        <f aca="false">IF(B2848&gt;=2,C2847,"")</f>
        <v>11</v>
      </c>
      <c r="E2848" s="33" t="n">
        <f aca="false">IF(B2848&gt;=5,AVERAGE(C2844:C2847),"")</f>
        <v>8</v>
      </c>
      <c r="F2848" s="33" t="n">
        <f aca="false">IF(B2848&gt;=9,AVERAGE(C2840:C2847),"")</f>
        <v>6.75</v>
      </c>
      <c r="G2848" s="33" t="n">
        <f aca="false">IF(B2848=1,"",IF(B2848=2,C2847,SES_Alpha*C2847+(1-SES_Alpha)*G2847))</f>
        <v>7.69212123511143</v>
      </c>
      <c r="H2848" s="33" t="n">
        <f aca="false">IF(D2848="","",D2848-C2848)</f>
        <v>0</v>
      </c>
      <c r="I2848" s="33" t="n">
        <f aca="false">IF(E2848="","",E2848-C2848)</f>
        <v>-3</v>
      </c>
      <c r="J2848" s="33" t="n">
        <f aca="false">IF(F2848="","",F2848-C2848)</f>
        <v>-4.25</v>
      </c>
      <c r="K2848" s="33" t="n">
        <f aca="false">IF(G2848="","",G2848-C2848)</f>
        <v>-3.30787876488857</v>
      </c>
      <c r="L2848" s="33" t="n">
        <f aca="false">IF(H2848="","",ABS(H2848))</f>
        <v>0</v>
      </c>
      <c r="M2848" s="33" t="n">
        <f aca="false">IF(I2848="","",ABS(I2848))</f>
        <v>3</v>
      </c>
      <c r="N2848" s="33" t="n">
        <f aca="false">IF(J2848="","",ABS(J2848))</f>
        <v>4.25</v>
      </c>
      <c r="O2848" s="33" t="n">
        <f aca="false">IF(K2848="","",ABS(K2848))</f>
        <v>3.30787876488857</v>
      </c>
      <c r="P2848" s="34" t="str">
        <f aca="false">IF(B2848&gt;=Eval_Start_Week,"YES","")</f>
        <v/>
      </c>
      <c r="Q2848" s="34" t="str">
        <f aca="false">IF(AND(B2848&gt;=Cal_Start_Week,B2848&lt;=Cal_End_Week),"YES","")</f>
        <v>YES</v>
      </c>
    </row>
    <row r="2849" customFormat="false" ht="15" hidden="false" customHeight="false" outlineLevel="0" collapsed="false">
      <c r="A2849" s="31" t="str">
        <f aca="false">Demand_History!C2849</f>
        <v>BED-008</v>
      </c>
      <c r="B2849" s="31" t="n">
        <f aca="false">Demand_History!A2849</f>
        <v>40</v>
      </c>
      <c r="C2849" s="32" t="n">
        <f aca="false">Demand_History!D2849</f>
        <v>4</v>
      </c>
      <c r="D2849" s="33" t="n">
        <f aca="false">IF(B2849&gt;=2,C2848,"")</f>
        <v>11</v>
      </c>
      <c r="E2849" s="33" t="n">
        <f aca="false">IF(B2849&gt;=5,AVERAGE(C2845:C2848),"")</f>
        <v>8.25</v>
      </c>
      <c r="F2849" s="33" t="n">
        <f aca="false">IF(B2849&gt;=9,AVERAGE(C2841:C2848),"")</f>
        <v>7.625</v>
      </c>
      <c r="G2849" s="33" t="n">
        <f aca="false">IF(B2849=1,"",IF(B2849=2,C2848,SES_Alpha*C2848+(1-SES_Alpha)*G2848))</f>
        <v>8.684484864578</v>
      </c>
      <c r="H2849" s="33" t="n">
        <f aca="false">IF(D2849="","",D2849-C2849)</f>
        <v>7</v>
      </c>
      <c r="I2849" s="33" t="n">
        <f aca="false">IF(E2849="","",E2849-C2849)</f>
        <v>4.25</v>
      </c>
      <c r="J2849" s="33" t="n">
        <f aca="false">IF(F2849="","",F2849-C2849)</f>
        <v>3.625</v>
      </c>
      <c r="K2849" s="33" t="n">
        <f aca="false">IF(G2849="","",G2849-C2849)</f>
        <v>4.684484864578</v>
      </c>
      <c r="L2849" s="33" t="n">
        <f aca="false">IF(H2849="","",ABS(H2849))</f>
        <v>7</v>
      </c>
      <c r="M2849" s="33" t="n">
        <f aca="false">IF(I2849="","",ABS(I2849))</f>
        <v>4.25</v>
      </c>
      <c r="N2849" s="33" t="n">
        <f aca="false">IF(J2849="","",ABS(J2849))</f>
        <v>3.625</v>
      </c>
      <c r="O2849" s="33" t="n">
        <f aca="false">IF(K2849="","",ABS(K2849))</f>
        <v>4.684484864578</v>
      </c>
      <c r="P2849" s="34" t="str">
        <f aca="false">IF(B2849&gt;=Eval_Start_Week,"YES","")</f>
        <v/>
      </c>
      <c r="Q2849" s="34" t="str">
        <f aca="false">IF(AND(B2849&gt;=Cal_Start_Week,B2849&lt;=Cal_End_Week),"YES","")</f>
        <v>YES</v>
      </c>
    </row>
    <row r="2850" customFormat="false" ht="15" hidden="false" customHeight="false" outlineLevel="0" collapsed="false">
      <c r="A2850" s="31" t="str">
        <f aca="false">Demand_History!C2850</f>
        <v>BED-008</v>
      </c>
      <c r="B2850" s="31" t="n">
        <f aca="false">Demand_History!A2850</f>
        <v>41</v>
      </c>
      <c r="C2850" s="32" t="n">
        <f aca="false">Demand_History!D2850</f>
        <v>12</v>
      </c>
      <c r="D2850" s="33" t="n">
        <f aca="false">IF(B2850&gt;=2,C2849,"")</f>
        <v>4</v>
      </c>
      <c r="E2850" s="33" t="n">
        <f aca="false">IF(B2850&gt;=5,AVERAGE(C2846:C2849),"")</f>
        <v>8</v>
      </c>
      <c r="F2850" s="33" t="n">
        <f aca="false">IF(B2850&gt;=9,AVERAGE(C2842:C2849),"")</f>
        <v>7.125</v>
      </c>
      <c r="G2850" s="33" t="n">
        <f aca="false">IF(B2850=1,"",IF(B2850=2,C2849,SES_Alpha*C2849+(1-SES_Alpha)*G2849))</f>
        <v>7.2791394052046</v>
      </c>
      <c r="H2850" s="33" t="n">
        <f aca="false">IF(D2850="","",D2850-C2850)</f>
        <v>-8</v>
      </c>
      <c r="I2850" s="33" t="n">
        <f aca="false">IF(E2850="","",E2850-C2850)</f>
        <v>-4</v>
      </c>
      <c r="J2850" s="33" t="n">
        <f aca="false">IF(F2850="","",F2850-C2850)</f>
        <v>-4.875</v>
      </c>
      <c r="K2850" s="33" t="n">
        <f aca="false">IF(G2850="","",G2850-C2850)</f>
        <v>-4.7208605947954</v>
      </c>
      <c r="L2850" s="33" t="n">
        <f aca="false">IF(H2850="","",ABS(H2850))</f>
        <v>8</v>
      </c>
      <c r="M2850" s="33" t="n">
        <f aca="false">IF(I2850="","",ABS(I2850))</f>
        <v>4</v>
      </c>
      <c r="N2850" s="33" t="n">
        <f aca="false">IF(J2850="","",ABS(J2850))</f>
        <v>4.875</v>
      </c>
      <c r="O2850" s="33" t="n">
        <f aca="false">IF(K2850="","",ABS(K2850))</f>
        <v>4.7208605947954</v>
      </c>
      <c r="P2850" s="34" t="str">
        <f aca="false">IF(B2850&gt;=Eval_Start_Week,"YES","")</f>
        <v/>
      </c>
      <c r="Q2850" s="34" t="str">
        <f aca="false">IF(AND(B2850&gt;=Cal_Start_Week,B2850&lt;=Cal_End_Week),"YES","")</f>
        <v>YES</v>
      </c>
    </row>
    <row r="2851" customFormat="false" ht="15" hidden="false" customHeight="false" outlineLevel="0" collapsed="false">
      <c r="A2851" s="31" t="str">
        <f aca="false">Demand_History!C2851</f>
        <v>BED-008</v>
      </c>
      <c r="B2851" s="31" t="n">
        <f aca="false">Demand_History!A2851</f>
        <v>42</v>
      </c>
      <c r="C2851" s="32" t="n">
        <f aca="false">Demand_History!D2851</f>
        <v>16</v>
      </c>
      <c r="D2851" s="33" t="n">
        <f aca="false">IF(B2851&gt;=2,C2850,"")</f>
        <v>12</v>
      </c>
      <c r="E2851" s="33" t="n">
        <f aca="false">IF(B2851&gt;=5,AVERAGE(C2847:C2850),"")</f>
        <v>9.5</v>
      </c>
      <c r="F2851" s="33" t="n">
        <f aca="false">IF(B2851&gt;=9,AVERAGE(C2843:C2850),"")</f>
        <v>7.75</v>
      </c>
      <c r="G2851" s="33" t="n">
        <f aca="false">IF(B2851=1,"",IF(B2851=2,C2850,SES_Alpha*C2850+(1-SES_Alpha)*G2850))</f>
        <v>8.69539758364322</v>
      </c>
      <c r="H2851" s="33" t="n">
        <f aca="false">IF(D2851="","",D2851-C2851)</f>
        <v>-4</v>
      </c>
      <c r="I2851" s="33" t="n">
        <f aca="false">IF(E2851="","",E2851-C2851)</f>
        <v>-6.5</v>
      </c>
      <c r="J2851" s="33" t="n">
        <f aca="false">IF(F2851="","",F2851-C2851)</f>
        <v>-8.25</v>
      </c>
      <c r="K2851" s="33" t="n">
        <f aca="false">IF(G2851="","",G2851-C2851)</f>
        <v>-7.30460241635678</v>
      </c>
      <c r="L2851" s="33" t="n">
        <f aca="false">IF(H2851="","",ABS(H2851))</f>
        <v>4</v>
      </c>
      <c r="M2851" s="33" t="n">
        <f aca="false">IF(I2851="","",ABS(I2851))</f>
        <v>6.5</v>
      </c>
      <c r="N2851" s="33" t="n">
        <f aca="false">IF(J2851="","",ABS(J2851))</f>
        <v>8.25</v>
      </c>
      <c r="O2851" s="33" t="n">
        <f aca="false">IF(K2851="","",ABS(K2851))</f>
        <v>7.30460241635678</v>
      </c>
      <c r="P2851" s="34" t="str">
        <f aca="false">IF(B2851&gt;=Eval_Start_Week,"YES","")</f>
        <v/>
      </c>
      <c r="Q2851" s="34" t="str">
        <f aca="false">IF(AND(B2851&gt;=Cal_Start_Week,B2851&lt;=Cal_End_Week),"YES","")</f>
        <v>YES</v>
      </c>
    </row>
    <row r="2852" customFormat="false" ht="15" hidden="false" customHeight="false" outlineLevel="0" collapsed="false">
      <c r="A2852" s="31" t="str">
        <f aca="false">Demand_History!C2852</f>
        <v>BED-008</v>
      </c>
      <c r="B2852" s="31" t="n">
        <f aca="false">Demand_History!A2852</f>
        <v>43</v>
      </c>
      <c r="C2852" s="32" t="n">
        <f aca="false">Demand_History!D2852</f>
        <v>7</v>
      </c>
      <c r="D2852" s="33" t="n">
        <f aca="false">IF(B2852&gt;=2,C2851,"")</f>
        <v>16</v>
      </c>
      <c r="E2852" s="33" t="n">
        <f aca="false">IF(B2852&gt;=5,AVERAGE(C2848:C2851),"")</f>
        <v>10.75</v>
      </c>
      <c r="F2852" s="33" t="n">
        <f aca="false">IF(B2852&gt;=9,AVERAGE(C2844:C2851),"")</f>
        <v>9.375</v>
      </c>
      <c r="G2852" s="33" t="n">
        <f aca="false">IF(B2852=1,"",IF(B2852=2,C2851,SES_Alpha*C2851+(1-SES_Alpha)*G2851))</f>
        <v>10.8867783085503</v>
      </c>
      <c r="H2852" s="33" t="n">
        <f aca="false">IF(D2852="","",D2852-C2852)</f>
        <v>9</v>
      </c>
      <c r="I2852" s="33" t="n">
        <f aca="false">IF(E2852="","",E2852-C2852)</f>
        <v>3.75</v>
      </c>
      <c r="J2852" s="33" t="n">
        <f aca="false">IF(F2852="","",F2852-C2852)</f>
        <v>2.375</v>
      </c>
      <c r="K2852" s="33" t="n">
        <f aca="false">IF(G2852="","",G2852-C2852)</f>
        <v>3.88677830855025</v>
      </c>
      <c r="L2852" s="33" t="n">
        <f aca="false">IF(H2852="","",ABS(H2852))</f>
        <v>9</v>
      </c>
      <c r="M2852" s="33" t="n">
        <f aca="false">IF(I2852="","",ABS(I2852))</f>
        <v>3.75</v>
      </c>
      <c r="N2852" s="33" t="n">
        <f aca="false">IF(J2852="","",ABS(J2852))</f>
        <v>2.375</v>
      </c>
      <c r="O2852" s="33" t="n">
        <f aca="false">IF(K2852="","",ABS(K2852))</f>
        <v>3.88677830855025</v>
      </c>
      <c r="P2852" s="34" t="str">
        <f aca="false">IF(B2852&gt;=Eval_Start_Week,"YES","")</f>
        <v/>
      </c>
      <c r="Q2852" s="34" t="str">
        <f aca="false">IF(AND(B2852&gt;=Cal_Start_Week,B2852&lt;=Cal_End_Week),"YES","")</f>
        <v>YES</v>
      </c>
    </row>
    <row r="2853" customFormat="false" ht="15" hidden="false" customHeight="false" outlineLevel="0" collapsed="false">
      <c r="A2853" s="31" t="str">
        <f aca="false">Demand_History!C2853</f>
        <v>BED-008</v>
      </c>
      <c r="B2853" s="31" t="n">
        <f aca="false">Demand_History!A2853</f>
        <v>44</v>
      </c>
      <c r="C2853" s="32" t="n">
        <f aca="false">Demand_History!D2853</f>
        <v>12</v>
      </c>
      <c r="D2853" s="33" t="n">
        <f aca="false">IF(B2853&gt;=2,C2852,"")</f>
        <v>7</v>
      </c>
      <c r="E2853" s="33" t="n">
        <f aca="false">IF(B2853&gt;=5,AVERAGE(C2849:C2852),"")</f>
        <v>9.75</v>
      </c>
      <c r="F2853" s="33" t="n">
        <f aca="false">IF(B2853&gt;=9,AVERAGE(C2845:C2852),"")</f>
        <v>9</v>
      </c>
      <c r="G2853" s="33" t="n">
        <f aca="false">IF(B2853=1,"",IF(B2853=2,C2852,SES_Alpha*C2852+(1-SES_Alpha)*G2852))</f>
        <v>9.72074481598518</v>
      </c>
      <c r="H2853" s="33" t="n">
        <f aca="false">IF(D2853="","",D2853-C2853)</f>
        <v>-5</v>
      </c>
      <c r="I2853" s="33" t="n">
        <f aca="false">IF(E2853="","",E2853-C2853)</f>
        <v>-2.25</v>
      </c>
      <c r="J2853" s="33" t="n">
        <f aca="false">IF(F2853="","",F2853-C2853)</f>
        <v>-3</v>
      </c>
      <c r="K2853" s="33" t="n">
        <f aca="false">IF(G2853="","",G2853-C2853)</f>
        <v>-2.27925518401482</v>
      </c>
      <c r="L2853" s="33" t="n">
        <f aca="false">IF(H2853="","",ABS(H2853))</f>
        <v>5</v>
      </c>
      <c r="M2853" s="33" t="n">
        <f aca="false">IF(I2853="","",ABS(I2853))</f>
        <v>2.25</v>
      </c>
      <c r="N2853" s="33" t="n">
        <f aca="false">IF(J2853="","",ABS(J2853))</f>
        <v>3</v>
      </c>
      <c r="O2853" s="33" t="n">
        <f aca="false">IF(K2853="","",ABS(K2853))</f>
        <v>2.27925518401482</v>
      </c>
      <c r="P2853" s="34" t="str">
        <f aca="false">IF(B2853&gt;=Eval_Start_Week,"YES","")</f>
        <v/>
      </c>
      <c r="Q2853" s="34" t="str">
        <f aca="false">IF(AND(B2853&gt;=Cal_Start_Week,B2853&lt;=Cal_End_Week),"YES","")</f>
        <v>YES</v>
      </c>
    </row>
    <row r="2854" customFormat="false" ht="15" hidden="false" customHeight="false" outlineLevel="0" collapsed="false">
      <c r="A2854" s="31" t="str">
        <f aca="false">Demand_History!C2854</f>
        <v>BED-008</v>
      </c>
      <c r="B2854" s="31" t="n">
        <f aca="false">Demand_History!A2854</f>
        <v>45</v>
      </c>
      <c r="C2854" s="32" t="n">
        <f aca="false">Demand_History!D2854</f>
        <v>14</v>
      </c>
      <c r="D2854" s="33" t="n">
        <f aca="false">IF(B2854&gt;=2,C2853,"")</f>
        <v>12</v>
      </c>
      <c r="E2854" s="33" t="n">
        <f aca="false">IF(B2854&gt;=5,AVERAGE(C2850:C2853),"")</f>
        <v>11.75</v>
      </c>
      <c r="F2854" s="33" t="n">
        <f aca="false">IF(B2854&gt;=9,AVERAGE(C2846:C2853),"")</f>
        <v>9.875</v>
      </c>
      <c r="G2854" s="33" t="n">
        <f aca="false">IF(B2854=1,"",IF(B2854=2,C2853,SES_Alpha*C2853+(1-SES_Alpha)*G2853))</f>
        <v>10.4045213711896</v>
      </c>
      <c r="H2854" s="33" t="n">
        <f aca="false">IF(D2854="","",D2854-C2854)</f>
        <v>-2</v>
      </c>
      <c r="I2854" s="33" t="n">
        <f aca="false">IF(E2854="","",E2854-C2854)</f>
        <v>-2.25</v>
      </c>
      <c r="J2854" s="33" t="n">
        <f aca="false">IF(F2854="","",F2854-C2854)</f>
        <v>-4.125</v>
      </c>
      <c r="K2854" s="33" t="n">
        <f aca="false">IF(G2854="","",G2854-C2854)</f>
        <v>-3.59547862881038</v>
      </c>
      <c r="L2854" s="33" t="n">
        <f aca="false">IF(H2854="","",ABS(H2854))</f>
        <v>2</v>
      </c>
      <c r="M2854" s="33" t="n">
        <f aca="false">IF(I2854="","",ABS(I2854))</f>
        <v>2.25</v>
      </c>
      <c r="N2854" s="33" t="n">
        <f aca="false">IF(J2854="","",ABS(J2854))</f>
        <v>4.125</v>
      </c>
      <c r="O2854" s="33" t="n">
        <f aca="false">IF(K2854="","",ABS(K2854))</f>
        <v>3.59547862881038</v>
      </c>
      <c r="P2854" s="34" t="str">
        <f aca="false">IF(B2854&gt;=Eval_Start_Week,"YES","")</f>
        <v/>
      </c>
      <c r="Q2854" s="34" t="str">
        <f aca="false">IF(AND(B2854&gt;=Cal_Start_Week,B2854&lt;=Cal_End_Week),"YES","")</f>
        <v>YES</v>
      </c>
    </row>
    <row r="2855" customFormat="false" ht="15" hidden="false" customHeight="false" outlineLevel="0" collapsed="false">
      <c r="A2855" s="31" t="str">
        <f aca="false">Demand_History!C2855</f>
        <v>BED-008</v>
      </c>
      <c r="B2855" s="31" t="n">
        <f aca="false">Demand_History!A2855</f>
        <v>46</v>
      </c>
      <c r="C2855" s="32" t="n">
        <f aca="false">Demand_History!D2855</f>
        <v>8</v>
      </c>
      <c r="D2855" s="33" t="n">
        <f aca="false">IF(B2855&gt;=2,C2854,"")</f>
        <v>14</v>
      </c>
      <c r="E2855" s="33" t="n">
        <f aca="false">IF(B2855&gt;=5,AVERAGE(C2851:C2854),"")</f>
        <v>12.25</v>
      </c>
      <c r="F2855" s="33" t="n">
        <f aca="false">IF(B2855&gt;=9,AVERAGE(C2847:C2854),"")</f>
        <v>10.875</v>
      </c>
      <c r="G2855" s="33" t="n">
        <f aca="false">IF(B2855=1,"",IF(B2855=2,C2854,SES_Alpha*C2854+(1-SES_Alpha)*G2854))</f>
        <v>11.4831649598327</v>
      </c>
      <c r="H2855" s="33" t="n">
        <f aca="false">IF(D2855="","",D2855-C2855)</f>
        <v>6</v>
      </c>
      <c r="I2855" s="33" t="n">
        <f aca="false">IF(E2855="","",E2855-C2855)</f>
        <v>4.25</v>
      </c>
      <c r="J2855" s="33" t="n">
        <f aca="false">IF(F2855="","",F2855-C2855)</f>
        <v>2.875</v>
      </c>
      <c r="K2855" s="33" t="n">
        <f aca="false">IF(G2855="","",G2855-C2855)</f>
        <v>3.48316495983274</v>
      </c>
      <c r="L2855" s="33" t="n">
        <f aca="false">IF(H2855="","",ABS(H2855))</f>
        <v>6</v>
      </c>
      <c r="M2855" s="33" t="n">
        <f aca="false">IF(I2855="","",ABS(I2855))</f>
        <v>4.25</v>
      </c>
      <c r="N2855" s="33" t="n">
        <f aca="false">IF(J2855="","",ABS(J2855))</f>
        <v>2.875</v>
      </c>
      <c r="O2855" s="33" t="n">
        <f aca="false">IF(K2855="","",ABS(K2855))</f>
        <v>3.48316495983274</v>
      </c>
      <c r="P2855" s="34" t="str">
        <f aca="false">IF(B2855&gt;=Eval_Start_Week,"YES","")</f>
        <v/>
      </c>
      <c r="Q2855" s="34" t="str">
        <f aca="false">IF(AND(B2855&gt;=Cal_Start_Week,B2855&lt;=Cal_End_Week),"YES","")</f>
        <v>YES</v>
      </c>
    </row>
    <row r="2856" customFormat="false" ht="15" hidden="false" customHeight="false" outlineLevel="0" collapsed="false">
      <c r="A2856" s="31" t="str">
        <f aca="false">Demand_History!C2856</f>
        <v>BED-008</v>
      </c>
      <c r="B2856" s="31" t="n">
        <f aca="false">Demand_History!A2856</f>
        <v>47</v>
      </c>
      <c r="C2856" s="32" t="n">
        <f aca="false">Demand_History!D2856</f>
        <v>12</v>
      </c>
      <c r="D2856" s="33" t="n">
        <f aca="false">IF(B2856&gt;=2,C2855,"")</f>
        <v>8</v>
      </c>
      <c r="E2856" s="33" t="n">
        <f aca="false">IF(B2856&gt;=5,AVERAGE(C2852:C2855),"")</f>
        <v>10.25</v>
      </c>
      <c r="F2856" s="33" t="n">
        <f aca="false">IF(B2856&gt;=9,AVERAGE(C2848:C2855),"")</f>
        <v>10.5</v>
      </c>
      <c r="G2856" s="33" t="n">
        <f aca="false">IF(B2856=1,"",IF(B2856=2,C2855,SES_Alpha*C2855+(1-SES_Alpha)*G2855))</f>
        <v>10.4382154718829</v>
      </c>
      <c r="H2856" s="33" t="n">
        <f aca="false">IF(D2856="","",D2856-C2856)</f>
        <v>-4</v>
      </c>
      <c r="I2856" s="33" t="n">
        <f aca="false">IF(E2856="","",E2856-C2856)</f>
        <v>-1.75</v>
      </c>
      <c r="J2856" s="33" t="n">
        <f aca="false">IF(F2856="","",F2856-C2856)</f>
        <v>-1.5</v>
      </c>
      <c r="K2856" s="33" t="n">
        <f aca="false">IF(G2856="","",G2856-C2856)</f>
        <v>-1.56178452811709</v>
      </c>
      <c r="L2856" s="33" t="n">
        <f aca="false">IF(H2856="","",ABS(H2856))</f>
        <v>4</v>
      </c>
      <c r="M2856" s="33" t="n">
        <f aca="false">IF(I2856="","",ABS(I2856))</f>
        <v>1.75</v>
      </c>
      <c r="N2856" s="33" t="n">
        <f aca="false">IF(J2856="","",ABS(J2856))</f>
        <v>1.5</v>
      </c>
      <c r="O2856" s="33" t="n">
        <f aca="false">IF(K2856="","",ABS(K2856))</f>
        <v>1.56178452811709</v>
      </c>
      <c r="P2856" s="34" t="str">
        <f aca="false">IF(B2856&gt;=Eval_Start_Week,"YES","")</f>
        <v/>
      </c>
      <c r="Q2856" s="34" t="str">
        <f aca="false">IF(AND(B2856&gt;=Cal_Start_Week,B2856&lt;=Cal_End_Week),"YES","")</f>
        <v>YES</v>
      </c>
    </row>
    <row r="2857" customFormat="false" ht="15" hidden="false" customHeight="false" outlineLevel="0" collapsed="false">
      <c r="A2857" s="31" t="str">
        <f aca="false">Demand_History!C2857</f>
        <v>BED-008</v>
      </c>
      <c r="B2857" s="31" t="n">
        <f aca="false">Demand_History!A2857</f>
        <v>48</v>
      </c>
      <c r="C2857" s="32" t="n">
        <f aca="false">Demand_History!D2857</f>
        <v>7</v>
      </c>
      <c r="D2857" s="33" t="n">
        <f aca="false">IF(B2857&gt;=2,C2856,"")</f>
        <v>12</v>
      </c>
      <c r="E2857" s="33" t="n">
        <f aca="false">IF(B2857&gt;=5,AVERAGE(C2853:C2856),"")</f>
        <v>11.5</v>
      </c>
      <c r="F2857" s="33" t="n">
        <f aca="false">IF(B2857&gt;=9,AVERAGE(C2849:C2856),"")</f>
        <v>10.625</v>
      </c>
      <c r="G2857" s="33" t="n">
        <f aca="false">IF(B2857=1,"",IF(B2857=2,C2856,SES_Alpha*C2856+(1-SES_Alpha)*G2856))</f>
        <v>10.906750830318</v>
      </c>
      <c r="H2857" s="33" t="n">
        <f aca="false">IF(D2857="","",D2857-C2857)</f>
        <v>5</v>
      </c>
      <c r="I2857" s="33" t="n">
        <f aca="false">IF(E2857="","",E2857-C2857)</f>
        <v>4.5</v>
      </c>
      <c r="J2857" s="33" t="n">
        <f aca="false">IF(F2857="","",F2857-C2857)</f>
        <v>3.625</v>
      </c>
      <c r="K2857" s="33" t="n">
        <f aca="false">IF(G2857="","",G2857-C2857)</f>
        <v>3.90675083031804</v>
      </c>
      <c r="L2857" s="33" t="n">
        <f aca="false">IF(H2857="","",ABS(H2857))</f>
        <v>5</v>
      </c>
      <c r="M2857" s="33" t="n">
        <f aca="false">IF(I2857="","",ABS(I2857))</f>
        <v>4.5</v>
      </c>
      <c r="N2857" s="33" t="n">
        <f aca="false">IF(J2857="","",ABS(J2857))</f>
        <v>3.625</v>
      </c>
      <c r="O2857" s="33" t="n">
        <f aca="false">IF(K2857="","",ABS(K2857))</f>
        <v>3.90675083031804</v>
      </c>
      <c r="P2857" s="34" t="str">
        <f aca="false">IF(B2857&gt;=Eval_Start_Week,"YES","")</f>
        <v/>
      </c>
      <c r="Q2857" s="34" t="str">
        <f aca="false">IF(AND(B2857&gt;=Cal_Start_Week,B2857&lt;=Cal_End_Week),"YES","")</f>
        <v>YES</v>
      </c>
    </row>
    <row r="2858" customFormat="false" ht="15" hidden="false" customHeight="false" outlineLevel="0" collapsed="false">
      <c r="A2858" s="31" t="str">
        <f aca="false">Demand_History!C2858</f>
        <v>BED-008</v>
      </c>
      <c r="B2858" s="31" t="n">
        <f aca="false">Demand_History!A2858</f>
        <v>49</v>
      </c>
      <c r="C2858" s="32" t="n">
        <f aca="false">Demand_History!D2858</f>
        <v>3</v>
      </c>
      <c r="D2858" s="33" t="n">
        <f aca="false">IF(B2858&gt;=2,C2857,"")</f>
        <v>7</v>
      </c>
      <c r="E2858" s="33" t="n">
        <f aca="false">IF(B2858&gt;=5,AVERAGE(C2854:C2857),"")</f>
        <v>10.25</v>
      </c>
      <c r="F2858" s="33" t="n">
        <f aca="false">IF(B2858&gt;=9,AVERAGE(C2850:C2857),"")</f>
        <v>11</v>
      </c>
      <c r="G2858" s="33" t="n">
        <f aca="false">IF(B2858=1,"",IF(B2858=2,C2857,SES_Alpha*C2857+(1-SES_Alpha)*G2857))</f>
        <v>9.73472558122263</v>
      </c>
      <c r="H2858" s="33" t="n">
        <f aca="false">IF(D2858="","",D2858-C2858)</f>
        <v>4</v>
      </c>
      <c r="I2858" s="33" t="n">
        <f aca="false">IF(E2858="","",E2858-C2858)</f>
        <v>7.25</v>
      </c>
      <c r="J2858" s="33" t="n">
        <f aca="false">IF(F2858="","",F2858-C2858)</f>
        <v>8</v>
      </c>
      <c r="K2858" s="33" t="n">
        <f aca="false">IF(G2858="","",G2858-C2858)</f>
        <v>6.73472558122263</v>
      </c>
      <c r="L2858" s="33" t="n">
        <f aca="false">IF(H2858="","",ABS(H2858))</f>
        <v>4</v>
      </c>
      <c r="M2858" s="33" t="n">
        <f aca="false">IF(I2858="","",ABS(I2858))</f>
        <v>7.25</v>
      </c>
      <c r="N2858" s="33" t="n">
        <f aca="false">IF(J2858="","",ABS(J2858))</f>
        <v>8</v>
      </c>
      <c r="O2858" s="33" t="n">
        <f aca="false">IF(K2858="","",ABS(K2858))</f>
        <v>6.73472558122263</v>
      </c>
      <c r="P2858" s="34" t="str">
        <f aca="false">IF(B2858&gt;=Eval_Start_Week,"YES","")</f>
        <v/>
      </c>
      <c r="Q2858" s="34" t="str">
        <f aca="false">IF(AND(B2858&gt;=Cal_Start_Week,B2858&lt;=Cal_End_Week),"YES","")</f>
        <v>YES</v>
      </c>
    </row>
    <row r="2859" customFormat="false" ht="15" hidden="false" customHeight="false" outlineLevel="0" collapsed="false">
      <c r="A2859" s="31" t="str">
        <f aca="false">Demand_History!C2859</f>
        <v>BED-008</v>
      </c>
      <c r="B2859" s="31" t="n">
        <f aca="false">Demand_History!A2859</f>
        <v>50</v>
      </c>
      <c r="C2859" s="32" t="n">
        <f aca="false">Demand_History!D2859</f>
        <v>3</v>
      </c>
      <c r="D2859" s="33" t="n">
        <f aca="false">IF(B2859&gt;=2,C2858,"")</f>
        <v>3</v>
      </c>
      <c r="E2859" s="33" t="n">
        <f aca="false">IF(B2859&gt;=5,AVERAGE(C2855:C2858),"")</f>
        <v>7.5</v>
      </c>
      <c r="F2859" s="33" t="n">
        <f aca="false">IF(B2859&gt;=9,AVERAGE(C2851:C2858),"")</f>
        <v>9.875</v>
      </c>
      <c r="G2859" s="33" t="n">
        <f aca="false">IF(B2859=1,"",IF(B2859=2,C2858,SES_Alpha*C2858+(1-SES_Alpha)*G2858))</f>
        <v>7.71430790685584</v>
      </c>
      <c r="H2859" s="33" t="n">
        <f aca="false">IF(D2859="","",D2859-C2859)</f>
        <v>0</v>
      </c>
      <c r="I2859" s="33" t="n">
        <f aca="false">IF(E2859="","",E2859-C2859)</f>
        <v>4.5</v>
      </c>
      <c r="J2859" s="33" t="n">
        <f aca="false">IF(F2859="","",F2859-C2859)</f>
        <v>6.875</v>
      </c>
      <c r="K2859" s="33" t="n">
        <f aca="false">IF(G2859="","",G2859-C2859)</f>
        <v>4.71430790685584</v>
      </c>
      <c r="L2859" s="33" t="n">
        <f aca="false">IF(H2859="","",ABS(H2859))</f>
        <v>0</v>
      </c>
      <c r="M2859" s="33" t="n">
        <f aca="false">IF(I2859="","",ABS(I2859))</f>
        <v>4.5</v>
      </c>
      <c r="N2859" s="33" t="n">
        <f aca="false">IF(J2859="","",ABS(J2859))</f>
        <v>6.875</v>
      </c>
      <c r="O2859" s="33" t="n">
        <f aca="false">IF(K2859="","",ABS(K2859))</f>
        <v>4.71430790685584</v>
      </c>
      <c r="P2859" s="34" t="str">
        <f aca="false">IF(B2859&gt;=Eval_Start_Week,"YES","")</f>
        <v/>
      </c>
      <c r="Q2859" s="34" t="str">
        <f aca="false">IF(AND(B2859&gt;=Cal_Start_Week,B2859&lt;=Cal_End_Week),"YES","")</f>
        <v>YES</v>
      </c>
    </row>
    <row r="2860" customFormat="false" ht="15" hidden="false" customHeight="false" outlineLevel="0" collapsed="false">
      <c r="A2860" s="31" t="str">
        <f aca="false">Demand_History!C2860</f>
        <v>BED-008</v>
      </c>
      <c r="B2860" s="31" t="n">
        <f aca="false">Demand_History!A2860</f>
        <v>51</v>
      </c>
      <c r="C2860" s="32" t="n">
        <f aca="false">Demand_History!D2860</f>
        <v>8</v>
      </c>
      <c r="D2860" s="33" t="n">
        <f aca="false">IF(B2860&gt;=2,C2859,"")</f>
        <v>3</v>
      </c>
      <c r="E2860" s="33" t="n">
        <f aca="false">IF(B2860&gt;=5,AVERAGE(C2856:C2859),"")</f>
        <v>6.25</v>
      </c>
      <c r="F2860" s="33" t="n">
        <f aca="false">IF(B2860&gt;=9,AVERAGE(C2852:C2859),"")</f>
        <v>8.25</v>
      </c>
      <c r="G2860" s="33" t="n">
        <f aca="false">IF(B2860=1,"",IF(B2860=2,C2859,SES_Alpha*C2859+(1-SES_Alpha)*G2859))</f>
        <v>6.30001553479909</v>
      </c>
      <c r="H2860" s="33" t="n">
        <f aca="false">IF(D2860="","",D2860-C2860)</f>
        <v>-5</v>
      </c>
      <c r="I2860" s="33" t="n">
        <f aca="false">IF(E2860="","",E2860-C2860)</f>
        <v>-1.75</v>
      </c>
      <c r="J2860" s="33" t="n">
        <f aca="false">IF(F2860="","",F2860-C2860)</f>
        <v>0.25</v>
      </c>
      <c r="K2860" s="33" t="n">
        <f aca="false">IF(G2860="","",G2860-C2860)</f>
        <v>-1.69998446520091</v>
      </c>
      <c r="L2860" s="33" t="n">
        <f aca="false">IF(H2860="","",ABS(H2860))</f>
        <v>5</v>
      </c>
      <c r="M2860" s="33" t="n">
        <f aca="false">IF(I2860="","",ABS(I2860))</f>
        <v>1.75</v>
      </c>
      <c r="N2860" s="33" t="n">
        <f aca="false">IF(J2860="","",ABS(J2860))</f>
        <v>0.25</v>
      </c>
      <c r="O2860" s="33" t="n">
        <f aca="false">IF(K2860="","",ABS(K2860))</f>
        <v>1.69998446520091</v>
      </c>
      <c r="P2860" s="34" t="str">
        <f aca="false">IF(B2860&gt;=Eval_Start_Week,"YES","")</f>
        <v/>
      </c>
      <c r="Q2860" s="34" t="str">
        <f aca="false">IF(AND(B2860&gt;=Cal_Start_Week,B2860&lt;=Cal_End_Week),"YES","")</f>
        <v>YES</v>
      </c>
    </row>
    <row r="2861" customFormat="false" ht="15" hidden="false" customHeight="false" outlineLevel="0" collapsed="false">
      <c r="A2861" s="31" t="str">
        <f aca="false">Demand_History!C2861</f>
        <v>BED-008</v>
      </c>
      <c r="B2861" s="31" t="n">
        <f aca="false">Demand_History!A2861</f>
        <v>52</v>
      </c>
      <c r="C2861" s="32" t="n">
        <f aca="false">Demand_History!D2861</f>
        <v>6</v>
      </c>
      <c r="D2861" s="33" t="n">
        <f aca="false">IF(B2861&gt;=2,C2860,"")</f>
        <v>8</v>
      </c>
      <c r="E2861" s="33" t="n">
        <f aca="false">IF(B2861&gt;=5,AVERAGE(C2857:C2860),"")</f>
        <v>5.25</v>
      </c>
      <c r="F2861" s="33" t="n">
        <f aca="false">IF(B2861&gt;=9,AVERAGE(C2853:C2860),"")</f>
        <v>8.375</v>
      </c>
      <c r="G2861" s="33" t="n">
        <f aca="false">IF(B2861=1,"",IF(B2861=2,C2860,SES_Alpha*C2860+(1-SES_Alpha)*G2860))</f>
        <v>6.81001087435936</v>
      </c>
      <c r="H2861" s="33" t="n">
        <f aca="false">IF(D2861="","",D2861-C2861)</f>
        <v>2</v>
      </c>
      <c r="I2861" s="33" t="n">
        <f aca="false">IF(E2861="","",E2861-C2861)</f>
        <v>-0.75</v>
      </c>
      <c r="J2861" s="33" t="n">
        <f aca="false">IF(F2861="","",F2861-C2861)</f>
        <v>2.375</v>
      </c>
      <c r="K2861" s="33" t="n">
        <f aca="false">IF(G2861="","",G2861-C2861)</f>
        <v>0.81001087435936</v>
      </c>
      <c r="L2861" s="33" t="n">
        <f aca="false">IF(H2861="","",ABS(H2861))</f>
        <v>2</v>
      </c>
      <c r="M2861" s="33" t="n">
        <f aca="false">IF(I2861="","",ABS(I2861))</f>
        <v>0.75</v>
      </c>
      <c r="N2861" s="33" t="n">
        <f aca="false">IF(J2861="","",ABS(J2861))</f>
        <v>2.375</v>
      </c>
      <c r="O2861" s="33" t="n">
        <f aca="false">IF(K2861="","",ABS(K2861))</f>
        <v>0.81001087435936</v>
      </c>
      <c r="P2861" s="34" t="str">
        <f aca="false">IF(B2861&gt;=Eval_Start_Week,"YES","")</f>
        <v/>
      </c>
      <c r="Q2861" s="34" t="str">
        <f aca="false">IF(AND(B2861&gt;=Cal_Start_Week,B2861&lt;=Cal_End_Week),"YES","")</f>
        <v>YES</v>
      </c>
    </row>
    <row r="2862" customFormat="false" ht="15" hidden="false" customHeight="false" outlineLevel="0" collapsed="false">
      <c r="A2862" s="31" t="str">
        <f aca="false">Demand_History!C2862</f>
        <v>BED-008</v>
      </c>
      <c r="B2862" s="31" t="n">
        <f aca="false">Demand_History!A2862</f>
        <v>53</v>
      </c>
      <c r="C2862" s="32" t="n">
        <f aca="false">Demand_History!D2862</f>
        <v>6</v>
      </c>
      <c r="D2862" s="33" t="n">
        <f aca="false">IF(B2862&gt;=2,C2861,"")</f>
        <v>6</v>
      </c>
      <c r="E2862" s="33" t="n">
        <f aca="false">IF(B2862&gt;=5,AVERAGE(C2858:C2861),"")</f>
        <v>5</v>
      </c>
      <c r="F2862" s="33" t="n">
        <f aca="false">IF(B2862&gt;=9,AVERAGE(C2854:C2861),"")</f>
        <v>7.625</v>
      </c>
      <c r="G2862" s="33" t="n">
        <f aca="false">IF(B2862=1,"",IF(B2862=2,C2861,SES_Alpha*C2861+(1-SES_Alpha)*G2861))</f>
        <v>6.56700761205155</v>
      </c>
      <c r="H2862" s="33" t="n">
        <f aca="false">IF(D2862="","",D2862-C2862)</f>
        <v>0</v>
      </c>
      <c r="I2862" s="33" t="n">
        <f aca="false">IF(E2862="","",E2862-C2862)</f>
        <v>-1</v>
      </c>
      <c r="J2862" s="33" t="n">
        <f aca="false">IF(F2862="","",F2862-C2862)</f>
        <v>1.625</v>
      </c>
      <c r="K2862" s="33" t="n">
        <f aca="false">IF(G2862="","",G2862-C2862)</f>
        <v>0.567007612051552</v>
      </c>
      <c r="L2862" s="33" t="n">
        <f aca="false">IF(H2862="","",ABS(H2862))</f>
        <v>0</v>
      </c>
      <c r="M2862" s="33" t="n">
        <f aca="false">IF(I2862="","",ABS(I2862))</f>
        <v>1</v>
      </c>
      <c r="N2862" s="33" t="n">
        <f aca="false">IF(J2862="","",ABS(J2862))</f>
        <v>1.625</v>
      </c>
      <c r="O2862" s="33" t="n">
        <f aca="false">IF(K2862="","",ABS(K2862))</f>
        <v>0.567007612051552</v>
      </c>
      <c r="P2862" s="34" t="str">
        <f aca="false">IF(B2862&gt;=Eval_Start_Week,"YES","")</f>
        <v>YES</v>
      </c>
      <c r="Q2862" s="34" t="str">
        <f aca="false">IF(AND(B2862&gt;=Cal_Start_Week,B2862&lt;=Cal_End_Week),"YES","")</f>
        <v>YES</v>
      </c>
    </row>
    <row r="2863" customFormat="false" ht="15" hidden="false" customHeight="false" outlineLevel="0" collapsed="false">
      <c r="A2863" s="31" t="str">
        <f aca="false">Demand_History!C2863</f>
        <v>BED-008</v>
      </c>
      <c r="B2863" s="31" t="n">
        <f aca="false">Demand_History!A2863</f>
        <v>54</v>
      </c>
      <c r="C2863" s="32" t="n">
        <f aca="false">Demand_History!D2863</f>
        <v>8</v>
      </c>
      <c r="D2863" s="33" t="n">
        <f aca="false">IF(B2863&gt;=2,C2862,"")</f>
        <v>6</v>
      </c>
      <c r="E2863" s="33" t="n">
        <f aca="false">IF(B2863&gt;=5,AVERAGE(C2859:C2862),"")</f>
        <v>5.75</v>
      </c>
      <c r="F2863" s="33" t="n">
        <f aca="false">IF(B2863&gt;=9,AVERAGE(C2855:C2862),"")</f>
        <v>6.625</v>
      </c>
      <c r="G2863" s="33" t="n">
        <f aca="false">IF(B2863=1,"",IF(B2863=2,C2862,SES_Alpha*C2862+(1-SES_Alpha)*G2862))</f>
        <v>6.39690532843609</v>
      </c>
      <c r="H2863" s="33" t="n">
        <f aca="false">IF(D2863="","",D2863-C2863)</f>
        <v>-2</v>
      </c>
      <c r="I2863" s="33" t="n">
        <f aca="false">IF(E2863="","",E2863-C2863)</f>
        <v>-2.25</v>
      </c>
      <c r="J2863" s="33" t="n">
        <f aca="false">IF(F2863="","",F2863-C2863)</f>
        <v>-1.375</v>
      </c>
      <c r="K2863" s="33" t="n">
        <f aca="false">IF(G2863="","",G2863-C2863)</f>
        <v>-1.60309467156391</v>
      </c>
      <c r="L2863" s="33" t="n">
        <f aca="false">IF(H2863="","",ABS(H2863))</f>
        <v>2</v>
      </c>
      <c r="M2863" s="33" t="n">
        <f aca="false">IF(I2863="","",ABS(I2863))</f>
        <v>2.25</v>
      </c>
      <c r="N2863" s="33" t="n">
        <f aca="false">IF(J2863="","",ABS(J2863))</f>
        <v>1.375</v>
      </c>
      <c r="O2863" s="33" t="n">
        <f aca="false">IF(K2863="","",ABS(K2863))</f>
        <v>1.60309467156391</v>
      </c>
      <c r="P2863" s="34" t="str">
        <f aca="false">IF(B2863&gt;=Eval_Start_Week,"YES","")</f>
        <v>YES</v>
      </c>
      <c r="Q2863" s="34" t="str">
        <f aca="false">IF(AND(B2863&gt;=Cal_Start_Week,B2863&lt;=Cal_End_Week),"YES","")</f>
        <v>YES</v>
      </c>
    </row>
    <row r="2864" customFormat="false" ht="15" hidden="false" customHeight="false" outlineLevel="0" collapsed="false">
      <c r="A2864" s="31" t="str">
        <f aca="false">Demand_History!C2864</f>
        <v>BED-008</v>
      </c>
      <c r="B2864" s="31" t="n">
        <f aca="false">Demand_History!A2864</f>
        <v>55</v>
      </c>
      <c r="C2864" s="32" t="n">
        <f aca="false">Demand_History!D2864</f>
        <v>9</v>
      </c>
      <c r="D2864" s="33" t="n">
        <f aca="false">IF(B2864&gt;=2,C2863,"")</f>
        <v>8</v>
      </c>
      <c r="E2864" s="33" t="n">
        <f aca="false">IF(B2864&gt;=5,AVERAGE(C2860:C2863),"")</f>
        <v>7</v>
      </c>
      <c r="F2864" s="33" t="n">
        <f aca="false">IF(B2864&gt;=9,AVERAGE(C2856:C2863),"")</f>
        <v>6.625</v>
      </c>
      <c r="G2864" s="33" t="n">
        <f aca="false">IF(B2864=1,"",IF(B2864=2,C2863,SES_Alpha*C2863+(1-SES_Alpha)*G2863))</f>
        <v>6.87783372990526</v>
      </c>
      <c r="H2864" s="33" t="n">
        <f aca="false">IF(D2864="","",D2864-C2864)</f>
        <v>-1</v>
      </c>
      <c r="I2864" s="33" t="n">
        <f aca="false">IF(E2864="","",E2864-C2864)</f>
        <v>-2</v>
      </c>
      <c r="J2864" s="33" t="n">
        <f aca="false">IF(F2864="","",F2864-C2864)</f>
        <v>-2.375</v>
      </c>
      <c r="K2864" s="33" t="n">
        <f aca="false">IF(G2864="","",G2864-C2864)</f>
        <v>-2.12216627009474</v>
      </c>
      <c r="L2864" s="33" t="n">
        <f aca="false">IF(H2864="","",ABS(H2864))</f>
        <v>1</v>
      </c>
      <c r="M2864" s="33" t="n">
        <f aca="false">IF(I2864="","",ABS(I2864))</f>
        <v>2</v>
      </c>
      <c r="N2864" s="33" t="n">
        <f aca="false">IF(J2864="","",ABS(J2864))</f>
        <v>2.375</v>
      </c>
      <c r="O2864" s="33" t="n">
        <f aca="false">IF(K2864="","",ABS(K2864))</f>
        <v>2.12216627009474</v>
      </c>
      <c r="P2864" s="34" t="str">
        <f aca="false">IF(B2864&gt;=Eval_Start_Week,"YES","")</f>
        <v>YES</v>
      </c>
      <c r="Q2864" s="34" t="str">
        <f aca="false">IF(AND(B2864&gt;=Cal_Start_Week,B2864&lt;=Cal_End_Week),"YES","")</f>
        <v>YES</v>
      </c>
    </row>
    <row r="2865" customFormat="false" ht="15" hidden="false" customHeight="false" outlineLevel="0" collapsed="false">
      <c r="A2865" s="31" t="str">
        <f aca="false">Demand_History!C2865</f>
        <v>BED-008</v>
      </c>
      <c r="B2865" s="31" t="n">
        <f aca="false">Demand_History!A2865</f>
        <v>56</v>
      </c>
      <c r="C2865" s="32" t="n">
        <f aca="false">Demand_History!D2865</f>
        <v>8</v>
      </c>
      <c r="D2865" s="33" t="n">
        <f aca="false">IF(B2865&gt;=2,C2864,"")</f>
        <v>9</v>
      </c>
      <c r="E2865" s="33" t="n">
        <f aca="false">IF(B2865&gt;=5,AVERAGE(C2861:C2864),"")</f>
        <v>7.25</v>
      </c>
      <c r="F2865" s="33" t="n">
        <f aca="false">IF(B2865&gt;=9,AVERAGE(C2857:C2864),"")</f>
        <v>6.25</v>
      </c>
      <c r="G2865" s="33" t="n">
        <f aca="false">IF(B2865=1,"",IF(B2865=2,C2864,SES_Alpha*C2864+(1-SES_Alpha)*G2864))</f>
        <v>7.51448361093368</v>
      </c>
      <c r="H2865" s="33" t="n">
        <f aca="false">IF(D2865="","",D2865-C2865)</f>
        <v>1</v>
      </c>
      <c r="I2865" s="33" t="n">
        <f aca="false">IF(E2865="","",E2865-C2865)</f>
        <v>-0.75</v>
      </c>
      <c r="J2865" s="33" t="n">
        <f aca="false">IF(F2865="","",F2865-C2865)</f>
        <v>-1.75</v>
      </c>
      <c r="K2865" s="33" t="n">
        <f aca="false">IF(G2865="","",G2865-C2865)</f>
        <v>-0.485516389066319</v>
      </c>
      <c r="L2865" s="33" t="n">
        <f aca="false">IF(H2865="","",ABS(H2865))</f>
        <v>1</v>
      </c>
      <c r="M2865" s="33" t="n">
        <f aca="false">IF(I2865="","",ABS(I2865))</f>
        <v>0.75</v>
      </c>
      <c r="N2865" s="33" t="n">
        <f aca="false">IF(J2865="","",ABS(J2865))</f>
        <v>1.75</v>
      </c>
      <c r="O2865" s="33" t="n">
        <f aca="false">IF(K2865="","",ABS(K2865))</f>
        <v>0.485516389066319</v>
      </c>
      <c r="P2865" s="34" t="str">
        <f aca="false">IF(B2865&gt;=Eval_Start_Week,"YES","")</f>
        <v>YES</v>
      </c>
      <c r="Q2865" s="34" t="str">
        <f aca="false">IF(AND(B2865&gt;=Cal_Start_Week,B2865&lt;=Cal_End_Week),"YES","")</f>
        <v>YES</v>
      </c>
    </row>
    <row r="2866" customFormat="false" ht="15" hidden="false" customHeight="false" outlineLevel="0" collapsed="false">
      <c r="A2866" s="31" t="str">
        <f aca="false">Demand_History!C2866</f>
        <v>BED-008</v>
      </c>
      <c r="B2866" s="31" t="n">
        <f aca="false">Demand_History!A2866</f>
        <v>57</v>
      </c>
      <c r="C2866" s="32" t="n">
        <f aca="false">Demand_History!D2866</f>
        <v>10</v>
      </c>
      <c r="D2866" s="33" t="n">
        <f aca="false">IF(B2866&gt;=2,C2865,"")</f>
        <v>8</v>
      </c>
      <c r="E2866" s="33" t="n">
        <f aca="false">IF(B2866&gt;=5,AVERAGE(C2862:C2865),"")</f>
        <v>7.75</v>
      </c>
      <c r="F2866" s="33" t="n">
        <f aca="false">IF(B2866&gt;=9,AVERAGE(C2858:C2865),"")</f>
        <v>6.375</v>
      </c>
      <c r="G2866" s="33" t="n">
        <f aca="false">IF(B2866=1,"",IF(B2866=2,C2865,SES_Alpha*C2865+(1-SES_Alpha)*G2865))</f>
        <v>7.66013852765358</v>
      </c>
      <c r="H2866" s="33" t="n">
        <f aca="false">IF(D2866="","",D2866-C2866)</f>
        <v>-2</v>
      </c>
      <c r="I2866" s="33" t="n">
        <f aca="false">IF(E2866="","",E2866-C2866)</f>
        <v>-2.25</v>
      </c>
      <c r="J2866" s="33" t="n">
        <f aca="false">IF(F2866="","",F2866-C2866)</f>
        <v>-3.625</v>
      </c>
      <c r="K2866" s="33" t="n">
        <f aca="false">IF(G2866="","",G2866-C2866)</f>
        <v>-2.33986147234642</v>
      </c>
      <c r="L2866" s="33" t="n">
        <f aca="false">IF(H2866="","",ABS(H2866))</f>
        <v>2</v>
      </c>
      <c r="M2866" s="33" t="n">
        <f aca="false">IF(I2866="","",ABS(I2866))</f>
        <v>2.25</v>
      </c>
      <c r="N2866" s="33" t="n">
        <f aca="false">IF(J2866="","",ABS(J2866))</f>
        <v>3.625</v>
      </c>
      <c r="O2866" s="33" t="n">
        <f aca="false">IF(K2866="","",ABS(K2866))</f>
        <v>2.33986147234642</v>
      </c>
      <c r="P2866" s="34" t="str">
        <f aca="false">IF(B2866&gt;=Eval_Start_Week,"YES","")</f>
        <v>YES</v>
      </c>
      <c r="Q2866" s="34" t="str">
        <f aca="false">IF(AND(B2866&gt;=Cal_Start_Week,B2866&lt;=Cal_End_Week),"YES","")</f>
        <v>YES</v>
      </c>
    </row>
    <row r="2867" customFormat="false" ht="15" hidden="false" customHeight="false" outlineLevel="0" collapsed="false">
      <c r="A2867" s="31" t="str">
        <f aca="false">Demand_History!C2867</f>
        <v>BED-008</v>
      </c>
      <c r="B2867" s="31" t="n">
        <f aca="false">Demand_History!A2867</f>
        <v>58</v>
      </c>
      <c r="C2867" s="32" t="n">
        <f aca="false">Demand_History!D2867</f>
        <v>5</v>
      </c>
      <c r="D2867" s="33" t="n">
        <f aca="false">IF(B2867&gt;=2,C2866,"")</f>
        <v>10</v>
      </c>
      <c r="E2867" s="33" t="n">
        <f aca="false">IF(B2867&gt;=5,AVERAGE(C2863:C2866),"")</f>
        <v>8.75</v>
      </c>
      <c r="F2867" s="33" t="n">
        <f aca="false">IF(B2867&gt;=9,AVERAGE(C2859:C2866),"")</f>
        <v>7.25</v>
      </c>
      <c r="G2867" s="33" t="n">
        <f aca="false">IF(B2867=1,"",IF(B2867=2,C2866,SES_Alpha*C2866+(1-SES_Alpha)*G2866))</f>
        <v>8.3620969693575</v>
      </c>
      <c r="H2867" s="33" t="n">
        <f aca="false">IF(D2867="","",D2867-C2867)</f>
        <v>5</v>
      </c>
      <c r="I2867" s="33" t="n">
        <f aca="false">IF(E2867="","",E2867-C2867)</f>
        <v>3.75</v>
      </c>
      <c r="J2867" s="33" t="n">
        <f aca="false">IF(F2867="","",F2867-C2867)</f>
        <v>2.25</v>
      </c>
      <c r="K2867" s="33" t="n">
        <f aca="false">IF(G2867="","",G2867-C2867)</f>
        <v>3.3620969693575</v>
      </c>
      <c r="L2867" s="33" t="n">
        <f aca="false">IF(H2867="","",ABS(H2867))</f>
        <v>5</v>
      </c>
      <c r="M2867" s="33" t="n">
        <f aca="false">IF(I2867="","",ABS(I2867))</f>
        <v>3.75</v>
      </c>
      <c r="N2867" s="33" t="n">
        <f aca="false">IF(J2867="","",ABS(J2867))</f>
        <v>2.25</v>
      </c>
      <c r="O2867" s="33" t="n">
        <f aca="false">IF(K2867="","",ABS(K2867))</f>
        <v>3.3620969693575</v>
      </c>
      <c r="P2867" s="34" t="str">
        <f aca="false">IF(B2867&gt;=Eval_Start_Week,"YES","")</f>
        <v>YES</v>
      </c>
      <c r="Q2867" s="34" t="str">
        <f aca="false">IF(AND(B2867&gt;=Cal_Start_Week,B2867&lt;=Cal_End_Week),"YES","")</f>
        <v>YES</v>
      </c>
    </row>
    <row r="2868" customFormat="false" ht="15" hidden="false" customHeight="false" outlineLevel="0" collapsed="false">
      <c r="A2868" s="31" t="str">
        <f aca="false">Demand_History!C2868</f>
        <v>BED-008</v>
      </c>
      <c r="B2868" s="31" t="n">
        <f aca="false">Demand_History!A2868</f>
        <v>59</v>
      </c>
      <c r="C2868" s="32" t="n">
        <f aca="false">Demand_History!D2868</f>
        <v>7</v>
      </c>
      <c r="D2868" s="33" t="n">
        <f aca="false">IF(B2868&gt;=2,C2867,"")</f>
        <v>5</v>
      </c>
      <c r="E2868" s="33" t="n">
        <f aca="false">IF(B2868&gt;=5,AVERAGE(C2864:C2867),"")</f>
        <v>8</v>
      </c>
      <c r="F2868" s="33" t="n">
        <f aca="false">IF(B2868&gt;=9,AVERAGE(C2860:C2867),"")</f>
        <v>7.5</v>
      </c>
      <c r="G2868" s="33" t="n">
        <f aca="false">IF(B2868=1,"",IF(B2868=2,C2867,SES_Alpha*C2867+(1-SES_Alpha)*G2867))</f>
        <v>7.35346787855025</v>
      </c>
      <c r="H2868" s="33" t="n">
        <f aca="false">IF(D2868="","",D2868-C2868)</f>
        <v>-2</v>
      </c>
      <c r="I2868" s="33" t="n">
        <f aca="false">IF(E2868="","",E2868-C2868)</f>
        <v>1</v>
      </c>
      <c r="J2868" s="33" t="n">
        <f aca="false">IF(F2868="","",F2868-C2868)</f>
        <v>0.5</v>
      </c>
      <c r="K2868" s="33" t="n">
        <f aca="false">IF(G2868="","",G2868-C2868)</f>
        <v>0.353467878550251</v>
      </c>
      <c r="L2868" s="33" t="n">
        <f aca="false">IF(H2868="","",ABS(H2868))</f>
        <v>2</v>
      </c>
      <c r="M2868" s="33" t="n">
        <f aca="false">IF(I2868="","",ABS(I2868))</f>
        <v>1</v>
      </c>
      <c r="N2868" s="33" t="n">
        <f aca="false">IF(J2868="","",ABS(J2868))</f>
        <v>0.5</v>
      </c>
      <c r="O2868" s="33" t="n">
        <f aca="false">IF(K2868="","",ABS(K2868))</f>
        <v>0.353467878550251</v>
      </c>
      <c r="P2868" s="34" t="str">
        <f aca="false">IF(B2868&gt;=Eval_Start_Week,"YES","")</f>
        <v>YES</v>
      </c>
      <c r="Q2868" s="34" t="str">
        <f aca="false">IF(AND(B2868&gt;=Cal_Start_Week,B2868&lt;=Cal_End_Week),"YES","")</f>
        <v>YES</v>
      </c>
    </row>
    <row r="2869" customFormat="false" ht="15" hidden="false" customHeight="false" outlineLevel="0" collapsed="false">
      <c r="A2869" s="31" t="str">
        <f aca="false">Demand_History!C2869</f>
        <v>BED-008</v>
      </c>
      <c r="B2869" s="31" t="n">
        <f aca="false">Demand_History!A2869</f>
        <v>60</v>
      </c>
      <c r="C2869" s="32" t="n">
        <f aca="false">Demand_History!D2869</f>
        <v>4</v>
      </c>
      <c r="D2869" s="33" t="n">
        <f aca="false">IF(B2869&gt;=2,C2868,"")</f>
        <v>7</v>
      </c>
      <c r="E2869" s="33" t="n">
        <f aca="false">IF(B2869&gt;=5,AVERAGE(C2865:C2868),"")</f>
        <v>7.5</v>
      </c>
      <c r="F2869" s="33" t="n">
        <f aca="false">IF(B2869&gt;=9,AVERAGE(C2861:C2868),"")</f>
        <v>7.375</v>
      </c>
      <c r="G2869" s="33" t="n">
        <f aca="false">IF(B2869=1,"",IF(B2869=2,C2868,SES_Alpha*C2868+(1-SES_Alpha)*G2868))</f>
        <v>7.24742751498518</v>
      </c>
      <c r="H2869" s="33" t="n">
        <f aca="false">IF(D2869="","",D2869-C2869)</f>
        <v>3</v>
      </c>
      <c r="I2869" s="33" t="n">
        <f aca="false">IF(E2869="","",E2869-C2869)</f>
        <v>3.5</v>
      </c>
      <c r="J2869" s="33" t="n">
        <f aca="false">IF(F2869="","",F2869-C2869)</f>
        <v>3.375</v>
      </c>
      <c r="K2869" s="33" t="n">
        <f aca="false">IF(G2869="","",G2869-C2869)</f>
        <v>3.24742751498518</v>
      </c>
      <c r="L2869" s="33" t="n">
        <f aca="false">IF(H2869="","",ABS(H2869))</f>
        <v>3</v>
      </c>
      <c r="M2869" s="33" t="n">
        <f aca="false">IF(I2869="","",ABS(I2869))</f>
        <v>3.5</v>
      </c>
      <c r="N2869" s="33" t="n">
        <f aca="false">IF(J2869="","",ABS(J2869))</f>
        <v>3.375</v>
      </c>
      <c r="O2869" s="33" t="n">
        <f aca="false">IF(K2869="","",ABS(K2869))</f>
        <v>3.24742751498518</v>
      </c>
      <c r="P2869" s="34" t="str">
        <f aca="false">IF(B2869&gt;=Eval_Start_Week,"YES","")</f>
        <v>YES</v>
      </c>
      <c r="Q2869" s="34" t="str">
        <f aca="false">IF(AND(B2869&gt;=Cal_Start_Week,B2869&lt;=Cal_End_Week),"YES","")</f>
        <v>YES</v>
      </c>
    </row>
    <row r="2870" customFormat="false" ht="15" hidden="false" customHeight="false" outlineLevel="0" collapsed="false">
      <c r="A2870" s="31" t="str">
        <f aca="false">Demand_History!C2870</f>
        <v>BED-008</v>
      </c>
      <c r="B2870" s="31" t="n">
        <f aca="false">Demand_History!A2870</f>
        <v>61</v>
      </c>
      <c r="C2870" s="32" t="n">
        <f aca="false">Demand_History!D2870</f>
        <v>5</v>
      </c>
      <c r="D2870" s="33" t="n">
        <f aca="false">IF(B2870&gt;=2,C2869,"")</f>
        <v>4</v>
      </c>
      <c r="E2870" s="33" t="n">
        <f aca="false">IF(B2870&gt;=5,AVERAGE(C2866:C2869),"")</f>
        <v>6.5</v>
      </c>
      <c r="F2870" s="33" t="n">
        <f aca="false">IF(B2870&gt;=9,AVERAGE(C2862:C2869),"")</f>
        <v>7.125</v>
      </c>
      <c r="G2870" s="33" t="n">
        <f aca="false">IF(B2870=1,"",IF(B2870=2,C2869,SES_Alpha*C2869+(1-SES_Alpha)*G2869))</f>
        <v>6.27319926048962</v>
      </c>
      <c r="H2870" s="33" t="n">
        <f aca="false">IF(D2870="","",D2870-C2870)</f>
        <v>-1</v>
      </c>
      <c r="I2870" s="33" t="n">
        <f aca="false">IF(E2870="","",E2870-C2870)</f>
        <v>1.5</v>
      </c>
      <c r="J2870" s="33" t="n">
        <f aca="false">IF(F2870="","",F2870-C2870)</f>
        <v>2.125</v>
      </c>
      <c r="K2870" s="33" t="n">
        <f aca="false">IF(G2870="","",G2870-C2870)</f>
        <v>1.27319926048962</v>
      </c>
      <c r="L2870" s="33" t="n">
        <f aca="false">IF(H2870="","",ABS(H2870))</f>
        <v>1</v>
      </c>
      <c r="M2870" s="33" t="n">
        <f aca="false">IF(I2870="","",ABS(I2870))</f>
        <v>1.5</v>
      </c>
      <c r="N2870" s="33" t="n">
        <f aca="false">IF(J2870="","",ABS(J2870))</f>
        <v>2.125</v>
      </c>
      <c r="O2870" s="33" t="n">
        <f aca="false">IF(K2870="","",ABS(K2870))</f>
        <v>1.27319926048962</v>
      </c>
      <c r="P2870" s="34" t="str">
        <f aca="false">IF(B2870&gt;=Eval_Start_Week,"YES","")</f>
        <v>YES</v>
      </c>
      <c r="Q2870" s="34" t="str">
        <f aca="false">IF(AND(B2870&gt;=Cal_Start_Week,B2870&lt;=Cal_End_Week),"YES","")</f>
        <v>YES</v>
      </c>
    </row>
    <row r="2871" customFormat="false" ht="15" hidden="false" customHeight="false" outlineLevel="0" collapsed="false">
      <c r="A2871" s="31" t="str">
        <f aca="false">Demand_History!C2871</f>
        <v>BED-008</v>
      </c>
      <c r="B2871" s="31" t="n">
        <f aca="false">Demand_History!A2871</f>
        <v>62</v>
      </c>
      <c r="C2871" s="32" t="n">
        <f aca="false">Demand_History!D2871</f>
        <v>8</v>
      </c>
      <c r="D2871" s="33" t="n">
        <f aca="false">IF(B2871&gt;=2,C2870,"")</f>
        <v>5</v>
      </c>
      <c r="E2871" s="33" t="n">
        <f aca="false">IF(B2871&gt;=5,AVERAGE(C2867:C2870),"")</f>
        <v>5.25</v>
      </c>
      <c r="F2871" s="33" t="n">
        <f aca="false">IF(B2871&gt;=9,AVERAGE(C2863:C2870),"")</f>
        <v>7</v>
      </c>
      <c r="G2871" s="33" t="n">
        <f aca="false">IF(B2871=1,"",IF(B2871=2,C2870,SES_Alpha*C2870+(1-SES_Alpha)*G2870))</f>
        <v>5.89123948234274</v>
      </c>
      <c r="H2871" s="33" t="n">
        <f aca="false">IF(D2871="","",D2871-C2871)</f>
        <v>-3</v>
      </c>
      <c r="I2871" s="33" t="n">
        <f aca="false">IF(E2871="","",E2871-C2871)</f>
        <v>-2.75</v>
      </c>
      <c r="J2871" s="33" t="n">
        <f aca="false">IF(F2871="","",F2871-C2871)</f>
        <v>-1</v>
      </c>
      <c r="K2871" s="33" t="n">
        <f aca="false">IF(G2871="","",G2871-C2871)</f>
        <v>-2.10876051765726</v>
      </c>
      <c r="L2871" s="33" t="n">
        <f aca="false">IF(H2871="","",ABS(H2871))</f>
        <v>3</v>
      </c>
      <c r="M2871" s="33" t="n">
        <f aca="false">IF(I2871="","",ABS(I2871))</f>
        <v>2.75</v>
      </c>
      <c r="N2871" s="33" t="n">
        <f aca="false">IF(J2871="","",ABS(J2871))</f>
        <v>1</v>
      </c>
      <c r="O2871" s="33" t="n">
        <f aca="false">IF(K2871="","",ABS(K2871))</f>
        <v>2.10876051765726</v>
      </c>
      <c r="P2871" s="34" t="str">
        <f aca="false">IF(B2871&gt;=Eval_Start_Week,"YES","")</f>
        <v>YES</v>
      </c>
      <c r="Q2871" s="34" t="str">
        <f aca="false">IF(AND(B2871&gt;=Cal_Start_Week,B2871&lt;=Cal_End_Week),"YES","")</f>
        <v>YES</v>
      </c>
    </row>
    <row r="2872" customFormat="false" ht="15" hidden="false" customHeight="false" outlineLevel="0" collapsed="false">
      <c r="A2872" s="31" t="str">
        <f aca="false">Demand_History!C2872</f>
        <v>BED-008</v>
      </c>
      <c r="B2872" s="31" t="n">
        <f aca="false">Demand_History!A2872</f>
        <v>63</v>
      </c>
      <c r="C2872" s="32" t="n">
        <f aca="false">Demand_History!D2872</f>
        <v>7</v>
      </c>
      <c r="D2872" s="33" t="n">
        <f aca="false">IF(B2872&gt;=2,C2871,"")</f>
        <v>8</v>
      </c>
      <c r="E2872" s="33" t="n">
        <f aca="false">IF(B2872&gt;=5,AVERAGE(C2868:C2871),"")</f>
        <v>6</v>
      </c>
      <c r="F2872" s="33" t="n">
        <f aca="false">IF(B2872&gt;=9,AVERAGE(C2864:C2871),"")</f>
        <v>7</v>
      </c>
      <c r="G2872" s="33" t="n">
        <f aca="false">IF(B2872=1,"",IF(B2872=2,C2871,SES_Alpha*C2871+(1-SES_Alpha)*G2871))</f>
        <v>6.52386763763992</v>
      </c>
      <c r="H2872" s="33" t="n">
        <f aca="false">IF(D2872="","",D2872-C2872)</f>
        <v>1</v>
      </c>
      <c r="I2872" s="33" t="n">
        <f aca="false">IF(E2872="","",E2872-C2872)</f>
        <v>-1</v>
      </c>
      <c r="J2872" s="33" t="n">
        <f aca="false">IF(F2872="","",F2872-C2872)</f>
        <v>0</v>
      </c>
      <c r="K2872" s="33" t="n">
        <f aca="false">IF(G2872="","",G2872-C2872)</f>
        <v>-0.476132362360085</v>
      </c>
      <c r="L2872" s="33" t="n">
        <f aca="false">IF(H2872="","",ABS(H2872))</f>
        <v>1</v>
      </c>
      <c r="M2872" s="33" t="n">
        <f aca="false">IF(I2872="","",ABS(I2872))</f>
        <v>1</v>
      </c>
      <c r="N2872" s="33" t="n">
        <f aca="false">IF(J2872="","",ABS(J2872))</f>
        <v>0</v>
      </c>
      <c r="O2872" s="33" t="n">
        <f aca="false">IF(K2872="","",ABS(K2872))</f>
        <v>0.476132362360085</v>
      </c>
      <c r="P2872" s="34" t="str">
        <f aca="false">IF(B2872&gt;=Eval_Start_Week,"YES","")</f>
        <v>YES</v>
      </c>
      <c r="Q2872" s="34" t="str">
        <f aca="false">IF(AND(B2872&gt;=Cal_Start_Week,B2872&lt;=Cal_End_Week),"YES","")</f>
        <v>YES</v>
      </c>
    </row>
    <row r="2873" customFormat="false" ht="15" hidden="false" customHeight="false" outlineLevel="0" collapsed="false">
      <c r="A2873" s="31" t="str">
        <f aca="false">Demand_History!C2873</f>
        <v>BED-008</v>
      </c>
      <c r="B2873" s="31" t="n">
        <f aca="false">Demand_History!A2873</f>
        <v>64</v>
      </c>
      <c r="C2873" s="32" t="n">
        <f aca="false">Demand_History!D2873</f>
        <v>6</v>
      </c>
      <c r="D2873" s="33" t="n">
        <f aca="false">IF(B2873&gt;=2,C2872,"")</f>
        <v>7</v>
      </c>
      <c r="E2873" s="33" t="n">
        <f aca="false">IF(B2873&gt;=5,AVERAGE(C2869:C2872),"")</f>
        <v>6</v>
      </c>
      <c r="F2873" s="33" t="n">
        <f aca="false">IF(B2873&gt;=9,AVERAGE(C2865:C2872),"")</f>
        <v>6.75</v>
      </c>
      <c r="G2873" s="33" t="n">
        <f aca="false">IF(B2873=1,"",IF(B2873=2,C2872,SES_Alpha*C2872+(1-SES_Alpha)*G2872))</f>
        <v>6.66670734634794</v>
      </c>
      <c r="H2873" s="33" t="n">
        <f aca="false">IF(D2873="","",D2873-C2873)</f>
        <v>1</v>
      </c>
      <c r="I2873" s="33" t="n">
        <f aca="false">IF(E2873="","",E2873-C2873)</f>
        <v>0</v>
      </c>
      <c r="J2873" s="33" t="n">
        <f aca="false">IF(F2873="","",F2873-C2873)</f>
        <v>0.75</v>
      </c>
      <c r="K2873" s="33" t="n">
        <f aca="false">IF(G2873="","",G2873-C2873)</f>
        <v>0.666707346347941</v>
      </c>
      <c r="L2873" s="33" t="n">
        <f aca="false">IF(H2873="","",ABS(H2873))</f>
        <v>1</v>
      </c>
      <c r="M2873" s="33" t="n">
        <f aca="false">IF(I2873="","",ABS(I2873))</f>
        <v>0</v>
      </c>
      <c r="N2873" s="33" t="n">
        <f aca="false">IF(J2873="","",ABS(J2873))</f>
        <v>0.75</v>
      </c>
      <c r="O2873" s="33" t="n">
        <f aca="false">IF(K2873="","",ABS(K2873))</f>
        <v>0.666707346347941</v>
      </c>
      <c r="P2873" s="34" t="str">
        <f aca="false">IF(B2873&gt;=Eval_Start_Week,"YES","")</f>
        <v>YES</v>
      </c>
      <c r="Q2873" s="34" t="str">
        <f aca="false">IF(AND(B2873&gt;=Cal_Start_Week,B2873&lt;=Cal_End_Week),"YES","")</f>
        <v>YES</v>
      </c>
    </row>
    <row r="2874" customFormat="false" ht="15" hidden="false" customHeight="false" outlineLevel="0" collapsed="false">
      <c r="A2874" s="31" t="str">
        <f aca="false">Demand_History!C2874</f>
        <v>BED-008</v>
      </c>
      <c r="B2874" s="31" t="n">
        <f aca="false">Demand_History!A2874</f>
        <v>65</v>
      </c>
      <c r="C2874" s="32" t="n">
        <f aca="false">Demand_History!D2874</f>
        <v>14</v>
      </c>
      <c r="D2874" s="33" t="n">
        <f aca="false">IF(B2874&gt;=2,C2873,"")</f>
        <v>6</v>
      </c>
      <c r="E2874" s="33" t="n">
        <f aca="false">IF(B2874&gt;=5,AVERAGE(C2870:C2873),"")</f>
        <v>6.5</v>
      </c>
      <c r="F2874" s="33" t="n">
        <f aca="false">IF(B2874&gt;=9,AVERAGE(C2866:C2873),"")</f>
        <v>6.5</v>
      </c>
      <c r="G2874" s="33" t="n">
        <f aca="false">IF(B2874=1,"",IF(B2874=2,C2873,SES_Alpha*C2873+(1-SES_Alpha)*G2873))</f>
        <v>6.46669514244356</v>
      </c>
      <c r="H2874" s="33" t="n">
        <f aca="false">IF(D2874="","",D2874-C2874)</f>
        <v>-8</v>
      </c>
      <c r="I2874" s="33" t="n">
        <f aca="false">IF(E2874="","",E2874-C2874)</f>
        <v>-7.5</v>
      </c>
      <c r="J2874" s="33" t="n">
        <f aca="false">IF(F2874="","",F2874-C2874)</f>
        <v>-7.5</v>
      </c>
      <c r="K2874" s="33" t="n">
        <f aca="false">IF(G2874="","",G2874-C2874)</f>
        <v>-7.53330485755644</v>
      </c>
      <c r="L2874" s="33" t="n">
        <f aca="false">IF(H2874="","",ABS(H2874))</f>
        <v>8</v>
      </c>
      <c r="M2874" s="33" t="n">
        <f aca="false">IF(I2874="","",ABS(I2874))</f>
        <v>7.5</v>
      </c>
      <c r="N2874" s="33" t="n">
        <f aca="false">IF(J2874="","",ABS(J2874))</f>
        <v>7.5</v>
      </c>
      <c r="O2874" s="33" t="n">
        <f aca="false">IF(K2874="","",ABS(K2874))</f>
        <v>7.53330485755644</v>
      </c>
      <c r="P2874" s="34" t="str">
        <f aca="false">IF(B2874&gt;=Eval_Start_Week,"YES","")</f>
        <v>YES</v>
      </c>
      <c r="Q2874" s="34" t="str">
        <f aca="false">IF(AND(B2874&gt;=Cal_Start_Week,B2874&lt;=Cal_End_Week),"YES","")</f>
        <v>YES</v>
      </c>
    </row>
    <row r="2875" customFormat="false" ht="15" hidden="false" customHeight="false" outlineLevel="0" collapsed="false">
      <c r="A2875" s="31" t="str">
        <f aca="false">Demand_History!C2875</f>
        <v>BED-008</v>
      </c>
      <c r="B2875" s="31" t="n">
        <f aca="false">Demand_History!A2875</f>
        <v>66</v>
      </c>
      <c r="C2875" s="32" t="n">
        <f aca="false">Demand_History!D2875</f>
        <v>9</v>
      </c>
      <c r="D2875" s="33" t="n">
        <f aca="false">IF(B2875&gt;=2,C2874,"")</f>
        <v>14</v>
      </c>
      <c r="E2875" s="33" t="n">
        <f aca="false">IF(B2875&gt;=5,AVERAGE(C2871:C2874),"")</f>
        <v>8.75</v>
      </c>
      <c r="F2875" s="33" t="n">
        <f aca="false">IF(B2875&gt;=9,AVERAGE(C2867:C2874),"")</f>
        <v>7</v>
      </c>
      <c r="G2875" s="33" t="n">
        <f aca="false">IF(B2875=1,"",IF(B2875=2,C2874,SES_Alpha*C2874+(1-SES_Alpha)*G2874))</f>
        <v>8.72668659971049</v>
      </c>
      <c r="H2875" s="33" t="n">
        <f aca="false">IF(D2875="","",D2875-C2875)</f>
        <v>5</v>
      </c>
      <c r="I2875" s="33" t="n">
        <f aca="false">IF(E2875="","",E2875-C2875)</f>
        <v>-0.25</v>
      </c>
      <c r="J2875" s="33" t="n">
        <f aca="false">IF(F2875="","",F2875-C2875)</f>
        <v>-2</v>
      </c>
      <c r="K2875" s="33" t="n">
        <f aca="false">IF(G2875="","",G2875-C2875)</f>
        <v>-0.27331340028951</v>
      </c>
      <c r="L2875" s="33" t="n">
        <f aca="false">IF(H2875="","",ABS(H2875))</f>
        <v>5</v>
      </c>
      <c r="M2875" s="33" t="n">
        <f aca="false">IF(I2875="","",ABS(I2875))</f>
        <v>0.25</v>
      </c>
      <c r="N2875" s="33" t="n">
        <f aca="false">IF(J2875="","",ABS(J2875))</f>
        <v>2</v>
      </c>
      <c r="O2875" s="33" t="n">
        <f aca="false">IF(K2875="","",ABS(K2875))</f>
        <v>0.27331340028951</v>
      </c>
      <c r="P2875" s="34" t="str">
        <f aca="false">IF(B2875&gt;=Eval_Start_Week,"YES","")</f>
        <v>YES</v>
      </c>
      <c r="Q2875" s="34" t="str">
        <f aca="false">IF(AND(B2875&gt;=Cal_Start_Week,B2875&lt;=Cal_End_Week),"YES","")</f>
        <v>YES</v>
      </c>
    </row>
    <row r="2876" customFormat="false" ht="15" hidden="false" customHeight="false" outlineLevel="0" collapsed="false">
      <c r="A2876" s="31" t="str">
        <f aca="false">Demand_History!C2876</f>
        <v>BED-008</v>
      </c>
      <c r="B2876" s="31" t="n">
        <f aca="false">Demand_History!A2876</f>
        <v>67</v>
      </c>
      <c r="C2876" s="32" t="n">
        <f aca="false">Demand_History!D2876</f>
        <v>11</v>
      </c>
      <c r="D2876" s="33" t="n">
        <f aca="false">IF(B2876&gt;=2,C2875,"")</f>
        <v>9</v>
      </c>
      <c r="E2876" s="33" t="n">
        <f aca="false">IF(B2876&gt;=5,AVERAGE(C2872:C2875),"")</f>
        <v>9</v>
      </c>
      <c r="F2876" s="33" t="n">
        <f aca="false">IF(B2876&gt;=9,AVERAGE(C2868:C2875),"")</f>
        <v>7.5</v>
      </c>
      <c r="G2876" s="33" t="n">
        <f aca="false">IF(B2876=1,"",IF(B2876=2,C2875,SES_Alpha*C2875+(1-SES_Alpha)*G2875))</f>
        <v>8.80868061979734</v>
      </c>
      <c r="H2876" s="33" t="n">
        <f aca="false">IF(D2876="","",D2876-C2876)</f>
        <v>-2</v>
      </c>
      <c r="I2876" s="33" t="n">
        <f aca="false">IF(E2876="","",E2876-C2876)</f>
        <v>-2</v>
      </c>
      <c r="J2876" s="33" t="n">
        <f aca="false">IF(F2876="","",F2876-C2876)</f>
        <v>-3.5</v>
      </c>
      <c r="K2876" s="33" t="n">
        <f aca="false">IF(G2876="","",G2876-C2876)</f>
        <v>-2.19131938020266</v>
      </c>
      <c r="L2876" s="33" t="n">
        <f aca="false">IF(H2876="","",ABS(H2876))</f>
        <v>2</v>
      </c>
      <c r="M2876" s="33" t="n">
        <f aca="false">IF(I2876="","",ABS(I2876))</f>
        <v>2</v>
      </c>
      <c r="N2876" s="33" t="n">
        <f aca="false">IF(J2876="","",ABS(J2876))</f>
        <v>3.5</v>
      </c>
      <c r="O2876" s="33" t="n">
        <f aca="false">IF(K2876="","",ABS(K2876))</f>
        <v>2.19131938020266</v>
      </c>
      <c r="P2876" s="34" t="str">
        <f aca="false">IF(B2876&gt;=Eval_Start_Week,"YES","")</f>
        <v>YES</v>
      </c>
      <c r="Q2876" s="34" t="str">
        <f aca="false">IF(AND(B2876&gt;=Cal_Start_Week,B2876&lt;=Cal_End_Week),"YES","")</f>
        <v>YES</v>
      </c>
    </row>
    <row r="2877" customFormat="false" ht="15" hidden="false" customHeight="false" outlineLevel="0" collapsed="false">
      <c r="A2877" s="31" t="str">
        <f aca="false">Demand_History!C2877</f>
        <v>BED-008</v>
      </c>
      <c r="B2877" s="31" t="n">
        <f aca="false">Demand_History!A2877</f>
        <v>68</v>
      </c>
      <c r="C2877" s="32" t="n">
        <f aca="false">Demand_History!D2877</f>
        <v>13</v>
      </c>
      <c r="D2877" s="33" t="n">
        <f aca="false">IF(B2877&gt;=2,C2876,"")</f>
        <v>11</v>
      </c>
      <c r="E2877" s="33" t="n">
        <f aca="false">IF(B2877&gt;=5,AVERAGE(C2873:C2876),"")</f>
        <v>10</v>
      </c>
      <c r="F2877" s="33" t="n">
        <f aca="false">IF(B2877&gt;=9,AVERAGE(C2869:C2876),"")</f>
        <v>8</v>
      </c>
      <c r="G2877" s="33" t="n">
        <f aca="false">IF(B2877=1,"",IF(B2877=2,C2876,SES_Alpha*C2876+(1-SES_Alpha)*G2876))</f>
        <v>9.46607643385814</v>
      </c>
      <c r="H2877" s="33" t="n">
        <f aca="false">IF(D2877="","",D2877-C2877)</f>
        <v>-2</v>
      </c>
      <c r="I2877" s="33" t="n">
        <f aca="false">IF(E2877="","",E2877-C2877)</f>
        <v>-3</v>
      </c>
      <c r="J2877" s="33" t="n">
        <f aca="false">IF(F2877="","",F2877-C2877)</f>
        <v>-5</v>
      </c>
      <c r="K2877" s="33" t="n">
        <f aca="false">IF(G2877="","",G2877-C2877)</f>
        <v>-3.53392356614186</v>
      </c>
      <c r="L2877" s="33" t="n">
        <f aca="false">IF(H2877="","",ABS(H2877))</f>
        <v>2</v>
      </c>
      <c r="M2877" s="33" t="n">
        <f aca="false">IF(I2877="","",ABS(I2877))</f>
        <v>3</v>
      </c>
      <c r="N2877" s="33" t="n">
        <f aca="false">IF(J2877="","",ABS(J2877))</f>
        <v>5</v>
      </c>
      <c r="O2877" s="33" t="n">
        <f aca="false">IF(K2877="","",ABS(K2877))</f>
        <v>3.53392356614186</v>
      </c>
      <c r="P2877" s="34" t="str">
        <f aca="false">IF(B2877&gt;=Eval_Start_Week,"YES","")</f>
        <v>YES</v>
      </c>
      <c r="Q2877" s="34" t="str">
        <f aca="false">IF(AND(B2877&gt;=Cal_Start_Week,B2877&lt;=Cal_End_Week),"YES","")</f>
        <v>YES</v>
      </c>
    </row>
    <row r="2878" customFormat="false" ht="15" hidden="false" customHeight="false" outlineLevel="0" collapsed="false">
      <c r="A2878" s="31" t="str">
        <f aca="false">Demand_History!C2878</f>
        <v>BED-008</v>
      </c>
      <c r="B2878" s="31" t="n">
        <f aca="false">Demand_History!A2878</f>
        <v>69</v>
      </c>
      <c r="C2878" s="32" t="n">
        <f aca="false">Demand_History!D2878</f>
        <v>13</v>
      </c>
      <c r="D2878" s="33" t="n">
        <f aca="false">IF(B2878&gt;=2,C2877,"")</f>
        <v>13</v>
      </c>
      <c r="E2878" s="33" t="n">
        <f aca="false">IF(B2878&gt;=5,AVERAGE(C2874:C2877),"")</f>
        <v>11.75</v>
      </c>
      <c r="F2878" s="33" t="n">
        <f aca="false">IF(B2878&gt;=9,AVERAGE(C2870:C2877),"")</f>
        <v>9.125</v>
      </c>
      <c r="G2878" s="33" t="n">
        <f aca="false">IF(B2878=1,"",IF(B2878=2,C2877,SES_Alpha*C2877+(1-SES_Alpha)*G2877))</f>
        <v>10.5262535037007</v>
      </c>
      <c r="H2878" s="33" t="n">
        <f aca="false">IF(D2878="","",D2878-C2878)</f>
        <v>0</v>
      </c>
      <c r="I2878" s="33" t="n">
        <f aca="false">IF(E2878="","",E2878-C2878)</f>
        <v>-1.25</v>
      </c>
      <c r="J2878" s="33" t="n">
        <f aca="false">IF(F2878="","",F2878-C2878)</f>
        <v>-3.875</v>
      </c>
      <c r="K2878" s="33" t="n">
        <f aca="false">IF(G2878="","",G2878-C2878)</f>
        <v>-2.4737464962993</v>
      </c>
      <c r="L2878" s="33" t="n">
        <f aca="false">IF(H2878="","",ABS(H2878))</f>
        <v>0</v>
      </c>
      <c r="M2878" s="33" t="n">
        <f aca="false">IF(I2878="","",ABS(I2878))</f>
        <v>1.25</v>
      </c>
      <c r="N2878" s="33" t="n">
        <f aca="false">IF(J2878="","",ABS(J2878))</f>
        <v>3.875</v>
      </c>
      <c r="O2878" s="33" t="n">
        <f aca="false">IF(K2878="","",ABS(K2878))</f>
        <v>2.4737464962993</v>
      </c>
      <c r="P2878" s="34" t="str">
        <f aca="false">IF(B2878&gt;=Eval_Start_Week,"YES","")</f>
        <v>YES</v>
      </c>
      <c r="Q2878" s="34" t="str">
        <f aca="false">IF(AND(B2878&gt;=Cal_Start_Week,B2878&lt;=Cal_End_Week),"YES","")</f>
        <v>YES</v>
      </c>
    </row>
    <row r="2879" customFormat="false" ht="15" hidden="false" customHeight="false" outlineLevel="0" collapsed="false">
      <c r="A2879" s="31" t="str">
        <f aca="false">Demand_History!C2879</f>
        <v>BED-008</v>
      </c>
      <c r="B2879" s="31" t="n">
        <f aca="false">Demand_History!A2879</f>
        <v>70</v>
      </c>
      <c r="C2879" s="32" t="n">
        <f aca="false">Demand_History!D2879</f>
        <v>6</v>
      </c>
      <c r="D2879" s="33" t="n">
        <f aca="false">IF(B2879&gt;=2,C2878,"")</f>
        <v>13</v>
      </c>
      <c r="E2879" s="33" t="n">
        <f aca="false">IF(B2879&gt;=5,AVERAGE(C2875:C2878),"")</f>
        <v>11.5</v>
      </c>
      <c r="F2879" s="33" t="n">
        <f aca="false">IF(B2879&gt;=9,AVERAGE(C2871:C2878),"")</f>
        <v>10.125</v>
      </c>
      <c r="G2879" s="33" t="n">
        <f aca="false">IF(B2879=1,"",IF(B2879=2,C2878,SES_Alpha*C2878+(1-SES_Alpha)*G2878))</f>
        <v>11.2683774525905</v>
      </c>
      <c r="H2879" s="33" t="n">
        <f aca="false">IF(D2879="","",D2879-C2879)</f>
        <v>7</v>
      </c>
      <c r="I2879" s="33" t="n">
        <f aca="false">IF(E2879="","",E2879-C2879)</f>
        <v>5.5</v>
      </c>
      <c r="J2879" s="33" t="n">
        <f aca="false">IF(F2879="","",F2879-C2879)</f>
        <v>4.125</v>
      </c>
      <c r="K2879" s="33" t="n">
        <f aca="false">IF(G2879="","",G2879-C2879)</f>
        <v>5.26837745259049</v>
      </c>
      <c r="L2879" s="33" t="n">
        <f aca="false">IF(H2879="","",ABS(H2879))</f>
        <v>7</v>
      </c>
      <c r="M2879" s="33" t="n">
        <f aca="false">IF(I2879="","",ABS(I2879))</f>
        <v>5.5</v>
      </c>
      <c r="N2879" s="33" t="n">
        <f aca="false">IF(J2879="","",ABS(J2879))</f>
        <v>4.125</v>
      </c>
      <c r="O2879" s="33" t="n">
        <f aca="false">IF(K2879="","",ABS(K2879))</f>
        <v>5.26837745259049</v>
      </c>
      <c r="P2879" s="34" t="str">
        <f aca="false">IF(B2879&gt;=Eval_Start_Week,"YES","")</f>
        <v>YES</v>
      </c>
      <c r="Q2879" s="34" t="str">
        <f aca="false">IF(AND(B2879&gt;=Cal_Start_Week,B2879&lt;=Cal_End_Week),"YES","")</f>
        <v>YES</v>
      </c>
    </row>
    <row r="2880" customFormat="false" ht="15" hidden="false" customHeight="false" outlineLevel="0" collapsed="false">
      <c r="A2880" s="31" t="str">
        <f aca="false">Demand_History!C2880</f>
        <v>BED-008</v>
      </c>
      <c r="B2880" s="31" t="n">
        <f aca="false">Demand_History!A2880</f>
        <v>71</v>
      </c>
      <c r="C2880" s="32" t="n">
        <f aca="false">Demand_History!D2880</f>
        <v>11</v>
      </c>
      <c r="D2880" s="33" t="n">
        <f aca="false">IF(B2880&gt;=2,C2879,"")</f>
        <v>6</v>
      </c>
      <c r="E2880" s="33" t="n">
        <f aca="false">IF(B2880&gt;=5,AVERAGE(C2876:C2879),"")</f>
        <v>10.75</v>
      </c>
      <c r="F2880" s="33" t="n">
        <f aca="false">IF(B2880&gt;=9,AVERAGE(C2872:C2879),"")</f>
        <v>9.875</v>
      </c>
      <c r="G2880" s="33" t="n">
        <f aca="false">IF(B2880=1,"",IF(B2880=2,C2879,SES_Alpha*C2879+(1-SES_Alpha)*G2879))</f>
        <v>9.68786421681334</v>
      </c>
      <c r="H2880" s="33" t="n">
        <f aca="false">IF(D2880="","",D2880-C2880)</f>
        <v>-5</v>
      </c>
      <c r="I2880" s="33" t="n">
        <f aca="false">IF(E2880="","",E2880-C2880)</f>
        <v>-0.25</v>
      </c>
      <c r="J2880" s="33" t="n">
        <f aca="false">IF(F2880="","",F2880-C2880)</f>
        <v>-1.125</v>
      </c>
      <c r="K2880" s="33" t="n">
        <f aca="false">IF(G2880="","",G2880-C2880)</f>
        <v>-1.31213578318666</v>
      </c>
      <c r="L2880" s="33" t="n">
        <f aca="false">IF(H2880="","",ABS(H2880))</f>
        <v>5</v>
      </c>
      <c r="M2880" s="33" t="n">
        <f aca="false">IF(I2880="","",ABS(I2880))</f>
        <v>0.25</v>
      </c>
      <c r="N2880" s="33" t="n">
        <f aca="false">IF(J2880="","",ABS(J2880))</f>
        <v>1.125</v>
      </c>
      <c r="O2880" s="33" t="n">
        <f aca="false">IF(K2880="","",ABS(K2880))</f>
        <v>1.31213578318666</v>
      </c>
      <c r="P2880" s="34" t="str">
        <f aca="false">IF(B2880&gt;=Eval_Start_Week,"YES","")</f>
        <v>YES</v>
      </c>
      <c r="Q2880" s="34" t="str">
        <f aca="false">IF(AND(B2880&gt;=Cal_Start_Week,B2880&lt;=Cal_End_Week),"YES","")</f>
        <v>YES</v>
      </c>
    </row>
    <row r="2881" customFormat="false" ht="15" hidden="false" customHeight="false" outlineLevel="0" collapsed="false">
      <c r="A2881" s="31" t="str">
        <f aca="false">Demand_History!C2881</f>
        <v>BED-008</v>
      </c>
      <c r="B2881" s="31" t="n">
        <f aca="false">Demand_History!A2881</f>
        <v>72</v>
      </c>
      <c r="C2881" s="32" t="n">
        <f aca="false">Demand_History!D2881</f>
        <v>6</v>
      </c>
      <c r="D2881" s="33" t="n">
        <f aca="false">IF(B2881&gt;=2,C2880,"")</f>
        <v>11</v>
      </c>
      <c r="E2881" s="33" t="n">
        <f aca="false">IF(B2881&gt;=5,AVERAGE(C2877:C2880),"")</f>
        <v>10.75</v>
      </c>
      <c r="F2881" s="33" t="n">
        <f aca="false">IF(B2881&gt;=9,AVERAGE(C2873:C2880),"")</f>
        <v>10.375</v>
      </c>
      <c r="G2881" s="33" t="n">
        <f aca="false">IF(B2881=1,"",IF(B2881=2,C2880,SES_Alpha*C2880+(1-SES_Alpha)*G2880))</f>
        <v>10.0815049517693</v>
      </c>
      <c r="H2881" s="33" t="n">
        <f aca="false">IF(D2881="","",D2881-C2881)</f>
        <v>5</v>
      </c>
      <c r="I2881" s="33" t="n">
        <f aca="false">IF(E2881="","",E2881-C2881)</f>
        <v>4.75</v>
      </c>
      <c r="J2881" s="33" t="n">
        <f aca="false">IF(F2881="","",F2881-C2881)</f>
        <v>4.375</v>
      </c>
      <c r="K2881" s="33" t="n">
        <f aca="false">IF(G2881="","",G2881-C2881)</f>
        <v>4.08150495176934</v>
      </c>
      <c r="L2881" s="33" t="n">
        <f aca="false">IF(H2881="","",ABS(H2881))</f>
        <v>5</v>
      </c>
      <c r="M2881" s="33" t="n">
        <f aca="false">IF(I2881="","",ABS(I2881))</f>
        <v>4.75</v>
      </c>
      <c r="N2881" s="33" t="n">
        <f aca="false">IF(J2881="","",ABS(J2881))</f>
        <v>4.375</v>
      </c>
      <c r="O2881" s="33" t="n">
        <f aca="false">IF(K2881="","",ABS(K2881))</f>
        <v>4.08150495176934</v>
      </c>
      <c r="P2881" s="34" t="str">
        <f aca="false">IF(B2881&gt;=Eval_Start_Week,"YES","")</f>
        <v>YES</v>
      </c>
      <c r="Q2881" s="34" t="str">
        <f aca="false">IF(AND(B2881&gt;=Cal_Start_Week,B2881&lt;=Cal_End_Week),"YES","")</f>
        <v>YES</v>
      </c>
    </row>
    <row r="2882" customFormat="false" ht="15" hidden="false" customHeight="false" outlineLevel="0" collapsed="false">
      <c r="A2882" s="31" t="str">
        <f aca="false">Demand_History!C2882</f>
        <v>BED-008</v>
      </c>
      <c r="B2882" s="31" t="n">
        <f aca="false">Demand_History!A2882</f>
        <v>73</v>
      </c>
      <c r="C2882" s="32" t="n">
        <f aca="false">Demand_History!D2882</f>
        <v>12</v>
      </c>
      <c r="D2882" s="33" t="n">
        <f aca="false">IF(B2882&gt;=2,C2881,"")</f>
        <v>6</v>
      </c>
      <c r="E2882" s="33" t="n">
        <f aca="false">IF(B2882&gt;=5,AVERAGE(C2878:C2881),"")</f>
        <v>9</v>
      </c>
      <c r="F2882" s="33" t="n">
        <f aca="false">IF(B2882&gt;=9,AVERAGE(C2874:C2881),"")</f>
        <v>10.375</v>
      </c>
      <c r="G2882" s="33" t="n">
        <f aca="false">IF(B2882=1,"",IF(B2882=2,C2881,SES_Alpha*C2881+(1-SES_Alpha)*G2881))</f>
        <v>8.85705346623854</v>
      </c>
      <c r="H2882" s="33" t="n">
        <f aca="false">IF(D2882="","",D2882-C2882)</f>
        <v>-6</v>
      </c>
      <c r="I2882" s="33" t="n">
        <f aca="false">IF(E2882="","",E2882-C2882)</f>
        <v>-3</v>
      </c>
      <c r="J2882" s="33" t="n">
        <f aca="false">IF(F2882="","",F2882-C2882)</f>
        <v>-1.625</v>
      </c>
      <c r="K2882" s="33" t="n">
        <f aca="false">IF(G2882="","",G2882-C2882)</f>
        <v>-3.14294653376146</v>
      </c>
      <c r="L2882" s="33" t="n">
        <f aca="false">IF(H2882="","",ABS(H2882))</f>
        <v>6</v>
      </c>
      <c r="M2882" s="33" t="n">
        <f aca="false">IF(I2882="","",ABS(I2882))</f>
        <v>3</v>
      </c>
      <c r="N2882" s="33" t="n">
        <f aca="false">IF(J2882="","",ABS(J2882))</f>
        <v>1.625</v>
      </c>
      <c r="O2882" s="33" t="n">
        <f aca="false">IF(K2882="","",ABS(K2882))</f>
        <v>3.14294653376146</v>
      </c>
      <c r="P2882" s="34" t="str">
        <f aca="false">IF(B2882&gt;=Eval_Start_Week,"YES","")</f>
        <v>YES</v>
      </c>
      <c r="Q2882" s="34" t="str">
        <f aca="false">IF(AND(B2882&gt;=Cal_Start_Week,B2882&lt;=Cal_End_Week),"YES","")</f>
        <v>YES</v>
      </c>
    </row>
    <row r="2883" customFormat="false" ht="15" hidden="false" customHeight="false" outlineLevel="0" collapsed="false">
      <c r="A2883" s="31" t="str">
        <f aca="false">Demand_History!C2883</f>
        <v>BED-008</v>
      </c>
      <c r="B2883" s="31" t="n">
        <f aca="false">Demand_History!A2883</f>
        <v>74</v>
      </c>
      <c r="C2883" s="32" t="n">
        <f aca="false">Demand_History!D2883</f>
        <v>5</v>
      </c>
      <c r="D2883" s="33" t="n">
        <f aca="false">IF(B2883&gt;=2,C2882,"")</f>
        <v>12</v>
      </c>
      <c r="E2883" s="33" t="n">
        <f aca="false">IF(B2883&gt;=5,AVERAGE(C2879:C2882),"")</f>
        <v>8.75</v>
      </c>
      <c r="F2883" s="33" t="n">
        <f aca="false">IF(B2883&gt;=9,AVERAGE(C2875:C2882),"")</f>
        <v>10.125</v>
      </c>
      <c r="G2883" s="33" t="n">
        <f aca="false">IF(B2883=1,"",IF(B2883=2,C2882,SES_Alpha*C2882+(1-SES_Alpha)*G2882))</f>
        <v>9.79993742636697</v>
      </c>
      <c r="H2883" s="33" t="n">
        <f aca="false">IF(D2883="","",D2883-C2883)</f>
        <v>7</v>
      </c>
      <c r="I2883" s="33" t="n">
        <f aca="false">IF(E2883="","",E2883-C2883)</f>
        <v>3.75</v>
      </c>
      <c r="J2883" s="33" t="n">
        <f aca="false">IF(F2883="","",F2883-C2883)</f>
        <v>5.125</v>
      </c>
      <c r="K2883" s="33" t="n">
        <f aca="false">IF(G2883="","",G2883-C2883)</f>
        <v>4.79993742636697</v>
      </c>
      <c r="L2883" s="33" t="n">
        <f aca="false">IF(H2883="","",ABS(H2883))</f>
        <v>7</v>
      </c>
      <c r="M2883" s="33" t="n">
        <f aca="false">IF(I2883="","",ABS(I2883))</f>
        <v>3.75</v>
      </c>
      <c r="N2883" s="33" t="n">
        <f aca="false">IF(J2883="","",ABS(J2883))</f>
        <v>5.125</v>
      </c>
      <c r="O2883" s="33" t="n">
        <f aca="false">IF(K2883="","",ABS(K2883))</f>
        <v>4.79993742636697</v>
      </c>
      <c r="P2883" s="34" t="str">
        <f aca="false">IF(B2883&gt;=Eval_Start_Week,"YES","")</f>
        <v>YES</v>
      </c>
      <c r="Q2883" s="34" t="str">
        <f aca="false">IF(AND(B2883&gt;=Cal_Start_Week,B2883&lt;=Cal_End_Week),"YES","")</f>
        <v>YES</v>
      </c>
    </row>
    <row r="2884" customFormat="false" ht="15" hidden="false" customHeight="false" outlineLevel="0" collapsed="false">
      <c r="A2884" s="31" t="str">
        <f aca="false">Demand_History!C2884</f>
        <v>BED-008</v>
      </c>
      <c r="B2884" s="31" t="n">
        <f aca="false">Demand_History!A2884</f>
        <v>75</v>
      </c>
      <c r="C2884" s="32" t="n">
        <f aca="false">Demand_History!D2884</f>
        <v>4</v>
      </c>
      <c r="D2884" s="33" t="n">
        <f aca="false">IF(B2884&gt;=2,C2883,"")</f>
        <v>5</v>
      </c>
      <c r="E2884" s="33" t="n">
        <f aca="false">IF(B2884&gt;=5,AVERAGE(C2880:C2883),"")</f>
        <v>8.5</v>
      </c>
      <c r="F2884" s="33" t="n">
        <f aca="false">IF(B2884&gt;=9,AVERAGE(C2876:C2883),"")</f>
        <v>9.625</v>
      </c>
      <c r="G2884" s="33" t="n">
        <f aca="false">IF(B2884=1,"",IF(B2884=2,C2883,SES_Alpha*C2883+(1-SES_Alpha)*G2883))</f>
        <v>8.35995619845688</v>
      </c>
      <c r="H2884" s="33" t="n">
        <f aca="false">IF(D2884="","",D2884-C2884)</f>
        <v>1</v>
      </c>
      <c r="I2884" s="33" t="n">
        <f aca="false">IF(E2884="","",E2884-C2884)</f>
        <v>4.5</v>
      </c>
      <c r="J2884" s="33" t="n">
        <f aca="false">IF(F2884="","",F2884-C2884)</f>
        <v>5.625</v>
      </c>
      <c r="K2884" s="33" t="n">
        <f aca="false">IF(G2884="","",G2884-C2884)</f>
        <v>4.35995619845688</v>
      </c>
      <c r="L2884" s="33" t="n">
        <f aca="false">IF(H2884="","",ABS(H2884))</f>
        <v>1</v>
      </c>
      <c r="M2884" s="33" t="n">
        <f aca="false">IF(I2884="","",ABS(I2884))</f>
        <v>4.5</v>
      </c>
      <c r="N2884" s="33" t="n">
        <f aca="false">IF(J2884="","",ABS(J2884))</f>
        <v>5.625</v>
      </c>
      <c r="O2884" s="33" t="n">
        <f aca="false">IF(K2884="","",ABS(K2884))</f>
        <v>4.35995619845688</v>
      </c>
      <c r="P2884" s="34" t="str">
        <f aca="false">IF(B2884&gt;=Eval_Start_Week,"YES","")</f>
        <v>YES</v>
      </c>
      <c r="Q2884" s="34" t="str">
        <f aca="false">IF(AND(B2884&gt;=Cal_Start_Week,B2884&lt;=Cal_End_Week),"YES","")</f>
        <v>YES</v>
      </c>
    </row>
    <row r="2885" customFormat="false" ht="15" hidden="false" customHeight="false" outlineLevel="0" collapsed="false">
      <c r="A2885" s="31" t="str">
        <f aca="false">Demand_History!C2885</f>
        <v>BED-008</v>
      </c>
      <c r="B2885" s="31" t="n">
        <f aca="false">Demand_History!A2885</f>
        <v>76</v>
      </c>
      <c r="C2885" s="32" t="n">
        <f aca="false">Demand_History!D2885</f>
        <v>7</v>
      </c>
      <c r="D2885" s="33" t="n">
        <f aca="false">IF(B2885&gt;=2,C2884,"")</f>
        <v>4</v>
      </c>
      <c r="E2885" s="33" t="n">
        <f aca="false">IF(B2885&gt;=5,AVERAGE(C2881:C2884),"")</f>
        <v>6.75</v>
      </c>
      <c r="F2885" s="33" t="n">
        <f aca="false">IF(B2885&gt;=9,AVERAGE(C2877:C2884),"")</f>
        <v>8.75</v>
      </c>
      <c r="G2885" s="33" t="n">
        <f aca="false">IF(B2885=1,"",IF(B2885=2,C2884,SES_Alpha*C2884+(1-SES_Alpha)*G2884))</f>
        <v>7.05196933891982</v>
      </c>
      <c r="H2885" s="33" t="n">
        <f aca="false">IF(D2885="","",D2885-C2885)</f>
        <v>-3</v>
      </c>
      <c r="I2885" s="33" t="n">
        <f aca="false">IF(E2885="","",E2885-C2885)</f>
        <v>-0.25</v>
      </c>
      <c r="J2885" s="33" t="n">
        <f aca="false">IF(F2885="","",F2885-C2885)</f>
        <v>1.75</v>
      </c>
      <c r="K2885" s="33" t="n">
        <f aca="false">IF(G2885="","",G2885-C2885)</f>
        <v>0.0519693389198173</v>
      </c>
      <c r="L2885" s="33" t="n">
        <f aca="false">IF(H2885="","",ABS(H2885))</f>
        <v>3</v>
      </c>
      <c r="M2885" s="33" t="n">
        <f aca="false">IF(I2885="","",ABS(I2885))</f>
        <v>0.25</v>
      </c>
      <c r="N2885" s="33" t="n">
        <f aca="false">IF(J2885="","",ABS(J2885))</f>
        <v>1.75</v>
      </c>
      <c r="O2885" s="33" t="n">
        <f aca="false">IF(K2885="","",ABS(K2885))</f>
        <v>0.0519693389198173</v>
      </c>
      <c r="P2885" s="34" t="str">
        <f aca="false">IF(B2885&gt;=Eval_Start_Week,"YES","")</f>
        <v>YES</v>
      </c>
      <c r="Q2885" s="34" t="str">
        <f aca="false">IF(AND(B2885&gt;=Cal_Start_Week,B2885&lt;=Cal_End_Week),"YES","")</f>
        <v>YES</v>
      </c>
    </row>
    <row r="2886" customFormat="false" ht="15" hidden="false" customHeight="false" outlineLevel="0" collapsed="false">
      <c r="A2886" s="31" t="str">
        <f aca="false">Demand_History!C2886</f>
        <v>BED-008</v>
      </c>
      <c r="B2886" s="31" t="n">
        <f aca="false">Demand_History!A2886</f>
        <v>77</v>
      </c>
      <c r="C2886" s="32" t="n">
        <f aca="false">Demand_History!D2886</f>
        <v>11</v>
      </c>
      <c r="D2886" s="33" t="n">
        <f aca="false">IF(B2886&gt;=2,C2885,"")</f>
        <v>7</v>
      </c>
      <c r="E2886" s="33" t="n">
        <f aca="false">IF(B2886&gt;=5,AVERAGE(C2882:C2885),"")</f>
        <v>7</v>
      </c>
      <c r="F2886" s="33" t="n">
        <f aca="false">IF(B2886&gt;=9,AVERAGE(C2878:C2885),"")</f>
        <v>8</v>
      </c>
      <c r="G2886" s="33" t="n">
        <f aca="false">IF(B2886=1,"",IF(B2886=2,C2885,SES_Alpha*C2885+(1-SES_Alpha)*G2885))</f>
        <v>7.03637853724387</v>
      </c>
      <c r="H2886" s="33" t="n">
        <f aca="false">IF(D2886="","",D2886-C2886)</f>
        <v>-4</v>
      </c>
      <c r="I2886" s="33" t="n">
        <f aca="false">IF(E2886="","",E2886-C2886)</f>
        <v>-4</v>
      </c>
      <c r="J2886" s="33" t="n">
        <f aca="false">IF(F2886="","",F2886-C2886)</f>
        <v>-3</v>
      </c>
      <c r="K2886" s="33" t="n">
        <f aca="false">IF(G2886="","",G2886-C2886)</f>
        <v>-3.96362146275613</v>
      </c>
      <c r="L2886" s="33" t="n">
        <f aca="false">IF(H2886="","",ABS(H2886))</f>
        <v>4</v>
      </c>
      <c r="M2886" s="33" t="n">
        <f aca="false">IF(I2886="","",ABS(I2886))</f>
        <v>4</v>
      </c>
      <c r="N2886" s="33" t="n">
        <f aca="false">IF(J2886="","",ABS(J2886))</f>
        <v>3</v>
      </c>
      <c r="O2886" s="33" t="n">
        <f aca="false">IF(K2886="","",ABS(K2886))</f>
        <v>3.96362146275613</v>
      </c>
      <c r="P2886" s="34" t="str">
        <f aca="false">IF(B2886&gt;=Eval_Start_Week,"YES","")</f>
        <v>YES</v>
      </c>
      <c r="Q2886" s="34" t="str">
        <f aca="false">IF(AND(B2886&gt;=Cal_Start_Week,B2886&lt;=Cal_End_Week),"YES","")</f>
        <v>YES</v>
      </c>
    </row>
    <row r="2887" customFormat="false" ht="15" hidden="false" customHeight="false" outlineLevel="0" collapsed="false">
      <c r="A2887" s="31" t="str">
        <f aca="false">Demand_History!C2887</f>
        <v>BED-008</v>
      </c>
      <c r="B2887" s="31" t="n">
        <f aca="false">Demand_History!A2887</f>
        <v>78</v>
      </c>
      <c r="C2887" s="32" t="n">
        <f aca="false">Demand_History!D2887</f>
        <v>9</v>
      </c>
      <c r="D2887" s="33" t="n">
        <f aca="false">IF(B2887&gt;=2,C2886,"")</f>
        <v>11</v>
      </c>
      <c r="E2887" s="33" t="n">
        <f aca="false">IF(B2887&gt;=5,AVERAGE(C2883:C2886),"")</f>
        <v>6.75</v>
      </c>
      <c r="F2887" s="33" t="n">
        <f aca="false">IF(B2887&gt;=9,AVERAGE(C2879:C2886),"")</f>
        <v>7.75</v>
      </c>
      <c r="G2887" s="33" t="n">
        <f aca="false">IF(B2887=1,"",IF(B2887=2,C2886,SES_Alpha*C2886+(1-SES_Alpha)*G2886))</f>
        <v>8.22546497607071</v>
      </c>
      <c r="H2887" s="33" t="n">
        <f aca="false">IF(D2887="","",D2887-C2887)</f>
        <v>2</v>
      </c>
      <c r="I2887" s="33" t="n">
        <f aca="false">IF(E2887="","",E2887-C2887)</f>
        <v>-2.25</v>
      </c>
      <c r="J2887" s="33" t="n">
        <f aca="false">IF(F2887="","",F2887-C2887)</f>
        <v>-1.25</v>
      </c>
      <c r="K2887" s="33" t="n">
        <f aca="false">IF(G2887="","",G2887-C2887)</f>
        <v>-0.774535023929291</v>
      </c>
      <c r="L2887" s="33" t="n">
        <f aca="false">IF(H2887="","",ABS(H2887))</f>
        <v>2</v>
      </c>
      <c r="M2887" s="33" t="n">
        <f aca="false">IF(I2887="","",ABS(I2887))</f>
        <v>2.25</v>
      </c>
      <c r="N2887" s="33" t="n">
        <f aca="false">IF(J2887="","",ABS(J2887))</f>
        <v>1.25</v>
      </c>
      <c r="O2887" s="33" t="n">
        <f aca="false">IF(K2887="","",ABS(K2887))</f>
        <v>0.774535023929291</v>
      </c>
      <c r="P2887" s="34" t="str">
        <f aca="false">IF(B2887&gt;=Eval_Start_Week,"YES","")</f>
        <v>YES</v>
      </c>
      <c r="Q2887" s="34" t="str">
        <f aca="false">IF(AND(B2887&gt;=Cal_Start_Week,B2887&lt;=Cal_End_Week),"YES","")</f>
        <v>YES</v>
      </c>
    </row>
    <row r="2888" customFormat="false" ht="15" hidden="false" customHeight="false" outlineLevel="0" collapsed="false">
      <c r="A2888" s="31" t="str">
        <f aca="false">Demand_History!C2888</f>
        <v>BED-008</v>
      </c>
      <c r="B2888" s="31" t="n">
        <f aca="false">Demand_History!A2888</f>
        <v>79</v>
      </c>
      <c r="C2888" s="32" t="n">
        <f aca="false">Demand_History!D2888</f>
        <v>6</v>
      </c>
      <c r="D2888" s="33" t="n">
        <f aca="false">IF(B2888&gt;=2,C2887,"")</f>
        <v>9</v>
      </c>
      <c r="E2888" s="33" t="n">
        <f aca="false">IF(B2888&gt;=5,AVERAGE(C2884:C2887),"")</f>
        <v>7.75</v>
      </c>
      <c r="F2888" s="33" t="n">
        <f aca="false">IF(B2888&gt;=9,AVERAGE(C2880:C2887),"")</f>
        <v>8.125</v>
      </c>
      <c r="G2888" s="33" t="n">
        <f aca="false">IF(B2888=1,"",IF(B2888=2,C2887,SES_Alpha*C2887+(1-SES_Alpha)*G2887))</f>
        <v>8.4578254832495</v>
      </c>
      <c r="H2888" s="33" t="n">
        <f aca="false">IF(D2888="","",D2888-C2888)</f>
        <v>3</v>
      </c>
      <c r="I2888" s="33" t="n">
        <f aca="false">IF(E2888="","",E2888-C2888)</f>
        <v>1.75</v>
      </c>
      <c r="J2888" s="33" t="n">
        <f aca="false">IF(F2888="","",F2888-C2888)</f>
        <v>2.125</v>
      </c>
      <c r="K2888" s="33" t="n">
        <f aca="false">IF(G2888="","",G2888-C2888)</f>
        <v>2.4578254832495</v>
      </c>
      <c r="L2888" s="33" t="n">
        <f aca="false">IF(H2888="","",ABS(H2888))</f>
        <v>3</v>
      </c>
      <c r="M2888" s="33" t="n">
        <f aca="false">IF(I2888="","",ABS(I2888))</f>
        <v>1.75</v>
      </c>
      <c r="N2888" s="33" t="n">
        <f aca="false">IF(J2888="","",ABS(J2888))</f>
        <v>2.125</v>
      </c>
      <c r="O2888" s="33" t="n">
        <f aca="false">IF(K2888="","",ABS(K2888))</f>
        <v>2.4578254832495</v>
      </c>
      <c r="P2888" s="34" t="str">
        <f aca="false">IF(B2888&gt;=Eval_Start_Week,"YES","")</f>
        <v>YES</v>
      </c>
      <c r="Q2888" s="34" t="str">
        <f aca="false">IF(AND(B2888&gt;=Cal_Start_Week,B2888&lt;=Cal_End_Week),"YES","")</f>
        <v>YES</v>
      </c>
    </row>
    <row r="2889" customFormat="false" ht="15" hidden="false" customHeight="false" outlineLevel="0" collapsed="false">
      <c r="A2889" s="31" t="str">
        <f aca="false">Demand_History!C2889</f>
        <v>BED-008</v>
      </c>
      <c r="B2889" s="31" t="n">
        <f aca="false">Demand_History!A2889</f>
        <v>80</v>
      </c>
      <c r="C2889" s="32" t="n">
        <f aca="false">Demand_History!D2889</f>
        <v>9</v>
      </c>
      <c r="D2889" s="33" t="n">
        <f aca="false">IF(B2889&gt;=2,C2888,"")</f>
        <v>6</v>
      </c>
      <c r="E2889" s="33" t="n">
        <f aca="false">IF(B2889&gt;=5,AVERAGE(C2885:C2888),"")</f>
        <v>8.25</v>
      </c>
      <c r="F2889" s="33" t="n">
        <f aca="false">IF(B2889&gt;=9,AVERAGE(C2881:C2888),"")</f>
        <v>7.5</v>
      </c>
      <c r="G2889" s="33" t="n">
        <f aca="false">IF(B2889=1,"",IF(B2889=2,C2888,SES_Alpha*C2888+(1-SES_Alpha)*G2888))</f>
        <v>7.72047783827465</v>
      </c>
      <c r="H2889" s="33" t="n">
        <f aca="false">IF(D2889="","",D2889-C2889)</f>
        <v>-3</v>
      </c>
      <c r="I2889" s="33" t="n">
        <f aca="false">IF(E2889="","",E2889-C2889)</f>
        <v>-0.75</v>
      </c>
      <c r="J2889" s="33" t="n">
        <f aca="false">IF(F2889="","",F2889-C2889)</f>
        <v>-1.5</v>
      </c>
      <c r="K2889" s="33" t="n">
        <f aca="false">IF(G2889="","",G2889-C2889)</f>
        <v>-1.27952216172535</v>
      </c>
      <c r="L2889" s="33" t="n">
        <f aca="false">IF(H2889="","",ABS(H2889))</f>
        <v>3</v>
      </c>
      <c r="M2889" s="33" t="n">
        <f aca="false">IF(I2889="","",ABS(I2889))</f>
        <v>0.75</v>
      </c>
      <c r="N2889" s="33" t="n">
        <f aca="false">IF(J2889="","",ABS(J2889))</f>
        <v>1.5</v>
      </c>
      <c r="O2889" s="33" t="n">
        <f aca="false">IF(K2889="","",ABS(K2889))</f>
        <v>1.27952216172535</v>
      </c>
      <c r="P2889" s="34" t="str">
        <f aca="false">IF(B2889&gt;=Eval_Start_Week,"YES","")</f>
        <v>YES</v>
      </c>
      <c r="Q2889" s="34" t="str">
        <f aca="false">IF(AND(B2889&gt;=Cal_Start_Week,B2889&lt;=Cal_End_Week),"YES","")</f>
        <v>YES</v>
      </c>
    </row>
    <row r="2890" customFormat="false" ht="15" hidden="false" customHeight="false" outlineLevel="0" collapsed="false">
      <c r="A2890" s="31" t="str">
        <f aca="false">Demand_History!C2890</f>
        <v>BED-008</v>
      </c>
      <c r="B2890" s="31" t="n">
        <f aca="false">Demand_History!A2890</f>
        <v>81</v>
      </c>
      <c r="C2890" s="32" t="n">
        <f aca="false">Demand_History!D2890</f>
        <v>11</v>
      </c>
      <c r="D2890" s="33" t="n">
        <f aca="false">IF(B2890&gt;=2,C2889,"")</f>
        <v>9</v>
      </c>
      <c r="E2890" s="33" t="n">
        <f aca="false">IF(B2890&gt;=5,AVERAGE(C2886:C2889),"")</f>
        <v>8.75</v>
      </c>
      <c r="F2890" s="33" t="n">
        <f aca="false">IF(B2890&gt;=9,AVERAGE(C2882:C2889),"")</f>
        <v>7.875</v>
      </c>
      <c r="G2890" s="33" t="n">
        <f aca="false">IF(B2890=1,"",IF(B2890=2,C2889,SES_Alpha*C2889+(1-SES_Alpha)*G2889))</f>
        <v>8.10433448679225</v>
      </c>
      <c r="H2890" s="33" t="n">
        <f aca="false">IF(D2890="","",D2890-C2890)</f>
        <v>-2</v>
      </c>
      <c r="I2890" s="33" t="n">
        <f aca="false">IF(E2890="","",E2890-C2890)</f>
        <v>-2.25</v>
      </c>
      <c r="J2890" s="33" t="n">
        <f aca="false">IF(F2890="","",F2890-C2890)</f>
        <v>-3.125</v>
      </c>
      <c r="K2890" s="33" t="n">
        <f aca="false">IF(G2890="","",G2890-C2890)</f>
        <v>-2.89566551320775</v>
      </c>
      <c r="L2890" s="33" t="n">
        <f aca="false">IF(H2890="","",ABS(H2890))</f>
        <v>2</v>
      </c>
      <c r="M2890" s="33" t="n">
        <f aca="false">IF(I2890="","",ABS(I2890))</f>
        <v>2.25</v>
      </c>
      <c r="N2890" s="33" t="n">
        <f aca="false">IF(J2890="","",ABS(J2890))</f>
        <v>3.125</v>
      </c>
      <c r="O2890" s="33" t="n">
        <f aca="false">IF(K2890="","",ABS(K2890))</f>
        <v>2.89566551320775</v>
      </c>
      <c r="P2890" s="34" t="str">
        <f aca="false">IF(B2890&gt;=Eval_Start_Week,"YES","")</f>
        <v>YES</v>
      </c>
      <c r="Q2890" s="34" t="str">
        <f aca="false">IF(AND(B2890&gt;=Cal_Start_Week,B2890&lt;=Cal_End_Week),"YES","")</f>
        <v>YES</v>
      </c>
    </row>
    <row r="2891" customFormat="false" ht="15" hidden="false" customHeight="false" outlineLevel="0" collapsed="false">
      <c r="A2891" s="31" t="str">
        <f aca="false">Demand_History!C2891</f>
        <v>BED-008</v>
      </c>
      <c r="B2891" s="31" t="n">
        <f aca="false">Demand_History!A2891</f>
        <v>82</v>
      </c>
      <c r="C2891" s="32" t="n">
        <f aca="false">Demand_History!D2891</f>
        <v>10</v>
      </c>
      <c r="D2891" s="33" t="n">
        <f aca="false">IF(B2891&gt;=2,C2890,"")</f>
        <v>11</v>
      </c>
      <c r="E2891" s="33" t="n">
        <f aca="false">IF(B2891&gt;=5,AVERAGE(C2887:C2890),"")</f>
        <v>8.75</v>
      </c>
      <c r="F2891" s="33" t="n">
        <f aca="false">IF(B2891&gt;=9,AVERAGE(C2883:C2890),"")</f>
        <v>7.75</v>
      </c>
      <c r="G2891" s="33" t="n">
        <f aca="false">IF(B2891=1,"",IF(B2891=2,C2890,SES_Alpha*C2890+(1-SES_Alpha)*G2890))</f>
        <v>8.97303414075458</v>
      </c>
      <c r="H2891" s="33" t="n">
        <f aca="false">IF(D2891="","",D2891-C2891)</f>
        <v>1</v>
      </c>
      <c r="I2891" s="33" t="n">
        <f aca="false">IF(E2891="","",E2891-C2891)</f>
        <v>-1.25</v>
      </c>
      <c r="J2891" s="33" t="n">
        <f aca="false">IF(F2891="","",F2891-C2891)</f>
        <v>-2.25</v>
      </c>
      <c r="K2891" s="33" t="n">
        <f aca="false">IF(G2891="","",G2891-C2891)</f>
        <v>-1.02696585924542</v>
      </c>
      <c r="L2891" s="33" t="n">
        <f aca="false">IF(H2891="","",ABS(H2891))</f>
        <v>1</v>
      </c>
      <c r="M2891" s="33" t="n">
        <f aca="false">IF(I2891="","",ABS(I2891))</f>
        <v>1.25</v>
      </c>
      <c r="N2891" s="33" t="n">
        <f aca="false">IF(J2891="","",ABS(J2891))</f>
        <v>2.25</v>
      </c>
      <c r="O2891" s="33" t="n">
        <f aca="false">IF(K2891="","",ABS(K2891))</f>
        <v>1.02696585924542</v>
      </c>
      <c r="P2891" s="34" t="str">
        <f aca="false">IF(B2891&gt;=Eval_Start_Week,"YES","")</f>
        <v>YES</v>
      </c>
      <c r="Q2891" s="34" t="str">
        <f aca="false">IF(AND(B2891&gt;=Cal_Start_Week,B2891&lt;=Cal_End_Week),"YES","")</f>
        <v>YES</v>
      </c>
    </row>
    <row r="2892" customFormat="false" ht="15" hidden="false" customHeight="false" outlineLevel="0" collapsed="false">
      <c r="A2892" s="31" t="str">
        <f aca="false">Demand_History!C2892</f>
        <v>BED-008</v>
      </c>
      <c r="B2892" s="31" t="n">
        <f aca="false">Demand_History!A2892</f>
        <v>83</v>
      </c>
      <c r="C2892" s="32" t="n">
        <f aca="false">Demand_History!D2892</f>
        <v>9</v>
      </c>
      <c r="D2892" s="33" t="n">
        <f aca="false">IF(B2892&gt;=2,C2891,"")</f>
        <v>10</v>
      </c>
      <c r="E2892" s="33" t="n">
        <f aca="false">IF(B2892&gt;=5,AVERAGE(C2888:C2891),"")</f>
        <v>9</v>
      </c>
      <c r="F2892" s="33" t="n">
        <f aca="false">IF(B2892&gt;=9,AVERAGE(C2884:C2891),"")</f>
        <v>8.375</v>
      </c>
      <c r="G2892" s="33" t="n">
        <f aca="false">IF(B2892=1,"",IF(B2892=2,C2891,SES_Alpha*C2891+(1-SES_Alpha)*G2891))</f>
        <v>9.2811238985282</v>
      </c>
      <c r="H2892" s="33" t="n">
        <f aca="false">IF(D2892="","",D2892-C2892)</f>
        <v>1</v>
      </c>
      <c r="I2892" s="33" t="n">
        <f aca="false">IF(E2892="","",E2892-C2892)</f>
        <v>0</v>
      </c>
      <c r="J2892" s="33" t="n">
        <f aca="false">IF(F2892="","",F2892-C2892)</f>
        <v>-0.625</v>
      </c>
      <c r="K2892" s="33" t="n">
        <f aca="false">IF(G2892="","",G2892-C2892)</f>
        <v>0.281123898528204</v>
      </c>
      <c r="L2892" s="33" t="n">
        <f aca="false">IF(H2892="","",ABS(H2892))</f>
        <v>1</v>
      </c>
      <c r="M2892" s="33" t="n">
        <f aca="false">IF(I2892="","",ABS(I2892))</f>
        <v>0</v>
      </c>
      <c r="N2892" s="33" t="n">
        <f aca="false">IF(J2892="","",ABS(J2892))</f>
        <v>0.625</v>
      </c>
      <c r="O2892" s="33" t="n">
        <f aca="false">IF(K2892="","",ABS(K2892))</f>
        <v>0.281123898528204</v>
      </c>
      <c r="P2892" s="34" t="str">
        <f aca="false">IF(B2892&gt;=Eval_Start_Week,"YES","")</f>
        <v>YES</v>
      </c>
      <c r="Q2892" s="34" t="str">
        <f aca="false">IF(AND(B2892&gt;=Cal_Start_Week,B2892&lt;=Cal_End_Week),"YES","")</f>
        <v>YES</v>
      </c>
    </row>
    <row r="2893" customFormat="false" ht="15" hidden="false" customHeight="false" outlineLevel="0" collapsed="false">
      <c r="A2893" s="31" t="str">
        <f aca="false">Demand_History!C2893</f>
        <v>BED-008</v>
      </c>
      <c r="B2893" s="31" t="n">
        <f aca="false">Demand_History!A2893</f>
        <v>84</v>
      </c>
      <c r="C2893" s="32" t="n">
        <f aca="false">Demand_History!D2893</f>
        <v>4</v>
      </c>
      <c r="D2893" s="33" t="n">
        <f aca="false">IF(B2893&gt;=2,C2892,"")</f>
        <v>9</v>
      </c>
      <c r="E2893" s="33" t="n">
        <f aca="false">IF(B2893&gt;=5,AVERAGE(C2889:C2892),"")</f>
        <v>9.75</v>
      </c>
      <c r="F2893" s="33" t="n">
        <f aca="false">IF(B2893&gt;=9,AVERAGE(C2885:C2892),"")</f>
        <v>9</v>
      </c>
      <c r="G2893" s="33" t="n">
        <f aca="false">IF(B2893=1,"",IF(B2893=2,C2892,SES_Alpha*C2892+(1-SES_Alpha)*G2892))</f>
        <v>9.19678672896974</v>
      </c>
      <c r="H2893" s="33" t="n">
        <f aca="false">IF(D2893="","",D2893-C2893)</f>
        <v>5</v>
      </c>
      <c r="I2893" s="33" t="n">
        <f aca="false">IF(E2893="","",E2893-C2893)</f>
        <v>5.75</v>
      </c>
      <c r="J2893" s="33" t="n">
        <f aca="false">IF(F2893="","",F2893-C2893)</f>
        <v>5</v>
      </c>
      <c r="K2893" s="33" t="n">
        <f aca="false">IF(G2893="","",G2893-C2893)</f>
        <v>5.19678672896974</v>
      </c>
      <c r="L2893" s="33" t="n">
        <f aca="false">IF(H2893="","",ABS(H2893))</f>
        <v>5</v>
      </c>
      <c r="M2893" s="33" t="n">
        <f aca="false">IF(I2893="","",ABS(I2893))</f>
        <v>5.75</v>
      </c>
      <c r="N2893" s="33" t="n">
        <f aca="false">IF(J2893="","",ABS(J2893))</f>
        <v>5</v>
      </c>
      <c r="O2893" s="33" t="n">
        <f aca="false">IF(K2893="","",ABS(K2893))</f>
        <v>5.19678672896974</v>
      </c>
      <c r="P2893" s="34" t="str">
        <f aca="false">IF(B2893&gt;=Eval_Start_Week,"YES","")</f>
        <v>YES</v>
      </c>
      <c r="Q2893" s="34" t="str">
        <f aca="false">IF(AND(B2893&gt;=Cal_Start_Week,B2893&lt;=Cal_End_Week),"YES","")</f>
        <v>YES</v>
      </c>
    </row>
    <row r="2894" customFormat="false" ht="15" hidden="false" customHeight="false" outlineLevel="0" collapsed="false">
      <c r="A2894" s="31" t="str">
        <f aca="false">Demand_History!C2894</f>
        <v>BED-008</v>
      </c>
      <c r="B2894" s="31" t="n">
        <f aca="false">Demand_History!A2894</f>
        <v>85</v>
      </c>
      <c r="C2894" s="32" t="n">
        <f aca="false">Demand_History!D2894</f>
        <v>7</v>
      </c>
      <c r="D2894" s="33" t="n">
        <f aca="false">IF(B2894&gt;=2,C2893,"")</f>
        <v>4</v>
      </c>
      <c r="E2894" s="33" t="n">
        <f aca="false">IF(B2894&gt;=5,AVERAGE(C2890:C2893),"")</f>
        <v>8.5</v>
      </c>
      <c r="F2894" s="33" t="n">
        <f aca="false">IF(B2894&gt;=9,AVERAGE(C2886:C2893),"")</f>
        <v>8.625</v>
      </c>
      <c r="G2894" s="33" t="n">
        <f aca="false">IF(B2894=1,"",IF(B2894=2,C2893,SES_Alpha*C2893+(1-SES_Alpha)*G2893))</f>
        <v>7.63775071027882</v>
      </c>
      <c r="H2894" s="33" t="n">
        <f aca="false">IF(D2894="","",D2894-C2894)</f>
        <v>-3</v>
      </c>
      <c r="I2894" s="33" t="n">
        <f aca="false">IF(E2894="","",E2894-C2894)</f>
        <v>1.5</v>
      </c>
      <c r="J2894" s="33" t="n">
        <f aca="false">IF(F2894="","",F2894-C2894)</f>
        <v>1.625</v>
      </c>
      <c r="K2894" s="33" t="n">
        <f aca="false">IF(G2894="","",G2894-C2894)</f>
        <v>0.637750710278819</v>
      </c>
      <c r="L2894" s="33" t="n">
        <f aca="false">IF(H2894="","",ABS(H2894))</f>
        <v>3</v>
      </c>
      <c r="M2894" s="33" t="n">
        <f aca="false">IF(I2894="","",ABS(I2894))</f>
        <v>1.5</v>
      </c>
      <c r="N2894" s="33" t="n">
        <f aca="false">IF(J2894="","",ABS(J2894))</f>
        <v>1.625</v>
      </c>
      <c r="O2894" s="33" t="n">
        <f aca="false">IF(K2894="","",ABS(K2894))</f>
        <v>0.637750710278819</v>
      </c>
      <c r="P2894" s="34" t="str">
        <f aca="false">IF(B2894&gt;=Eval_Start_Week,"YES","")</f>
        <v>YES</v>
      </c>
      <c r="Q2894" s="34" t="str">
        <f aca="false">IF(AND(B2894&gt;=Cal_Start_Week,B2894&lt;=Cal_End_Week),"YES","")</f>
        <v>YES</v>
      </c>
    </row>
    <row r="2895" customFormat="false" ht="15" hidden="false" customHeight="false" outlineLevel="0" collapsed="false">
      <c r="A2895" s="31" t="str">
        <f aca="false">Demand_History!C2895</f>
        <v>BED-008</v>
      </c>
      <c r="B2895" s="31" t="n">
        <f aca="false">Demand_History!A2895</f>
        <v>86</v>
      </c>
      <c r="C2895" s="32" t="n">
        <f aca="false">Demand_History!D2895</f>
        <v>11</v>
      </c>
      <c r="D2895" s="33" t="n">
        <f aca="false">IF(B2895&gt;=2,C2894,"")</f>
        <v>7</v>
      </c>
      <c r="E2895" s="33" t="n">
        <f aca="false">IF(B2895&gt;=5,AVERAGE(C2891:C2894),"")</f>
        <v>7.5</v>
      </c>
      <c r="F2895" s="33" t="n">
        <f aca="false">IF(B2895&gt;=9,AVERAGE(C2887:C2894),"")</f>
        <v>8.125</v>
      </c>
      <c r="G2895" s="33" t="n">
        <f aca="false">IF(B2895=1,"",IF(B2895=2,C2894,SES_Alpha*C2894+(1-SES_Alpha)*G2894))</f>
        <v>7.44642549719517</v>
      </c>
      <c r="H2895" s="33" t="n">
        <f aca="false">IF(D2895="","",D2895-C2895)</f>
        <v>-4</v>
      </c>
      <c r="I2895" s="33" t="n">
        <f aca="false">IF(E2895="","",E2895-C2895)</f>
        <v>-3.5</v>
      </c>
      <c r="J2895" s="33" t="n">
        <f aca="false">IF(F2895="","",F2895-C2895)</f>
        <v>-2.875</v>
      </c>
      <c r="K2895" s="33" t="n">
        <f aca="false">IF(G2895="","",G2895-C2895)</f>
        <v>-3.55357450280483</v>
      </c>
      <c r="L2895" s="33" t="n">
        <f aca="false">IF(H2895="","",ABS(H2895))</f>
        <v>4</v>
      </c>
      <c r="M2895" s="33" t="n">
        <f aca="false">IF(I2895="","",ABS(I2895))</f>
        <v>3.5</v>
      </c>
      <c r="N2895" s="33" t="n">
        <f aca="false">IF(J2895="","",ABS(J2895))</f>
        <v>2.875</v>
      </c>
      <c r="O2895" s="33" t="n">
        <f aca="false">IF(K2895="","",ABS(K2895))</f>
        <v>3.55357450280483</v>
      </c>
      <c r="P2895" s="34" t="str">
        <f aca="false">IF(B2895&gt;=Eval_Start_Week,"YES","")</f>
        <v>YES</v>
      </c>
      <c r="Q2895" s="34" t="str">
        <f aca="false">IF(AND(B2895&gt;=Cal_Start_Week,B2895&lt;=Cal_End_Week),"YES","")</f>
        <v>YES</v>
      </c>
    </row>
    <row r="2896" customFormat="false" ht="15" hidden="false" customHeight="false" outlineLevel="0" collapsed="false">
      <c r="A2896" s="31" t="str">
        <f aca="false">Demand_History!C2896</f>
        <v>BED-008</v>
      </c>
      <c r="B2896" s="31" t="n">
        <f aca="false">Demand_History!A2896</f>
        <v>87</v>
      </c>
      <c r="C2896" s="32" t="n">
        <f aca="false">Demand_History!D2896</f>
        <v>7</v>
      </c>
      <c r="D2896" s="33" t="n">
        <f aca="false">IF(B2896&gt;=2,C2895,"")</f>
        <v>11</v>
      </c>
      <c r="E2896" s="33" t="n">
        <f aca="false">IF(B2896&gt;=5,AVERAGE(C2892:C2895),"")</f>
        <v>7.75</v>
      </c>
      <c r="F2896" s="33" t="n">
        <f aca="false">IF(B2896&gt;=9,AVERAGE(C2888:C2895),"")</f>
        <v>8.375</v>
      </c>
      <c r="G2896" s="33" t="n">
        <f aca="false">IF(B2896=1,"",IF(B2896=2,C2895,SES_Alpha*C2895+(1-SES_Alpha)*G2895))</f>
        <v>8.51249784803662</v>
      </c>
      <c r="H2896" s="33" t="n">
        <f aca="false">IF(D2896="","",D2896-C2896)</f>
        <v>4</v>
      </c>
      <c r="I2896" s="33" t="n">
        <f aca="false">IF(E2896="","",E2896-C2896)</f>
        <v>0.75</v>
      </c>
      <c r="J2896" s="33" t="n">
        <f aca="false">IF(F2896="","",F2896-C2896)</f>
        <v>1.375</v>
      </c>
      <c r="K2896" s="33" t="n">
        <f aca="false">IF(G2896="","",G2896-C2896)</f>
        <v>1.51249784803662</v>
      </c>
      <c r="L2896" s="33" t="n">
        <f aca="false">IF(H2896="","",ABS(H2896))</f>
        <v>4</v>
      </c>
      <c r="M2896" s="33" t="n">
        <f aca="false">IF(I2896="","",ABS(I2896))</f>
        <v>0.75</v>
      </c>
      <c r="N2896" s="33" t="n">
        <f aca="false">IF(J2896="","",ABS(J2896))</f>
        <v>1.375</v>
      </c>
      <c r="O2896" s="33" t="n">
        <f aca="false">IF(K2896="","",ABS(K2896))</f>
        <v>1.51249784803662</v>
      </c>
      <c r="P2896" s="34" t="str">
        <f aca="false">IF(B2896&gt;=Eval_Start_Week,"YES","")</f>
        <v>YES</v>
      </c>
      <c r="Q2896" s="34" t="str">
        <f aca="false">IF(AND(B2896&gt;=Cal_Start_Week,B2896&lt;=Cal_End_Week),"YES","")</f>
        <v>YES</v>
      </c>
    </row>
    <row r="2897" customFormat="false" ht="15" hidden="false" customHeight="false" outlineLevel="0" collapsed="false">
      <c r="A2897" s="31" t="str">
        <f aca="false">Demand_History!C2897</f>
        <v>BED-008</v>
      </c>
      <c r="B2897" s="31" t="n">
        <f aca="false">Demand_History!A2897</f>
        <v>88</v>
      </c>
      <c r="C2897" s="32" t="n">
        <f aca="false">Demand_History!D2897</f>
        <v>11</v>
      </c>
      <c r="D2897" s="33" t="n">
        <f aca="false">IF(B2897&gt;=2,C2896,"")</f>
        <v>7</v>
      </c>
      <c r="E2897" s="33" t="n">
        <f aca="false">IF(B2897&gt;=5,AVERAGE(C2893:C2896),"")</f>
        <v>7.25</v>
      </c>
      <c r="F2897" s="33" t="n">
        <f aca="false">IF(B2897&gt;=9,AVERAGE(C2889:C2896),"")</f>
        <v>8.5</v>
      </c>
      <c r="G2897" s="33" t="n">
        <f aca="false">IF(B2897=1,"",IF(B2897=2,C2896,SES_Alpha*C2896+(1-SES_Alpha)*G2896))</f>
        <v>8.05874849362563</v>
      </c>
      <c r="H2897" s="33" t="n">
        <f aca="false">IF(D2897="","",D2897-C2897)</f>
        <v>-4</v>
      </c>
      <c r="I2897" s="33" t="n">
        <f aca="false">IF(E2897="","",E2897-C2897)</f>
        <v>-3.75</v>
      </c>
      <c r="J2897" s="33" t="n">
        <f aca="false">IF(F2897="","",F2897-C2897)</f>
        <v>-2.5</v>
      </c>
      <c r="K2897" s="33" t="n">
        <f aca="false">IF(G2897="","",G2897-C2897)</f>
        <v>-2.94125150637437</v>
      </c>
      <c r="L2897" s="33" t="n">
        <f aca="false">IF(H2897="","",ABS(H2897))</f>
        <v>4</v>
      </c>
      <c r="M2897" s="33" t="n">
        <f aca="false">IF(I2897="","",ABS(I2897))</f>
        <v>3.75</v>
      </c>
      <c r="N2897" s="33" t="n">
        <f aca="false">IF(J2897="","",ABS(J2897))</f>
        <v>2.5</v>
      </c>
      <c r="O2897" s="33" t="n">
        <f aca="false">IF(K2897="","",ABS(K2897))</f>
        <v>2.94125150637437</v>
      </c>
      <c r="P2897" s="34" t="str">
        <f aca="false">IF(B2897&gt;=Eval_Start_Week,"YES","")</f>
        <v>YES</v>
      </c>
      <c r="Q2897" s="34" t="str">
        <f aca="false">IF(AND(B2897&gt;=Cal_Start_Week,B2897&lt;=Cal_End_Week),"YES","")</f>
        <v>YES</v>
      </c>
    </row>
    <row r="2898" customFormat="false" ht="15" hidden="false" customHeight="false" outlineLevel="0" collapsed="false">
      <c r="A2898" s="31" t="str">
        <f aca="false">Demand_History!C2898</f>
        <v>BED-008</v>
      </c>
      <c r="B2898" s="31" t="n">
        <f aca="false">Demand_History!A2898</f>
        <v>89</v>
      </c>
      <c r="C2898" s="32" t="n">
        <f aca="false">Demand_History!D2898</f>
        <v>9</v>
      </c>
      <c r="D2898" s="33" t="n">
        <f aca="false">IF(B2898&gt;=2,C2897,"")</f>
        <v>11</v>
      </c>
      <c r="E2898" s="33" t="n">
        <f aca="false">IF(B2898&gt;=5,AVERAGE(C2894:C2897),"")</f>
        <v>9</v>
      </c>
      <c r="F2898" s="33" t="n">
        <f aca="false">IF(B2898&gt;=9,AVERAGE(C2890:C2897),"")</f>
        <v>8.75</v>
      </c>
      <c r="G2898" s="33" t="n">
        <f aca="false">IF(B2898=1,"",IF(B2898=2,C2897,SES_Alpha*C2897+(1-SES_Alpha)*G2897))</f>
        <v>8.94112394553794</v>
      </c>
      <c r="H2898" s="33" t="n">
        <f aca="false">IF(D2898="","",D2898-C2898)</f>
        <v>2</v>
      </c>
      <c r="I2898" s="33" t="n">
        <f aca="false">IF(E2898="","",E2898-C2898)</f>
        <v>0</v>
      </c>
      <c r="J2898" s="33" t="n">
        <f aca="false">IF(F2898="","",F2898-C2898)</f>
        <v>-0.25</v>
      </c>
      <c r="K2898" s="33" t="n">
        <f aca="false">IF(G2898="","",G2898-C2898)</f>
        <v>-0.0588760544620577</v>
      </c>
      <c r="L2898" s="33" t="n">
        <f aca="false">IF(H2898="","",ABS(H2898))</f>
        <v>2</v>
      </c>
      <c r="M2898" s="33" t="n">
        <f aca="false">IF(I2898="","",ABS(I2898))</f>
        <v>0</v>
      </c>
      <c r="N2898" s="33" t="n">
        <f aca="false">IF(J2898="","",ABS(J2898))</f>
        <v>0.25</v>
      </c>
      <c r="O2898" s="33" t="n">
        <f aca="false">IF(K2898="","",ABS(K2898))</f>
        <v>0.0588760544620577</v>
      </c>
      <c r="P2898" s="34" t="str">
        <f aca="false">IF(B2898&gt;=Eval_Start_Week,"YES","")</f>
        <v>YES</v>
      </c>
      <c r="Q2898" s="34" t="str">
        <f aca="false">IF(AND(B2898&gt;=Cal_Start_Week,B2898&lt;=Cal_End_Week),"YES","")</f>
        <v/>
      </c>
    </row>
    <row r="2899" customFormat="false" ht="15" hidden="false" customHeight="false" outlineLevel="0" collapsed="false">
      <c r="A2899" s="31" t="str">
        <f aca="false">Demand_History!C2899</f>
        <v>BED-008</v>
      </c>
      <c r="B2899" s="31" t="n">
        <f aca="false">Demand_History!A2899</f>
        <v>90</v>
      </c>
      <c r="C2899" s="32" t="n">
        <f aca="false">Demand_History!D2899</f>
        <v>14</v>
      </c>
      <c r="D2899" s="33" t="n">
        <f aca="false">IF(B2899&gt;=2,C2898,"")</f>
        <v>9</v>
      </c>
      <c r="E2899" s="33" t="n">
        <f aca="false">IF(B2899&gt;=5,AVERAGE(C2895:C2898),"")</f>
        <v>9.5</v>
      </c>
      <c r="F2899" s="33" t="n">
        <f aca="false">IF(B2899&gt;=9,AVERAGE(C2891:C2898),"")</f>
        <v>8.5</v>
      </c>
      <c r="G2899" s="33" t="n">
        <f aca="false">IF(B2899=1,"",IF(B2899=2,C2898,SES_Alpha*C2898+(1-SES_Alpha)*G2898))</f>
        <v>8.95878676187656</v>
      </c>
      <c r="H2899" s="33" t="n">
        <f aca="false">IF(D2899="","",D2899-C2899)</f>
        <v>-5</v>
      </c>
      <c r="I2899" s="33" t="n">
        <f aca="false">IF(E2899="","",E2899-C2899)</f>
        <v>-4.5</v>
      </c>
      <c r="J2899" s="33" t="n">
        <f aca="false">IF(F2899="","",F2899-C2899)</f>
        <v>-5.5</v>
      </c>
      <c r="K2899" s="33" t="n">
        <f aca="false">IF(G2899="","",G2899-C2899)</f>
        <v>-5.04121323812344</v>
      </c>
      <c r="L2899" s="33" t="n">
        <f aca="false">IF(H2899="","",ABS(H2899))</f>
        <v>5</v>
      </c>
      <c r="M2899" s="33" t="n">
        <f aca="false">IF(I2899="","",ABS(I2899))</f>
        <v>4.5</v>
      </c>
      <c r="N2899" s="33" t="n">
        <f aca="false">IF(J2899="","",ABS(J2899))</f>
        <v>5.5</v>
      </c>
      <c r="O2899" s="33" t="n">
        <f aca="false">IF(K2899="","",ABS(K2899))</f>
        <v>5.04121323812344</v>
      </c>
      <c r="P2899" s="34" t="str">
        <f aca="false">IF(B2899&gt;=Eval_Start_Week,"YES","")</f>
        <v>YES</v>
      </c>
      <c r="Q2899" s="34" t="str">
        <f aca="false">IF(AND(B2899&gt;=Cal_Start_Week,B2899&lt;=Cal_End_Week),"YES","")</f>
        <v/>
      </c>
    </row>
    <row r="2900" customFormat="false" ht="15" hidden="false" customHeight="false" outlineLevel="0" collapsed="false">
      <c r="A2900" s="31" t="str">
        <f aca="false">Demand_History!C2900</f>
        <v>BED-008</v>
      </c>
      <c r="B2900" s="31" t="n">
        <f aca="false">Demand_History!A2900</f>
        <v>91</v>
      </c>
      <c r="C2900" s="32" t="n">
        <f aca="false">Demand_History!D2900</f>
        <v>8</v>
      </c>
      <c r="D2900" s="33" t="n">
        <f aca="false">IF(B2900&gt;=2,C2899,"")</f>
        <v>14</v>
      </c>
      <c r="E2900" s="33" t="n">
        <f aca="false">IF(B2900&gt;=5,AVERAGE(C2896:C2899),"")</f>
        <v>10.25</v>
      </c>
      <c r="F2900" s="33" t="n">
        <f aca="false">IF(B2900&gt;=9,AVERAGE(C2892:C2899),"")</f>
        <v>9</v>
      </c>
      <c r="G2900" s="33" t="n">
        <f aca="false">IF(B2900=1,"",IF(B2900=2,C2899,SES_Alpha*C2899+(1-SES_Alpha)*G2899))</f>
        <v>10.4711507333136</v>
      </c>
      <c r="H2900" s="33" t="n">
        <f aca="false">IF(D2900="","",D2900-C2900)</f>
        <v>6</v>
      </c>
      <c r="I2900" s="33" t="n">
        <f aca="false">IF(E2900="","",E2900-C2900)</f>
        <v>2.25</v>
      </c>
      <c r="J2900" s="33" t="n">
        <f aca="false">IF(F2900="","",F2900-C2900)</f>
        <v>1</v>
      </c>
      <c r="K2900" s="33" t="n">
        <f aca="false">IF(G2900="","",G2900-C2900)</f>
        <v>2.47115073331359</v>
      </c>
      <c r="L2900" s="33" t="n">
        <f aca="false">IF(H2900="","",ABS(H2900))</f>
        <v>6</v>
      </c>
      <c r="M2900" s="33" t="n">
        <f aca="false">IF(I2900="","",ABS(I2900))</f>
        <v>2.25</v>
      </c>
      <c r="N2900" s="33" t="n">
        <f aca="false">IF(J2900="","",ABS(J2900))</f>
        <v>1</v>
      </c>
      <c r="O2900" s="33" t="n">
        <f aca="false">IF(K2900="","",ABS(K2900))</f>
        <v>2.47115073331359</v>
      </c>
      <c r="P2900" s="34" t="str">
        <f aca="false">IF(B2900&gt;=Eval_Start_Week,"YES","")</f>
        <v>YES</v>
      </c>
      <c r="Q2900" s="34" t="str">
        <f aca="false">IF(AND(B2900&gt;=Cal_Start_Week,B2900&lt;=Cal_End_Week),"YES","")</f>
        <v/>
      </c>
    </row>
    <row r="2901" customFormat="false" ht="15" hidden="false" customHeight="false" outlineLevel="0" collapsed="false">
      <c r="A2901" s="31" t="str">
        <f aca="false">Demand_History!C2901</f>
        <v>BED-008</v>
      </c>
      <c r="B2901" s="31" t="n">
        <f aca="false">Demand_History!A2901</f>
        <v>92</v>
      </c>
      <c r="C2901" s="32" t="n">
        <f aca="false">Demand_History!D2901</f>
        <v>7</v>
      </c>
      <c r="D2901" s="33" t="n">
        <f aca="false">IF(B2901&gt;=2,C2900,"")</f>
        <v>8</v>
      </c>
      <c r="E2901" s="33" t="n">
        <f aca="false">IF(B2901&gt;=5,AVERAGE(C2897:C2900),"")</f>
        <v>10.5</v>
      </c>
      <c r="F2901" s="33" t="n">
        <f aca="false">IF(B2901&gt;=9,AVERAGE(C2893:C2900),"")</f>
        <v>8.875</v>
      </c>
      <c r="G2901" s="33" t="n">
        <f aca="false">IF(B2901=1,"",IF(B2901=2,C2900,SES_Alpha*C2900+(1-SES_Alpha)*G2900))</f>
        <v>9.72980551331951</v>
      </c>
      <c r="H2901" s="33" t="n">
        <f aca="false">IF(D2901="","",D2901-C2901)</f>
        <v>1</v>
      </c>
      <c r="I2901" s="33" t="n">
        <f aca="false">IF(E2901="","",E2901-C2901)</f>
        <v>3.5</v>
      </c>
      <c r="J2901" s="33" t="n">
        <f aca="false">IF(F2901="","",F2901-C2901)</f>
        <v>1.875</v>
      </c>
      <c r="K2901" s="33" t="n">
        <f aca="false">IF(G2901="","",G2901-C2901)</f>
        <v>2.72980551331951</v>
      </c>
      <c r="L2901" s="33" t="n">
        <f aca="false">IF(H2901="","",ABS(H2901))</f>
        <v>1</v>
      </c>
      <c r="M2901" s="33" t="n">
        <f aca="false">IF(I2901="","",ABS(I2901))</f>
        <v>3.5</v>
      </c>
      <c r="N2901" s="33" t="n">
        <f aca="false">IF(J2901="","",ABS(J2901))</f>
        <v>1.875</v>
      </c>
      <c r="O2901" s="33" t="n">
        <f aca="false">IF(K2901="","",ABS(K2901))</f>
        <v>2.72980551331951</v>
      </c>
      <c r="P2901" s="34" t="str">
        <f aca="false">IF(B2901&gt;=Eval_Start_Week,"YES","")</f>
        <v>YES</v>
      </c>
      <c r="Q2901" s="34" t="str">
        <f aca="false">IF(AND(B2901&gt;=Cal_Start_Week,B2901&lt;=Cal_End_Week),"YES","")</f>
        <v/>
      </c>
    </row>
    <row r="2902" customFormat="false" ht="15" hidden="false" customHeight="false" outlineLevel="0" collapsed="false">
      <c r="A2902" s="31" t="str">
        <f aca="false">Demand_History!C2902</f>
        <v>BED-008</v>
      </c>
      <c r="B2902" s="31" t="n">
        <f aca="false">Demand_History!A2902</f>
        <v>93</v>
      </c>
      <c r="C2902" s="32" t="n">
        <f aca="false">Demand_History!D2902</f>
        <v>10</v>
      </c>
      <c r="D2902" s="33" t="n">
        <f aca="false">IF(B2902&gt;=2,C2901,"")</f>
        <v>7</v>
      </c>
      <c r="E2902" s="33" t="n">
        <f aca="false">IF(B2902&gt;=5,AVERAGE(C2898:C2901),"")</f>
        <v>9.5</v>
      </c>
      <c r="F2902" s="33" t="n">
        <f aca="false">IF(B2902&gt;=9,AVERAGE(C2894:C2901),"")</f>
        <v>9.25</v>
      </c>
      <c r="G2902" s="33" t="n">
        <f aca="false">IF(B2902=1,"",IF(B2902=2,C2901,SES_Alpha*C2901+(1-SES_Alpha)*G2901))</f>
        <v>8.91086385932366</v>
      </c>
      <c r="H2902" s="33" t="n">
        <f aca="false">IF(D2902="","",D2902-C2902)</f>
        <v>-3</v>
      </c>
      <c r="I2902" s="33" t="n">
        <f aca="false">IF(E2902="","",E2902-C2902)</f>
        <v>-0.5</v>
      </c>
      <c r="J2902" s="33" t="n">
        <f aca="false">IF(F2902="","",F2902-C2902)</f>
        <v>-0.75</v>
      </c>
      <c r="K2902" s="33" t="n">
        <f aca="false">IF(G2902="","",G2902-C2902)</f>
        <v>-1.08913614067634</v>
      </c>
      <c r="L2902" s="33" t="n">
        <f aca="false">IF(H2902="","",ABS(H2902))</f>
        <v>3</v>
      </c>
      <c r="M2902" s="33" t="n">
        <f aca="false">IF(I2902="","",ABS(I2902))</f>
        <v>0.5</v>
      </c>
      <c r="N2902" s="33" t="n">
        <f aca="false">IF(J2902="","",ABS(J2902))</f>
        <v>0.75</v>
      </c>
      <c r="O2902" s="33" t="n">
        <f aca="false">IF(K2902="","",ABS(K2902))</f>
        <v>1.08913614067634</v>
      </c>
      <c r="P2902" s="34" t="str">
        <f aca="false">IF(B2902&gt;=Eval_Start_Week,"YES","")</f>
        <v>YES</v>
      </c>
      <c r="Q2902" s="34" t="str">
        <f aca="false">IF(AND(B2902&gt;=Cal_Start_Week,B2902&lt;=Cal_End_Week),"YES","")</f>
        <v/>
      </c>
    </row>
    <row r="2903" customFormat="false" ht="15" hidden="false" customHeight="false" outlineLevel="0" collapsed="false">
      <c r="A2903" s="31" t="str">
        <f aca="false">Demand_History!C2903</f>
        <v>BED-008</v>
      </c>
      <c r="B2903" s="31" t="n">
        <f aca="false">Demand_History!A2903</f>
        <v>94</v>
      </c>
      <c r="C2903" s="32" t="n">
        <f aca="false">Demand_History!D2903</f>
        <v>10</v>
      </c>
      <c r="D2903" s="33" t="n">
        <f aca="false">IF(B2903&gt;=2,C2902,"")</f>
        <v>10</v>
      </c>
      <c r="E2903" s="33" t="n">
        <f aca="false">IF(B2903&gt;=5,AVERAGE(C2899:C2902),"")</f>
        <v>9.75</v>
      </c>
      <c r="F2903" s="33" t="n">
        <f aca="false">IF(B2903&gt;=9,AVERAGE(C2895:C2902),"")</f>
        <v>9.625</v>
      </c>
      <c r="G2903" s="33" t="n">
        <f aca="false">IF(B2903=1,"",IF(B2903=2,C2902,SES_Alpha*C2902+(1-SES_Alpha)*G2902))</f>
        <v>9.23760470152656</v>
      </c>
      <c r="H2903" s="33" t="n">
        <f aca="false">IF(D2903="","",D2903-C2903)</f>
        <v>0</v>
      </c>
      <c r="I2903" s="33" t="n">
        <f aca="false">IF(E2903="","",E2903-C2903)</f>
        <v>-0.25</v>
      </c>
      <c r="J2903" s="33" t="n">
        <f aca="false">IF(F2903="","",F2903-C2903)</f>
        <v>-0.375</v>
      </c>
      <c r="K2903" s="33" t="n">
        <f aca="false">IF(G2903="","",G2903-C2903)</f>
        <v>-0.76239529847344</v>
      </c>
      <c r="L2903" s="33" t="n">
        <f aca="false">IF(H2903="","",ABS(H2903))</f>
        <v>0</v>
      </c>
      <c r="M2903" s="33" t="n">
        <f aca="false">IF(I2903="","",ABS(I2903))</f>
        <v>0.25</v>
      </c>
      <c r="N2903" s="33" t="n">
        <f aca="false">IF(J2903="","",ABS(J2903))</f>
        <v>0.375</v>
      </c>
      <c r="O2903" s="33" t="n">
        <f aca="false">IF(K2903="","",ABS(K2903))</f>
        <v>0.76239529847344</v>
      </c>
      <c r="P2903" s="34" t="str">
        <f aca="false">IF(B2903&gt;=Eval_Start_Week,"YES","")</f>
        <v>YES</v>
      </c>
      <c r="Q2903" s="34" t="str">
        <f aca="false">IF(AND(B2903&gt;=Cal_Start_Week,B2903&lt;=Cal_End_Week),"YES","")</f>
        <v/>
      </c>
    </row>
    <row r="2904" customFormat="false" ht="15" hidden="false" customHeight="false" outlineLevel="0" collapsed="false">
      <c r="A2904" s="31" t="str">
        <f aca="false">Demand_History!C2904</f>
        <v>BED-008</v>
      </c>
      <c r="B2904" s="31" t="n">
        <f aca="false">Demand_History!A2904</f>
        <v>95</v>
      </c>
      <c r="C2904" s="32" t="n">
        <f aca="false">Demand_History!D2904</f>
        <v>8</v>
      </c>
      <c r="D2904" s="33" t="n">
        <f aca="false">IF(B2904&gt;=2,C2903,"")</f>
        <v>10</v>
      </c>
      <c r="E2904" s="33" t="n">
        <f aca="false">IF(B2904&gt;=5,AVERAGE(C2900:C2903),"")</f>
        <v>8.75</v>
      </c>
      <c r="F2904" s="33" t="n">
        <f aca="false">IF(B2904&gt;=9,AVERAGE(C2896:C2903),"")</f>
        <v>9.5</v>
      </c>
      <c r="G2904" s="33" t="n">
        <f aca="false">IF(B2904=1,"",IF(B2904=2,C2903,SES_Alpha*C2903+(1-SES_Alpha)*G2903))</f>
        <v>9.46632329106859</v>
      </c>
      <c r="H2904" s="33" t="n">
        <f aca="false">IF(D2904="","",D2904-C2904)</f>
        <v>2</v>
      </c>
      <c r="I2904" s="33" t="n">
        <f aca="false">IF(E2904="","",E2904-C2904)</f>
        <v>0.75</v>
      </c>
      <c r="J2904" s="33" t="n">
        <f aca="false">IF(F2904="","",F2904-C2904)</f>
        <v>1.5</v>
      </c>
      <c r="K2904" s="33" t="n">
        <f aca="false">IF(G2904="","",G2904-C2904)</f>
        <v>1.46632329106859</v>
      </c>
      <c r="L2904" s="33" t="n">
        <f aca="false">IF(H2904="","",ABS(H2904))</f>
        <v>2</v>
      </c>
      <c r="M2904" s="33" t="n">
        <f aca="false">IF(I2904="","",ABS(I2904))</f>
        <v>0.75</v>
      </c>
      <c r="N2904" s="33" t="n">
        <f aca="false">IF(J2904="","",ABS(J2904))</f>
        <v>1.5</v>
      </c>
      <c r="O2904" s="33" t="n">
        <f aca="false">IF(K2904="","",ABS(K2904))</f>
        <v>1.46632329106859</v>
      </c>
      <c r="P2904" s="34" t="str">
        <f aca="false">IF(B2904&gt;=Eval_Start_Week,"YES","")</f>
        <v>YES</v>
      </c>
      <c r="Q2904" s="34" t="str">
        <f aca="false">IF(AND(B2904&gt;=Cal_Start_Week,B2904&lt;=Cal_End_Week),"YES","")</f>
        <v/>
      </c>
    </row>
    <row r="2905" customFormat="false" ht="15" hidden="false" customHeight="false" outlineLevel="0" collapsed="false">
      <c r="A2905" s="31" t="str">
        <f aca="false">Demand_History!C2905</f>
        <v>BED-008</v>
      </c>
      <c r="B2905" s="31" t="n">
        <f aca="false">Demand_History!A2905</f>
        <v>96</v>
      </c>
      <c r="C2905" s="32" t="n">
        <f aca="false">Demand_History!D2905</f>
        <v>10</v>
      </c>
      <c r="D2905" s="33" t="n">
        <f aca="false">IF(B2905&gt;=2,C2904,"")</f>
        <v>8</v>
      </c>
      <c r="E2905" s="33" t="n">
        <f aca="false">IF(B2905&gt;=5,AVERAGE(C2901:C2904),"")</f>
        <v>8.75</v>
      </c>
      <c r="F2905" s="33" t="n">
        <f aca="false">IF(B2905&gt;=9,AVERAGE(C2897:C2904),"")</f>
        <v>9.625</v>
      </c>
      <c r="G2905" s="33" t="n">
        <f aca="false">IF(B2905=1,"",IF(B2905=2,C2904,SES_Alpha*C2904+(1-SES_Alpha)*G2904))</f>
        <v>9.02642630374801</v>
      </c>
      <c r="H2905" s="33" t="n">
        <f aca="false">IF(D2905="","",D2905-C2905)</f>
        <v>-2</v>
      </c>
      <c r="I2905" s="33" t="n">
        <f aca="false">IF(E2905="","",E2905-C2905)</f>
        <v>-1.25</v>
      </c>
      <c r="J2905" s="33" t="n">
        <f aca="false">IF(F2905="","",F2905-C2905)</f>
        <v>-0.375</v>
      </c>
      <c r="K2905" s="33" t="n">
        <f aca="false">IF(G2905="","",G2905-C2905)</f>
        <v>-0.973573696251986</v>
      </c>
      <c r="L2905" s="33" t="n">
        <f aca="false">IF(H2905="","",ABS(H2905))</f>
        <v>2</v>
      </c>
      <c r="M2905" s="33" t="n">
        <f aca="false">IF(I2905="","",ABS(I2905))</f>
        <v>1.25</v>
      </c>
      <c r="N2905" s="33" t="n">
        <f aca="false">IF(J2905="","",ABS(J2905))</f>
        <v>0.375</v>
      </c>
      <c r="O2905" s="33" t="n">
        <f aca="false">IF(K2905="","",ABS(K2905))</f>
        <v>0.973573696251986</v>
      </c>
      <c r="P2905" s="34" t="str">
        <f aca="false">IF(B2905&gt;=Eval_Start_Week,"YES","")</f>
        <v>YES</v>
      </c>
      <c r="Q2905" s="34" t="str">
        <f aca="false">IF(AND(B2905&gt;=Cal_Start_Week,B2905&lt;=Cal_End_Week),"YES","")</f>
        <v/>
      </c>
    </row>
    <row r="2906" customFormat="false" ht="15" hidden="false" customHeight="false" outlineLevel="0" collapsed="false">
      <c r="A2906" s="31" t="str">
        <f aca="false">Demand_History!C2906</f>
        <v>BED-008</v>
      </c>
      <c r="B2906" s="31" t="n">
        <f aca="false">Demand_History!A2906</f>
        <v>97</v>
      </c>
      <c r="C2906" s="32" t="n">
        <f aca="false">Demand_History!D2906</f>
        <v>3</v>
      </c>
      <c r="D2906" s="33" t="n">
        <f aca="false">IF(B2906&gt;=2,C2905,"")</f>
        <v>10</v>
      </c>
      <c r="E2906" s="33" t="n">
        <f aca="false">IF(B2906&gt;=5,AVERAGE(C2902:C2905),"")</f>
        <v>9.5</v>
      </c>
      <c r="F2906" s="33" t="n">
        <f aca="false">IF(B2906&gt;=9,AVERAGE(C2898:C2905),"")</f>
        <v>9.5</v>
      </c>
      <c r="G2906" s="33" t="n">
        <f aca="false">IF(B2906=1,"",IF(B2906=2,C2905,SES_Alpha*C2905+(1-SES_Alpha)*G2905))</f>
        <v>9.31849841262361</v>
      </c>
      <c r="H2906" s="33" t="n">
        <f aca="false">IF(D2906="","",D2906-C2906)</f>
        <v>7</v>
      </c>
      <c r="I2906" s="33" t="n">
        <f aca="false">IF(E2906="","",E2906-C2906)</f>
        <v>6.5</v>
      </c>
      <c r="J2906" s="33" t="n">
        <f aca="false">IF(F2906="","",F2906-C2906)</f>
        <v>6.5</v>
      </c>
      <c r="K2906" s="33" t="n">
        <f aca="false">IF(G2906="","",G2906-C2906)</f>
        <v>6.31849841262361</v>
      </c>
      <c r="L2906" s="33" t="n">
        <f aca="false">IF(H2906="","",ABS(H2906))</f>
        <v>7</v>
      </c>
      <c r="M2906" s="33" t="n">
        <f aca="false">IF(I2906="","",ABS(I2906))</f>
        <v>6.5</v>
      </c>
      <c r="N2906" s="33" t="n">
        <f aca="false">IF(J2906="","",ABS(J2906))</f>
        <v>6.5</v>
      </c>
      <c r="O2906" s="33" t="n">
        <f aca="false">IF(K2906="","",ABS(K2906))</f>
        <v>6.31849841262361</v>
      </c>
      <c r="P2906" s="34" t="str">
        <f aca="false">IF(B2906&gt;=Eval_Start_Week,"YES","")</f>
        <v>YES</v>
      </c>
      <c r="Q2906" s="34" t="str">
        <f aca="false">IF(AND(B2906&gt;=Cal_Start_Week,B2906&lt;=Cal_End_Week),"YES","")</f>
        <v/>
      </c>
    </row>
    <row r="2907" customFormat="false" ht="15" hidden="false" customHeight="false" outlineLevel="0" collapsed="false">
      <c r="A2907" s="31" t="str">
        <f aca="false">Demand_History!C2907</f>
        <v>BED-008</v>
      </c>
      <c r="B2907" s="31" t="n">
        <f aca="false">Demand_History!A2907</f>
        <v>98</v>
      </c>
      <c r="C2907" s="32" t="n">
        <f aca="false">Demand_History!D2907</f>
        <v>12</v>
      </c>
      <c r="D2907" s="33" t="n">
        <f aca="false">IF(B2907&gt;=2,C2906,"")</f>
        <v>3</v>
      </c>
      <c r="E2907" s="33" t="n">
        <f aca="false">IF(B2907&gt;=5,AVERAGE(C2903:C2906),"")</f>
        <v>7.75</v>
      </c>
      <c r="F2907" s="33" t="n">
        <f aca="false">IF(B2907&gt;=9,AVERAGE(C2899:C2906),"")</f>
        <v>8.75</v>
      </c>
      <c r="G2907" s="33" t="n">
        <f aca="false">IF(B2907=1,"",IF(B2907=2,C2906,SES_Alpha*C2906+(1-SES_Alpha)*G2906))</f>
        <v>7.42294888883653</v>
      </c>
      <c r="H2907" s="33" t="n">
        <f aca="false">IF(D2907="","",D2907-C2907)</f>
        <v>-9</v>
      </c>
      <c r="I2907" s="33" t="n">
        <f aca="false">IF(E2907="","",E2907-C2907)</f>
        <v>-4.25</v>
      </c>
      <c r="J2907" s="33" t="n">
        <f aca="false">IF(F2907="","",F2907-C2907)</f>
        <v>-3.25</v>
      </c>
      <c r="K2907" s="33" t="n">
        <f aca="false">IF(G2907="","",G2907-C2907)</f>
        <v>-4.57705111116347</v>
      </c>
      <c r="L2907" s="33" t="n">
        <f aca="false">IF(H2907="","",ABS(H2907))</f>
        <v>9</v>
      </c>
      <c r="M2907" s="33" t="n">
        <f aca="false">IF(I2907="","",ABS(I2907))</f>
        <v>4.25</v>
      </c>
      <c r="N2907" s="33" t="n">
        <f aca="false">IF(J2907="","",ABS(J2907))</f>
        <v>3.25</v>
      </c>
      <c r="O2907" s="33" t="n">
        <f aca="false">IF(K2907="","",ABS(K2907))</f>
        <v>4.57705111116347</v>
      </c>
      <c r="P2907" s="34" t="str">
        <f aca="false">IF(B2907&gt;=Eval_Start_Week,"YES","")</f>
        <v>YES</v>
      </c>
      <c r="Q2907" s="34" t="str">
        <f aca="false">IF(AND(B2907&gt;=Cal_Start_Week,B2907&lt;=Cal_End_Week),"YES","")</f>
        <v/>
      </c>
    </row>
    <row r="2908" customFormat="false" ht="15" hidden="false" customHeight="false" outlineLevel="0" collapsed="false">
      <c r="A2908" s="31" t="str">
        <f aca="false">Demand_History!C2908</f>
        <v>BED-008</v>
      </c>
      <c r="B2908" s="31" t="n">
        <f aca="false">Demand_History!A2908</f>
        <v>99</v>
      </c>
      <c r="C2908" s="32" t="n">
        <f aca="false">Demand_History!D2908</f>
        <v>7</v>
      </c>
      <c r="D2908" s="33" t="n">
        <f aca="false">IF(B2908&gt;=2,C2907,"")</f>
        <v>12</v>
      </c>
      <c r="E2908" s="33" t="n">
        <f aca="false">IF(B2908&gt;=5,AVERAGE(C2904:C2907),"")</f>
        <v>8.25</v>
      </c>
      <c r="F2908" s="33" t="n">
        <f aca="false">IF(B2908&gt;=9,AVERAGE(C2900:C2907),"")</f>
        <v>8.5</v>
      </c>
      <c r="G2908" s="33" t="n">
        <f aca="false">IF(B2908=1,"",IF(B2908=2,C2907,SES_Alpha*C2907+(1-SES_Alpha)*G2907))</f>
        <v>8.79606422218557</v>
      </c>
      <c r="H2908" s="33" t="n">
        <f aca="false">IF(D2908="","",D2908-C2908)</f>
        <v>5</v>
      </c>
      <c r="I2908" s="33" t="n">
        <f aca="false">IF(E2908="","",E2908-C2908)</f>
        <v>1.25</v>
      </c>
      <c r="J2908" s="33" t="n">
        <f aca="false">IF(F2908="","",F2908-C2908)</f>
        <v>1.5</v>
      </c>
      <c r="K2908" s="33" t="n">
        <f aca="false">IF(G2908="","",G2908-C2908)</f>
        <v>1.79606422218557</v>
      </c>
      <c r="L2908" s="33" t="n">
        <f aca="false">IF(H2908="","",ABS(H2908))</f>
        <v>5</v>
      </c>
      <c r="M2908" s="33" t="n">
        <f aca="false">IF(I2908="","",ABS(I2908))</f>
        <v>1.25</v>
      </c>
      <c r="N2908" s="33" t="n">
        <f aca="false">IF(J2908="","",ABS(J2908))</f>
        <v>1.5</v>
      </c>
      <c r="O2908" s="33" t="n">
        <f aca="false">IF(K2908="","",ABS(K2908))</f>
        <v>1.79606422218557</v>
      </c>
      <c r="P2908" s="34" t="str">
        <f aca="false">IF(B2908&gt;=Eval_Start_Week,"YES","")</f>
        <v>YES</v>
      </c>
      <c r="Q2908" s="34" t="str">
        <f aca="false">IF(AND(B2908&gt;=Cal_Start_Week,B2908&lt;=Cal_End_Week),"YES","")</f>
        <v/>
      </c>
    </row>
    <row r="2909" customFormat="false" ht="15" hidden="false" customHeight="false" outlineLevel="0" collapsed="false">
      <c r="A2909" s="31" t="str">
        <f aca="false">Demand_History!C2909</f>
        <v>BED-008</v>
      </c>
      <c r="B2909" s="31" t="n">
        <f aca="false">Demand_History!A2909</f>
        <v>100</v>
      </c>
      <c r="C2909" s="32" t="n">
        <f aca="false">Demand_History!D2909</f>
        <v>6</v>
      </c>
      <c r="D2909" s="33" t="n">
        <f aca="false">IF(B2909&gt;=2,C2908,"")</f>
        <v>7</v>
      </c>
      <c r="E2909" s="33" t="n">
        <f aca="false">IF(B2909&gt;=5,AVERAGE(C2905:C2908),"")</f>
        <v>8</v>
      </c>
      <c r="F2909" s="33" t="n">
        <f aca="false">IF(B2909&gt;=9,AVERAGE(C2901:C2908),"")</f>
        <v>8.375</v>
      </c>
      <c r="G2909" s="33" t="n">
        <f aca="false">IF(B2909=1,"",IF(B2909=2,C2908,SES_Alpha*C2908+(1-SES_Alpha)*G2908))</f>
        <v>8.2572449555299</v>
      </c>
      <c r="H2909" s="33" t="n">
        <f aca="false">IF(D2909="","",D2909-C2909)</f>
        <v>1</v>
      </c>
      <c r="I2909" s="33" t="n">
        <f aca="false">IF(E2909="","",E2909-C2909)</f>
        <v>2</v>
      </c>
      <c r="J2909" s="33" t="n">
        <f aca="false">IF(F2909="","",F2909-C2909)</f>
        <v>2.375</v>
      </c>
      <c r="K2909" s="33" t="n">
        <f aca="false">IF(G2909="","",G2909-C2909)</f>
        <v>2.2572449555299</v>
      </c>
      <c r="L2909" s="33" t="n">
        <f aca="false">IF(H2909="","",ABS(H2909))</f>
        <v>1</v>
      </c>
      <c r="M2909" s="33" t="n">
        <f aca="false">IF(I2909="","",ABS(I2909))</f>
        <v>2</v>
      </c>
      <c r="N2909" s="33" t="n">
        <f aca="false">IF(J2909="","",ABS(J2909))</f>
        <v>2.375</v>
      </c>
      <c r="O2909" s="33" t="n">
        <f aca="false">IF(K2909="","",ABS(K2909))</f>
        <v>2.2572449555299</v>
      </c>
      <c r="P2909" s="34" t="str">
        <f aca="false">IF(B2909&gt;=Eval_Start_Week,"YES","")</f>
        <v>YES</v>
      </c>
      <c r="Q2909" s="34" t="str">
        <f aca="false">IF(AND(B2909&gt;=Cal_Start_Week,B2909&lt;=Cal_End_Week),"YES","")</f>
        <v/>
      </c>
    </row>
    <row r="2910" customFormat="false" ht="15" hidden="false" customHeight="false" outlineLevel="0" collapsed="false">
      <c r="A2910" s="31" t="str">
        <f aca="false">Demand_History!C2910</f>
        <v>BED-008</v>
      </c>
      <c r="B2910" s="31" t="n">
        <f aca="false">Demand_History!A2910</f>
        <v>101</v>
      </c>
      <c r="C2910" s="32" t="n">
        <f aca="false">Demand_History!D2910</f>
        <v>4</v>
      </c>
      <c r="D2910" s="33" t="n">
        <f aca="false">IF(B2910&gt;=2,C2909,"")</f>
        <v>6</v>
      </c>
      <c r="E2910" s="33" t="n">
        <f aca="false">IF(B2910&gt;=5,AVERAGE(C2906:C2909),"")</f>
        <v>7</v>
      </c>
      <c r="F2910" s="33" t="n">
        <f aca="false">IF(B2910&gt;=9,AVERAGE(C2902:C2909),"")</f>
        <v>8.25</v>
      </c>
      <c r="G2910" s="33" t="n">
        <f aca="false">IF(B2910=1,"",IF(B2910=2,C2909,SES_Alpha*C2909+(1-SES_Alpha)*G2909))</f>
        <v>7.58007146887093</v>
      </c>
      <c r="H2910" s="33" t="n">
        <f aca="false">IF(D2910="","",D2910-C2910)</f>
        <v>2</v>
      </c>
      <c r="I2910" s="33" t="n">
        <f aca="false">IF(E2910="","",E2910-C2910)</f>
        <v>3</v>
      </c>
      <c r="J2910" s="33" t="n">
        <f aca="false">IF(F2910="","",F2910-C2910)</f>
        <v>4.25</v>
      </c>
      <c r="K2910" s="33" t="n">
        <f aca="false">IF(G2910="","",G2910-C2910)</f>
        <v>3.58007146887093</v>
      </c>
      <c r="L2910" s="33" t="n">
        <f aca="false">IF(H2910="","",ABS(H2910))</f>
        <v>2</v>
      </c>
      <c r="M2910" s="33" t="n">
        <f aca="false">IF(I2910="","",ABS(I2910))</f>
        <v>3</v>
      </c>
      <c r="N2910" s="33" t="n">
        <f aca="false">IF(J2910="","",ABS(J2910))</f>
        <v>4.25</v>
      </c>
      <c r="O2910" s="33" t="n">
        <f aca="false">IF(K2910="","",ABS(K2910))</f>
        <v>3.58007146887093</v>
      </c>
      <c r="P2910" s="34" t="str">
        <f aca="false">IF(B2910&gt;=Eval_Start_Week,"YES","")</f>
        <v>YES</v>
      </c>
      <c r="Q2910" s="34" t="str">
        <f aca="false">IF(AND(B2910&gt;=Cal_Start_Week,B2910&lt;=Cal_End_Week),"YES","")</f>
        <v/>
      </c>
    </row>
    <row r="2911" customFormat="false" ht="15" hidden="false" customHeight="false" outlineLevel="0" collapsed="false">
      <c r="A2911" s="31" t="str">
        <f aca="false">Demand_History!C2911</f>
        <v>BED-008</v>
      </c>
      <c r="B2911" s="31" t="n">
        <f aca="false">Demand_History!A2911</f>
        <v>102</v>
      </c>
      <c r="C2911" s="32" t="n">
        <f aca="false">Demand_History!D2911</f>
        <v>5</v>
      </c>
      <c r="D2911" s="33" t="n">
        <f aca="false">IF(B2911&gt;=2,C2910,"")</f>
        <v>4</v>
      </c>
      <c r="E2911" s="33" t="n">
        <f aca="false">IF(B2911&gt;=5,AVERAGE(C2907:C2910),"")</f>
        <v>7.25</v>
      </c>
      <c r="F2911" s="33" t="n">
        <f aca="false">IF(B2911&gt;=9,AVERAGE(C2903:C2910),"")</f>
        <v>7.5</v>
      </c>
      <c r="G2911" s="33" t="n">
        <f aca="false">IF(B2911=1,"",IF(B2911=2,C2910,SES_Alpha*C2910+(1-SES_Alpha)*G2910))</f>
        <v>6.50605002820965</v>
      </c>
      <c r="H2911" s="33" t="n">
        <f aca="false">IF(D2911="","",D2911-C2911)</f>
        <v>-1</v>
      </c>
      <c r="I2911" s="33" t="n">
        <f aca="false">IF(E2911="","",E2911-C2911)</f>
        <v>2.25</v>
      </c>
      <c r="J2911" s="33" t="n">
        <f aca="false">IF(F2911="","",F2911-C2911)</f>
        <v>2.5</v>
      </c>
      <c r="K2911" s="33" t="n">
        <f aca="false">IF(G2911="","",G2911-C2911)</f>
        <v>1.50605002820965</v>
      </c>
      <c r="L2911" s="33" t="n">
        <f aca="false">IF(H2911="","",ABS(H2911))</f>
        <v>1</v>
      </c>
      <c r="M2911" s="33" t="n">
        <f aca="false">IF(I2911="","",ABS(I2911))</f>
        <v>2.25</v>
      </c>
      <c r="N2911" s="33" t="n">
        <f aca="false">IF(J2911="","",ABS(J2911))</f>
        <v>2.5</v>
      </c>
      <c r="O2911" s="33" t="n">
        <f aca="false">IF(K2911="","",ABS(K2911))</f>
        <v>1.50605002820965</v>
      </c>
      <c r="P2911" s="34" t="str">
        <f aca="false">IF(B2911&gt;=Eval_Start_Week,"YES","")</f>
        <v>YES</v>
      </c>
      <c r="Q2911" s="34" t="str">
        <f aca="false">IF(AND(B2911&gt;=Cal_Start_Week,B2911&lt;=Cal_End_Week),"YES","")</f>
        <v/>
      </c>
    </row>
    <row r="2912" customFormat="false" ht="15" hidden="false" customHeight="false" outlineLevel="0" collapsed="false">
      <c r="A2912" s="31" t="str">
        <f aca="false">Demand_History!C2912</f>
        <v>BED-008</v>
      </c>
      <c r="B2912" s="31" t="n">
        <f aca="false">Demand_History!A2912</f>
        <v>103</v>
      </c>
      <c r="C2912" s="32" t="n">
        <f aca="false">Demand_History!D2912</f>
        <v>11</v>
      </c>
      <c r="D2912" s="33" t="n">
        <f aca="false">IF(B2912&gt;=2,C2911,"")</f>
        <v>5</v>
      </c>
      <c r="E2912" s="33" t="n">
        <f aca="false">IF(B2912&gt;=5,AVERAGE(C2908:C2911),"")</f>
        <v>5.5</v>
      </c>
      <c r="F2912" s="33" t="n">
        <f aca="false">IF(B2912&gt;=9,AVERAGE(C2904:C2911),"")</f>
        <v>6.875</v>
      </c>
      <c r="G2912" s="33" t="n">
        <f aca="false">IF(B2912=1,"",IF(B2912=2,C2911,SES_Alpha*C2911+(1-SES_Alpha)*G2911))</f>
        <v>6.05423501974675</v>
      </c>
      <c r="H2912" s="33" t="n">
        <f aca="false">IF(D2912="","",D2912-C2912)</f>
        <v>-6</v>
      </c>
      <c r="I2912" s="33" t="n">
        <f aca="false">IF(E2912="","",E2912-C2912)</f>
        <v>-5.5</v>
      </c>
      <c r="J2912" s="33" t="n">
        <f aca="false">IF(F2912="","",F2912-C2912)</f>
        <v>-4.125</v>
      </c>
      <c r="K2912" s="33" t="n">
        <f aca="false">IF(G2912="","",G2912-C2912)</f>
        <v>-4.94576498025325</v>
      </c>
      <c r="L2912" s="33" t="n">
        <f aca="false">IF(H2912="","",ABS(H2912))</f>
        <v>6</v>
      </c>
      <c r="M2912" s="33" t="n">
        <f aca="false">IF(I2912="","",ABS(I2912))</f>
        <v>5.5</v>
      </c>
      <c r="N2912" s="33" t="n">
        <f aca="false">IF(J2912="","",ABS(J2912))</f>
        <v>4.125</v>
      </c>
      <c r="O2912" s="33" t="n">
        <f aca="false">IF(K2912="","",ABS(K2912))</f>
        <v>4.94576498025325</v>
      </c>
      <c r="P2912" s="34" t="str">
        <f aca="false">IF(B2912&gt;=Eval_Start_Week,"YES","")</f>
        <v>YES</v>
      </c>
      <c r="Q2912" s="34" t="str">
        <f aca="false">IF(AND(B2912&gt;=Cal_Start_Week,B2912&lt;=Cal_End_Week),"YES","")</f>
        <v/>
      </c>
    </row>
    <row r="2913" customFormat="false" ht="15" hidden="false" customHeight="false" outlineLevel="0" collapsed="false">
      <c r="A2913" s="31" t="str">
        <f aca="false">Demand_History!C2913</f>
        <v>BED-008</v>
      </c>
      <c r="B2913" s="31" t="n">
        <f aca="false">Demand_History!A2913</f>
        <v>104</v>
      </c>
      <c r="C2913" s="32" t="n">
        <f aca="false">Demand_History!D2913</f>
        <v>7</v>
      </c>
      <c r="D2913" s="33" t="n">
        <f aca="false">IF(B2913&gt;=2,C2912,"")</f>
        <v>11</v>
      </c>
      <c r="E2913" s="33" t="n">
        <f aca="false">IF(B2913&gt;=5,AVERAGE(C2909:C2912),"")</f>
        <v>6.5</v>
      </c>
      <c r="F2913" s="33" t="n">
        <f aca="false">IF(B2913&gt;=9,AVERAGE(C2905:C2912),"")</f>
        <v>7.25</v>
      </c>
      <c r="G2913" s="33" t="n">
        <f aca="false">IF(B2913=1,"",IF(B2913=2,C2912,SES_Alpha*C2912+(1-SES_Alpha)*G2912))</f>
        <v>7.53796451382273</v>
      </c>
      <c r="H2913" s="33" t="n">
        <f aca="false">IF(D2913="","",D2913-C2913)</f>
        <v>4</v>
      </c>
      <c r="I2913" s="33" t="n">
        <f aca="false">IF(E2913="","",E2913-C2913)</f>
        <v>-0.5</v>
      </c>
      <c r="J2913" s="33" t="n">
        <f aca="false">IF(F2913="","",F2913-C2913)</f>
        <v>0.25</v>
      </c>
      <c r="K2913" s="33" t="n">
        <f aca="false">IF(G2913="","",G2913-C2913)</f>
        <v>0.537964513822727</v>
      </c>
      <c r="L2913" s="33" t="n">
        <f aca="false">IF(H2913="","",ABS(H2913))</f>
        <v>4</v>
      </c>
      <c r="M2913" s="33" t="n">
        <f aca="false">IF(I2913="","",ABS(I2913))</f>
        <v>0.5</v>
      </c>
      <c r="N2913" s="33" t="n">
        <f aca="false">IF(J2913="","",ABS(J2913))</f>
        <v>0.25</v>
      </c>
      <c r="O2913" s="33" t="n">
        <f aca="false">IF(K2913="","",ABS(K2913))</f>
        <v>0.537964513822727</v>
      </c>
      <c r="P2913" s="34" t="str">
        <f aca="false">IF(B2913&gt;=Eval_Start_Week,"YES","")</f>
        <v>YES</v>
      </c>
      <c r="Q2913" s="34" t="str">
        <f aca="false">IF(AND(B2913&gt;=Cal_Start_Week,B2913&lt;=Cal_End_Week),"YES","")</f>
        <v/>
      </c>
    </row>
    <row r="2914" customFormat="false" ht="15" hidden="false" customHeight="false" outlineLevel="0" collapsed="false">
      <c r="A2914" s="31" t="str">
        <f aca="false">Demand_History!C2914</f>
        <v>BED-009</v>
      </c>
      <c r="B2914" s="31" t="n">
        <f aca="false">Demand_History!A2914</f>
        <v>1</v>
      </c>
      <c r="C2914" s="32" t="n">
        <f aca="false">Demand_History!D2914</f>
        <v>26</v>
      </c>
      <c r="D2914" s="33" t="str">
        <f aca="false">IF(B2914&gt;=2,C2913,"")</f>
        <v/>
      </c>
      <c r="E2914" s="33" t="str">
        <f aca="false">IF(B2914&gt;=5,AVERAGE(C2910:C2913),"")</f>
        <v/>
      </c>
      <c r="F2914" s="33" t="str">
        <f aca="false">IF(B2914&gt;=9,AVERAGE(C2906:C2913),"")</f>
        <v/>
      </c>
      <c r="G2914" s="33" t="str">
        <f aca="false">IF(B2914=1,"",IF(B2914=2,C2913,SES_Alpha*C2913+(1-SES_Alpha)*G2913))</f>
        <v/>
      </c>
      <c r="H2914" s="33" t="str">
        <f aca="false">IF(D2914="","",D2914-C2914)</f>
        <v/>
      </c>
      <c r="I2914" s="33" t="str">
        <f aca="false">IF(E2914="","",E2914-C2914)</f>
        <v/>
      </c>
      <c r="J2914" s="33" t="str">
        <f aca="false">IF(F2914="","",F2914-C2914)</f>
        <v/>
      </c>
      <c r="K2914" s="33" t="str">
        <f aca="false">IF(G2914="","",G2914-C2914)</f>
        <v/>
      </c>
      <c r="L2914" s="33" t="str">
        <f aca="false">IF(H2914="","",ABS(H2914))</f>
        <v/>
      </c>
      <c r="M2914" s="33" t="str">
        <f aca="false">IF(I2914="","",ABS(I2914))</f>
        <v/>
      </c>
      <c r="N2914" s="33" t="str">
        <f aca="false">IF(J2914="","",ABS(J2914))</f>
        <v/>
      </c>
      <c r="O2914" s="33" t="str">
        <f aca="false">IF(K2914="","",ABS(K2914))</f>
        <v/>
      </c>
      <c r="P2914" s="34" t="str">
        <f aca="false">IF(B2914&gt;=Eval_Start_Week,"YES","")</f>
        <v/>
      </c>
      <c r="Q2914" s="34" t="str">
        <f aca="false">IF(AND(B2914&gt;=Cal_Start_Week,B2914&lt;=Cal_End_Week),"YES","")</f>
        <v/>
      </c>
    </row>
    <row r="2915" customFormat="false" ht="15" hidden="false" customHeight="false" outlineLevel="0" collapsed="false">
      <c r="A2915" s="31" t="str">
        <f aca="false">Demand_History!C2915</f>
        <v>BED-009</v>
      </c>
      <c r="B2915" s="31" t="n">
        <f aca="false">Demand_History!A2915</f>
        <v>2</v>
      </c>
      <c r="C2915" s="32" t="n">
        <f aca="false">Demand_History!D2915</f>
        <v>33</v>
      </c>
      <c r="D2915" s="33" t="n">
        <f aca="false">IF(B2915&gt;=2,C2914,"")</f>
        <v>26</v>
      </c>
      <c r="E2915" s="33" t="str">
        <f aca="false">IF(B2915&gt;=5,AVERAGE(C2911:C2914),"")</f>
        <v/>
      </c>
      <c r="F2915" s="33" t="str">
        <f aca="false">IF(B2915&gt;=9,AVERAGE(C2907:C2914),"")</f>
        <v/>
      </c>
      <c r="G2915" s="33" t="n">
        <f aca="false">IF(B2915=1,"",IF(B2915=2,C2914,SES_Alpha*C2914+(1-SES_Alpha)*G2914))</f>
        <v>26</v>
      </c>
      <c r="H2915" s="33" t="n">
        <f aca="false">IF(D2915="","",D2915-C2915)</f>
        <v>-7</v>
      </c>
      <c r="I2915" s="33" t="str">
        <f aca="false">IF(E2915="","",E2915-C2915)</f>
        <v/>
      </c>
      <c r="J2915" s="33" t="str">
        <f aca="false">IF(F2915="","",F2915-C2915)</f>
        <v/>
      </c>
      <c r="K2915" s="33" t="n">
        <f aca="false">IF(G2915="","",G2915-C2915)</f>
        <v>-7</v>
      </c>
      <c r="L2915" s="33" t="n">
        <f aca="false">IF(H2915="","",ABS(H2915))</f>
        <v>7</v>
      </c>
      <c r="M2915" s="33" t="str">
        <f aca="false">IF(I2915="","",ABS(I2915))</f>
        <v/>
      </c>
      <c r="N2915" s="33" t="str">
        <f aca="false">IF(J2915="","",ABS(J2915))</f>
        <v/>
      </c>
      <c r="O2915" s="33" t="n">
        <f aca="false">IF(K2915="","",ABS(K2915))</f>
        <v>7</v>
      </c>
      <c r="P2915" s="34" t="str">
        <f aca="false">IF(B2915&gt;=Eval_Start_Week,"YES","")</f>
        <v/>
      </c>
      <c r="Q2915" s="34" t="str">
        <f aca="false">IF(AND(B2915&gt;=Cal_Start_Week,B2915&lt;=Cal_End_Week),"YES","")</f>
        <v/>
      </c>
    </row>
    <row r="2916" customFormat="false" ht="15" hidden="false" customHeight="false" outlineLevel="0" collapsed="false">
      <c r="A2916" s="31" t="str">
        <f aca="false">Demand_History!C2916</f>
        <v>BED-009</v>
      </c>
      <c r="B2916" s="31" t="n">
        <f aca="false">Demand_History!A2916</f>
        <v>3</v>
      </c>
      <c r="C2916" s="32" t="n">
        <f aca="false">Demand_History!D2916</f>
        <v>31</v>
      </c>
      <c r="D2916" s="33" t="n">
        <f aca="false">IF(B2916&gt;=2,C2915,"")</f>
        <v>33</v>
      </c>
      <c r="E2916" s="33" t="str">
        <f aca="false">IF(B2916&gt;=5,AVERAGE(C2912:C2915),"")</f>
        <v/>
      </c>
      <c r="F2916" s="33" t="str">
        <f aca="false">IF(B2916&gt;=9,AVERAGE(C2908:C2915),"")</f>
        <v/>
      </c>
      <c r="G2916" s="33" t="n">
        <f aca="false">IF(B2916=1,"",IF(B2916=2,C2915,SES_Alpha*C2915+(1-SES_Alpha)*G2915))</f>
        <v>28.1</v>
      </c>
      <c r="H2916" s="33" t="n">
        <f aca="false">IF(D2916="","",D2916-C2916)</f>
        <v>2</v>
      </c>
      <c r="I2916" s="33" t="str">
        <f aca="false">IF(E2916="","",E2916-C2916)</f>
        <v/>
      </c>
      <c r="J2916" s="33" t="str">
        <f aca="false">IF(F2916="","",F2916-C2916)</f>
        <v/>
      </c>
      <c r="K2916" s="33" t="n">
        <f aca="false">IF(G2916="","",G2916-C2916)</f>
        <v>-2.9</v>
      </c>
      <c r="L2916" s="33" t="n">
        <f aca="false">IF(H2916="","",ABS(H2916))</f>
        <v>2</v>
      </c>
      <c r="M2916" s="33" t="str">
        <f aca="false">IF(I2916="","",ABS(I2916))</f>
        <v/>
      </c>
      <c r="N2916" s="33" t="str">
        <f aca="false">IF(J2916="","",ABS(J2916))</f>
        <v/>
      </c>
      <c r="O2916" s="33" t="n">
        <f aca="false">IF(K2916="","",ABS(K2916))</f>
        <v>2.9</v>
      </c>
      <c r="P2916" s="34" t="str">
        <f aca="false">IF(B2916&gt;=Eval_Start_Week,"YES","")</f>
        <v/>
      </c>
      <c r="Q2916" s="34" t="str">
        <f aca="false">IF(AND(B2916&gt;=Cal_Start_Week,B2916&lt;=Cal_End_Week),"YES","")</f>
        <v/>
      </c>
    </row>
    <row r="2917" customFormat="false" ht="15" hidden="false" customHeight="false" outlineLevel="0" collapsed="false">
      <c r="A2917" s="31" t="str">
        <f aca="false">Demand_History!C2917</f>
        <v>BED-009</v>
      </c>
      <c r="B2917" s="31" t="n">
        <f aca="false">Demand_History!A2917</f>
        <v>4</v>
      </c>
      <c r="C2917" s="32" t="n">
        <f aca="false">Demand_History!D2917</f>
        <v>27</v>
      </c>
      <c r="D2917" s="33" t="n">
        <f aca="false">IF(B2917&gt;=2,C2916,"")</f>
        <v>31</v>
      </c>
      <c r="E2917" s="33" t="str">
        <f aca="false">IF(B2917&gt;=5,AVERAGE(C2913:C2916),"")</f>
        <v/>
      </c>
      <c r="F2917" s="33" t="str">
        <f aca="false">IF(B2917&gt;=9,AVERAGE(C2909:C2916),"")</f>
        <v/>
      </c>
      <c r="G2917" s="33" t="n">
        <f aca="false">IF(B2917=1,"",IF(B2917=2,C2916,SES_Alpha*C2916+(1-SES_Alpha)*G2916))</f>
        <v>28.97</v>
      </c>
      <c r="H2917" s="33" t="n">
        <f aca="false">IF(D2917="","",D2917-C2917)</f>
        <v>4</v>
      </c>
      <c r="I2917" s="33" t="str">
        <f aca="false">IF(E2917="","",E2917-C2917)</f>
        <v/>
      </c>
      <c r="J2917" s="33" t="str">
        <f aca="false">IF(F2917="","",F2917-C2917)</f>
        <v/>
      </c>
      <c r="K2917" s="33" t="n">
        <f aca="false">IF(G2917="","",G2917-C2917)</f>
        <v>1.97</v>
      </c>
      <c r="L2917" s="33" t="n">
        <f aca="false">IF(H2917="","",ABS(H2917))</f>
        <v>4</v>
      </c>
      <c r="M2917" s="33" t="str">
        <f aca="false">IF(I2917="","",ABS(I2917))</f>
        <v/>
      </c>
      <c r="N2917" s="33" t="str">
        <f aca="false">IF(J2917="","",ABS(J2917))</f>
        <v/>
      </c>
      <c r="O2917" s="33" t="n">
        <f aca="false">IF(K2917="","",ABS(K2917))</f>
        <v>1.97</v>
      </c>
      <c r="P2917" s="34" t="str">
        <f aca="false">IF(B2917&gt;=Eval_Start_Week,"YES","")</f>
        <v/>
      </c>
      <c r="Q2917" s="34" t="str">
        <f aca="false">IF(AND(B2917&gt;=Cal_Start_Week,B2917&lt;=Cal_End_Week),"YES","")</f>
        <v/>
      </c>
    </row>
    <row r="2918" customFormat="false" ht="15" hidden="false" customHeight="false" outlineLevel="0" collapsed="false">
      <c r="A2918" s="31" t="str">
        <f aca="false">Demand_History!C2918</f>
        <v>BED-009</v>
      </c>
      <c r="B2918" s="31" t="n">
        <f aca="false">Demand_History!A2918</f>
        <v>5</v>
      </c>
      <c r="C2918" s="32" t="n">
        <f aca="false">Demand_History!D2918</f>
        <v>38</v>
      </c>
      <c r="D2918" s="33" t="n">
        <f aca="false">IF(B2918&gt;=2,C2917,"")</f>
        <v>27</v>
      </c>
      <c r="E2918" s="33" t="n">
        <f aca="false">IF(B2918&gt;=5,AVERAGE(C2914:C2917),"")</f>
        <v>29.25</v>
      </c>
      <c r="F2918" s="33" t="str">
        <f aca="false">IF(B2918&gt;=9,AVERAGE(C2910:C2917),"")</f>
        <v/>
      </c>
      <c r="G2918" s="33" t="n">
        <f aca="false">IF(B2918=1,"",IF(B2918=2,C2917,SES_Alpha*C2917+(1-SES_Alpha)*G2917))</f>
        <v>28.379</v>
      </c>
      <c r="H2918" s="33" t="n">
        <f aca="false">IF(D2918="","",D2918-C2918)</f>
        <v>-11</v>
      </c>
      <c r="I2918" s="33" t="n">
        <f aca="false">IF(E2918="","",E2918-C2918)</f>
        <v>-8.75</v>
      </c>
      <c r="J2918" s="33" t="str">
        <f aca="false">IF(F2918="","",F2918-C2918)</f>
        <v/>
      </c>
      <c r="K2918" s="33" t="n">
        <f aca="false">IF(G2918="","",G2918-C2918)</f>
        <v>-9.621</v>
      </c>
      <c r="L2918" s="33" t="n">
        <f aca="false">IF(H2918="","",ABS(H2918))</f>
        <v>11</v>
      </c>
      <c r="M2918" s="33" t="n">
        <f aca="false">IF(I2918="","",ABS(I2918))</f>
        <v>8.75</v>
      </c>
      <c r="N2918" s="33" t="str">
        <f aca="false">IF(J2918="","",ABS(J2918))</f>
        <v/>
      </c>
      <c r="O2918" s="33" t="n">
        <f aca="false">IF(K2918="","",ABS(K2918))</f>
        <v>9.621</v>
      </c>
      <c r="P2918" s="34" t="str">
        <f aca="false">IF(B2918&gt;=Eval_Start_Week,"YES","")</f>
        <v/>
      </c>
      <c r="Q2918" s="34" t="str">
        <f aca="false">IF(AND(B2918&gt;=Cal_Start_Week,B2918&lt;=Cal_End_Week),"YES","")</f>
        <v/>
      </c>
    </row>
    <row r="2919" customFormat="false" ht="15" hidden="false" customHeight="false" outlineLevel="0" collapsed="false">
      <c r="A2919" s="31" t="str">
        <f aca="false">Demand_History!C2919</f>
        <v>BED-009</v>
      </c>
      <c r="B2919" s="31" t="n">
        <f aca="false">Demand_History!A2919</f>
        <v>6</v>
      </c>
      <c r="C2919" s="32" t="n">
        <f aca="false">Demand_History!D2919</f>
        <v>31</v>
      </c>
      <c r="D2919" s="33" t="n">
        <f aca="false">IF(B2919&gt;=2,C2918,"")</f>
        <v>38</v>
      </c>
      <c r="E2919" s="33" t="n">
        <f aca="false">IF(B2919&gt;=5,AVERAGE(C2915:C2918),"")</f>
        <v>32.25</v>
      </c>
      <c r="F2919" s="33" t="str">
        <f aca="false">IF(B2919&gt;=9,AVERAGE(C2911:C2918),"")</f>
        <v/>
      </c>
      <c r="G2919" s="33" t="n">
        <f aca="false">IF(B2919=1,"",IF(B2919=2,C2918,SES_Alpha*C2918+(1-SES_Alpha)*G2918))</f>
        <v>31.2653</v>
      </c>
      <c r="H2919" s="33" t="n">
        <f aca="false">IF(D2919="","",D2919-C2919)</f>
        <v>7</v>
      </c>
      <c r="I2919" s="33" t="n">
        <f aca="false">IF(E2919="","",E2919-C2919)</f>
        <v>1.25</v>
      </c>
      <c r="J2919" s="33" t="str">
        <f aca="false">IF(F2919="","",F2919-C2919)</f>
        <v/>
      </c>
      <c r="K2919" s="33" t="n">
        <f aca="false">IF(G2919="","",G2919-C2919)</f>
        <v>0.265299999999996</v>
      </c>
      <c r="L2919" s="33" t="n">
        <f aca="false">IF(H2919="","",ABS(H2919))</f>
        <v>7</v>
      </c>
      <c r="M2919" s="33" t="n">
        <f aca="false">IF(I2919="","",ABS(I2919))</f>
        <v>1.25</v>
      </c>
      <c r="N2919" s="33" t="str">
        <f aca="false">IF(J2919="","",ABS(J2919))</f>
        <v/>
      </c>
      <c r="O2919" s="33" t="n">
        <f aca="false">IF(K2919="","",ABS(K2919))</f>
        <v>0.265299999999996</v>
      </c>
      <c r="P2919" s="34" t="str">
        <f aca="false">IF(B2919&gt;=Eval_Start_Week,"YES","")</f>
        <v/>
      </c>
      <c r="Q2919" s="34" t="str">
        <f aca="false">IF(AND(B2919&gt;=Cal_Start_Week,B2919&lt;=Cal_End_Week),"YES","")</f>
        <v/>
      </c>
    </row>
    <row r="2920" customFormat="false" ht="15" hidden="false" customHeight="false" outlineLevel="0" collapsed="false">
      <c r="A2920" s="31" t="str">
        <f aca="false">Demand_History!C2920</f>
        <v>BED-009</v>
      </c>
      <c r="B2920" s="31" t="n">
        <f aca="false">Demand_History!A2920</f>
        <v>7</v>
      </c>
      <c r="C2920" s="32" t="n">
        <f aca="false">Demand_History!D2920</f>
        <v>28</v>
      </c>
      <c r="D2920" s="33" t="n">
        <f aca="false">IF(B2920&gt;=2,C2919,"")</f>
        <v>31</v>
      </c>
      <c r="E2920" s="33" t="n">
        <f aca="false">IF(B2920&gt;=5,AVERAGE(C2916:C2919),"")</f>
        <v>31.75</v>
      </c>
      <c r="F2920" s="33" t="str">
        <f aca="false">IF(B2920&gt;=9,AVERAGE(C2912:C2919),"")</f>
        <v/>
      </c>
      <c r="G2920" s="33" t="n">
        <f aca="false">IF(B2920=1,"",IF(B2920=2,C2919,SES_Alpha*C2919+(1-SES_Alpha)*G2919))</f>
        <v>31.18571</v>
      </c>
      <c r="H2920" s="33" t="n">
        <f aca="false">IF(D2920="","",D2920-C2920)</f>
        <v>3</v>
      </c>
      <c r="I2920" s="33" t="n">
        <f aca="false">IF(E2920="","",E2920-C2920)</f>
        <v>3.75</v>
      </c>
      <c r="J2920" s="33" t="str">
        <f aca="false">IF(F2920="","",F2920-C2920)</f>
        <v/>
      </c>
      <c r="K2920" s="33" t="n">
        <f aca="false">IF(G2920="","",G2920-C2920)</f>
        <v>3.18570999999999</v>
      </c>
      <c r="L2920" s="33" t="n">
        <f aca="false">IF(H2920="","",ABS(H2920))</f>
        <v>3</v>
      </c>
      <c r="M2920" s="33" t="n">
        <f aca="false">IF(I2920="","",ABS(I2920))</f>
        <v>3.75</v>
      </c>
      <c r="N2920" s="33" t="str">
        <f aca="false">IF(J2920="","",ABS(J2920))</f>
        <v/>
      </c>
      <c r="O2920" s="33" t="n">
        <f aca="false">IF(K2920="","",ABS(K2920))</f>
        <v>3.18570999999999</v>
      </c>
      <c r="P2920" s="34" t="str">
        <f aca="false">IF(B2920&gt;=Eval_Start_Week,"YES","")</f>
        <v/>
      </c>
      <c r="Q2920" s="34" t="str">
        <f aca="false">IF(AND(B2920&gt;=Cal_Start_Week,B2920&lt;=Cal_End_Week),"YES","")</f>
        <v/>
      </c>
    </row>
    <row r="2921" customFormat="false" ht="15" hidden="false" customHeight="false" outlineLevel="0" collapsed="false">
      <c r="A2921" s="31" t="str">
        <f aca="false">Demand_History!C2921</f>
        <v>BED-009</v>
      </c>
      <c r="B2921" s="31" t="n">
        <f aca="false">Demand_History!A2921</f>
        <v>8</v>
      </c>
      <c r="C2921" s="32" t="n">
        <f aca="false">Demand_History!D2921</f>
        <v>30</v>
      </c>
      <c r="D2921" s="33" t="n">
        <f aca="false">IF(B2921&gt;=2,C2920,"")</f>
        <v>28</v>
      </c>
      <c r="E2921" s="33" t="n">
        <f aca="false">IF(B2921&gt;=5,AVERAGE(C2917:C2920),"")</f>
        <v>31</v>
      </c>
      <c r="F2921" s="33" t="str">
        <f aca="false">IF(B2921&gt;=9,AVERAGE(C2913:C2920),"")</f>
        <v/>
      </c>
      <c r="G2921" s="33" t="n">
        <f aca="false">IF(B2921=1,"",IF(B2921=2,C2920,SES_Alpha*C2920+(1-SES_Alpha)*G2920))</f>
        <v>30.229997</v>
      </c>
      <c r="H2921" s="33" t="n">
        <f aca="false">IF(D2921="","",D2921-C2921)</f>
        <v>-2</v>
      </c>
      <c r="I2921" s="33" t="n">
        <f aca="false">IF(E2921="","",E2921-C2921)</f>
        <v>1</v>
      </c>
      <c r="J2921" s="33" t="str">
        <f aca="false">IF(F2921="","",F2921-C2921)</f>
        <v/>
      </c>
      <c r="K2921" s="33" t="n">
        <f aca="false">IF(G2921="","",G2921-C2921)</f>
        <v>0.229996999999997</v>
      </c>
      <c r="L2921" s="33" t="n">
        <f aca="false">IF(H2921="","",ABS(H2921))</f>
        <v>2</v>
      </c>
      <c r="M2921" s="33" t="n">
        <f aca="false">IF(I2921="","",ABS(I2921))</f>
        <v>1</v>
      </c>
      <c r="N2921" s="33" t="str">
        <f aca="false">IF(J2921="","",ABS(J2921))</f>
        <v/>
      </c>
      <c r="O2921" s="33" t="n">
        <f aca="false">IF(K2921="","",ABS(K2921))</f>
        <v>0.229996999999997</v>
      </c>
      <c r="P2921" s="34" t="str">
        <f aca="false">IF(B2921&gt;=Eval_Start_Week,"YES","")</f>
        <v/>
      </c>
      <c r="Q2921" s="34" t="str">
        <f aca="false">IF(AND(B2921&gt;=Cal_Start_Week,B2921&lt;=Cal_End_Week),"YES","")</f>
        <v/>
      </c>
    </row>
    <row r="2922" customFormat="false" ht="15" hidden="false" customHeight="false" outlineLevel="0" collapsed="false">
      <c r="A2922" s="31" t="str">
        <f aca="false">Demand_History!C2922</f>
        <v>BED-009</v>
      </c>
      <c r="B2922" s="31" t="n">
        <f aca="false">Demand_History!A2922</f>
        <v>9</v>
      </c>
      <c r="C2922" s="32" t="n">
        <f aca="false">Demand_History!D2922</f>
        <v>32</v>
      </c>
      <c r="D2922" s="33" t="n">
        <f aca="false">IF(B2922&gt;=2,C2921,"")</f>
        <v>30</v>
      </c>
      <c r="E2922" s="33" t="n">
        <f aca="false">IF(B2922&gt;=5,AVERAGE(C2918:C2921),"")</f>
        <v>31.75</v>
      </c>
      <c r="F2922" s="33" t="n">
        <f aca="false">IF(B2922&gt;=9,AVERAGE(C2914:C2921),"")</f>
        <v>30.5</v>
      </c>
      <c r="G2922" s="33" t="n">
        <f aca="false">IF(B2922=1,"",IF(B2922=2,C2921,SES_Alpha*C2921+(1-SES_Alpha)*G2921))</f>
        <v>30.1609979</v>
      </c>
      <c r="H2922" s="33" t="n">
        <f aca="false">IF(D2922="","",D2922-C2922)</f>
        <v>-2</v>
      </c>
      <c r="I2922" s="33" t="n">
        <f aca="false">IF(E2922="","",E2922-C2922)</f>
        <v>-0.25</v>
      </c>
      <c r="J2922" s="33" t="n">
        <f aca="false">IF(F2922="","",F2922-C2922)</f>
        <v>-1.5</v>
      </c>
      <c r="K2922" s="33" t="n">
        <f aca="false">IF(G2922="","",G2922-C2922)</f>
        <v>-1.8390021</v>
      </c>
      <c r="L2922" s="33" t="n">
        <f aca="false">IF(H2922="","",ABS(H2922))</f>
        <v>2</v>
      </c>
      <c r="M2922" s="33" t="n">
        <f aca="false">IF(I2922="","",ABS(I2922))</f>
        <v>0.25</v>
      </c>
      <c r="N2922" s="33" t="n">
        <f aca="false">IF(J2922="","",ABS(J2922))</f>
        <v>1.5</v>
      </c>
      <c r="O2922" s="33" t="n">
        <f aca="false">IF(K2922="","",ABS(K2922))</f>
        <v>1.8390021</v>
      </c>
      <c r="P2922" s="34" t="str">
        <f aca="false">IF(B2922&gt;=Eval_Start_Week,"YES","")</f>
        <v/>
      </c>
      <c r="Q2922" s="34" t="str">
        <f aca="false">IF(AND(B2922&gt;=Cal_Start_Week,B2922&lt;=Cal_End_Week),"YES","")</f>
        <v/>
      </c>
    </row>
    <row r="2923" customFormat="false" ht="15" hidden="false" customHeight="false" outlineLevel="0" collapsed="false">
      <c r="A2923" s="31" t="str">
        <f aca="false">Demand_History!C2923</f>
        <v>BED-009</v>
      </c>
      <c r="B2923" s="31" t="n">
        <f aca="false">Demand_History!A2923</f>
        <v>10</v>
      </c>
      <c r="C2923" s="32" t="n">
        <f aca="false">Demand_History!D2923</f>
        <v>33</v>
      </c>
      <c r="D2923" s="33" t="n">
        <f aca="false">IF(B2923&gt;=2,C2922,"")</f>
        <v>32</v>
      </c>
      <c r="E2923" s="33" t="n">
        <f aca="false">IF(B2923&gt;=5,AVERAGE(C2919:C2922),"")</f>
        <v>30.25</v>
      </c>
      <c r="F2923" s="33" t="n">
        <f aca="false">IF(B2923&gt;=9,AVERAGE(C2915:C2922),"")</f>
        <v>31.25</v>
      </c>
      <c r="G2923" s="33" t="n">
        <f aca="false">IF(B2923=1,"",IF(B2923=2,C2922,SES_Alpha*C2922+(1-SES_Alpha)*G2922))</f>
        <v>30.71269853</v>
      </c>
      <c r="H2923" s="33" t="n">
        <f aca="false">IF(D2923="","",D2923-C2923)</f>
        <v>-1</v>
      </c>
      <c r="I2923" s="33" t="n">
        <f aca="false">IF(E2923="","",E2923-C2923)</f>
        <v>-2.75</v>
      </c>
      <c r="J2923" s="33" t="n">
        <f aca="false">IF(F2923="","",F2923-C2923)</f>
        <v>-1.75</v>
      </c>
      <c r="K2923" s="33" t="n">
        <f aca="false">IF(G2923="","",G2923-C2923)</f>
        <v>-2.28730147</v>
      </c>
      <c r="L2923" s="33" t="n">
        <f aca="false">IF(H2923="","",ABS(H2923))</f>
        <v>1</v>
      </c>
      <c r="M2923" s="33" t="n">
        <f aca="false">IF(I2923="","",ABS(I2923))</f>
        <v>2.75</v>
      </c>
      <c r="N2923" s="33" t="n">
        <f aca="false">IF(J2923="","",ABS(J2923))</f>
        <v>1.75</v>
      </c>
      <c r="O2923" s="33" t="n">
        <f aca="false">IF(K2923="","",ABS(K2923))</f>
        <v>2.28730147</v>
      </c>
      <c r="P2923" s="34" t="str">
        <f aca="false">IF(B2923&gt;=Eval_Start_Week,"YES","")</f>
        <v/>
      </c>
      <c r="Q2923" s="34" t="str">
        <f aca="false">IF(AND(B2923&gt;=Cal_Start_Week,B2923&lt;=Cal_End_Week),"YES","")</f>
        <v/>
      </c>
    </row>
    <row r="2924" customFormat="false" ht="15" hidden="false" customHeight="false" outlineLevel="0" collapsed="false">
      <c r="A2924" s="31" t="str">
        <f aca="false">Demand_History!C2924</f>
        <v>BED-009</v>
      </c>
      <c r="B2924" s="31" t="n">
        <f aca="false">Demand_History!A2924</f>
        <v>11</v>
      </c>
      <c r="C2924" s="32" t="n">
        <f aca="false">Demand_History!D2924</f>
        <v>31</v>
      </c>
      <c r="D2924" s="33" t="n">
        <f aca="false">IF(B2924&gt;=2,C2923,"")</f>
        <v>33</v>
      </c>
      <c r="E2924" s="33" t="n">
        <f aca="false">IF(B2924&gt;=5,AVERAGE(C2920:C2923),"")</f>
        <v>30.75</v>
      </c>
      <c r="F2924" s="33" t="n">
        <f aca="false">IF(B2924&gt;=9,AVERAGE(C2916:C2923),"")</f>
        <v>31.25</v>
      </c>
      <c r="G2924" s="33" t="n">
        <f aca="false">IF(B2924=1,"",IF(B2924=2,C2923,SES_Alpha*C2923+(1-SES_Alpha)*G2923))</f>
        <v>31.398888971</v>
      </c>
      <c r="H2924" s="33" t="n">
        <f aca="false">IF(D2924="","",D2924-C2924)</f>
        <v>2</v>
      </c>
      <c r="I2924" s="33" t="n">
        <f aca="false">IF(E2924="","",E2924-C2924)</f>
        <v>-0.25</v>
      </c>
      <c r="J2924" s="33" t="n">
        <f aca="false">IF(F2924="","",F2924-C2924)</f>
        <v>0.25</v>
      </c>
      <c r="K2924" s="33" t="n">
        <f aca="false">IF(G2924="","",G2924-C2924)</f>
        <v>0.398888970999998</v>
      </c>
      <c r="L2924" s="33" t="n">
        <f aca="false">IF(H2924="","",ABS(H2924))</f>
        <v>2</v>
      </c>
      <c r="M2924" s="33" t="n">
        <f aca="false">IF(I2924="","",ABS(I2924))</f>
        <v>0.25</v>
      </c>
      <c r="N2924" s="33" t="n">
        <f aca="false">IF(J2924="","",ABS(J2924))</f>
        <v>0.25</v>
      </c>
      <c r="O2924" s="33" t="n">
        <f aca="false">IF(K2924="","",ABS(K2924))</f>
        <v>0.398888970999998</v>
      </c>
      <c r="P2924" s="34" t="str">
        <f aca="false">IF(B2924&gt;=Eval_Start_Week,"YES","")</f>
        <v/>
      </c>
      <c r="Q2924" s="34" t="str">
        <f aca="false">IF(AND(B2924&gt;=Cal_Start_Week,B2924&lt;=Cal_End_Week),"YES","")</f>
        <v/>
      </c>
    </row>
    <row r="2925" customFormat="false" ht="15" hidden="false" customHeight="false" outlineLevel="0" collapsed="false">
      <c r="A2925" s="31" t="str">
        <f aca="false">Demand_History!C2925</f>
        <v>BED-009</v>
      </c>
      <c r="B2925" s="31" t="n">
        <f aca="false">Demand_History!A2925</f>
        <v>12</v>
      </c>
      <c r="C2925" s="32" t="n">
        <f aca="false">Demand_History!D2925</f>
        <v>33</v>
      </c>
      <c r="D2925" s="33" t="n">
        <f aca="false">IF(B2925&gt;=2,C2924,"")</f>
        <v>31</v>
      </c>
      <c r="E2925" s="33" t="n">
        <f aca="false">IF(B2925&gt;=5,AVERAGE(C2921:C2924),"")</f>
        <v>31.5</v>
      </c>
      <c r="F2925" s="33" t="n">
        <f aca="false">IF(B2925&gt;=9,AVERAGE(C2917:C2924),"")</f>
        <v>31.25</v>
      </c>
      <c r="G2925" s="33" t="n">
        <f aca="false">IF(B2925=1,"",IF(B2925=2,C2924,SES_Alpha*C2924+(1-SES_Alpha)*G2924))</f>
        <v>31.2792222797</v>
      </c>
      <c r="H2925" s="33" t="n">
        <f aca="false">IF(D2925="","",D2925-C2925)</f>
        <v>-2</v>
      </c>
      <c r="I2925" s="33" t="n">
        <f aca="false">IF(E2925="","",E2925-C2925)</f>
        <v>-1.5</v>
      </c>
      <c r="J2925" s="33" t="n">
        <f aca="false">IF(F2925="","",F2925-C2925)</f>
        <v>-1.75</v>
      </c>
      <c r="K2925" s="33" t="n">
        <f aca="false">IF(G2925="","",G2925-C2925)</f>
        <v>-1.72077772030001</v>
      </c>
      <c r="L2925" s="33" t="n">
        <f aca="false">IF(H2925="","",ABS(H2925))</f>
        <v>2</v>
      </c>
      <c r="M2925" s="33" t="n">
        <f aca="false">IF(I2925="","",ABS(I2925))</f>
        <v>1.5</v>
      </c>
      <c r="N2925" s="33" t="n">
        <f aca="false">IF(J2925="","",ABS(J2925))</f>
        <v>1.75</v>
      </c>
      <c r="O2925" s="33" t="n">
        <f aca="false">IF(K2925="","",ABS(K2925))</f>
        <v>1.72077772030001</v>
      </c>
      <c r="P2925" s="34" t="str">
        <f aca="false">IF(B2925&gt;=Eval_Start_Week,"YES","")</f>
        <v/>
      </c>
      <c r="Q2925" s="34" t="str">
        <f aca="false">IF(AND(B2925&gt;=Cal_Start_Week,B2925&lt;=Cal_End_Week),"YES","")</f>
        <v/>
      </c>
    </row>
    <row r="2926" customFormat="false" ht="15" hidden="false" customHeight="false" outlineLevel="0" collapsed="false">
      <c r="A2926" s="31" t="str">
        <f aca="false">Demand_History!C2926</f>
        <v>BED-009</v>
      </c>
      <c r="B2926" s="31" t="n">
        <f aca="false">Demand_History!A2926</f>
        <v>13</v>
      </c>
      <c r="C2926" s="32" t="n">
        <f aca="false">Demand_History!D2926</f>
        <v>34</v>
      </c>
      <c r="D2926" s="33" t="n">
        <f aca="false">IF(B2926&gt;=2,C2925,"")</f>
        <v>33</v>
      </c>
      <c r="E2926" s="33" t="n">
        <f aca="false">IF(B2926&gt;=5,AVERAGE(C2922:C2925),"")</f>
        <v>32.25</v>
      </c>
      <c r="F2926" s="33" t="n">
        <f aca="false">IF(B2926&gt;=9,AVERAGE(C2918:C2925),"")</f>
        <v>32</v>
      </c>
      <c r="G2926" s="33" t="n">
        <f aca="false">IF(B2926=1,"",IF(B2926=2,C2925,SES_Alpha*C2925+(1-SES_Alpha)*G2925))</f>
        <v>31.79545559579</v>
      </c>
      <c r="H2926" s="33" t="n">
        <f aca="false">IF(D2926="","",D2926-C2926)</f>
        <v>-1</v>
      </c>
      <c r="I2926" s="33" t="n">
        <f aca="false">IF(E2926="","",E2926-C2926)</f>
        <v>-1.75</v>
      </c>
      <c r="J2926" s="33" t="n">
        <f aca="false">IF(F2926="","",F2926-C2926)</f>
        <v>-2</v>
      </c>
      <c r="K2926" s="33" t="n">
        <f aca="false">IF(G2926="","",G2926-C2926)</f>
        <v>-2.20454440421</v>
      </c>
      <c r="L2926" s="33" t="n">
        <f aca="false">IF(H2926="","",ABS(H2926))</f>
        <v>1</v>
      </c>
      <c r="M2926" s="33" t="n">
        <f aca="false">IF(I2926="","",ABS(I2926))</f>
        <v>1.75</v>
      </c>
      <c r="N2926" s="33" t="n">
        <f aca="false">IF(J2926="","",ABS(J2926))</f>
        <v>2</v>
      </c>
      <c r="O2926" s="33" t="n">
        <f aca="false">IF(K2926="","",ABS(K2926))</f>
        <v>2.20454440421</v>
      </c>
      <c r="P2926" s="34" t="str">
        <f aca="false">IF(B2926&gt;=Eval_Start_Week,"YES","")</f>
        <v/>
      </c>
      <c r="Q2926" s="34" t="str">
        <f aca="false">IF(AND(B2926&gt;=Cal_Start_Week,B2926&lt;=Cal_End_Week),"YES","")</f>
        <v/>
      </c>
    </row>
    <row r="2927" customFormat="false" ht="15" hidden="false" customHeight="false" outlineLevel="0" collapsed="false">
      <c r="A2927" s="31" t="str">
        <f aca="false">Demand_History!C2927</f>
        <v>BED-009</v>
      </c>
      <c r="B2927" s="31" t="n">
        <f aca="false">Demand_History!A2927</f>
        <v>14</v>
      </c>
      <c r="C2927" s="32" t="n">
        <f aca="false">Demand_History!D2927</f>
        <v>23</v>
      </c>
      <c r="D2927" s="33" t="n">
        <f aca="false">IF(B2927&gt;=2,C2926,"")</f>
        <v>34</v>
      </c>
      <c r="E2927" s="33" t="n">
        <f aca="false">IF(B2927&gt;=5,AVERAGE(C2923:C2926),"")</f>
        <v>32.75</v>
      </c>
      <c r="F2927" s="33" t="n">
        <f aca="false">IF(B2927&gt;=9,AVERAGE(C2919:C2926),"")</f>
        <v>31.5</v>
      </c>
      <c r="G2927" s="33" t="n">
        <f aca="false">IF(B2927=1,"",IF(B2927=2,C2926,SES_Alpha*C2926+(1-SES_Alpha)*G2926))</f>
        <v>32.456818917053</v>
      </c>
      <c r="H2927" s="33" t="n">
        <f aca="false">IF(D2927="","",D2927-C2927)</f>
        <v>11</v>
      </c>
      <c r="I2927" s="33" t="n">
        <f aca="false">IF(E2927="","",E2927-C2927)</f>
        <v>9.75</v>
      </c>
      <c r="J2927" s="33" t="n">
        <f aca="false">IF(F2927="","",F2927-C2927)</f>
        <v>8.5</v>
      </c>
      <c r="K2927" s="33" t="n">
        <f aca="false">IF(G2927="","",G2927-C2927)</f>
        <v>9.456818917053</v>
      </c>
      <c r="L2927" s="33" t="n">
        <f aca="false">IF(H2927="","",ABS(H2927))</f>
        <v>11</v>
      </c>
      <c r="M2927" s="33" t="n">
        <f aca="false">IF(I2927="","",ABS(I2927))</f>
        <v>9.75</v>
      </c>
      <c r="N2927" s="33" t="n">
        <f aca="false">IF(J2927="","",ABS(J2927))</f>
        <v>8.5</v>
      </c>
      <c r="O2927" s="33" t="n">
        <f aca="false">IF(K2927="","",ABS(K2927))</f>
        <v>9.456818917053</v>
      </c>
      <c r="P2927" s="34" t="str">
        <f aca="false">IF(B2927&gt;=Eval_Start_Week,"YES","")</f>
        <v/>
      </c>
      <c r="Q2927" s="34" t="str">
        <f aca="false">IF(AND(B2927&gt;=Cal_Start_Week,B2927&lt;=Cal_End_Week),"YES","")</f>
        <v/>
      </c>
    </row>
    <row r="2928" customFormat="false" ht="15" hidden="false" customHeight="false" outlineLevel="0" collapsed="false">
      <c r="A2928" s="31" t="str">
        <f aca="false">Demand_History!C2928</f>
        <v>BED-009</v>
      </c>
      <c r="B2928" s="31" t="n">
        <f aca="false">Demand_History!A2928</f>
        <v>15</v>
      </c>
      <c r="C2928" s="32" t="n">
        <f aca="false">Demand_History!D2928</f>
        <v>26</v>
      </c>
      <c r="D2928" s="33" t="n">
        <f aca="false">IF(B2928&gt;=2,C2927,"")</f>
        <v>23</v>
      </c>
      <c r="E2928" s="33" t="n">
        <f aca="false">IF(B2928&gt;=5,AVERAGE(C2924:C2927),"")</f>
        <v>30.25</v>
      </c>
      <c r="F2928" s="33" t="n">
        <f aca="false">IF(B2928&gt;=9,AVERAGE(C2920:C2927),"")</f>
        <v>30.5</v>
      </c>
      <c r="G2928" s="33" t="n">
        <f aca="false">IF(B2928=1,"",IF(B2928=2,C2927,SES_Alpha*C2927+(1-SES_Alpha)*G2927))</f>
        <v>29.6197732419371</v>
      </c>
      <c r="H2928" s="33" t="n">
        <f aca="false">IF(D2928="","",D2928-C2928)</f>
        <v>-3</v>
      </c>
      <c r="I2928" s="33" t="n">
        <f aca="false">IF(E2928="","",E2928-C2928)</f>
        <v>4.25</v>
      </c>
      <c r="J2928" s="33" t="n">
        <f aca="false">IF(F2928="","",F2928-C2928)</f>
        <v>4.5</v>
      </c>
      <c r="K2928" s="33" t="n">
        <f aca="false">IF(G2928="","",G2928-C2928)</f>
        <v>3.6197732419371</v>
      </c>
      <c r="L2928" s="33" t="n">
        <f aca="false">IF(H2928="","",ABS(H2928))</f>
        <v>3</v>
      </c>
      <c r="M2928" s="33" t="n">
        <f aca="false">IF(I2928="","",ABS(I2928))</f>
        <v>4.25</v>
      </c>
      <c r="N2928" s="33" t="n">
        <f aca="false">IF(J2928="","",ABS(J2928))</f>
        <v>4.5</v>
      </c>
      <c r="O2928" s="33" t="n">
        <f aca="false">IF(K2928="","",ABS(K2928))</f>
        <v>3.6197732419371</v>
      </c>
      <c r="P2928" s="34" t="str">
        <f aca="false">IF(B2928&gt;=Eval_Start_Week,"YES","")</f>
        <v/>
      </c>
      <c r="Q2928" s="34" t="str">
        <f aca="false">IF(AND(B2928&gt;=Cal_Start_Week,B2928&lt;=Cal_End_Week),"YES","")</f>
        <v/>
      </c>
    </row>
    <row r="2929" customFormat="false" ht="15" hidden="false" customHeight="false" outlineLevel="0" collapsed="false">
      <c r="A2929" s="31" t="str">
        <f aca="false">Demand_History!C2929</f>
        <v>BED-009</v>
      </c>
      <c r="B2929" s="31" t="n">
        <f aca="false">Demand_History!A2929</f>
        <v>16</v>
      </c>
      <c r="C2929" s="32" t="n">
        <f aca="false">Demand_History!D2929</f>
        <v>24</v>
      </c>
      <c r="D2929" s="33" t="n">
        <f aca="false">IF(B2929&gt;=2,C2928,"")</f>
        <v>26</v>
      </c>
      <c r="E2929" s="33" t="n">
        <f aca="false">IF(B2929&gt;=5,AVERAGE(C2925:C2928),"")</f>
        <v>29</v>
      </c>
      <c r="F2929" s="33" t="n">
        <f aca="false">IF(B2929&gt;=9,AVERAGE(C2921:C2928),"")</f>
        <v>30.25</v>
      </c>
      <c r="G2929" s="33" t="n">
        <f aca="false">IF(B2929=1,"",IF(B2929=2,C2928,SES_Alpha*C2928+(1-SES_Alpha)*G2928))</f>
        <v>28.533841269356</v>
      </c>
      <c r="H2929" s="33" t="n">
        <f aca="false">IF(D2929="","",D2929-C2929)</f>
        <v>2</v>
      </c>
      <c r="I2929" s="33" t="n">
        <f aca="false">IF(E2929="","",E2929-C2929)</f>
        <v>5</v>
      </c>
      <c r="J2929" s="33" t="n">
        <f aca="false">IF(F2929="","",F2929-C2929)</f>
        <v>6.25</v>
      </c>
      <c r="K2929" s="33" t="n">
        <f aca="false">IF(G2929="","",G2929-C2929)</f>
        <v>4.53384126935597</v>
      </c>
      <c r="L2929" s="33" t="n">
        <f aca="false">IF(H2929="","",ABS(H2929))</f>
        <v>2</v>
      </c>
      <c r="M2929" s="33" t="n">
        <f aca="false">IF(I2929="","",ABS(I2929))</f>
        <v>5</v>
      </c>
      <c r="N2929" s="33" t="n">
        <f aca="false">IF(J2929="","",ABS(J2929))</f>
        <v>6.25</v>
      </c>
      <c r="O2929" s="33" t="n">
        <f aca="false">IF(K2929="","",ABS(K2929))</f>
        <v>4.53384126935597</v>
      </c>
      <c r="P2929" s="34" t="str">
        <f aca="false">IF(B2929&gt;=Eval_Start_Week,"YES","")</f>
        <v/>
      </c>
      <c r="Q2929" s="34" t="str">
        <f aca="false">IF(AND(B2929&gt;=Cal_Start_Week,B2929&lt;=Cal_End_Week),"YES","")</f>
        <v/>
      </c>
    </row>
    <row r="2930" customFormat="false" ht="15" hidden="false" customHeight="false" outlineLevel="0" collapsed="false">
      <c r="A2930" s="31" t="str">
        <f aca="false">Demand_History!C2930</f>
        <v>BED-009</v>
      </c>
      <c r="B2930" s="31" t="n">
        <f aca="false">Demand_History!A2930</f>
        <v>17</v>
      </c>
      <c r="C2930" s="32" t="n">
        <f aca="false">Demand_History!D2930</f>
        <v>28</v>
      </c>
      <c r="D2930" s="33" t="n">
        <f aca="false">IF(B2930&gt;=2,C2929,"")</f>
        <v>24</v>
      </c>
      <c r="E2930" s="33" t="n">
        <f aca="false">IF(B2930&gt;=5,AVERAGE(C2926:C2929),"")</f>
        <v>26.75</v>
      </c>
      <c r="F2930" s="33" t="n">
        <f aca="false">IF(B2930&gt;=9,AVERAGE(C2922:C2929),"")</f>
        <v>29.5</v>
      </c>
      <c r="G2930" s="33" t="n">
        <f aca="false">IF(B2930=1,"",IF(B2930=2,C2929,SES_Alpha*C2929+(1-SES_Alpha)*G2929))</f>
        <v>27.1736888885492</v>
      </c>
      <c r="H2930" s="33" t="n">
        <f aca="false">IF(D2930="","",D2930-C2930)</f>
        <v>-4</v>
      </c>
      <c r="I2930" s="33" t="n">
        <f aca="false">IF(E2930="","",E2930-C2930)</f>
        <v>-1.25</v>
      </c>
      <c r="J2930" s="33" t="n">
        <f aca="false">IF(F2930="","",F2930-C2930)</f>
        <v>1.5</v>
      </c>
      <c r="K2930" s="33" t="n">
        <f aca="false">IF(G2930="","",G2930-C2930)</f>
        <v>-0.826311111450824</v>
      </c>
      <c r="L2930" s="33" t="n">
        <f aca="false">IF(H2930="","",ABS(H2930))</f>
        <v>4</v>
      </c>
      <c r="M2930" s="33" t="n">
        <f aca="false">IF(I2930="","",ABS(I2930))</f>
        <v>1.25</v>
      </c>
      <c r="N2930" s="33" t="n">
        <f aca="false">IF(J2930="","",ABS(J2930))</f>
        <v>1.5</v>
      </c>
      <c r="O2930" s="33" t="n">
        <f aca="false">IF(K2930="","",ABS(K2930))</f>
        <v>0.826311111450824</v>
      </c>
      <c r="P2930" s="34" t="str">
        <f aca="false">IF(B2930&gt;=Eval_Start_Week,"YES","")</f>
        <v/>
      </c>
      <c r="Q2930" s="34" t="str">
        <f aca="false">IF(AND(B2930&gt;=Cal_Start_Week,B2930&lt;=Cal_End_Week),"YES","")</f>
        <v/>
      </c>
    </row>
    <row r="2931" customFormat="false" ht="15" hidden="false" customHeight="false" outlineLevel="0" collapsed="false">
      <c r="A2931" s="31" t="str">
        <f aca="false">Demand_History!C2931</f>
        <v>BED-009</v>
      </c>
      <c r="B2931" s="31" t="n">
        <f aca="false">Demand_History!A2931</f>
        <v>18</v>
      </c>
      <c r="C2931" s="32" t="n">
        <f aca="false">Demand_History!D2931</f>
        <v>33</v>
      </c>
      <c r="D2931" s="33" t="n">
        <f aca="false">IF(B2931&gt;=2,C2930,"")</f>
        <v>28</v>
      </c>
      <c r="E2931" s="33" t="n">
        <f aca="false">IF(B2931&gt;=5,AVERAGE(C2927:C2930),"")</f>
        <v>25.25</v>
      </c>
      <c r="F2931" s="33" t="n">
        <f aca="false">IF(B2931&gt;=9,AVERAGE(C2923:C2930),"")</f>
        <v>29</v>
      </c>
      <c r="G2931" s="33" t="n">
        <f aca="false">IF(B2931=1,"",IF(B2931=2,C2930,SES_Alpha*C2930+(1-SES_Alpha)*G2930))</f>
        <v>27.4215822219844</v>
      </c>
      <c r="H2931" s="33" t="n">
        <f aca="false">IF(D2931="","",D2931-C2931)</f>
        <v>-5</v>
      </c>
      <c r="I2931" s="33" t="n">
        <f aca="false">IF(E2931="","",E2931-C2931)</f>
        <v>-7.75</v>
      </c>
      <c r="J2931" s="33" t="n">
        <f aca="false">IF(F2931="","",F2931-C2931)</f>
        <v>-4</v>
      </c>
      <c r="K2931" s="33" t="n">
        <f aca="false">IF(G2931="","",G2931-C2931)</f>
        <v>-5.57841777801558</v>
      </c>
      <c r="L2931" s="33" t="n">
        <f aca="false">IF(H2931="","",ABS(H2931))</f>
        <v>5</v>
      </c>
      <c r="M2931" s="33" t="n">
        <f aca="false">IF(I2931="","",ABS(I2931))</f>
        <v>7.75</v>
      </c>
      <c r="N2931" s="33" t="n">
        <f aca="false">IF(J2931="","",ABS(J2931))</f>
        <v>4</v>
      </c>
      <c r="O2931" s="33" t="n">
        <f aca="false">IF(K2931="","",ABS(K2931))</f>
        <v>5.57841777801558</v>
      </c>
      <c r="P2931" s="34" t="str">
        <f aca="false">IF(B2931&gt;=Eval_Start_Week,"YES","")</f>
        <v/>
      </c>
      <c r="Q2931" s="34" t="str">
        <f aca="false">IF(AND(B2931&gt;=Cal_Start_Week,B2931&lt;=Cal_End_Week),"YES","")</f>
        <v/>
      </c>
    </row>
    <row r="2932" customFormat="false" ht="15" hidden="false" customHeight="false" outlineLevel="0" collapsed="false">
      <c r="A2932" s="31" t="str">
        <f aca="false">Demand_History!C2932</f>
        <v>BED-009</v>
      </c>
      <c r="B2932" s="31" t="n">
        <f aca="false">Demand_History!A2932</f>
        <v>19</v>
      </c>
      <c r="C2932" s="32" t="n">
        <f aca="false">Demand_History!D2932</f>
        <v>30</v>
      </c>
      <c r="D2932" s="33" t="n">
        <f aca="false">IF(B2932&gt;=2,C2931,"")</f>
        <v>33</v>
      </c>
      <c r="E2932" s="33" t="n">
        <f aca="false">IF(B2932&gt;=5,AVERAGE(C2928:C2931),"")</f>
        <v>27.75</v>
      </c>
      <c r="F2932" s="33" t="n">
        <f aca="false">IF(B2932&gt;=9,AVERAGE(C2924:C2931),"")</f>
        <v>29</v>
      </c>
      <c r="G2932" s="33" t="n">
        <f aca="false">IF(B2932=1,"",IF(B2932=2,C2931,SES_Alpha*C2931+(1-SES_Alpha)*G2931))</f>
        <v>29.0951075553891</v>
      </c>
      <c r="H2932" s="33" t="n">
        <f aca="false">IF(D2932="","",D2932-C2932)</f>
        <v>3</v>
      </c>
      <c r="I2932" s="33" t="n">
        <f aca="false">IF(E2932="","",E2932-C2932)</f>
        <v>-2.25</v>
      </c>
      <c r="J2932" s="33" t="n">
        <f aca="false">IF(F2932="","",F2932-C2932)</f>
        <v>-1</v>
      </c>
      <c r="K2932" s="33" t="n">
        <f aca="false">IF(G2932="","",G2932-C2932)</f>
        <v>-0.904892444610908</v>
      </c>
      <c r="L2932" s="33" t="n">
        <f aca="false">IF(H2932="","",ABS(H2932))</f>
        <v>3</v>
      </c>
      <c r="M2932" s="33" t="n">
        <f aca="false">IF(I2932="","",ABS(I2932))</f>
        <v>2.25</v>
      </c>
      <c r="N2932" s="33" t="n">
        <f aca="false">IF(J2932="","",ABS(J2932))</f>
        <v>1</v>
      </c>
      <c r="O2932" s="33" t="n">
        <f aca="false">IF(K2932="","",ABS(K2932))</f>
        <v>0.904892444610908</v>
      </c>
      <c r="P2932" s="34" t="str">
        <f aca="false">IF(B2932&gt;=Eval_Start_Week,"YES","")</f>
        <v/>
      </c>
      <c r="Q2932" s="34" t="str">
        <f aca="false">IF(AND(B2932&gt;=Cal_Start_Week,B2932&lt;=Cal_End_Week),"YES","")</f>
        <v/>
      </c>
    </row>
    <row r="2933" customFormat="false" ht="15" hidden="false" customHeight="false" outlineLevel="0" collapsed="false">
      <c r="A2933" s="31" t="str">
        <f aca="false">Demand_History!C2933</f>
        <v>BED-009</v>
      </c>
      <c r="B2933" s="31" t="n">
        <f aca="false">Demand_History!A2933</f>
        <v>20</v>
      </c>
      <c r="C2933" s="32" t="n">
        <f aca="false">Demand_History!D2933</f>
        <v>23</v>
      </c>
      <c r="D2933" s="33" t="n">
        <f aca="false">IF(B2933&gt;=2,C2932,"")</f>
        <v>30</v>
      </c>
      <c r="E2933" s="33" t="n">
        <f aca="false">IF(B2933&gt;=5,AVERAGE(C2929:C2932),"")</f>
        <v>28.75</v>
      </c>
      <c r="F2933" s="33" t="n">
        <f aca="false">IF(B2933&gt;=9,AVERAGE(C2925:C2932),"")</f>
        <v>28.875</v>
      </c>
      <c r="G2933" s="33" t="n">
        <f aca="false">IF(B2933=1,"",IF(B2933=2,C2932,SES_Alpha*C2932+(1-SES_Alpha)*G2932))</f>
        <v>29.3665752887724</v>
      </c>
      <c r="H2933" s="33" t="n">
        <f aca="false">IF(D2933="","",D2933-C2933)</f>
        <v>7</v>
      </c>
      <c r="I2933" s="33" t="n">
        <f aca="false">IF(E2933="","",E2933-C2933)</f>
        <v>5.75</v>
      </c>
      <c r="J2933" s="33" t="n">
        <f aca="false">IF(F2933="","",F2933-C2933)</f>
        <v>5.875</v>
      </c>
      <c r="K2933" s="33" t="n">
        <f aca="false">IF(G2933="","",G2933-C2933)</f>
        <v>6.36657528877236</v>
      </c>
      <c r="L2933" s="33" t="n">
        <f aca="false">IF(H2933="","",ABS(H2933))</f>
        <v>7</v>
      </c>
      <c r="M2933" s="33" t="n">
        <f aca="false">IF(I2933="","",ABS(I2933))</f>
        <v>5.75</v>
      </c>
      <c r="N2933" s="33" t="n">
        <f aca="false">IF(J2933="","",ABS(J2933))</f>
        <v>5.875</v>
      </c>
      <c r="O2933" s="33" t="n">
        <f aca="false">IF(K2933="","",ABS(K2933))</f>
        <v>6.36657528877236</v>
      </c>
      <c r="P2933" s="34" t="str">
        <f aca="false">IF(B2933&gt;=Eval_Start_Week,"YES","")</f>
        <v/>
      </c>
      <c r="Q2933" s="34" t="str">
        <f aca="false">IF(AND(B2933&gt;=Cal_Start_Week,B2933&lt;=Cal_End_Week),"YES","")</f>
        <v/>
      </c>
    </row>
    <row r="2934" customFormat="false" ht="15" hidden="false" customHeight="false" outlineLevel="0" collapsed="false">
      <c r="A2934" s="31" t="str">
        <f aca="false">Demand_History!C2934</f>
        <v>BED-009</v>
      </c>
      <c r="B2934" s="31" t="n">
        <f aca="false">Demand_History!A2934</f>
        <v>21</v>
      </c>
      <c r="C2934" s="32" t="n">
        <f aca="false">Demand_History!D2934</f>
        <v>26</v>
      </c>
      <c r="D2934" s="33" t="n">
        <f aca="false">IF(B2934&gt;=2,C2933,"")</f>
        <v>23</v>
      </c>
      <c r="E2934" s="33" t="n">
        <f aca="false">IF(B2934&gt;=5,AVERAGE(C2930:C2933),"")</f>
        <v>28.5</v>
      </c>
      <c r="F2934" s="33" t="n">
        <f aca="false">IF(B2934&gt;=9,AVERAGE(C2926:C2933),"")</f>
        <v>27.625</v>
      </c>
      <c r="G2934" s="33" t="n">
        <f aca="false">IF(B2934=1,"",IF(B2934=2,C2933,SES_Alpha*C2933+(1-SES_Alpha)*G2933))</f>
        <v>27.4566027021407</v>
      </c>
      <c r="H2934" s="33" t="n">
        <f aca="false">IF(D2934="","",D2934-C2934)</f>
        <v>-3</v>
      </c>
      <c r="I2934" s="33" t="n">
        <f aca="false">IF(E2934="","",E2934-C2934)</f>
        <v>2.5</v>
      </c>
      <c r="J2934" s="33" t="n">
        <f aca="false">IF(F2934="","",F2934-C2934)</f>
        <v>1.625</v>
      </c>
      <c r="K2934" s="33" t="n">
        <f aca="false">IF(G2934="","",G2934-C2934)</f>
        <v>1.45660270214065</v>
      </c>
      <c r="L2934" s="33" t="n">
        <f aca="false">IF(H2934="","",ABS(H2934))</f>
        <v>3</v>
      </c>
      <c r="M2934" s="33" t="n">
        <f aca="false">IF(I2934="","",ABS(I2934))</f>
        <v>2.5</v>
      </c>
      <c r="N2934" s="33" t="n">
        <f aca="false">IF(J2934="","",ABS(J2934))</f>
        <v>1.625</v>
      </c>
      <c r="O2934" s="33" t="n">
        <f aca="false">IF(K2934="","",ABS(K2934))</f>
        <v>1.45660270214065</v>
      </c>
      <c r="P2934" s="34" t="str">
        <f aca="false">IF(B2934&gt;=Eval_Start_Week,"YES","")</f>
        <v/>
      </c>
      <c r="Q2934" s="34" t="str">
        <f aca="false">IF(AND(B2934&gt;=Cal_Start_Week,B2934&lt;=Cal_End_Week),"YES","")</f>
        <v/>
      </c>
    </row>
    <row r="2935" customFormat="false" ht="15" hidden="false" customHeight="false" outlineLevel="0" collapsed="false">
      <c r="A2935" s="31" t="str">
        <f aca="false">Demand_History!C2935</f>
        <v>BED-009</v>
      </c>
      <c r="B2935" s="31" t="n">
        <f aca="false">Demand_History!A2935</f>
        <v>22</v>
      </c>
      <c r="C2935" s="32" t="n">
        <f aca="false">Demand_History!D2935</f>
        <v>30</v>
      </c>
      <c r="D2935" s="33" t="n">
        <f aca="false">IF(B2935&gt;=2,C2934,"")</f>
        <v>26</v>
      </c>
      <c r="E2935" s="33" t="n">
        <f aca="false">IF(B2935&gt;=5,AVERAGE(C2931:C2934),"")</f>
        <v>28</v>
      </c>
      <c r="F2935" s="33" t="n">
        <f aca="false">IF(B2935&gt;=9,AVERAGE(C2927:C2934),"")</f>
        <v>26.625</v>
      </c>
      <c r="G2935" s="33" t="n">
        <f aca="false">IF(B2935=1,"",IF(B2935=2,C2934,SES_Alpha*C2934+(1-SES_Alpha)*G2934))</f>
        <v>27.0196218914985</v>
      </c>
      <c r="H2935" s="33" t="n">
        <f aca="false">IF(D2935="","",D2935-C2935)</f>
        <v>-4</v>
      </c>
      <c r="I2935" s="33" t="n">
        <f aca="false">IF(E2935="","",E2935-C2935)</f>
        <v>-2</v>
      </c>
      <c r="J2935" s="33" t="n">
        <f aca="false">IF(F2935="","",F2935-C2935)</f>
        <v>-3.375</v>
      </c>
      <c r="K2935" s="33" t="n">
        <f aca="false">IF(G2935="","",G2935-C2935)</f>
        <v>-2.98037810850154</v>
      </c>
      <c r="L2935" s="33" t="n">
        <f aca="false">IF(H2935="","",ABS(H2935))</f>
        <v>4</v>
      </c>
      <c r="M2935" s="33" t="n">
        <f aca="false">IF(I2935="","",ABS(I2935))</f>
        <v>2</v>
      </c>
      <c r="N2935" s="33" t="n">
        <f aca="false">IF(J2935="","",ABS(J2935))</f>
        <v>3.375</v>
      </c>
      <c r="O2935" s="33" t="n">
        <f aca="false">IF(K2935="","",ABS(K2935))</f>
        <v>2.98037810850154</v>
      </c>
      <c r="P2935" s="34" t="str">
        <f aca="false">IF(B2935&gt;=Eval_Start_Week,"YES","")</f>
        <v/>
      </c>
      <c r="Q2935" s="34" t="str">
        <f aca="false">IF(AND(B2935&gt;=Cal_Start_Week,B2935&lt;=Cal_End_Week),"YES","")</f>
        <v/>
      </c>
    </row>
    <row r="2936" customFormat="false" ht="15" hidden="false" customHeight="false" outlineLevel="0" collapsed="false">
      <c r="A2936" s="31" t="str">
        <f aca="false">Demand_History!C2936</f>
        <v>BED-009</v>
      </c>
      <c r="B2936" s="31" t="n">
        <f aca="false">Demand_History!A2936</f>
        <v>23</v>
      </c>
      <c r="C2936" s="32" t="n">
        <f aca="false">Demand_History!D2936</f>
        <v>25</v>
      </c>
      <c r="D2936" s="33" t="n">
        <f aca="false">IF(B2936&gt;=2,C2935,"")</f>
        <v>30</v>
      </c>
      <c r="E2936" s="33" t="n">
        <f aca="false">IF(B2936&gt;=5,AVERAGE(C2932:C2935),"")</f>
        <v>27.25</v>
      </c>
      <c r="F2936" s="33" t="n">
        <f aca="false">IF(B2936&gt;=9,AVERAGE(C2928:C2935),"")</f>
        <v>27.5</v>
      </c>
      <c r="G2936" s="33" t="n">
        <f aca="false">IF(B2936=1,"",IF(B2936=2,C2935,SES_Alpha*C2935+(1-SES_Alpha)*G2935))</f>
        <v>27.9137353240489</v>
      </c>
      <c r="H2936" s="33" t="n">
        <f aca="false">IF(D2936="","",D2936-C2936)</f>
        <v>5</v>
      </c>
      <c r="I2936" s="33" t="n">
        <f aca="false">IF(E2936="","",E2936-C2936)</f>
        <v>2.25</v>
      </c>
      <c r="J2936" s="33" t="n">
        <f aca="false">IF(F2936="","",F2936-C2936)</f>
        <v>2.5</v>
      </c>
      <c r="K2936" s="33" t="n">
        <f aca="false">IF(G2936="","",G2936-C2936)</f>
        <v>2.91373532404892</v>
      </c>
      <c r="L2936" s="33" t="n">
        <f aca="false">IF(H2936="","",ABS(H2936))</f>
        <v>5</v>
      </c>
      <c r="M2936" s="33" t="n">
        <f aca="false">IF(I2936="","",ABS(I2936))</f>
        <v>2.25</v>
      </c>
      <c r="N2936" s="33" t="n">
        <f aca="false">IF(J2936="","",ABS(J2936))</f>
        <v>2.5</v>
      </c>
      <c r="O2936" s="33" t="n">
        <f aca="false">IF(K2936="","",ABS(K2936))</f>
        <v>2.91373532404892</v>
      </c>
      <c r="P2936" s="34" t="str">
        <f aca="false">IF(B2936&gt;=Eval_Start_Week,"YES","")</f>
        <v/>
      </c>
      <c r="Q2936" s="34" t="str">
        <f aca="false">IF(AND(B2936&gt;=Cal_Start_Week,B2936&lt;=Cal_End_Week),"YES","")</f>
        <v/>
      </c>
    </row>
    <row r="2937" customFormat="false" ht="15" hidden="false" customHeight="false" outlineLevel="0" collapsed="false">
      <c r="A2937" s="31" t="str">
        <f aca="false">Demand_History!C2937</f>
        <v>BED-009</v>
      </c>
      <c r="B2937" s="31" t="n">
        <f aca="false">Demand_History!A2937</f>
        <v>24</v>
      </c>
      <c r="C2937" s="32" t="n">
        <f aca="false">Demand_History!D2937</f>
        <v>26</v>
      </c>
      <c r="D2937" s="33" t="n">
        <f aca="false">IF(B2937&gt;=2,C2936,"")</f>
        <v>25</v>
      </c>
      <c r="E2937" s="33" t="n">
        <f aca="false">IF(B2937&gt;=5,AVERAGE(C2933:C2936),"")</f>
        <v>26</v>
      </c>
      <c r="F2937" s="33" t="n">
        <f aca="false">IF(B2937&gt;=9,AVERAGE(C2929:C2936),"")</f>
        <v>27.375</v>
      </c>
      <c r="G2937" s="33" t="n">
        <f aca="false">IF(B2937=1,"",IF(B2937=2,C2936,SES_Alpha*C2936+(1-SES_Alpha)*G2936))</f>
        <v>27.0396147268342</v>
      </c>
      <c r="H2937" s="33" t="n">
        <f aca="false">IF(D2937="","",D2937-C2937)</f>
        <v>-1</v>
      </c>
      <c r="I2937" s="33" t="n">
        <f aca="false">IF(E2937="","",E2937-C2937)</f>
        <v>0</v>
      </c>
      <c r="J2937" s="33" t="n">
        <f aca="false">IF(F2937="","",F2937-C2937)</f>
        <v>1.375</v>
      </c>
      <c r="K2937" s="33" t="n">
        <f aca="false">IF(G2937="","",G2937-C2937)</f>
        <v>1.03961472683424</v>
      </c>
      <c r="L2937" s="33" t="n">
        <f aca="false">IF(H2937="","",ABS(H2937))</f>
        <v>1</v>
      </c>
      <c r="M2937" s="33" t="n">
        <f aca="false">IF(I2937="","",ABS(I2937))</f>
        <v>0</v>
      </c>
      <c r="N2937" s="33" t="n">
        <f aca="false">IF(J2937="","",ABS(J2937))</f>
        <v>1.375</v>
      </c>
      <c r="O2937" s="33" t="n">
        <f aca="false">IF(K2937="","",ABS(K2937))</f>
        <v>1.03961472683424</v>
      </c>
      <c r="P2937" s="34" t="str">
        <f aca="false">IF(B2937&gt;=Eval_Start_Week,"YES","")</f>
        <v/>
      </c>
      <c r="Q2937" s="34" t="str">
        <f aca="false">IF(AND(B2937&gt;=Cal_Start_Week,B2937&lt;=Cal_End_Week),"YES","")</f>
        <v/>
      </c>
    </row>
    <row r="2938" customFormat="false" ht="15" hidden="false" customHeight="false" outlineLevel="0" collapsed="false">
      <c r="A2938" s="31" t="str">
        <f aca="false">Demand_History!C2938</f>
        <v>BED-009</v>
      </c>
      <c r="B2938" s="31" t="n">
        <f aca="false">Demand_History!A2938</f>
        <v>25</v>
      </c>
      <c r="C2938" s="32" t="n">
        <f aca="false">Demand_History!D2938</f>
        <v>27</v>
      </c>
      <c r="D2938" s="33" t="n">
        <f aca="false">IF(B2938&gt;=2,C2937,"")</f>
        <v>26</v>
      </c>
      <c r="E2938" s="33" t="n">
        <f aca="false">IF(B2938&gt;=5,AVERAGE(C2934:C2937),"")</f>
        <v>26.75</v>
      </c>
      <c r="F2938" s="33" t="n">
        <f aca="false">IF(B2938&gt;=9,AVERAGE(C2930:C2937),"")</f>
        <v>27.625</v>
      </c>
      <c r="G2938" s="33" t="n">
        <f aca="false">IF(B2938=1,"",IF(B2938=2,C2937,SES_Alpha*C2937+(1-SES_Alpha)*G2937))</f>
        <v>26.727730308784</v>
      </c>
      <c r="H2938" s="33" t="n">
        <f aca="false">IF(D2938="","",D2938-C2938)</f>
        <v>-1</v>
      </c>
      <c r="I2938" s="33" t="n">
        <f aca="false">IF(E2938="","",E2938-C2938)</f>
        <v>-0.25</v>
      </c>
      <c r="J2938" s="33" t="n">
        <f aca="false">IF(F2938="","",F2938-C2938)</f>
        <v>0.625</v>
      </c>
      <c r="K2938" s="33" t="n">
        <f aca="false">IF(G2938="","",G2938-C2938)</f>
        <v>-0.272269691216032</v>
      </c>
      <c r="L2938" s="33" t="n">
        <f aca="false">IF(H2938="","",ABS(H2938))</f>
        <v>1</v>
      </c>
      <c r="M2938" s="33" t="n">
        <f aca="false">IF(I2938="","",ABS(I2938))</f>
        <v>0.25</v>
      </c>
      <c r="N2938" s="33" t="n">
        <f aca="false">IF(J2938="","",ABS(J2938))</f>
        <v>0.625</v>
      </c>
      <c r="O2938" s="33" t="n">
        <f aca="false">IF(K2938="","",ABS(K2938))</f>
        <v>0.272269691216032</v>
      </c>
      <c r="P2938" s="34" t="str">
        <f aca="false">IF(B2938&gt;=Eval_Start_Week,"YES","")</f>
        <v/>
      </c>
      <c r="Q2938" s="34" t="str">
        <f aca="false">IF(AND(B2938&gt;=Cal_Start_Week,B2938&lt;=Cal_End_Week),"YES","")</f>
        <v/>
      </c>
    </row>
    <row r="2939" customFormat="false" ht="15" hidden="false" customHeight="false" outlineLevel="0" collapsed="false">
      <c r="A2939" s="31" t="str">
        <f aca="false">Demand_History!C2939</f>
        <v>BED-009</v>
      </c>
      <c r="B2939" s="31" t="n">
        <f aca="false">Demand_History!A2939</f>
        <v>26</v>
      </c>
      <c r="C2939" s="32" t="n">
        <f aca="false">Demand_History!D2939</f>
        <v>19</v>
      </c>
      <c r="D2939" s="33" t="n">
        <f aca="false">IF(B2939&gt;=2,C2938,"")</f>
        <v>27</v>
      </c>
      <c r="E2939" s="33" t="n">
        <f aca="false">IF(B2939&gt;=5,AVERAGE(C2935:C2938),"")</f>
        <v>27</v>
      </c>
      <c r="F2939" s="33" t="n">
        <f aca="false">IF(B2939&gt;=9,AVERAGE(C2931:C2938),"")</f>
        <v>27.5</v>
      </c>
      <c r="G2939" s="33" t="n">
        <f aca="false">IF(B2939=1,"",IF(B2939=2,C2938,SES_Alpha*C2938+(1-SES_Alpha)*G2938))</f>
        <v>26.8094112161488</v>
      </c>
      <c r="H2939" s="33" t="n">
        <f aca="false">IF(D2939="","",D2939-C2939)</f>
        <v>8</v>
      </c>
      <c r="I2939" s="33" t="n">
        <f aca="false">IF(E2939="","",E2939-C2939)</f>
        <v>8</v>
      </c>
      <c r="J2939" s="33" t="n">
        <f aca="false">IF(F2939="","",F2939-C2939)</f>
        <v>8.5</v>
      </c>
      <c r="K2939" s="33" t="n">
        <f aca="false">IF(G2939="","",G2939-C2939)</f>
        <v>7.80941121614877</v>
      </c>
      <c r="L2939" s="33" t="n">
        <f aca="false">IF(H2939="","",ABS(H2939))</f>
        <v>8</v>
      </c>
      <c r="M2939" s="33" t="n">
        <f aca="false">IF(I2939="","",ABS(I2939))</f>
        <v>8</v>
      </c>
      <c r="N2939" s="33" t="n">
        <f aca="false">IF(J2939="","",ABS(J2939))</f>
        <v>8.5</v>
      </c>
      <c r="O2939" s="33" t="n">
        <f aca="false">IF(K2939="","",ABS(K2939))</f>
        <v>7.80941121614877</v>
      </c>
      <c r="P2939" s="34" t="str">
        <f aca="false">IF(B2939&gt;=Eval_Start_Week,"YES","")</f>
        <v/>
      </c>
      <c r="Q2939" s="34" t="str">
        <f aca="false">IF(AND(B2939&gt;=Cal_Start_Week,B2939&lt;=Cal_End_Week),"YES","")</f>
        <v/>
      </c>
    </row>
    <row r="2940" customFormat="false" ht="15" hidden="false" customHeight="false" outlineLevel="0" collapsed="false">
      <c r="A2940" s="31" t="str">
        <f aca="false">Demand_History!C2940</f>
        <v>BED-009</v>
      </c>
      <c r="B2940" s="31" t="n">
        <f aca="false">Demand_History!A2940</f>
        <v>27</v>
      </c>
      <c r="C2940" s="32" t="n">
        <f aca="false">Demand_History!D2940</f>
        <v>29</v>
      </c>
      <c r="D2940" s="33" t="n">
        <f aca="false">IF(B2940&gt;=2,C2939,"")</f>
        <v>19</v>
      </c>
      <c r="E2940" s="33" t="n">
        <f aca="false">IF(B2940&gt;=5,AVERAGE(C2936:C2939),"")</f>
        <v>24.25</v>
      </c>
      <c r="F2940" s="33" t="n">
        <f aca="false">IF(B2940&gt;=9,AVERAGE(C2932:C2939),"")</f>
        <v>25.75</v>
      </c>
      <c r="G2940" s="33" t="n">
        <f aca="false">IF(B2940=1,"",IF(B2940=2,C2939,SES_Alpha*C2939+(1-SES_Alpha)*G2939))</f>
        <v>24.4665878513041</v>
      </c>
      <c r="H2940" s="33" t="n">
        <f aca="false">IF(D2940="","",D2940-C2940)</f>
        <v>-10</v>
      </c>
      <c r="I2940" s="33" t="n">
        <f aca="false">IF(E2940="","",E2940-C2940)</f>
        <v>-4.75</v>
      </c>
      <c r="J2940" s="33" t="n">
        <f aca="false">IF(F2940="","",F2940-C2940)</f>
        <v>-3.25</v>
      </c>
      <c r="K2940" s="33" t="n">
        <f aca="false">IF(G2940="","",G2940-C2940)</f>
        <v>-4.53341214869586</v>
      </c>
      <c r="L2940" s="33" t="n">
        <f aca="false">IF(H2940="","",ABS(H2940))</f>
        <v>10</v>
      </c>
      <c r="M2940" s="33" t="n">
        <f aca="false">IF(I2940="","",ABS(I2940))</f>
        <v>4.75</v>
      </c>
      <c r="N2940" s="33" t="n">
        <f aca="false">IF(J2940="","",ABS(J2940))</f>
        <v>3.25</v>
      </c>
      <c r="O2940" s="33" t="n">
        <f aca="false">IF(K2940="","",ABS(K2940))</f>
        <v>4.53341214869586</v>
      </c>
      <c r="P2940" s="34" t="str">
        <f aca="false">IF(B2940&gt;=Eval_Start_Week,"YES","")</f>
        <v/>
      </c>
      <c r="Q2940" s="34" t="str">
        <f aca="false">IF(AND(B2940&gt;=Cal_Start_Week,B2940&lt;=Cal_End_Week),"YES","")</f>
        <v/>
      </c>
    </row>
    <row r="2941" customFormat="false" ht="15" hidden="false" customHeight="false" outlineLevel="0" collapsed="false">
      <c r="A2941" s="31" t="str">
        <f aca="false">Demand_History!C2941</f>
        <v>BED-009</v>
      </c>
      <c r="B2941" s="31" t="n">
        <f aca="false">Demand_History!A2941</f>
        <v>28</v>
      </c>
      <c r="C2941" s="32" t="n">
        <f aca="false">Demand_History!D2941</f>
        <v>27</v>
      </c>
      <c r="D2941" s="33" t="n">
        <f aca="false">IF(B2941&gt;=2,C2940,"")</f>
        <v>29</v>
      </c>
      <c r="E2941" s="33" t="n">
        <f aca="false">IF(B2941&gt;=5,AVERAGE(C2937:C2940),"")</f>
        <v>25.25</v>
      </c>
      <c r="F2941" s="33" t="n">
        <f aca="false">IF(B2941&gt;=9,AVERAGE(C2933:C2940),"")</f>
        <v>25.625</v>
      </c>
      <c r="G2941" s="33" t="n">
        <f aca="false">IF(B2941=1,"",IF(B2941=2,C2940,SES_Alpha*C2940+(1-SES_Alpha)*G2940))</f>
        <v>25.8266114959129</v>
      </c>
      <c r="H2941" s="33" t="n">
        <f aca="false">IF(D2941="","",D2941-C2941)</f>
        <v>2</v>
      </c>
      <c r="I2941" s="33" t="n">
        <f aca="false">IF(E2941="","",E2941-C2941)</f>
        <v>-1.75</v>
      </c>
      <c r="J2941" s="33" t="n">
        <f aca="false">IF(F2941="","",F2941-C2941)</f>
        <v>-1.375</v>
      </c>
      <c r="K2941" s="33" t="n">
        <f aca="false">IF(G2941="","",G2941-C2941)</f>
        <v>-1.1733885040871</v>
      </c>
      <c r="L2941" s="33" t="n">
        <f aca="false">IF(H2941="","",ABS(H2941))</f>
        <v>2</v>
      </c>
      <c r="M2941" s="33" t="n">
        <f aca="false">IF(I2941="","",ABS(I2941))</f>
        <v>1.75</v>
      </c>
      <c r="N2941" s="33" t="n">
        <f aca="false">IF(J2941="","",ABS(J2941))</f>
        <v>1.375</v>
      </c>
      <c r="O2941" s="33" t="n">
        <f aca="false">IF(K2941="","",ABS(K2941))</f>
        <v>1.1733885040871</v>
      </c>
      <c r="P2941" s="34" t="str">
        <f aca="false">IF(B2941&gt;=Eval_Start_Week,"YES","")</f>
        <v/>
      </c>
      <c r="Q2941" s="34" t="str">
        <f aca="false">IF(AND(B2941&gt;=Cal_Start_Week,B2941&lt;=Cal_End_Week),"YES","")</f>
        <v/>
      </c>
    </row>
    <row r="2942" customFormat="false" ht="15" hidden="false" customHeight="false" outlineLevel="0" collapsed="false">
      <c r="A2942" s="31" t="str">
        <f aca="false">Demand_History!C2942</f>
        <v>BED-009</v>
      </c>
      <c r="B2942" s="31" t="n">
        <f aca="false">Demand_History!A2942</f>
        <v>29</v>
      </c>
      <c r="C2942" s="32" t="n">
        <f aca="false">Demand_History!D2942</f>
        <v>28</v>
      </c>
      <c r="D2942" s="33" t="n">
        <f aca="false">IF(B2942&gt;=2,C2941,"")</f>
        <v>27</v>
      </c>
      <c r="E2942" s="33" t="n">
        <f aca="false">IF(B2942&gt;=5,AVERAGE(C2938:C2941),"")</f>
        <v>25.5</v>
      </c>
      <c r="F2942" s="33" t="n">
        <f aca="false">IF(B2942&gt;=9,AVERAGE(C2934:C2941),"")</f>
        <v>26.125</v>
      </c>
      <c r="G2942" s="33" t="n">
        <f aca="false">IF(B2942=1,"",IF(B2942=2,C2941,SES_Alpha*C2941+(1-SES_Alpha)*G2941))</f>
        <v>26.178628047139</v>
      </c>
      <c r="H2942" s="33" t="n">
        <f aca="false">IF(D2942="","",D2942-C2942)</f>
        <v>-1</v>
      </c>
      <c r="I2942" s="33" t="n">
        <f aca="false">IF(E2942="","",E2942-C2942)</f>
        <v>-2.5</v>
      </c>
      <c r="J2942" s="33" t="n">
        <f aca="false">IF(F2942="","",F2942-C2942)</f>
        <v>-1.875</v>
      </c>
      <c r="K2942" s="33" t="n">
        <f aca="false">IF(G2942="","",G2942-C2942)</f>
        <v>-1.82137195286097</v>
      </c>
      <c r="L2942" s="33" t="n">
        <f aca="false">IF(H2942="","",ABS(H2942))</f>
        <v>1</v>
      </c>
      <c r="M2942" s="33" t="n">
        <f aca="false">IF(I2942="","",ABS(I2942))</f>
        <v>2.5</v>
      </c>
      <c r="N2942" s="33" t="n">
        <f aca="false">IF(J2942="","",ABS(J2942))</f>
        <v>1.875</v>
      </c>
      <c r="O2942" s="33" t="n">
        <f aca="false">IF(K2942="","",ABS(K2942))</f>
        <v>1.82137195286097</v>
      </c>
      <c r="P2942" s="34" t="str">
        <f aca="false">IF(B2942&gt;=Eval_Start_Week,"YES","")</f>
        <v/>
      </c>
      <c r="Q2942" s="34" t="str">
        <f aca="false">IF(AND(B2942&gt;=Cal_Start_Week,B2942&lt;=Cal_End_Week),"YES","")</f>
        <v/>
      </c>
    </row>
    <row r="2943" customFormat="false" ht="15" hidden="false" customHeight="false" outlineLevel="0" collapsed="false">
      <c r="A2943" s="31" t="str">
        <f aca="false">Demand_History!C2943</f>
        <v>BED-009</v>
      </c>
      <c r="B2943" s="31" t="n">
        <f aca="false">Demand_History!A2943</f>
        <v>30</v>
      </c>
      <c r="C2943" s="32" t="n">
        <f aca="false">Demand_History!D2943</f>
        <v>22</v>
      </c>
      <c r="D2943" s="33" t="n">
        <f aca="false">IF(B2943&gt;=2,C2942,"")</f>
        <v>28</v>
      </c>
      <c r="E2943" s="33" t="n">
        <f aca="false">IF(B2943&gt;=5,AVERAGE(C2939:C2942),"")</f>
        <v>25.75</v>
      </c>
      <c r="F2943" s="33" t="n">
        <f aca="false">IF(B2943&gt;=9,AVERAGE(C2935:C2942),"")</f>
        <v>26.375</v>
      </c>
      <c r="G2943" s="33" t="n">
        <f aca="false">IF(B2943=1,"",IF(B2943=2,C2942,SES_Alpha*C2942+(1-SES_Alpha)*G2942))</f>
        <v>26.7250396329973</v>
      </c>
      <c r="H2943" s="33" t="n">
        <f aca="false">IF(D2943="","",D2943-C2943)</f>
        <v>6</v>
      </c>
      <c r="I2943" s="33" t="n">
        <f aca="false">IF(E2943="","",E2943-C2943)</f>
        <v>3.75</v>
      </c>
      <c r="J2943" s="33" t="n">
        <f aca="false">IF(F2943="","",F2943-C2943)</f>
        <v>4.375</v>
      </c>
      <c r="K2943" s="33" t="n">
        <f aca="false">IF(G2943="","",G2943-C2943)</f>
        <v>4.72503963299732</v>
      </c>
      <c r="L2943" s="33" t="n">
        <f aca="false">IF(H2943="","",ABS(H2943))</f>
        <v>6</v>
      </c>
      <c r="M2943" s="33" t="n">
        <f aca="false">IF(I2943="","",ABS(I2943))</f>
        <v>3.75</v>
      </c>
      <c r="N2943" s="33" t="n">
        <f aca="false">IF(J2943="","",ABS(J2943))</f>
        <v>4.375</v>
      </c>
      <c r="O2943" s="33" t="n">
        <f aca="false">IF(K2943="","",ABS(K2943))</f>
        <v>4.72503963299732</v>
      </c>
      <c r="P2943" s="34" t="str">
        <f aca="false">IF(B2943&gt;=Eval_Start_Week,"YES","")</f>
        <v/>
      </c>
      <c r="Q2943" s="34" t="str">
        <f aca="false">IF(AND(B2943&gt;=Cal_Start_Week,B2943&lt;=Cal_End_Week),"YES","")</f>
        <v/>
      </c>
    </row>
    <row r="2944" customFormat="false" ht="15" hidden="false" customHeight="false" outlineLevel="0" collapsed="false">
      <c r="A2944" s="31" t="str">
        <f aca="false">Demand_History!C2944</f>
        <v>BED-009</v>
      </c>
      <c r="B2944" s="31" t="n">
        <f aca="false">Demand_History!A2944</f>
        <v>31</v>
      </c>
      <c r="C2944" s="32" t="n">
        <f aca="false">Demand_History!D2944</f>
        <v>23</v>
      </c>
      <c r="D2944" s="33" t="n">
        <f aca="false">IF(B2944&gt;=2,C2943,"")</f>
        <v>22</v>
      </c>
      <c r="E2944" s="33" t="n">
        <f aca="false">IF(B2944&gt;=5,AVERAGE(C2940:C2943),"")</f>
        <v>26.5</v>
      </c>
      <c r="F2944" s="33" t="n">
        <f aca="false">IF(B2944&gt;=9,AVERAGE(C2936:C2943),"")</f>
        <v>25.375</v>
      </c>
      <c r="G2944" s="33" t="n">
        <f aca="false">IF(B2944=1,"",IF(B2944=2,C2943,SES_Alpha*C2943+(1-SES_Alpha)*G2943))</f>
        <v>25.3075277430981</v>
      </c>
      <c r="H2944" s="33" t="n">
        <f aca="false">IF(D2944="","",D2944-C2944)</f>
        <v>-1</v>
      </c>
      <c r="I2944" s="33" t="n">
        <f aca="false">IF(E2944="","",E2944-C2944)</f>
        <v>3.5</v>
      </c>
      <c r="J2944" s="33" t="n">
        <f aca="false">IF(F2944="","",F2944-C2944)</f>
        <v>2.375</v>
      </c>
      <c r="K2944" s="33" t="n">
        <f aca="false">IF(G2944="","",G2944-C2944)</f>
        <v>2.30752774309812</v>
      </c>
      <c r="L2944" s="33" t="n">
        <f aca="false">IF(H2944="","",ABS(H2944))</f>
        <v>1</v>
      </c>
      <c r="M2944" s="33" t="n">
        <f aca="false">IF(I2944="","",ABS(I2944))</f>
        <v>3.5</v>
      </c>
      <c r="N2944" s="33" t="n">
        <f aca="false">IF(J2944="","",ABS(J2944))</f>
        <v>2.375</v>
      </c>
      <c r="O2944" s="33" t="n">
        <f aca="false">IF(K2944="","",ABS(K2944))</f>
        <v>2.30752774309812</v>
      </c>
      <c r="P2944" s="34" t="str">
        <f aca="false">IF(B2944&gt;=Eval_Start_Week,"YES","")</f>
        <v/>
      </c>
      <c r="Q2944" s="34" t="str">
        <f aca="false">IF(AND(B2944&gt;=Cal_Start_Week,B2944&lt;=Cal_End_Week),"YES","")</f>
        <v/>
      </c>
    </row>
    <row r="2945" customFormat="false" ht="15" hidden="false" customHeight="false" outlineLevel="0" collapsed="false">
      <c r="A2945" s="31" t="str">
        <f aca="false">Demand_History!C2945</f>
        <v>BED-009</v>
      </c>
      <c r="B2945" s="31" t="n">
        <f aca="false">Demand_History!A2945</f>
        <v>32</v>
      </c>
      <c r="C2945" s="32" t="n">
        <f aca="false">Demand_History!D2945</f>
        <v>23</v>
      </c>
      <c r="D2945" s="33" t="n">
        <f aca="false">IF(B2945&gt;=2,C2944,"")</f>
        <v>23</v>
      </c>
      <c r="E2945" s="33" t="n">
        <f aca="false">IF(B2945&gt;=5,AVERAGE(C2941:C2944),"")</f>
        <v>25</v>
      </c>
      <c r="F2945" s="33" t="n">
        <f aca="false">IF(B2945&gt;=9,AVERAGE(C2937:C2944),"")</f>
        <v>25.125</v>
      </c>
      <c r="G2945" s="33" t="n">
        <f aca="false">IF(B2945=1,"",IF(B2945=2,C2944,SES_Alpha*C2944+(1-SES_Alpha)*G2944))</f>
        <v>24.6152694201687</v>
      </c>
      <c r="H2945" s="33" t="n">
        <f aca="false">IF(D2945="","",D2945-C2945)</f>
        <v>0</v>
      </c>
      <c r="I2945" s="33" t="n">
        <f aca="false">IF(E2945="","",E2945-C2945)</f>
        <v>2</v>
      </c>
      <c r="J2945" s="33" t="n">
        <f aca="false">IF(F2945="","",F2945-C2945)</f>
        <v>2.125</v>
      </c>
      <c r="K2945" s="33" t="n">
        <f aca="false">IF(G2945="","",G2945-C2945)</f>
        <v>1.61526942016868</v>
      </c>
      <c r="L2945" s="33" t="n">
        <f aca="false">IF(H2945="","",ABS(H2945))</f>
        <v>0</v>
      </c>
      <c r="M2945" s="33" t="n">
        <f aca="false">IF(I2945="","",ABS(I2945))</f>
        <v>2</v>
      </c>
      <c r="N2945" s="33" t="n">
        <f aca="false">IF(J2945="","",ABS(J2945))</f>
        <v>2.125</v>
      </c>
      <c r="O2945" s="33" t="n">
        <f aca="false">IF(K2945="","",ABS(K2945))</f>
        <v>1.61526942016868</v>
      </c>
      <c r="P2945" s="34" t="str">
        <f aca="false">IF(B2945&gt;=Eval_Start_Week,"YES","")</f>
        <v/>
      </c>
      <c r="Q2945" s="34" t="str">
        <f aca="false">IF(AND(B2945&gt;=Cal_Start_Week,B2945&lt;=Cal_End_Week),"YES","")</f>
        <v/>
      </c>
    </row>
    <row r="2946" customFormat="false" ht="15" hidden="false" customHeight="false" outlineLevel="0" collapsed="false">
      <c r="A2946" s="31" t="str">
        <f aca="false">Demand_History!C2946</f>
        <v>BED-009</v>
      </c>
      <c r="B2946" s="31" t="n">
        <f aca="false">Demand_History!A2946</f>
        <v>33</v>
      </c>
      <c r="C2946" s="32" t="n">
        <f aca="false">Demand_History!D2946</f>
        <v>26</v>
      </c>
      <c r="D2946" s="33" t="n">
        <f aca="false">IF(B2946&gt;=2,C2945,"")</f>
        <v>23</v>
      </c>
      <c r="E2946" s="33" t="n">
        <f aca="false">IF(B2946&gt;=5,AVERAGE(C2942:C2945),"")</f>
        <v>24</v>
      </c>
      <c r="F2946" s="33" t="n">
        <f aca="false">IF(B2946&gt;=9,AVERAGE(C2938:C2945),"")</f>
        <v>24.75</v>
      </c>
      <c r="G2946" s="33" t="n">
        <f aca="false">IF(B2946=1,"",IF(B2946=2,C2945,SES_Alpha*C2945+(1-SES_Alpha)*G2945))</f>
        <v>24.1306885941181</v>
      </c>
      <c r="H2946" s="33" t="n">
        <f aca="false">IF(D2946="","",D2946-C2946)</f>
        <v>-3</v>
      </c>
      <c r="I2946" s="33" t="n">
        <f aca="false">IF(E2946="","",E2946-C2946)</f>
        <v>-2</v>
      </c>
      <c r="J2946" s="33" t="n">
        <f aca="false">IF(F2946="","",F2946-C2946)</f>
        <v>-1.25</v>
      </c>
      <c r="K2946" s="33" t="n">
        <f aca="false">IF(G2946="","",G2946-C2946)</f>
        <v>-1.86931140588193</v>
      </c>
      <c r="L2946" s="33" t="n">
        <f aca="false">IF(H2946="","",ABS(H2946))</f>
        <v>3</v>
      </c>
      <c r="M2946" s="33" t="n">
        <f aca="false">IF(I2946="","",ABS(I2946))</f>
        <v>2</v>
      </c>
      <c r="N2946" s="33" t="n">
        <f aca="false">IF(J2946="","",ABS(J2946))</f>
        <v>1.25</v>
      </c>
      <c r="O2946" s="33" t="n">
        <f aca="false">IF(K2946="","",ABS(K2946))</f>
        <v>1.86931140588193</v>
      </c>
      <c r="P2946" s="34" t="str">
        <f aca="false">IF(B2946&gt;=Eval_Start_Week,"YES","")</f>
        <v/>
      </c>
      <c r="Q2946" s="34" t="str">
        <f aca="false">IF(AND(B2946&gt;=Cal_Start_Week,B2946&lt;=Cal_End_Week),"YES","")</f>
        <v/>
      </c>
    </row>
    <row r="2947" customFormat="false" ht="15" hidden="false" customHeight="false" outlineLevel="0" collapsed="false">
      <c r="A2947" s="31" t="str">
        <f aca="false">Demand_History!C2947</f>
        <v>BED-009</v>
      </c>
      <c r="B2947" s="31" t="n">
        <f aca="false">Demand_History!A2947</f>
        <v>34</v>
      </c>
      <c r="C2947" s="32" t="n">
        <f aca="false">Demand_History!D2947</f>
        <v>25</v>
      </c>
      <c r="D2947" s="33" t="n">
        <f aca="false">IF(B2947&gt;=2,C2946,"")</f>
        <v>26</v>
      </c>
      <c r="E2947" s="33" t="n">
        <f aca="false">IF(B2947&gt;=5,AVERAGE(C2943:C2946),"")</f>
        <v>23.5</v>
      </c>
      <c r="F2947" s="33" t="n">
        <f aca="false">IF(B2947&gt;=9,AVERAGE(C2939:C2946),"")</f>
        <v>24.625</v>
      </c>
      <c r="G2947" s="33" t="n">
        <f aca="false">IF(B2947=1,"",IF(B2947=2,C2946,SES_Alpha*C2946+(1-SES_Alpha)*G2946))</f>
        <v>24.6914820158827</v>
      </c>
      <c r="H2947" s="33" t="n">
        <f aca="false">IF(D2947="","",D2947-C2947)</f>
        <v>1</v>
      </c>
      <c r="I2947" s="33" t="n">
        <f aca="false">IF(E2947="","",E2947-C2947)</f>
        <v>-1.5</v>
      </c>
      <c r="J2947" s="33" t="n">
        <f aca="false">IF(F2947="","",F2947-C2947)</f>
        <v>-0.375</v>
      </c>
      <c r="K2947" s="33" t="n">
        <f aca="false">IF(G2947="","",G2947-C2947)</f>
        <v>-0.308517984117348</v>
      </c>
      <c r="L2947" s="33" t="n">
        <f aca="false">IF(H2947="","",ABS(H2947))</f>
        <v>1</v>
      </c>
      <c r="M2947" s="33" t="n">
        <f aca="false">IF(I2947="","",ABS(I2947))</f>
        <v>1.5</v>
      </c>
      <c r="N2947" s="33" t="n">
        <f aca="false">IF(J2947="","",ABS(J2947))</f>
        <v>0.375</v>
      </c>
      <c r="O2947" s="33" t="n">
        <f aca="false">IF(K2947="","",ABS(K2947))</f>
        <v>0.308517984117348</v>
      </c>
      <c r="P2947" s="34" t="str">
        <f aca="false">IF(B2947&gt;=Eval_Start_Week,"YES","")</f>
        <v/>
      </c>
      <c r="Q2947" s="34" t="str">
        <f aca="false">IF(AND(B2947&gt;=Cal_Start_Week,B2947&lt;=Cal_End_Week),"YES","")</f>
        <v/>
      </c>
    </row>
    <row r="2948" customFormat="false" ht="15" hidden="false" customHeight="false" outlineLevel="0" collapsed="false">
      <c r="A2948" s="31" t="str">
        <f aca="false">Demand_History!C2948</f>
        <v>BED-009</v>
      </c>
      <c r="B2948" s="31" t="n">
        <f aca="false">Demand_History!A2948</f>
        <v>35</v>
      </c>
      <c r="C2948" s="32" t="n">
        <f aca="false">Demand_History!D2948</f>
        <v>25</v>
      </c>
      <c r="D2948" s="33" t="n">
        <f aca="false">IF(B2948&gt;=2,C2947,"")</f>
        <v>25</v>
      </c>
      <c r="E2948" s="33" t="n">
        <f aca="false">IF(B2948&gt;=5,AVERAGE(C2944:C2947),"")</f>
        <v>24.25</v>
      </c>
      <c r="F2948" s="33" t="n">
        <f aca="false">IF(B2948&gt;=9,AVERAGE(C2940:C2947),"")</f>
        <v>25.375</v>
      </c>
      <c r="G2948" s="33" t="n">
        <f aca="false">IF(B2948=1,"",IF(B2948=2,C2947,SES_Alpha*C2947+(1-SES_Alpha)*G2947))</f>
        <v>24.7840374111179</v>
      </c>
      <c r="H2948" s="33" t="n">
        <f aca="false">IF(D2948="","",D2948-C2948)</f>
        <v>0</v>
      </c>
      <c r="I2948" s="33" t="n">
        <f aca="false">IF(E2948="","",E2948-C2948)</f>
        <v>-0.75</v>
      </c>
      <c r="J2948" s="33" t="n">
        <f aca="false">IF(F2948="","",F2948-C2948)</f>
        <v>0.375</v>
      </c>
      <c r="K2948" s="33" t="n">
        <f aca="false">IF(G2948="","",G2948-C2948)</f>
        <v>-0.215962588882146</v>
      </c>
      <c r="L2948" s="33" t="n">
        <f aca="false">IF(H2948="","",ABS(H2948))</f>
        <v>0</v>
      </c>
      <c r="M2948" s="33" t="n">
        <f aca="false">IF(I2948="","",ABS(I2948))</f>
        <v>0.75</v>
      </c>
      <c r="N2948" s="33" t="n">
        <f aca="false">IF(J2948="","",ABS(J2948))</f>
        <v>0.375</v>
      </c>
      <c r="O2948" s="33" t="n">
        <f aca="false">IF(K2948="","",ABS(K2948))</f>
        <v>0.215962588882146</v>
      </c>
      <c r="P2948" s="34" t="str">
        <f aca="false">IF(B2948&gt;=Eval_Start_Week,"YES","")</f>
        <v/>
      </c>
      <c r="Q2948" s="34" t="str">
        <f aca="false">IF(AND(B2948&gt;=Cal_Start_Week,B2948&lt;=Cal_End_Week),"YES","")</f>
        <v/>
      </c>
    </row>
    <row r="2949" customFormat="false" ht="15" hidden="false" customHeight="false" outlineLevel="0" collapsed="false">
      <c r="A2949" s="31" t="str">
        <f aca="false">Demand_History!C2949</f>
        <v>BED-009</v>
      </c>
      <c r="B2949" s="31" t="n">
        <f aca="false">Demand_History!A2949</f>
        <v>36</v>
      </c>
      <c r="C2949" s="32" t="n">
        <f aca="false">Demand_History!D2949</f>
        <v>31</v>
      </c>
      <c r="D2949" s="33" t="n">
        <f aca="false">IF(B2949&gt;=2,C2948,"")</f>
        <v>25</v>
      </c>
      <c r="E2949" s="33" t="n">
        <f aca="false">IF(B2949&gt;=5,AVERAGE(C2945:C2948),"")</f>
        <v>24.75</v>
      </c>
      <c r="F2949" s="33" t="n">
        <f aca="false">IF(B2949&gt;=9,AVERAGE(C2941:C2948),"")</f>
        <v>24.875</v>
      </c>
      <c r="G2949" s="33" t="n">
        <f aca="false">IF(B2949=1,"",IF(B2949=2,C2948,SES_Alpha*C2948+(1-SES_Alpha)*G2948))</f>
        <v>24.8488261877825</v>
      </c>
      <c r="H2949" s="33" t="n">
        <f aca="false">IF(D2949="","",D2949-C2949)</f>
        <v>-6</v>
      </c>
      <c r="I2949" s="33" t="n">
        <f aca="false">IF(E2949="","",E2949-C2949)</f>
        <v>-6.25</v>
      </c>
      <c r="J2949" s="33" t="n">
        <f aca="false">IF(F2949="","",F2949-C2949)</f>
        <v>-6.125</v>
      </c>
      <c r="K2949" s="33" t="n">
        <f aca="false">IF(G2949="","",G2949-C2949)</f>
        <v>-6.1511738122175</v>
      </c>
      <c r="L2949" s="33" t="n">
        <f aca="false">IF(H2949="","",ABS(H2949))</f>
        <v>6</v>
      </c>
      <c r="M2949" s="33" t="n">
        <f aca="false">IF(I2949="","",ABS(I2949))</f>
        <v>6.25</v>
      </c>
      <c r="N2949" s="33" t="n">
        <f aca="false">IF(J2949="","",ABS(J2949))</f>
        <v>6.125</v>
      </c>
      <c r="O2949" s="33" t="n">
        <f aca="false">IF(K2949="","",ABS(K2949))</f>
        <v>6.1511738122175</v>
      </c>
      <c r="P2949" s="34" t="str">
        <f aca="false">IF(B2949&gt;=Eval_Start_Week,"YES","")</f>
        <v/>
      </c>
      <c r="Q2949" s="34" t="str">
        <f aca="false">IF(AND(B2949&gt;=Cal_Start_Week,B2949&lt;=Cal_End_Week),"YES","")</f>
        <v/>
      </c>
    </row>
    <row r="2950" customFormat="false" ht="15" hidden="false" customHeight="false" outlineLevel="0" collapsed="false">
      <c r="A2950" s="31" t="str">
        <f aca="false">Demand_History!C2950</f>
        <v>BED-009</v>
      </c>
      <c r="B2950" s="31" t="n">
        <f aca="false">Demand_History!A2950</f>
        <v>37</v>
      </c>
      <c r="C2950" s="32" t="n">
        <f aca="false">Demand_History!D2950</f>
        <v>29</v>
      </c>
      <c r="D2950" s="33" t="n">
        <f aca="false">IF(B2950&gt;=2,C2949,"")</f>
        <v>31</v>
      </c>
      <c r="E2950" s="33" t="n">
        <f aca="false">IF(B2950&gt;=5,AVERAGE(C2946:C2949),"")</f>
        <v>26.75</v>
      </c>
      <c r="F2950" s="33" t="n">
        <f aca="false">IF(B2950&gt;=9,AVERAGE(C2942:C2949),"")</f>
        <v>25.375</v>
      </c>
      <c r="G2950" s="33" t="n">
        <f aca="false">IF(B2950=1,"",IF(B2950=2,C2949,SES_Alpha*C2949+(1-SES_Alpha)*G2949))</f>
        <v>26.6941783314477</v>
      </c>
      <c r="H2950" s="33" t="n">
        <f aca="false">IF(D2950="","",D2950-C2950)</f>
        <v>2</v>
      </c>
      <c r="I2950" s="33" t="n">
        <f aca="false">IF(E2950="","",E2950-C2950)</f>
        <v>-2.25</v>
      </c>
      <c r="J2950" s="33" t="n">
        <f aca="false">IF(F2950="","",F2950-C2950)</f>
        <v>-3.625</v>
      </c>
      <c r="K2950" s="33" t="n">
        <f aca="false">IF(G2950="","",G2950-C2950)</f>
        <v>-2.30582166855226</v>
      </c>
      <c r="L2950" s="33" t="n">
        <f aca="false">IF(H2950="","",ABS(H2950))</f>
        <v>2</v>
      </c>
      <c r="M2950" s="33" t="n">
        <f aca="false">IF(I2950="","",ABS(I2950))</f>
        <v>2.25</v>
      </c>
      <c r="N2950" s="33" t="n">
        <f aca="false">IF(J2950="","",ABS(J2950))</f>
        <v>3.625</v>
      </c>
      <c r="O2950" s="33" t="n">
        <f aca="false">IF(K2950="","",ABS(K2950))</f>
        <v>2.30582166855226</v>
      </c>
      <c r="P2950" s="34" t="str">
        <f aca="false">IF(B2950&gt;=Eval_Start_Week,"YES","")</f>
        <v/>
      </c>
      <c r="Q2950" s="34" t="str">
        <f aca="false">IF(AND(B2950&gt;=Cal_Start_Week,B2950&lt;=Cal_End_Week),"YES","")</f>
        <v>YES</v>
      </c>
    </row>
    <row r="2951" customFormat="false" ht="15" hidden="false" customHeight="false" outlineLevel="0" collapsed="false">
      <c r="A2951" s="31" t="str">
        <f aca="false">Demand_History!C2951</f>
        <v>BED-009</v>
      </c>
      <c r="B2951" s="31" t="n">
        <f aca="false">Demand_History!A2951</f>
        <v>38</v>
      </c>
      <c r="C2951" s="32" t="n">
        <f aca="false">Demand_History!D2951</f>
        <v>22</v>
      </c>
      <c r="D2951" s="33" t="n">
        <f aca="false">IF(B2951&gt;=2,C2950,"")</f>
        <v>29</v>
      </c>
      <c r="E2951" s="33" t="n">
        <f aca="false">IF(B2951&gt;=5,AVERAGE(C2947:C2950),"")</f>
        <v>27.5</v>
      </c>
      <c r="F2951" s="33" t="n">
        <f aca="false">IF(B2951&gt;=9,AVERAGE(C2943:C2950),"")</f>
        <v>25.5</v>
      </c>
      <c r="G2951" s="33" t="n">
        <f aca="false">IF(B2951=1,"",IF(B2951=2,C2950,SES_Alpha*C2950+(1-SES_Alpha)*G2950))</f>
        <v>27.3859248320134</v>
      </c>
      <c r="H2951" s="33" t="n">
        <f aca="false">IF(D2951="","",D2951-C2951)</f>
        <v>7</v>
      </c>
      <c r="I2951" s="33" t="n">
        <f aca="false">IF(E2951="","",E2951-C2951)</f>
        <v>5.5</v>
      </c>
      <c r="J2951" s="33" t="n">
        <f aca="false">IF(F2951="","",F2951-C2951)</f>
        <v>3.5</v>
      </c>
      <c r="K2951" s="33" t="n">
        <f aca="false">IF(G2951="","",G2951-C2951)</f>
        <v>5.38592483201342</v>
      </c>
      <c r="L2951" s="33" t="n">
        <f aca="false">IF(H2951="","",ABS(H2951))</f>
        <v>7</v>
      </c>
      <c r="M2951" s="33" t="n">
        <f aca="false">IF(I2951="","",ABS(I2951))</f>
        <v>5.5</v>
      </c>
      <c r="N2951" s="33" t="n">
        <f aca="false">IF(J2951="","",ABS(J2951))</f>
        <v>3.5</v>
      </c>
      <c r="O2951" s="33" t="n">
        <f aca="false">IF(K2951="","",ABS(K2951))</f>
        <v>5.38592483201342</v>
      </c>
      <c r="P2951" s="34" t="str">
        <f aca="false">IF(B2951&gt;=Eval_Start_Week,"YES","")</f>
        <v/>
      </c>
      <c r="Q2951" s="34" t="str">
        <f aca="false">IF(AND(B2951&gt;=Cal_Start_Week,B2951&lt;=Cal_End_Week),"YES","")</f>
        <v>YES</v>
      </c>
    </row>
    <row r="2952" customFormat="false" ht="15" hidden="false" customHeight="false" outlineLevel="0" collapsed="false">
      <c r="A2952" s="31" t="str">
        <f aca="false">Demand_History!C2952</f>
        <v>BED-009</v>
      </c>
      <c r="B2952" s="31" t="n">
        <f aca="false">Demand_History!A2952</f>
        <v>39</v>
      </c>
      <c r="C2952" s="32" t="n">
        <f aca="false">Demand_History!D2952</f>
        <v>22</v>
      </c>
      <c r="D2952" s="33" t="n">
        <f aca="false">IF(B2952&gt;=2,C2951,"")</f>
        <v>22</v>
      </c>
      <c r="E2952" s="33" t="n">
        <f aca="false">IF(B2952&gt;=5,AVERAGE(C2948:C2951),"")</f>
        <v>26.75</v>
      </c>
      <c r="F2952" s="33" t="n">
        <f aca="false">IF(B2952&gt;=9,AVERAGE(C2944:C2951),"")</f>
        <v>25.5</v>
      </c>
      <c r="G2952" s="33" t="n">
        <f aca="false">IF(B2952=1,"",IF(B2952=2,C2951,SES_Alpha*C2951+(1-SES_Alpha)*G2951))</f>
        <v>25.7701473824094</v>
      </c>
      <c r="H2952" s="33" t="n">
        <f aca="false">IF(D2952="","",D2952-C2952)</f>
        <v>0</v>
      </c>
      <c r="I2952" s="33" t="n">
        <f aca="false">IF(E2952="","",E2952-C2952)</f>
        <v>4.75</v>
      </c>
      <c r="J2952" s="33" t="n">
        <f aca="false">IF(F2952="","",F2952-C2952)</f>
        <v>3.5</v>
      </c>
      <c r="K2952" s="33" t="n">
        <f aca="false">IF(G2952="","",G2952-C2952)</f>
        <v>3.77014738240939</v>
      </c>
      <c r="L2952" s="33" t="n">
        <f aca="false">IF(H2952="","",ABS(H2952))</f>
        <v>0</v>
      </c>
      <c r="M2952" s="33" t="n">
        <f aca="false">IF(I2952="","",ABS(I2952))</f>
        <v>4.75</v>
      </c>
      <c r="N2952" s="33" t="n">
        <f aca="false">IF(J2952="","",ABS(J2952))</f>
        <v>3.5</v>
      </c>
      <c r="O2952" s="33" t="n">
        <f aca="false">IF(K2952="","",ABS(K2952))</f>
        <v>3.77014738240939</v>
      </c>
      <c r="P2952" s="34" t="str">
        <f aca="false">IF(B2952&gt;=Eval_Start_Week,"YES","")</f>
        <v/>
      </c>
      <c r="Q2952" s="34" t="str">
        <f aca="false">IF(AND(B2952&gt;=Cal_Start_Week,B2952&lt;=Cal_End_Week),"YES","")</f>
        <v>YES</v>
      </c>
    </row>
    <row r="2953" customFormat="false" ht="15" hidden="false" customHeight="false" outlineLevel="0" collapsed="false">
      <c r="A2953" s="31" t="str">
        <f aca="false">Demand_History!C2953</f>
        <v>BED-009</v>
      </c>
      <c r="B2953" s="31" t="n">
        <f aca="false">Demand_History!A2953</f>
        <v>40</v>
      </c>
      <c r="C2953" s="32" t="n">
        <f aca="false">Demand_History!D2953</f>
        <v>30</v>
      </c>
      <c r="D2953" s="33" t="n">
        <f aca="false">IF(B2953&gt;=2,C2952,"")</f>
        <v>22</v>
      </c>
      <c r="E2953" s="33" t="n">
        <f aca="false">IF(B2953&gt;=5,AVERAGE(C2949:C2952),"")</f>
        <v>26</v>
      </c>
      <c r="F2953" s="33" t="n">
        <f aca="false">IF(B2953&gt;=9,AVERAGE(C2945:C2952),"")</f>
        <v>25.375</v>
      </c>
      <c r="G2953" s="33" t="n">
        <f aca="false">IF(B2953=1,"",IF(B2953=2,C2952,SES_Alpha*C2952+(1-SES_Alpha)*G2952))</f>
        <v>24.6391031676866</v>
      </c>
      <c r="H2953" s="33" t="n">
        <f aca="false">IF(D2953="","",D2953-C2953)</f>
        <v>-8</v>
      </c>
      <c r="I2953" s="33" t="n">
        <f aca="false">IF(E2953="","",E2953-C2953)</f>
        <v>-4</v>
      </c>
      <c r="J2953" s="33" t="n">
        <f aca="false">IF(F2953="","",F2953-C2953)</f>
        <v>-4.625</v>
      </c>
      <c r="K2953" s="33" t="n">
        <f aca="false">IF(G2953="","",G2953-C2953)</f>
        <v>-5.36089683231343</v>
      </c>
      <c r="L2953" s="33" t="n">
        <f aca="false">IF(H2953="","",ABS(H2953))</f>
        <v>8</v>
      </c>
      <c r="M2953" s="33" t="n">
        <f aca="false">IF(I2953="","",ABS(I2953))</f>
        <v>4</v>
      </c>
      <c r="N2953" s="33" t="n">
        <f aca="false">IF(J2953="","",ABS(J2953))</f>
        <v>4.625</v>
      </c>
      <c r="O2953" s="33" t="n">
        <f aca="false">IF(K2953="","",ABS(K2953))</f>
        <v>5.36089683231343</v>
      </c>
      <c r="P2953" s="34" t="str">
        <f aca="false">IF(B2953&gt;=Eval_Start_Week,"YES","")</f>
        <v/>
      </c>
      <c r="Q2953" s="34" t="str">
        <f aca="false">IF(AND(B2953&gt;=Cal_Start_Week,B2953&lt;=Cal_End_Week),"YES","")</f>
        <v>YES</v>
      </c>
    </row>
    <row r="2954" customFormat="false" ht="15" hidden="false" customHeight="false" outlineLevel="0" collapsed="false">
      <c r="A2954" s="31" t="str">
        <f aca="false">Demand_History!C2954</f>
        <v>BED-009</v>
      </c>
      <c r="B2954" s="31" t="n">
        <f aca="false">Demand_History!A2954</f>
        <v>41</v>
      </c>
      <c r="C2954" s="32" t="n">
        <f aca="false">Demand_History!D2954</f>
        <v>23</v>
      </c>
      <c r="D2954" s="33" t="n">
        <f aca="false">IF(B2954&gt;=2,C2953,"")</f>
        <v>30</v>
      </c>
      <c r="E2954" s="33" t="n">
        <f aca="false">IF(B2954&gt;=5,AVERAGE(C2950:C2953),"")</f>
        <v>25.75</v>
      </c>
      <c r="F2954" s="33" t="n">
        <f aca="false">IF(B2954&gt;=9,AVERAGE(C2946:C2953),"")</f>
        <v>26.25</v>
      </c>
      <c r="G2954" s="33" t="n">
        <f aca="false">IF(B2954=1,"",IF(B2954=2,C2953,SES_Alpha*C2953+(1-SES_Alpha)*G2953))</f>
        <v>26.2473722173806</v>
      </c>
      <c r="H2954" s="33" t="n">
        <f aca="false">IF(D2954="","",D2954-C2954)</f>
        <v>7</v>
      </c>
      <c r="I2954" s="33" t="n">
        <f aca="false">IF(E2954="","",E2954-C2954)</f>
        <v>2.75</v>
      </c>
      <c r="J2954" s="33" t="n">
        <f aca="false">IF(F2954="","",F2954-C2954)</f>
        <v>3.25</v>
      </c>
      <c r="K2954" s="33" t="n">
        <f aca="false">IF(G2954="","",G2954-C2954)</f>
        <v>3.2473722173806</v>
      </c>
      <c r="L2954" s="33" t="n">
        <f aca="false">IF(H2954="","",ABS(H2954))</f>
        <v>7</v>
      </c>
      <c r="M2954" s="33" t="n">
        <f aca="false">IF(I2954="","",ABS(I2954))</f>
        <v>2.75</v>
      </c>
      <c r="N2954" s="33" t="n">
        <f aca="false">IF(J2954="","",ABS(J2954))</f>
        <v>3.25</v>
      </c>
      <c r="O2954" s="33" t="n">
        <f aca="false">IF(K2954="","",ABS(K2954))</f>
        <v>3.2473722173806</v>
      </c>
      <c r="P2954" s="34" t="str">
        <f aca="false">IF(B2954&gt;=Eval_Start_Week,"YES","")</f>
        <v/>
      </c>
      <c r="Q2954" s="34" t="str">
        <f aca="false">IF(AND(B2954&gt;=Cal_Start_Week,B2954&lt;=Cal_End_Week),"YES","")</f>
        <v>YES</v>
      </c>
    </row>
    <row r="2955" customFormat="false" ht="15" hidden="false" customHeight="false" outlineLevel="0" collapsed="false">
      <c r="A2955" s="31" t="str">
        <f aca="false">Demand_History!C2955</f>
        <v>BED-009</v>
      </c>
      <c r="B2955" s="31" t="n">
        <f aca="false">Demand_History!A2955</f>
        <v>42</v>
      </c>
      <c r="C2955" s="32" t="n">
        <f aca="false">Demand_History!D2955</f>
        <v>28</v>
      </c>
      <c r="D2955" s="33" t="n">
        <f aca="false">IF(B2955&gt;=2,C2954,"")</f>
        <v>23</v>
      </c>
      <c r="E2955" s="33" t="n">
        <f aca="false">IF(B2955&gt;=5,AVERAGE(C2951:C2954),"")</f>
        <v>24.25</v>
      </c>
      <c r="F2955" s="33" t="n">
        <f aca="false">IF(B2955&gt;=9,AVERAGE(C2947:C2954),"")</f>
        <v>25.875</v>
      </c>
      <c r="G2955" s="33" t="n">
        <f aca="false">IF(B2955=1,"",IF(B2955=2,C2954,SES_Alpha*C2954+(1-SES_Alpha)*G2954))</f>
        <v>25.2731605521664</v>
      </c>
      <c r="H2955" s="33" t="n">
        <f aca="false">IF(D2955="","",D2955-C2955)</f>
        <v>-5</v>
      </c>
      <c r="I2955" s="33" t="n">
        <f aca="false">IF(E2955="","",E2955-C2955)</f>
        <v>-3.75</v>
      </c>
      <c r="J2955" s="33" t="n">
        <f aca="false">IF(F2955="","",F2955-C2955)</f>
        <v>-2.125</v>
      </c>
      <c r="K2955" s="33" t="n">
        <f aca="false">IF(G2955="","",G2955-C2955)</f>
        <v>-2.72683944783358</v>
      </c>
      <c r="L2955" s="33" t="n">
        <f aca="false">IF(H2955="","",ABS(H2955))</f>
        <v>5</v>
      </c>
      <c r="M2955" s="33" t="n">
        <f aca="false">IF(I2955="","",ABS(I2955))</f>
        <v>3.75</v>
      </c>
      <c r="N2955" s="33" t="n">
        <f aca="false">IF(J2955="","",ABS(J2955))</f>
        <v>2.125</v>
      </c>
      <c r="O2955" s="33" t="n">
        <f aca="false">IF(K2955="","",ABS(K2955))</f>
        <v>2.72683944783358</v>
      </c>
      <c r="P2955" s="34" t="str">
        <f aca="false">IF(B2955&gt;=Eval_Start_Week,"YES","")</f>
        <v/>
      </c>
      <c r="Q2955" s="34" t="str">
        <f aca="false">IF(AND(B2955&gt;=Cal_Start_Week,B2955&lt;=Cal_End_Week),"YES","")</f>
        <v>YES</v>
      </c>
    </row>
    <row r="2956" customFormat="false" ht="15" hidden="false" customHeight="false" outlineLevel="0" collapsed="false">
      <c r="A2956" s="31" t="str">
        <f aca="false">Demand_History!C2956</f>
        <v>BED-009</v>
      </c>
      <c r="B2956" s="31" t="n">
        <f aca="false">Demand_History!A2956</f>
        <v>43</v>
      </c>
      <c r="C2956" s="32" t="n">
        <f aca="false">Demand_History!D2956</f>
        <v>29</v>
      </c>
      <c r="D2956" s="33" t="n">
        <f aca="false">IF(B2956&gt;=2,C2955,"")</f>
        <v>28</v>
      </c>
      <c r="E2956" s="33" t="n">
        <f aca="false">IF(B2956&gt;=5,AVERAGE(C2952:C2955),"")</f>
        <v>25.75</v>
      </c>
      <c r="F2956" s="33" t="n">
        <f aca="false">IF(B2956&gt;=9,AVERAGE(C2948:C2955),"")</f>
        <v>26.25</v>
      </c>
      <c r="G2956" s="33" t="n">
        <f aca="false">IF(B2956=1,"",IF(B2956=2,C2955,SES_Alpha*C2955+(1-SES_Alpha)*G2955))</f>
        <v>26.0912123865165</v>
      </c>
      <c r="H2956" s="33" t="n">
        <f aca="false">IF(D2956="","",D2956-C2956)</f>
        <v>-1</v>
      </c>
      <c r="I2956" s="33" t="n">
        <f aca="false">IF(E2956="","",E2956-C2956)</f>
        <v>-3.25</v>
      </c>
      <c r="J2956" s="33" t="n">
        <f aca="false">IF(F2956="","",F2956-C2956)</f>
        <v>-2.75</v>
      </c>
      <c r="K2956" s="33" t="n">
        <f aca="false">IF(G2956="","",G2956-C2956)</f>
        <v>-2.90878761348351</v>
      </c>
      <c r="L2956" s="33" t="n">
        <f aca="false">IF(H2956="","",ABS(H2956))</f>
        <v>1</v>
      </c>
      <c r="M2956" s="33" t="n">
        <f aca="false">IF(I2956="","",ABS(I2956))</f>
        <v>3.25</v>
      </c>
      <c r="N2956" s="33" t="n">
        <f aca="false">IF(J2956="","",ABS(J2956))</f>
        <v>2.75</v>
      </c>
      <c r="O2956" s="33" t="n">
        <f aca="false">IF(K2956="","",ABS(K2956))</f>
        <v>2.90878761348351</v>
      </c>
      <c r="P2956" s="34" t="str">
        <f aca="false">IF(B2956&gt;=Eval_Start_Week,"YES","")</f>
        <v/>
      </c>
      <c r="Q2956" s="34" t="str">
        <f aca="false">IF(AND(B2956&gt;=Cal_Start_Week,B2956&lt;=Cal_End_Week),"YES","")</f>
        <v>YES</v>
      </c>
    </row>
    <row r="2957" customFormat="false" ht="15" hidden="false" customHeight="false" outlineLevel="0" collapsed="false">
      <c r="A2957" s="31" t="str">
        <f aca="false">Demand_History!C2957</f>
        <v>BED-009</v>
      </c>
      <c r="B2957" s="31" t="n">
        <f aca="false">Demand_History!A2957</f>
        <v>44</v>
      </c>
      <c r="C2957" s="32" t="n">
        <f aca="false">Demand_History!D2957</f>
        <v>22</v>
      </c>
      <c r="D2957" s="33" t="n">
        <f aca="false">IF(B2957&gt;=2,C2956,"")</f>
        <v>29</v>
      </c>
      <c r="E2957" s="33" t="n">
        <f aca="false">IF(B2957&gt;=5,AVERAGE(C2953:C2956),"")</f>
        <v>27.5</v>
      </c>
      <c r="F2957" s="33" t="n">
        <f aca="false">IF(B2957&gt;=9,AVERAGE(C2949:C2956),"")</f>
        <v>26.75</v>
      </c>
      <c r="G2957" s="33" t="n">
        <f aca="false">IF(B2957=1,"",IF(B2957=2,C2956,SES_Alpha*C2956+(1-SES_Alpha)*G2956))</f>
        <v>26.9638486705615</v>
      </c>
      <c r="H2957" s="33" t="n">
        <f aca="false">IF(D2957="","",D2957-C2957)</f>
        <v>7</v>
      </c>
      <c r="I2957" s="33" t="n">
        <f aca="false">IF(E2957="","",E2957-C2957)</f>
        <v>5.5</v>
      </c>
      <c r="J2957" s="33" t="n">
        <f aca="false">IF(F2957="","",F2957-C2957)</f>
        <v>4.75</v>
      </c>
      <c r="K2957" s="33" t="n">
        <f aca="false">IF(G2957="","",G2957-C2957)</f>
        <v>4.96384867056154</v>
      </c>
      <c r="L2957" s="33" t="n">
        <f aca="false">IF(H2957="","",ABS(H2957))</f>
        <v>7</v>
      </c>
      <c r="M2957" s="33" t="n">
        <f aca="false">IF(I2957="","",ABS(I2957))</f>
        <v>5.5</v>
      </c>
      <c r="N2957" s="33" t="n">
        <f aca="false">IF(J2957="","",ABS(J2957))</f>
        <v>4.75</v>
      </c>
      <c r="O2957" s="33" t="n">
        <f aca="false">IF(K2957="","",ABS(K2957))</f>
        <v>4.96384867056154</v>
      </c>
      <c r="P2957" s="34" t="str">
        <f aca="false">IF(B2957&gt;=Eval_Start_Week,"YES","")</f>
        <v/>
      </c>
      <c r="Q2957" s="34" t="str">
        <f aca="false">IF(AND(B2957&gt;=Cal_Start_Week,B2957&lt;=Cal_End_Week),"YES","")</f>
        <v>YES</v>
      </c>
    </row>
    <row r="2958" customFormat="false" ht="15" hidden="false" customHeight="false" outlineLevel="0" collapsed="false">
      <c r="A2958" s="31" t="str">
        <f aca="false">Demand_History!C2958</f>
        <v>BED-009</v>
      </c>
      <c r="B2958" s="31" t="n">
        <f aca="false">Demand_History!A2958</f>
        <v>45</v>
      </c>
      <c r="C2958" s="32" t="n">
        <f aca="false">Demand_History!D2958</f>
        <v>22</v>
      </c>
      <c r="D2958" s="33" t="n">
        <f aca="false">IF(B2958&gt;=2,C2957,"")</f>
        <v>22</v>
      </c>
      <c r="E2958" s="33" t="n">
        <f aca="false">IF(B2958&gt;=5,AVERAGE(C2954:C2957),"")</f>
        <v>25.5</v>
      </c>
      <c r="F2958" s="33" t="n">
        <f aca="false">IF(B2958&gt;=9,AVERAGE(C2950:C2957),"")</f>
        <v>25.625</v>
      </c>
      <c r="G2958" s="33" t="n">
        <f aca="false">IF(B2958=1,"",IF(B2958=2,C2957,SES_Alpha*C2957+(1-SES_Alpha)*G2957))</f>
        <v>25.4746940693931</v>
      </c>
      <c r="H2958" s="33" t="n">
        <f aca="false">IF(D2958="","",D2958-C2958)</f>
        <v>0</v>
      </c>
      <c r="I2958" s="33" t="n">
        <f aca="false">IF(E2958="","",E2958-C2958)</f>
        <v>3.5</v>
      </c>
      <c r="J2958" s="33" t="n">
        <f aca="false">IF(F2958="","",F2958-C2958)</f>
        <v>3.625</v>
      </c>
      <c r="K2958" s="33" t="n">
        <f aca="false">IF(G2958="","",G2958-C2958)</f>
        <v>3.47469406939307</v>
      </c>
      <c r="L2958" s="33" t="n">
        <f aca="false">IF(H2958="","",ABS(H2958))</f>
        <v>0</v>
      </c>
      <c r="M2958" s="33" t="n">
        <f aca="false">IF(I2958="","",ABS(I2958))</f>
        <v>3.5</v>
      </c>
      <c r="N2958" s="33" t="n">
        <f aca="false">IF(J2958="","",ABS(J2958))</f>
        <v>3.625</v>
      </c>
      <c r="O2958" s="33" t="n">
        <f aca="false">IF(K2958="","",ABS(K2958))</f>
        <v>3.47469406939307</v>
      </c>
      <c r="P2958" s="34" t="str">
        <f aca="false">IF(B2958&gt;=Eval_Start_Week,"YES","")</f>
        <v/>
      </c>
      <c r="Q2958" s="34" t="str">
        <f aca="false">IF(AND(B2958&gt;=Cal_Start_Week,B2958&lt;=Cal_End_Week),"YES","")</f>
        <v>YES</v>
      </c>
    </row>
    <row r="2959" customFormat="false" ht="15" hidden="false" customHeight="false" outlineLevel="0" collapsed="false">
      <c r="A2959" s="31" t="str">
        <f aca="false">Demand_History!C2959</f>
        <v>BED-009</v>
      </c>
      <c r="B2959" s="31" t="n">
        <f aca="false">Demand_History!A2959</f>
        <v>46</v>
      </c>
      <c r="C2959" s="32" t="n">
        <f aca="false">Demand_History!D2959</f>
        <v>23</v>
      </c>
      <c r="D2959" s="33" t="n">
        <f aca="false">IF(B2959&gt;=2,C2958,"")</f>
        <v>22</v>
      </c>
      <c r="E2959" s="33" t="n">
        <f aca="false">IF(B2959&gt;=5,AVERAGE(C2955:C2958),"")</f>
        <v>25.25</v>
      </c>
      <c r="F2959" s="33" t="n">
        <f aca="false">IF(B2959&gt;=9,AVERAGE(C2951:C2958),"")</f>
        <v>24.75</v>
      </c>
      <c r="G2959" s="33" t="n">
        <f aca="false">IF(B2959=1,"",IF(B2959=2,C2958,SES_Alpha*C2958+(1-SES_Alpha)*G2958))</f>
        <v>24.4322858485751</v>
      </c>
      <c r="H2959" s="33" t="n">
        <f aca="false">IF(D2959="","",D2959-C2959)</f>
        <v>-1</v>
      </c>
      <c r="I2959" s="33" t="n">
        <f aca="false">IF(E2959="","",E2959-C2959)</f>
        <v>2.25</v>
      </c>
      <c r="J2959" s="33" t="n">
        <f aca="false">IF(F2959="","",F2959-C2959)</f>
        <v>1.75</v>
      </c>
      <c r="K2959" s="33" t="n">
        <f aca="false">IF(G2959="","",G2959-C2959)</f>
        <v>1.43228584857515</v>
      </c>
      <c r="L2959" s="33" t="n">
        <f aca="false">IF(H2959="","",ABS(H2959))</f>
        <v>1</v>
      </c>
      <c r="M2959" s="33" t="n">
        <f aca="false">IF(I2959="","",ABS(I2959))</f>
        <v>2.25</v>
      </c>
      <c r="N2959" s="33" t="n">
        <f aca="false">IF(J2959="","",ABS(J2959))</f>
        <v>1.75</v>
      </c>
      <c r="O2959" s="33" t="n">
        <f aca="false">IF(K2959="","",ABS(K2959))</f>
        <v>1.43228584857515</v>
      </c>
      <c r="P2959" s="34" t="str">
        <f aca="false">IF(B2959&gt;=Eval_Start_Week,"YES","")</f>
        <v/>
      </c>
      <c r="Q2959" s="34" t="str">
        <f aca="false">IF(AND(B2959&gt;=Cal_Start_Week,B2959&lt;=Cal_End_Week),"YES","")</f>
        <v>YES</v>
      </c>
    </row>
    <row r="2960" customFormat="false" ht="15" hidden="false" customHeight="false" outlineLevel="0" collapsed="false">
      <c r="A2960" s="31" t="str">
        <f aca="false">Demand_History!C2960</f>
        <v>BED-009</v>
      </c>
      <c r="B2960" s="31" t="n">
        <f aca="false">Demand_History!A2960</f>
        <v>47</v>
      </c>
      <c r="C2960" s="32" t="n">
        <f aca="false">Demand_History!D2960</f>
        <v>20</v>
      </c>
      <c r="D2960" s="33" t="n">
        <f aca="false">IF(B2960&gt;=2,C2959,"")</f>
        <v>23</v>
      </c>
      <c r="E2960" s="33" t="n">
        <f aca="false">IF(B2960&gt;=5,AVERAGE(C2956:C2959),"")</f>
        <v>24</v>
      </c>
      <c r="F2960" s="33" t="n">
        <f aca="false">IF(B2960&gt;=9,AVERAGE(C2952:C2959),"")</f>
        <v>24.875</v>
      </c>
      <c r="G2960" s="33" t="n">
        <f aca="false">IF(B2960=1,"",IF(B2960=2,C2959,SES_Alpha*C2959+(1-SES_Alpha)*G2959))</f>
        <v>24.0026000940026</v>
      </c>
      <c r="H2960" s="33" t="n">
        <f aca="false">IF(D2960="","",D2960-C2960)</f>
        <v>3</v>
      </c>
      <c r="I2960" s="33" t="n">
        <f aca="false">IF(E2960="","",E2960-C2960)</f>
        <v>4</v>
      </c>
      <c r="J2960" s="33" t="n">
        <f aca="false">IF(F2960="","",F2960-C2960)</f>
        <v>4.875</v>
      </c>
      <c r="K2960" s="33" t="n">
        <f aca="false">IF(G2960="","",G2960-C2960)</f>
        <v>4.0026000940026</v>
      </c>
      <c r="L2960" s="33" t="n">
        <f aca="false">IF(H2960="","",ABS(H2960))</f>
        <v>3</v>
      </c>
      <c r="M2960" s="33" t="n">
        <f aca="false">IF(I2960="","",ABS(I2960))</f>
        <v>4</v>
      </c>
      <c r="N2960" s="33" t="n">
        <f aca="false">IF(J2960="","",ABS(J2960))</f>
        <v>4.875</v>
      </c>
      <c r="O2960" s="33" t="n">
        <f aca="false">IF(K2960="","",ABS(K2960))</f>
        <v>4.0026000940026</v>
      </c>
      <c r="P2960" s="34" t="str">
        <f aca="false">IF(B2960&gt;=Eval_Start_Week,"YES","")</f>
        <v/>
      </c>
      <c r="Q2960" s="34" t="str">
        <f aca="false">IF(AND(B2960&gt;=Cal_Start_Week,B2960&lt;=Cal_End_Week),"YES","")</f>
        <v>YES</v>
      </c>
    </row>
    <row r="2961" customFormat="false" ht="15" hidden="false" customHeight="false" outlineLevel="0" collapsed="false">
      <c r="A2961" s="31" t="str">
        <f aca="false">Demand_History!C2961</f>
        <v>BED-009</v>
      </c>
      <c r="B2961" s="31" t="n">
        <f aca="false">Demand_History!A2961</f>
        <v>48</v>
      </c>
      <c r="C2961" s="32" t="n">
        <f aca="false">Demand_History!D2961</f>
        <v>20</v>
      </c>
      <c r="D2961" s="33" t="n">
        <f aca="false">IF(B2961&gt;=2,C2960,"")</f>
        <v>20</v>
      </c>
      <c r="E2961" s="33" t="n">
        <f aca="false">IF(B2961&gt;=5,AVERAGE(C2957:C2960),"")</f>
        <v>21.75</v>
      </c>
      <c r="F2961" s="33" t="n">
        <f aca="false">IF(B2961&gt;=9,AVERAGE(C2953:C2960),"")</f>
        <v>24.625</v>
      </c>
      <c r="G2961" s="33" t="n">
        <f aca="false">IF(B2961=1,"",IF(B2961=2,C2960,SES_Alpha*C2960+(1-SES_Alpha)*G2960))</f>
        <v>22.8018200658018</v>
      </c>
      <c r="H2961" s="33" t="n">
        <f aca="false">IF(D2961="","",D2961-C2961)</f>
        <v>0</v>
      </c>
      <c r="I2961" s="33" t="n">
        <f aca="false">IF(E2961="","",E2961-C2961)</f>
        <v>1.75</v>
      </c>
      <c r="J2961" s="33" t="n">
        <f aca="false">IF(F2961="","",F2961-C2961)</f>
        <v>4.625</v>
      </c>
      <c r="K2961" s="33" t="n">
        <f aca="false">IF(G2961="","",G2961-C2961)</f>
        <v>2.80182006580182</v>
      </c>
      <c r="L2961" s="33" t="n">
        <f aca="false">IF(H2961="","",ABS(H2961))</f>
        <v>0</v>
      </c>
      <c r="M2961" s="33" t="n">
        <f aca="false">IF(I2961="","",ABS(I2961))</f>
        <v>1.75</v>
      </c>
      <c r="N2961" s="33" t="n">
        <f aca="false">IF(J2961="","",ABS(J2961))</f>
        <v>4.625</v>
      </c>
      <c r="O2961" s="33" t="n">
        <f aca="false">IF(K2961="","",ABS(K2961))</f>
        <v>2.80182006580182</v>
      </c>
      <c r="P2961" s="34" t="str">
        <f aca="false">IF(B2961&gt;=Eval_Start_Week,"YES","")</f>
        <v/>
      </c>
      <c r="Q2961" s="34" t="str">
        <f aca="false">IF(AND(B2961&gt;=Cal_Start_Week,B2961&lt;=Cal_End_Week),"YES","")</f>
        <v>YES</v>
      </c>
    </row>
    <row r="2962" customFormat="false" ht="15" hidden="false" customHeight="false" outlineLevel="0" collapsed="false">
      <c r="A2962" s="31" t="str">
        <f aca="false">Demand_History!C2962</f>
        <v>BED-009</v>
      </c>
      <c r="B2962" s="31" t="n">
        <f aca="false">Demand_History!A2962</f>
        <v>49</v>
      </c>
      <c r="C2962" s="32" t="n">
        <f aca="false">Demand_History!D2962</f>
        <v>21</v>
      </c>
      <c r="D2962" s="33" t="n">
        <f aca="false">IF(B2962&gt;=2,C2961,"")</f>
        <v>20</v>
      </c>
      <c r="E2962" s="33" t="n">
        <f aca="false">IF(B2962&gt;=5,AVERAGE(C2958:C2961),"")</f>
        <v>21.25</v>
      </c>
      <c r="F2962" s="33" t="n">
        <f aca="false">IF(B2962&gt;=9,AVERAGE(C2954:C2961),"")</f>
        <v>23.375</v>
      </c>
      <c r="G2962" s="33" t="n">
        <f aca="false">IF(B2962=1,"",IF(B2962=2,C2961,SES_Alpha*C2961+(1-SES_Alpha)*G2961))</f>
        <v>21.9612740460613</v>
      </c>
      <c r="H2962" s="33" t="n">
        <f aca="false">IF(D2962="","",D2962-C2962)</f>
        <v>-1</v>
      </c>
      <c r="I2962" s="33" t="n">
        <f aca="false">IF(E2962="","",E2962-C2962)</f>
        <v>0.25</v>
      </c>
      <c r="J2962" s="33" t="n">
        <f aca="false">IF(F2962="","",F2962-C2962)</f>
        <v>2.375</v>
      </c>
      <c r="K2962" s="33" t="n">
        <f aca="false">IF(G2962="","",G2962-C2962)</f>
        <v>0.961274046061273</v>
      </c>
      <c r="L2962" s="33" t="n">
        <f aca="false">IF(H2962="","",ABS(H2962))</f>
        <v>1</v>
      </c>
      <c r="M2962" s="33" t="n">
        <f aca="false">IF(I2962="","",ABS(I2962))</f>
        <v>0.25</v>
      </c>
      <c r="N2962" s="33" t="n">
        <f aca="false">IF(J2962="","",ABS(J2962))</f>
        <v>2.375</v>
      </c>
      <c r="O2962" s="33" t="n">
        <f aca="false">IF(K2962="","",ABS(K2962))</f>
        <v>0.961274046061273</v>
      </c>
      <c r="P2962" s="34" t="str">
        <f aca="false">IF(B2962&gt;=Eval_Start_Week,"YES","")</f>
        <v/>
      </c>
      <c r="Q2962" s="34" t="str">
        <f aca="false">IF(AND(B2962&gt;=Cal_Start_Week,B2962&lt;=Cal_End_Week),"YES","")</f>
        <v>YES</v>
      </c>
    </row>
    <row r="2963" customFormat="false" ht="15" hidden="false" customHeight="false" outlineLevel="0" collapsed="false">
      <c r="A2963" s="31" t="str">
        <f aca="false">Demand_History!C2963</f>
        <v>BED-009</v>
      </c>
      <c r="B2963" s="31" t="n">
        <f aca="false">Demand_History!A2963</f>
        <v>50</v>
      </c>
      <c r="C2963" s="32" t="n">
        <f aca="false">Demand_History!D2963</f>
        <v>25</v>
      </c>
      <c r="D2963" s="33" t="n">
        <f aca="false">IF(B2963&gt;=2,C2962,"")</f>
        <v>21</v>
      </c>
      <c r="E2963" s="33" t="n">
        <f aca="false">IF(B2963&gt;=5,AVERAGE(C2959:C2962),"")</f>
        <v>21</v>
      </c>
      <c r="F2963" s="33" t="n">
        <f aca="false">IF(B2963&gt;=9,AVERAGE(C2955:C2962),"")</f>
        <v>23.125</v>
      </c>
      <c r="G2963" s="33" t="n">
        <f aca="false">IF(B2963=1,"",IF(B2963=2,C2962,SES_Alpha*C2962+(1-SES_Alpha)*G2962))</f>
        <v>21.6728918322429</v>
      </c>
      <c r="H2963" s="33" t="n">
        <f aca="false">IF(D2963="","",D2963-C2963)</f>
        <v>-4</v>
      </c>
      <c r="I2963" s="33" t="n">
        <f aca="false">IF(E2963="","",E2963-C2963)</f>
        <v>-4</v>
      </c>
      <c r="J2963" s="33" t="n">
        <f aca="false">IF(F2963="","",F2963-C2963)</f>
        <v>-1.875</v>
      </c>
      <c r="K2963" s="33" t="n">
        <f aca="false">IF(G2963="","",G2963-C2963)</f>
        <v>-3.32710816775711</v>
      </c>
      <c r="L2963" s="33" t="n">
        <f aca="false">IF(H2963="","",ABS(H2963))</f>
        <v>4</v>
      </c>
      <c r="M2963" s="33" t="n">
        <f aca="false">IF(I2963="","",ABS(I2963))</f>
        <v>4</v>
      </c>
      <c r="N2963" s="33" t="n">
        <f aca="false">IF(J2963="","",ABS(J2963))</f>
        <v>1.875</v>
      </c>
      <c r="O2963" s="33" t="n">
        <f aca="false">IF(K2963="","",ABS(K2963))</f>
        <v>3.32710816775711</v>
      </c>
      <c r="P2963" s="34" t="str">
        <f aca="false">IF(B2963&gt;=Eval_Start_Week,"YES","")</f>
        <v/>
      </c>
      <c r="Q2963" s="34" t="str">
        <f aca="false">IF(AND(B2963&gt;=Cal_Start_Week,B2963&lt;=Cal_End_Week),"YES","")</f>
        <v>YES</v>
      </c>
    </row>
    <row r="2964" customFormat="false" ht="15" hidden="false" customHeight="false" outlineLevel="0" collapsed="false">
      <c r="A2964" s="31" t="str">
        <f aca="false">Demand_History!C2964</f>
        <v>BED-009</v>
      </c>
      <c r="B2964" s="31" t="n">
        <f aca="false">Demand_History!A2964</f>
        <v>51</v>
      </c>
      <c r="C2964" s="32" t="n">
        <f aca="false">Demand_History!D2964</f>
        <v>21</v>
      </c>
      <c r="D2964" s="33" t="n">
        <f aca="false">IF(B2964&gt;=2,C2963,"")</f>
        <v>25</v>
      </c>
      <c r="E2964" s="33" t="n">
        <f aca="false">IF(B2964&gt;=5,AVERAGE(C2960:C2963),"")</f>
        <v>21.5</v>
      </c>
      <c r="F2964" s="33" t="n">
        <f aca="false">IF(B2964&gt;=9,AVERAGE(C2956:C2963),"")</f>
        <v>22.75</v>
      </c>
      <c r="G2964" s="33" t="n">
        <f aca="false">IF(B2964=1,"",IF(B2964=2,C2963,SES_Alpha*C2963+(1-SES_Alpha)*G2963))</f>
        <v>22.67102428257</v>
      </c>
      <c r="H2964" s="33" t="n">
        <f aca="false">IF(D2964="","",D2964-C2964)</f>
        <v>4</v>
      </c>
      <c r="I2964" s="33" t="n">
        <f aca="false">IF(E2964="","",E2964-C2964)</f>
        <v>0.5</v>
      </c>
      <c r="J2964" s="33" t="n">
        <f aca="false">IF(F2964="","",F2964-C2964)</f>
        <v>1.75</v>
      </c>
      <c r="K2964" s="33" t="n">
        <f aca="false">IF(G2964="","",G2964-C2964)</f>
        <v>1.67102428257002</v>
      </c>
      <c r="L2964" s="33" t="n">
        <f aca="false">IF(H2964="","",ABS(H2964))</f>
        <v>4</v>
      </c>
      <c r="M2964" s="33" t="n">
        <f aca="false">IF(I2964="","",ABS(I2964))</f>
        <v>0.5</v>
      </c>
      <c r="N2964" s="33" t="n">
        <f aca="false">IF(J2964="","",ABS(J2964))</f>
        <v>1.75</v>
      </c>
      <c r="O2964" s="33" t="n">
        <f aca="false">IF(K2964="","",ABS(K2964))</f>
        <v>1.67102428257002</v>
      </c>
      <c r="P2964" s="34" t="str">
        <f aca="false">IF(B2964&gt;=Eval_Start_Week,"YES","")</f>
        <v/>
      </c>
      <c r="Q2964" s="34" t="str">
        <f aca="false">IF(AND(B2964&gt;=Cal_Start_Week,B2964&lt;=Cal_End_Week),"YES","")</f>
        <v>YES</v>
      </c>
    </row>
    <row r="2965" customFormat="false" ht="15" hidden="false" customHeight="false" outlineLevel="0" collapsed="false">
      <c r="A2965" s="31" t="str">
        <f aca="false">Demand_History!C2965</f>
        <v>BED-009</v>
      </c>
      <c r="B2965" s="31" t="n">
        <f aca="false">Demand_History!A2965</f>
        <v>52</v>
      </c>
      <c r="C2965" s="32" t="n">
        <f aca="false">Demand_History!D2965</f>
        <v>21</v>
      </c>
      <c r="D2965" s="33" t="n">
        <f aca="false">IF(B2965&gt;=2,C2964,"")</f>
        <v>21</v>
      </c>
      <c r="E2965" s="33" t="n">
        <f aca="false">IF(B2965&gt;=5,AVERAGE(C2961:C2964),"")</f>
        <v>21.75</v>
      </c>
      <c r="F2965" s="33" t="n">
        <f aca="false">IF(B2965&gt;=9,AVERAGE(C2957:C2964),"")</f>
        <v>21.75</v>
      </c>
      <c r="G2965" s="33" t="n">
        <f aca="false">IF(B2965=1,"",IF(B2965=2,C2964,SES_Alpha*C2964+(1-SES_Alpha)*G2964))</f>
        <v>22.169716997799</v>
      </c>
      <c r="H2965" s="33" t="n">
        <f aca="false">IF(D2965="","",D2965-C2965)</f>
        <v>0</v>
      </c>
      <c r="I2965" s="33" t="n">
        <f aca="false">IF(E2965="","",E2965-C2965)</f>
        <v>0.75</v>
      </c>
      <c r="J2965" s="33" t="n">
        <f aca="false">IF(F2965="","",F2965-C2965)</f>
        <v>0.75</v>
      </c>
      <c r="K2965" s="33" t="n">
        <f aca="false">IF(G2965="","",G2965-C2965)</f>
        <v>1.16971699779901</v>
      </c>
      <c r="L2965" s="33" t="n">
        <f aca="false">IF(H2965="","",ABS(H2965))</f>
        <v>0</v>
      </c>
      <c r="M2965" s="33" t="n">
        <f aca="false">IF(I2965="","",ABS(I2965))</f>
        <v>0.75</v>
      </c>
      <c r="N2965" s="33" t="n">
        <f aca="false">IF(J2965="","",ABS(J2965))</f>
        <v>0.75</v>
      </c>
      <c r="O2965" s="33" t="n">
        <f aca="false">IF(K2965="","",ABS(K2965))</f>
        <v>1.16971699779901</v>
      </c>
      <c r="P2965" s="34" t="str">
        <f aca="false">IF(B2965&gt;=Eval_Start_Week,"YES","")</f>
        <v/>
      </c>
      <c r="Q2965" s="34" t="str">
        <f aca="false">IF(AND(B2965&gt;=Cal_Start_Week,B2965&lt;=Cal_End_Week),"YES","")</f>
        <v>YES</v>
      </c>
    </row>
    <row r="2966" customFormat="false" ht="15" hidden="false" customHeight="false" outlineLevel="0" collapsed="false">
      <c r="A2966" s="31" t="str">
        <f aca="false">Demand_History!C2966</f>
        <v>BED-009</v>
      </c>
      <c r="B2966" s="31" t="n">
        <f aca="false">Demand_History!A2966</f>
        <v>53</v>
      </c>
      <c r="C2966" s="32" t="n">
        <f aca="false">Demand_History!D2966</f>
        <v>21</v>
      </c>
      <c r="D2966" s="33" t="n">
        <f aca="false">IF(B2966&gt;=2,C2965,"")</f>
        <v>21</v>
      </c>
      <c r="E2966" s="33" t="n">
        <f aca="false">IF(B2966&gt;=5,AVERAGE(C2962:C2965),"")</f>
        <v>22</v>
      </c>
      <c r="F2966" s="33" t="n">
        <f aca="false">IF(B2966&gt;=9,AVERAGE(C2958:C2965),"")</f>
        <v>21.625</v>
      </c>
      <c r="G2966" s="33" t="n">
        <f aca="false">IF(B2966=1,"",IF(B2966=2,C2965,SES_Alpha*C2965+(1-SES_Alpha)*G2965))</f>
        <v>21.8188018984593</v>
      </c>
      <c r="H2966" s="33" t="n">
        <f aca="false">IF(D2966="","",D2966-C2966)</f>
        <v>0</v>
      </c>
      <c r="I2966" s="33" t="n">
        <f aca="false">IF(E2966="","",E2966-C2966)</f>
        <v>1</v>
      </c>
      <c r="J2966" s="33" t="n">
        <f aca="false">IF(F2966="","",F2966-C2966)</f>
        <v>0.625</v>
      </c>
      <c r="K2966" s="33" t="n">
        <f aca="false">IF(G2966="","",G2966-C2966)</f>
        <v>0.818801898459309</v>
      </c>
      <c r="L2966" s="33" t="n">
        <f aca="false">IF(H2966="","",ABS(H2966))</f>
        <v>0</v>
      </c>
      <c r="M2966" s="33" t="n">
        <f aca="false">IF(I2966="","",ABS(I2966))</f>
        <v>1</v>
      </c>
      <c r="N2966" s="33" t="n">
        <f aca="false">IF(J2966="","",ABS(J2966))</f>
        <v>0.625</v>
      </c>
      <c r="O2966" s="33" t="n">
        <f aca="false">IF(K2966="","",ABS(K2966))</f>
        <v>0.818801898459309</v>
      </c>
      <c r="P2966" s="34" t="str">
        <f aca="false">IF(B2966&gt;=Eval_Start_Week,"YES","")</f>
        <v>YES</v>
      </c>
      <c r="Q2966" s="34" t="str">
        <f aca="false">IF(AND(B2966&gt;=Cal_Start_Week,B2966&lt;=Cal_End_Week),"YES","")</f>
        <v>YES</v>
      </c>
    </row>
    <row r="2967" customFormat="false" ht="15" hidden="false" customHeight="false" outlineLevel="0" collapsed="false">
      <c r="A2967" s="31" t="str">
        <f aca="false">Demand_History!C2967</f>
        <v>BED-009</v>
      </c>
      <c r="B2967" s="31" t="n">
        <f aca="false">Demand_History!A2967</f>
        <v>54</v>
      </c>
      <c r="C2967" s="32" t="n">
        <f aca="false">Demand_History!D2967</f>
        <v>18</v>
      </c>
      <c r="D2967" s="33" t="n">
        <f aca="false">IF(B2967&gt;=2,C2966,"")</f>
        <v>21</v>
      </c>
      <c r="E2967" s="33" t="n">
        <f aca="false">IF(B2967&gt;=5,AVERAGE(C2963:C2966),"")</f>
        <v>22</v>
      </c>
      <c r="F2967" s="33" t="n">
        <f aca="false">IF(B2967&gt;=9,AVERAGE(C2959:C2966),"")</f>
        <v>21.5</v>
      </c>
      <c r="G2967" s="33" t="n">
        <f aca="false">IF(B2967=1,"",IF(B2967=2,C2966,SES_Alpha*C2966+(1-SES_Alpha)*G2966))</f>
        <v>21.5731613289215</v>
      </c>
      <c r="H2967" s="33" t="n">
        <f aca="false">IF(D2967="","",D2967-C2967)</f>
        <v>3</v>
      </c>
      <c r="I2967" s="33" t="n">
        <f aca="false">IF(E2967="","",E2967-C2967)</f>
        <v>4</v>
      </c>
      <c r="J2967" s="33" t="n">
        <f aca="false">IF(F2967="","",F2967-C2967)</f>
        <v>3.5</v>
      </c>
      <c r="K2967" s="33" t="n">
        <f aca="false">IF(G2967="","",G2967-C2967)</f>
        <v>3.57316132892151</v>
      </c>
      <c r="L2967" s="33" t="n">
        <f aca="false">IF(H2967="","",ABS(H2967))</f>
        <v>3</v>
      </c>
      <c r="M2967" s="33" t="n">
        <f aca="false">IF(I2967="","",ABS(I2967))</f>
        <v>4</v>
      </c>
      <c r="N2967" s="33" t="n">
        <f aca="false">IF(J2967="","",ABS(J2967))</f>
        <v>3.5</v>
      </c>
      <c r="O2967" s="33" t="n">
        <f aca="false">IF(K2967="","",ABS(K2967))</f>
        <v>3.57316132892151</v>
      </c>
      <c r="P2967" s="34" t="str">
        <f aca="false">IF(B2967&gt;=Eval_Start_Week,"YES","")</f>
        <v>YES</v>
      </c>
      <c r="Q2967" s="34" t="str">
        <f aca="false">IF(AND(B2967&gt;=Cal_Start_Week,B2967&lt;=Cal_End_Week),"YES","")</f>
        <v>YES</v>
      </c>
    </row>
    <row r="2968" customFormat="false" ht="15" hidden="false" customHeight="false" outlineLevel="0" collapsed="false">
      <c r="A2968" s="31" t="str">
        <f aca="false">Demand_History!C2968</f>
        <v>BED-009</v>
      </c>
      <c r="B2968" s="31" t="n">
        <f aca="false">Demand_History!A2968</f>
        <v>55</v>
      </c>
      <c r="C2968" s="32" t="n">
        <f aca="false">Demand_History!D2968</f>
        <v>26</v>
      </c>
      <c r="D2968" s="33" t="n">
        <f aca="false">IF(B2968&gt;=2,C2967,"")</f>
        <v>18</v>
      </c>
      <c r="E2968" s="33" t="n">
        <f aca="false">IF(B2968&gt;=5,AVERAGE(C2964:C2967),"")</f>
        <v>20.25</v>
      </c>
      <c r="F2968" s="33" t="n">
        <f aca="false">IF(B2968&gt;=9,AVERAGE(C2960:C2967),"")</f>
        <v>20.875</v>
      </c>
      <c r="G2968" s="33" t="n">
        <f aca="false">IF(B2968=1,"",IF(B2968=2,C2967,SES_Alpha*C2967+(1-SES_Alpha)*G2967))</f>
        <v>20.5012129302451</v>
      </c>
      <c r="H2968" s="33" t="n">
        <f aca="false">IF(D2968="","",D2968-C2968)</f>
        <v>-8</v>
      </c>
      <c r="I2968" s="33" t="n">
        <f aca="false">IF(E2968="","",E2968-C2968)</f>
        <v>-5.75</v>
      </c>
      <c r="J2968" s="33" t="n">
        <f aca="false">IF(F2968="","",F2968-C2968)</f>
        <v>-5.125</v>
      </c>
      <c r="K2968" s="33" t="n">
        <f aca="false">IF(G2968="","",G2968-C2968)</f>
        <v>-5.49878706975494</v>
      </c>
      <c r="L2968" s="33" t="n">
        <f aca="false">IF(H2968="","",ABS(H2968))</f>
        <v>8</v>
      </c>
      <c r="M2968" s="33" t="n">
        <f aca="false">IF(I2968="","",ABS(I2968))</f>
        <v>5.75</v>
      </c>
      <c r="N2968" s="33" t="n">
        <f aca="false">IF(J2968="","",ABS(J2968))</f>
        <v>5.125</v>
      </c>
      <c r="O2968" s="33" t="n">
        <f aca="false">IF(K2968="","",ABS(K2968))</f>
        <v>5.49878706975494</v>
      </c>
      <c r="P2968" s="34" t="str">
        <f aca="false">IF(B2968&gt;=Eval_Start_Week,"YES","")</f>
        <v>YES</v>
      </c>
      <c r="Q2968" s="34" t="str">
        <f aca="false">IF(AND(B2968&gt;=Cal_Start_Week,B2968&lt;=Cal_End_Week),"YES","")</f>
        <v>YES</v>
      </c>
    </row>
    <row r="2969" customFormat="false" ht="15" hidden="false" customHeight="false" outlineLevel="0" collapsed="false">
      <c r="A2969" s="31" t="str">
        <f aca="false">Demand_History!C2969</f>
        <v>BED-009</v>
      </c>
      <c r="B2969" s="31" t="n">
        <f aca="false">Demand_History!A2969</f>
        <v>56</v>
      </c>
      <c r="C2969" s="32" t="n">
        <f aca="false">Demand_History!D2969</f>
        <v>14</v>
      </c>
      <c r="D2969" s="33" t="n">
        <f aca="false">IF(B2969&gt;=2,C2968,"")</f>
        <v>26</v>
      </c>
      <c r="E2969" s="33" t="n">
        <f aca="false">IF(B2969&gt;=5,AVERAGE(C2965:C2968),"")</f>
        <v>21.5</v>
      </c>
      <c r="F2969" s="33" t="n">
        <f aca="false">IF(B2969&gt;=9,AVERAGE(C2961:C2968),"")</f>
        <v>21.625</v>
      </c>
      <c r="G2969" s="33" t="n">
        <f aca="false">IF(B2969=1,"",IF(B2969=2,C2968,SES_Alpha*C2968+(1-SES_Alpha)*G2968))</f>
        <v>22.1508490511715</v>
      </c>
      <c r="H2969" s="33" t="n">
        <f aca="false">IF(D2969="","",D2969-C2969)</f>
        <v>12</v>
      </c>
      <c r="I2969" s="33" t="n">
        <f aca="false">IF(E2969="","",E2969-C2969)</f>
        <v>7.5</v>
      </c>
      <c r="J2969" s="33" t="n">
        <f aca="false">IF(F2969="","",F2969-C2969)</f>
        <v>7.625</v>
      </c>
      <c r="K2969" s="33" t="n">
        <f aca="false">IF(G2969="","",G2969-C2969)</f>
        <v>8.15084905117154</v>
      </c>
      <c r="L2969" s="33" t="n">
        <f aca="false">IF(H2969="","",ABS(H2969))</f>
        <v>12</v>
      </c>
      <c r="M2969" s="33" t="n">
        <f aca="false">IF(I2969="","",ABS(I2969))</f>
        <v>7.5</v>
      </c>
      <c r="N2969" s="33" t="n">
        <f aca="false">IF(J2969="","",ABS(J2969))</f>
        <v>7.625</v>
      </c>
      <c r="O2969" s="33" t="n">
        <f aca="false">IF(K2969="","",ABS(K2969))</f>
        <v>8.15084905117154</v>
      </c>
      <c r="P2969" s="34" t="str">
        <f aca="false">IF(B2969&gt;=Eval_Start_Week,"YES","")</f>
        <v>YES</v>
      </c>
      <c r="Q2969" s="34" t="str">
        <f aca="false">IF(AND(B2969&gt;=Cal_Start_Week,B2969&lt;=Cal_End_Week),"YES","")</f>
        <v>YES</v>
      </c>
    </row>
    <row r="2970" customFormat="false" ht="15" hidden="false" customHeight="false" outlineLevel="0" collapsed="false">
      <c r="A2970" s="31" t="str">
        <f aca="false">Demand_History!C2970</f>
        <v>BED-009</v>
      </c>
      <c r="B2970" s="31" t="n">
        <f aca="false">Demand_History!A2970</f>
        <v>57</v>
      </c>
      <c r="C2970" s="32" t="n">
        <f aca="false">Demand_History!D2970</f>
        <v>19</v>
      </c>
      <c r="D2970" s="33" t="n">
        <f aca="false">IF(B2970&gt;=2,C2969,"")</f>
        <v>14</v>
      </c>
      <c r="E2970" s="33" t="n">
        <f aca="false">IF(B2970&gt;=5,AVERAGE(C2966:C2969),"")</f>
        <v>19.75</v>
      </c>
      <c r="F2970" s="33" t="n">
        <f aca="false">IF(B2970&gt;=9,AVERAGE(C2962:C2969),"")</f>
        <v>20.875</v>
      </c>
      <c r="G2970" s="33" t="n">
        <f aca="false">IF(B2970=1,"",IF(B2970=2,C2969,SES_Alpha*C2969+(1-SES_Alpha)*G2969))</f>
        <v>19.7055943358201</v>
      </c>
      <c r="H2970" s="33" t="n">
        <f aca="false">IF(D2970="","",D2970-C2970)</f>
        <v>-5</v>
      </c>
      <c r="I2970" s="33" t="n">
        <f aca="false">IF(E2970="","",E2970-C2970)</f>
        <v>0.75</v>
      </c>
      <c r="J2970" s="33" t="n">
        <f aca="false">IF(F2970="","",F2970-C2970)</f>
        <v>1.875</v>
      </c>
      <c r="K2970" s="33" t="n">
        <f aca="false">IF(G2970="","",G2970-C2970)</f>
        <v>0.705594335820077</v>
      </c>
      <c r="L2970" s="33" t="n">
        <f aca="false">IF(H2970="","",ABS(H2970))</f>
        <v>5</v>
      </c>
      <c r="M2970" s="33" t="n">
        <f aca="false">IF(I2970="","",ABS(I2970))</f>
        <v>0.75</v>
      </c>
      <c r="N2970" s="33" t="n">
        <f aca="false">IF(J2970="","",ABS(J2970))</f>
        <v>1.875</v>
      </c>
      <c r="O2970" s="33" t="n">
        <f aca="false">IF(K2970="","",ABS(K2970))</f>
        <v>0.705594335820077</v>
      </c>
      <c r="P2970" s="34" t="str">
        <f aca="false">IF(B2970&gt;=Eval_Start_Week,"YES","")</f>
        <v>YES</v>
      </c>
      <c r="Q2970" s="34" t="str">
        <f aca="false">IF(AND(B2970&gt;=Cal_Start_Week,B2970&lt;=Cal_End_Week),"YES","")</f>
        <v>YES</v>
      </c>
    </row>
    <row r="2971" customFormat="false" ht="15" hidden="false" customHeight="false" outlineLevel="0" collapsed="false">
      <c r="A2971" s="31" t="str">
        <f aca="false">Demand_History!C2971</f>
        <v>BED-009</v>
      </c>
      <c r="B2971" s="31" t="n">
        <f aca="false">Demand_History!A2971</f>
        <v>58</v>
      </c>
      <c r="C2971" s="32" t="n">
        <f aca="false">Demand_History!D2971</f>
        <v>23</v>
      </c>
      <c r="D2971" s="33" t="n">
        <f aca="false">IF(B2971&gt;=2,C2970,"")</f>
        <v>19</v>
      </c>
      <c r="E2971" s="33" t="n">
        <f aca="false">IF(B2971&gt;=5,AVERAGE(C2967:C2970),"")</f>
        <v>19.25</v>
      </c>
      <c r="F2971" s="33" t="n">
        <f aca="false">IF(B2971&gt;=9,AVERAGE(C2963:C2970),"")</f>
        <v>20.625</v>
      </c>
      <c r="G2971" s="33" t="n">
        <f aca="false">IF(B2971=1,"",IF(B2971=2,C2970,SES_Alpha*C2970+(1-SES_Alpha)*G2970))</f>
        <v>19.4939160350741</v>
      </c>
      <c r="H2971" s="33" t="n">
        <f aca="false">IF(D2971="","",D2971-C2971)</f>
        <v>-4</v>
      </c>
      <c r="I2971" s="33" t="n">
        <f aca="false">IF(E2971="","",E2971-C2971)</f>
        <v>-3.75</v>
      </c>
      <c r="J2971" s="33" t="n">
        <f aca="false">IF(F2971="","",F2971-C2971)</f>
        <v>-2.375</v>
      </c>
      <c r="K2971" s="33" t="n">
        <f aca="false">IF(G2971="","",G2971-C2971)</f>
        <v>-3.50608396492595</v>
      </c>
      <c r="L2971" s="33" t="n">
        <f aca="false">IF(H2971="","",ABS(H2971))</f>
        <v>4</v>
      </c>
      <c r="M2971" s="33" t="n">
        <f aca="false">IF(I2971="","",ABS(I2971))</f>
        <v>3.75</v>
      </c>
      <c r="N2971" s="33" t="n">
        <f aca="false">IF(J2971="","",ABS(J2971))</f>
        <v>2.375</v>
      </c>
      <c r="O2971" s="33" t="n">
        <f aca="false">IF(K2971="","",ABS(K2971))</f>
        <v>3.50608396492595</v>
      </c>
      <c r="P2971" s="34" t="str">
        <f aca="false">IF(B2971&gt;=Eval_Start_Week,"YES","")</f>
        <v>YES</v>
      </c>
      <c r="Q2971" s="34" t="str">
        <f aca="false">IF(AND(B2971&gt;=Cal_Start_Week,B2971&lt;=Cal_End_Week),"YES","")</f>
        <v>YES</v>
      </c>
    </row>
    <row r="2972" customFormat="false" ht="15" hidden="false" customHeight="false" outlineLevel="0" collapsed="false">
      <c r="A2972" s="31" t="str">
        <f aca="false">Demand_History!C2972</f>
        <v>BED-009</v>
      </c>
      <c r="B2972" s="31" t="n">
        <f aca="false">Demand_History!A2972</f>
        <v>59</v>
      </c>
      <c r="C2972" s="32" t="n">
        <f aca="false">Demand_History!D2972</f>
        <v>17</v>
      </c>
      <c r="D2972" s="33" t="n">
        <f aca="false">IF(B2972&gt;=2,C2971,"")</f>
        <v>23</v>
      </c>
      <c r="E2972" s="33" t="n">
        <f aca="false">IF(B2972&gt;=5,AVERAGE(C2968:C2971),"")</f>
        <v>20.5</v>
      </c>
      <c r="F2972" s="33" t="n">
        <f aca="false">IF(B2972&gt;=9,AVERAGE(C2964:C2971),"")</f>
        <v>20.375</v>
      </c>
      <c r="G2972" s="33" t="n">
        <f aca="false">IF(B2972=1,"",IF(B2972=2,C2971,SES_Alpha*C2971+(1-SES_Alpha)*G2971))</f>
        <v>20.5457412245518</v>
      </c>
      <c r="H2972" s="33" t="n">
        <f aca="false">IF(D2972="","",D2972-C2972)</f>
        <v>6</v>
      </c>
      <c r="I2972" s="33" t="n">
        <f aca="false">IF(E2972="","",E2972-C2972)</f>
        <v>3.5</v>
      </c>
      <c r="J2972" s="33" t="n">
        <f aca="false">IF(F2972="","",F2972-C2972)</f>
        <v>3.375</v>
      </c>
      <c r="K2972" s="33" t="n">
        <f aca="false">IF(G2972="","",G2972-C2972)</f>
        <v>3.54574122455184</v>
      </c>
      <c r="L2972" s="33" t="n">
        <f aca="false">IF(H2972="","",ABS(H2972))</f>
        <v>6</v>
      </c>
      <c r="M2972" s="33" t="n">
        <f aca="false">IF(I2972="","",ABS(I2972))</f>
        <v>3.5</v>
      </c>
      <c r="N2972" s="33" t="n">
        <f aca="false">IF(J2972="","",ABS(J2972))</f>
        <v>3.375</v>
      </c>
      <c r="O2972" s="33" t="n">
        <f aca="false">IF(K2972="","",ABS(K2972))</f>
        <v>3.54574122455184</v>
      </c>
      <c r="P2972" s="34" t="str">
        <f aca="false">IF(B2972&gt;=Eval_Start_Week,"YES","")</f>
        <v>YES</v>
      </c>
      <c r="Q2972" s="34" t="str">
        <f aca="false">IF(AND(B2972&gt;=Cal_Start_Week,B2972&lt;=Cal_End_Week),"YES","")</f>
        <v>YES</v>
      </c>
    </row>
    <row r="2973" customFormat="false" ht="15" hidden="false" customHeight="false" outlineLevel="0" collapsed="false">
      <c r="A2973" s="31" t="str">
        <f aca="false">Demand_History!C2973</f>
        <v>BED-009</v>
      </c>
      <c r="B2973" s="31" t="n">
        <f aca="false">Demand_History!A2973</f>
        <v>60</v>
      </c>
      <c r="C2973" s="32" t="n">
        <f aca="false">Demand_History!D2973</f>
        <v>23</v>
      </c>
      <c r="D2973" s="33" t="n">
        <f aca="false">IF(B2973&gt;=2,C2972,"")</f>
        <v>17</v>
      </c>
      <c r="E2973" s="33" t="n">
        <f aca="false">IF(B2973&gt;=5,AVERAGE(C2969:C2972),"")</f>
        <v>18.25</v>
      </c>
      <c r="F2973" s="33" t="n">
        <f aca="false">IF(B2973&gt;=9,AVERAGE(C2965:C2972),"")</f>
        <v>19.875</v>
      </c>
      <c r="G2973" s="33" t="n">
        <f aca="false">IF(B2973=1,"",IF(B2973=2,C2972,SES_Alpha*C2972+(1-SES_Alpha)*G2972))</f>
        <v>19.4820188571863</v>
      </c>
      <c r="H2973" s="33" t="n">
        <f aca="false">IF(D2973="","",D2973-C2973)</f>
        <v>-6</v>
      </c>
      <c r="I2973" s="33" t="n">
        <f aca="false">IF(E2973="","",E2973-C2973)</f>
        <v>-4.75</v>
      </c>
      <c r="J2973" s="33" t="n">
        <f aca="false">IF(F2973="","",F2973-C2973)</f>
        <v>-3.125</v>
      </c>
      <c r="K2973" s="33" t="n">
        <f aca="false">IF(G2973="","",G2973-C2973)</f>
        <v>-3.51798114281372</v>
      </c>
      <c r="L2973" s="33" t="n">
        <f aca="false">IF(H2973="","",ABS(H2973))</f>
        <v>6</v>
      </c>
      <c r="M2973" s="33" t="n">
        <f aca="false">IF(I2973="","",ABS(I2973))</f>
        <v>4.75</v>
      </c>
      <c r="N2973" s="33" t="n">
        <f aca="false">IF(J2973="","",ABS(J2973))</f>
        <v>3.125</v>
      </c>
      <c r="O2973" s="33" t="n">
        <f aca="false">IF(K2973="","",ABS(K2973))</f>
        <v>3.51798114281372</v>
      </c>
      <c r="P2973" s="34" t="str">
        <f aca="false">IF(B2973&gt;=Eval_Start_Week,"YES","")</f>
        <v>YES</v>
      </c>
      <c r="Q2973" s="34" t="str">
        <f aca="false">IF(AND(B2973&gt;=Cal_Start_Week,B2973&lt;=Cal_End_Week),"YES","")</f>
        <v>YES</v>
      </c>
    </row>
    <row r="2974" customFormat="false" ht="15" hidden="false" customHeight="false" outlineLevel="0" collapsed="false">
      <c r="A2974" s="31" t="str">
        <f aca="false">Demand_History!C2974</f>
        <v>BED-009</v>
      </c>
      <c r="B2974" s="31" t="n">
        <f aca="false">Demand_History!A2974</f>
        <v>61</v>
      </c>
      <c r="C2974" s="32" t="n">
        <f aca="false">Demand_History!D2974</f>
        <v>24</v>
      </c>
      <c r="D2974" s="33" t="n">
        <f aca="false">IF(B2974&gt;=2,C2973,"")</f>
        <v>23</v>
      </c>
      <c r="E2974" s="33" t="n">
        <f aca="false">IF(B2974&gt;=5,AVERAGE(C2970:C2973),"")</f>
        <v>20.5</v>
      </c>
      <c r="F2974" s="33" t="n">
        <f aca="false">IF(B2974&gt;=9,AVERAGE(C2966:C2973),"")</f>
        <v>20.125</v>
      </c>
      <c r="G2974" s="33" t="n">
        <f aca="false">IF(B2974=1,"",IF(B2974=2,C2973,SES_Alpha*C2973+(1-SES_Alpha)*G2973))</f>
        <v>20.5374132000304</v>
      </c>
      <c r="H2974" s="33" t="n">
        <f aca="false">IF(D2974="","",D2974-C2974)</f>
        <v>-1</v>
      </c>
      <c r="I2974" s="33" t="n">
        <f aca="false">IF(E2974="","",E2974-C2974)</f>
        <v>-3.5</v>
      </c>
      <c r="J2974" s="33" t="n">
        <f aca="false">IF(F2974="","",F2974-C2974)</f>
        <v>-3.875</v>
      </c>
      <c r="K2974" s="33" t="n">
        <f aca="false">IF(G2974="","",G2974-C2974)</f>
        <v>-3.4625867999696</v>
      </c>
      <c r="L2974" s="33" t="n">
        <f aca="false">IF(H2974="","",ABS(H2974))</f>
        <v>1</v>
      </c>
      <c r="M2974" s="33" t="n">
        <f aca="false">IF(I2974="","",ABS(I2974))</f>
        <v>3.5</v>
      </c>
      <c r="N2974" s="33" t="n">
        <f aca="false">IF(J2974="","",ABS(J2974))</f>
        <v>3.875</v>
      </c>
      <c r="O2974" s="33" t="n">
        <f aca="false">IF(K2974="","",ABS(K2974))</f>
        <v>3.4625867999696</v>
      </c>
      <c r="P2974" s="34" t="str">
        <f aca="false">IF(B2974&gt;=Eval_Start_Week,"YES","")</f>
        <v>YES</v>
      </c>
      <c r="Q2974" s="34" t="str">
        <f aca="false">IF(AND(B2974&gt;=Cal_Start_Week,B2974&lt;=Cal_End_Week),"YES","")</f>
        <v>YES</v>
      </c>
    </row>
    <row r="2975" customFormat="false" ht="15" hidden="false" customHeight="false" outlineLevel="0" collapsed="false">
      <c r="A2975" s="31" t="str">
        <f aca="false">Demand_History!C2975</f>
        <v>BED-009</v>
      </c>
      <c r="B2975" s="31" t="n">
        <f aca="false">Demand_History!A2975</f>
        <v>62</v>
      </c>
      <c r="C2975" s="32" t="n">
        <f aca="false">Demand_History!D2975</f>
        <v>18</v>
      </c>
      <c r="D2975" s="33" t="n">
        <f aca="false">IF(B2975&gt;=2,C2974,"")</f>
        <v>24</v>
      </c>
      <c r="E2975" s="33" t="n">
        <f aca="false">IF(B2975&gt;=5,AVERAGE(C2971:C2974),"")</f>
        <v>21.75</v>
      </c>
      <c r="F2975" s="33" t="n">
        <f aca="false">IF(B2975&gt;=9,AVERAGE(C2967:C2974),"")</f>
        <v>20.5</v>
      </c>
      <c r="G2975" s="33" t="n">
        <f aca="false">IF(B2975=1,"",IF(B2975=2,C2974,SES_Alpha*C2974+(1-SES_Alpha)*G2974))</f>
        <v>21.5761892400213</v>
      </c>
      <c r="H2975" s="33" t="n">
        <f aca="false">IF(D2975="","",D2975-C2975)</f>
        <v>6</v>
      </c>
      <c r="I2975" s="33" t="n">
        <f aca="false">IF(E2975="","",E2975-C2975)</f>
        <v>3.75</v>
      </c>
      <c r="J2975" s="33" t="n">
        <f aca="false">IF(F2975="","",F2975-C2975)</f>
        <v>2.5</v>
      </c>
      <c r="K2975" s="33" t="n">
        <f aca="false">IF(G2975="","",G2975-C2975)</f>
        <v>3.57618924002128</v>
      </c>
      <c r="L2975" s="33" t="n">
        <f aca="false">IF(H2975="","",ABS(H2975))</f>
        <v>6</v>
      </c>
      <c r="M2975" s="33" t="n">
        <f aca="false">IF(I2975="","",ABS(I2975))</f>
        <v>3.75</v>
      </c>
      <c r="N2975" s="33" t="n">
        <f aca="false">IF(J2975="","",ABS(J2975))</f>
        <v>2.5</v>
      </c>
      <c r="O2975" s="33" t="n">
        <f aca="false">IF(K2975="","",ABS(K2975))</f>
        <v>3.57618924002128</v>
      </c>
      <c r="P2975" s="34" t="str">
        <f aca="false">IF(B2975&gt;=Eval_Start_Week,"YES","")</f>
        <v>YES</v>
      </c>
      <c r="Q2975" s="34" t="str">
        <f aca="false">IF(AND(B2975&gt;=Cal_Start_Week,B2975&lt;=Cal_End_Week),"YES","")</f>
        <v>YES</v>
      </c>
    </row>
    <row r="2976" customFormat="false" ht="15" hidden="false" customHeight="false" outlineLevel="0" collapsed="false">
      <c r="A2976" s="31" t="str">
        <f aca="false">Demand_History!C2976</f>
        <v>BED-009</v>
      </c>
      <c r="B2976" s="31" t="n">
        <f aca="false">Demand_History!A2976</f>
        <v>63</v>
      </c>
      <c r="C2976" s="32" t="n">
        <f aca="false">Demand_History!D2976</f>
        <v>21</v>
      </c>
      <c r="D2976" s="33" t="n">
        <f aca="false">IF(B2976&gt;=2,C2975,"")</f>
        <v>18</v>
      </c>
      <c r="E2976" s="33" t="n">
        <f aca="false">IF(B2976&gt;=5,AVERAGE(C2972:C2975),"")</f>
        <v>20.5</v>
      </c>
      <c r="F2976" s="33" t="n">
        <f aca="false">IF(B2976&gt;=9,AVERAGE(C2968:C2975),"")</f>
        <v>20.5</v>
      </c>
      <c r="G2976" s="33" t="n">
        <f aca="false">IF(B2976=1,"",IF(B2976=2,C2975,SES_Alpha*C2975+(1-SES_Alpha)*G2975))</f>
        <v>20.5033324680149</v>
      </c>
      <c r="H2976" s="33" t="n">
        <f aca="false">IF(D2976="","",D2976-C2976)</f>
        <v>-3</v>
      </c>
      <c r="I2976" s="33" t="n">
        <f aca="false">IF(E2976="","",E2976-C2976)</f>
        <v>-0.5</v>
      </c>
      <c r="J2976" s="33" t="n">
        <f aca="false">IF(F2976="","",F2976-C2976)</f>
        <v>-0.5</v>
      </c>
      <c r="K2976" s="33" t="n">
        <f aca="false">IF(G2976="","",G2976-C2976)</f>
        <v>-0.496667531985111</v>
      </c>
      <c r="L2976" s="33" t="n">
        <f aca="false">IF(H2976="","",ABS(H2976))</f>
        <v>3</v>
      </c>
      <c r="M2976" s="33" t="n">
        <f aca="false">IF(I2976="","",ABS(I2976))</f>
        <v>0.5</v>
      </c>
      <c r="N2976" s="33" t="n">
        <f aca="false">IF(J2976="","",ABS(J2976))</f>
        <v>0.5</v>
      </c>
      <c r="O2976" s="33" t="n">
        <f aca="false">IF(K2976="","",ABS(K2976))</f>
        <v>0.496667531985111</v>
      </c>
      <c r="P2976" s="34" t="str">
        <f aca="false">IF(B2976&gt;=Eval_Start_Week,"YES","")</f>
        <v>YES</v>
      </c>
      <c r="Q2976" s="34" t="str">
        <f aca="false">IF(AND(B2976&gt;=Cal_Start_Week,B2976&lt;=Cal_End_Week),"YES","")</f>
        <v>YES</v>
      </c>
    </row>
    <row r="2977" customFormat="false" ht="15" hidden="false" customHeight="false" outlineLevel="0" collapsed="false">
      <c r="A2977" s="31" t="str">
        <f aca="false">Demand_History!C2977</f>
        <v>BED-009</v>
      </c>
      <c r="B2977" s="31" t="n">
        <f aca="false">Demand_History!A2977</f>
        <v>64</v>
      </c>
      <c r="C2977" s="32" t="n">
        <f aca="false">Demand_History!D2977</f>
        <v>17</v>
      </c>
      <c r="D2977" s="33" t="n">
        <f aca="false">IF(B2977&gt;=2,C2976,"")</f>
        <v>21</v>
      </c>
      <c r="E2977" s="33" t="n">
        <f aca="false">IF(B2977&gt;=5,AVERAGE(C2973:C2976),"")</f>
        <v>21.5</v>
      </c>
      <c r="F2977" s="33" t="n">
        <f aca="false">IF(B2977&gt;=9,AVERAGE(C2969:C2976),"")</f>
        <v>19.875</v>
      </c>
      <c r="G2977" s="33" t="n">
        <f aca="false">IF(B2977=1,"",IF(B2977=2,C2976,SES_Alpha*C2976+(1-SES_Alpha)*G2976))</f>
        <v>20.6523327276104</v>
      </c>
      <c r="H2977" s="33" t="n">
        <f aca="false">IF(D2977="","",D2977-C2977)</f>
        <v>4</v>
      </c>
      <c r="I2977" s="33" t="n">
        <f aca="false">IF(E2977="","",E2977-C2977)</f>
        <v>4.5</v>
      </c>
      <c r="J2977" s="33" t="n">
        <f aca="false">IF(F2977="","",F2977-C2977)</f>
        <v>2.875</v>
      </c>
      <c r="K2977" s="33" t="n">
        <f aca="false">IF(G2977="","",G2977-C2977)</f>
        <v>3.65233272761042</v>
      </c>
      <c r="L2977" s="33" t="n">
        <f aca="false">IF(H2977="","",ABS(H2977))</f>
        <v>4</v>
      </c>
      <c r="M2977" s="33" t="n">
        <f aca="false">IF(I2977="","",ABS(I2977))</f>
        <v>4.5</v>
      </c>
      <c r="N2977" s="33" t="n">
        <f aca="false">IF(J2977="","",ABS(J2977))</f>
        <v>2.875</v>
      </c>
      <c r="O2977" s="33" t="n">
        <f aca="false">IF(K2977="","",ABS(K2977))</f>
        <v>3.65233272761042</v>
      </c>
      <c r="P2977" s="34" t="str">
        <f aca="false">IF(B2977&gt;=Eval_Start_Week,"YES","")</f>
        <v>YES</v>
      </c>
      <c r="Q2977" s="34" t="str">
        <f aca="false">IF(AND(B2977&gt;=Cal_Start_Week,B2977&lt;=Cal_End_Week),"YES","")</f>
        <v>YES</v>
      </c>
    </row>
    <row r="2978" customFormat="false" ht="15" hidden="false" customHeight="false" outlineLevel="0" collapsed="false">
      <c r="A2978" s="31" t="str">
        <f aca="false">Demand_History!C2978</f>
        <v>BED-009</v>
      </c>
      <c r="B2978" s="31" t="n">
        <f aca="false">Demand_History!A2978</f>
        <v>65</v>
      </c>
      <c r="C2978" s="32" t="n">
        <f aca="false">Demand_History!D2978</f>
        <v>22</v>
      </c>
      <c r="D2978" s="33" t="n">
        <f aca="false">IF(B2978&gt;=2,C2977,"")</f>
        <v>17</v>
      </c>
      <c r="E2978" s="33" t="n">
        <f aca="false">IF(B2978&gt;=5,AVERAGE(C2974:C2977),"")</f>
        <v>20</v>
      </c>
      <c r="F2978" s="33" t="n">
        <f aca="false">IF(B2978&gt;=9,AVERAGE(C2970:C2977),"")</f>
        <v>20.25</v>
      </c>
      <c r="G2978" s="33" t="n">
        <f aca="false">IF(B2978=1,"",IF(B2978=2,C2977,SES_Alpha*C2977+(1-SES_Alpha)*G2977))</f>
        <v>19.5566329093273</v>
      </c>
      <c r="H2978" s="33" t="n">
        <f aca="false">IF(D2978="","",D2978-C2978)</f>
        <v>-5</v>
      </c>
      <c r="I2978" s="33" t="n">
        <f aca="false">IF(E2978="","",E2978-C2978)</f>
        <v>-2</v>
      </c>
      <c r="J2978" s="33" t="n">
        <f aca="false">IF(F2978="","",F2978-C2978)</f>
        <v>-1.75</v>
      </c>
      <c r="K2978" s="33" t="n">
        <f aca="false">IF(G2978="","",G2978-C2978)</f>
        <v>-2.44336709067271</v>
      </c>
      <c r="L2978" s="33" t="n">
        <f aca="false">IF(H2978="","",ABS(H2978))</f>
        <v>5</v>
      </c>
      <c r="M2978" s="33" t="n">
        <f aca="false">IF(I2978="","",ABS(I2978))</f>
        <v>2</v>
      </c>
      <c r="N2978" s="33" t="n">
        <f aca="false">IF(J2978="","",ABS(J2978))</f>
        <v>1.75</v>
      </c>
      <c r="O2978" s="33" t="n">
        <f aca="false">IF(K2978="","",ABS(K2978))</f>
        <v>2.44336709067271</v>
      </c>
      <c r="P2978" s="34" t="str">
        <f aca="false">IF(B2978&gt;=Eval_Start_Week,"YES","")</f>
        <v>YES</v>
      </c>
      <c r="Q2978" s="34" t="str">
        <f aca="false">IF(AND(B2978&gt;=Cal_Start_Week,B2978&lt;=Cal_End_Week),"YES","")</f>
        <v>YES</v>
      </c>
    </row>
    <row r="2979" customFormat="false" ht="15" hidden="false" customHeight="false" outlineLevel="0" collapsed="false">
      <c r="A2979" s="31" t="str">
        <f aca="false">Demand_History!C2979</f>
        <v>BED-009</v>
      </c>
      <c r="B2979" s="31" t="n">
        <f aca="false">Demand_History!A2979</f>
        <v>66</v>
      </c>
      <c r="C2979" s="32" t="n">
        <f aca="false">Demand_History!D2979</f>
        <v>20</v>
      </c>
      <c r="D2979" s="33" t="n">
        <f aca="false">IF(B2979&gt;=2,C2978,"")</f>
        <v>22</v>
      </c>
      <c r="E2979" s="33" t="n">
        <f aca="false">IF(B2979&gt;=5,AVERAGE(C2975:C2978),"")</f>
        <v>19.5</v>
      </c>
      <c r="F2979" s="33" t="n">
        <f aca="false">IF(B2979&gt;=9,AVERAGE(C2971:C2978),"")</f>
        <v>20.625</v>
      </c>
      <c r="G2979" s="33" t="n">
        <f aca="false">IF(B2979=1,"",IF(B2979=2,C2978,SES_Alpha*C2978+(1-SES_Alpha)*G2978))</f>
        <v>20.2896430365291</v>
      </c>
      <c r="H2979" s="33" t="n">
        <f aca="false">IF(D2979="","",D2979-C2979)</f>
        <v>2</v>
      </c>
      <c r="I2979" s="33" t="n">
        <f aca="false">IF(E2979="","",E2979-C2979)</f>
        <v>-0.5</v>
      </c>
      <c r="J2979" s="33" t="n">
        <f aca="false">IF(F2979="","",F2979-C2979)</f>
        <v>0.625</v>
      </c>
      <c r="K2979" s="33" t="n">
        <f aca="false">IF(G2979="","",G2979-C2979)</f>
        <v>0.289643036529103</v>
      </c>
      <c r="L2979" s="33" t="n">
        <f aca="false">IF(H2979="","",ABS(H2979))</f>
        <v>2</v>
      </c>
      <c r="M2979" s="33" t="n">
        <f aca="false">IF(I2979="","",ABS(I2979))</f>
        <v>0.5</v>
      </c>
      <c r="N2979" s="33" t="n">
        <f aca="false">IF(J2979="","",ABS(J2979))</f>
        <v>0.625</v>
      </c>
      <c r="O2979" s="33" t="n">
        <f aca="false">IF(K2979="","",ABS(K2979))</f>
        <v>0.289643036529103</v>
      </c>
      <c r="P2979" s="34" t="str">
        <f aca="false">IF(B2979&gt;=Eval_Start_Week,"YES","")</f>
        <v>YES</v>
      </c>
      <c r="Q2979" s="34" t="str">
        <f aca="false">IF(AND(B2979&gt;=Cal_Start_Week,B2979&lt;=Cal_End_Week),"YES","")</f>
        <v>YES</v>
      </c>
    </row>
    <row r="2980" customFormat="false" ht="15" hidden="false" customHeight="false" outlineLevel="0" collapsed="false">
      <c r="A2980" s="31" t="str">
        <f aca="false">Demand_History!C2980</f>
        <v>BED-009</v>
      </c>
      <c r="B2980" s="31" t="n">
        <f aca="false">Demand_History!A2980</f>
        <v>67</v>
      </c>
      <c r="C2980" s="32" t="n">
        <f aca="false">Demand_History!D2980</f>
        <v>20</v>
      </c>
      <c r="D2980" s="33" t="n">
        <f aca="false">IF(B2980&gt;=2,C2979,"")</f>
        <v>20</v>
      </c>
      <c r="E2980" s="33" t="n">
        <f aca="false">IF(B2980&gt;=5,AVERAGE(C2976:C2979),"")</f>
        <v>20</v>
      </c>
      <c r="F2980" s="33" t="n">
        <f aca="false">IF(B2980&gt;=9,AVERAGE(C2972:C2979),"")</f>
        <v>20.25</v>
      </c>
      <c r="G2980" s="33" t="n">
        <f aca="false">IF(B2980=1,"",IF(B2980=2,C2979,SES_Alpha*C2979+(1-SES_Alpha)*G2979))</f>
        <v>20.2027501255704</v>
      </c>
      <c r="H2980" s="33" t="n">
        <f aca="false">IF(D2980="","",D2980-C2980)</f>
        <v>0</v>
      </c>
      <c r="I2980" s="33" t="n">
        <f aca="false">IF(E2980="","",E2980-C2980)</f>
        <v>0</v>
      </c>
      <c r="J2980" s="33" t="n">
        <f aca="false">IF(F2980="","",F2980-C2980)</f>
        <v>0.25</v>
      </c>
      <c r="K2980" s="33" t="n">
        <f aca="false">IF(G2980="","",G2980-C2980)</f>
        <v>0.202750125570372</v>
      </c>
      <c r="L2980" s="33" t="n">
        <f aca="false">IF(H2980="","",ABS(H2980))</f>
        <v>0</v>
      </c>
      <c r="M2980" s="33" t="n">
        <f aca="false">IF(I2980="","",ABS(I2980))</f>
        <v>0</v>
      </c>
      <c r="N2980" s="33" t="n">
        <f aca="false">IF(J2980="","",ABS(J2980))</f>
        <v>0.25</v>
      </c>
      <c r="O2980" s="33" t="n">
        <f aca="false">IF(K2980="","",ABS(K2980))</f>
        <v>0.202750125570372</v>
      </c>
      <c r="P2980" s="34" t="str">
        <f aca="false">IF(B2980&gt;=Eval_Start_Week,"YES","")</f>
        <v>YES</v>
      </c>
      <c r="Q2980" s="34" t="str">
        <f aca="false">IF(AND(B2980&gt;=Cal_Start_Week,B2980&lt;=Cal_End_Week),"YES","")</f>
        <v>YES</v>
      </c>
    </row>
    <row r="2981" customFormat="false" ht="15" hidden="false" customHeight="false" outlineLevel="0" collapsed="false">
      <c r="A2981" s="31" t="str">
        <f aca="false">Demand_History!C2981</f>
        <v>BED-009</v>
      </c>
      <c r="B2981" s="31" t="n">
        <f aca="false">Demand_History!A2981</f>
        <v>68</v>
      </c>
      <c r="C2981" s="32" t="n">
        <f aca="false">Demand_History!D2981</f>
        <v>24</v>
      </c>
      <c r="D2981" s="33" t="n">
        <f aca="false">IF(B2981&gt;=2,C2980,"")</f>
        <v>20</v>
      </c>
      <c r="E2981" s="33" t="n">
        <f aca="false">IF(B2981&gt;=5,AVERAGE(C2977:C2980),"")</f>
        <v>19.75</v>
      </c>
      <c r="F2981" s="33" t="n">
        <f aca="false">IF(B2981&gt;=9,AVERAGE(C2973:C2980),"")</f>
        <v>20.625</v>
      </c>
      <c r="G2981" s="33" t="n">
        <f aca="false">IF(B2981=1,"",IF(B2981=2,C2980,SES_Alpha*C2980+(1-SES_Alpha)*G2980))</f>
        <v>20.1419250878993</v>
      </c>
      <c r="H2981" s="33" t="n">
        <f aca="false">IF(D2981="","",D2981-C2981)</f>
        <v>-4</v>
      </c>
      <c r="I2981" s="33" t="n">
        <f aca="false">IF(E2981="","",E2981-C2981)</f>
        <v>-4.25</v>
      </c>
      <c r="J2981" s="33" t="n">
        <f aca="false">IF(F2981="","",F2981-C2981)</f>
        <v>-3.375</v>
      </c>
      <c r="K2981" s="33" t="n">
        <f aca="false">IF(G2981="","",G2981-C2981)</f>
        <v>-3.85807491210074</v>
      </c>
      <c r="L2981" s="33" t="n">
        <f aca="false">IF(H2981="","",ABS(H2981))</f>
        <v>4</v>
      </c>
      <c r="M2981" s="33" t="n">
        <f aca="false">IF(I2981="","",ABS(I2981))</f>
        <v>4.25</v>
      </c>
      <c r="N2981" s="33" t="n">
        <f aca="false">IF(J2981="","",ABS(J2981))</f>
        <v>3.375</v>
      </c>
      <c r="O2981" s="33" t="n">
        <f aca="false">IF(K2981="","",ABS(K2981))</f>
        <v>3.85807491210074</v>
      </c>
      <c r="P2981" s="34" t="str">
        <f aca="false">IF(B2981&gt;=Eval_Start_Week,"YES","")</f>
        <v>YES</v>
      </c>
      <c r="Q2981" s="34" t="str">
        <f aca="false">IF(AND(B2981&gt;=Cal_Start_Week,B2981&lt;=Cal_End_Week),"YES","")</f>
        <v>YES</v>
      </c>
    </row>
    <row r="2982" customFormat="false" ht="15" hidden="false" customHeight="false" outlineLevel="0" collapsed="false">
      <c r="A2982" s="31" t="str">
        <f aca="false">Demand_History!C2982</f>
        <v>BED-009</v>
      </c>
      <c r="B2982" s="31" t="n">
        <f aca="false">Demand_History!A2982</f>
        <v>69</v>
      </c>
      <c r="C2982" s="32" t="n">
        <f aca="false">Demand_History!D2982</f>
        <v>21</v>
      </c>
      <c r="D2982" s="33" t="n">
        <f aca="false">IF(B2982&gt;=2,C2981,"")</f>
        <v>24</v>
      </c>
      <c r="E2982" s="33" t="n">
        <f aca="false">IF(B2982&gt;=5,AVERAGE(C2978:C2981),"")</f>
        <v>21.5</v>
      </c>
      <c r="F2982" s="33" t="n">
        <f aca="false">IF(B2982&gt;=9,AVERAGE(C2974:C2981),"")</f>
        <v>20.75</v>
      </c>
      <c r="G2982" s="33" t="n">
        <f aca="false">IF(B2982=1,"",IF(B2982=2,C2981,SES_Alpha*C2981+(1-SES_Alpha)*G2981))</f>
        <v>21.2993475615295</v>
      </c>
      <c r="H2982" s="33" t="n">
        <f aca="false">IF(D2982="","",D2982-C2982)</f>
        <v>3</v>
      </c>
      <c r="I2982" s="33" t="n">
        <f aca="false">IF(E2982="","",E2982-C2982)</f>
        <v>0.5</v>
      </c>
      <c r="J2982" s="33" t="n">
        <f aca="false">IF(F2982="","",F2982-C2982)</f>
        <v>-0.25</v>
      </c>
      <c r="K2982" s="33" t="n">
        <f aca="false">IF(G2982="","",G2982-C2982)</f>
        <v>0.29934756152948</v>
      </c>
      <c r="L2982" s="33" t="n">
        <f aca="false">IF(H2982="","",ABS(H2982))</f>
        <v>3</v>
      </c>
      <c r="M2982" s="33" t="n">
        <f aca="false">IF(I2982="","",ABS(I2982))</f>
        <v>0.5</v>
      </c>
      <c r="N2982" s="33" t="n">
        <f aca="false">IF(J2982="","",ABS(J2982))</f>
        <v>0.25</v>
      </c>
      <c r="O2982" s="33" t="n">
        <f aca="false">IF(K2982="","",ABS(K2982))</f>
        <v>0.29934756152948</v>
      </c>
      <c r="P2982" s="34" t="str">
        <f aca="false">IF(B2982&gt;=Eval_Start_Week,"YES","")</f>
        <v>YES</v>
      </c>
      <c r="Q2982" s="34" t="str">
        <f aca="false">IF(AND(B2982&gt;=Cal_Start_Week,B2982&lt;=Cal_End_Week),"YES","")</f>
        <v>YES</v>
      </c>
    </row>
    <row r="2983" customFormat="false" ht="15" hidden="false" customHeight="false" outlineLevel="0" collapsed="false">
      <c r="A2983" s="31" t="str">
        <f aca="false">Demand_History!C2983</f>
        <v>BED-009</v>
      </c>
      <c r="B2983" s="31" t="n">
        <f aca="false">Demand_History!A2983</f>
        <v>70</v>
      </c>
      <c r="C2983" s="32" t="n">
        <f aca="false">Demand_History!D2983</f>
        <v>23</v>
      </c>
      <c r="D2983" s="33" t="n">
        <f aca="false">IF(B2983&gt;=2,C2982,"")</f>
        <v>21</v>
      </c>
      <c r="E2983" s="33" t="n">
        <f aca="false">IF(B2983&gt;=5,AVERAGE(C2979:C2982),"")</f>
        <v>21.25</v>
      </c>
      <c r="F2983" s="33" t="n">
        <f aca="false">IF(B2983&gt;=9,AVERAGE(C2975:C2982),"")</f>
        <v>20.375</v>
      </c>
      <c r="G2983" s="33" t="n">
        <f aca="false">IF(B2983=1,"",IF(B2983=2,C2982,SES_Alpha*C2982+(1-SES_Alpha)*G2982))</f>
        <v>21.2095432930706</v>
      </c>
      <c r="H2983" s="33" t="n">
        <f aca="false">IF(D2983="","",D2983-C2983)</f>
        <v>-2</v>
      </c>
      <c r="I2983" s="33" t="n">
        <f aca="false">IF(E2983="","",E2983-C2983)</f>
        <v>-1.75</v>
      </c>
      <c r="J2983" s="33" t="n">
        <f aca="false">IF(F2983="","",F2983-C2983)</f>
        <v>-2.625</v>
      </c>
      <c r="K2983" s="33" t="n">
        <f aca="false">IF(G2983="","",G2983-C2983)</f>
        <v>-1.79045670692937</v>
      </c>
      <c r="L2983" s="33" t="n">
        <f aca="false">IF(H2983="","",ABS(H2983))</f>
        <v>2</v>
      </c>
      <c r="M2983" s="33" t="n">
        <f aca="false">IF(I2983="","",ABS(I2983))</f>
        <v>1.75</v>
      </c>
      <c r="N2983" s="33" t="n">
        <f aca="false">IF(J2983="","",ABS(J2983))</f>
        <v>2.625</v>
      </c>
      <c r="O2983" s="33" t="n">
        <f aca="false">IF(K2983="","",ABS(K2983))</f>
        <v>1.79045670692937</v>
      </c>
      <c r="P2983" s="34" t="str">
        <f aca="false">IF(B2983&gt;=Eval_Start_Week,"YES","")</f>
        <v>YES</v>
      </c>
      <c r="Q2983" s="34" t="str">
        <f aca="false">IF(AND(B2983&gt;=Cal_Start_Week,B2983&lt;=Cal_End_Week),"YES","")</f>
        <v>YES</v>
      </c>
    </row>
    <row r="2984" customFormat="false" ht="15" hidden="false" customHeight="false" outlineLevel="0" collapsed="false">
      <c r="A2984" s="31" t="str">
        <f aca="false">Demand_History!C2984</f>
        <v>BED-009</v>
      </c>
      <c r="B2984" s="31" t="n">
        <f aca="false">Demand_History!A2984</f>
        <v>71</v>
      </c>
      <c r="C2984" s="32" t="n">
        <f aca="false">Demand_History!D2984</f>
        <v>21</v>
      </c>
      <c r="D2984" s="33" t="n">
        <f aca="false">IF(B2984&gt;=2,C2983,"")</f>
        <v>23</v>
      </c>
      <c r="E2984" s="33" t="n">
        <f aca="false">IF(B2984&gt;=5,AVERAGE(C2980:C2983),"")</f>
        <v>22</v>
      </c>
      <c r="F2984" s="33" t="n">
        <f aca="false">IF(B2984&gt;=9,AVERAGE(C2976:C2983),"")</f>
        <v>21</v>
      </c>
      <c r="G2984" s="33" t="n">
        <f aca="false">IF(B2984=1,"",IF(B2984=2,C2983,SES_Alpha*C2983+(1-SES_Alpha)*G2983))</f>
        <v>21.7466803051494</v>
      </c>
      <c r="H2984" s="33" t="n">
        <f aca="false">IF(D2984="","",D2984-C2984)</f>
        <v>2</v>
      </c>
      <c r="I2984" s="33" t="n">
        <f aca="false">IF(E2984="","",E2984-C2984)</f>
        <v>1</v>
      </c>
      <c r="J2984" s="33" t="n">
        <f aca="false">IF(F2984="","",F2984-C2984)</f>
        <v>0</v>
      </c>
      <c r="K2984" s="33" t="n">
        <f aca="false">IF(G2984="","",G2984-C2984)</f>
        <v>0.746680305149443</v>
      </c>
      <c r="L2984" s="33" t="n">
        <f aca="false">IF(H2984="","",ABS(H2984))</f>
        <v>2</v>
      </c>
      <c r="M2984" s="33" t="n">
        <f aca="false">IF(I2984="","",ABS(I2984))</f>
        <v>1</v>
      </c>
      <c r="N2984" s="33" t="n">
        <f aca="false">IF(J2984="","",ABS(J2984))</f>
        <v>0</v>
      </c>
      <c r="O2984" s="33" t="n">
        <f aca="false">IF(K2984="","",ABS(K2984))</f>
        <v>0.746680305149443</v>
      </c>
      <c r="P2984" s="34" t="str">
        <f aca="false">IF(B2984&gt;=Eval_Start_Week,"YES","")</f>
        <v>YES</v>
      </c>
      <c r="Q2984" s="34" t="str">
        <f aca="false">IF(AND(B2984&gt;=Cal_Start_Week,B2984&lt;=Cal_End_Week),"YES","")</f>
        <v>YES</v>
      </c>
    </row>
    <row r="2985" customFormat="false" ht="15" hidden="false" customHeight="false" outlineLevel="0" collapsed="false">
      <c r="A2985" s="31" t="str">
        <f aca="false">Demand_History!C2985</f>
        <v>BED-009</v>
      </c>
      <c r="B2985" s="31" t="n">
        <f aca="false">Demand_History!A2985</f>
        <v>72</v>
      </c>
      <c r="C2985" s="32" t="n">
        <f aca="false">Demand_History!D2985</f>
        <v>16</v>
      </c>
      <c r="D2985" s="33" t="n">
        <f aca="false">IF(B2985&gt;=2,C2984,"")</f>
        <v>21</v>
      </c>
      <c r="E2985" s="33" t="n">
        <f aca="false">IF(B2985&gt;=5,AVERAGE(C2981:C2984),"")</f>
        <v>22.25</v>
      </c>
      <c r="F2985" s="33" t="n">
        <f aca="false">IF(B2985&gt;=9,AVERAGE(C2977:C2984),"")</f>
        <v>21</v>
      </c>
      <c r="G2985" s="33" t="n">
        <f aca="false">IF(B2985=1,"",IF(B2985=2,C2984,SES_Alpha*C2984+(1-SES_Alpha)*G2984))</f>
        <v>21.5226762136046</v>
      </c>
      <c r="H2985" s="33" t="n">
        <f aca="false">IF(D2985="","",D2985-C2985)</f>
        <v>5</v>
      </c>
      <c r="I2985" s="33" t="n">
        <f aca="false">IF(E2985="","",E2985-C2985)</f>
        <v>6.25</v>
      </c>
      <c r="J2985" s="33" t="n">
        <f aca="false">IF(F2985="","",F2985-C2985)</f>
        <v>5</v>
      </c>
      <c r="K2985" s="33" t="n">
        <f aca="false">IF(G2985="","",G2985-C2985)</f>
        <v>5.52267621360461</v>
      </c>
      <c r="L2985" s="33" t="n">
        <f aca="false">IF(H2985="","",ABS(H2985))</f>
        <v>5</v>
      </c>
      <c r="M2985" s="33" t="n">
        <f aca="false">IF(I2985="","",ABS(I2985))</f>
        <v>6.25</v>
      </c>
      <c r="N2985" s="33" t="n">
        <f aca="false">IF(J2985="","",ABS(J2985))</f>
        <v>5</v>
      </c>
      <c r="O2985" s="33" t="n">
        <f aca="false">IF(K2985="","",ABS(K2985))</f>
        <v>5.52267621360461</v>
      </c>
      <c r="P2985" s="34" t="str">
        <f aca="false">IF(B2985&gt;=Eval_Start_Week,"YES","")</f>
        <v>YES</v>
      </c>
      <c r="Q2985" s="34" t="str">
        <f aca="false">IF(AND(B2985&gt;=Cal_Start_Week,B2985&lt;=Cal_End_Week),"YES","")</f>
        <v>YES</v>
      </c>
    </row>
    <row r="2986" customFormat="false" ht="15" hidden="false" customHeight="false" outlineLevel="0" collapsed="false">
      <c r="A2986" s="31" t="str">
        <f aca="false">Demand_History!C2986</f>
        <v>BED-009</v>
      </c>
      <c r="B2986" s="31" t="n">
        <f aca="false">Demand_History!A2986</f>
        <v>73</v>
      </c>
      <c r="C2986" s="32" t="n">
        <f aca="false">Demand_History!D2986</f>
        <v>20</v>
      </c>
      <c r="D2986" s="33" t="n">
        <f aca="false">IF(B2986&gt;=2,C2985,"")</f>
        <v>16</v>
      </c>
      <c r="E2986" s="33" t="n">
        <f aca="false">IF(B2986&gt;=5,AVERAGE(C2982:C2985),"")</f>
        <v>20.25</v>
      </c>
      <c r="F2986" s="33" t="n">
        <f aca="false">IF(B2986&gt;=9,AVERAGE(C2978:C2985),"")</f>
        <v>20.875</v>
      </c>
      <c r="G2986" s="33" t="n">
        <f aca="false">IF(B2986=1,"",IF(B2986=2,C2985,SES_Alpha*C2985+(1-SES_Alpha)*G2985))</f>
        <v>19.8658733495232</v>
      </c>
      <c r="H2986" s="33" t="n">
        <f aca="false">IF(D2986="","",D2986-C2986)</f>
        <v>-4</v>
      </c>
      <c r="I2986" s="33" t="n">
        <f aca="false">IF(E2986="","",E2986-C2986)</f>
        <v>0.25</v>
      </c>
      <c r="J2986" s="33" t="n">
        <f aca="false">IF(F2986="","",F2986-C2986)</f>
        <v>0.875</v>
      </c>
      <c r="K2986" s="33" t="n">
        <f aca="false">IF(G2986="","",G2986-C2986)</f>
        <v>-0.134126650476777</v>
      </c>
      <c r="L2986" s="33" t="n">
        <f aca="false">IF(H2986="","",ABS(H2986))</f>
        <v>4</v>
      </c>
      <c r="M2986" s="33" t="n">
        <f aca="false">IF(I2986="","",ABS(I2986))</f>
        <v>0.25</v>
      </c>
      <c r="N2986" s="33" t="n">
        <f aca="false">IF(J2986="","",ABS(J2986))</f>
        <v>0.875</v>
      </c>
      <c r="O2986" s="33" t="n">
        <f aca="false">IF(K2986="","",ABS(K2986))</f>
        <v>0.134126650476777</v>
      </c>
      <c r="P2986" s="34" t="str">
        <f aca="false">IF(B2986&gt;=Eval_Start_Week,"YES","")</f>
        <v>YES</v>
      </c>
      <c r="Q2986" s="34" t="str">
        <f aca="false">IF(AND(B2986&gt;=Cal_Start_Week,B2986&lt;=Cal_End_Week),"YES","")</f>
        <v>YES</v>
      </c>
    </row>
    <row r="2987" customFormat="false" ht="15" hidden="false" customHeight="false" outlineLevel="0" collapsed="false">
      <c r="A2987" s="31" t="str">
        <f aca="false">Demand_History!C2987</f>
        <v>BED-009</v>
      </c>
      <c r="B2987" s="31" t="n">
        <f aca="false">Demand_History!A2987</f>
        <v>74</v>
      </c>
      <c r="C2987" s="32" t="n">
        <f aca="false">Demand_History!D2987</f>
        <v>20</v>
      </c>
      <c r="D2987" s="33" t="n">
        <f aca="false">IF(B2987&gt;=2,C2986,"")</f>
        <v>20</v>
      </c>
      <c r="E2987" s="33" t="n">
        <f aca="false">IF(B2987&gt;=5,AVERAGE(C2983:C2986),"")</f>
        <v>20</v>
      </c>
      <c r="F2987" s="33" t="n">
        <f aca="false">IF(B2987&gt;=9,AVERAGE(C2979:C2986),"")</f>
        <v>20.625</v>
      </c>
      <c r="G2987" s="33" t="n">
        <f aca="false">IF(B2987=1,"",IF(B2987=2,C2986,SES_Alpha*C2986+(1-SES_Alpha)*G2986))</f>
        <v>19.9061113446663</v>
      </c>
      <c r="H2987" s="33" t="n">
        <f aca="false">IF(D2987="","",D2987-C2987)</f>
        <v>0</v>
      </c>
      <c r="I2987" s="33" t="n">
        <f aca="false">IF(E2987="","",E2987-C2987)</f>
        <v>0</v>
      </c>
      <c r="J2987" s="33" t="n">
        <f aca="false">IF(F2987="","",F2987-C2987)</f>
        <v>0.625</v>
      </c>
      <c r="K2987" s="33" t="n">
        <f aca="false">IF(G2987="","",G2987-C2987)</f>
        <v>-0.0938886553337426</v>
      </c>
      <c r="L2987" s="33" t="n">
        <f aca="false">IF(H2987="","",ABS(H2987))</f>
        <v>0</v>
      </c>
      <c r="M2987" s="33" t="n">
        <f aca="false">IF(I2987="","",ABS(I2987))</f>
        <v>0</v>
      </c>
      <c r="N2987" s="33" t="n">
        <f aca="false">IF(J2987="","",ABS(J2987))</f>
        <v>0.625</v>
      </c>
      <c r="O2987" s="33" t="n">
        <f aca="false">IF(K2987="","",ABS(K2987))</f>
        <v>0.0938886553337426</v>
      </c>
      <c r="P2987" s="34" t="str">
        <f aca="false">IF(B2987&gt;=Eval_Start_Week,"YES","")</f>
        <v>YES</v>
      </c>
      <c r="Q2987" s="34" t="str">
        <f aca="false">IF(AND(B2987&gt;=Cal_Start_Week,B2987&lt;=Cal_End_Week),"YES","")</f>
        <v>YES</v>
      </c>
    </row>
    <row r="2988" customFormat="false" ht="15" hidden="false" customHeight="false" outlineLevel="0" collapsed="false">
      <c r="A2988" s="31" t="str">
        <f aca="false">Demand_History!C2988</f>
        <v>BED-009</v>
      </c>
      <c r="B2988" s="31" t="n">
        <f aca="false">Demand_History!A2988</f>
        <v>75</v>
      </c>
      <c r="C2988" s="32" t="n">
        <f aca="false">Demand_History!D2988</f>
        <v>15</v>
      </c>
      <c r="D2988" s="33" t="n">
        <f aca="false">IF(B2988&gt;=2,C2987,"")</f>
        <v>20</v>
      </c>
      <c r="E2988" s="33" t="n">
        <f aca="false">IF(B2988&gt;=5,AVERAGE(C2984:C2987),"")</f>
        <v>19.25</v>
      </c>
      <c r="F2988" s="33" t="n">
        <f aca="false">IF(B2988&gt;=9,AVERAGE(C2980:C2987),"")</f>
        <v>20.625</v>
      </c>
      <c r="G2988" s="33" t="n">
        <f aca="false">IF(B2988=1,"",IF(B2988=2,C2987,SES_Alpha*C2987+(1-SES_Alpha)*G2987))</f>
        <v>19.9342779412664</v>
      </c>
      <c r="H2988" s="33" t="n">
        <f aca="false">IF(D2988="","",D2988-C2988)</f>
        <v>5</v>
      </c>
      <c r="I2988" s="33" t="n">
        <f aca="false">IF(E2988="","",E2988-C2988)</f>
        <v>4.25</v>
      </c>
      <c r="J2988" s="33" t="n">
        <f aca="false">IF(F2988="","",F2988-C2988)</f>
        <v>5.625</v>
      </c>
      <c r="K2988" s="33" t="n">
        <f aca="false">IF(G2988="","",G2988-C2988)</f>
        <v>4.93427794126638</v>
      </c>
      <c r="L2988" s="33" t="n">
        <f aca="false">IF(H2988="","",ABS(H2988))</f>
        <v>5</v>
      </c>
      <c r="M2988" s="33" t="n">
        <f aca="false">IF(I2988="","",ABS(I2988))</f>
        <v>4.25</v>
      </c>
      <c r="N2988" s="33" t="n">
        <f aca="false">IF(J2988="","",ABS(J2988))</f>
        <v>5.625</v>
      </c>
      <c r="O2988" s="33" t="n">
        <f aca="false">IF(K2988="","",ABS(K2988))</f>
        <v>4.93427794126638</v>
      </c>
      <c r="P2988" s="34" t="str">
        <f aca="false">IF(B2988&gt;=Eval_Start_Week,"YES","")</f>
        <v>YES</v>
      </c>
      <c r="Q2988" s="34" t="str">
        <f aca="false">IF(AND(B2988&gt;=Cal_Start_Week,B2988&lt;=Cal_End_Week),"YES","")</f>
        <v>YES</v>
      </c>
    </row>
    <row r="2989" customFormat="false" ht="15" hidden="false" customHeight="false" outlineLevel="0" collapsed="false">
      <c r="A2989" s="31" t="str">
        <f aca="false">Demand_History!C2989</f>
        <v>BED-009</v>
      </c>
      <c r="B2989" s="31" t="n">
        <f aca="false">Demand_History!A2989</f>
        <v>76</v>
      </c>
      <c r="C2989" s="32" t="n">
        <f aca="false">Demand_History!D2989</f>
        <v>22</v>
      </c>
      <c r="D2989" s="33" t="n">
        <f aca="false">IF(B2989&gt;=2,C2988,"")</f>
        <v>15</v>
      </c>
      <c r="E2989" s="33" t="n">
        <f aca="false">IF(B2989&gt;=5,AVERAGE(C2985:C2988),"")</f>
        <v>17.75</v>
      </c>
      <c r="F2989" s="33" t="n">
        <f aca="false">IF(B2989&gt;=9,AVERAGE(C2981:C2988),"")</f>
        <v>20</v>
      </c>
      <c r="G2989" s="33" t="n">
        <f aca="false">IF(B2989=1,"",IF(B2989=2,C2988,SES_Alpha*C2988+(1-SES_Alpha)*G2988))</f>
        <v>18.4539945588865</v>
      </c>
      <c r="H2989" s="33" t="n">
        <f aca="false">IF(D2989="","",D2989-C2989)</f>
        <v>-7</v>
      </c>
      <c r="I2989" s="33" t="n">
        <f aca="false">IF(E2989="","",E2989-C2989)</f>
        <v>-4.25</v>
      </c>
      <c r="J2989" s="33" t="n">
        <f aca="false">IF(F2989="","",F2989-C2989)</f>
        <v>-2</v>
      </c>
      <c r="K2989" s="33" t="n">
        <f aca="false">IF(G2989="","",G2989-C2989)</f>
        <v>-3.54600544111354</v>
      </c>
      <c r="L2989" s="33" t="n">
        <f aca="false">IF(H2989="","",ABS(H2989))</f>
        <v>7</v>
      </c>
      <c r="M2989" s="33" t="n">
        <f aca="false">IF(I2989="","",ABS(I2989))</f>
        <v>4.25</v>
      </c>
      <c r="N2989" s="33" t="n">
        <f aca="false">IF(J2989="","",ABS(J2989))</f>
        <v>2</v>
      </c>
      <c r="O2989" s="33" t="n">
        <f aca="false">IF(K2989="","",ABS(K2989))</f>
        <v>3.54600544111354</v>
      </c>
      <c r="P2989" s="34" t="str">
        <f aca="false">IF(B2989&gt;=Eval_Start_Week,"YES","")</f>
        <v>YES</v>
      </c>
      <c r="Q2989" s="34" t="str">
        <f aca="false">IF(AND(B2989&gt;=Cal_Start_Week,B2989&lt;=Cal_End_Week),"YES","")</f>
        <v>YES</v>
      </c>
    </row>
    <row r="2990" customFormat="false" ht="15" hidden="false" customHeight="false" outlineLevel="0" collapsed="false">
      <c r="A2990" s="31" t="str">
        <f aca="false">Demand_History!C2990</f>
        <v>BED-009</v>
      </c>
      <c r="B2990" s="31" t="n">
        <f aca="false">Demand_History!A2990</f>
        <v>77</v>
      </c>
      <c r="C2990" s="32" t="n">
        <f aca="false">Demand_History!D2990</f>
        <v>19</v>
      </c>
      <c r="D2990" s="33" t="n">
        <f aca="false">IF(B2990&gt;=2,C2989,"")</f>
        <v>22</v>
      </c>
      <c r="E2990" s="33" t="n">
        <f aca="false">IF(B2990&gt;=5,AVERAGE(C2986:C2989),"")</f>
        <v>19.25</v>
      </c>
      <c r="F2990" s="33" t="n">
        <f aca="false">IF(B2990&gt;=9,AVERAGE(C2982:C2989),"")</f>
        <v>19.75</v>
      </c>
      <c r="G2990" s="33" t="n">
        <f aca="false">IF(B2990=1,"",IF(B2990=2,C2989,SES_Alpha*C2989+(1-SES_Alpha)*G2989))</f>
        <v>19.5177961912205</v>
      </c>
      <c r="H2990" s="33" t="n">
        <f aca="false">IF(D2990="","",D2990-C2990)</f>
        <v>3</v>
      </c>
      <c r="I2990" s="33" t="n">
        <f aca="false">IF(E2990="","",E2990-C2990)</f>
        <v>0.25</v>
      </c>
      <c r="J2990" s="33" t="n">
        <f aca="false">IF(F2990="","",F2990-C2990)</f>
        <v>0.75</v>
      </c>
      <c r="K2990" s="33" t="n">
        <f aca="false">IF(G2990="","",G2990-C2990)</f>
        <v>0.517796191220526</v>
      </c>
      <c r="L2990" s="33" t="n">
        <f aca="false">IF(H2990="","",ABS(H2990))</f>
        <v>3</v>
      </c>
      <c r="M2990" s="33" t="n">
        <f aca="false">IF(I2990="","",ABS(I2990))</f>
        <v>0.25</v>
      </c>
      <c r="N2990" s="33" t="n">
        <f aca="false">IF(J2990="","",ABS(J2990))</f>
        <v>0.75</v>
      </c>
      <c r="O2990" s="33" t="n">
        <f aca="false">IF(K2990="","",ABS(K2990))</f>
        <v>0.517796191220526</v>
      </c>
      <c r="P2990" s="34" t="str">
        <f aca="false">IF(B2990&gt;=Eval_Start_Week,"YES","")</f>
        <v>YES</v>
      </c>
      <c r="Q2990" s="34" t="str">
        <f aca="false">IF(AND(B2990&gt;=Cal_Start_Week,B2990&lt;=Cal_End_Week),"YES","")</f>
        <v>YES</v>
      </c>
    </row>
    <row r="2991" customFormat="false" ht="15" hidden="false" customHeight="false" outlineLevel="0" collapsed="false">
      <c r="A2991" s="31" t="str">
        <f aca="false">Demand_History!C2991</f>
        <v>BED-009</v>
      </c>
      <c r="B2991" s="31" t="n">
        <f aca="false">Demand_History!A2991</f>
        <v>78</v>
      </c>
      <c r="C2991" s="32" t="n">
        <f aca="false">Demand_History!D2991</f>
        <v>19</v>
      </c>
      <c r="D2991" s="33" t="n">
        <f aca="false">IF(B2991&gt;=2,C2990,"")</f>
        <v>19</v>
      </c>
      <c r="E2991" s="33" t="n">
        <f aca="false">IF(B2991&gt;=5,AVERAGE(C2987:C2990),"")</f>
        <v>19</v>
      </c>
      <c r="F2991" s="33" t="n">
        <f aca="false">IF(B2991&gt;=9,AVERAGE(C2983:C2990),"")</f>
        <v>19.5</v>
      </c>
      <c r="G2991" s="33" t="n">
        <f aca="false">IF(B2991=1,"",IF(B2991=2,C2990,SES_Alpha*C2990+(1-SES_Alpha)*G2990))</f>
        <v>19.3624573338544</v>
      </c>
      <c r="H2991" s="33" t="n">
        <f aca="false">IF(D2991="","",D2991-C2991)</f>
        <v>0</v>
      </c>
      <c r="I2991" s="33" t="n">
        <f aca="false">IF(E2991="","",E2991-C2991)</f>
        <v>0</v>
      </c>
      <c r="J2991" s="33" t="n">
        <f aca="false">IF(F2991="","",F2991-C2991)</f>
        <v>0.5</v>
      </c>
      <c r="K2991" s="33" t="n">
        <f aca="false">IF(G2991="","",G2991-C2991)</f>
        <v>0.362457333854369</v>
      </c>
      <c r="L2991" s="33" t="n">
        <f aca="false">IF(H2991="","",ABS(H2991))</f>
        <v>0</v>
      </c>
      <c r="M2991" s="33" t="n">
        <f aca="false">IF(I2991="","",ABS(I2991))</f>
        <v>0</v>
      </c>
      <c r="N2991" s="33" t="n">
        <f aca="false">IF(J2991="","",ABS(J2991))</f>
        <v>0.5</v>
      </c>
      <c r="O2991" s="33" t="n">
        <f aca="false">IF(K2991="","",ABS(K2991))</f>
        <v>0.362457333854369</v>
      </c>
      <c r="P2991" s="34" t="str">
        <f aca="false">IF(B2991&gt;=Eval_Start_Week,"YES","")</f>
        <v>YES</v>
      </c>
      <c r="Q2991" s="34" t="str">
        <f aca="false">IF(AND(B2991&gt;=Cal_Start_Week,B2991&lt;=Cal_End_Week),"YES","")</f>
        <v>YES</v>
      </c>
    </row>
    <row r="2992" customFormat="false" ht="15" hidden="false" customHeight="false" outlineLevel="0" collapsed="false">
      <c r="A2992" s="31" t="str">
        <f aca="false">Demand_History!C2992</f>
        <v>BED-009</v>
      </c>
      <c r="B2992" s="31" t="n">
        <f aca="false">Demand_History!A2992</f>
        <v>79</v>
      </c>
      <c r="C2992" s="32" t="n">
        <f aca="false">Demand_History!D2992</f>
        <v>16</v>
      </c>
      <c r="D2992" s="33" t="n">
        <f aca="false">IF(B2992&gt;=2,C2991,"")</f>
        <v>19</v>
      </c>
      <c r="E2992" s="33" t="n">
        <f aca="false">IF(B2992&gt;=5,AVERAGE(C2988:C2991),"")</f>
        <v>18.75</v>
      </c>
      <c r="F2992" s="33" t="n">
        <f aca="false">IF(B2992&gt;=9,AVERAGE(C2984:C2991),"")</f>
        <v>19</v>
      </c>
      <c r="G2992" s="33" t="n">
        <f aca="false">IF(B2992=1,"",IF(B2992=2,C2991,SES_Alpha*C2991+(1-SES_Alpha)*G2991))</f>
        <v>19.2537201336981</v>
      </c>
      <c r="H2992" s="33" t="n">
        <f aca="false">IF(D2992="","",D2992-C2992)</f>
        <v>3</v>
      </c>
      <c r="I2992" s="33" t="n">
        <f aca="false">IF(E2992="","",E2992-C2992)</f>
        <v>2.75</v>
      </c>
      <c r="J2992" s="33" t="n">
        <f aca="false">IF(F2992="","",F2992-C2992)</f>
        <v>3</v>
      </c>
      <c r="K2992" s="33" t="n">
        <f aca="false">IF(G2992="","",G2992-C2992)</f>
        <v>3.25372013369806</v>
      </c>
      <c r="L2992" s="33" t="n">
        <f aca="false">IF(H2992="","",ABS(H2992))</f>
        <v>3</v>
      </c>
      <c r="M2992" s="33" t="n">
        <f aca="false">IF(I2992="","",ABS(I2992))</f>
        <v>2.75</v>
      </c>
      <c r="N2992" s="33" t="n">
        <f aca="false">IF(J2992="","",ABS(J2992))</f>
        <v>3</v>
      </c>
      <c r="O2992" s="33" t="n">
        <f aca="false">IF(K2992="","",ABS(K2992))</f>
        <v>3.25372013369806</v>
      </c>
      <c r="P2992" s="34" t="str">
        <f aca="false">IF(B2992&gt;=Eval_Start_Week,"YES","")</f>
        <v>YES</v>
      </c>
      <c r="Q2992" s="34" t="str">
        <f aca="false">IF(AND(B2992&gt;=Cal_Start_Week,B2992&lt;=Cal_End_Week),"YES","")</f>
        <v>YES</v>
      </c>
    </row>
    <row r="2993" customFormat="false" ht="15" hidden="false" customHeight="false" outlineLevel="0" collapsed="false">
      <c r="A2993" s="31" t="str">
        <f aca="false">Demand_History!C2993</f>
        <v>BED-009</v>
      </c>
      <c r="B2993" s="31" t="n">
        <f aca="false">Demand_History!A2993</f>
        <v>80</v>
      </c>
      <c r="C2993" s="32" t="n">
        <f aca="false">Demand_History!D2993</f>
        <v>18</v>
      </c>
      <c r="D2993" s="33" t="n">
        <f aca="false">IF(B2993&gt;=2,C2992,"")</f>
        <v>16</v>
      </c>
      <c r="E2993" s="33" t="n">
        <f aca="false">IF(B2993&gt;=5,AVERAGE(C2989:C2992),"")</f>
        <v>19</v>
      </c>
      <c r="F2993" s="33" t="n">
        <f aca="false">IF(B2993&gt;=9,AVERAGE(C2985:C2992),"")</f>
        <v>18.375</v>
      </c>
      <c r="G2993" s="33" t="n">
        <f aca="false">IF(B2993=1,"",IF(B2993=2,C2992,SES_Alpha*C2992+(1-SES_Alpha)*G2992))</f>
        <v>18.2776040935886</v>
      </c>
      <c r="H2993" s="33" t="n">
        <f aca="false">IF(D2993="","",D2993-C2993)</f>
        <v>-2</v>
      </c>
      <c r="I2993" s="33" t="n">
        <f aca="false">IF(E2993="","",E2993-C2993)</f>
        <v>1</v>
      </c>
      <c r="J2993" s="33" t="n">
        <f aca="false">IF(F2993="","",F2993-C2993)</f>
        <v>0.375</v>
      </c>
      <c r="K2993" s="33" t="n">
        <f aca="false">IF(G2993="","",G2993-C2993)</f>
        <v>0.277604093588639</v>
      </c>
      <c r="L2993" s="33" t="n">
        <f aca="false">IF(H2993="","",ABS(H2993))</f>
        <v>2</v>
      </c>
      <c r="M2993" s="33" t="n">
        <f aca="false">IF(I2993="","",ABS(I2993))</f>
        <v>1</v>
      </c>
      <c r="N2993" s="33" t="n">
        <f aca="false">IF(J2993="","",ABS(J2993))</f>
        <v>0.375</v>
      </c>
      <c r="O2993" s="33" t="n">
        <f aca="false">IF(K2993="","",ABS(K2993))</f>
        <v>0.277604093588639</v>
      </c>
      <c r="P2993" s="34" t="str">
        <f aca="false">IF(B2993&gt;=Eval_Start_Week,"YES","")</f>
        <v>YES</v>
      </c>
      <c r="Q2993" s="34" t="str">
        <f aca="false">IF(AND(B2993&gt;=Cal_Start_Week,B2993&lt;=Cal_End_Week),"YES","")</f>
        <v>YES</v>
      </c>
    </row>
    <row r="2994" customFormat="false" ht="15" hidden="false" customHeight="false" outlineLevel="0" collapsed="false">
      <c r="A2994" s="31" t="str">
        <f aca="false">Demand_History!C2994</f>
        <v>BED-009</v>
      </c>
      <c r="B2994" s="31" t="n">
        <f aca="false">Demand_History!A2994</f>
        <v>81</v>
      </c>
      <c r="C2994" s="32" t="n">
        <f aca="false">Demand_History!D2994</f>
        <v>19</v>
      </c>
      <c r="D2994" s="33" t="n">
        <f aca="false">IF(B2994&gt;=2,C2993,"")</f>
        <v>18</v>
      </c>
      <c r="E2994" s="33" t="n">
        <f aca="false">IF(B2994&gt;=5,AVERAGE(C2990:C2993),"")</f>
        <v>18</v>
      </c>
      <c r="F2994" s="33" t="n">
        <f aca="false">IF(B2994&gt;=9,AVERAGE(C2986:C2993),"")</f>
        <v>18.625</v>
      </c>
      <c r="G2994" s="33" t="n">
        <f aca="false">IF(B2994=1,"",IF(B2994=2,C2993,SES_Alpha*C2993+(1-SES_Alpha)*G2993))</f>
        <v>18.194322865512</v>
      </c>
      <c r="H2994" s="33" t="n">
        <f aca="false">IF(D2994="","",D2994-C2994)</f>
        <v>-1</v>
      </c>
      <c r="I2994" s="33" t="n">
        <f aca="false">IF(E2994="","",E2994-C2994)</f>
        <v>-1</v>
      </c>
      <c r="J2994" s="33" t="n">
        <f aca="false">IF(F2994="","",F2994-C2994)</f>
        <v>-0.375</v>
      </c>
      <c r="K2994" s="33" t="n">
        <f aca="false">IF(G2994="","",G2994-C2994)</f>
        <v>-0.805677134487954</v>
      </c>
      <c r="L2994" s="33" t="n">
        <f aca="false">IF(H2994="","",ABS(H2994))</f>
        <v>1</v>
      </c>
      <c r="M2994" s="33" t="n">
        <f aca="false">IF(I2994="","",ABS(I2994))</f>
        <v>1</v>
      </c>
      <c r="N2994" s="33" t="n">
        <f aca="false">IF(J2994="","",ABS(J2994))</f>
        <v>0.375</v>
      </c>
      <c r="O2994" s="33" t="n">
        <f aca="false">IF(K2994="","",ABS(K2994))</f>
        <v>0.805677134487954</v>
      </c>
      <c r="P2994" s="34" t="str">
        <f aca="false">IF(B2994&gt;=Eval_Start_Week,"YES","")</f>
        <v>YES</v>
      </c>
      <c r="Q2994" s="34" t="str">
        <f aca="false">IF(AND(B2994&gt;=Cal_Start_Week,B2994&lt;=Cal_End_Week),"YES","")</f>
        <v>YES</v>
      </c>
    </row>
    <row r="2995" customFormat="false" ht="15" hidden="false" customHeight="false" outlineLevel="0" collapsed="false">
      <c r="A2995" s="31" t="str">
        <f aca="false">Demand_History!C2995</f>
        <v>BED-009</v>
      </c>
      <c r="B2995" s="31" t="n">
        <f aca="false">Demand_History!A2995</f>
        <v>82</v>
      </c>
      <c r="C2995" s="32" t="n">
        <f aca="false">Demand_History!D2995</f>
        <v>17</v>
      </c>
      <c r="D2995" s="33" t="n">
        <f aca="false">IF(B2995&gt;=2,C2994,"")</f>
        <v>19</v>
      </c>
      <c r="E2995" s="33" t="n">
        <f aca="false">IF(B2995&gt;=5,AVERAGE(C2991:C2994),"")</f>
        <v>18</v>
      </c>
      <c r="F2995" s="33" t="n">
        <f aca="false">IF(B2995&gt;=9,AVERAGE(C2987:C2994),"")</f>
        <v>18.5</v>
      </c>
      <c r="G2995" s="33" t="n">
        <f aca="false">IF(B2995=1,"",IF(B2995=2,C2994,SES_Alpha*C2994+(1-SES_Alpha)*G2994))</f>
        <v>18.4360260058584</v>
      </c>
      <c r="H2995" s="33" t="n">
        <f aca="false">IF(D2995="","",D2995-C2995)</f>
        <v>2</v>
      </c>
      <c r="I2995" s="33" t="n">
        <f aca="false">IF(E2995="","",E2995-C2995)</f>
        <v>1</v>
      </c>
      <c r="J2995" s="33" t="n">
        <f aca="false">IF(F2995="","",F2995-C2995)</f>
        <v>1.5</v>
      </c>
      <c r="K2995" s="33" t="n">
        <f aca="false">IF(G2995="","",G2995-C2995)</f>
        <v>1.43602600585843</v>
      </c>
      <c r="L2995" s="33" t="n">
        <f aca="false">IF(H2995="","",ABS(H2995))</f>
        <v>2</v>
      </c>
      <c r="M2995" s="33" t="n">
        <f aca="false">IF(I2995="","",ABS(I2995))</f>
        <v>1</v>
      </c>
      <c r="N2995" s="33" t="n">
        <f aca="false">IF(J2995="","",ABS(J2995))</f>
        <v>1.5</v>
      </c>
      <c r="O2995" s="33" t="n">
        <f aca="false">IF(K2995="","",ABS(K2995))</f>
        <v>1.43602600585843</v>
      </c>
      <c r="P2995" s="34" t="str">
        <f aca="false">IF(B2995&gt;=Eval_Start_Week,"YES","")</f>
        <v>YES</v>
      </c>
      <c r="Q2995" s="34" t="str">
        <f aca="false">IF(AND(B2995&gt;=Cal_Start_Week,B2995&lt;=Cal_End_Week),"YES","")</f>
        <v>YES</v>
      </c>
    </row>
    <row r="2996" customFormat="false" ht="15" hidden="false" customHeight="false" outlineLevel="0" collapsed="false">
      <c r="A2996" s="31" t="str">
        <f aca="false">Demand_History!C2996</f>
        <v>BED-009</v>
      </c>
      <c r="B2996" s="31" t="n">
        <f aca="false">Demand_History!A2996</f>
        <v>83</v>
      </c>
      <c r="C2996" s="32" t="n">
        <f aca="false">Demand_History!D2996</f>
        <v>18</v>
      </c>
      <c r="D2996" s="33" t="n">
        <f aca="false">IF(B2996&gt;=2,C2995,"")</f>
        <v>17</v>
      </c>
      <c r="E2996" s="33" t="n">
        <f aca="false">IF(B2996&gt;=5,AVERAGE(C2992:C2995),"")</f>
        <v>17.5</v>
      </c>
      <c r="F2996" s="33" t="n">
        <f aca="false">IF(B2996&gt;=9,AVERAGE(C2988:C2995),"")</f>
        <v>18.125</v>
      </c>
      <c r="G2996" s="33" t="n">
        <f aca="false">IF(B2996=1,"",IF(B2996=2,C2995,SES_Alpha*C2995+(1-SES_Alpha)*G2995))</f>
        <v>18.0052182041009</v>
      </c>
      <c r="H2996" s="33" t="n">
        <f aca="false">IF(D2996="","",D2996-C2996)</f>
        <v>-1</v>
      </c>
      <c r="I2996" s="33" t="n">
        <f aca="false">IF(E2996="","",E2996-C2996)</f>
        <v>-0.5</v>
      </c>
      <c r="J2996" s="33" t="n">
        <f aca="false">IF(F2996="","",F2996-C2996)</f>
        <v>0.125</v>
      </c>
      <c r="K2996" s="33" t="n">
        <f aca="false">IF(G2996="","",G2996-C2996)</f>
        <v>0.00521820410089902</v>
      </c>
      <c r="L2996" s="33" t="n">
        <f aca="false">IF(H2996="","",ABS(H2996))</f>
        <v>1</v>
      </c>
      <c r="M2996" s="33" t="n">
        <f aca="false">IF(I2996="","",ABS(I2996))</f>
        <v>0.5</v>
      </c>
      <c r="N2996" s="33" t="n">
        <f aca="false">IF(J2996="","",ABS(J2996))</f>
        <v>0.125</v>
      </c>
      <c r="O2996" s="33" t="n">
        <f aca="false">IF(K2996="","",ABS(K2996))</f>
        <v>0.00521820410089902</v>
      </c>
      <c r="P2996" s="34" t="str">
        <f aca="false">IF(B2996&gt;=Eval_Start_Week,"YES","")</f>
        <v>YES</v>
      </c>
      <c r="Q2996" s="34" t="str">
        <f aca="false">IF(AND(B2996&gt;=Cal_Start_Week,B2996&lt;=Cal_End_Week),"YES","")</f>
        <v>YES</v>
      </c>
    </row>
    <row r="2997" customFormat="false" ht="15" hidden="false" customHeight="false" outlineLevel="0" collapsed="false">
      <c r="A2997" s="31" t="str">
        <f aca="false">Demand_History!C2997</f>
        <v>BED-009</v>
      </c>
      <c r="B2997" s="31" t="n">
        <f aca="false">Demand_History!A2997</f>
        <v>84</v>
      </c>
      <c r="C2997" s="32" t="n">
        <f aca="false">Demand_History!D2997</f>
        <v>12</v>
      </c>
      <c r="D2997" s="33" t="n">
        <f aca="false">IF(B2997&gt;=2,C2996,"")</f>
        <v>18</v>
      </c>
      <c r="E2997" s="33" t="n">
        <f aca="false">IF(B2997&gt;=5,AVERAGE(C2993:C2996),"")</f>
        <v>18</v>
      </c>
      <c r="F2997" s="33" t="n">
        <f aca="false">IF(B2997&gt;=9,AVERAGE(C2989:C2996),"")</f>
        <v>18.5</v>
      </c>
      <c r="G2997" s="33" t="n">
        <f aca="false">IF(B2997=1,"",IF(B2997=2,C2996,SES_Alpha*C2996+(1-SES_Alpha)*G2996))</f>
        <v>18.0036527428706</v>
      </c>
      <c r="H2997" s="33" t="n">
        <f aca="false">IF(D2997="","",D2997-C2997)</f>
        <v>6</v>
      </c>
      <c r="I2997" s="33" t="n">
        <f aca="false">IF(E2997="","",E2997-C2997)</f>
        <v>6</v>
      </c>
      <c r="J2997" s="33" t="n">
        <f aca="false">IF(F2997="","",F2997-C2997)</f>
        <v>6.5</v>
      </c>
      <c r="K2997" s="33" t="n">
        <f aca="false">IF(G2997="","",G2997-C2997)</f>
        <v>6.00365274287063</v>
      </c>
      <c r="L2997" s="33" t="n">
        <f aca="false">IF(H2997="","",ABS(H2997))</f>
        <v>6</v>
      </c>
      <c r="M2997" s="33" t="n">
        <f aca="false">IF(I2997="","",ABS(I2997))</f>
        <v>6</v>
      </c>
      <c r="N2997" s="33" t="n">
        <f aca="false">IF(J2997="","",ABS(J2997))</f>
        <v>6.5</v>
      </c>
      <c r="O2997" s="33" t="n">
        <f aca="false">IF(K2997="","",ABS(K2997))</f>
        <v>6.00365274287063</v>
      </c>
      <c r="P2997" s="34" t="str">
        <f aca="false">IF(B2997&gt;=Eval_Start_Week,"YES","")</f>
        <v>YES</v>
      </c>
      <c r="Q2997" s="34" t="str">
        <f aca="false">IF(AND(B2997&gt;=Cal_Start_Week,B2997&lt;=Cal_End_Week),"YES","")</f>
        <v>YES</v>
      </c>
    </row>
    <row r="2998" customFormat="false" ht="15" hidden="false" customHeight="false" outlineLevel="0" collapsed="false">
      <c r="A2998" s="31" t="str">
        <f aca="false">Demand_History!C2998</f>
        <v>BED-009</v>
      </c>
      <c r="B2998" s="31" t="n">
        <f aca="false">Demand_History!A2998</f>
        <v>85</v>
      </c>
      <c r="C2998" s="32" t="n">
        <f aca="false">Demand_History!D2998</f>
        <v>20</v>
      </c>
      <c r="D2998" s="33" t="n">
        <f aca="false">IF(B2998&gt;=2,C2997,"")</f>
        <v>12</v>
      </c>
      <c r="E2998" s="33" t="n">
        <f aca="false">IF(B2998&gt;=5,AVERAGE(C2994:C2997),"")</f>
        <v>16.5</v>
      </c>
      <c r="F2998" s="33" t="n">
        <f aca="false">IF(B2998&gt;=9,AVERAGE(C2990:C2997),"")</f>
        <v>17.25</v>
      </c>
      <c r="G2998" s="33" t="n">
        <f aca="false">IF(B2998=1,"",IF(B2998=2,C2997,SES_Alpha*C2997+(1-SES_Alpha)*G2997))</f>
        <v>16.2025569200094</v>
      </c>
      <c r="H2998" s="33" t="n">
        <f aca="false">IF(D2998="","",D2998-C2998)</f>
        <v>-8</v>
      </c>
      <c r="I2998" s="33" t="n">
        <f aca="false">IF(E2998="","",E2998-C2998)</f>
        <v>-3.5</v>
      </c>
      <c r="J2998" s="33" t="n">
        <f aca="false">IF(F2998="","",F2998-C2998)</f>
        <v>-2.75</v>
      </c>
      <c r="K2998" s="33" t="n">
        <f aca="false">IF(G2998="","",G2998-C2998)</f>
        <v>-3.79744307999056</v>
      </c>
      <c r="L2998" s="33" t="n">
        <f aca="false">IF(H2998="","",ABS(H2998))</f>
        <v>8</v>
      </c>
      <c r="M2998" s="33" t="n">
        <f aca="false">IF(I2998="","",ABS(I2998))</f>
        <v>3.5</v>
      </c>
      <c r="N2998" s="33" t="n">
        <f aca="false">IF(J2998="","",ABS(J2998))</f>
        <v>2.75</v>
      </c>
      <c r="O2998" s="33" t="n">
        <f aca="false">IF(K2998="","",ABS(K2998))</f>
        <v>3.79744307999056</v>
      </c>
      <c r="P2998" s="34" t="str">
        <f aca="false">IF(B2998&gt;=Eval_Start_Week,"YES","")</f>
        <v>YES</v>
      </c>
      <c r="Q2998" s="34" t="str">
        <f aca="false">IF(AND(B2998&gt;=Cal_Start_Week,B2998&lt;=Cal_End_Week),"YES","")</f>
        <v>YES</v>
      </c>
    </row>
    <row r="2999" customFormat="false" ht="15" hidden="false" customHeight="false" outlineLevel="0" collapsed="false">
      <c r="A2999" s="31" t="str">
        <f aca="false">Demand_History!C2999</f>
        <v>BED-009</v>
      </c>
      <c r="B2999" s="31" t="n">
        <f aca="false">Demand_History!A2999</f>
        <v>86</v>
      </c>
      <c r="C2999" s="32" t="n">
        <f aca="false">Demand_History!D2999</f>
        <v>14</v>
      </c>
      <c r="D2999" s="33" t="n">
        <f aca="false">IF(B2999&gt;=2,C2998,"")</f>
        <v>20</v>
      </c>
      <c r="E2999" s="33" t="n">
        <f aca="false">IF(B2999&gt;=5,AVERAGE(C2995:C2998),"")</f>
        <v>16.75</v>
      </c>
      <c r="F2999" s="33" t="n">
        <f aca="false">IF(B2999&gt;=9,AVERAGE(C2991:C2998),"")</f>
        <v>17.375</v>
      </c>
      <c r="G2999" s="33" t="n">
        <f aca="false">IF(B2999=1,"",IF(B2999=2,C2998,SES_Alpha*C2998+(1-SES_Alpha)*G2998))</f>
        <v>17.3417898440066</v>
      </c>
      <c r="H2999" s="33" t="n">
        <f aca="false">IF(D2999="","",D2999-C2999)</f>
        <v>6</v>
      </c>
      <c r="I2999" s="33" t="n">
        <f aca="false">IF(E2999="","",E2999-C2999)</f>
        <v>2.75</v>
      </c>
      <c r="J2999" s="33" t="n">
        <f aca="false">IF(F2999="","",F2999-C2999)</f>
        <v>3.375</v>
      </c>
      <c r="K2999" s="33" t="n">
        <f aca="false">IF(G2999="","",G2999-C2999)</f>
        <v>3.34178984400661</v>
      </c>
      <c r="L2999" s="33" t="n">
        <f aca="false">IF(H2999="","",ABS(H2999))</f>
        <v>6</v>
      </c>
      <c r="M2999" s="33" t="n">
        <f aca="false">IF(I2999="","",ABS(I2999))</f>
        <v>2.75</v>
      </c>
      <c r="N2999" s="33" t="n">
        <f aca="false">IF(J2999="","",ABS(J2999))</f>
        <v>3.375</v>
      </c>
      <c r="O2999" s="33" t="n">
        <f aca="false">IF(K2999="","",ABS(K2999))</f>
        <v>3.34178984400661</v>
      </c>
      <c r="P2999" s="34" t="str">
        <f aca="false">IF(B2999&gt;=Eval_Start_Week,"YES","")</f>
        <v>YES</v>
      </c>
      <c r="Q2999" s="34" t="str">
        <f aca="false">IF(AND(B2999&gt;=Cal_Start_Week,B2999&lt;=Cal_End_Week),"YES","")</f>
        <v>YES</v>
      </c>
    </row>
    <row r="3000" customFormat="false" ht="15" hidden="false" customHeight="false" outlineLevel="0" collapsed="false">
      <c r="A3000" s="31" t="str">
        <f aca="false">Demand_History!C3000</f>
        <v>BED-009</v>
      </c>
      <c r="B3000" s="31" t="n">
        <f aca="false">Demand_History!A3000</f>
        <v>87</v>
      </c>
      <c r="C3000" s="32" t="n">
        <f aca="false">Demand_History!D3000</f>
        <v>12</v>
      </c>
      <c r="D3000" s="33" t="n">
        <f aca="false">IF(B3000&gt;=2,C2999,"")</f>
        <v>14</v>
      </c>
      <c r="E3000" s="33" t="n">
        <f aca="false">IF(B3000&gt;=5,AVERAGE(C2996:C2999),"")</f>
        <v>16</v>
      </c>
      <c r="F3000" s="33" t="n">
        <f aca="false">IF(B3000&gt;=9,AVERAGE(C2992:C2999),"")</f>
        <v>16.75</v>
      </c>
      <c r="G3000" s="33" t="n">
        <f aca="false">IF(B3000=1,"",IF(B3000=2,C2999,SES_Alpha*C2999+(1-SES_Alpha)*G2999))</f>
        <v>16.3392528908046</v>
      </c>
      <c r="H3000" s="33" t="n">
        <f aca="false">IF(D3000="","",D3000-C3000)</f>
        <v>2</v>
      </c>
      <c r="I3000" s="33" t="n">
        <f aca="false">IF(E3000="","",E3000-C3000)</f>
        <v>4</v>
      </c>
      <c r="J3000" s="33" t="n">
        <f aca="false">IF(F3000="","",F3000-C3000)</f>
        <v>4.75</v>
      </c>
      <c r="K3000" s="33" t="n">
        <f aca="false">IF(G3000="","",G3000-C3000)</f>
        <v>4.33925289080462</v>
      </c>
      <c r="L3000" s="33" t="n">
        <f aca="false">IF(H3000="","",ABS(H3000))</f>
        <v>2</v>
      </c>
      <c r="M3000" s="33" t="n">
        <f aca="false">IF(I3000="","",ABS(I3000))</f>
        <v>4</v>
      </c>
      <c r="N3000" s="33" t="n">
        <f aca="false">IF(J3000="","",ABS(J3000))</f>
        <v>4.75</v>
      </c>
      <c r="O3000" s="33" t="n">
        <f aca="false">IF(K3000="","",ABS(K3000))</f>
        <v>4.33925289080462</v>
      </c>
      <c r="P3000" s="34" t="str">
        <f aca="false">IF(B3000&gt;=Eval_Start_Week,"YES","")</f>
        <v>YES</v>
      </c>
      <c r="Q3000" s="34" t="str">
        <f aca="false">IF(AND(B3000&gt;=Cal_Start_Week,B3000&lt;=Cal_End_Week),"YES","")</f>
        <v>YES</v>
      </c>
    </row>
    <row r="3001" customFormat="false" ht="15" hidden="false" customHeight="false" outlineLevel="0" collapsed="false">
      <c r="A3001" s="31" t="str">
        <f aca="false">Demand_History!C3001</f>
        <v>BED-009</v>
      </c>
      <c r="B3001" s="31" t="n">
        <f aca="false">Demand_History!A3001</f>
        <v>88</v>
      </c>
      <c r="C3001" s="32" t="n">
        <f aca="false">Demand_History!D3001</f>
        <v>14</v>
      </c>
      <c r="D3001" s="33" t="n">
        <f aca="false">IF(B3001&gt;=2,C3000,"")</f>
        <v>12</v>
      </c>
      <c r="E3001" s="33" t="n">
        <f aca="false">IF(B3001&gt;=5,AVERAGE(C2997:C3000),"")</f>
        <v>14.5</v>
      </c>
      <c r="F3001" s="33" t="n">
        <f aca="false">IF(B3001&gt;=9,AVERAGE(C2993:C3000),"")</f>
        <v>16.25</v>
      </c>
      <c r="G3001" s="33" t="n">
        <f aca="false">IF(B3001=1,"",IF(B3001=2,C3000,SES_Alpha*C3000+(1-SES_Alpha)*G3000))</f>
        <v>15.0374770235632</v>
      </c>
      <c r="H3001" s="33" t="n">
        <f aca="false">IF(D3001="","",D3001-C3001)</f>
        <v>-2</v>
      </c>
      <c r="I3001" s="33" t="n">
        <f aca="false">IF(E3001="","",E3001-C3001)</f>
        <v>0.5</v>
      </c>
      <c r="J3001" s="33" t="n">
        <f aca="false">IF(F3001="","",F3001-C3001)</f>
        <v>2.25</v>
      </c>
      <c r="K3001" s="33" t="n">
        <f aca="false">IF(G3001="","",G3001-C3001)</f>
        <v>1.03747702356324</v>
      </c>
      <c r="L3001" s="33" t="n">
        <f aca="false">IF(H3001="","",ABS(H3001))</f>
        <v>2</v>
      </c>
      <c r="M3001" s="33" t="n">
        <f aca="false">IF(I3001="","",ABS(I3001))</f>
        <v>0.5</v>
      </c>
      <c r="N3001" s="33" t="n">
        <f aca="false">IF(J3001="","",ABS(J3001))</f>
        <v>2.25</v>
      </c>
      <c r="O3001" s="33" t="n">
        <f aca="false">IF(K3001="","",ABS(K3001))</f>
        <v>1.03747702356324</v>
      </c>
      <c r="P3001" s="34" t="str">
        <f aca="false">IF(B3001&gt;=Eval_Start_Week,"YES","")</f>
        <v>YES</v>
      </c>
      <c r="Q3001" s="34" t="str">
        <f aca="false">IF(AND(B3001&gt;=Cal_Start_Week,B3001&lt;=Cal_End_Week),"YES","")</f>
        <v>YES</v>
      </c>
    </row>
    <row r="3002" customFormat="false" ht="15" hidden="false" customHeight="false" outlineLevel="0" collapsed="false">
      <c r="A3002" s="31" t="str">
        <f aca="false">Demand_History!C3002</f>
        <v>BED-009</v>
      </c>
      <c r="B3002" s="31" t="n">
        <f aca="false">Demand_History!A3002</f>
        <v>89</v>
      </c>
      <c r="C3002" s="32" t="n">
        <f aca="false">Demand_History!D3002</f>
        <v>15</v>
      </c>
      <c r="D3002" s="33" t="n">
        <f aca="false">IF(B3002&gt;=2,C3001,"")</f>
        <v>14</v>
      </c>
      <c r="E3002" s="33" t="n">
        <f aca="false">IF(B3002&gt;=5,AVERAGE(C2998:C3001),"")</f>
        <v>15</v>
      </c>
      <c r="F3002" s="33" t="n">
        <f aca="false">IF(B3002&gt;=9,AVERAGE(C2994:C3001),"")</f>
        <v>15.75</v>
      </c>
      <c r="G3002" s="33" t="n">
        <f aca="false">IF(B3002=1,"",IF(B3002=2,C3001,SES_Alpha*C3001+(1-SES_Alpha)*G3001))</f>
        <v>14.7262339164943</v>
      </c>
      <c r="H3002" s="33" t="n">
        <f aca="false">IF(D3002="","",D3002-C3002)</f>
        <v>-1</v>
      </c>
      <c r="I3002" s="33" t="n">
        <f aca="false">IF(E3002="","",E3002-C3002)</f>
        <v>0</v>
      </c>
      <c r="J3002" s="33" t="n">
        <f aca="false">IF(F3002="","",F3002-C3002)</f>
        <v>0.75</v>
      </c>
      <c r="K3002" s="33" t="n">
        <f aca="false">IF(G3002="","",G3002-C3002)</f>
        <v>-0.273766083505734</v>
      </c>
      <c r="L3002" s="33" t="n">
        <f aca="false">IF(H3002="","",ABS(H3002))</f>
        <v>1</v>
      </c>
      <c r="M3002" s="33" t="n">
        <f aca="false">IF(I3002="","",ABS(I3002))</f>
        <v>0</v>
      </c>
      <c r="N3002" s="33" t="n">
        <f aca="false">IF(J3002="","",ABS(J3002))</f>
        <v>0.75</v>
      </c>
      <c r="O3002" s="33" t="n">
        <f aca="false">IF(K3002="","",ABS(K3002))</f>
        <v>0.273766083505734</v>
      </c>
      <c r="P3002" s="34" t="str">
        <f aca="false">IF(B3002&gt;=Eval_Start_Week,"YES","")</f>
        <v>YES</v>
      </c>
      <c r="Q3002" s="34" t="str">
        <f aca="false">IF(AND(B3002&gt;=Cal_Start_Week,B3002&lt;=Cal_End_Week),"YES","")</f>
        <v/>
      </c>
    </row>
    <row r="3003" customFormat="false" ht="15" hidden="false" customHeight="false" outlineLevel="0" collapsed="false">
      <c r="A3003" s="31" t="str">
        <f aca="false">Demand_History!C3003</f>
        <v>BED-009</v>
      </c>
      <c r="B3003" s="31" t="n">
        <f aca="false">Demand_History!A3003</f>
        <v>90</v>
      </c>
      <c r="C3003" s="32" t="n">
        <f aca="false">Demand_History!D3003</f>
        <v>18</v>
      </c>
      <c r="D3003" s="33" t="n">
        <f aca="false">IF(B3003&gt;=2,C3002,"")</f>
        <v>15</v>
      </c>
      <c r="E3003" s="33" t="n">
        <f aca="false">IF(B3003&gt;=5,AVERAGE(C2999:C3002),"")</f>
        <v>13.75</v>
      </c>
      <c r="F3003" s="33" t="n">
        <f aca="false">IF(B3003&gt;=9,AVERAGE(C2995:C3002),"")</f>
        <v>15.25</v>
      </c>
      <c r="G3003" s="33" t="n">
        <f aca="false">IF(B3003=1,"",IF(B3003=2,C3002,SES_Alpha*C3002+(1-SES_Alpha)*G3002))</f>
        <v>14.808363741546</v>
      </c>
      <c r="H3003" s="33" t="n">
        <f aca="false">IF(D3003="","",D3003-C3003)</f>
        <v>-3</v>
      </c>
      <c r="I3003" s="33" t="n">
        <f aca="false">IF(E3003="","",E3003-C3003)</f>
        <v>-4.25</v>
      </c>
      <c r="J3003" s="33" t="n">
        <f aca="false">IF(F3003="","",F3003-C3003)</f>
        <v>-2.75</v>
      </c>
      <c r="K3003" s="33" t="n">
        <f aca="false">IF(G3003="","",G3003-C3003)</f>
        <v>-3.19163625845401</v>
      </c>
      <c r="L3003" s="33" t="n">
        <f aca="false">IF(H3003="","",ABS(H3003))</f>
        <v>3</v>
      </c>
      <c r="M3003" s="33" t="n">
        <f aca="false">IF(I3003="","",ABS(I3003))</f>
        <v>4.25</v>
      </c>
      <c r="N3003" s="33" t="n">
        <f aca="false">IF(J3003="","",ABS(J3003))</f>
        <v>2.75</v>
      </c>
      <c r="O3003" s="33" t="n">
        <f aca="false">IF(K3003="","",ABS(K3003))</f>
        <v>3.19163625845401</v>
      </c>
      <c r="P3003" s="34" t="str">
        <f aca="false">IF(B3003&gt;=Eval_Start_Week,"YES","")</f>
        <v>YES</v>
      </c>
      <c r="Q3003" s="34" t="str">
        <f aca="false">IF(AND(B3003&gt;=Cal_Start_Week,B3003&lt;=Cal_End_Week),"YES","")</f>
        <v/>
      </c>
    </row>
    <row r="3004" customFormat="false" ht="15" hidden="false" customHeight="false" outlineLevel="0" collapsed="false">
      <c r="A3004" s="31" t="str">
        <f aca="false">Demand_History!C3004</f>
        <v>BED-009</v>
      </c>
      <c r="B3004" s="31" t="n">
        <f aca="false">Demand_History!A3004</f>
        <v>91</v>
      </c>
      <c r="C3004" s="32" t="n">
        <f aca="false">Demand_History!D3004</f>
        <v>14</v>
      </c>
      <c r="D3004" s="33" t="n">
        <f aca="false">IF(B3004&gt;=2,C3003,"")</f>
        <v>18</v>
      </c>
      <c r="E3004" s="33" t="n">
        <f aca="false">IF(B3004&gt;=5,AVERAGE(C3000:C3003),"")</f>
        <v>14.75</v>
      </c>
      <c r="F3004" s="33" t="n">
        <f aca="false">IF(B3004&gt;=9,AVERAGE(C2996:C3003),"")</f>
        <v>15.375</v>
      </c>
      <c r="G3004" s="33" t="n">
        <f aca="false">IF(B3004=1,"",IF(B3004=2,C3003,SES_Alpha*C3003+(1-SES_Alpha)*G3003))</f>
        <v>15.7658546190822</v>
      </c>
      <c r="H3004" s="33" t="n">
        <f aca="false">IF(D3004="","",D3004-C3004)</f>
        <v>4</v>
      </c>
      <c r="I3004" s="33" t="n">
        <f aca="false">IF(E3004="","",E3004-C3004)</f>
        <v>0.75</v>
      </c>
      <c r="J3004" s="33" t="n">
        <f aca="false">IF(F3004="","",F3004-C3004)</f>
        <v>1.375</v>
      </c>
      <c r="K3004" s="33" t="n">
        <f aca="false">IF(G3004="","",G3004-C3004)</f>
        <v>1.76585461908219</v>
      </c>
      <c r="L3004" s="33" t="n">
        <f aca="false">IF(H3004="","",ABS(H3004))</f>
        <v>4</v>
      </c>
      <c r="M3004" s="33" t="n">
        <f aca="false">IF(I3004="","",ABS(I3004))</f>
        <v>0.75</v>
      </c>
      <c r="N3004" s="33" t="n">
        <f aca="false">IF(J3004="","",ABS(J3004))</f>
        <v>1.375</v>
      </c>
      <c r="O3004" s="33" t="n">
        <f aca="false">IF(K3004="","",ABS(K3004))</f>
        <v>1.76585461908219</v>
      </c>
      <c r="P3004" s="34" t="str">
        <f aca="false">IF(B3004&gt;=Eval_Start_Week,"YES","")</f>
        <v>YES</v>
      </c>
      <c r="Q3004" s="34" t="str">
        <f aca="false">IF(AND(B3004&gt;=Cal_Start_Week,B3004&lt;=Cal_End_Week),"YES","")</f>
        <v/>
      </c>
    </row>
    <row r="3005" customFormat="false" ht="15" hidden="false" customHeight="false" outlineLevel="0" collapsed="false">
      <c r="A3005" s="31" t="str">
        <f aca="false">Demand_History!C3005</f>
        <v>BED-009</v>
      </c>
      <c r="B3005" s="31" t="n">
        <f aca="false">Demand_History!A3005</f>
        <v>92</v>
      </c>
      <c r="C3005" s="32" t="n">
        <f aca="false">Demand_History!D3005</f>
        <v>17</v>
      </c>
      <c r="D3005" s="33" t="n">
        <f aca="false">IF(B3005&gt;=2,C3004,"")</f>
        <v>14</v>
      </c>
      <c r="E3005" s="33" t="n">
        <f aca="false">IF(B3005&gt;=5,AVERAGE(C3001:C3004),"")</f>
        <v>15.25</v>
      </c>
      <c r="F3005" s="33" t="n">
        <f aca="false">IF(B3005&gt;=9,AVERAGE(C2997:C3004),"")</f>
        <v>14.875</v>
      </c>
      <c r="G3005" s="33" t="n">
        <f aca="false">IF(B3005=1,"",IF(B3005=2,C3004,SES_Alpha*C3004+(1-SES_Alpha)*G3004))</f>
        <v>15.2360982333575</v>
      </c>
      <c r="H3005" s="33" t="n">
        <f aca="false">IF(D3005="","",D3005-C3005)</f>
        <v>-3</v>
      </c>
      <c r="I3005" s="33" t="n">
        <f aca="false">IF(E3005="","",E3005-C3005)</f>
        <v>-1.75</v>
      </c>
      <c r="J3005" s="33" t="n">
        <f aca="false">IF(F3005="","",F3005-C3005)</f>
        <v>-2.125</v>
      </c>
      <c r="K3005" s="33" t="n">
        <f aca="false">IF(G3005="","",G3005-C3005)</f>
        <v>-1.76390176664247</v>
      </c>
      <c r="L3005" s="33" t="n">
        <f aca="false">IF(H3005="","",ABS(H3005))</f>
        <v>3</v>
      </c>
      <c r="M3005" s="33" t="n">
        <f aca="false">IF(I3005="","",ABS(I3005))</f>
        <v>1.75</v>
      </c>
      <c r="N3005" s="33" t="n">
        <f aca="false">IF(J3005="","",ABS(J3005))</f>
        <v>2.125</v>
      </c>
      <c r="O3005" s="33" t="n">
        <f aca="false">IF(K3005="","",ABS(K3005))</f>
        <v>1.76390176664247</v>
      </c>
      <c r="P3005" s="34" t="str">
        <f aca="false">IF(B3005&gt;=Eval_Start_Week,"YES","")</f>
        <v>YES</v>
      </c>
      <c r="Q3005" s="34" t="str">
        <f aca="false">IF(AND(B3005&gt;=Cal_Start_Week,B3005&lt;=Cal_End_Week),"YES","")</f>
        <v/>
      </c>
    </row>
    <row r="3006" customFormat="false" ht="15" hidden="false" customHeight="false" outlineLevel="0" collapsed="false">
      <c r="A3006" s="31" t="str">
        <f aca="false">Demand_History!C3006</f>
        <v>BED-009</v>
      </c>
      <c r="B3006" s="31" t="n">
        <f aca="false">Demand_History!A3006</f>
        <v>93</v>
      </c>
      <c r="C3006" s="32" t="n">
        <f aca="false">Demand_History!D3006</f>
        <v>14</v>
      </c>
      <c r="D3006" s="33" t="n">
        <f aca="false">IF(B3006&gt;=2,C3005,"")</f>
        <v>17</v>
      </c>
      <c r="E3006" s="33" t="n">
        <f aca="false">IF(B3006&gt;=5,AVERAGE(C3002:C3005),"")</f>
        <v>16</v>
      </c>
      <c r="F3006" s="33" t="n">
        <f aca="false">IF(B3006&gt;=9,AVERAGE(C2998:C3005),"")</f>
        <v>15.5</v>
      </c>
      <c r="G3006" s="33" t="n">
        <f aca="false">IF(B3006=1,"",IF(B3006=2,C3005,SES_Alpha*C3005+(1-SES_Alpha)*G3005))</f>
        <v>15.7652687633503</v>
      </c>
      <c r="H3006" s="33" t="n">
        <f aca="false">IF(D3006="","",D3006-C3006)</f>
        <v>3</v>
      </c>
      <c r="I3006" s="33" t="n">
        <f aca="false">IF(E3006="","",E3006-C3006)</f>
        <v>2</v>
      </c>
      <c r="J3006" s="33" t="n">
        <f aca="false">IF(F3006="","",F3006-C3006)</f>
        <v>1.5</v>
      </c>
      <c r="K3006" s="33" t="n">
        <f aca="false">IF(G3006="","",G3006-C3006)</f>
        <v>1.76526876335027</v>
      </c>
      <c r="L3006" s="33" t="n">
        <f aca="false">IF(H3006="","",ABS(H3006))</f>
        <v>3</v>
      </c>
      <c r="M3006" s="33" t="n">
        <f aca="false">IF(I3006="","",ABS(I3006))</f>
        <v>2</v>
      </c>
      <c r="N3006" s="33" t="n">
        <f aca="false">IF(J3006="","",ABS(J3006))</f>
        <v>1.5</v>
      </c>
      <c r="O3006" s="33" t="n">
        <f aca="false">IF(K3006="","",ABS(K3006))</f>
        <v>1.76526876335027</v>
      </c>
      <c r="P3006" s="34" t="str">
        <f aca="false">IF(B3006&gt;=Eval_Start_Week,"YES","")</f>
        <v>YES</v>
      </c>
      <c r="Q3006" s="34" t="str">
        <f aca="false">IF(AND(B3006&gt;=Cal_Start_Week,B3006&lt;=Cal_End_Week),"YES","")</f>
        <v/>
      </c>
    </row>
    <row r="3007" customFormat="false" ht="15" hidden="false" customHeight="false" outlineLevel="0" collapsed="false">
      <c r="A3007" s="31" t="str">
        <f aca="false">Demand_History!C3007</f>
        <v>BED-009</v>
      </c>
      <c r="B3007" s="31" t="n">
        <f aca="false">Demand_History!A3007</f>
        <v>94</v>
      </c>
      <c r="C3007" s="32" t="n">
        <f aca="false">Demand_History!D3007</f>
        <v>21</v>
      </c>
      <c r="D3007" s="33" t="n">
        <f aca="false">IF(B3007&gt;=2,C3006,"")</f>
        <v>14</v>
      </c>
      <c r="E3007" s="33" t="n">
        <f aca="false">IF(B3007&gt;=5,AVERAGE(C3003:C3006),"")</f>
        <v>15.75</v>
      </c>
      <c r="F3007" s="33" t="n">
        <f aca="false">IF(B3007&gt;=9,AVERAGE(C2999:C3006),"")</f>
        <v>14.75</v>
      </c>
      <c r="G3007" s="33" t="n">
        <f aca="false">IF(B3007=1,"",IF(B3007=2,C3006,SES_Alpha*C3006+(1-SES_Alpha)*G3006))</f>
        <v>15.2356881343452</v>
      </c>
      <c r="H3007" s="33" t="n">
        <f aca="false">IF(D3007="","",D3007-C3007)</f>
        <v>-7</v>
      </c>
      <c r="I3007" s="33" t="n">
        <f aca="false">IF(E3007="","",E3007-C3007)</f>
        <v>-5.25</v>
      </c>
      <c r="J3007" s="33" t="n">
        <f aca="false">IF(F3007="","",F3007-C3007)</f>
        <v>-6.25</v>
      </c>
      <c r="K3007" s="33" t="n">
        <f aca="false">IF(G3007="","",G3007-C3007)</f>
        <v>-5.76431186565481</v>
      </c>
      <c r="L3007" s="33" t="n">
        <f aca="false">IF(H3007="","",ABS(H3007))</f>
        <v>7</v>
      </c>
      <c r="M3007" s="33" t="n">
        <f aca="false">IF(I3007="","",ABS(I3007))</f>
        <v>5.25</v>
      </c>
      <c r="N3007" s="33" t="n">
        <f aca="false">IF(J3007="","",ABS(J3007))</f>
        <v>6.25</v>
      </c>
      <c r="O3007" s="33" t="n">
        <f aca="false">IF(K3007="","",ABS(K3007))</f>
        <v>5.76431186565481</v>
      </c>
      <c r="P3007" s="34" t="str">
        <f aca="false">IF(B3007&gt;=Eval_Start_Week,"YES","")</f>
        <v>YES</v>
      </c>
      <c r="Q3007" s="34" t="str">
        <f aca="false">IF(AND(B3007&gt;=Cal_Start_Week,B3007&lt;=Cal_End_Week),"YES","")</f>
        <v/>
      </c>
    </row>
    <row r="3008" customFormat="false" ht="15" hidden="false" customHeight="false" outlineLevel="0" collapsed="false">
      <c r="A3008" s="31" t="str">
        <f aca="false">Demand_History!C3008</f>
        <v>BED-009</v>
      </c>
      <c r="B3008" s="31" t="n">
        <f aca="false">Demand_History!A3008</f>
        <v>95</v>
      </c>
      <c r="C3008" s="32" t="n">
        <f aca="false">Demand_History!D3008</f>
        <v>17</v>
      </c>
      <c r="D3008" s="33" t="n">
        <f aca="false">IF(B3008&gt;=2,C3007,"")</f>
        <v>21</v>
      </c>
      <c r="E3008" s="33" t="n">
        <f aca="false">IF(B3008&gt;=5,AVERAGE(C3004:C3007),"")</f>
        <v>16.5</v>
      </c>
      <c r="F3008" s="33" t="n">
        <f aca="false">IF(B3008&gt;=9,AVERAGE(C3000:C3007),"")</f>
        <v>15.625</v>
      </c>
      <c r="G3008" s="33" t="n">
        <f aca="false">IF(B3008=1,"",IF(B3008=2,C3007,SES_Alpha*C3007+(1-SES_Alpha)*G3007))</f>
        <v>16.9649816940416</v>
      </c>
      <c r="H3008" s="33" t="n">
        <f aca="false">IF(D3008="","",D3008-C3008)</f>
        <v>4</v>
      </c>
      <c r="I3008" s="33" t="n">
        <f aca="false">IF(E3008="","",E3008-C3008)</f>
        <v>-0.5</v>
      </c>
      <c r="J3008" s="33" t="n">
        <f aca="false">IF(F3008="","",F3008-C3008)</f>
        <v>-1.375</v>
      </c>
      <c r="K3008" s="33" t="n">
        <f aca="false">IF(G3008="","",G3008-C3008)</f>
        <v>-0.0350183059583671</v>
      </c>
      <c r="L3008" s="33" t="n">
        <f aca="false">IF(H3008="","",ABS(H3008))</f>
        <v>4</v>
      </c>
      <c r="M3008" s="33" t="n">
        <f aca="false">IF(I3008="","",ABS(I3008))</f>
        <v>0.5</v>
      </c>
      <c r="N3008" s="33" t="n">
        <f aca="false">IF(J3008="","",ABS(J3008))</f>
        <v>1.375</v>
      </c>
      <c r="O3008" s="33" t="n">
        <f aca="false">IF(K3008="","",ABS(K3008))</f>
        <v>0.0350183059583671</v>
      </c>
      <c r="P3008" s="34" t="str">
        <f aca="false">IF(B3008&gt;=Eval_Start_Week,"YES","")</f>
        <v>YES</v>
      </c>
      <c r="Q3008" s="34" t="str">
        <f aca="false">IF(AND(B3008&gt;=Cal_Start_Week,B3008&lt;=Cal_End_Week),"YES","")</f>
        <v/>
      </c>
    </row>
    <row r="3009" customFormat="false" ht="15" hidden="false" customHeight="false" outlineLevel="0" collapsed="false">
      <c r="A3009" s="31" t="str">
        <f aca="false">Demand_History!C3009</f>
        <v>BED-009</v>
      </c>
      <c r="B3009" s="31" t="n">
        <f aca="false">Demand_History!A3009</f>
        <v>96</v>
      </c>
      <c r="C3009" s="32" t="n">
        <f aca="false">Demand_History!D3009</f>
        <v>20</v>
      </c>
      <c r="D3009" s="33" t="n">
        <f aca="false">IF(B3009&gt;=2,C3008,"")</f>
        <v>17</v>
      </c>
      <c r="E3009" s="33" t="n">
        <f aca="false">IF(B3009&gt;=5,AVERAGE(C3005:C3008),"")</f>
        <v>17.25</v>
      </c>
      <c r="F3009" s="33" t="n">
        <f aca="false">IF(B3009&gt;=9,AVERAGE(C3001:C3008),"")</f>
        <v>16.25</v>
      </c>
      <c r="G3009" s="33" t="n">
        <f aca="false">IF(B3009=1,"",IF(B3009=2,C3008,SES_Alpha*C3008+(1-SES_Alpha)*G3008))</f>
        <v>16.9754871858291</v>
      </c>
      <c r="H3009" s="33" t="n">
        <f aca="false">IF(D3009="","",D3009-C3009)</f>
        <v>-3</v>
      </c>
      <c r="I3009" s="33" t="n">
        <f aca="false">IF(E3009="","",E3009-C3009)</f>
        <v>-2.75</v>
      </c>
      <c r="J3009" s="33" t="n">
        <f aca="false">IF(F3009="","",F3009-C3009)</f>
        <v>-3.75</v>
      </c>
      <c r="K3009" s="33" t="n">
        <f aca="false">IF(G3009="","",G3009-C3009)</f>
        <v>-3.02451281417086</v>
      </c>
      <c r="L3009" s="33" t="n">
        <f aca="false">IF(H3009="","",ABS(H3009))</f>
        <v>3</v>
      </c>
      <c r="M3009" s="33" t="n">
        <f aca="false">IF(I3009="","",ABS(I3009))</f>
        <v>2.75</v>
      </c>
      <c r="N3009" s="33" t="n">
        <f aca="false">IF(J3009="","",ABS(J3009))</f>
        <v>3.75</v>
      </c>
      <c r="O3009" s="33" t="n">
        <f aca="false">IF(K3009="","",ABS(K3009))</f>
        <v>3.02451281417086</v>
      </c>
      <c r="P3009" s="34" t="str">
        <f aca="false">IF(B3009&gt;=Eval_Start_Week,"YES","")</f>
        <v>YES</v>
      </c>
      <c r="Q3009" s="34" t="str">
        <f aca="false">IF(AND(B3009&gt;=Cal_Start_Week,B3009&lt;=Cal_End_Week),"YES","")</f>
        <v/>
      </c>
    </row>
    <row r="3010" customFormat="false" ht="15" hidden="false" customHeight="false" outlineLevel="0" collapsed="false">
      <c r="A3010" s="31" t="str">
        <f aca="false">Demand_History!C3010</f>
        <v>BED-009</v>
      </c>
      <c r="B3010" s="31" t="n">
        <f aca="false">Demand_History!A3010</f>
        <v>97</v>
      </c>
      <c r="C3010" s="32" t="n">
        <f aca="false">Demand_History!D3010</f>
        <v>13</v>
      </c>
      <c r="D3010" s="33" t="n">
        <f aca="false">IF(B3010&gt;=2,C3009,"")</f>
        <v>20</v>
      </c>
      <c r="E3010" s="33" t="n">
        <f aca="false">IF(B3010&gt;=5,AVERAGE(C3006:C3009),"")</f>
        <v>18</v>
      </c>
      <c r="F3010" s="33" t="n">
        <f aca="false">IF(B3010&gt;=9,AVERAGE(C3002:C3009),"")</f>
        <v>17</v>
      </c>
      <c r="G3010" s="33" t="n">
        <f aca="false">IF(B3010=1,"",IF(B3010=2,C3009,SES_Alpha*C3009+(1-SES_Alpha)*G3009))</f>
        <v>17.8828410300804</v>
      </c>
      <c r="H3010" s="33" t="n">
        <f aca="false">IF(D3010="","",D3010-C3010)</f>
        <v>7</v>
      </c>
      <c r="I3010" s="33" t="n">
        <f aca="false">IF(E3010="","",E3010-C3010)</f>
        <v>5</v>
      </c>
      <c r="J3010" s="33" t="n">
        <f aca="false">IF(F3010="","",F3010-C3010)</f>
        <v>4</v>
      </c>
      <c r="K3010" s="33" t="n">
        <f aca="false">IF(G3010="","",G3010-C3010)</f>
        <v>4.8828410300804</v>
      </c>
      <c r="L3010" s="33" t="n">
        <f aca="false">IF(H3010="","",ABS(H3010))</f>
        <v>7</v>
      </c>
      <c r="M3010" s="33" t="n">
        <f aca="false">IF(I3010="","",ABS(I3010))</f>
        <v>5</v>
      </c>
      <c r="N3010" s="33" t="n">
        <f aca="false">IF(J3010="","",ABS(J3010))</f>
        <v>4</v>
      </c>
      <c r="O3010" s="33" t="n">
        <f aca="false">IF(K3010="","",ABS(K3010))</f>
        <v>4.8828410300804</v>
      </c>
      <c r="P3010" s="34" t="str">
        <f aca="false">IF(B3010&gt;=Eval_Start_Week,"YES","")</f>
        <v>YES</v>
      </c>
      <c r="Q3010" s="34" t="str">
        <f aca="false">IF(AND(B3010&gt;=Cal_Start_Week,B3010&lt;=Cal_End_Week),"YES","")</f>
        <v/>
      </c>
    </row>
    <row r="3011" customFormat="false" ht="15" hidden="false" customHeight="false" outlineLevel="0" collapsed="false">
      <c r="A3011" s="31" t="str">
        <f aca="false">Demand_History!C3011</f>
        <v>BED-009</v>
      </c>
      <c r="B3011" s="31" t="n">
        <f aca="false">Demand_History!A3011</f>
        <v>98</v>
      </c>
      <c r="C3011" s="32" t="n">
        <f aca="false">Demand_History!D3011</f>
        <v>17</v>
      </c>
      <c r="D3011" s="33" t="n">
        <f aca="false">IF(B3011&gt;=2,C3010,"")</f>
        <v>13</v>
      </c>
      <c r="E3011" s="33" t="n">
        <f aca="false">IF(B3011&gt;=5,AVERAGE(C3007:C3010),"")</f>
        <v>17.75</v>
      </c>
      <c r="F3011" s="33" t="n">
        <f aca="false">IF(B3011&gt;=9,AVERAGE(C3003:C3010),"")</f>
        <v>16.75</v>
      </c>
      <c r="G3011" s="33" t="n">
        <f aca="false">IF(B3011=1,"",IF(B3011=2,C3010,SES_Alpha*C3010+(1-SES_Alpha)*G3010))</f>
        <v>16.4179887210563</v>
      </c>
      <c r="H3011" s="33" t="n">
        <f aca="false">IF(D3011="","",D3011-C3011)</f>
        <v>-4</v>
      </c>
      <c r="I3011" s="33" t="n">
        <f aca="false">IF(E3011="","",E3011-C3011)</f>
        <v>0.75</v>
      </c>
      <c r="J3011" s="33" t="n">
        <f aca="false">IF(F3011="","",F3011-C3011)</f>
        <v>-0.25</v>
      </c>
      <c r="K3011" s="33" t="n">
        <f aca="false">IF(G3011="","",G3011-C3011)</f>
        <v>-0.582011278943721</v>
      </c>
      <c r="L3011" s="33" t="n">
        <f aca="false">IF(H3011="","",ABS(H3011))</f>
        <v>4</v>
      </c>
      <c r="M3011" s="33" t="n">
        <f aca="false">IF(I3011="","",ABS(I3011))</f>
        <v>0.75</v>
      </c>
      <c r="N3011" s="33" t="n">
        <f aca="false">IF(J3011="","",ABS(J3011))</f>
        <v>0.25</v>
      </c>
      <c r="O3011" s="33" t="n">
        <f aca="false">IF(K3011="","",ABS(K3011))</f>
        <v>0.582011278943721</v>
      </c>
      <c r="P3011" s="34" t="str">
        <f aca="false">IF(B3011&gt;=Eval_Start_Week,"YES","")</f>
        <v>YES</v>
      </c>
      <c r="Q3011" s="34" t="str">
        <f aca="false">IF(AND(B3011&gt;=Cal_Start_Week,B3011&lt;=Cal_End_Week),"YES","")</f>
        <v/>
      </c>
    </row>
    <row r="3012" customFormat="false" ht="15" hidden="false" customHeight="false" outlineLevel="0" collapsed="false">
      <c r="A3012" s="31" t="str">
        <f aca="false">Demand_History!C3012</f>
        <v>BED-009</v>
      </c>
      <c r="B3012" s="31" t="n">
        <f aca="false">Demand_History!A3012</f>
        <v>99</v>
      </c>
      <c r="C3012" s="32" t="n">
        <f aca="false">Demand_History!D3012</f>
        <v>13</v>
      </c>
      <c r="D3012" s="33" t="n">
        <f aca="false">IF(B3012&gt;=2,C3011,"")</f>
        <v>17</v>
      </c>
      <c r="E3012" s="33" t="n">
        <f aca="false">IF(B3012&gt;=5,AVERAGE(C3008:C3011),"")</f>
        <v>16.75</v>
      </c>
      <c r="F3012" s="33" t="n">
        <f aca="false">IF(B3012&gt;=9,AVERAGE(C3004:C3011),"")</f>
        <v>16.625</v>
      </c>
      <c r="G3012" s="33" t="n">
        <f aca="false">IF(B3012=1,"",IF(B3012=2,C3011,SES_Alpha*C3011+(1-SES_Alpha)*G3011))</f>
        <v>16.5925921047394</v>
      </c>
      <c r="H3012" s="33" t="n">
        <f aca="false">IF(D3012="","",D3012-C3012)</f>
        <v>4</v>
      </c>
      <c r="I3012" s="33" t="n">
        <f aca="false">IF(E3012="","",E3012-C3012)</f>
        <v>3.75</v>
      </c>
      <c r="J3012" s="33" t="n">
        <f aca="false">IF(F3012="","",F3012-C3012)</f>
        <v>3.625</v>
      </c>
      <c r="K3012" s="33" t="n">
        <f aca="false">IF(G3012="","",G3012-C3012)</f>
        <v>3.5925921047394</v>
      </c>
      <c r="L3012" s="33" t="n">
        <f aca="false">IF(H3012="","",ABS(H3012))</f>
        <v>4</v>
      </c>
      <c r="M3012" s="33" t="n">
        <f aca="false">IF(I3012="","",ABS(I3012))</f>
        <v>3.75</v>
      </c>
      <c r="N3012" s="33" t="n">
        <f aca="false">IF(J3012="","",ABS(J3012))</f>
        <v>3.625</v>
      </c>
      <c r="O3012" s="33" t="n">
        <f aca="false">IF(K3012="","",ABS(K3012))</f>
        <v>3.5925921047394</v>
      </c>
      <c r="P3012" s="34" t="str">
        <f aca="false">IF(B3012&gt;=Eval_Start_Week,"YES","")</f>
        <v>YES</v>
      </c>
      <c r="Q3012" s="34" t="str">
        <f aca="false">IF(AND(B3012&gt;=Cal_Start_Week,B3012&lt;=Cal_End_Week),"YES","")</f>
        <v/>
      </c>
    </row>
    <row r="3013" customFormat="false" ht="15" hidden="false" customHeight="false" outlineLevel="0" collapsed="false">
      <c r="A3013" s="31" t="str">
        <f aca="false">Demand_History!C3013</f>
        <v>BED-009</v>
      </c>
      <c r="B3013" s="31" t="n">
        <f aca="false">Demand_History!A3013</f>
        <v>100</v>
      </c>
      <c r="C3013" s="32" t="n">
        <f aca="false">Demand_History!D3013</f>
        <v>16</v>
      </c>
      <c r="D3013" s="33" t="n">
        <f aca="false">IF(B3013&gt;=2,C3012,"")</f>
        <v>13</v>
      </c>
      <c r="E3013" s="33" t="n">
        <f aca="false">IF(B3013&gt;=5,AVERAGE(C3009:C3012),"")</f>
        <v>15.75</v>
      </c>
      <c r="F3013" s="33" t="n">
        <f aca="false">IF(B3013&gt;=9,AVERAGE(C3005:C3012),"")</f>
        <v>16.5</v>
      </c>
      <c r="G3013" s="33" t="n">
        <f aca="false">IF(B3013=1,"",IF(B3013=2,C3012,SES_Alpha*C3012+(1-SES_Alpha)*G3012))</f>
        <v>15.5148144733176</v>
      </c>
      <c r="H3013" s="33" t="n">
        <f aca="false">IF(D3013="","",D3013-C3013)</f>
        <v>-3</v>
      </c>
      <c r="I3013" s="33" t="n">
        <f aca="false">IF(E3013="","",E3013-C3013)</f>
        <v>-0.25</v>
      </c>
      <c r="J3013" s="33" t="n">
        <f aca="false">IF(F3013="","",F3013-C3013)</f>
        <v>0.5</v>
      </c>
      <c r="K3013" s="33" t="n">
        <f aca="false">IF(G3013="","",G3013-C3013)</f>
        <v>-0.485185526682423</v>
      </c>
      <c r="L3013" s="33" t="n">
        <f aca="false">IF(H3013="","",ABS(H3013))</f>
        <v>3</v>
      </c>
      <c r="M3013" s="33" t="n">
        <f aca="false">IF(I3013="","",ABS(I3013))</f>
        <v>0.25</v>
      </c>
      <c r="N3013" s="33" t="n">
        <f aca="false">IF(J3013="","",ABS(J3013))</f>
        <v>0.5</v>
      </c>
      <c r="O3013" s="33" t="n">
        <f aca="false">IF(K3013="","",ABS(K3013))</f>
        <v>0.485185526682423</v>
      </c>
      <c r="P3013" s="34" t="str">
        <f aca="false">IF(B3013&gt;=Eval_Start_Week,"YES","")</f>
        <v>YES</v>
      </c>
      <c r="Q3013" s="34" t="str">
        <f aca="false">IF(AND(B3013&gt;=Cal_Start_Week,B3013&lt;=Cal_End_Week),"YES","")</f>
        <v/>
      </c>
    </row>
    <row r="3014" customFormat="false" ht="15" hidden="false" customHeight="false" outlineLevel="0" collapsed="false">
      <c r="A3014" s="31" t="str">
        <f aca="false">Demand_History!C3014</f>
        <v>BED-009</v>
      </c>
      <c r="B3014" s="31" t="n">
        <f aca="false">Demand_History!A3014</f>
        <v>101</v>
      </c>
      <c r="C3014" s="32" t="n">
        <f aca="false">Demand_History!D3014</f>
        <v>16</v>
      </c>
      <c r="D3014" s="33" t="n">
        <f aca="false">IF(B3014&gt;=2,C3013,"")</f>
        <v>16</v>
      </c>
      <c r="E3014" s="33" t="n">
        <f aca="false">IF(B3014&gt;=5,AVERAGE(C3010:C3013),"")</f>
        <v>14.75</v>
      </c>
      <c r="F3014" s="33" t="n">
        <f aca="false">IF(B3014&gt;=9,AVERAGE(C3006:C3013),"")</f>
        <v>16.375</v>
      </c>
      <c r="G3014" s="33" t="n">
        <f aca="false">IF(B3014=1,"",IF(B3014=2,C3013,SES_Alpha*C3013+(1-SES_Alpha)*G3013))</f>
        <v>15.6603701313223</v>
      </c>
      <c r="H3014" s="33" t="n">
        <f aca="false">IF(D3014="","",D3014-C3014)</f>
        <v>0</v>
      </c>
      <c r="I3014" s="33" t="n">
        <f aca="false">IF(E3014="","",E3014-C3014)</f>
        <v>-1.25</v>
      </c>
      <c r="J3014" s="33" t="n">
        <f aca="false">IF(F3014="","",F3014-C3014)</f>
        <v>0.375</v>
      </c>
      <c r="K3014" s="33" t="n">
        <f aca="false">IF(G3014="","",G3014-C3014)</f>
        <v>-0.339629868677697</v>
      </c>
      <c r="L3014" s="33" t="n">
        <f aca="false">IF(H3014="","",ABS(H3014))</f>
        <v>0</v>
      </c>
      <c r="M3014" s="33" t="n">
        <f aca="false">IF(I3014="","",ABS(I3014))</f>
        <v>1.25</v>
      </c>
      <c r="N3014" s="33" t="n">
        <f aca="false">IF(J3014="","",ABS(J3014))</f>
        <v>0.375</v>
      </c>
      <c r="O3014" s="33" t="n">
        <f aca="false">IF(K3014="","",ABS(K3014))</f>
        <v>0.339629868677697</v>
      </c>
      <c r="P3014" s="34" t="str">
        <f aca="false">IF(B3014&gt;=Eval_Start_Week,"YES","")</f>
        <v>YES</v>
      </c>
      <c r="Q3014" s="34" t="str">
        <f aca="false">IF(AND(B3014&gt;=Cal_Start_Week,B3014&lt;=Cal_End_Week),"YES","")</f>
        <v/>
      </c>
    </row>
    <row r="3015" customFormat="false" ht="15" hidden="false" customHeight="false" outlineLevel="0" collapsed="false">
      <c r="A3015" s="31" t="str">
        <f aca="false">Demand_History!C3015</f>
        <v>BED-009</v>
      </c>
      <c r="B3015" s="31" t="n">
        <f aca="false">Demand_History!A3015</f>
        <v>102</v>
      </c>
      <c r="C3015" s="32" t="n">
        <f aca="false">Demand_History!D3015</f>
        <v>11</v>
      </c>
      <c r="D3015" s="33" t="n">
        <f aca="false">IF(B3015&gt;=2,C3014,"")</f>
        <v>16</v>
      </c>
      <c r="E3015" s="33" t="n">
        <f aca="false">IF(B3015&gt;=5,AVERAGE(C3011:C3014),"")</f>
        <v>15.5</v>
      </c>
      <c r="F3015" s="33" t="n">
        <f aca="false">IF(B3015&gt;=9,AVERAGE(C3007:C3014),"")</f>
        <v>16.625</v>
      </c>
      <c r="G3015" s="33" t="n">
        <f aca="false">IF(B3015=1,"",IF(B3015=2,C3014,SES_Alpha*C3014+(1-SES_Alpha)*G3014))</f>
        <v>15.7622590919256</v>
      </c>
      <c r="H3015" s="33" t="n">
        <f aca="false">IF(D3015="","",D3015-C3015)</f>
        <v>5</v>
      </c>
      <c r="I3015" s="33" t="n">
        <f aca="false">IF(E3015="","",E3015-C3015)</f>
        <v>4.5</v>
      </c>
      <c r="J3015" s="33" t="n">
        <f aca="false">IF(F3015="","",F3015-C3015)</f>
        <v>5.625</v>
      </c>
      <c r="K3015" s="33" t="n">
        <f aca="false">IF(G3015="","",G3015-C3015)</f>
        <v>4.76225909192561</v>
      </c>
      <c r="L3015" s="33" t="n">
        <f aca="false">IF(H3015="","",ABS(H3015))</f>
        <v>5</v>
      </c>
      <c r="M3015" s="33" t="n">
        <f aca="false">IF(I3015="","",ABS(I3015))</f>
        <v>4.5</v>
      </c>
      <c r="N3015" s="33" t="n">
        <f aca="false">IF(J3015="","",ABS(J3015))</f>
        <v>5.625</v>
      </c>
      <c r="O3015" s="33" t="n">
        <f aca="false">IF(K3015="","",ABS(K3015))</f>
        <v>4.76225909192561</v>
      </c>
      <c r="P3015" s="34" t="str">
        <f aca="false">IF(B3015&gt;=Eval_Start_Week,"YES","")</f>
        <v>YES</v>
      </c>
      <c r="Q3015" s="34" t="str">
        <f aca="false">IF(AND(B3015&gt;=Cal_Start_Week,B3015&lt;=Cal_End_Week),"YES","")</f>
        <v/>
      </c>
    </row>
    <row r="3016" customFormat="false" ht="15" hidden="false" customHeight="false" outlineLevel="0" collapsed="false">
      <c r="A3016" s="31" t="str">
        <f aca="false">Demand_History!C3016</f>
        <v>BED-009</v>
      </c>
      <c r="B3016" s="31" t="n">
        <f aca="false">Demand_History!A3016</f>
        <v>103</v>
      </c>
      <c r="C3016" s="32" t="n">
        <f aca="false">Demand_History!D3016</f>
        <v>12</v>
      </c>
      <c r="D3016" s="33" t="n">
        <f aca="false">IF(B3016&gt;=2,C3015,"")</f>
        <v>11</v>
      </c>
      <c r="E3016" s="33" t="n">
        <f aca="false">IF(B3016&gt;=5,AVERAGE(C3012:C3015),"")</f>
        <v>14</v>
      </c>
      <c r="F3016" s="33" t="n">
        <f aca="false">IF(B3016&gt;=9,AVERAGE(C3008:C3015),"")</f>
        <v>15.375</v>
      </c>
      <c r="G3016" s="33" t="n">
        <f aca="false">IF(B3016=1,"",IF(B3016=2,C3015,SES_Alpha*C3015+(1-SES_Alpha)*G3015))</f>
        <v>14.3335813643479</v>
      </c>
      <c r="H3016" s="33" t="n">
        <f aca="false">IF(D3016="","",D3016-C3016)</f>
        <v>-1</v>
      </c>
      <c r="I3016" s="33" t="n">
        <f aca="false">IF(E3016="","",E3016-C3016)</f>
        <v>2</v>
      </c>
      <c r="J3016" s="33" t="n">
        <f aca="false">IF(F3016="","",F3016-C3016)</f>
        <v>3.375</v>
      </c>
      <c r="K3016" s="33" t="n">
        <f aca="false">IF(G3016="","",G3016-C3016)</f>
        <v>2.33358136434793</v>
      </c>
      <c r="L3016" s="33" t="n">
        <f aca="false">IF(H3016="","",ABS(H3016))</f>
        <v>1</v>
      </c>
      <c r="M3016" s="33" t="n">
        <f aca="false">IF(I3016="","",ABS(I3016))</f>
        <v>2</v>
      </c>
      <c r="N3016" s="33" t="n">
        <f aca="false">IF(J3016="","",ABS(J3016))</f>
        <v>3.375</v>
      </c>
      <c r="O3016" s="33" t="n">
        <f aca="false">IF(K3016="","",ABS(K3016))</f>
        <v>2.33358136434793</v>
      </c>
      <c r="P3016" s="34" t="str">
        <f aca="false">IF(B3016&gt;=Eval_Start_Week,"YES","")</f>
        <v>YES</v>
      </c>
      <c r="Q3016" s="34" t="str">
        <f aca="false">IF(AND(B3016&gt;=Cal_Start_Week,B3016&lt;=Cal_End_Week),"YES","")</f>
        <v/>
      </c>
    </row>
    <row r="3017" customFormat="false" ht="15" hidden="false" customHeight="false" outlineLevel="0" collapsed="false">
      <c r="A3017" s="31" t="str">
        <f aca="false">Demand_History!C3017</f>
        <v>BED-009</v>
      </c>
      <c r="B3017" s="31" t="n">
        <f aca="false">Demand_History!A3017</f>
        <v>104</v>
      </c>
      <c r="C3017" s="32" t="n">
        <f aca="false">Demand_History!D3017</f>
        <v>12</v>
      </c>
      <c r="D3017" s="33" t="n">
        <f aca="false">IF(B3017&gt;=2,C3016,"")</f>
        <v>12</v>
      </c>
      <c r="E3017" s="33" t="n">
        <f aca="false">IF(B3017&gt;=5,AVERAGE(C3013:C3016),"")</f>
        <v>13.75</v>
      </c>
      <c r="F3017" s="33" t="n">
        <f aca="false">IF(B3017&gt;=9,AVERAGE(C3009:C3016),"")</f>
        <v>14.75</v>
      </c>
      <c r="G3017" s="33" t="n">
        <f aca="false">IF(B3017=1,"",IF(B3017=2,C3016,SES_Alpha*C3016+(1-SES_Alpha)*G3016))</f>
        <v>13.6335069550435</v>
      </c>
      <c r="H3017" s="33" t="n">
        <f aca="false">IF(D3017="","",D3017-C3017)</f>
        <v>0</v>
      </c>
      <c r="I3017" s="33" t="n">
        <f aca="false">IF(E3017="","",E3017-C3017)</f>
        <v>1.75</v>
      </c>
      <c r="J3017" s="33" t="n">
        <f aca="false">IF(F3017="","",F3017-C3017)</f>
        <v>2.75</v>
      </c>
      <c r="K3017" s="33" t="n">
        <f aca="false">IF(G3017="","",G3017-C3017)</f>
        <v>1.63350695504355</v>
      </c>
      <c r="L3017" s="33" t="n">
        <f aca="false">IF(H3017="","",ABS(H3017))</f>
        <v>0</v>
      </c>
      <c r="M3017" s="33" t="n">
        <f aca="false">IF(I3017="","",ABS(I3017))</f>
        <v>1.75</v>
      </c>
      <c r="N3017" s="33" t="n">
        <f aca="false">IF(J3017="","",ABS(J3017))</f>
        <v>2.75</v>
      </c>
      <c r="O3017" s="33" t="n">
        <f aca="false">IF(K3017="","",ABS(K3017))</f>
        <v>1.63350695504355</v>
      </c>
      <c r="P3017" s="34" t="str">
        <f aca="false">IF(B3017&gt;=Eval_Start_Week,"YES","")</f>
        <v>YES</v>
      </c>
      <c r="Q3017" s="34" t="str">
        <f aca="false">IF(AND(B3017&gt;=Cal_Start_Week,B3017&lt;=Cal_End_Week),"YES","")</f>
        <v/>
      </c>
    </row>
    <row r="3018" customFormat="false" ht="15" hidden="false" customHeight="false" outlineLevel="0" collapsed="false">
      <c r="A3018" s="31" t="str">
        <f aca="false">Demand_History!C3018</f>
        <v>ELE-001</v>
      </c>
      <c r="B3018" s="31" t="n">
        <f aca="false">Demand_History!A3018</f>
        <v>1</v>
      </c>
      <c r="C3018" s="32" t="n">
        <f aca="false">Demand_History!D3018</f>
        <v>31</v>
      </c>
      <c r="D3018" s="33" t="str">
        <f aca="false">IF(B3018&gt;=2,C3017,"")</f>
        <v/>
      </c>
      <c r="E3018" s="33" t="str">
        <f aca="false">IF(B3018&gt;=5,AVERAGE(C3014:C3017),"")</f>
        <v/>
      </c>
      <c r="F3018" s="33" t="str">
        <f aca="false">IF(B3018&gt;=9,AVERAGE(C3010:C3017),"")</f>
        <v/>
      </c>
      <c r="G3018" s="33" t="str">
        <f aca="false">IF(B3018=1,"",IF(B3018=2,C3017,SES_Alpha*C3017+(1-SES_Alpha)*G3017))</f>
        <v/>
      </c>
      <c r="H3018" s="33" t="str">
        <f aca="false">IF(D3018="","",D3018-C3018)</f>
        <v/>
      </c>
      <c r="I3018" s="33" t="str">
        <f aca="false">IF(E3018="","",E3018-C3018)</f>
        <v/>
      </c>
      <c r="J3018" s="33" t="str">
        <f aca="false">IF(F3018="","",F3018-C3018)</f>
        <v/>
      </c>
      <c r="K3018" s="33" t="str">
        <f aca="false">IF(G3018="","",G3018-C3018)</f>
        <v/>
      </c>
      <c r="L3018" s="33" t="str">
        <f aca="false">IF(H3018="","",ABS(H3018))</f>
        <v/>
      </c>
      <c r="M3018" s="33" t="str">
        <f aca="false">IF(I3018="","",ABS(I3018))</f>
        <v/>
      </c>
      <c r="N3018" s="33" t="str">
        <f aca="false">IF(J3018="","",ABS(J3018))</f>
        <v/>
      </c>
      <c r="O3018" s="33" t="str">
        <f aca="false">IF(K3018="","",ABS(K3018))</f>
        <v/>
      </c>
      <c r="P3018" s="34" t="str">
        <f aca="false">IF(B3018&gt;=Eval_Start_Week,"YES","")</f>
        <v/>
      </c>
      <c r="Q3018" s="34" t="str">
        <f aca="false">IF(AND(B3018&gt;=Cal_Start_Week,B3018&lt;=Cal_End_Week),"YES","")</f>
        <v/>
      </c>
    </row>
    <row r="3019" customFormat="false" ht="15" hidden="false" customHeight="false" outlineLevel="0" collapsed="false">
      <c r="A3019" s="31" t="str">
        <f aca="false">Demand_History!C3019</f>
        <v>ELE-001</v>
      </c>
      <c r="B3019" s="31" t="n">
        <f aca="false">Demand_History!A3019</f>
        <v>2</v>
      </c>
      <c r="C3019" s="32" t="n">
        <f aca="false">Demand_History!D3019</f>
        <v>30</v>
      </c>
      <c r="D3019" s="33" t="n">
        <f aca="false">IF(B3019&gt;=2,C3018,"")</f>
        <v>31</v>
      </c>
      <c r="E3019" s="33" t="str">
        <f aca="false">IF(B3019&gt;=5,AVERAGE(C3015:C3018),"")</f>
        <v/>
      </c>
      <c r="F3019" s="33" t="str">
        <f aca="false">IF(B3019&gt;=9,AVERAGE(C3011:C3018),"")</f>
        <v/>
      </c>
      <c r="G3019" s="33" t="n">
        <f aca="false">IF(B3019=1,"",IF(B3019=2,C3018,SES_Alpha*C3018+(1-SES_Alpha)*G3018))</f>
        <v>31</v>
      </c>
      <c r="H3019" s="33" t="n">
        <f aca="false">IF(D3019="","",D3019-C3019)</f>
        <v>1</v>
      </c>
      <c r="I3019" s="33" t="str">
        <f aca="false">IF(E3019="","",E3019-C3019)</f>
        <v/>
      </c>
      <c r="J3019" s="33" t="str">
        <f aca="false">IF(F3019="","",F3019-C3019)</f>
        <v/>
      </c>
      <c r="K3019" s="33" t="n">
        <f aca="false">IF(G3019="","",G3019-C3019)</f>
        <v>1</v>
      </c>
      <c r="L3019" s="33" t="n">
        <f aca="false">IF(H3019="","",ABS(H3019))</f>
        <v>1</v>
      </c>
      <c r="M3019" s="33" t="str">
        <f aca="false">IF(I3019="","",ABS(I3019))</f>
        <v/>
      </c>
      <c r="N3019" s="33" t="str">
        <f aca="false">IF(J3019="","",ABS(J3019))</f>
        <v/>
      </c>
      <c r="O3019" s="33" t="n">
        <f aca="false">IF(K3019="","",ABS(K3019))</f>
        <v>1</v>
      </c>
      <c r="P3019" s="34" t="str">
        <f aca="false">IF(B3019&gt;=Eval_Start_Week,"YES","")</f>
        <v/>
      </c>
      <c r="Q3019" s="34" t="str">
        <f aca="false">IF(AND(B3019&gt;=Cal_Start_Week,B3019&lt;=Cal_End_Week),"YES","")</f>
        <v/>
      </c>
    </row>
    <row r="3020" customFormat="false" ht="15" hidden="false" customHeight="false" outlineLevel="0" collapsed="false">
      <c r="A3020" s="31" t="str">
        <f aca="false">Demand_History!C3020</f>
        <v>ELE-001</v>
      </c>
      <c r="B3020" s="31" t="n">
        <f aca="false">Demand_History!A3020</f>
        <v>3</v>
      </c>
      <c r="C3020" s="32" t="n">
        <f aca="false">Demand_History!D3020</f>
        <v>28</v>
      </c>
      <c r="D3020" s="33" t="n">
        <f aca="false">IF(B3020&gt;=2,C3019,"")</f>
        <v>30</v>
      </c>
      <c r="E3020" s="33" t="str">
        <f aca="false">IF(B3020&gt;=5,AVERAGE(C3016:C3019),"")</f>
        <v/>
      </c>
      <c r="F3020" s="33" t="str">
        <f aca="false">IF(B3020&gt;=9,AVERAGE(C3012:C3019),"")</f>
        <v/>
      </c>
      <c r="G3020" s="33" t="n">
        <f aca="false">IF(B3020=1,"",IF(B3020=2,C3019,SES_Alpha*C3019+(1-SES_Alpha)*G3019))</f>
        <v>30.7</v>
      </c>
      <c r="H3020" s="33" t="n">
        <f aca="false">IF(D3020="","",D3020-C3020)</f>
        <v>2</v>
      </c>
      <c r="I3020" s="33" t="str">
        <f aca="false">IF(E3020="","",E3020-C3020)</f>
        <v/>
      </c>
      <c r="J3020" s="33" t="str">
        <f aca="false">IF(F3020="","",F3020-C3020)</f>
        <v/>
      </c>
      <c r="K3020" s="33" t="n">
        <f aca="false">IF(G3020="","",G3020-C3020)</f>
        <v>2.7</v>
      </c>
      <c r="L3020" s="33" t="n">
        <f aca="false">IF(H3020="","",ABS(H3020))</f>
        <v>2</v>
      </c>
      <c r="M3020" s="33" t="str">
        <f aca="false">IF(I3020="","",ABS(I3020))</f>
        <v/>
      </c>
      <c r="N3020" s="33" t="str">
        <f aca="false">IF(J3020="","",ABS(J3020))</f>
        <v/>
      </c>
      <c r="O3020" s="33" t="n">
        <f aca="false">IF(K3020="","",ABS(K3020))</f>
        <v>2.7</v>
      </c>
      <c r="P3020" s="34" t="str">
        <f aca="false">IF(B3020&gt;=Eval_Start_Week,"YES","")</f>
        <v/>
      </c>
      <c r="Q3020" s="34" t="str">
        <f aca="false">IF(AND(B3020&gt;=Cal_Start_Week,B3020&lt;=Cal_End_Week),"YES","")</f>
        <v/>
      </c>
    </row>
    <row r="3021" customFormat="false" ht="15" hidden="false" customHeight="false" outlineLevel="0" collapsed="false">
      <c r="A3021" s="31" t="str">
        <f aca="false">Demand_History!C3021</f>
        <v>ELE-001</v>
      </c>
      <c r="B3021" s="31" t="n">
        <f aca="false">Demand_History!A3021</f>
        <v>4</v>
      </c>
      <c r="C3021" s="32" t="n">
        <f aca="false">Demand_History!D3021</f>
        <v>36</v>
      </c>
      <c r="D3021" s="33" t="n">
        <f aca="false">IF(B3021&gt;=2,C3020,"")</f>
        <v>28</v>
      </c>
      <c r="E3021" s="33" t="str">
        <f aca="false">IF(B3021&gt;=5,AVERAGE(C3017:C3020),"")</f>
        <v/>
      </c>
      <c r="F3021" s="33" t="str">
        <f aca="false">IF(B3021&gt;=9,AVERAGE(C3013:C3020),"")</f>
        <v/>
      </c>
      <c r="G3021" s="33" t="n">
        <f aca="false">IF(B3021=1,"",IF(B3021=2,C3020,SES_Alpha*C3020+(1-SES_Alpha)*G3020))</f>
        <v>29.89</v>
      </c>
      <c r="H3021" s="33" t="n">
        <f aca="false">IF(D3021="","",D3021-C3021)</f>
        <v>-8</v>
      </c>
      <c r="I3021" s="33" t="str">
        <f aca="false">IF(E3021="","",E3021-C3021)</f>
        <v/>
      </c>
      <c r="J3021" s="33" t="str">
        <f aca="false">IF(F3021="","",F3021-C3021)</f>
        <v/>
      </c>
      <c r="K3021" s="33" t="n">
        <f aca="false">IF(G3021="","",G3021-C3021)</f>
        <v>-6.11</v>
      </c>
      <c r="L3021" s="33" t="n">
        <f aca="false">IF(H3021="","",ABS(H3021))</f>
        <v>8</v>
      </c>
      <c r="M3021" s="33" t="str">
        <f aca="false">IF(I3021="","",ABS(I3021))</f>
        <v/>
      </c>
      <c r="N3021" s="33" t="str">
        <f aca="false">IF(J3021="","",ABS(J3021))</f>
        <v/>
      </c>
      <c r="O3021" s="33" t="n">
        <f aca="false">IF(K3021="","",ABS(K3021))</f>
        <v>6.11</v>
      </c>
      <c r="P3021" s="34" t="str">
        <f aca="false">IF(B3021&gt;=Eval_Start_Week,"YES","")</f>
        <v/>
      </c>
      <c r="Q3021" s="34" t="str">
        <f aca="false">IF(AND(B3021&gt;=Cal_Start_Week,B3021&lt;=Cal_End_Week),"YES","")</f>
        <v/>
      </c>
    </row>
    <row r="3022" customFormat="false" ht="15" hidden="false" customHeight="false" outlineLevel="0" collapsed="false">
      <c r="A3022" s="31" t="str">
        <f aca="false">Demand_History!C3022</f>
        <v>ELE-001</v>
      </c>
      <c r="B3022" s="31" t="n">
        <f aca="false">Demand_History!A3022</f>
        <v>5</v>
      </c>
      <c r="C3022" s="32" t="n">
        <f aca="false">Demand_History!D3022</f>
        <v>38</v>
      </c>
      <c r="D3022" s="33" t="n">
        <f aca="false">IF(B3022&gt;=2,C3021,"")</f>
        <v>36</v>
      </c>
      <c r="E3022" s="33" t="n">
        <f aca="false">IF(B3022&gt;=5,AVERAGE(C3018:C3021),"")</f>
        <v>31.25</v>
      </c>
      <c r="F3022" s="33" t="str">
        <f aca="false">IF(B3022&gt;=9,AVERAGE(C3014:C3021),"")</f>
        <v/>
      </c>
      <c r="G3022" s="33" t="n">
        <f aca="false">IF(B3022=1,"",IF(B3022=2,C3021,SES_Alpha*C3021+(1-SES_Alpha)*G3021))</f>
        <v>31.723</v>
      </c>
      <c r="H3022" s="33" t="n">
        <f aca="false">IF(D3022="","",D3022-C3022)</f>
        <v>-2</v>
      </c>
      <c r="I3022" s="33" t="n">
        <f aca="false">IF(E3022="","",E3022-C3022)</f>
        <v>-6.75</v>
      </c>
      <c r="J3022" s="33" t="str">
        <f aca="false">IF(F3022="","",F3022-C3022)</f>
        <v/>
      </c>
      <c r="K3022" s="33" t="n">
        <f aca="false">IF(G3022="","",G3022-C3022)</f>
        <v>-6.277</v>
      </c>
      <c r="L3022" s="33" t="n">
        <f aca="false">IF(H3022="","",ABS(H3022))</f>
        <v>2</v>
      </c>
      <c r="M3022" s="33" t="n">
        <f aca="false">IF(I3022="","",ABS(I3022))</f>
        <v>6.75</v>
      </c>
      <c r="N3022" s="33" t="str">
        <f aca="false">IF(J3022="","",ABS(J3022))</f>
        <v/>
      </c>
      <c r="O3022" s="33" t="n">
        <f aca="false">IF(K3022="","",ABS(K3022))</f>
        <v>6.277</v>
      </c>
      <c r="P3022" s="34" t="str">
        <f aca="false">IF(B3022&gt;=Eval_Start_Week,"YES","")</f>
        <v/>
      </c>
      <c r="Q3022" s="34" t="str">
        <f aca="false">IF(AND(B3022&gt;=Cal_Start_Week,B3022&lt;=Cal_End_Week),"YES","")</f>
        <v/>
      </c>
    </row>
    <row r="3023" customFormat="false" ht="15" hidden="false" customHeight="false" outlineLevel="0" collapsed="false">
      <c r="A3023" s="31" t="str">
        <f aca="false">Demand_History!C3023</f>
        <v>ELE-001</v>
      </c>
      <c r="B3023" s="31" t="n">
        <f aca="false">Demand_History!A3023</f>
        <v>6</v>
      </c>
      <c r="C3023" s="32" t="n">
        <f aca="false">Demand_History!D3023</f>
        <v>28</v>
      </c>
      <c r="D3023" s="33" t="n">
        <f aca="false">IF(B3023&gt;=2,C3022,"")</f>
        <v>38</v>
      </c>
      <c r="E3023" s="33" t="n">
        <f aca="false">IF(B3023&gt;=5,AVERAGE(C3019:C3022),"")</f>
        <v>33</v>
      </c>
      <c r="F3023" s="33" t="str">
        <f aca="false">IF(B3023&gt;=9,AVERAGE(C3015:C3022),"")</f>
        <v/>
      </c>
      <c r="G3023" s="33" t="n">
        <f aca="false">IF(B3023=1,"",IF(B3023=2,C3022,SES_Alpha*C3022+(1-SES_Alpha)*G3022))</f>
        <v>33.6061</v>
      </c>
      <c r="H3023" s="33" t="n">
        <f aca="false">IF(D3023="","",D3023-C3023)</f>
        <v>10</v>
      </c>
      <c r="I3023" s="33" t="n">
        <f aca="false">IF(E3023="","",E3023-C3023)</f>
        <v>5</v>
      </c>
      <c r="J3023" s="33" t="str">
        <f aca="false">IF(F3023="","",F3023-C3023)</f>
        <v/>
      </c>
      <c r="K3023" s="33" t="n">
        <f aca="false">IF(G3023="","",G3023-C3023)</f>
        <v>5.6061</v>
      </c>
      <c r="L3023" s="33" t="n">
        <f aca="false">IF(H3023="","",ABS(H3023))</f>
        <v>10</v>
      </c>
      <c r="M3023" s="33" t="n">
        <f aca="false">IF(I3023="","",ABS(I3023))</f>
        <v>5</v>
      </c>
      <c r="N3023" s="33" t="str">
        <f aca="false">IF(J3023="","",ABS(J3023))</f>
        <v/>
      </c>
      <c r="O3023" s="33" t="n">
        <f aca="false">IF(K3023="","",ABS(K3023))</f>
        <v>5.6061</v>
      </c>
      <c r="P3023" s="34" t="str">
        <f aca="false">IF(B3023&gt;=Eval_Start_Week,"YES","")</f>
        <v/>
      </c>
      <c r="Q3023" s="34" t="str">
        <f aca="false">IF(AND(B3023&gt;=Cal_Start_Week,B3023&lt;=Cal_End_Week),"YES","")</f>
        <v/>
      </c>
    </row>
    <row r="3024" customFormat="false" ht="15" hidden="false" customHeight="false" outlineLevel="0" collapsed="false">
      <c r="A3024" s="31" t="str">
        <f aca="false">Demand_History!C3024</f>
        <v>ELE-001</v>
      </c>
      <c r="B3024" s="31" t="n">
        <f aca="false">Demand_History!A3024</f>
        <v>7</v>
      </c>
      <c r="C3024" s="32" t="n">
        <f aca="false">Demand_History!D3024</f>
        <v>32</v>
      </c>
      <c r="D3024" s="33" t="n">
        <f aca="false">IF(B3024&gt;=2,C3023,"")</f>
        <v>28</v>
      </c>
      <c r="E3024" s="33" t="n">
        <f aca="false">IF(B3024&gt;=5,AVERAGE(C3020:C3023),"")</f>
        <v>32.5</v>
      </c>
      <c r="F3024" s="33" t="str">
        <f aca="false">IF(B3024&gt;=9,AVERAGE(C3016:C3023),"")</f>
        <v/>
      </c>
      <c r="G3024" s="33" t="n">
        <f aca="false">IF(B3024=1,"",IF(B3024=2,C3023,SES_Alpha*C3023+(1-SES_Alpha)*G3023))</f>
        <v>31.92427</v>
      </c>
      <c r="H3024" s="33" t="n">
        <f aca="false">IF(D3024="","",D3024-C3024)</f>
        <v>-4</v>
      </c>
      <c r="I3024" s="33" t="n">
        <f aca="false">IF(E3024="","",E3024-C3024)</f>
        <v>0.5</v>
      </c>
      <c r="J3024" s="33" t="str">
        <f aca="false">IF(F3024="","",F3024-C3024)</f>
        <v/>
      </c>
      <c r="K3024" s="33" t="n">
        <f aca="false">IF(G3024="","",G3024-C3024)</f>
        <v>-0.0757300000000001</v>
      </c>
      <c r="L3024" s="33" t="n">
        <f aca="false">IF(H3024="","",ABS(H3024))</f>
        <v>4</v>
      </c>
      <c r="M3024" s="33" t="n">
        <f aca="false">IF(I3024="","",ABS(I3024))</f>
        <v>0.5</v>
      </c>
      <c r="N3024" s="33" t="str">
        <f aca="false">IF(J3024="","",ABS(J3024))</f>
        <v/>
      </c>
      <c r="O3024" s="33" t="n">
        <f aca="false">IF(K3024="","",ABS(K3024))</f>
        <v>0.0757300000000001</v>
      </c>
      <c r="P3024" s="34" t="str">
        <f aca="false">IF(B3024&gt;=Eval_Start_Week,"YES","")</f>
        <v/>
      </c>
      <c r="Q3024" s="34" t="str">
        <f aca="false">IF(AND(B3024&gt;=Cal_Start_Week,B3024&lt;=Cal_End_Week),"YES","")</f>
        <v/>
      </c>
    </row>
    <row r="3025" customFormat="false" ht="15" hidden="false" customHeight="false" outlineLevel="0" collapsed="false">
      <c r="A3025" s="31" t="str">
        <f aca="false">Demand_History!C3025</f>
        <v>ELE-001</v>
      </c>
      <c r="B3025" s="31" t="n">
        <f aca="false">Demand_History!A3025</f>
        <v>8</v>
      </c>
      <c r="C3025" s="32" t="n">
        <f aca="false">Demand_History!D3025</f>
        <v>35</v>
      </c>
      <c r="D3025" s="33" t="n">
        <f aca="false">IF(B3025&gt;=2,C3024,"")</f>
        <v>32</v>
      </c>
      <c r="E3025" s="33" t="n">
        <f aca="false">IF(B3025&gt;=5,AVERAGE(C3021:C3024),"")</f>
        <v>33.5</v>
      </c>
      <c r="F3025" s="33" t="str">
        <f aca="false">IF(B3025&gt;=9,AVERAGE(C3017:C3024),"")</f>
        <v/>
      </c>
      <c r="G3025" s="33" t="n">
        <f aca="false">IF(B3025=1,"",IF(B3025=2,C3024,SES_Alpha*C3024+(1-SES_Alpha)*G3024))</f>
        <v>31.946989</v>
      </c>
      <c r="H3025" s="33" t="n">
        <f aca="false">IF(D3025="","",D3025-C3025)</f>
        <v>-3</v>
      </c>
      <c r="I3025" s="33" t="n">
        <f aca="false">IF(E3025="","",E3025-C3025)</f>
        <v>-1.5</v>
      </c>
      <c r="J3025" s="33" t="str">
        <f aca="false">IF(F3025="","",F3025-C3025)</f>
        <v/>
      </c>
      <c r="K3025" s="33" t="n">
        <f aca="false">IF(G3025="","",G3025-C3025)</f>
        <v>-3.05301100000001</v>
      </c>
      <c r="L3025" s="33" t="n">
        <f aca="false">IF(H3025="","",ABS(H3025))</f>
        <v>3</v>
      </c>
      <c r="M3025" s="33" t="n">
        <f aca="false">IF(I3025="","",ABS(I3025))</f>
        <v>1.5</v>
      </c>
      <c r="N3025" s="33" t="str">
        <f aca="false">IF(J3025="","",ABS(J3025))</f>
        <v/>
      </c>
      <c r="O3025" s="33" t="n">
        <f aca="false">IF(K3025="","",ABS(K3025))</f>
        <v>3.05301100000001</v>
      </c>
      <c r="P3025" s="34" t="str">
        <f aca="false">IF(B3025&gt;=Eval_Start_Week,"YES","")</f>
        <v/>
      </c>
      <c r="Q3025" s="34" t="str">
        <f aca="false">IF(AND(B3025&gt;=Cal_Start_Week,B3025&lt;=Cal_End_Week),"YES","")</f>
        <v/>
      </c>
    </row>
    <row r="3026" customFormat="false" ht="15" hidden="false" customHeight="false" outlineLevel="0" collapsed="false">
      <c r="A3026" s="31" t="str">
        <f aca="false">Demand_History!C3026</f>
        <v>ELE-001</v>
      </c>
      <c r="B3026" s="31" t="n">
        <f aca="false">Demand_History!A3026</f>
        <v>9</v>
      </c>
      <c r="C3026" s="32" t="n">
        <f aca="false">Demand_History!D3026</f>
        <v>34</v>
      </c>
      <c r="D3026" s="33" t="n">
        <f aca="false">IF(B3026&gt;=2,C3025,"")</f>
        <v>35</v>
      </c>
      <c r="E3026" s="33" t="n">
        <f aca="false">IF(B3026&gt;=5,AVERAGE(C3022:C3025),"")</f>
        <v>33.25</v>
      </c>
      <c r="F3026" s="33" t="n">
        <f aca="false">IF(B3026&gt;=9,AVERAGE(C3018:C3025),"")</f>
        <v>32.25</v>
      </c>
      <c r="G3026" s="33" t="n">
        <f aca="false">IF(B3026=1,"",IF(B3026=2,C3025,SES_Alpha*C3025+(1-SES_Alpha)*G3025))</f>
        <v>32.8628923</v>
      </c>
      <c r="H3026" s="33" t="n">
        <f aca="false">IF(D3026="","",D3026-C3026)</f>
        <v>1</v>
      </c>
      <c r="I3026" s="33" t="n">
        <f aca="false">IF(E3026="","",E3026-C3026)</f>
        <v>-0.75</v>
      </c>
      <c r="J3026" s="33" t="n">
        <f aca="false">IF(F3026="","",F3026-C3026)</f>
        <v>-1.75</v>
      </c>
      <c r="K3026" s="33" t="n">
        <f aca="false">IF(G3026="","",G3026-C3026)</f>
        <v>-1.1371077</v>
      </c>
      <c r="L3026" s="33" t="n">
        <f aca="false">IF(H3026="","",ABS(H3026))</f>
        <v>1</v>
      </c>
      <c r="M3026" s="33" t="n">
        <f aca="false">IF(I3026="","",ABS(I3026))</f>
        <v>0.75</v>
      </c>
      <c r="N3026" s="33" t="n">
        <f aca="false">IF(J3026="","",ABS(J3026))</f>
        <v>1.75</v>
      </c>
      <c r="O3026" s="33" t="n">
        <f aca="false">IF(K3026="","",ABS(K3026))</f>
        <v>1.1371077</v>
      </c>
      <c r="P3026" s="34" t="str">
        <f aca="false">IF(B3026&gt;=Eval_Start_Week,"YES","")</f>
        <v/>
      </c>
      <c r="Q3026" s="34" t="str">
        <f aca="false">IF(AND(B3026&gt;=Cal_Start_Week,B3026&lt;=Cal_End_Week),"YES","")</f>
        <v/>
      </c>
    </row>
    <row r="3027" customFormat="false" ht="15" hidden="false" customHeight="false" outlineLevel="0" collapsed="false">
      <c r="A3027" s="31" t="str">
        <f aca="false">Demand_History!C3027</f>
        <v>ELE-001</v>
      </c>
      <c r="B3027" s="31" t="n">
        <f aca="false">Demand_History!A3027</f>
        <v>10</v>
      </c>
      <c r="C3027" s="32" t="n">
        <f aca="false">Demand_History!D3027</f>
        <v>31</v>
      </c>
      <c r="D3027" s="33" t="n">
        <f aca="false">IF(B3027&gt;=2,C3026,"")</f>
        <v>34</v>
      </c>
      <c r="E3027" s="33" t="n">
        <f aca="false">IF(B3027&gt;=5,AVERAGE(C3023:C3026),"")</f>
        <v>32.25</v>
      </c>
      <c r="F3027" s="33" t="n">
        <f aca="false">IF(B3027&gt;=9,AVERAGE(C3019:C3026),"")</f>
        <v>32.625</v>
      </c>
      <c r="G3027" s="33" t="n">
        <f aca="false">IF(B3027=1,"",IF(B3027=2,C3026,SES_Alpha*C3026+(1-SES_Alpha)*G3026))</f>
        <v>33.20402461</v>
      </c>
      <c r="H3027" s="33" t="n">
        <f aca="false">IF(D3027="","",D3027-C3027)</f>
        <v>3</v>
      </c>
      <c r="I3027" s="33" t="n">
        <f aca="false">IF(E3027="","",E3027-C3027)</f>
        <v>1.25</v>
      </c>
      <c r="J3027" s="33" t="n">
        <f aca="false">IF(F3027="","",F3027-C3027)</f>
        <v>1.625</v>
      </c>
      <c r="K3027" s="33" t="n">
        <f aca="false">IF(G3027="","",G3027-C3027)</f>
        <v>2.20402461</v>
      </c>
      <c r="L3027" s="33" t="n">
        <f aca="false">IF(H3027="","",ABS(H3027))</f>
        <v>3</v>
      </c>
      <c r="M3027" s="33" t="n">
        <f aca="false">IF(I3027="","",ABS(I3027))</f>
        <v>1.25</v>
      </c>
      <c r="N3027" s="33" t="n">
        <f aca="false">IF(J3027="","",ABS(J3027))</f>
        <v>1.625</v>
      </c>
      <c r="O3027" s="33" t="n">
        <f aca="false">IF(K3027="","",ABS(K3027))</f>
        <v>2.20402461</v>
      </c>
      <c r="P3027" s="34" t="str">
        <f aca="false">IF(B3027&gt;=Eval_Start_Week,"YES","")</f>
        <v/>
      </c>
      <c r="Q3027" s="34" t="str">
        <f aca="false">IF(AND(B3027&gt;=Cal_Start_Week,B3027&lt;=Cal_End_Week),"YES","")</f>
        <v/>
      </c>
    </row>
    <row r="3028" customFormat="false" ht="15" hidden="false" customHeight="false" outlineLevel="0" collapsed="false">
      <c r="A3028" s="31" t="str">
        <f aca="false">Demand_History!C3028</f>
        <v>ELE-001</v>
      </c>
      <c r="B3028" s="31" t="n">
        <f aca="false">Demand_History!A3028</f>
        <v>11</v>
      </c>
      <c r="C3028" s="32" t="n">
        <f aca="false">Demand_History!D3028</f>
        <v>39</v>
      </c>
      <c r="D3028" s="33" t="n">
        <f aca="false">IF(B3028&gt;=2,C3027,"")</f>
        <v>31</v>
      </c>
      <c r="E3028" s="33" t="n">
        <f aca="false">IF(B3028&gt;=5,AVERAGE(C3024:C3027),"")</f>
        <v>33</v>
      </c>
      <c r="F3028" s="33" t="n">
        <f aca="false">IF(B3028&gt;=9,AVERAGE(C3020:C3027),"")</f>
        <v>32.75</v>
      </c>
      <c r="G3028" s="33" t="n">
        <f aca="false">IF(B3028=1,"",IF(B3028=2,C3027,SES_Alpha*C3027+(1-SES_Alpha)*G3027))</f>
        <v>32.542817227</v>
      </c>
      <c r="H3028" s="33" t="n">
        <f aca="false">IF(D3028="","",D3028-C3028)</f>
        <v>-8</v>
      </c>
      <c r="I3028" s="33" t="n">
        <f aca="false">IF(E3028="","",E3028-C3028)</f>
        <v>-6</v>
      </c>
      <c r="J3028" s="33" t="n">
        <f aca="false">IF(F3028="","",F3028-C3028)</f>
        <v>-6.25</v>
      </c>
      <c r="K3028" s="33" t="n">
        <f aca="false">IF(G3028="","",G3028-C3028)</f>
        <v>-6.45718277300001</v>
      </c>
      <c r="L3028" s="33" t="n">
        <f aca="false">IF(H3028="","",ABS(H3028))</f>
        <v>8</v>
      </c>
      <c r="M3028" s="33" t="n">
        <f aca="false">IF(I3028="","",ABS(I3028))</f>
        <v>6</v>
      </c>
      <c r="N3028" s="33" t="n">
        <f aca="false">IF(J3028="","",ABS(J3028))</f>
        <v>6.25</v>
      </c>
      <c r="O3028" s="33" t="n">
        <f aca="false">IF(K3028="","",ABS(K3028))</f>
        <v>6.45718277300001</v>
      </c>
      <c r="P3028" s="34" t="str">
        <f aca="false">IF(B3028&gt;=Eval_Start_Week,"YES","")</f>
        <v/>
      </c>
      <c r="Q3028" s="34" t="str">
        <f aca="false">IF(AND(B3028&gt;=Cal_Start_Week,B3028&lt;=Cal_End_Week),"YES","")</f>
        <v/>
      </c>
    </row>
    <row r="3029" customFormat="false" ht="15" hidden="false" customHeight="false" outlineLevel="0" collapsed="false">
      <c r="A3029" s="31" t="str">
        <f aca="false">Demand_History!C3029</f>
        <v>ELE-001</v>
      </c>
      <c r="B3029" s="31" t="n">
        <f aca="false">Demand_History!A3029</f>
        <v>12</v>
      </c>
      <c r="C3029" s="32" t="n">
        <f aca="false">Demand_History!D3029</f>
        <v>39</v>
      </c>
      <c r="D3029" s="33" t="n">
        <f aca="false">IF(B3029&gt;=2,C3028,"")</f>
        <v>39</v>
      </c>
      <c r="E3029" s="33" t="n">
        <f aca="false">IF(B3029&gt;=5,AVERAGE(C3025:C3028),"")</f>
        <v>34.75</v>
      </c>
      <c r="F3029" s="33" t="n">
        <f aca="false">IF(B3029&gt;=9,AVERAGE(C3021:C3028),"")</f>
        <v>34.125</v>
      </c>
      <c r="G3029" s="33" t="n">
        <f aca="false">IF(B3029=1,"",IF(B3029=2,C3028,SES_Alpha*C3028+(1-SES_Alpha)*G3028))</f>
        <v>34.4799720589</v>
      </c>
      <c r="H3029" s="33" t="n">
        <f aca="false">IF(D3029="","",D3029-C3029)</f>
        <v>0</v>
      </c>
      <c r="I3029" s="33" t="n">
        <f aca="false">IF(E3029="","",E3029-C3029)</f>
        <v>-4.25</v>
      </c>
      <c r="J3029" s="33" t="n">
        <f aca="false">IF(F3029="","",F3029-C3029)</f>
        <v>-4.875</v>
      </c>
      <c r="K3029" s="33" t="n">
        <f aca="false">IF(G3029="","",G3029-C3029)</f>
        <v>-4.52002794110001</v>
      </c>
      <c r="L3029" s="33" t="n">
        <f aca="false">IF(H3029="","",ABS(H3029))</f>
        <v>0</v>
      </c>
      <c r="M3029" s="33" t="n">
        <f aca="false">IF(I3029="","",ABS(I3029))</f>
        <v>4.25</v>
      </c>
      <c r="N3029" s="33" t="n">
        <f aca="false">IF(J3029="","",ABS(J3029))</f>
        <v>4.875</v>
      </c>
      <c r="O3029" s="33" t="n">
        <f aca="false">IF(K3029="","",ABS(K3029))</f>
        <v>4.52002794110001</v>
      </c>
      <c r="P3029" s="34" t="str">
        <f aca="false">IF(B3029&gt;=Eval_Start_Week,"YES","")</f>
        <v/>
      </c>
      <c r="Q3029" s="34" t="str">
        <f aca="false">IF(AND(B3029&gt;=Cal_Start_Week,B3029&lt;=Cal_End_Week),"YES","")</f>
        <v/>
      </c>
    </row>
    <row r="3030" customFormat="false" ht="15" hidden="false" customHeight="false" outlineLevel="0" collapsed="false">
      <c r="A3030" s="31" t="str">
        <f aca="false">Demand_History!C3030</f>
        <v>ELE-001</v>
      </c>
      <c r="B3030" s="31" t="n">
        <f aca="false">Demand_History!A3030</f>
        <v>13</v>
      </c>
      <c r="C3030" s="32" t="n">
        <f aca="false">Demand_History!D3030</f>
        <v>39</v>
      </c>
      <c r="D3030" s="33" t="n">
        <f aca="false">IF(B3030&gt;=2,C3029,"")</f>
        <v>39</v>
      </c>
      <c r="E3030" s="33" t="n">
        <f aca="false">IF(B3030&gt;=5,AVERAGE(C3026:C3029),"")</f>
        <v>35.75</v>
      </c>
      <c r="F3030" s="33" t="n">
        <f aca="false">IF(B3030&gt;=9,AVERAGE(C3022:C3029),"")</f>
        <v>34.5</v>
      </c>
      <c r="G3030" s="33" t="n">
        <f aca="false">IF(B3030=1,"",IF(B3030=2,C3029,SES_Alpha*C3029+(1-SES_Alpha)*G3029))</f>
        <v>35.83598044123</v>
      </c>
      <c r="H3030" s="33" t="n">
        <f aca="false">IF(D3030="","",D3030-C3030)</f>
        <v>0</v>
      </c>
      <c r="I3030" s="33" t="n">
        <f aca="false">IF(E3030="","",E3030-C3030)</f>
        <v>-3.25</v>
      </c>
      <c r="J3030" s="33" t="n">
        <f aca="false">IF(F3030="","",F3030-C3030)</f>
        <v>-4.5</v>
      </c>
      <c r="K3030" s="33" t="n">
        <f aca="false">IF(G3030="","",G3030-C3030)</f>
        <v>-3.16401955877001</v>
      </c>
      <c r="L3030" s="33" t="n">
        <f aca="false">IF(H3030="","",ABS(H3030))</f>
        <v>0</v>
      </c>
      <c r="M3030" s="33" t="n">
        <f aca="false">IF(I3030="","",ABS(I3030))</f>
        <v>3.25</v>
      </c>
      <c r="N3030" s="33" t="n">
        <f aca="false">IF(J3030="","",ABS(J3030))</f>
        <v>4.5</v>
      </c>
      <c r="O3030" s="33" t="n">
        <f aca="false">IF(K3030="","",ABS(K3030))</f>
        <v>3.16401955877001</v>
      </c>
      <c r="P3030" s="34" t="str">
        <f aca="false">IF(B3030&gt;=Eval_Start_Week,"YES","")</f>
        <v/>
      </c>
      <c r="Q3030" s="34" t="str">
        <f aca="false">IF(AND(B3030&gt;=Cal_Start_Week,B3030&lt;=Cal_End_Week),"YES","")</f>
        <v/>
      </c>
    </row>
    <row r="3031" customFormat="false" ht="15" hidden="false" customHeight="false" outlineLevel="0" collapsed="false">
      <c r="A3031" s="31" t="str">
        <f aca="false">Demand_History!C3031</f>
        <v>ELE-001</v>
      </c>
      <c r="B3031" s="31" t="n">
        <f aca="false">Demand_History!A3031</f>
        <v>14</v>
      </c>
      <c r="C3031" s="32" t="n">
        <f aca="false">Demand_History!D3031</f>
        <v>34</v>
      </c>
      <c r="D3031" s="33" t="n">
        <f aca="false">IF(B3031&gt;=2,C3030,"")</f>
        <v>39</v>
      </c>
      <c r="E3031" s="33" t="n">
        <f aca="false">IF(B3031&gt;=5,AVERAGE(C3027:C3030),"")</f>
        <v>37</v>
      </c>
      <c r="F3031" s="33" t="n">
        <f aca="false">IF(B3031&gt;=9,AVERAGE(C3023:C3030),"")</f>
        <v>34.625</v>
      </c>
      <c r="G3031" s="33" t="n">
        <f aca="false">IF(B3031=1,"",IF(B3031=2,C3030,SES_Alpha*C3030+(1-SES_Alpha)*G3030))</f>
        <v>36.785186308861</v>
      </c>
      <c r="H3031" s="33" t="n">
        <f aca="false">IF(D3031="","",D3031-C3031)</f>
        <v>5</v>
      </c>
      <c r="I3031" s="33" t="n">
        <f aca="false">IF(E3031="","",E3031-C3031)</f>
        <v>3</v>
      </c>
      <c r="J3031" s="33" t="n">
        <f aca="false">IF(F3031="","",F3031-C3031)</f>
        <v>0.625</v>
      </c>
      <c r="K3031" s="33" t="n">
        <f aca="false">IF(G3031="","",G3031-C3031)</f>
        <v>2.78518630886099</v>
      </c>
      <c r="L3031" s="33" t="n">
        <f aca="false">IF(H3031="","",ABS(H3031))</f>
        <v>5</v>
      </c>
      <c r="M3031" s="33" t="n">
        <f aca="false">IF(I3031="","",ABS(I3031))</f>
        <v>3</v>
      </c>
      <c r="N3031" s="33" t="n">
        <f aca="false">IF(J3031="","",ABS(J3031))</f>
        <v>0.625</v>
      </c>
      <c r="O3031" s="33" t="n">
        <f aca="false">IF(K3031="","",ABS(K3031))</f>
        <v>2.78518630886099</v>
      </c>
      <c r="P3031" s="34" t="str">
        <f aca="false">IF(B3031&gt;=Eval_Start_Week,"YES","")</f>
        <v/>
      </c>
      <c r="Q3031" s="34" t="str">
        <f aca="false">IF(AND(B3031&gt;=Cal_Start_Week,B3031&lt;=Cal_End_Week),"YES","")</f>
        <v/>
      </c>
    </row>
    <row r="3032" customFormat="false" ht="15" hidden="false" customHeight="false" outlineLevel="0" collapsed="false">
      <c r="A3032" s="31" t="str">
        <f aca="false">Demand_History!C3032</f>
        <v>ELE-001</v>
      </c>
      <c r="B3032" s="31" t="n">
        <f aca="false">Demand_History!A3032</f>
        <v>15</v>
      </c>
      <c r="C3032" s="32" t="n">
        <f aca="false">Demand_History!D3032</f>
        <v>45</v>
      </c>
      <c r="D3032" s="33" t="n">
        <f aca="false">IF(B3032&gt;=2,C3031,"")</f>
        <v>34</v>
      </c>
      <c r="E3032" s="33" t="n">
        <f aca="false">IF(B3032&gt;=5,AVERAGE(C3028:C3031),"")</f>
        <v>37.75</v>
      </c>
      <c r="F3032" s="33" t="n">
        <f aca="false">IF(B3032&gt;=9,AVERAGE(C3024:C3031),"")</f>
        <v>35.375</v>
      </c>
      <c r="G3032" s="33" t="n">
        <f aca="false">IF(B3032=1,"",IF(B3032=2,C3031,SES_Alpha*C3031+(1-SES_Alpha)*G3031))</f>
        <v>35.9496304162027</v>
      </c>
      <c r="H3032" s="33" t="n">
        <f aca="false">IF(D3032="","",D3032-C3032)</f>
        <v>-11</v>
      </c>
      <c r="I3032" s="33" t="n">
        <f aca="false">IF(E3032="","",E3032-C3032)</f>
        <v>-7.25</v>
      </c>
      <c r="J3032" s="33" t="n">
        <f aca="false">IF(F3032="","",F3032-C3032)</f>
        <v>-9.625</v>
      </c>
      <c r="K3032" s="33" t="n">
        <f aca="false">IF(G3032="","",G3032-C3032)</f>
        <v>-9.05036958379731</v>
      </c>
      <c r="L3032" s="33" t="n">
        <f aca="false">IF(H3032="","",ABS(H3032))</f>
        <v>11</v>
      </c>
      <c r="M3032" s="33" t="n">
        <f aca="false">IF(I3032="","",ABS(I3032))</f>
        <v>7.25</v>
      </c>
      <c r="N3032" s="33" t="n">
        <f aca="false">IF(J3032="","",ABS(J3032))</f>
        <v>9.625</v>
      </c>
      <c r="O3032" s="33" t="n">
        <f aca="false">IF(K3032="","",ABS(K3032))</f>
        <v>9.05036958379731</v>
      </c>
      <c r="P3032" s="34" t="str">
        <f aca="false">IF(B3032&gt;=Eval_Start_Week,"YES","")</f>
        <v/>
      </c>
      <c r="Q3032" s="34" t="str">
        <f aca="false">IF(AND(B3032&gt;=Cal_Start_Week,B3032&lt;=Cal_End_Week),"YES","")</f>
        <v/>
      </c>
    </row>
    <row r="3033" customFormat="false" ht="15" hidden="false" customHeight="false" outlineLevel="0" collapsed="false">
      <c r="A3033" s="31" t="str">
        <f aca="false">Demand_History!C3033</f>
        <v>ELE-001</v>
      </c>
      <c r="B3033" s="31" t="n">
        <f aca="false">Demand_History!A3033</f>
        <v>16</v>
      </c>
      <c r="C3033" s="32" t="n">
        <f aca="false">Demand_History!D3033</f>
        <v>44</v>
      </c>
      <c r="D3033" s="33" t="n">
        <f aca="false">IF(B3033&gt;=2,C3032,"")</f>
        <v>45</v>
      </c>
      <c r="E3033" s="33" t="n">
        <f aca="false">IF(B3033&gt;=5,AVERAGE(C3029:C3032),"")</f>
        <v>39.25</v>
      </c>
      <c r="F3033" s="33" t="n">
        <f aca="false">IF(B3033&gt;=9,AVERAGE(C3025:C3032),"")</f>
        <v>37</v>
      </c>
      <c r="G3033" s="33" t="n">
        <f aca="false">IF(B3033=1,"",IF(B3033=2,C3032,SES_Alpha*C3032+(1-SES_Alpha)*G3032))</f>
        <v>38.6647412913419</v>
      </c>
      <c r="H3033" s="33" t="n">
        <f aca="false">IF(D3033="","",D3033-C3033)</f>
        <v>1</v>
      </c>
      <c r="I3033" s="33" t="n">
        <f aca="false">IF(E3033="","",E3033-C3033)</f>
        <v>-4.75</v>
      </c>
      <c r="J3033" s="33" t="n">
        <f aca="false">IF(F3033="","",F3033-C3033)</f>
        <v>-7</v>
      </c>
      <c r="K3033" s="33" t="n">
        <f aca="false">IF(G3033="","",G3033-C3033)</f>
        <v>-5.33525870865812</v>
      </c>
      <c r="L3033" s="33" t="n">
        <f aca="false">IF(H3033="","",ABS(H3033))</f>
        <v>1</v>
      </c>
      <c r="M3033" s="33" t="n">
        <f aca="false">IF(I3033="","",ABS(I3033))</f>
        <v>4.75</v>
      </c>
      <c r="N3033" s="33" t="n">
        <f aca="false">IF(J3033="","",ABS(J3033))</f>
        <v>7</v>
      </c>
      <c r="O3033" s="33" t="n">
        <f aca="false">IF(K3033="","",ABS(K3033))</f>
        <v>5.33525870865812</v>
      </c>
      <c r="P3033" s="34" t="str">
        <f aca="false">IF(B3033&gt;=Eval_Start_Week,"YES","")</f>
        <v/>
      </c>
      <c r="Q3033" s="34" t="str">
        <f aca="false">IF(AND(B3033&gt;=Cal_Start_Week,B3033&lt;=Cal_End_Week),"YES","")</f>
        <v/>
      </c>
    </row>
    <row r="3034" customFormat="false" ht="15" hidden="false" customHeight="false" outlineLevel="0" collapsed="false">
      <c r="A3034" s="31" t="str">
        <f aca="false">Demand_History!C3034</f>
        <v>ELE-001</v>
      </c>
      <c r="B3034" s="31" t="n">
        <f aca="false">Demand_History!A3034</f>
        <v>17</v>
      </c>
      <c r="C3034" s="32" t="n">
        <f aca="false">Demand_History!D3034</f>
        <v>33</v>
      </c>
      <c r="D3034" s="33" t="n">
        <f aca="false">IF(B3034&gt;=2,C3033,"")</f>
        <v>44</v>
      </c>
      <c r="E3034" s="33" t="n">
        <f aca="false">IF(B3034&gt;=5,AVERAGE(C3030:C3033),"")</f>
        <v>40.5</v>
      </c>
      <c r="F3034" s="33" t="n">
        <f aca="false">IF(B3034&gt;=9,AVERAGE(C3026:C3033),"")</f>
        <v>38.125</v>
      </c>
      <c r="G3034" s="33" t="n">
        <f aca="false">IF(B3034=1,"",IF(B3034=2,C3033,SES_Alpha*C3033+(1-SES_Alpha)*G3033))</f>
        <v>40.2653189039393</v>
      </c>
      <c r="H3034" s="33" t="n">
        <f aca="false">IF(D3034="","",D3034-C3034)</f>
        <v>11</v>
      </c>
      <c r="I3034" s="33" t="n">
        <f aca="false">IF(E3034="","",E3034-C3034)</f>
        <v>7.5</v>
      </c>
      <c r="J3034" s="33" t="n">
        <f aca="false">IF(F3034="","",F3034-C3034)</f>
        <v>5.125</v>
      </c>
      <c r="K3034" s="33" t="n">
        <f aca="false">IF(G3034="","",G3034-C3034)</f>
        <v>7.26531890393932</v>
      </c>
      <c r="L3034" s="33" t="n">
        <f aca="false">IF(H3034="","",ABS(H3034))</f>
        <v>11</v>
      </c>
      <c r="M3034" s="33" t="n">
        <f aca="false">IF(I3034="","",ABS(I3034))</f>
        <v>7.5</v>
      </c>
      <c r="N3034" s="33" t="n">
        <f aca="false">IF(J3034="","",ABS(J3034))</f>
        <v>5.125</v>
      </c>
      <c r="O3034" s="33" t="n">
        <f aca="false">IF(K3034="","",ABS(K3034))</f>
        <v>7.26531890393932</v>
      </c>
      <c r="P3034" s="34" t="str">
        <f aca="false">IF(B3034&gt;=Eval_Start_Week,"YES","")</f>
        <v/>
      </c>
      <c r="Q3034" s="34" t="str">
        <f aca="false">IF(AND(B3034&gt;=Cal_Start_Week,B3034&lt;=Cal_End_Week),"YES","")</f>
        <v/>
      </c>
    </row>
    <row r="3035" customFormat="false" ht="15" hidden="false" customHeight="false" outlineLevel="0" collapsed="false">
      <c r="A3035" s="31" t="str">
        <f aca="false">Demand_History!C3035</f>
        <v>ELE-001</v>
      </c>
      <c r="B3035" s="31" t="n">
        <f aca="false">Demand_History!A3035</f>
        <v>18</v>
      </c>
      <c r="C3035" s="32" t="n">
        <f aca="false">Demand_History!D3035</f>
        <v>34</v>
      </c>
      <c r="D3035" s="33" t="n">
        <f aca="false">IF(B3035&gt;=2,C3034,"")</f>
        <v>33</v>
      </c>
      <c r="E3035" s="33" t="n">
        <f aca="false">IF(B3035&gt;=5,AVERAGE(C3031:C3034),"")</f>
        <v>39</v>
      </c>
      <c r="F3035" s="33" t="n">
        <f aca="false">IF(B3035&gt;=9,AVERAGE(C3027:C3034),"")</f>
        <v>38</v>
      </c>
      <c r="G3035" s="33" t="n">
        <f aca="false">IF(B3035=1,"",IF(B3035=2,C3034,SES_Alpha*C3034+(1-SES_Alpha)*G3034))</f>
        <v>38.0857232327575</v>
      </c>
      <c r="H3035" s="33" t="n">
        <f aca="false">IF(D3035="","",D3035-C3035)</f>
        <v>-1</v>
      </c>
      <c r="I3035" s="33" t="n">
        <f aca="false">IF(E3035="","",E3035-C3035)</f>
        <v>5</v>
      </c>
      <c r="J3035" s="33" t="n">
        <f aca="false">IF(F3035="","",F3035-C3035)</f>
        <v>4</v>
      </c>
      <c r="K3035" s="33" t="n">
        <f aca="false">IF(G3035="","",G3035-C3035)</f>
        <v>4.08572323275752</v>
      </c>
      <c r="L3035" s="33" t="n">
        <f aca="false">IF(H3035="","",ABS(H3035))</f>
        <v>1</v>
      </c>
      <c r="M3035" s="33" t="n">
        <f aca="false">IF(I3035="","",ABS(I3035))</f>
        <v>5</v>
      </c>
      <c r="N3035" s="33" t="n">
        <f aca="false">IF(J3035="","",ABS(J3035))</f>
        <v>4</v>
      </c>
      <c r="O3035" s="33" t="n">
        <f aca="false">IF(K3035="","",ABS(K3035))</f>
        <v>4.08572323275752</v>
      </c>
      <c r="P3035" s="34" t="str">
        <f aca="false">IF(B3035&gt;=Eval_Start_Week,"YES","")</f>
        <v/>
      </c>
      <c r="Q3035" s="34" t="str">
        <f aca="false">IF(AND(B3035&gt;=Cal_Start_Week,B3035&lt;=Cal_End_Week),"YES","")</f>
        <v/>
      </c>
    </row>
    <row r="3036" customFormat="false" ht="15" hidden="false" customHeight="false" outlineLevel="0" collapsed="false">
      <c r="A3036" s="31" t="str">
        <f aca="false">Demand_History!C3036</f>
        <v>ELE-001</v>
      </c>
      <c r="B3036" s="31" t="n">
        <f aca="false">Demand_History!A3036</f>
        <v>19</v>
      </c>
      <c r="C3036" s="32" t="n">
        <f aca="false">Demand_History!D3036</f>
        <v>41</v>
      </c>
      <c r="D3036" s="33" t="n">
        <f aca="false">IF(B3036&gt;=2,C3035,"")</f>
        <v>34</v>
      </c>
      <c r="E3036" s="33" t="n">
        <f aca="false">IF(B3036&gt;=5,AVERAGE(C3032:C3035),"")</f>
        <v>39</v>
      </c>
      <c r="F3036" s="33" t="n">
        <f aca="false">IF(B3036&gt;=9,AVERAGE(C3028:C3035),"")</f>
        <v>38.375</v>
      </c>
      <c r="G3036" s="33" t="n">
        <f aca="false">IF(B3036=1,"",IF(B3036=2,C3035,SES_Alpha*C3035+(1-SES_Alpha)*G3035))</f>
        <v>36.8600062629303</v>
      </c>
      <c r="H3036" s="33" t="n">
        <f aca="false">IF(D3036="","",D3036-C3036)</f>
        <v>-7</v>
      </c>
      <c r="I3036" s="33" t="n">
        <f aca="false">IF(E3036="","",E3036-C3036)</f>
        <v>-2</v>
      </c>
      <c r="J3036" s="33" t="n">
        <f aca="false">IF(F3036="","",F3036-C3036)</f>
        <v>-2.625</v>
      </c>
      <c r="K3036" s="33" t="n">
        <f aca="false">IF(G3036="","",G3036-C3036)</f>
        <v>-4.13999373706974</v>
      </c>
      <c r="L3036" s="33" t="n">
        <f aca="false">IF(H3036="","",ABS(H3036))</f>
        <v>7</v>
      </c>
      <c r="M3036" s="33" t="n">
        <f aca="false">IF(I3036="","",ABS(I3036))</f>
        <v>2</v>
      </c>
      <c r="N3036" s="33" t="n">
        <f aca="false">IF(J3036="","",ABS(J3036))</f>
        <v>2.625</v>
      </c>
      <c r="O3036" s="33" t="n">
        <f aca="false">IF(K3036="","",ABS(K3036))</f>
        <v>4.13999373706974</v>
      </c>
      <c r="P3036" s="34" t="str">
        <f aca="false">IF(B3036&gt;=Eval_Start_Week,"YES","")</f>
        <v/>
      </c>
      <c r="Q3036" s="34" t="str">
        <f aca="false">IF(AND(B3036&gt;=Cal_Start_Week,B3036&lt;=Cal_End_Week),"YES","")</f>
        <v/>
      </c>
    </row>
    <row r="3037" customFormat="false" ht="15" hidden="false" customHeight="false" outlineLevel="0" collapsed="false">
      <c r="A3037" s="31" t="str">
        <f aca="false">Demand_History!C3037</f>
        <v>ELE-001</v>
      </c>
      <c r="B3037" s="31" t="n">
        <f aca="false">Demand_History!A3037</f>
        <v>20</v>
      </c>
      <c r="C3037" s="32" t="n">
        <f aca="false">Demand_History!D3037</f>
        <v>31</v>
      </c>
      <c r="D3037" s="33" t="n">
        <f aca="false">IF(B3037&gt;=2,C3036,"")</f>
        <v>41</v>
      </c>
      <c r="E3037" s="33" t="n">
        <f aca="false">IF(B3037&gt;=5,AVERAGE(C3033:C3036),"")</f>
        <v>38</v>
      </c>
      <c r="F3037" s="33" t="n">
        <f aca="false">IF(B3037&gt;=9,AVERAGE(C3029:C3036),"")</f>
        <v>38.625</v>
      </c>
      <c r="G3037" s="33" t="n">
        <f aca="false">IF(B3037=1,"",IF(B3037=2,C3036,SES_Alpha*C3036+(1-SES_Alpha)*G3036))</f>
        <v>38.1020043840512</v>
      </c>
      <c r="H3037" s="33" t="n">
        <f aca="false">IF(D3037="","",D3037-C3037)</f>
        <v>10</v>
      </c>
      <c r="I3037" s="33" t="n">
        <f aca="false">IF(E3037="","",E3037-C3037)</f>
        <v>7</v>
      </c>
      <c r="J3037" s="33" t="n">
        <f aca="false">IF(F3037="","",F3037-C3037)</f>
        <v>7.625</v>
      </c>
      <c r="K3037" s="33" t="n">
        <f aca="false">IF(G3037="","",G3037-C3037)</f>
        <v>7.10200438405119</v>
      </c>
      <c r="L3037" s="33" t="n">
        <f aca="false">IF(H3037="","",ABS(H3037))</f>
        <v>10</v>
      </c>
      <c r="M3037" s="33" t="n">
        <f aca="false">IF(I3037="","",ABS(I3037))</f>
        <v>7</v>
      </c>
      <c r="N3037" s="33" t="n">
        <f aca="false">IF(J3037="","",ABS(J3037))</f>
        <v>7.625</v>
      </c>
      <c r="O3037" s="33" t="n">
        <f aca="false">IF(K3037="","",ABS(K3037))</f>
        <v>7.10200438405119</v>
      </c>
      <c r="P3037" s="34" t="str">
        <f aca="false">IF(B3037&gt;=Eval_Start_Week,"YES","")</f>
        <v/>
      </c>
      <c r="Q3037" s="34" t="str">
        <f aca="false">IF(AND(B3037&gt;=Cal_Start_Week,B3037&lt;=Cal_End_Week),"YES","")</f>
        <v/>
      </c>
    </row>
    <row r="3038" customFormat="false" ht="15" hidden="false" customHeight="false" outlineLevel="0" collapsed="false">
      <c r="A3038" s="31" t="str">
        <f aca="false">Demand_History!C3038</f>
        <v>ELE-001</v>
      </c>
      <c r="B3038" s="31" t="n">
        <f aca="false">Demand_History!A3038</f>
        <v>21</v>
      </c>
      <c r="C3038" s="32" t="n">
        <f aca="false">Demand_History!D3038</f>
        <v>37</v>
      </c>
      <c r="D3038" s="33" t="n">
        <f aca="false">IF(B3038&gt;=2,C3037,"")</f>
        <v>31</v>
      </c>
      <c r="E3038" s="33" t="n">
        <f aca="false">IF(B3038&gt;=5,AVERAGE(C3034:C3037),"")</f>
        <v>34.75</v>
      </c>
      <c r="F3038" s="33" t="n">
        <f aca="false">IF(B3038&gt;=9,AVERAGE(C3030:C3037),"")</f>
        <v>37.625</v>
      </c>
      <c r="G3038" s="33" t="n">
        <f aca="false">IF(B3038=1,"",IF(B3038=2,C3037,SES_Alpha*C3037+(1-SES_Alpha)*G3037))</f>
        <v>35.9714030688358</v>
      </c>
      <c r="H3038" s="33" t="n">
        <f aca="false">IF(D3038="","",D3038-C3038)</f>
        <v>-6</v>
      </c>
      <c r="I3038" s="33" t="n">
        <f aca="false">IF(E3038="","",E3038-C3038)</f>
        <v>-2.25</v>
      </c>
      <c r="J3038" s="33" t="n">
        <f aca="false">IF(F3038="","",F3038-C3038)</f>
        <v>0.625</v>
      </c>
      <c r="K3038" s="33" t="n">
        <f aca="false">IF(G3038="","",G3038-C3038)</f>
        <v>-1.02859693116417</v>
      </c>
      <c r="L3038" s="33" t="n">
        <f aca="false">IF(H3038="","",ABS(H3038))</f>
        <v>6</v>
      </c>
      <c r="M3038" s="33" t="n">
        <f aca="false">IF(I3038="","",ABS(I3038))</f>
        <v>2.25</v>
      </c>
      <c r="N3038" s="33" t="n">
        <f aca="false">IF(J3038="","",ABS(J3038))</f>
        <v>0.625</v>
      </c>
      <c r="O3038" s="33" t="n">
        <f aca="false">IF(K3038="","",ABS(K3038))</f>
        <v>1.02859693116417</v>
      </c>
      <c r="P3038" s="34" t="str">
        <f aca="false">IF(B3038&gt;=Eval_Start_Week,"YES","")</f>
        <v/>
      </c>
      <c r="Q3038" s="34" t="str">
        <f aca="false">IF(AND(B3038&gt;=Cal_Start_Week,B3038&lt;=Cal_End_Week),"YES","")</f>
        <v/>
      </c>
    </row>
    <row r="3039" customFormat="false" ht="15" hidden="false" customHeight="false" outlineLevel="0" collapsed="false">
      <c r="A3039" s="31" t="str">
        <f aca="false">Demand_History!C3039</f>
        <v>ELE-001</v>
      </c>
      <c r="B3039" s="31" t="n">
        <f aca="false">Demand_History!A3039</f>
        <v>22</v>
      </c>
      <c r="C3039" s="32" t="n">
        <f aca="false">Demand_History!D3039</f>
        <v>35</v>
      </c>
      <c r="D3039" s="33" t="n">
        <f aca="false">IF(B3039&gt;=2,C3038,"")</f>
        <v>37</v>
      </c>
      <c r="E3039" s="33" t="n">
        <f aca="false">IF(B3039&gt;=5,AVERAGE(C3035:C3038),"")</f>
        <v>35.75</v>
      </c>
      <c r="F3039" s="33" t="n">
        <f aca="false">IF(B3039&gt;=9,AVERAGE(C3031:C3038),"")</f>
        <v>37.375</v>
      </c>
      <c r="G3039" s="33" t="n">
        <f aca="false">IF(B3039=1,"",IF(B3039=2,C3038,SES_Alpha*C3038+(1-SES_Alpha)*G3038))</f>
        <v>36.2799821481851</v>
      </c>
      <c r="H3039" s="33" t="n">
        <f aca="false">IF(D3039="","",D3039-C3039)</f>
        <v>2</v>
      </c>
      <c r="I3039" s="33" t="n">
        <f aca="false">IF(E3039="","",E3039-C3039)</f>
        <v>0.75</v>
      </c>
      <c r="J3039" s="33" t="n">
        <f aca="false">IF(F3039="","",F3039-C3039)</f>
        <v>2.375</v>
      </c>
      <c r="K3039" s="33" t="n">
        <f aca="false">IF(G3039="","",G3039-C3039)</f>
        <v>1.27998214818508</v>
      </c>
      <c r="L3039" s="33" t="n">
        <f aca="false">IF(H3039="","",ABS(H3039))</f>
        <v>2</v>
      </c>
      <c r="M3039" s="33" t="n">
        <f aca="false">IF(I3039="","",ABS(I3039))</f>
        <v>0.75</v>
      </c>
      <c r="N3039" s="33" t="n">
        <f aca="false">IF(J3039="","",ABS(J3039))</f>
        <v>2.375</v>
      </c>
      <c r="O3039" s="33" t="n">
        <f aca="false">IF(K3039="","",ABS(K3039))</f>
        <v>1.27998214818508</v>
      </c>
      <c r="P3039" s="34" t="str">
        <f aca="false">IF(B3039&gt;=Eval_Start_Week,"YES","")</f>
        <v/>
      </c>
      <c r="Q3039" s="34" t="str">
        <f aca="false">IF(AND(B3039&gt;=Cal_Start_Week,B3039&lt;=Cal_End_Week),"YES","")</f>
        <v/>
      </c>
    </row>
    <row r="3040" customFormat="false" ht="15" hidden="false" customHeight="false" outlineLevel="0" collapsed="false">
      <c r="A3040" s="31" t="str">
        <f aca="false">Demand_History!C3040</f>
        <v>ELE-001</v>
      </c>
      <c r="B3040" s="31" t="n">
        <f aca="false">Demand_History!A3040</f>
        <v>23</v>
      </c>
      <c r="C3040" s="32" t="n">
        <f aca="false">Demand_History!D3040</f>
        <v>31</v>
      </c>
      <c r="D3040" s="33" t="n">
        <f aca="false">IF(B3040&gt;=2,C3039,"")</f>
        <v>35</v>
      </c>
      <c r="E3040" s="33" t="n">
        <f aca="false">IF(B3040&gt;=5,AVERAGE(C3036:C3039),"")</f>
        <v>36</v>
      </c>
      <c r="F3040" s="33" t="n">
        <f aca="false">IF(B3040&gt;=9,AVERAGE(C3032:C3039),"")</f>
        <v>37.5</v>
      </c>
      <c r="G3040" s="33" t="n">
        <f aca="false">IF(B3040=1,"",IF(B3040=2,C3039,SES_Alpha*C3039+(1-SES_Alpha)*G3039))</f>
        <v>35.8959875037296</v>
      </c>
      <c r="H3040" s="33" t="n">
        <f aca="false">IF(D3040="","",D3040-C3040)</f>
        <v>4</v>
      </c>
      <c r="I3040" s="33" t="n">
        <f aca="false">IF(E3040="","",E3040-C3040)</f>
        <v>5</v>
      </c>
      <c r="J3040" s="33" t="n">
        <f aca="false">IF(F3040="","",F3040-C3040)</f>
        <v>6.5</v>
      </c>
      <c r="K3040" s="33" t="n">
        <f aca="false">IF(G3040="","",G3040-C3040)</f>
        <v>4.89598750372956</v>
      </c>
      <c r="L3040" s="33" t="n">
        <f aca="false">IF(H3040="","",ABS(H3040))</f>
        <v>4</v>
      </c>
      <c r="M3040" s="33" t="n">
        <f aca="false">IF(I3040="","",ABS(I3040))</f>
        <v>5</v>
      </c>
      <c r="N3040" s="33" t="n">
        <f aca="false">IF(J3040="","",ABS(J3040))</f>
        <v>6.5</v>
      </c>
      <c r="O3040" s="33" t="n">
        <f aca="false">IF(K3040="","",ABS(K3040))</f>
        <v>4.89598750372956</v>
      </c>
      <c r="P3040" s="34" t="str">
        <f aca="false">IF(B3040&gt;=Eval_Start_Week,"YES","")</f>
        <v/>
      </c>
      <c r="Q3040" s="34" t="str">
        <f aca="false">IF(AND(B3040&gt;=Cal_Start_Week,B3040&lt;=Cal_End_Week),"YES","")</f>
        <v/>
      </c>
    </row>
    <row r="3041" customFormat="false" ht="15" hidden="false" customHeight="false" outlineLevel="0" collapsed="false">
      <c r="A3041" s="31" t="str">
        <f aca="false">Demand_History!C3041</f>
        <v>ELE-001</v>
      </c>
      <c r="B3041" s="31" t="n">
        <f aca="false">Demand_History!A3041</f>
        <v>24</v>
      </c>
      <c r="C3041" s="32" t="n">
        <f aca="false">Demand_History!D3041</f>
        <v>34</v>
      </c>
      <c r="D3041" s="33" t="n">
        <f aca="false">IF(B3041&gt;=2,C3040,"")</f>
        <v>31</v>
      </c>
      <c r="E3041" s="33" t="n">
        <f aca="false">IF(B3041&gt;=5,AVERAGE(C3037:C3040),"")</f>
        <v>33.5</v>
      </c>
      <c r="F3041" s="33" t="n">
        <f aca="false">IF(B3041&gt;=9,AVERAGE(C3033:C3040),"")</f>
        <v>35.75</v>
      </c>
      <c r="G3041" s="33" t="n">
        <f aca="false">IF(B3041=1,"",IF(B3041=2,C3040,SES_Alpha*C3040+(1-SES_Alpha)*G3040))</f>
        <v>34.4271912526107</v>
      </c>
      <c r="H3041" s="33" t="n">
        <f aca="false">IF(D3041="","",D3041-C3041)</f>
        <v>-3</v>
      </c>
      <c r="I3041" s="33" t="n">
        <f aca="false">IF(E3041="","",E3041-C3041)</f>
        <v>-0.5</v>
      </c>
      <c r="J3041" s="33" t="n">
        <f aca="false">IF(F3041="","",F3041-C3041)</f>
        <v>1.75</v>
      </c>
      <c r="K3041" s="33" t="n">
        <f aca="false">IF(G3041="","",G3041-C3041)</f>
        <v>0.42719125261069</v>
      </c>
      <c r="L3041" s="33" t="n">
        <f aca="false">IF(H3041="","",ABS(H3041))</f>
        <v>3</v>
      </c>
      <c r="M3041" s="33" t="n">
        <f aca="false">IF(I3041="","",ABS(I3041))</f>
        <v>0.5</v>
      </c>
      <c r="N3041" s="33" t="n">
        <f aca="false">IF(J3041="","",ABS(J3041))</f>
        <v>1.75</v>
      </c>
      <c r="O3041" s="33" t="n">
        <f aca="false">IF(K3041="","",ABS(K3041))</f>
        <v>0.42719125261069</v>
      </c>
      <c r="P3041" s="34" t="str">
        <f aca="false">IF(B3041&gt;=Eval_Start_Week,"YES","")</f>
        <v/>
      </c>
      <c r="Q3041" s="34" t="str">
        <f aca="false">IF(AND(B3041&gt;=Cal_Start_Week,B3041&lt;=Cal_End_Week),"YES","")</f>
        <v/>
      </c>
    </row>
    <row r="3042" customFormat="false" ht="15" hidden="false" customHeight="false" outlineLevel="0" collapsed="false">
      <c r="A3042" s="31" t="str">
        <f aca="false">Demand_History!C3042</f>
        <v>ELE-001</v>
      </c>
      <c r="B3042" s="31" t="n">
        <f aca="false">Demand_History!A3042</f>
        <v>25</v>
      </c>
      <c r="C3042" s="32" t="n">
        <f aca="false">Demand_History!D3042</f>
        <v>27</v>
      </c>
      <c r="D3042" s="33" t="n">
        <f aca="false">IF(B3042&gt;=2,C3041,"")</f>
        <v>34</v>
      </c>
      <c r="E3042" s="33" t="n">
        <f aca="false">IF(B3042&gt;=5,AVERAGE(C3038:C3041),"")</f>
        <v>34.25</v>
      </c>
      <c r="F3042" s="33" t="n">
        <f aca="false">IF(B3042&gt;=9,AVERAGE(C3034:C3041),"")</f>
        <v>34.5</v>
      </c>
      <c r="G3042" s="33" t="n">
        <f aca="false">IF(B3042=1,"",IF(B3042=2,C3041,SES_Alpha*C3041+(1-SES_Alpha)*G3041))</f>
        <v>34.2990338768275</v>
      </c>
      <c r="H3042" s="33" t="n">
        <f aca="false">IF(D3042="","",D3042-C3042)</f>
        <v>7</v>
      </c>
      <c r="I3042" s="33" t="n">
        <f aca="false">IF(E3042="","",E3042-C3042)</f>
        <v>7.25</v>
      </c>
      <c r="J3042" s="33" t="n">
        <f aca="false">IF(F3042="","",F3042-C3042)</f>
        <v>7.5</v>
      </c>
      <c r="K3042" s="33" t="n">
        <f aca="false">IF(G3042="","",G3042-C3042)</f>
        <v>7.29903387682748</v>
      </c>
      <c r="L3042" s="33" t="n">
        <f aca="false">IF(H3042="","",ABS(H3042))</f>
        <v>7</v>
      </c>
      <c r="M3042" s="33" t="n">
        <f aca="false">IF(I3042="","",ABS(I3042))</f>
        <v>7.25</v>
      </c>
      <c r="N3042" s="33" t="n">
        <f aca="false">IF(J3042="","",ABS(J3042))</f>
        <v>7.5</v>
      </c>
      <c r="O3042" s="33" t="n">
        <f aca="false">IF(K3042="","",ABS(K3042))</f>
        <v>7.29903387682748</v>
      </c>
      <c r="P3042" s="34" t="str">
        <f aca="false">IF(B3042&gt;=Eval_Start_Week,"YES","")</f>
        <v/>
      </c>
      <c r="Q3042" s="34" t="str">
        <f aca="false">IF(AND(B3042&gt;=Cal_Start_Week,B3042&lt;=Cal_End_Week),"YES","")</f>
        <v/>
      </c>
    </row>
    <row r="3043" customFormat="false" ht="15" hidden="false" customHeight="false" outlineLevel="0" collapsed="false">
      <c r="A3043" s="31" t="str">
        <f aca="false">Demand_History!C3043</f>
        <v>ELE-001</v>
      </c>
      <c r="B3043" s="31" t="n">
        <f aca="false">Demand_History!A3043</f>
        <v>26</v>
      </c>
      <c r="C3043" s="32" t="n">
        <f aca="false">Demand_History!D3043</f>
        <v>32</v>
      </c>
      <c r="D3043" s="33" t="n">
        <f aca="false">IF(B3043&gt;=2,C3042,"")</f>
        <v>27</v>
      </c>
      <c r="E3043" s="33" t="n">
        <f aca="false">IF(B3043&gt;=5,AVERAGE(C3039:C3042),"")</f>
        <v>31.75</v>
      </c>
      <c r="F3043" s="33" t="n">
        <f aca="false">IF(B3043&gt;=9,AVERAGE(C3035:C3042),"")</f>
        <v>33.75</v>
      </c>
      <c r="G3043" s="33" t="n">
        <f aca="false">IF(B3043=1,"",IF(B3043=2,C3042,SES_Alpha*C3042+(1-SES_Alpha)*G3042))</f>
        <v>32.1093237137792</v>
      </c>
      <c r="H3043" s="33" t="n">
        <f aca="false">IF(D3043="","",D3043-C3043)</f>
        <v>-5</v>
      </c>
      <c r="I3043" s="33" t="n">
        <f aca="false">IF(E3043="","",E3043-C3043)</f>
        <v>-0.25</v>
      </c>
      <c r="J3043" s="33" t="n">
        <f aca="false">IF(F3043="","",F3043-C3043)</f>
        <v>1.75</v>
      </c>
      <c r="K3043" s="33" t="n">
        <f aca="false">IF(G3043="","",G3043-C3043)</f>
        <v>0.109323713779233</v>
      </c>
      <c r="L3043" s="33" t="n">
        <f aca="false">IF(H3043="","",ABS(H3043))</f>
        <v>5</v>
      </c>
      <c r="M3043" s="33" t="n">
        <f aca="false">IF(I3043="","",ABS(I3043))</f>
        <v>0.25</v>
      </c>
      <c r="N3043" s="33" t="n">
        <f aca="false">IF(J3043="","",ABS(J3043))</f>
        <v>1.75</v>
      </c>
      <c r="O3043" s="33" t="n">
        <f aca="false">IF(K3043="","",ABS(K3043))</f>
        <v>0.109323713779233</v>
      </c>
      <c r="P3043" s="34" t="str">
        <f aca="false">IF(B3043&gt;=Eval_Start_Week,"YES","")</f>
        <v/>
      </c>
      <c r="Q3043" s="34" t="str">
        <f aca="false">IF(AND(B3043&gt;=Cal_Start_Week,B3043&lt;=Cal_End_Week),"YES","")</f>
        <v/>
      </c>
    </row>
    <row r="3044" customFormat="false" ht="15" hidden="false" customHeight="false" outlineLevel="0" collapsed="false">
      <c r="A3044" s="31" t="str">
        <f aca="false">Demand_History!C3044</f>
        <v>ELE-001</v>
      </c>
      <c r="B3044" s="31" t="n">
        <f aca="false">Demand_History!A3044</f>
        <v>27</v>
      </c>
      <c r="C3044" s="32" t="n">
        <f aca="false">Demand_History!D3044</f>
        <v>25</v>
      </c>
      <c r="D3044" s="33" t="n">
        <f aca="false">IF(B3044&gt;=2,C3043,"")</f>
        <v>32</v>
      </c>
      <c r="E3044" s="33" t="n">
        <f aca="false">IF(B3044&gt;=5,AVERAGE(C3040:C3043),"")</f>
        <v>31</v>
      </c>
      <c r="F3044" s="33" t="n">
        <f aca="false">IF(B3044&gt;=9,AVERAGE(C3036:C3043),"")</f>
        <v>33.5</v>
      </c>
      <c r="G3044" s="33" t="n">
        <f aca="false">IF(B3044=1,"",IF(B3044=2,C3043,SES_Alpha*C3043+(1-SES_Alpha)*G3043))</f>
        <v>32.0765265996455</v>
      </c>
      <c r="H3044" s="33" t="n">
        <f aca="false">IF(D3044="","",D3044-C3044)</f>
        <v>7</v>
      </c>
      <c r="I3044" s="33" t="n">
        <f aca="false">IF(E3044="","",E3044-C3044)</f>
        <v>6</v>
      </c>
      <c r="J3044" s="33" t="n">
        <f aca="false">IF(F3044="","",F3044-C3044)</f>
        <v>8.5</v>
      </c>
      <c r="K3044" s="33" t="n">
        <f aca="false">IF(G3044="","",G3044-C3044)</f>
        <v>7.07652659964546</v>
      </c>
      <c r="L3044" s="33" t="n">
        <f aca="false">IF(H3044="","",ABS(H3044))</f>
        <v>7</v>
      </c>
      <c r="M3044" s="33" t="n">
        <f aca="false">IF(I3044="","",ABS(I3044))</f>
        <v>6</v>
      </c>
      <c r="N3044" s="33" t="n">
        <f aca="false">IF(J3044="","",ABS(J3044))</f>
        <v>8.5</v>
      </c>
      <c r="O3044" s="33" t="n">
        <f aca="false">IF(K3044="","",ABS(K3044))</f>
        <v>7.07652659964546</v>
      </c>
      <c r="P3044" s="34" t="str">
        <f aca="false">IF(B3044&gt;=Eval_Start_Week,"YES","")</f>
        <v/>
      </c>
      <c r="Q3044" s="34" t="str">
        <f aca="false">IF(AND(B3044&gt;=Cal_Start_Week,B3044&lt;=Cal_End_Week),"YES","")</f>
        <v/>
      </c>
    </row>
    <row r="3045" customFormat="false" ht="15" hidden="false" customHeight="false" outlineLevel="0" collapsed="false">
      <c r="A3045" s="31" t="str">
        <f aca="false">Demand_History!C3045</f>
        <v>ELE-001</v>
      </c>
      <c r="B3045" s="31" t="n">
        <f aca="false">Demand_History!A3045</f>
        <v>28</v>
      </c>
      <c r="C3045" s="32" t="n">
        <f aca="false">Demand_History!D3045</f>
        <v>47</v>
      </c>
      <c r="D3045" s="33" t="n">
        <f aca="false">IF(B3045&gt;=2,C3044,"")</f>
        <v>25</v>
      </c>
      <c r="E3045" s="33" t="n">
        <f aca="false">IF(B3045&gt;=5,AVERAGE(C3041:C3044),"")</f>
        <v>29.5</v>
      </c>
      <c r="F3045" s="33" t="n">
        <f aca="false">IF(B3045&gt;=9,AVERAGE(C3037:C3044),"")</f>
        <v>31.5</v>
      </c>
      <c r="G3045" s="33" t="n">
        <f aca="false">IF(B3045=1,"",IF(B3045=2,C3044,SES_Alpha*C3044+(1-SES_Alpha)*G3044))</f>
        <v>29.9535686197518</v>
      </c>
      <c r="H3045" s="33" t="n">
        <f aca="false">IF(D3045="","",D3045-C3045)</f>
        <v>-22</v>
      </c>
      <c r="I3045" s="33" t="n">
        <f aca="false">IF(E3045="","",E3045-C3045)</f>
        <v>-17.5</v>
      </c>
      <c r="J3045" s="33" t="n">
        <f aca="false">IF(F3045="","",F3045-C3045)</f>
        <v>-15.5</v>
      </c>
      <c r="K3045" s="33" t="n">
        <f aca="false">IF(G3045="","",G3045-C3045)</f>
        <v>-17.0464313802482</v>
      </c>
      <c r="L3045" s="33" t="n">
        <f aca="false">IF(H3045="","",ABS(H3045))</f>
        <v>22</v>
      </c>
      <c r="M3045" s="33" t="n">
        <f aca="false">IF(I3045="","",ABS(I3045))</f>
        <v>17.5</v>
      </c>
      <c r="N3045" s="33" t="n">
        <f aca="false">IF(J3045="","",ABS(J3045))</f>
        <v>15.5</v>
      </c>
      <c r="O3045" s="33" t="n">
        <f aca="false">IF(K3045="","",ABS(K3045))</f>
        <v>17.0464313802482</v>
      </c>
      <c r="P3045" s="34" t="str">
        <f aca="false">IF(B3045&gt;=Eval_Start_Week,"YES","")</f>
        <v/>
      </c>
      <c r="Q3045" s="34" t="str">
        <f aca="false">IF(AND(B3045&gt;=Cal_Start_Week,B3045&lt;=Cal_End_Week),"YES","")</f>
        <v/>
      </c>
    </row>
    <row r="3046" customFormat="false" ht="15" hidden="false" customHeight="false" outlineLevel="0" collapsed="false">
      <c r="A3046" s="31" t="str">
        <f aca="false">Demand_History!C3046</f>
        <v>ELE-001</v>
      </c>
      <c r="B3046" s="31" t="n">
        <f aca="false">Demand_History!A3046</f>
        <v>29</v>
      </c>
      <c r="C3046" s="32" t="n">
        <f aca="false">Demand_History!D3046</f>
        <v>43</v>
      </c>
      <c r="D3046" s="33" t="n">
        <f aca="false">IF(B3046&gt;=2,C3045,"")</f>
        <v>47</v>
      </c>
      <c r="E3046" s="33" t="n">
        <f aca="false">IF(B3046&gt;=5,AVERAGE(C3042:C3045),"")</f>
        <v>32.75</v>
      </c>
      <c r="F3046" s="33" t="n">
        <f aca="false">IF(B3046&gt;=9,AVERAGE(C3038:C3045),"")</f>
        <v>33.5</v>
      </c>
      <c r="G3046" s="33" t="n">
        <f aca="false">IF(B3046=1,"",IF(B3046=2,C3045,SES_Alpha*C3045+(1-SES_Alpha)*G3045))</f>
        <v>35.0674980338263</v>
      </c>
      <c r="H3046" s="33" t="n">
        <f aca="false">IF(D3046="","",D3046-C3046)</f>
        <v>4</v>
      </c>
      <c r="I3046" s="33" t="n">
        <f aca="false">IF(E3046="","",E3046-C3046)</f>
        <v>-10.25</v>
      </c>
      <c r="J3046" s="33" t="n">
        <f aca="false">IF(F3046="","",F3046-C3046)</f>
        <v>-9.5</v>
      </c>
      <c r="K3046" s="33" t="n">
        <f aca="false">IF(G3046="","",G3046-C3046)</f>
        <v>-7.93250196617372</v>
      </c>
      <c r="L3046" s="33" t="n">
        <f aca="false">IF(H3046="","",ABS(H3046))</f>
        <v>4</v>
      </c>
      <c r="M3046" s="33" t="n">
        <f aca="false">IF(I3046="","",ABS(I3046))</f>
        <v>10.25</v>
      </c>
      <c r="N3046" s="33" t="n">
        <f aca="false">IF(J3046="","",ABS(J3046))</f>
        <v>9.5</v>
      </c>
      <c r="O3046" s="33" t="n">
        <f aca="false">IF(K3046="","",ABS(K3046))</f>
        <v>7.93250196617372</v>
      </c>
      <c r="P3046" s="34" t="str">
        <f aca="false">IF(B3046&gt;=Eval_Start_Week,"YES","")</f>
        <v/>
      </c>
      <c r="Q3046" s="34" t="str">
        <f aca="false">IF(AND(B3046&gt;=Cal_Start_Week,B3046&lt;=Cal_End_Week),"YES","")</f>
        <v/>
      </c>
    </row>
    <row r="3047" customFormat="false" ht="15" hidden="false" customHeight="false" outlineLevel="0" collapsed="false">
      <c r="A3047" s="31" t="str">
        <f aca="false">Demand_History!C3047</f>
        <v>ELE-001</v>
      </c>
      <c r="B3047" s="31" t="n">
        <f aca="false">Demand_History!A3047</f>
        <v>30</v>
      </c>
      <c r="C3047" s="32" t="n">
        <f aca="false">Demand_History!D3047</f>
        <v>41</v>
      </c>
      <c r="D3047" s="33" t="n">
        <f aca="false">IF(B3047&gt;=2,C3046,"")</f>
        <v>43</v>
      </c>
      <c r="E3047" s="33" t="n">
        <f aca="false">IF(B3047&gt;=5,AVERAGE(C3043:C3046),"")</f>
        <v>36.75</v>
      </c>
      <c r="F3047" s="33" t="n">
        <f aca="false">IF(B3047&gt;=9,AVERAGE(C3039:C3046),"")</f>
        <v>34.25</v>
      </c>
      <c r="G3047" s="33" t="n">
        <f aca="false">IF(B3047=1,"",IF(B3047=2,C3046,SES_Alpha*C3046+(1-SES_Alpha)*G3046))</f>
        <v>37.4472486236784</v>
      </c>
      <c r="H3047" s="33" t="n">
        <f aca="false">IF(D3047="","",D3047-C3047)</f>
        <v>2</v>
      </c>
      <c r="I3047" s="33" t="n">
        <f aca="false">IF(E3047="","",E3047-C3047)</f>
        <v>-4.25</v>
      </c>
      <c r="J3047" s="33" t="n">
        <f aca="false">IF(F3047="","",F3047-C3047)</f>
        <v>-6.75</v>
      </c>
      <c r="K3047" s="33" t="n">
        <f aca="false">IF(G3047="","",G3047-C3047)</f>
        <v>-3.55275137632161</v>
      </c>
      <c r="L3047" s="33" t="n">
        <f aca="false">IF(H3047="","",ABS(H3047))</f>
        <v>2</v>
      </c>
      <c r="M3047" s="33" t="n">
        <f aca="false">IF(I3047="","",ABS(I3047))</f>
        <v>4.25</v>
      </c>
      <c r="N3047" s="33" t="n">
        <f aca="false">IF(J3047="","",ABS(J3047))</f>
        <v>6.75</v>
      </c>
      <c r="O3047" s="33" t="n">
        <f aca="false">IF(K3047="","",ABS(K3047))</f>
        <v>3.55275137632161</v>
      </c>
      <c r="P3047" s="34" t="str">
        <f aca="false">IF(B3047&gt;=Eval_Start_Week,"YES","")</f>
        <v/>
      </c>
      <c r="Q3047" s="34" t="str">
        <f aca="false">IF(AND(B3047&gt;=Cal_Start_Week,B3047&lt;=Cal_End_Week),"YES","")</f>
        <v/>
      </c>
    </row>
    <row r="3048" customFormat="false" ht="15" hidden="false" customHeight="false" outlineLevel="0" collapsed="false">
      <c r="A3048" s="31" t="str">
        <f aca="false">Demand_History!C3048</f>
        <v>ELE-001</v>
      </c>
      <c r="B3048" s="31" t="n">
        <f aca="false">Demand_History!A3048</f>
        <v>31</v>
      </c>
      <c r="C3048" s="32" t="n">
        <f aca="false">Demand_History!D3048</f>
        <v>37</v>
      </c>
      <c r="D3048" s="33" t="n">
        <f aca="false">IF(B3048&gt;=2,C3047,"")</f>
        <v>41</v>
      </c>
      <c r="E3048" s="33" t="n">
        <f aca="false">IF(B3048&gt;=5,AVERAGE(C3044:C3047),"")</f>
        <v>39</v>
      </c>
      <c r="F3048" s="33" t="n">
        <f aca="false">IF(B3048&gt;=9,AVERAGE(C3040:C3047),"")</f>
        <v>35</v>
      </c>
      <c r="G3048" s="33" t="n">
        <f aca="false">IF(B3048=1,"",IF(B3048=2,C3047,SES_Alpha*C3047+(1-SES_Alpha)*G3047))</f>
        <v>38.5130740365749</v>
      </c>
      <c r="H3048" s="33" t="n">
        <f aca="false">IF(D3048="","",D3048-C3048)</f>
        <v>4</v>
      </c>
      <c r="I3048" s="33" t="n">
        <f aca="false">IF(E3048="","",E3048-C3048)</f>
        <v>2</v>
      </c>
      <c r="J3048" s="33" t="n">
        <f aca="false">IF(F3048="","",F3048-C3048)</f>
        <v>-2</v>
      </c>
      <c r="K3048" s="33" t="n">
        <f aca="false">IF(G3048="","",G3048-C3048)</f>
        <v>1.51307403657487</v>
      </c>
      <c r="L3048" s="33" t="n">
        <f aca="false">IF(H3048="","",ABS(H3048))</f>
        <v>4</v>
      </c>
      <c r="M3048" s="33" t="n">
        <f aca="false">IF(I3048="","",ABS(I3048))</f>
        <v>2</v>
      </c>
      <c r="N3048" s="33" t="n">
        <f aca="false">IF(J3048="","",ABS(J3048))</f>
        <v>2</v>
      </c>
      <c r="O3048" s="33" t="n">
        <f aca="false">IF(K3048="","",ABS(K3048))</f>
        <v>1.51307403657487</v>
      </c>
      <c r="P3048" s="34" t="str">
        <f aca="false">IF(B3048&gt;=Eval_Start_Week,"YES","")</f>
        <v/>
      </c>
      <c r="Q3048" s="34" t="str">
        <f aca="false">IF(AND(B3048&gt;=Cal_Start_Week,B3048&lt;=Cal_End_Week),"YES","")</f>
        <v/>
      </c>
    </row>
    <row r="3049" customFormat="false" ht="15" hidden="false" customHeight="false" outlineLevel="0" collapsed="false">
      <c r="A3049" s="31" t="str">
        <f aca="false">Demand_History!C3049</f>
        <v>ELE-001</v>
      </c>
      <c r="B3049" s="31" t="n">
        <f aca="false">Demand_History!A3049</f>
        <v>32</v>
      </c>
      <c r="C3049" s="32" t="n">
        <f aca="false">Demand_History!D3049</f>
        <v>40</v>
      </c>
      <c r="D3049" s="33" t="n">
        <f aca="false">IF(B3049&gt;=2,C3048,"")</f>
        <v>37</v>
      </c>
      <c r="E3049" s="33" t="n">
        <f aca="false">IF(B3049&gt;=5,AVERAGE(C3045:C3048),"")</f>
        <v>42</v>
      </c>
      <c r="F3049" s="33" t="n">
        <f aca="false">IF(B3049&gt;=9,AVERAGE(C3041:C3048),"")</f>
        <v>35.75</v>
      </c>
      <c r="G3049" s="33" t="n">
        <f aca="false">IF(B3049=1,"",IF(B3049=2,C3048,SES_Alpha*C3048+(1-SES_Alpha)*G3048))</f>
        <v>38.0591518256024</v>
      </c>
      <c r="H3049" s="33" t="n">
        <f aca="false">IF(D3049="","",D3049-C3049)</f>
        <v>-3</v>
      </c>
      <c r="I3049" s="33" t="n">
        <f aca="false">IF(E3049="","",E3049-C3049)</f>
        <v>2</v>
      </c>
      <c r="J3049" s="33" t="n">
        <f aca="false">IF(F3049="","",F3049-C3049)</f>
        <v>-4.25</v>
      </c>
      <c r="K3049" s="33" t="n">
        <f aca="false">IF(G3049="","",G3049-C3049)</f>
        <v>-1.94084817439759</v>
      </c>
      <c r="L3049" s="33" t="n">
        <f aca="false">IF(H3049="","",ABS(H3049))</f>
        <v>3</v>
      </c>
      <c r="M3049" s="33" t="n">
        <f aca="false">IF(I3049="","",ABS(I3049))</f>
        <v>2</v>
      </c>
      <c r="N3049" s="33" t="n">
        <f aca="false">IF(J3049="","",ABS(J3049))</f>
        <v>4.25</v>
      </c>
      <c r="O3049" s="33" t="n">
        <f aca="false">IF(K3049="","",ABS(K3049))</f>
        <v>1.94084817439759</v>
      </c>
      <c r="P3049" s="34" t="str">
        <f aca="false">IF(B3049&gt;=Eval_Start_Week,"YES","")</f>
        <v/>
      </c>
      <c r="Q3049" s="34" t="str">
        <f aca="false">IF(AND(B3049&gt;=Cal_Start_Week,B3049&lt;=Cal_End_Week),"YES","")</f>
        <v/>
      </c>
    </row>
    <row r="3050" customFormat="false" ht="15" hidden="false" customHeight="false" outlineLevel="0" collapsed="false">
      <c r="A3050" s="31" t="str">
        <f aca="false">Demand_History!C3050</f>
        <v>ELE-001</v>
      </c>
      <c r="B3050" s="31" t="n">
        <f aca="false">Demand_History!A3050</f>
        <v>33</v>
      </c>
      <c r="C3050" s="32" t="n">
        <f aca="false">Demand_History!D3050</f>
        <v>42</v>
      </c>
      <c r="D3050" s="33" t="n">
        <f aca="false">IF(B3050&gt;=2,C3049,"")</f>
        <v>40</v>
      </c>
      <c r="E3050" s="33" t="n">
        <f aca="false">IF(B3050&gt;=5,AVERAGE(C3046:C3049),"")</f>
        <v>40.25</v>
      </c>
      <c r="F3050" s="33" t="n">
        <f aca="false">IF(B3050&gt;=9,AVERAGE(C3042:C3049),"")</f>
        <v>36.5</v>
      </c>
      <c r="G3050" s="33" t="n">
        <f aca="false">IF(B3050=1,"",IF(B3050=2,C3049,SES_Alpha*C3049+(1-SES_Alpha)*G3049))</f>
        <v>38.6414062779217</v>
      </c>
      <c r="H3050" s="33" t="n">
        <f aca="false">IF(D3050="","",D3050-C3050)</f>
        <v>-2</v>
      </c>
      <c r="I3050" s="33" t="n">
        <f aca="false">IF(E3050="","",E3050-C3050)</f>
        <v>-1.75</v>
      </c>
      <c r="J3050" s="33" t="n">
        <f aca="false">IF(F3050="","",F3050-C3050)</f>
        <v>-5.5</v>
      </c>
      <c r="K3050" s="33" t="n">
        <f aca="false">IF(G3050="","",G3050-C3050)</f>
        <v>-3.35859372207832</v>
      </c>
      <c r="L3050" s="33" t="n">
        <f aca="false">IF(H3050="","",ABS(H3050))</f>
        <v>2</v>
      </c>
      <c r="M3050" s="33" t="n">
        <f aca="false">IF(I3050="","",ABS(I3050))</f>
        <v>1.75</v>
      </c>
      <c r="N3050" s="33" t="n">
        <f aca="false">IF(J3050="","",ABS(J3050))</f>
        <v>5.5</v>
      </c>
      <c r="O3050" s="33" t="n">
        <f aca="false">IF(K3050="","",ABS(K3050))</f>
        <v>3.35859372207832</v>
      </c>
      <c r="P3050" s="34" t="str">
        <f aca="false">IF(B3050&gt;=Eval_Start_Week,"YES","")</f>
        <v/>
      </c>
      <c r="Q3050" s="34" t="str">
        <f aca="false">IF(AND(B3050&gt;=Cal_Start_Week,B3050&lt;=Cal_End_Week),"YES","")</f>
        <v/>
      </c>
    </row>
    <row r="3051" customFormat="false" ht="15" hidden="false" customHeight="false" outlineLevel="0" collapsed="false">
      <c r="A3051" s="31" t="str">
        <f aca="false">Demand_History!C3051</f>
        <v>ELE-001</v>
      </c>
      <c r="B3051" s="31" t="n">
        <f aca="false">Demand_History!A3051</f>
        <v>34</v>
      </c>
      <c r="C3051" s="32" t="n">
        <f aca="false">Demand_History!D3051</f>
        <v>40</v>
      </c>
      <c r="D3051" s="33" t="n">
        <f aca="false">IF(B3051&gt;=2,C3050,"")</f>
        <v>42</v>
      </c>
      <c r="E3051" s="33" t="n">
        <f aca="false">IF(B3051&gt;=5,AVERAGE(C3047:C3050),"")</f>
        <v>40</v>
      </c>
      <c r="F3051" s="33" t="n">
        <f aca="false">IF(B3051&gt;=9,AVERAGE(C3043:C3050),"")</f>
        <v>38.375</v>
      </c>
      <c r="G3051" s="33" t="n">
        <f aca="false">IF(B3051=1,"",IF(B3051=2,C3050,SES_Alpha*C3050+(1-SES_Alpha)*G3050))</f>
        <v>39.6489843945452</v>
      </c>
      <c r="H3051" s="33" t="n">
        <f aca="false">IF(D3051="","",D3051-C3051)</f>
        <v>2</v>
      </c>
      <c r="I3051" s="33" t="n">
        <f aca="false">IF(E3051="","",E3051-C3051)</f>
        <v>0</v>
      </c>
      <c r="J3051" s="33" t="n">
        <f aca="false">IF(F3051="","",F3051-C3051)</f>
        <v>-1.625</v>
      </c>
      <c r="K3051" s="33" t="n">
        <f aca="false">IF(G3051="","",G3051-C3051)</f>
        <v>-0.351015605454826</v>
      </c>
      <c r="L3051" s="33" t="n">
        <f aca="false">IF(H3051="","",ABS(H3051))</f>
        <v>2</v>
      </c>
      <c r="M3051" s="33" t="n">
        <f aca="false">IF(I3051="","",ABS(I3051))</f>
        <v>0</v>
      </c>
      <c r="N3051" s="33" t="n">
        <f aca="false">IF(J3051="","",ABS(J3051))</f>
        <v>1.625</v>
      </c>
      <c r="O3051" s="33" t="n">
        <f aca="false">IF(K3051="","",ABS(K3051))</f>
        <v>0.351015605454826</v>
      </c>
      <c r="P3051" s="34" t="str">
        <f aca="false">IF(B3051&gt;=Eval_Start_Week,"YES","")</f>
        <v/>
      </c>
      <c r="Q3051" s="34" t="str">
        <f aca="false">IF(AND(B3051&gt;=Cal_Start_Week,B3051&lt;=Cal_End_Week),"YES","")</f>
        <v/>
      </c>
    </row>
    <row r="3052" customFormat="false" ht="15" hidden="false" customHeight="false" outlineLevel="0" collapsed="false">
      <c r="A3052" s="31" t="str">
        <f aca="false">Demand_History!C3052</f>
        <v>ELE-001</v>
      </c>
      <c r="B3052" s="31" t="n">
        <f aca="false">Demand_History!A3052</f>
        <v>35</v>
      </c>
      <c r="C3052" s="32" t="n">
        <f aca="false">Demand_History!D3052</f>
        <v>40</v>
      </c>
      <c r="D3052" s="33" t="n">
        <f aca="false">IF(B3052&gt;=2,C3051,"")</f>
        <v>40</v>
      </c>
      <c r="E3052" s="33" t="n">
        <f aca="false">IF(B3052&gt;=5,AVERAGE(C3048:C3051),"")</f>
        <v>39.75</v>
      </c>
      <c r="F3052" s="33" t="n">
        <f aca="false">IF(B3052&gt;=9,AVERAGE(C3044:C3051),"")</f>
        <v>39.375</v>
      </c>
      <c r="G3052" s="33" t="n">
        <f aca="false">IF(B3052=1,"",IF(B3052=2,C3051,SES_Alpha*C3051+(1-SES_Alpha)*G3051))</f>
        <v>39.7542890761816</v>
      </c>
      <c r="H3052" s="33" t="n">
        <f aca="false">IF(D3052="","",D3052-C3052)</f>
        <v>0</v>
      </c>
      <c r="I3052" s="33" t="n">
        <f aca="false">IF(E3052="","",E3052-C3052)</f>
        <v>-0.25</v>
      </c>
      <c r="J3052" s="33" t="n">
        <f aca="false">IF(F3052="","",F3052-C3052)</f>
        <v>-0.625</v>
      </c>
      <c r="K3052" s="33" t="n">
        <f aca="false">IF(G3052="","",G3052-C3052)</f>
        <v>-0.245710923818379</v>
      </c>
      <c r="L3052" s="33" t="n">
        <f aca="false">IF(H3052="","",ABS(H3052))</f>
        <v>0</v>
      </c>
      <c r="M3052" s="33" t="n">
        <f aca="false">IF(I3052="","",ABS(I3052))</f>
        <v>0.25</v>
      </c>
      <c r="N3052" s="33" t="n">
        <f aca="false">IF(J3052="","",ABS(J3052))</f>
        <v>0.625</v>
      </c>
      <c r="O3052" s="33" t="n">
        <f aca="false">IF(K3052="","",ABS(K3052))</f>
        <v>0.245710923818379</v>
      </c>
      <c r="P3052" s="34" t="str">
        <f aca="false">IF(B3052&gt;=Eval_Start_Week,"YES","")</f>
        <v/>
      </c>
      <c r="Q3052" s="34" t="str">
        <f aca="false">IF(AND(B3052&gt;=Cal_Start_Week,B3052&lt;=Cal_End_Week),"YES","")</f>
        <v/>
      </c>
    </row>
    <row r="3053" customFormat="false" ht="15" hidden="false" customHeight="false" outlineLevel="0" collapsed="false">
      <c r="A3053" s="31" t="str">
        <f aca="false">Demand_History!C3053</f>
        <v>ELE-001</v>
      </c>
      <c r="B3053" s="31" t="n">
        <f aca="false">Demand_History!A3053</f>
        <v>36</v>
      </c>
      <c r="C3053" s="32" t="n">
        <f aca="false">Demand_History!D3053</f>
        <v>30</v>
      </c>
      <c r="D3053" s="33" t="n">
        <f aca="false">IF(B3053&gt;=2,C3052,"")</f>
        <v>40</v>
      </c>
      <c r="E3053" s="33" t="n">
        <f aca="false">IF(B3053&gt;=5,AVERAGE(C3049:C3052),"")</f>
        <v>40.5</v>
      </c>
      <c r="F3053" s="33" t="n">
        <f aca="false">IF(B3053&gt;=9,AVERAGE(C3045:C3052),"")</f>
        <v>41.25</v>
      </c>
      <c r="G3053" s="33" t="n">
        <f aca="false">IF(B3053=1,"",IF(B3053=2,C3052,SES_Alpha*C3052+(1-SES_Alpha)*G3052))</f>
        <v>39.8280023533271</v>
      </c>
      <c r="H3053" s="33" t="n">
        <f aca="false">IF(D3053="","",D3053-C3053)</f>
        <v>10</v>
      </c>
      <c r="I3053" s="33" t="n">
        <f aca="false">IF(E3053="","",E3053-C3053)</f>
        <v>10.5</v>
      </c>
      <c r="J3053" s="33" t="n">
        <f aca="false">IF(F3053="","",F3053-C3053)</f>
        <v>11.25</v>
      </c>
      <c r="K3053" s="33" t="n">
        <f aca="false">IF(G3053="","",G3053-C3053)</f>
        <v>9.82800235332714</v>
      </c>
      <c r="L3053" s="33" t="n">
        <f aca="false">IF(H3053="","",ABS(H3053))</f>
        <v>10</v>
      </c>
      <c r="M3053" s="33" t="n">
        <f aca="false">IF(I3053="","",ABS(I3053))</f>
        <v>10.5</v>
      </c>
      <c r="N3053" s="33" t="n">
        <f aca="false">IF(J3053="","",ABS(J3053))</f>
        <v>11.25</v>
      </c>
      <c r="O3053" s="33" t="n">
        <f aca="false">IF(K3053="","",ABS(K3053))</f>
        <v>9.82800235332714</v>
      </c>
      <c r="P3053" s="34" t="str">
        <f aca="false">IF(B3053&gt;=Eval_Start_Week,"YES","")</f>
        <v/>
      </c>
      <c r="Q3053" s="34" t="str">
        <f aca="false">IF(AND(B3053&gt;=Cal_Start_Week,B3053&lt;=Cal_End_Week),"YES","")</f>
        <v/>
      </c>
    </row>
    <row r="3054" customFormat="false" ht="15" hidden="false" customHeight="false" outlineLevel="0" collapsed="false">
      <c r="A3054" s="31" t="str">
        <f aca="false">Demand_History!C3054</f>
        <v>ELE-001</v>
      </c>
      <c r="B3054" s="31" t="n">
        <f aca="false">Demand_History!A3054</f>
        <v>37</v>
      </c>
      <c r="C3054" s="32" t="n">
        <f aca="false">Demand_History!D3054</f>
        <v>37</v>
      </c>
      <c r="D3054" s="33" t="n">
        <f aca="false">IF(B3054&gt;=2,C3053,"")</f>
        <v>30</v>
      </c>
      <c r="E3054" s="33" t="n">
        <f aca="false">IF(B3054&gt;=5,AVERAGE(C3050:C3053),"")</f>
        <v>38</v>
      </c>
      <c r="F3054" s="33" t="n">
        <f aca="false">IF(B3054&gt;=9,AVERAGE(C3046:C3053),"")</f>
        <v>39.125</v>
      </c>
      <c r="G3054" s="33" t="n">
        <f aca="false">IF(B3054=1,"",IF(B3054=2,C3053,SES_Alpha*C3053+(1-SES_Alpha)*G3053))</f>
        <v>36.879601647329</v>
      </c>
      <c r="H3054" s="33" t="n">
        <f aca="false">IF(D3054="","",D3054-C3054)</f>
        <v>-7</v>
      </c>
      <c r="I3054" s="33" t="n">
        <f aca="false">IF(E3054="","",E3054-C3054)</f>
        <v>1</v>
      </c>
      <c r="J3054" s="33" t="n">
        <f aca="false">IF(F3054="","",F3054-C3054)</f>
        <v>2.125</v>
      </c>
      <c r="K3054" s="33" t="n">
        <f aca="false">IF(G3054="","",G3054-C3054)</f>
        <v>-0.120398352671003</v>
      </c>
      <c r="L3054" s="33" t="n">
        <f aca="false">IF(H3054="","",ABS(H3054))</f>
        <v>7</v>
      </c>
      <c r="M3054" s="33" t="n">
        <f aca="false">IF(I3054="","",ABS(I3054))</f>
        <v>1</v>
      </c>
      <c r="N3054" s="33" t="n">
        <f aca="false">IF(J3054="","",ABS(J3054))</f>
        <v>2.125</v>
      </c>
      <c r="O3054" s="33" t="n">
        <f aca="false">IF(K3054="","",ABS(K3054))</f>
        <v>0.120398352671003</v>
      </c>
      <c r="P3054" s="34" t="str">
        <f aca="false">IF(B3054&gt;=Eval_Start_Week,"YES","")</f>
        <v/>
      </c>
      <c r="Q3054" s="34" t="str">
        <f aca="false">IF(AND(B3054&gt;=Cal_Start_Week,B3054&lt;=Cal_End_Week),"YES","")</f>
        <v>YES</v>
      </c>
    </row>
    <row r="3055" customFormat="false" ht="15" hidden="false" customHeight="false" outlineLevel="0" collapsed="false">
      <c r="A3055" s="31" t="str">
        <f aca="false">Demand_History!C3055</f>
        <v>ELE-001</v>
      </c>
      <c r="B3055" s="31" t="n">
        <f aca="false">Demand_History!A3055</f>
        <v>38</v>
      </c>
      <c r="C3055" s="32" t="n">
        <f aca="false">Demand_History!D3055</f>
        <v>32</v>
      </c>
      <c r="D3055" s="33" t="n">
        <f aca="false">IF(B3055&gt;=2,C3054,"")</f>
        <v>37</v>
      </c>
      <c r="E3055" s="33" t="n">
        <f aca="false">IF(B3055&gt;=5,AVERAGE(C3051:C3054),"")</f>
        <v>36.75</v>
      </c>
      <c r="F3055" s="33" t="n">
        <f aca="false">IF(B3055&gt;=9,AVERAGE(C3047:C3054),"")</f>
        <v>38.375</v>
      </c>
      <c r="G3055" s="33" t="n">
        <f aca="false">IF(B3055=1,"",IF(B3055=2,C3054,SES_Alpha*C3054+(1-SES_Alpha)*G3054))</f>
        <v>36.9157211531303</v>
      </c>
      <c r="H3055" s="33" t="n">
        <f aca="false">IF(D3055="","",D3055-C3055)</f>
        <v>5</v>
      </c>
      <c r="I3055" s="33" t="n">
        <f aca="false">IF(E3055="","",E3055-C3055)</f>
        <v>4.75</v>
      </c>
      <c r="J3055" s="33" t="n">
        <f aca="false">IF(F3055="","",F3055-C3055)</f>
        <v>6.375</v>
      </c>
      <c r="K3055" s="33" t="n">
        <f aca="false">IF(G3055="","",G3055-C3055)</f>
        <v>4.9157211531303</v>
      </c>
      <c r="L3055" s="33" t="n">
        <f aca="false">IF(H3055="","",ABS(H3055))</f>
        <v>5</v>
      </c>
      <c r="M3055" s="33" t="n">
        <f aca="false">IF(I3055="","",ABS(I3055))</f>
        <v>4.75</v>
      </c>
      <c r="N3055" s="33" t="n">
        <f aca="false">IF(J3055="","",ABS(J3055))</f>
        <v>6.375</v>
      </c>
      <c r="O3055" s="33" t="n">
        <f aca="false">IF(K3055="","",ABS(K3055))</f>
        <v>4.9157211531303</v>
      </c>
      <c r="P3055" s="34" t="str">
        <f aca="false">IF(B3055&gt;=Eval_Start_Week,"YES","")</f>
        <v/>
      </c>
      <c r="Q3055" s="34" t="str">
        <f aca="false">IF(AND(B3055&gt;=Cal_Start_Week,B3055&lt;=Cal_End_Week),"YES","")</f>
        <v>YES</v>
      </c>
    </row>
    <row r="3056" customFormat="false" ht="15" hidden="false" customHeight="false" outlineLevel="0" collapsed="false">
      <c r="A3056" s="31" t="str">
        <f aca="false">Demand_History!C3056</f>
        <v>ELE-001</v>
      </c>
      <c r="B3056" s="31" t="n">
        <f aca="false">Demand_History!A3056</f>
        <v>39</v>
      </c>
      <c r="C3056" s="32" t="n">
        <f aca="false">Demand_History!D3056</f>
        <v>29</v>
      </c>
      <c r="D3056" s="33" t="n">
        <f aca="false">IF(B3056&gt;=2,C3055,"")</f>
        <v>32</v>
      </c>
      <c r="E3056" s="33" t="n">
        <f aca="false">IF(B3056&gt;=5,AVERAGE(C3052:C3055),"")</f>
        <v>34.75</v>
      </c>
      <c r="F3056" s="33" t="n">
        <f aca="false">IF(B3056&gt;=9,AVERAGE(C3048:C3055),"")</f>
        <v>37.25</v>
      </c>
      <c r="G3056" s="33" t="n">
        <f aca="false">IF(B3056=1,"",IF(B3056=2,C3055,SES_Alpha*C3055+(1-SES_Alpha)*G3055))</f>
        <v>35.4410048071912</v>
      </c>
      <c r="H3056" s="33" t="n">
        <f aca="false">IF(D3056="","",D3056-C3056)</f>
        <v>3</v>
      </c>
      <c r="I3056" s="33" t="n">
        <f aca="false">IF(E3056="","",E3056-C3056)</f>
        <v>5.75</v>
      </c>
      <c r="J3056" s="33" t="n">
        <f aca="false">IF(F3056="","",F3056-C3056)</f>
        <v>8.25</v>
      </c>
      <c r="K3056" s="33" t="n">
        <f aca="false">IF(G3056="","",G3056-C3056)</f>
        <v>6.44100480719121</v>
      </c>
      <c r="L3056" s="33" t="n">
        <f aca="false">IF(H3056="","",ABS(H3056))</f>
        <v>3</v>
      </c>
      <c r="M3056" s="33" t="n">
        <f aca="false">IF(I3056="","",ABS(I3056))</f>
        <v>5.75</v>
      </c>
      <c r="N3056" s="33" t="n">
        <f aca="false">IF(J3056="","",ABS(J3056))</f>
        <v>8.25</v>
      </c>
      <c r="O3056" s="33" t="n">
        <f aca="false">IF(K3056="","",ABS(K3056))</f>
        <v>6.44100480719121</v>
      </c>
      <c r="P3056" s="34" t="str">
        <f aca="false">IF(B3056&gt;=Eval_Start_Week,"YES","")</f>
        <v/>
      </c>
      <c r="Q3056" s="34" t="str">
        <f aca="false">IF(AND(B3056&gt;=Cal_Start_Week,B3056&lt;=Cal_End_Week),"YES","")</f>
        <v>YES</v>
      </c>
    </row>
    <row r="3057" customFormat="false" ht="15" hidden="false" customHeight="false" outlineLevel="0" collapsed="false">
      <c r="A3057" s="31" t="str">
        <f aca="false">Demand_History!C3057</f>
        <v>ELE-001</v>
      </c>
      <c r="B3057" s="31" t="n">
        <f aca="false">Demand_History!A3057</f>
        <v>40</v>
      </c>
      <c r="C3057" s="32" t="n">
        <f aca="false">Demand_History!D3057</f>
        <v>29</v>
      </c>
      <c r="D3057" s="33" t="n">
        <f aca="false">IF(B3057&gt;=2,C3056,"")</f>
        <v>29</v>
      </c>
      <c r="E3057" s="33" t="n">
        <f aca="false">IF(B3057&gt;=5,AVERAGE(C3053:C3056),"")</f>
        <v>32</v>
      </c>
      <c r="F3057" s="33" t="n">
        <f aca="false">IF(B3057&gt;=9,AVERAGE(C3049:C3056),"")</f>
        <v>36.25</v>
      </c>
      <c r="G3057" s="33" t="n">
        <f aca="false">IF(B3057=1,"",IF(B3057=2,C3056,SES_Alpha*C3056+(1-SES_Alpha)*G3056))</f>
        <v>33.5087033650338</v>
      </c>
      <c r="H3057" s="33" t="n">
        <f aca="false">IF(D3057="","",D3057-C3057)</f>
        <v>0</v>
      </c>
      <c r="I3057" s="33" t="n">
        <f aca="false">IF(E3057="","",E3057-C3057)</f>
        <v>3</v>
      </c>
      <c r="J3057" s="33" t="n">
        <f aca="false">IF(F3057="","",F3057-C3057)</f>
        <v>7.25</v>
      </c>
      <c r="K3057" s="33" t="n">
        <f aca="false">IF(G3057="","",G3057-C3057)</f>
        <v>4.50870336503384</v>
      </c>
      <c r="L3057" s="33" t="n">
        <f aca="false">IF(H3057="","",ABS(H3057))</f>
        <v>0</v>
      </c>
      <c r="M3057" s="33" t="n">
        <f aca="false">IF(I3057="","",ABS(I3057))</f>
        <v>3</v>
      </c>
      <c r="N3057" s="33" t="n">
        <f aca="false">IF(J3057="","",ABS(J3057))</f>
        <v>7.25</v>
      </c>
      <c r="O3057" s="33" t="n">
        <f aca="false">IF(K3057="","",ABS(K3057))</f>
        <v>4.50870336503384</v>
      </c>
      <c r="P3057" s="34" t="str">
        <f aca="false">IF(B3057&gt;=Eval_Start_Week,"YES","")</f>
        <v/>
      </c>
      <c r="Q3057" s="34" t="str">
        <f aca="false">IF(AND(B3057&gt;=Cal_Start_Week,B3057&lt;=Cal_End_Week),"YES","")</f>
        <v>YES</v>
      </c>
    </row>
    <row r="3058" customFormat="false" ht="15" hidden="false" customHeight="false" outlineLevel="0" collapsed="false">
      <c r="A3058" s="31" t="str">
        <f aca="false">Demand_History!C3058</f>
        <v>ELE-001</v>
      </c>
      <c r="B3058" s="31" t="n">
        <f aca="false">Demand_History!A3058</f>
        <v>41</v>
      </c>
      <c r="C3058" s="32" t="n">
        <f aca="false">Demand_History!D3058</f>
        <v>37</v>
      </c>
      <c r="D3058" s="33" t="n">
        <f aca="false">IF(B3058&gt;=2,C3057,"")</f>
        <v>29</v>
      </c>
      <c r="E3058" s="33" t="n">
        <f aca="false">IF(B3058&gt;=5,AVERAGE(C3054:C3057),"")</f>
        <v>31.75</v>
      </c>
      <c r="F3058" s="33" t="n">
        <f aca="false">IF(B3058&gt;=9,AVERAGE(C3050:C3057),"")</f>
        <v>34.875</v>
      </c>
      <c r="G3058" s="33" t="n">
        <f aca="false">IF(B3058=1,"",IF(B3058=2,C3057,SES_Alpha*C3057+(1-SES_Alpha)*G3057))</f>
        <v>32.1560923555237</v>
      </c>
      <c r="H3058" s="33" t="n">
        <f aca="false">IF(D3058="","",D3058-C3058)</f>
        <v>-8</v>
      </c>
      <c r="I3058" s="33" t="n">
        <f aca="false">IF(E3058="","",E3058-C3058)</f>
        <v>-5.25</v>
      </c>
      <c r="J3058" s="33" t="n">
        <f aca="false">IF(F3058="","",F3058-C3058)</f>
        <v>-2.125</v>
      </c>
      <c r="K3058" s="33" t="n">
        <f aca="false">IF(G3058="","",G3058-C3058)</f>
        <v>-4.84390764447632</v>
      </c>
      <c r="L3058" s="33" t="n">
        <f aca="false">IF(H3058="","",ABS(H3058))</f>
        <v>8</v>
      </c>
      <c r="M3058" s="33" t="n">
        <f aca="false">IF(I3058="","",ABS(I3058))</f>
        <v>5.25</v>
      </c>
      <c r="N3058" s="33" t="n">
        <f aca="false">IF(J3058="","",ABS(J3058))</f>
        <v>2.125</v>
      </c>
      <c r="O3058" s="33" t="n">
        <f aca="false">IF(K3058="","",ABS(K3058))</f>
        <v>4.84390764447632</v>
      </c>
      <c r="P3058" s="34" t="str">
        <f aca="false">IF(B3058&gt;=Eval_Start_Week,"YES","")</f>
        <v/>
      </c>
      <c r="Q3058" s="34" t="str">
        <f aca="false">IF(AND(B3058&gt;=Cal_Start_Week,B3058&lt;=Cal_End_Week),"YES","")</f>
        <v>YES</v>
      </c>
    </row>
    <row r="3059" customFormat="false" ht="15" hidden="false" customHeight="false" outlineLevel="0" collapsed="false">
      <c r="A3059" s="31" t="str">
        <f aca="false">Demand_History!C3059</f>
        <v>ELE-001</v>
      </c>
      <c r="B3059" s="31" t="n">
        <f aca="false">Demand_History!A3059</f>
        <v>42</v>
      </c>
      <c r="C3059" s="32" t="n">
        <f aca="false">Demand_History!D3059</f>
        <v>40</v>
      </c>
      <c r="D3059" s="33" t="n">
        <f aca="false">IF(B3059&gt;=2,C3058,"")</f>
        <v>37</v>
      </c>
      <c r="E3059" s="33" t="n">
        <f aca="false">IF(B3059&gt;=5,AVERAGE(C3055:C3058),"")</f>
        <v>31.75</v>
      </c>
      <c r="F3059" s="33" t="n">
        <f aca="false">IF(B3059&gt;=9,AVERAGE(C3051:C3058),"")</f>
        <v>34.25</v>
      </c>
      <c r="G3059" s="33" t="n">
        <f aca="false">IF(B3059=1,"",IF(B3059=2,C3058,SES_Alpha*C3058+(1-SES_Alpha)*G3058))</f>
        <v>33.6092646488666</v>
      </c>
      <c r="H3059" s="33" t="n">
        <f aca="false">IF(D3059="","",D3059-C3059)</f>
        <v>-3</v>
      </c>
      <c r="I3059" s="33" t="n">
        <f aca="false">IF(E3059="","",E3059-C3059)</f>
        <v>-8.25</v>
      </c>
      <c r="J3059" s="33" t="n">
        <f aca="false">IF(F3059="","",F3059-C3059)</f>
        <v>-5.75</v>
      </c>
      <c r="K3059" s="33" t="n">
        <f aca="false">IF(G3059="","",G3059-C3059)</f>
        <v>-6.39073535113342</v>
      </c>
      <c r="L3059" s="33" t="n">
        <f aca="false">IF(H3059="","",ABS(H3059))</f>
        <v>3</v>
      </c>
      <c r="M3059" s="33" t="n">
        <f aca="false">IF(I3059="","",ABS(I3059))</f>
        <v>8.25</v>
      </c>
      <c r="N3059" s="33" t="n">
        <f aca="false">IF(J3059="","",ABS(J3059))</f>
        <v>5.75</v>
      </c>
      <c r="O3059" s="33" t="n">
        <f aca="false">IF(K3059="","",ABS(K3059))</f>
        <v>6.39073535113342</v>
      </c>
      <c r="P3059" s="34" t="str">
        <f aca="false">IF(B3059&gt;=Eval_Start_Week,"YES","")</f>
        <v/>
      </c>
      <c r="Q3059" s="34" t="str">
        <f aca="false">IF(AND(B3059&gt;=Cal_Start_Week,B3059&lt;=Cal_End_Week),"YES","")</f>
        <v>YES</v>
      </c>
    </row>
    <row r="3060" customFormat="false" ht="15" hidden="false" customHeight="false" outlineLevel="0" collapsed="false">
      <c r="A3060" s="31" t="str">
        <f aca="false">Demand_History!C3060</f>
        <v>ELE-001</v>
      </c>
      <c r="B3060" s="31" t="n">
        <f aca="false">Demand_History!A3060</f>
        <v>43</v>
      </c>
      <c r="C3060" s="32" t="n">
        <f aca="false">Demand_History!D3060</f>
        <v>28</v>
      </c>
      <c r="D3060" s="33" t="n">
        <f aca="false">IF(B3060&gt;=2,C3059,"")</f>
        <v>40</v>
      </c>
      <c r="E3060" s="33" t="n">
        <f aca="false">IF(B3060&gt;=5,AVERAGE(C3056:C3059),"")</f>
        <v>33.75</v>
      </c>
      <c r="F3060" s="33" t="n">
        <f aca="false">IF(B3060&gt;=9,AVERAGE(C3052:C3059),"")</f>
        <v>34.25</v>
      </c>
      <c r="G3060" s="33" t="n">
        <f aca="false">IF(B3060=1,"",IF(B3060=2,C3059,SES_Alpha*C3059+(1-SES_Alpha)*G3059))</f>
        <v>35.5264852542066</v>
      </c>
      <c r="H3060" s="33" t="n">
        <f aca="false">IF(D3060="","",D3060-C3060)</f>
        <v>12</v>
      </c>
      <c r="I3060" s="33" t="n">
        <f aca="false">IF(E3060="","",E3060-C3060)</f>
        <v>5.75</v>
      </c>
      <c r="J3060" s="33" t="n">
        <f aca="false">IF(F3060="","",F3060-C3060)</f>
        <v>6.25</v>
      </c>
      <c r="K3060" s="33" t="n">
        <f aca="false">IF(G3060="","",G3060-C3060)</f>
        <v>7.52648525420661</v>
      </c>
      <c r="L3060" s="33" t="n">
        <f aca="false">IF(H3060="","",ABS(H3060))</f>
        <v>12</v>
      </c>
      <c r="M3060" s="33" t="n">
        <f aca="false">IF(I3060="","",ABS(I3060))</f>
        <v>5.75</v>
      </c>
      <c r="N3060" s="33" t="n">
        <f aca="false">IF(J3060="","",ABS(J3060))</f>
        <v>6.25</v>
      </c>
      <c r="O3060" s="33" t="n">
        <f aca="false">IF(K3060="","",ABS(K3060))</f>
        <v>7.52648525420661</v>
      </c>
      <c r="P3060" s="34" t="str">
        <f aca="false">IF(B3060&gt;=Eval_Start_Week,"YES","")</f>
        <v/>
      </c>
      <c r="Q3060" s="34" t="str">
        <f aca="false">IF(AND(B3060&gt;=Cal_Start_Week,B3060&lt;=Cal_End_Week),"YES","")</f>
        <v>YES</v>
      </c>
    </row>
    <row r="3061" customFormat="false" ht="15" hidden="false" customHeight="false" outlineLevel="0" collapsed="false">
      <c r="A3061" s="31" t="str">
        <f aca="false">Demand_History!C3061</f>
        <v>ELE-001</v>
      </c>
      <c r="B3061" s="31" t="n">
        <f aca="false">Demand_History!A3061</f>
        <v>44</v>
      </c>
      <c r="C3061" s="32" t="n">
        <f aca="false">Demand_History!D3061</f>
        <v>44</v>
      </c>
      <c r="D3061" s="33" t="n">
        <f aca="false">IF(B3061&gt;=2,C3060,"")</f>
        <v>28</v>
      </c>
      <c r="E3061" s="33" t="n">
        <f aca="false">IF(B3061&gt;=5,AVERAGE(C3057:C3060),"")</f>
        <v>33.5</v>
      </c>
      <c r="F3061" s="33" t="n">
        <f aca="false">IF(B3061&gt;=9,AVERAGE(C3053:C3060),"")</f>
        <v>32.75</v>
      </c>
      <c r="G3061" s="33" t="n">
        <f aca="false">IF(B3061=1,"",IF(B3061=2,C3060,SES_Alpha*C3060+(1-SES_Alpha)*G3060))</f>
        <v>33.2685396779446</v>
      </c>
      <c r="H3061" s="33" t="n">
        <f aca="false">IF(D3061="","",D3061-C3061)</f>
        <v>-16</v>
      </c>
      <c r="I3061" s="33" t="n">
        <f aca="false">IF(E3061="","",E3061-C3061)</f>
        <v>-10.5</v>
      </c>
      <c r="J3061" s="33" t="n">
        <f aca="false">IF(F3061="","",F3061-C3061)</f>
        <v>-11.25</v>
      </c>
      <c r="K3061" s="33" t="n">
        <f aca="false">IF(G3061="","",G3061-C3061)</f>
        <v>-10.7314603220554</v>
      </c>
      <c r="L3061" s="33" t="n">
        <f aca="false">IF(H3061="","",ABS(H3061))</f>
        <v>16</v>
      </c>
      <c r="M3061" s="33" t="n">
        <f aca="false">IF(I3061="","",ABS(I3061))</f>
        <v>10.5</v>
      </c>
      <c r="N3061" s="33" t="n">
        <f aca="false">IF(J3061="","",ABS(J3061))</f>
        <v>11.25</v>
      </c>
      <c r="O3061" s="33" t="n">
        <f aca="false">IF(K3061="","",ABS(K3061))</f>
        <v>10.7314603220554</v>
      </c>
      <c r="P3061" s="34" t="str">
        <f aca="false">IF(B3061&gt;=Eval_Start_Week,"YES","")</f>
        <v/>
      </c>
      <c r="Q3061" s="34" t="str">
        <f aca="false">IF(AND(B3061&gt;=Cal_Start_Week,B3061&lt;=Cal_End_Week),"YES","")</f>
        <v>YES</v>
      </c>
    </row>
    <row r="3062" customFormat="false" ht="15" hidden="false" customHeight="false" outlineLevel="0" collapsed="false">
      <c r="A3062" s="31" t="str">
        <f aca="false">Demand_History!C3062</f>
        <v>ELE-001</v>
      </c>
      <c r="B3062" s="31" t="n">
        <f aca="false">Demand_History!A3062</f>
        <v>45</v>
      </c>
      <c r="C3062" s="32" t="n">
        <f aca="false">Demand_History!D3062</f>
        <v>43</v>
      </c>
      <c r="D3062" s="33" t="n">
        <f aca="false">IF(B3062&gt;=2,C3061,"")</f>
        <v>44</v>
      </c>
      <c r="E3062" s="33" t="n">
        <f aca="false">IF(B3062&gt;=5,AVERAGE(C3058:C3061),"")</f>
        <v>37.25</v>
      </c>
      <c r="F3062" s="33" t="n">
        <f aca="false">IF(B3062&gt;=9,AVERAGE(C3054:C3061),"")</f>
        <v>34.5</v>
      </c>
      <c r="G3062" s="33" t="n">
        <f aca="false">IF(B3062=1,"",IF(B3062=2,C3061,SES_Alpha*C3061+(1-SES_Alpha)*G3061))</f>
        <v>36.4879777745612</v>
      </c>
      <c r="H3062" s="33" t="n">
        <f aca="false">IF(D3062="","",D3062-C3062)</f>
        <v>1</v>
      </c>
      <c r="I3062" s="33" t="n">
        <f aca="false">IF(E3062="","",E3062-C3062)</f>
        <v>-5.75</v>
      </c>
      <c r="J3062" s="33" t="n">
        <f aca="false">IF(F3062="","",F3062-C3062)</f>
        <v>-8.5</v>
      </c>
      <c r="K3062" s="33" t="n">
        <f aca="false">IF(G3062="","",G3062-C3062)</f>
        <v>-6.51202222543877</v>
      </c>
      <c r="L3062" s="33" t="n">
        <f aca="false">IF(H3062="","",ABS(H3062))</f>
        <v>1</v>
      </c>
      <c r="M3062" s="33" t="n">
        <f aca="false">IF(I3062="","",ABS(I3062))</f>
        <v>5.75</v>
      </c>
      <c r="N3062" s="33" t="n">
        <f aca="false">IF(J3062="","",ABS(J3062))</f>
        <v>8.5</v>
      </c>
      <c r="O3062" s="33" t="n">
        <f aca="false">IF(K3062="","",ABS(K3062))</f>
        <v>6.51202222543877</v>
      </c>
      <c r="P3062" s="34" t="str">
        <f aca="false">IF(B3062&gt;=Eval_Start_Week,"YES","")</f>
        <v/>
      </c>
      <c r="Q3062" s="34" t="str">
        <f aca="false">IF(AND(B3062&gt;=Cal_Start_Week,B3062&lt;=Cal_End_Week),"YES","")</f>
        <v>YES</v>
      </c>
    </row>
    <row r="3063" customFormat="false" ht="15" hidden="false" customHeight="false" outlineLevel="0" collapsed="false">
      <c r="A3063" s="31" t="str">
        <f aca="false">Demand_History!C3063</f>
        <v>ELE-001</v>
      </c>
      <c r="B3063" s="31" t="n">
        <f aca="false">Demand_History!A3063</f>
        <v>46</v>
      </c>
      <c r="C3063" s="32" t="n">
        <f aca="false">Demand_History!D3063</f>
        <v>33</v>
      </c>
      <c r="D3063" s="33" t="n">
        <f aca="false">IF(B3063&gt;=2,C3062,"")</f>
        <v>43</v>
      </c>
      <c r="E3063" s="33" t="n">
        <f aca="false">IF(B3063&gt;=5,AVERAGE(C3059:C3062),"")</f>
        <v>38.75</v>
      </c>
      <c r="F3063" s="33" t="n">
        <f aca="false">IF(B3063&gt;=9,AVERAGE(C3055:C3062),"")</f>
        <v>35.25</v>
      </c>
      <c r="G3063" s="33" t="n">
        <f aca="false">IF(B3063=1,"",IF(B3063=2,C3062,SES_Alpha*C3062+(1-SES_Alpha)*G3062))</f>
        <v>38.4415844421929</v>
      </c>
      <c r="H3063" s="33" t="n">
        <f aca="false">IF(D3063="","",D3063-C3063)</f>
        <v>10</v>
      </c>
      <c r="I3063" s="33" t="n">
        <f aca="false">IF(E3063="","",E3063-C3063)</f>
        <v>5.75</v>
      </c>
      <c r="J3063" s="33" t="n">
        <f aca="false">IF(F3063="","",F3063-C3063)</f>
        <v>2.25</v>
      </c>
      <c r="K3063" s="33" t="n">
        <f aca="false">IF(G3063="","",G3063-C3063)</f>
        <v>5.44158444219286</v>
      </c>
      <c r="L3063" s="33" t="n">
        <f aca="false">IF(H3063="","",ABS(H3063))</f>
        <v>10</v>
      </c>
      <c r="M3063" s="33" t="n">
        <f aca="false">IF(I3063="","",ABS(I3063))</f>
        <v>5.75</v>
      </c>
      <c r="N3063" s="33" t="n">
        <f aca="false">IF(J3063="","",ABS(J3063))</f>
        <v>2.25</v>
      </c>
      <c r="O3063" s="33" t="n">
        <f aca="false">IF(K3063="","",ABS(K3063))</f>
        <v>5.44158444219286</v>
      </c>
      <c r="P3063" s="34" t="str">
        <f aca="false">IF(B3063&gt;=Eval_Start_Week,"YES","")</f>
        <v/>
      </c>
      <c r="Q3063" s="34" t="str">
        <f aca="false">IF(AND(B3063&gt;=Cal_Start_Week,B3063&lt;=Cal_End_Week),"YES","")</f>
        <v>YES</v>
      </c>
    </row>
    <row r="3064" customFormat="false" ht="15" hidden="false" customHeight="false" outlineLevel="0" collapsed="false">
      <c r="A3064" s="31" t="str">
        <f aca="false">Demand_History!C3064</f>
        <v>ELE-001</v>
      </c>
      <c r="B3064" s="31" t="n">
        <f aca="false">Demand_History!A3064</f>
        <v>47</v>
      </c>
      <c r="C3064" s="32" t="n">
        <f aca="false">Demand_History!D3064</f>
        <v>33</v>
      </c>
      <c r="D3064" s="33" t="n">
        <f aca="false">IF(B3064&gt;=2,C3063,"")</f>
        <v>33</v>
      </c>
      <c r="E3064" s="33" t="n">
        <f aca="false">IF(B3064&gt;=5,AVERAGE(C3060:C3063),"")</f>
        <v>37</v>
      </c>
      <c r="F3064" s="33" t="n">
        <f aca="false">IF(B3064&gt;=9,AVERAGE(C3056:C3063),"")</f>
        <v>35.375</v>
      </c>
      <c r="G3064" s="33" t="n">
        <f aca="false">IF(B3064=1,"",IF(B3064=2,C3063,SES_Alpha*C3063+(1-SES_Alpha)*G3063))</f>
        <v>36.809109109535</v>
      </c>
      <c r="H3064" s="33" t="n">
        <f aca="false">IF(D3064="","",D3064-C3064)</f>
        <v>0</v>
      </c>
      <c r="I3064" s="33" t="n">
        <f aca="false">IF(E3064="","",E3064-C3064)</f>
        <v>4</v>
      </c>
      <c r="J3064" s="33" t="n">
        <f aca="false">IF(F3064="","",F3064-C3064)</f>
        <v>2.375</v>
      </c>
      <c r="K3064" s="33" t="n">
        <f aca="false">IF(G3064="","",G3064-C3064)</f>
        <v>3.809109109535</v>
      </c>
      <c r="L3064" s="33" t="n">
        <f aca="false">IF(H3064="","",ABS(H3064))</f>
        <v>0</v>
      </c>
      <c r="M3064" s="33" t="n">
        <f aca="false">IF(I3064="","",ABS(I3064))</f>
        <v>4</v>
      </c>
      <c r="N3064" s="33" t="n">
        <f aca="false">IF(J3064="","",ABS(J3064))</f>
        <v>2.375</v>
      </c>
      <c r="O3064" s="33" t="n">
        <f aca="false">IF(K3064="","",ABS(K3064))</f>
        <v>3.809109109535</v>
      </c>
      <c r="P3064" s="34" t="str">
        <f aca="false">IF(B3064&gt;=Eval_Start_Week,"YES","")</f>
        <v/>
      </c>
      <c r="Q3064" s="34" t="str">
        <f aca="false">IF(AND(B3064&gt;=Cal_Start_Week,B3064&lt;=Cal_End_Week),"YES","")</f>
        <v>YES</v>
      </c>
    </row>
    <row r="3065" customFormat="false" ht="15" hidden="false" customHeight="false" outlineLevel="0" collapsed="false">
      <c r="A3065" s="31" t="str">
        <f aca="false">Demand_History!C3065</f>
        <v>ELE-001</v>
      </c>
      <c r="B3065" s="31" t="n">
        <f aca="false">Demand_History!A3065</f>
        <v>48</v>
      </c>
      <c r="C3065" s="32" t="n">
        <f aca="false">Demand_History!D3065</f>
        <v>35</v>
      </c>
      <c r="D3065" s="33" t="n">
        <f aca="false">IF(B3065&gt;=2,C3064,"")</f>
        <v>33</v>
      </c>
      <c r="E3065" s="33" t="n">
        <f aca="false">IF(B3065&gt;=5,AVERAGE(C3061:C3064),"")</f>
        <v>38.25</v>
      </c>
      <c r="F3065" s="33" t="n">
        <f aca="false">IF(B3065&gt;=9,AVERAGE(C3057:C3064),"")</f>
        <v>35.875</v>
      </c>
      <c r="G3065" s="33" t="n">
        <f aca="false">IF(B3065=1,"",IF(B3065=2,C3064,SES_Alpha*C3064+(1-SES_Alpha)*G3064))</f>
        <v>35.6663763766745</v>
      </c>
      <c r="H3065" s="33" t="n">
        <f aca="false">IF(D3065="","",D3065-C3065)</f>
        <v>-2</v>
      </c>
      <c r="I3065" s="33" t="n">
        <f aca="false">IF(E3065="","",E3065-C3065)</f>
        <v>3.25</v>
      </c>
      <c r="J3065" s="33" t="n">
        <f aca="false">IF(F3065="","",F3065-C3065)</f>
        <v>0.875</v>
      </c>
      <c r="K3065" s="33" t="n">
        <f aca="false">IF(G3065="","",G3065-C3065)</f>
        <v>0.666376376674499</v>
      </c>
      <c r="L3065" s="33" t="n">
        <f aca="false">IF(H3065="","",ABS(H3065))</f>
        <v>2</v>
      </c>
      <c r="M3065" s="33" t="n">
        <f aca="false">IF(I3065="","",ABS(I3065))</f>
        <v>3.25</v>
      </c>
      <c r="N3065" s="33" t="n">
        <f aca="false">IF(J3065="","",ABS(J3065))</f>
        <v>0.875</v>
      </c>
      <c r="O3065" s="33" t="n">
        <f aca="false">IF(K3065="","",ABS(K3065))</f>
        <v>0.666376376674499</v>
      </c>
      <c r="P3065" s="34" t="str">
        <f aca="false">IF(B3065&gt;=Eval_Start_Week,"YES","")</f>
        <v/>
      </c>
      <c r="Q3065" s="34" t="str">
        <f aca="false">IF(AND(B3065&gt;=Cal_Start_Week,B3065&lt;=Cal_End_Week),"YES","")</f>
        <v>YES</v>
      </c>
    </row>
    <row r="3066" customFormat="false" ht="15" hidden="false" customHeight="false" outlineLevel="0" collapsed="false">
      <c r="A3066" s="31" t="str">
        <f aca="false">Demand_History!C3066</f>
        <v>ELE-001</v>
      </c>
      <c r="B3066" s="31" t="n">
        <f aca="false">Demand_History!A3066</f>
        <v>49</v>
      </c>
      <c r="C3066" s="32" t="n">
        <f aca="false">Demand_History!D3066</f>
        <v>40</v>
      </c>
      <c r="D3066" s="33" t="n">
        <f aca="false">IF(B3066&gt;=2,C3065,"")</f>
        <v>35</v>
      </c>
      <c r="E3066" s="33" t="n">
        <f aca="false">IF(B3066&gt;=5,AVERAGE(C3062:C3065),"")</f>
        <v>36</v>
      </c>
      <c r="F3066" s="33" t="n">
        <f aca="false">IF(B3066&gt;=9,AVERAGE(C3058:C3065),"")</f>
        <v>36.625</v>
      </c>
      <c r="G3066" s="33" t="n">
        <f aca="false">IF(B3066=1,"",IF(B3066=2,C3065,SES_Alpha*C3065+(1-SES_Alpha)*G3065))</f>
        <v>35.4664634636722</v>
      </c>
      <c r="H3066" s="33" t="n">
        <f aca="false">IF(D3066="","",D3066-C3066)</f>
        <v>-5</v>
      </c>
      <c r="I3066" s="33" t="n">
        <f aca="false">IF(E3066="","",E3066-C3066)</f>
        <v>-4</v>
      </c>
      <c r="J3066" s="33" t="n">
        <f aca="false">IF(F3066="","",F3066-C3066)</f>
        <v>-3.375</v>
      </c>
      <c r="K3066" s="33" t="n">
        <f aca="false">IF(G3066="","",G3066-C3066)</f>
        <v>-4.53353653632785</v>
      </c>
      <c r="L3066" s="33" t="n">
        <f aca="false">IF(H3066="","",ABS(H3066))</f>
        <v>5</v>
      </c>
      <c r="M3066" s="33" t="n">
        <f aca="false">IF(I3066="","",ABS(I3066))</f>
        <v>4</v>
      </c>
      <c r="N3066" s="33" t="n">
        <f aca="false">IF(J3066="","",ABS(J3066))</f>
        <v>3.375</v>
      </c>
      <c r="O3066" s="33" t="n">
        <f aca="false">IF(K3066="","",ABS(K3066))</f>
        <v>4.53353653632785</v>
      </c>
      <c r="P3066" s="34" t="str">
        <f aca="false">IF(B3066&gt;=Eval_Start_Week,"YES","")</f>
        <v/>
      </c>
      <c r="Q3066" s="34" t="str">
        <f aca="false">IF(AND(B3066&gt;=Cal_Start_Week,B3066&lt;=Cal_End_Week),"YES","")</f>
        <v>YES</v>
      </c>
    </row>
    <row r="3067" customFormat="false" ht="15" hidden="false" customHeight="false" outlineLevel="0" collapsed="false">
      <c r="A3067" s="31" t="str">
        <f aca="false">Demand_History!C3067</f>
        <v>ELE-001</v>
      </c>
      <c r="B3067" s="31" t="n">
        <f aca="false">Demand_History!A3067</f>
        <v>50</v>
      </c>
      <c r="C3067" s="32" t="n">
        <f aca="false">Demand_History!D3067</f>
        <v>33</v>
      </c>
      <c r="D3067" s="33" t="n">
        <f aca="false">IF(B3067&gt;=2,C3066,"")</f>
        <v>40</v>
      </c>
      <c r="E3067" s="33" t="n">
        <f aca="false">IF(B3067&gt;=5,AVERAGE(C3063:C3066),"")</f>
        <v>35.25</v>
      </c>
      <c r="F3067" s="33" t="n">
        <f aca="false">IF(B3067&gt;=9,AVERAGE(C3059:C3066),"")</f>
        <v>37</v>
      </c>
      <c r="G3067" s="33" t="n">
        <f aca="false">IF(B3067=1,"",IF(B3067=2,C3066,SES_Alpha*C3066+(1-SES_Alpha)*G3066))</f>
        <v>36.8265244245705</v>
      </c>
      <c r="H3067" s="33" t="n">
        <f aca="false">IF(D3067="","",D3067-C3067)</f>
        <v>7</v>
      </c>
      <c r="I3067" s="33" t="n">
        <f aca="false">IF(E3067="","",E3067-C3067)</f>
        <v>2.25</v>
      </c>
      <c r="J3067" s="33" t="n">
        <f aca="false">IF(F3067="","",F3067-C3067)</f>
        <v>4</v>
      </c>
      <c r="K3067" s="33" t="n">
        <f aca="false">IF(G3067="","",G3067-C3067)</f>
        <v>3.82652442457051</v>
      </c>
      <c r="L3067" s="33" t="n">
        <f aca="false">IF(H3067="","",ABS(H3067))</f>
        <v>7</v>
      </c>
      <c r="M3067" s="33" t="n">
        <f aca="false">IF(I3067="","",ABS(I3067))</f>
        <v>2.25</v>
      </c>
      <c r="N3067" s="33" t="n">
        <f aca="false">IF(J3067="","",ABS(J3067))</f>
        <v>4</v>
      </c>
      <c r="O3067" s="33" t="n">
        <f aca="false">IF(K3067="","",ABS(K3067))</f>
        <v>3.82652442457051</v>
      </c>
      <c r="P3067" s="34" t="str">
        <f aca="false">IF(B3067&gt;=Eval_Start_Week,"YES","")</f>
        <v/>
      </c>
      <c r="Q3067" s="34" t="str">
        <f aca="false">IF(AND(B3067&gt;=Cal_Start_Week,B3067&lt;=Cal_End_Week),"YES","")</f>
        <v>YES</v>
      </c>
    </row>
    <row r="3068" customFormat="false" ht="15" hidden="false" customHeight="false" outlineLevel="0" collapsed="false">
      <c r="A3068" s="31" t="str">
        <f aca="false">Demand_History!C3068</f>
        <v>ELE-001</v>
      </c>
      <c r="B3068" s="31" t="n">
        <f aca="false">Demand_History!A3068</f>
        <v>51</v>
      </c>
      <c r="C3068" s="32" t="n">
        <f aca="false">Demand_History!D3068</f>
        <v>29</v>
      </c>
      <c r="D3068" s="33" t="n">
        <f aca="false">IF(B3068&gt;=2,C3067,"")</f>
        <v>33</v>
      </c>
      <c r="E3068" s="33" t="n">
        <f aca="false">IF(B3068&gt;=5,AVERAGE(C3064:C3067),"")</f>
        <v>35.25</v>
      </c>
      <c r="F3068" s="33" t="n">
        <f aca="false">IF(B3068&gt;=9,AVERAGE(C3060:C3067),"")</f>
        <v>36.125</v>
      </c>
      <c r="G3068" s="33" t="n">
        <f aca="false">IF(B3068=1,"",IF(B3068=2,C3067,SES_Alpha*C3067+(1-SES_Alpha)*G3067))</f>
        <v>35.6785670971994</v>
      </c>
      <c r="H3068" s="33" t="n">
        <f aca="false">IF(D3068="","",D3068-C3068)</f>
        <v>4</v>
      </c>
      <c r="I3068" s="33" t="n">
        <f aca="false">IF(E3068="","",E3068-C3068)</f>
        <v>6.25</v>
      </c>
      <c r="J3068" s="33" t="n">
        <f aca="false">IF(F3068="","",F3068-C3068)</f>
        <v>7.125</v>
      </c>
      <c r="K3068" s="33" t="n">
        <f aca="false">IF(G3068="","",G3068-C3068)</f>
        <v>6.67856709719936</v>
      </c>
      <c r="L3068" s="33" t="n">
        <f aca="false">IF(H3068="","",ABS(H3068))</f>
        <v>4</v>
      </c>
      <c r="M3068" s="33" t="n">
        <f aca="false">IF(I3068="","",ABS(I3068))</f>
        <v>6.25</v>
      </c>
      <c r="N3068" s="33" t="n">
        <f aca="false">IF(J3068="","",ABS(J3068))</f>
        <v>7.125</v>
      </c>
      <c r="O3068" s="33" t="n">
        <f aca="false">IF(K3068="","",ABS(K3068))</f>
        <v>6.67856709719936</v>
      </c>
      <c r="P3068" s="34" t="str">
        <f aca="false">IF(B3068&gt;=Eval_Start_Week,"YES","")</f>
        <v/>
      </c>
      <c r="Q3068" s="34" t="str">
        <f aca="false">IF(AND(B3068&gt;=Cal_Start_Week,B3068&lt;=Cal_End_Week),"YES","")</f>
        <v>YES</v>
      </c>
    </row>
    <row r="3069" customFormat="false" ht="15" hidden="false" customHeight="false" outlineLevel="0" collapsed="false">
      <c r="A3069" s="31" t="str">
        <f aca="false">Demand_History!C3069</f>
        <v>ELE-001</v>
      </c>
      <c r="B3069" s="31" t="n">
        <f aca="false">Demand_History!A3069</f>
        <v>52</v>
      </c>
      <c r="C3069" s="32" t="n">
        <f aca="false">Demand_History!D3069</f>
        <v>37</v>
      </c>
      <c r="D3069" s="33" t="n">
        <f aca="false">IF(B3069&gt;=2,C3068,"")</f>
        <v>29</v>
      </c>
      <c r="E3069" s="33" t="n">
        <f aca="false">IF(B3069&gt;=5,AVERAGE(C3065:C3068),"")</f>
        <v>34.25</v>
      </c>
      <c r="F3069" s="33" t="n">
        <f aca="false">IF(B3069&gt;=9,AVERAGE(C3061:C3068),"")</f>
        <v>36.25</v>
      </c>
      <c r="G3069" s="33" t="n">
        <f aca="false">IF(B3069=1,"",IF(B3069=2,C3068,SES_Alpha*C3068+(1-SES_Alpha)*G3068))</f>
        <v>33.6749969680396</v>
      </c>
      <c r="H3069" s="33" t="n">
        <f aca="false">IF(D3069="","",D3069-C3069)</f>
        <v>-8</v>
      </c>
      <c r="I3069" s="33" t="n">
        <f aca="false">IF(E3069="","",E3069-C3069)</f>
        <v>-2.75</v>
      </c>
      <c r="J3069" s="33" t="n">
        <f aca="false">IF(F3069="","",F3069-C3069)</f>
        <v>-0.75</v>
      </c>
      <c r="K3069" s="33" t="n">
        <f aca="false">IF(G3069="","",G3069-C3069)</f>
        <v>-3.32500303196045</v>
      </c>
      <c r="L3069" s="33" t="n">
        <f aca="false">IF(H3069="","",ABS(H3069))</f>
        <v>8</v>
      </c>
      <c r="M3069" s="33" t="n">
        <f aca="false">IF(I3069="","",ABS(I3069))</f>
        <v>2.75</v>
      </c>
      <c r="N3069" s="33" t="n">
        <f aca="false">IF(J3069="","",ABS(J3069))</f>
        <v>0.75</v>
      </c>
      <c r="O3069" s="33" t="n">
        <f aca="false">IF(K3069="","",ABS(K3069))</f>
        <v>3.32500303196045</v>
      </c>
      <c r="P3069" s="34" t="str">
        <f aca="false">IF(B3069&gt;=Eval_Start_Week,"YES","")</f>
        <v/>
      </c>
      <c r="Q3069" s="34" t="str">
        <f aca="false">IF(AND(B3069&gt;=Cal_Start_Week,B3069&lt;=Cal_End_Week),"YES","")</f>
        <v>YES</v>
      </c>
    </row>
    <row r="3070" customFormat="false" ht="15" hidden="false" customHeight="false" outlineLevel="0" collapsed="false">
      <c r="A3070" s="31" t="str">
        <f aca="false">Demand_History!C3070</f>
        <v>ELE-001</v>
      </c>
      <c r="B3070" s="31" t="n">
        <f aca="false">Demand_History!A3070</f>
        <v>53</v>
      </c>
      <c r="C3070" s="32" t="n">
        <f aca="false">Demand_History!D3070</f>
        <v>24</v>
      </c>
      <c r="D3070" s="33" t="n">
        <f aca="false">IF(B3070&gt;=2,C3069,"")</f>
        <v>37</v>
      </c>
      <c r="E3070" s="33" t="n">
        <f aca="false">IF(B3070&gt;=5,AVERAGE(C3066:C3069),"")</f>
        <v>34.75</v>
      </c>
      <c r="F3070" s="33" t="n">
        <f aca="false">IF(B3070&gt;=9,AVERAGE(C3062:C3069),"")</f>
        <v>35.375</v>
      </c>
      <c r="G3070" s="33" t="n">
        <f aca="false">IF(B3070=1,"",IF(B3070=2,C3069,SES_Alpha*C3069+(1-SES_Alpha)*G3069))</f>
        <v>34.6724978776277</v>
      </c>
      <c r="H3070" s="33" t="n">
        <f aca="false">IF(D3070="","",D3070-C3070)</f>
        <v>13</v>
      </c>
      <c r="I3070" s="33" t="n">
        <f aca="false">IF(E3070="","",E3070-C3070)</f>
        <v>10.75</v>
      </c>
      <c r="J3070" s="33" t="n">
        <f aca="false">IF(F3070="","",F3070-C3070)</f>
        <v>11.375</v>
      </c>
      <c r="K3070" s="33" t="n">
        <f aca="false">IF(G3070="","",G3070-C3070)</f>
        <v>10.6724978776277</v>
      </c>
      <c r="L3070" s="33" t="n">
        <f aca="false">IF(H3070="","",ABS(H3070))</f>
        <v>13</v>
      </c>
      <c r="M3070" s="33" t="n">
        <f aca="false">IF(I3070="","",ABS(I3070))</f>
        <v>10.75</v>
      </c>
      <c r="N3070" s="33" t="n">
        <f aca="false">IF(J3070="","",ABS(J3070))</f>
        <v>11.375</v>
      </c>
      <c r="O3070" s="33" t="n">
        <f aca="false">IF(K3070="","",ABS(K3070))</f>
        <v>10.6724978776277</v>
      </c>
      <c r="P3070" s="34" t="str">
        <f aca="false">IF(B3070&gt;=Eval_Start_Week,"YES","")</f>
        <v>YES</v>
      </c>
      <c r="Q3070" s="34" t="str">
        <f aca="false">IF(AND(B3070&gt;=Cal_Start_Week,B3070&lt;=Cal_End_Week),"YES","")</f>
        <v>YES</v>
      </c>
    </row>
    <row r="3071" customFormat="false" ht="15" hidden="false" customHeight="false" outlineLevel="0" collapsed="false">
      <c r="A3071" s="31" t="str">
        <f aca="false">Demand_History!C3071</f>
        <v>ELE-001</v>
      </c>
      <c r="B3071" s="31" t="n">
        <f aca="false">Demand_History!A3071</f>
        <v>54</v>
      </c>
      <c r="C3071" s="32" t="n">
        <f aca="false">Demand_History!D3071</f>
        <v>36</v>
      </c>
      <c r="D3071" s="33" t="n">
        <f aca="false">IF(B3071&gt;=2,C3070,"")</f>
        <v>24</v>
      </c>
      <c r="E3071" s="33" t="n">
        <f aca="false">IF(B3071&gt;=5,AVERAGE(C3067:C3070),"")</f>
        <v>30.75</v>
      </c>
      <c r="F3071" s="33" t="n">
        <f aca="false">IF(B3071&gt;=9,AVERAGE(C3063:C3070),"")</f>
        <v>33</v>
      </c>
      <c r="G3071" s="33" t="n">
        <f aca="false">IF(B3071=1,"",IF(B3071=2,C3070,SES_Alpha*C3070+(1-SES_Alpha)*G3070))</f>
        <v>31.4707485143394</v>
      </c>
      <c r="H3071" s="33" t="n">
        <f aca="false">IF(D3071="","",D3071-C3071)</f>
        <v>-12</v>
      </c>
      <c r="I3071" s="33" t="n">
        <f aca="false">IF(E3071="","",E3071-C3071)</f>
        <v>-5.25</v>
      </c>
      <c r="J3071" s="33" t="n">
        <f aca="false">IF(F3071="","",F3071-C3071)</f>
        <v>-3</v>
      </c>
      <c r="K3071" s="33" t="n">
        <f aca="false">IF(G3071="","",G3071-C3071)</f>
        <v>-4.52925148566062</v>
      </c>
      <c r="L3071" s="33" t="n">
        <f aca="false">IF(H3071="","",ABS(H3071))</f>
        <v>12</v>
      </c>
      <c r="M3071" s="33" t="n">
        <f aca="false">IF(I3071="","",ABS(I3071))</f>
        <v>5.25</v>
      </c>
      <c r="N3071" s="33" t="n">
        <f aca="false">IF(J3071="","",ABS(J3071))</f>
        <v>3</v>
      </c>
      <c r="O3071" s="33" t="n">
        <f aca="false">IF(K3071="","",ABS(K3071))</f>
        <v>4.52925148566062</v>
      </c>
      <c r="P3071" s="34" t="str">
        <f aca="false">IF(B3071&gt;=Eval_Start_Week,"YES","")</f>
        <v>YES</v>
      </c>
      <c r="Q3071" s="34" t="str">
        <f aca="false">IF(AND(B3071&gt;=Cal_Start_Week,B3071&lt;=Cal_End_Week),"YES","")</f>
        <v>YES</v>
      </c>
    </row>
    <row r="3072" customFormat="false" ht="15" hidden="false" customHeight="false" outlineLevel="0" collapsed="false">
      <c r="A3072" s="31" t="str">
        <f aca="false">Demand_History!C3072</f>
        <v>ELE-001</v>
      </c>
      <c r="B3072" s="31" t="n">
        <f aca="false">Demand_History!A3072</f>
        <v>55</v>
      </c>
      <c r="C3072" s="32" t="n">
        <f aca="false">Demand_History!D3072</f>
        <v>41</v>
      </c>
      <c r="D3072" s="33" t="n">
        <f aca="false">IF(B3072&gt;=2,C3071,"")</f>
        <v>36</v>
      </c>
      <c r="E3072" s="33" t="n">
        <f aca="false">IF(B3072&gt;=5,AVERAGE(C3068:C3071),"")</f>
        <v>31.5</v>
      </c>
      <c r="F3072" s="33" t="n">
        <f aca="false">IF(B3072&gt;=9,AVERAGE(C3064:C3071),"")</f>
        <v>33.375</v>
      </c>
      <c r="G3072" s="33" t="n">
        <f aca="false">IF(B3072=1,"",IF(B3072=2,C3071,SES_Alpha*C3071+(1-SES_Alpha)*G3071))</f>
        <v>32.8295239600376</v>
      </c>
      <c r="H3072" s="33" t="n">
        <f aca="false">IF(D3072="","",D3072-C3072)</f>
        <v>-5</v>
      </c>
      <c r="I3072" s="33" t="n">
        <f aca="false">IF(E3072="","",E3072-C3072)</f>
        <v>-9.5</v>
      </c>
      <c r="J3072" s="33" t="n">
        <f aca="false">IF(F3072="","",F3072-C3072)</f>
        <v>-7.625</v>
      </c>
      <c r="K3072" s="33" t="n">
        <f aca="false">IF(G3072="","",G3072-C3072)</f>
        <v>-8.17047603996244</v>
      </c>
      <c r="L3072" s="33" t="n">
        <f aca="false">IF(H3072="","",ABS(H3072))</f>
        <v>5</v>
      </c>
      <c r="M3072" s="33" t="n">
        <f aca="false">IF(I3072="","",ABS(I3072))</f>
        <v>9.5</v>
      </c>
      <c r="N3072" s="33" t="n">
        <f aca="false">IF(J3072="","",ABS(J3072))</f>
        <v>7.625</v>
      </c>
      <c r="O3072" s="33" t="n">
        <f aca="false">IF(K3072="","",ABS(K3072))</f>
        <v>8.17047603996244</v>
      </c>
      <c r="P3072" s="34" t="str">
        <f aca="false">IF(B3072&gt;=Eval_Start_Week,"YES","")</f>
        <v>YES</v>
      </c>
      <c r="Q3072" s="34" t="str">
        <f aca="false">IF(AND(B3072&gt;=Cal_Start_Week,B3072&lt;=Cal_End_Week),"YES","")</f>
        <v>YES</v>
      </c>
    </row>
    <row r="3073" customFormat="false" ht="15" hidden="false" customHeight="false" outlineLevel="0" collapsed="false">
      <c r="A3073" s="31" t="str">
        <f aca="false">Demand_History!C3073</f>
        <v>ELE-001</v>
      </c>
      <c r="B3073" s="31" t="n">
        <f aca="false">Demand_History!A3073</f>
        <v>56</v>
      </c>
      <c r="C3073" s="32" t="n">
        <f aca="false">Demand_History!D3073</f>
        <v>37</v>
      </c>
      <c r="D3073" s="33" t="n">
        <f aca="false">IF(B3073&gt;=2,C3072,"")</f>
        <v>41</v>
      </c>
      <c r="E3073" s="33" t="n">
        <f aca="false">IF(B3073&gt;=5,AVERAGE(C3069:C3072),"")</f>
        <v>34.5</v>
      </c>
      <c r="F3073" s="33" t="n">
        <f aca="false">IF(B3073&gt;=9,AVERAGE(C3065:C3072),"")</f>
        <v>34.375</v>
      </c>
      <c r="G3073" s="33" t="n">
        <f aca="false">IF(B3073=1,"",IF(B3073=2,C3072,SES_Alpha*C3072+(1-SES_Alpha)*G3072))</f>
        <v>35.2806667720263</v>
      </c>
      <c r="H3073" s="33" t="n">
        <f aca="false">IF(D3073="","",D3073-C3073)</f>
        <v>4</v>
      </c>
      <c r="I3073" s="33" t="n">
        <f aca="false">IF(E3073="","",E3073-C3073)</f>
        <v>-2.5</v>
      </c>
      <c r="J3073" s="33" t="n">
        <f aca="false">IF(F3073="","",F3073-C3073)</f>
        <v>-2.625</v>
      </c>
      <c r="K3073" s="33" t="n">
        <f aca="false">IF(G3073="","",G3073-C3073)</f>
        <v>-1.71933322797371</v>
      </c>
      <c r="L3073" s="33" t="n">
        <f aca="false">IF(H3073="","",ABS(H3073))</f>
        <v>4</v>
      </c>
      <c r="M3073" s="33" t="n">
        <f aca="false">IF(I3073="","",ABS(I3073))</f>
        <v>2.5</v>
      </c>
      <c r="N3073" s="33" t="n">
        <f aca="false">IF(J3073="","",ABS(J3073))</f>
        <v>2.625</v>
      </c>
      <c r="O3073" s="33" t="n">
        <f aca="false">IF(K3073="","",ABS(K3073))</f>
        <v>1.71933322797371</v>
      </c>
      <c r="P3073" s="34" t="str">
        <f aca="false">IF(B3073&gt;=Eval_Start_Week,"YES","")</f>
        <v>YES</v>
      </c>
      <c r="Q3073" s="34" t="str">
        <f aca="false">IF(AND(B3073&gt;=Cal_Start_Week,B3073&lt;=Cal_End_Week),"YES","")</f>
        <v>YES</v>
      </c>
    </row>
    <row r="3074" customFormat="false" ht="15" hidden="false" customHeight="false" outlineLevel="0" collapsed="false">
      <c r="A3074" s="31" t="str">
        <f aca="false">Demand_History!C3074</f>
        <v>ELE-001</v>
      </c>
      <c r="B3074" s="31" t="n">
        <f aca="false">Demand_History!A3074</f>
        <v>57</v>
      </c>
      <c r="C3074" s="32" t="n">
        <f aca="false">Demand_History!D3074</f>
        <v>39</v>
      </c>
      <c r="D3074" s="33" t="n">
        <f aca="false">IF(B3074&gt;=2,C3073,"")</f>
        <v>37</v>
      </c>
      <c r="E3074" s="33" t="n">
        <f aca="false">IF(B3074&gt;=5,AVERAGE(C3070:C3073),"")</f>
        <v>34.5</v>
      </c>
      <c r="F3074" s="33" t="n">
        <f aca="false">IF(B3074&gt;=9,AVERAGE(C3066:C3073),"")</f>
        <v>34.625</v>
      </c>
      <c r="G3074" s="33" t="n">
        <f aca="false">IF(B3074=1,"",IF(B3074=2,C3073,SES_Alpha*C3073+(1-SES_Alpha)*G3073))</f>
        <v>35.7964667404184</v>
      </c>
      <c r="H3074" s="33" t="n">
        <f aca="false">IF(D3074="","",D3074-C3074)</f>
        <v>-2</v>
      </c>
      <c r="I3074" s="33" t="n">
        <f aca="false">IF(E3074="","",E3074-C3074)</f>
        <v>-4.5</v>
      </c>
      <c r="J3074" s="33" t="n">
        <f aca="false">IF(F3074="","",F3074-C3074)</f>
        <v>-4.375</v>
      </c>
      <c r="K3074" s="33" t="n">
        <f aca="false">IF(G3074="","",G3074-C3074)</f>
        <v>-3.2035332595816</v>
      </c>
      <c r="L3074" s="33" t="n">
        <f aca="false">IF(H3074="","",ABS(H3074))</f>
        <v>2</v>
      </c>
      <c r="M3074" s="33" t="n">
        <f aca="false">IF(I3074="","",ABS(I3074))</f>
        <v>4.5</v>
      </c>
      <c r="N3074" s="33" t="n">
        <f aca="false">IF(J3074="","",ABS(J3074))</f>
        <v>4.375</v>
      </c>
      <c r="O3074" s="33" t="n">
        <f aca="false">IF(K3074="","",ABS(K3074))</f>
        <v>3.2035332595816</v>
      </c>
      <c r="P3074" s="34" t="str">
        <f aca="false">IF(B3074&gt;=Eval_Start_Week,"YES","")</f>
        <v>YES</v>
      </c>
      <c r="Q3074" s="34" t="str">
        <f aca="false">IF(AND(B3074&gt;=Cal_Start_Week,B3074&lt;=Cal_End_Week),"YES","")</f>
        <v>YES</v>
      </c>
    </row>
    <row r="3075" customFormat="false" ht="15" hidden="false" customHeight="false" outlineLevel="0" collapsed="false">
      <c r="A3075" s="31" t="str">
        <f aca="false">Demand_History!C3075</f>
        <v>ELE-001</v>
      </c>
      <c r="B3075" s="31" t="n">
        <f aca="false">Demand_History!A3075</f>
        <v>58</v>
      </c>
      <c r="C3075" s="32" t="n">
        <f aca="false">Demand_History!D3075</f>
        <v>38</v>
      </c>
      <c r="D3075" s="33" t="n">
        <f aca="false">IF(B3075&gt;=2,C3074,"")</f>
        <v>39</v>
      </c>
      <c r="E3075" s="33" t="n">
        <f aca="false">IF(B3075&gt;=5,AVERAGE(C3071:C3074),"")</f>
        <v>38.25</v>
      </c>
      <c r="F3075" s="33" t="n">
        <f aca="false">IF(B3075&gt;=9,AVERAGE(C3067:C3074),"")</f>
        <v>34.5</v>
      </c>
      <c r="G3075" s="33" t="n">
        <f aca="false">IF(B3075=1,"",IF(B3075=2,C3074,SES_Alpha*C3074+(1-SES_Alpha)*G3074))</f>
        <v>36.7575267182929</v>
      </c>
      <c r="H3075" s="33" t="n">
        <f aca="false">IF(D3075="","",D3075-C3075)</f>
        <v>1</v>
      </c>
      <c r="I3075" s="33" t="n">
        <f aca="false">IF(E3075="","",E3075-C3075)</f>
        <v>0.25</v>
      </c>
      <c r="J3075" s="33" t="n">
        <f aca="false">IF(F3075="","",F3075-C3075)</f>
        <v>-3.5</v>
      </c>
      <c r="K3075" s="33" t="n">
        <f aca="false">IF(G3075="","",G3075-C3075)</f>
        <v>-1.24247328170712</v>
      </c>
      <c r="L3075" s="33" t="n">
        <f aca="false">IF(H3075="","",ABS(H3075))</f>
        <v>1</v>
      </c>
      <c r="M3075" s="33" t="n">
        <f aca="false">IF(I3075="","",ABS(I3075))</f>
        <v>0.25</v>
      </c>
      <c r="N3075" s="33" t="n">
        <f aca="false">IF(J3075="","",ABS(J3075))</f>
        <v>3.5</v>
      </c>
      <c r="O3075" s="33" t="n">
        <f aca="false">IF(K3075="","",ABS(K3075))</f>
        <v>1.24247328170712</v>
      </c>
      <c r="P3075" s="34" t="str">
        <f aca="false">IF(B3075&gt;=Eval_Start_Week,"YES","")</f>
        <v>YES</v>
      </c>
      <c r="Q3075" s="34" t="str">
        <f aca="false">IF(AND(B3075&gt;=Cal_Start_Week,B3075&lt;=Cal_End_Week),"YES","")</f>
        <v>YES</v>
      </c>
    </row>
    <row r="3076" customFormat="false" ht="15" hidden="false" customHeight="false" outlineLevel="0" collapsed="false">
      <c r="A3076" s="31" t="str">
        <f aca="false">Demand_History!C3076</f>
        <v>ELE-001</v>
      </c>
      <c r="B3076" s="31" t="n">
        <f aca="false">Demand_History!A3076</f>
        <v>59</v>
      </c>
      <c r="C3076" s="32" t="n">
        <f aca="false">Demand_History!D3076</f>
        <v>39</v>
      </c>
      <c r="D3076" s="33" t="n">
        <f aca="false">IF(B3076&gt;=2,C3075,"")</f>
        <v>38</v>
      </c>
      <c r="E3076" s="33" t="n">
        <f aca="false">IF(B3076&gt;=5,AVERAGE(C3072:C3075),"")</f>
        <v>38.75</v>
      </c>
      <c r="F3076" s="33" t="n">
        <f aca="false">IF(B3076&gt;=9,AVERAGE(C3068:C3075),"")</f>
        <v>35.125</v>
      </c>
      <c r="G3076" s="33" t="n">
        <f aca="false">IF(B3076=1,"",IF(B3076=2,C3075,SES_Alpha*C3075+(1-SES_Alpha)*G3075))</f>
        <v>37.130268702805</v>
      </c>
      <c r="H3076" s="33" t="n">
        <f aca="false">IF(D3076="","",D3076-C3076)</f>
        <v>-1</v>
      </c>
      <c r="I3076" s="33" t="n">
        <f aca="false">IF(E3076="","",E3076-C3076)</f>
        <v>-0.25</v>
      </c>
      <c r="J3076" s="33" t="n">
        <f aca="false">IF(F3076="","",F3076-C3076)</f>
        <v>-3.875</v>
      </c>
      <c r="K3076" s="33" t="n">
        <f aca="false">IF(G3076="","",G3076-C3076)</f>
        <v>-1.86973129719499</v>
      </c>
      <c r="L3076" s="33" t="n">
        <f aca="false">IF(H3076="","",ABS(H3076))</f>
        <v>1</v>
      </c>
      <c r="M3076" s="33" t="n">
        <f aca="false">IF(I3076="","",ABS(I3076))</f>
        <v>0.25</v>
      </c>
      <c r="N3076" s="33" t="n">
        <f aca="false">IF(J3076="","",ABS(J3076))</f>
        <v>3.875</v>
      </c>
      <c r="O3076" s="33" t="n">
        <f aca="false">IF(K3076="","",ABS(K3076))</f>
        <v>1.86973129719499</v>
      </c>
      <c r="P3076" s="34" t="str">
        <f aca="false">IF(B3076&gt;=Eval_Start_Week,"YES","")</f>
        <v>YES</v>
      </c>
      <c r="Q3076" s="34" t="str">
        <f aca="false">IF(AND(B3076&gt;=Cal_Start_Week,B3076&lt;=Cal_End_Week),"YES","")</f>
        <v>YES</v>
      </c>
    </row>
    <row r="3077" customFormat="false" ht="15" hidden="false" customHeight="false" outlineLevel="0" collapsed="false">
      <c r="A3077" s="31" t="str">
        <f aca="false">Demand_History!C3077</f>
        <v>ELE-001</v>
      </c>
      <c r="B3077" s="31" t="n">
        <f aca="false">Demand_History!A3077</f>
        <v>60</v>
      </c>
      <c r="C3077" s="32" t="n">
        <f aca="false">Demand_History!D3077</f>
        <v>36</v>
      </c>
      <c r="D3077" s="33" t="n">
        <f aca="false">IF(B3077&gt;=2,C3076,"")</f>
        <v>39</v>
      </c>
      <c r="E3077" s="33" t="n">
        <f aca="false">IF(B3077&gt;=5,AVERAGE(C3073:C3076),"")</f>
        <v>38.25</v>
      </c>
      <c r="F3077" s="33" t="n">
        <f aca="false">IF(B3077&gt;=9,AVERAGE(C3069:C3076),"")</f>
        <v>36.375</v>
      </c>
      <c r="G3077" s="33" t="n">
        <f aca="false">IF(B3077=1,"",IF(B3077=2,C3076,SES_Alpha*C3076+(1-SES_Alpha)*G3076))</f>
        <v>37.6911880919635</v>
      </c>
      <c r="H3077" s="33" t="n">
        <f aca="false">IF(D3077="","",D3077-C3077)</f>
        <v>3</v>
      </c>
      <c r="I3077" s="33" t="n">
        <f aca="false">IF(E3077="","",E3077-C3077)</f>
        <v>2.25</v>
      </c>
      <c r="J3077" s="33" t="n">
        <f aca="false">IF(F3077="","",F3077-C3077)</f>
        <v>0.375</v>
      </c>
      <c r="K3077" s="33" t="n">
        <f aca="false">IF(G3077="","",G3077-C3077)</f>
        <v>1.69118809196351</v>
      </c>
      <c r="L3077" s="33" t="n">
        <f aca="false">IF(H3077="","",ABS(H3077))</f>
        <v>3</v>
      </c>
      <c r="M3077" s="33" t="n">
        <f aca="false">IF(I3077="","",ABS(I3077))</f>
        <v>2.25</v>
      </c>
      <c r="N3077" s="33" t="n">
        <f aca="false">IF(J3077="","",ABS(J3077))</f>
        <v>0.375</v>
      </c>
      <c r="O3077" s="33" t="n">
        <f aca="false">IF(K3077="","",ABS(K3077))</f>
        <v>1.69118809196351</v>
      </c>
      <c r="P3077" s="34" t="str">
        <f aca="false">IF(B3077&gt;=Eval_Start_Week,"YES","")</f>
        <v>YES</v>
      </c>
      <c r="Q3077" s="34" t="str">
        <f aca="false">IF(AND(B3077&gt;=Cal_Start_Week,B3077&lt;=Cal_End_Week),"YES","")</f>
        <v>YES</v>
      </c>
    </row>
    <row r="3078" customFormat="false" ht="15" hidden="false" customHeight="false" outlineLevel="0" collapsed="false">
      <c r="A3078" s="31" t="str">
        <f aca="false">Demand_History!C3078</f>
        <v>ELE-001</v>
      </c>
      <c r="B3078" s="31" t="n">
        <f aca="false">Demand_History!A3078</f>
        <v>61</v>
      </c>
      <c r="C3078" s="32" t="n">
        <f aca="false">Demand_History!D3078</f>
        <v>31</v>
      </c>
      <c r="D3078" s="33" t="n">
        <f aca="false">IF(B3078&gt;=2,C3077,"")</f>
        <v>36</v>
      </c>
      <c r="E3078" s="33" t="n">
        <f aca="false">IF(B3078&gt;=5,AVERAGE(C3074:C3077),"")</f>
        <v>38</v>
      </c>
      <c r="F3078" s="33" t="n">
        <f aca="false">IF(B3078&gt;=9,AVERAGE(C3070:C3077),"")</f>
        <v>36.25</v>
      </c>
      <c r="G3078" s="33" t="n">
        <f aca="false">IF(B3078=1,"",IF(B3078=2,C3077,SES_Alpha*C3077+(1-SES_Alpha)*G3077))</f>
        <v>37.1838316643745</v>
      </c>
      <c r="H3078" s="33" t="n">
        <f aca="false">IF(D3078="","",D3078-C3078)</f>
        <v>5</v>
      </c>
      <c r="I3078" s="33" t="n">
        <f aca="false">IF(E3078="","",E3078-C3078)</f>
        <v>7</v>
      </c>
      <c r="J3078" s="33" t="n">
        <f aca="false">IF(F3078="","",F3078-C3078)</f>
        <v>5.25</v>
      </c>
      <c r="K3078" s="33" t="n">
        <f aca="false">IF(G3078="","",G3078-C3078)</f>
        <v>6.18383166437445</v>
      </c>
      <c r="L3078" s="33" t="n">
        <f aca="false">IF(H3078="","",ABS(H3078))</f>
        <v>5</v>
      </c>
      <c r="M3078" s="33" t="n">
        <f aca="false">IF(I3078="","",ABS(I3078))</f>
        <v>7</v>
      </c>
      <c r="N3078" s="33" t="n">
        <f aca="false">IF(J3078="","",ABS(J3078))</f>
        <v>5.25</v>
      </c>
      <c r="O3078" s="33" t="n">
        <f aca="false">IF(K3078="","",ABS(K3078))</f>
        <v>6.18383166437445</v>
      </c>
      <c r="P3078" s="34" t="str">
        <f aca="false">IF(B3078&gt;=Eval_Start_Week,"YES","")</f>
        <v>YES</v>
      </c>
      <c r="Q3078" s="34" t="str">
        <f aca="false">IF(AND(B3078&gt;=Cal_Start_Week,B3078&lt;=Cal_End_Week),"YES","")</f>
        <v>YES</v>
      </c>
    </row>
    <row r="3079" customFormat="false" ht="15" hidden="false" customHeight="false" outlineLevel="0" collapsed="false">
      <c r="A3079" s="31" t="str">
        <f aca="false">Demand_History!C3079</f>
        <v>ELE-001</v>
      </c>
      <c r="B3079" s="31" t="n">
        <f aca="false">Demand_History!A3079</f>
        <v>62</v>
      </c>
      <c r="C3079" s="32" t="n">
        <f aca="false">Demand_History!D3079</f>
        <v>34</v>
      </c>
      <c r="D3079" s="33" t="n">
        <f aca="false">IF(B3079&gt;=2,C3078,"")</f>
        <v>31</v>
      </c>
      <c r="E3079" s="33" t="n">
        <f aca="false">IF(B3079&gt;=5,AVERAGE(C3075:C3078),"")</f>
        <v>36</v>
      </c>
      <c r="F3079" s="33" t="n">
        <f aca="false">IF(B3079&gt;=9,AVERAGE(C3071:C3078),"")</f>
        <v>37.125</v>
      </c>
      <c r="G3079" s="33" t="n">
        <f aca="false">IF(B3079=1,"",IF(B3079=2,C3078,SES_Alpha*C3078+(1-SES_Alpha)*G3078))</f>
        <v>35.3286821650621</v>
      </c>
      <c r="H3079" s="33" t="n">
        <f aca="false">IF(D3079="","",D3079-C3079)</f>
        <v>-3</v>
      </c>
      <c r="I3079" s="33" t="n">
        <f aca="false">IF(E3079="","",E3079-C3079)</f>
        <v>2</v>
      </c>
      <c r="J3079" s="33" t="n">
        <f aca="false">IF(F3079="","",F3079-C3079)</f>
        <v>3.125</v>
      </c>
      <c r="K3079" s="33" t="n">
        <f aca="false">IF(G3079="","",G3079-C3079)</f>
        <v>1.32868216506211</v>
      </c>
      <c r="L3079" s="33" t="n">
        <f aca="false">IF(H3079="","",ABS(H3079))</f>
        <v>3</v>
      </c>
      <c r="M3079" s="33" t="n">
        <f aca="false">IF(I3079="","",ABS(I3079))</f>
        <v>2</v>
      </c>
      <c r="N3079" s="33" t="n">
        <f aca="false">IF(J3079="","",ABS(J3079))</f>
        <v>3.125</v>
      </c>
      <c r="O3079" s="33" t="n">
        <f aca="false">IF(K3079="","",ABS(K3079))</f>
        <v>1.32868216506211</v>
      </c>
      <c r="P3079" s="34" t="str">
        <f aca="false">IF(B3079&gt;=Eval_Start_Week,"YES","")</f>
        <v>YES</v>
      </c>
      <c r="Q3079" s="34" t="str">
        <f aca="false">IF(AND(B3079&gt;=Cal_Start_Week,B3079&lt;=Cal_End_Week),"YES","")</f>
        <v>YES</v>
      </c>
    </row>
    <row r="3080" customFormat="false" ht="15" hidden="false" customHeight="false" outlineLevel="0" collapsed="false">
      <c r="A3080" s="31" t="str">
        <f aca="false">Demand_History!C3080</f>
        <v>ELE-001</v>
      </c>
      <c r="B3080" s="31" t="n">
        <f aca="false">Demand_History!A3080</f>
        <v>63</v>
      </c>
      <c r="C3080" s="32" t="n">
        <f aca="false">Demand_History!D3080</f>
        <v>35</v>
      </c>
      <c r="D3080" s="33" t="n">
        <f aca="false">IF(B3080&gt;=2,C3079,"")</f>
        <v>34</v>
      </c>
      <c r="E3080" s="33" t="n">
        <f aca="false">IF(B3080&gt;=5,AVERAGE(C3076:C3079),"")</f>
        <v>35</v>
      </c>
      <c r="F3080" s="33" t="n">
        <f aca="false">IF(B3080&gt;=9,AVERAGE(C3072:C3079),"")</f>
        <v>36.875</v>
      </c>
      <c r="G3080" s="33" t="n">
        <f aca="false">IF(B3080=1,"",IF(B3080=2,C3079,SES_Alpha*C3079+(1-SES_Alpha)*G3079))</f>
        <v>34.9300775155435</v>
      </c>
      <c r="H3080" s="33" t="n">
        <f aca="false">IF(D3080="","",D3080-C3080)</f>
        <v>-1</v>
      </c>
      <c r="I3080" s="33" t="n">
        <f aca="false">IF(E3080="","",E3080-C3080)</f>
        <v>0</v>
      </c>
      <c r="J3080" s="33" t="n">
        <f aca="false">IF(F3080="","",F3080-C3080)</f>
        <v>1.875</v>
      </c>
      <c r="K3080" s="33" t="n">
        <f aca="false">IF(G3080="","",G3080-C3080)</f>
        <v>-0.0699224844565265</v>
      </c>
      <c r="L3080" s="33" t="n">
        <f aca="false">IF(H3080="","",ABS(H3080))</f>
        <v>1</v>
      </c>
      <c r="M3080" s="33" t="n">
        <f aca="false">IF(I3080="","",ABS(I3080))</f>
        <v>0</v>
      </c>
      <c r="N3080" s="33" t="n">
        <f aca="false">IF(J3080="","",ABS(J3080))</f>
        <v>1.875</v>
      </c>
      <c r="O3080" s="33" t="n">
        <f aca="false">IF(K3080="","",ABS(K3080))</f>
        <v>0.0699224844565265</v>
      </c>
      <c r="P3080" s="34" t="str">
        <f aca="false">IF(B3080&gt;=Eval_Start_Week,"YES","")</f>
        <v>YES</v>
      </c>
      <c r="Q3080" s="34" t="str">
        <f aca="false">IF(AND(B3080&gt;=Cal_Start_Week,B3080&lt;=Cal_End_Week),"YES","")</f>
        <v>YES</v>
      </c>
    </row>
    <row r="3081" customFormat="false" ht="15" hidden="false" customHeight="false" outlineLevel="0" collapsed="false">
      <c r="A3081" s="31" t="str">
        <f aca="false">Demand_History!C3081</f>
        <v>ELE-001</v>
      </c>
      <c r="B3081" s="31" t="n">
        <f aca="false">Demand_History!A3081</f>
        <v>64</v>
      </c>
      <c r="C3081" s="32" t="n">
        <f aca="false">Demand_History!D3081</f>
        <v>42</v>
      </c>
      <c r="D3081" s="33" t="n">
        <f aca="false">IF(B3081&gt;=2,C3080,"")</f>
        <v>35</v>
      </c>
      <c r="E3081" s="33" t="n">
        <f aca="false">IF(B3081&gt;=5,AVERAGE(C3077:C3080),"")</f>
        <v>34</v>
      </c>
      <c r="F3081" s="33" t="n">
        <f aca="false">IF(B3081&gt;=9,AVERAGE(C3073:C3080),"")</f>
        <v>36.125</v>
      </c>
      <c r="G3081" s="33" t="n">
        <f aca="false">IF(B3081=1,"",IF(B3081=2,C3080,SES_Alpha*C3080+(1-SES_Alpha)*G3080))</f>
        <v>34.9510542608804</v>
      </c>
      <c r="H3081" s="33" t="n">
        <f aca="false">IF(D3081="","",D3081-C3081)</f>
        <v>-7</v>
      </c>
      <c r="I3081" s="33" t="n">
        <f aca="false">IF(E3081="","",E3081-C3081)</f>
        <v>-8</v>
      </c>
      <c r="J3081" s="33" t="n">
        <f aca="false">IF(F3081="","",F3081-C3081)</f>
        <v>-5.875</v>
      </c>
      <c r="K3081" s="33" t="n">
        <f aca="false">IF(G3081="","",G3081-C3081)</f>
        <v>-7.04894573911957</v>
      </c>
      <c r="L3081" s="33" t="n">
        <f aca="false">IF(H3081="","",ABS(H3081))</f>
        <v>7</v>
      </c>
      <c r="M3081" s="33" t="n">
        <f aca="false">IF(I3081="","",ABS(I3081))</f>
        <v>8</v>
      </c>
      <c r="N3081" s="33" t="n">
        <f aca="false">IF(J3081="","",ABS(J3081))</f>
        <v>5.875</v>
      </c>
      <c r="O3081" s="33" t="n">
        <f aca="false">IF(K3081="","",ABS(K3081))</f>
        <v>7.04894573911957</v>
      </c>
      <c r="P3081" s="34" t="str">
        <f aca="false">IF(B3081&gt;=Eval_Start_Week,"YES","")</f>
        <v>YES</v>
      </c>
      <c r="Q3081" s="34" t="str">
        <f aca="false">IF(AND(B3081&gt;=Cal_Start_Week,B3081&lt;=Cal_End_Week),"YES","")</f>
        <v>YES</v>
      </c>
    </row>
    <row r="3082" customFormat="false" ht="15" hidden="false" customHeight="false" outlineLevel="0" collapsed="false">
      <c r="A3082" s="31" t="str">
        <f aca="false">Demand_History!C3082</f>
        <v>ELE-001</v>
      </c>
      <c r="B3082" s="31" t="n">
        <f aca="false">Demand_History!A3082</f>
        <v>65</v>
      </c>
      <c r="C3082" s="32" t="n">
        <f aca="false">Demand_History!D3082</f>
        <v>43</v>
      </c>
      <c r="D3082" s="33" t="n">
        <f aca="false">IF(B3082&gt;=2,C3081,"")</f>
        <v>42</v>
      </c>
      <c r="E3082" s="33" t="n">
        <f aca="false">IF(B3082&gt;=5,AVERAGE(C3078:C3081),"")</f>
        <v>35.5</v>
      </c>
      <c r="F3082" s="33" t="n">
        <f aca="false">IF(B3082&gt;=9,AVERAGE(C3074:C3081),"")</f>
        <v>36.75</v>
      </c>
      <c r="G3082" s="33" t="n">
        <f aca="false">IF(B3082=1,"",IF(B3082=2,C3081,SES_Alpha*C3081+(1-SES_Alpha)*G3081))</f>
        <v>37.0657379826163</v>
      </c>
      <c r="H3082" s="33" t="n">
        <f aca="false">IF(D3082="","",D3082-C3082)</f>
        <v>-1</v>
      </c>
      <c r="I3082" s="33" t="n">
        <f aca="false">IF(E3082="","",E3082-C3082)</f>
        <v>-7.5</v>
      </c>
      <c r="J3082" s="33" t="n">
        <f aca="false">IF(F3082="","",F3082-C3082)</f>
        <v>-6.25</v>
      </c>
      <c r="K3082" s="33" t="n">
        <f aca="false">IF(G3082="","",G3082-C3082)</f>
        <v>-5.9342620173837</v>
      </c>
      <c r="L3082" s="33" t="n">
        <f aca="false">IF(H3082="","",ABS(H3082))</f>
        <v>1</v>
      </c>
      <c r="M3082" s="33" t="n">
        <f aca="false">IF(I3082="","",ABS(I3082))</f>
        <v>7.5</v>
      </c>
      <c r="N3082" s="33" t="n">
        <f aca="false">IF(J3082="","",ABS(J3082))</f>
        <v>6.25</v>
      </c>
      <c r="O3082" s="33" t="n">
        <f aca="false">IF(K3082="","",ABS(K3082))</f>
        <v>5.9342620173837</v>
      </c>
      <c r="P3082" s="34" t="str">
        <f aca="false">IF(B3082&gt;=Eval_Start_Week,"YES","")</f>
        <v>YES</v>
      </c>
      <c r="Q3082" s="34" t="str">
        <f aca="false">IF(AND(B3082&gt;=Cal_Start_Week,B3082&lt;=Cal_End_Week),"YES","")</f>
        <v>YES</v>
      </c>
    </row>
    <row r="3083" customFormat="false" ht="15" hidden="false" customHeight="false" outlineLevel="0" collapsed="false">
      <c r="A3083" s="31" t="str">
        <f aca="false">Demand_History!C3083</f>
        <v>ELE-001</v>
      </c>
      <c r="B3083" s="31" t="n">
        <f aca="false">Demand_History!A3083</f>
        <v>66</v>
      </c>
      <c r="C3083" s="32" t="n">
        <f aca="false">Demand_History!D3083</f>
        <v>37</v>
      </c>
      <c r="D3083" s="33" t="n">
        <f aca="false">IF(B3083&gt;=2,C3082,"")</f>
        <v>43</v>
      </c>
      <c r="E3083" s="33" t="n">
        <f aca="false">IF(B3083&gt;=5,AVERAGE(C3079:C3082),"")</f>
        <v>38.5</v>
      </c>
      <c r="F3083" s="33" t="n">
        <f aca="false">IF(B3083&gt;=9,AVERAGE(C3075:C3082),"")</f>
        <v>37.25</v>
      </c>
      <c r="G3083" s="33" t="n">
        <f aca="false">IF(B3083=1,"",IF(B3083=2,C3082,SES_Alpha*C3082+(1-SES_Alpha)*G3082))</f>
        <v>38.8460165878314</v>
      </c>
      <c r="H3083" s="33" t="n">
        <f aca="false">IF(D3083="","",D3083-C3083)</f>
        <v>6</v>
      </c>
      <c r="I3083" s="33" t="n">
        <f aca="false">IF(E3083="","",E3083-C3083)</f>
        <v>1.5</v>
      </c>
      <c r="J3083" s="33" t="n">
        <f aca="false">IF(F3083="","",F3083-C3083)</f>
        <v>0.25</v>
      </c>
      <c r="K3083" s="33" t="n">
        <f aca="false">IF(G3083="","",G3083-C3083)</f>
        <v>1.84601658783141</v>
      </c>
      <c r="L3083" s="33" t="n">
        <f aca="false">IF(H3083="","",ABS(H3083))</f>
        <v>6</v>
      </c>
      <c r="M3083" s="33" t="n">
        <f aca="false">IF(I3083="","",ABS(I3083))</f>
        <v>1.5</v>
      </c>
      <c r="N3083" s="33" t="n">
        <f aca="false">IF(J3083="","",ABS(J3083))</f>
        <v>0.25</v>
      </c>
      <c r="O3083" s="33" t="n">
        <f aca="false">IF(K3083="","",ABS(K3083))</f>
        <v>1.84601658783141</v>
      </c>
      <c r="P3083" s="34" t="str">
        <f aca="false">IF(B3083&gt;=Eval_Start_Week,"YES","")</f>
        <v>YES</v>
      </c>
      <c r="Q3083" s="34" t="str">
        <f aca="false">IF(AND(B3083&gt;=Cal_Start_Week,B3083&lt;=Cal_End_Week),"YES","")</f>
        <v>YES</v>
      </c>
    </row>
    <row r="3084" customFormat="false" ht="15" hidden="false" customHeight="false" outlineLevel="0" collapsed="false">
      <c r="A3084" s="31" t="str">
        <f aca="false">Demand_History!C3084</f>
        <v>ELE-001</v>
      </c>
      <c r="B3084" s="31" t="n">
        <f aca="false">Demand_History!A3084</f>
        <v>67</v>
      </c>
      <c r="C3084" s="32" t="n">
        <f aca="false">Demand_History!D3084</f>
        <v>31</v>
      </c>
      <c r="D3084" s="33" t="n">
        <f aca="false">IF(B3084&gt;=2,C3083,"")</f>
        <v>37</v>
      </c>
      <c r="E3084" s="33" t="n">
        <f aca="false">IF(B3084&gt;=5,AVERAGE(C3080:C3083),"")</f>
        <v>39.25</v>
      </c>
      <c r="F3084" s="33" t="n">
        <f aca="false">IF(B3084&gt;=9,AVERAGE(C3076:C3083),"")</f>
        <v>37.125</v>
      </c>
      <c r="G3084" s="33" t="n">
        <f aca="false">IF(B3084=1,"",IF(B3084=2,C3083,SES_Alpha*C3083+(1-SES_Alpha)*G3083))</f>
        <v>38.292211611482</v>
      </c>
      <c r="H3084" s="33" t="n">
        <f aca="false">IF(D3084="","",D3084-C3084)</f>
        <v>6</v>
      </c>
      <c r="I3084" s="33" t="n">
        <f aca="false">IF(E3084="","",E3084-C3084)</f>
        <v>8.25</v>
      </c>
      <c r="J3084" s="33" t="n">
        <f aca="false">IF(F3084="","",F3084-C3084)</f>
        <v>6.125</v>
      </c>
      <c r="K3084" s="33" t="n">
        <f aca="false">IF(G3084="","",G3084-C3084)</f>
        <v>7.29221161148198</v>
      </c>
      <c r="L3084" s="33" t="n">
        <f aca="false">IF(H3084="","",ABS(H3084))</f>
        <v>6</v>
      </c>
      <c r="M3084" s="33" t="n">
        <f aca="false">IF(I3084="","",ABS(I3084))</f>
        <v>8.25</v>
      </c>
      <c r="N3084" s="33" t="n">
        <f aca="false">IF(J3084="","",ABS(J3084))</f>
        <v>6.125</v>
      </c>
      <c r="O3084" s="33" t="n">
        <f aca="false">IF(K3084="","",ABS(K3084))</f>
        <v>7.29221161148198</v>
      </c>
      <c r="P3084" s="34" t="str">
        <f aca="false">IF(B3084&gt;=Eval_Start_Week,"YES","")</f>
        <v>YES</v>
      </c>
      <c r="Q3084" s="34" t="str">
        <f aca="false">IF(AND(B3084&gt;=Cal_Start_Week,B3084&lt;=Cal_End_Week),"YES","")</f>
        <v>YES</v>
      </c>
    </row>
    <row r="3085" customFormat="false" ht="15" hidden="false" customHeight="false" outlineLevel="0" collapsed="false">
      <c r="A3085" s="31" t="str">
        <f aca="false">Demand_History!C3085</f>
        <v>ELE-001</v>
      </c>
      <c r="B3085" s="31" t="n">
        <f aca="false">Demand_History!A3085</f>
        <v>68</v>
      </c>
      <c r="C3085" s="32" t="n">
        <f aca="false">Demand_History!D3085</f>
        <v>31</v>
      </c>
      <c r="D3085" s="33" t="n">
        <f aca="false">IF(B3085&gt;=2,C3084,"")</f>
        <v>31</v>
      </c>
      <c r="E3085" s="33" t="n">
        <f aca="false">IF(B3085&gt;=5,AVERAGE(C3081:C3084),"")</f>
        <v>38.25</v>
      </c>
      <c r="F3085" s="33" t="n">
        <f aca="false">IF(B3085&gt;=9,AVERAGE(C3077:C3084),"")</f>
        <v>36.125</v>
      </c>
      <c r="G3085" s="33" t="n">
        <f aca="false">IF(B3085=1,"",IF(B3085=2,C3084,SES_Alpha*C3084+(1-SES_Alpha)*G3084))</f>
        <v>36.1045481280374</v>
      </c>
      <c r="H3085" s="33" t="n">
        <f aca="false">IF(D3085="","",D3085-C3085)</f>
        <v>0</v>
      </c>
      <c r="I3085" s="33" t="n">
        <f aca="false">IF(E3085="","",E3085-C3085)</f>
        <v>7.25</v>
      </c>
      <c r="J3085" s="33" t="n">
        <f aca="false">IF(F3085="","",F3085-C3085)</f>
        <v>5.125</v>
      </c>
      <c r="K3085" s="33" t="n">
        <f aca="false">IF(G3085="","",G3085-C3085)</f>
        <v>5.10454812803739</v>
      </c>
      <c r="L3085" s="33" t="n">
        <f aca="false">IF(H3085="","",ABS(H3085))</f>
        <v>0</v>
      </c>
      <c r="M3085" s="33" t="n">
        <f aca="false">IF(I3085="","",ABS(I3085))</f>
        <v>7.25</v>
      </c>
      <c r="N3085" s="33" t="n">
        <f aca="false">IF(J3085="","",ABS(J3085))</f>
        <v>5.125</v>
      </c>
      <c r="O3085" s="33" t="n">
        <f aca="false">IF(K3085="","",ABS(K3085))</f>
        <v>5.10454812803739</v>
      </c>
      <c r="P3085" s="34" t="str">
        <f aca="false">IF(B3085&gt;=Eval_Start_Week,"YES","")</f>
        <v>YES</v>
      </c>
      <c r="Q3085" s="34" t="str">
        <f aca="false">IF(AND(B3085&gt;=Cal_Start_Week,B3085&lt;=Cal_End_Week),"YES","")</f>
        <v>YES</v>
      </c>
    </row>
    <row r="3086" customFormat="false" ht="15" hidden="false" customHeight="false" outlineLevel="0" collapsed="false">
      <c r="A3086" s="31" t="str">
        <f aca="false">Demand_History!C3086</f>
        <v>ELE-001</v>
      </c>
      <c r="B3086" s="31" t="n">
        <f aca="false">Demand_History!A3086</f>
        <v>69</v>
      </c>
      <c r="C3086" s="32" t="n">
        <f aca="false">Demand_History!D3086</f>
        <v>34</v>
      </c>
      <c r="D3086" s="33" t="n">
        <f aca="false">IF(B3086&gt;=2,C3085,"")</f>
        <v>31</v>
      </c>
      <c r="E3086" s="33" t="n">
        <f aca="false">IF(B3086&gt;=5,AVERAGE(C3082:C3085),"")</f>
        <v>35.5</v>
      </c>
      <c r="F3086" s="33" t="n">
        <f aca="false">IF(B3086&gt;=9,AVERAGE(C3078:C3085),"")</f>
        <v>35.5</v>
      </c>
      <c r="G3086" s="33" t="n">
        <f aca="false">IF(B3086=1,"",IF(B3086=2,C3085,SES_Alpha*C3085+(1-SES_Alpha)*G3085))</f>
        <v>34.5731836896262</v>
      </c>
      <c r="H3086" s="33" t="n">
        <f aca="false">IF(D3086="","",D3086-C3086)</f>
        <v>-3</v>
      </c>
      <c r="I3086" s="33" t="n">
        <f aca="false">IF(E3086="","",E3086-C3086)</f>
        <v>1.5</v>
      </c>
      <c r="J3086" s="33" t="n">
        <f aca="false">IF(F3086="","",F3086-C3086)</f>
        <v>1.5</v>
      </c>
      <c r="K3086" s="33" t="n">
        <f aca="false">IF(G3086="","",G3086-C3086)</f>
        <v>0.57318368962617</v>
      </c>
      <c r="L3086" s="33" t="n">
        <f aca="false">IF(H3086="","",ABS(H3086))</f>
        <v>3</v>
      </c>
      <c r="M3086" s="33" t="n">
        <f aca="false">IF(I3086="","",ABS(I3086))</f>
        <v>1.5</v>
      </c>
      <c r="N3086" s="33" t="n">
        <f aca="false">IF(J3086="","",ABS(J3086))</f>
        <v>1.5</v>
      </c>
      <c r="O3086" s="33" t="n">
        <f aca="false">IF(K3086="","",ABS(K3086))</f>
        <v>0.57318368962617</v>
      </c>
      <c r="P3086" s="34" t="str">
        <f aca="false">IF(B3086&gt;=Eval_Start_Week,"YES","")</f>
        <v>YES</v>
      </c>
      <c r="Q3086" s="34" t="str">
        <f aca="false">IF(AND(B3086&gt;=Cal_Start_Week,B3086&lt;=Cal_End_Week),"YES","")</f>
        <v>YES</v>
      </c>
    </row>
    <row r="3087" customFormat="false" ht="15" hidden="false" customHeight="false" outlineLevel="0" collapsed="false">
      <c r="A3087" s="31" t="str">
        <f aca="false">Demand_History!C3087</f>
        <v>ELE-001</v>
      </c>
      <c r="B3087" s="31" t="n">
        <f aca="false">Demand_History!A3087</f>
        <v>70</v>
      </c>
      <c r="C3087" s="32" t="n">
        <f aca="false">Demand_History!D3087</f>
        <v>42</v>
      </c>
      <c r="D3087" s="33" t="n">
        <f aca="false">IF(B3087&gt;=2,C3086,"")</f>
        <v>34</v>
      </c>
      <c r="E3087" s="33" t="n">
        <f aca="false">IF(B3087&gt;=5,AVERAGE(C3083:C3086),"")</f>
        <v>33.25</v>
      </c>
      <c r="F3087" s="33" t="n">
        <f aca="false">IF(B3087&gt;=9,AVERAGE(C3079:C3086),"")</f>
        <v>35.875</v>
      </c>
      <c r="G3087" s="33" t="n">
        <f aca="false">IF(B3087=1,"",IF(B3087=2,C3086,SES_Alpha*C3086+(1-SES_Alpha)*G3086))</f>
        <v>34.4012285827383</v>
      </c>
      <c r="H3087" s="33" t="n">
        <f aca="false">IF(D3087="","",D3087-C3087)</f>
        <v>-8</v>
      </c>
      <c r="I3087" s="33" t="n">
        <f aca="false">IF(E3087="","",E3087-C3087)</f>
        <v>-8.75</v>
      </c>
      <c r="J3087" s="33" t="n">
        <f aca="false">IF(F3087="","",F3087-C3087)</f>
        <v>-6.125</v>
      </c>
      <c r="K3087" s="33" t="n">
        <f aca="false">IF(G3087="","",G3087-C3087)</f>
        <v>-7.59877141726169</v>
      </c>
      <c r="L3087" s="33" t="n">
        <f aca="false">IF(H3087="","",ABS(H3087))</f>
        <v>8</v>
      </c>
      <c r="M3087" s="33" t="n">
        <f aca="false">IF(I3087="","",ABS(I3087))</f>
        <v>8.75</v>
      </c>
      <c r="N3087" s="33" t="n">
        <f aca="false">IF(J3087="","",ABS(J3087))</f>
        <v>6.125</v>
      </c>
      <c r="O3087" s="33" t="n">
        <f aca="false">IF(K3087="","",ABS(K3087))</f>
        <v>7.59877141726169</v>
      </c>
      <c r="P3087" s="34" t="str">
        <f aca="false">IF(B3087&gt;=Eval_Start_Week,"YES","")</f>
        <v>YES</v>
      </c>
      <c r="Q3087" s="34" t="str">
        <f aca="false">IF(AND(B3087&gt;=Cal_Start_Week,B3087&lt;=Cal_End_Week),"YES","")</f>
        <v>YES</v>
      </c>
    </row>
    <row r="3088" customFormat="false" ht="15" hidden="false" customHeight="false" outlineLevel="0" collapsed="false">
      <c r="A3088" s="31" t="str">
        <f aca="false">Demand_History!C3088</f>
        <v>ELE-001</v>
      </c>
      <c r="B3088" s="31" t="n">
        <f aca="false">Demand_History!A3088</f>
        <v>71</v>
      </c>
      <c r="C3088" s="32" t="n">
        <f aca="false">Demand_History!D3088</f>
        <v>37</v>
      </c>
      <c r="D3088" s="33" t="n">
        <f aca="false">IF(B3088&gt;=2,C3087,"")</f>
        <v>42</v>
      </c>
      <c r="E3088" s="33" t="n">
        <f aca="false">IF(B3088&gt;=5,AVERAGE(C3084:C3087),"")</f>
        <v>34.5</v>
      </c>
      <c r="F3088" s="33" t="n">
        <f aca="false">IF(B3088&gt;=9,AVERAGE(C3080:C3087),"")</f>
        <v>36.875</v>
      </c>
      <c r="G3088" s="33" t="n">
        <f aca="false">IF(B3088=1,"",IF(B3088=2,C3087,SES_Alpha*C3087+(1-SES_Alpha)*G3087))</f>
        <v>36.6808600079168</v>
      </c>
      <c r="H3088" s="33" t="n">
        <f aca="false">IF(D3088="","",D3088-C3088)</f>
        <v>5</v>
      </c>
      <c r="I3088" s="33" t="n">
        <f aca="false">IF(E3088="","",E3088-C3088)</f>
        <v>-2.5</v>
      </c>
      <c r="J3088" s="33" t="n">
        <f aca="false">IF(F3088="","",F3088-C3088)</f>
        <v>-0.125</v>
      </c>
      <c r="K3088" s="33" t="n">
        <f aca="false">IF(G3088="","",G3088-C3088)</f>
        <v>-0.31913999208318</v>
      </c>
      <c r="L3088" s="33" t="n">
        <f aca="false">IF(H3088="","",ABS(H3088))</f>
        <v>5</v>
      </c>
      <c r="M3088" s="33" t="n">
        <f aca="false">IF(I3088="","",ABS(I3088))</f>
        <v>2.5</v>
      </c>
      <c r="N3088" s="33" t="n">
        <f aca="false">IF(J3088="","",ABS(J3088))</f>
        <v>0.125</v>
      </c>
      <c r="O3088" s="33" t="n">
        <f aca="false">IF(K3088="","",ABS(K3088))</f>
        <v>0.31913999208318</v>
      </c>
      <c r="P3088" s="34" t="str">
        <f aca="false">IF(B3088&gt;=Eval_Start_Week,"YES","")</f>
        <v>YES</v>
      </c>
      <c r="Q3088" s="34" t="str">
        <f aca="false">IF(AND(B3088&gt;=Cal_Start_Week,B3088&lt;=Cal_End_Week),"YES","")</f>
        <v>YES</v>
      </c>
    </row>
    <row r="3089" customFormat="false" ht="15" hidden="false" customHeight="false" outlineLevel="0" collapsed="false">
      <c r="A3089" s="31" t="str">
        <f aca="false">Demand_History!C3089</f>
        <v>ELE-001</v>
      </c>
      <c r="B3089" s="31" t="n">
        <f aca="false">Demand_History!A3089</f>
        <v>72</v>
      </c>
      <c r="C3089" s="32" t="n">
        <f aca="false">Demand_History!D3089</f>
        <v>35</v>
      </c>
      <c r="D3089" s="33" t="n">
        <f aca="false">IF(B3089&gt;=2,C3088,"")</f>
        <v>37</v>
      </c>
      <c r="E3089" s="33" t="n">
        <f aca="false">IF(B3089&gt;=5,AVERAGE(C3085:C3088),"")</f>
        <v>36</v>
      </c>
      <c r="F3089" s="33" t="n">
        <f aca="false">IF(B3089&gt;=9,AVERAGE(C3081:C3088),"")</f>
        <v>37.125</v>
      </c>
      <c r="G3089" s="33" t="n">
        <f aca="false">IF(B3089=1,"",IF(B3089=2,C3088,SES_Alpha*C3088+(1-SES_Alpha)*G3088))</f>
        <v>36.7766020055418</v>
      </c>
      <c r="H3089" s="33" t="n">
        <f aca="false">IF(D3089="","",D3089-C3089)</f>
        <v>2</v>
      </c>
      <c r="I3089" s="33" t="n">
        <f aca="false">IF(E3089="","",E3089-C3089)</f>
        <v>1</v>
      </c>
      <c r="J3089" s="33" t="n">
        <f aca="false">IF(F3089="","",F3089-C3089)</f>
        <v>2.125</v>
      </c>
      <c r="K3089" s="33" t="n">
        <f aca="false">IF(G3089="","",G3089-C3089)</f>
        <v>1.77660200554178</v>
      </c>
      <c r="L3089" s="33" t="n">
        <f aca="false">IF(H3089="","",ABS(H3089))</f>
        <v>2</v>
      </c>
      <c r="M3089" s="33" t="n">
        <f aca="false">IF(I3089="","",ABS(I3089))</f>
        <v>1</v>
      </c>
      <c r="N3089" s="33" t="n">
        <f aca="false">IF(J3089="","",ABS(J3089))</f>
        <v>2.125</v>
      </c>
      <c r="O3089" s="33" t="n">
        <f aca="false">IF(K3089="","",ABS(K3089))</f>
        <v>1.77660200554178</v>
      </c>
      <c r="P3089" s="34" t="str">
        <f aca="false">IF(B3089&gt;=Eval_Start_Week,"YES","")</f>
        <v>YES</v>
      </c>
      <c r="Q3089" s="34" t="str">
        <f aca="false">IF(AND(B3089&gt;=Cal_Start_Week,B3089&lt;=Cal_End_Week),"YES","")</f>
        <v>YES</v>
      </c>
    </row>
    <row r="3090" customFormat="false" ht="15" hidden="false" customHeight="false" outlineLevel="0" collapsed="false">
      <c r="A3090" s="31" t="str">
        <f aca="false">Demand_History!C3090</f>
        <v>ELE-001</v>
      </c>
      <c r="B3090" s="31" t="n">
        <f aca="false">Demand_History!A3090</f>
        <v>73</v>
      </c>
      <c r="C3090" s="32" t="n">
        <f aca="false">Demand_History!D3090</f>
        <v>31</v>
      </c>
      <c r="D3090" s="33" t="n">
        <f aca="false">IF(B3090&gt;=2,C3089,"")</f>
        <v>35</v>
      </c>
      <c r="E3090" s="33" t="n">
        <f aca="false">IF(B3090&gt;=5,AVERAGE(C3086:C3089),"")</f>
        <v>37</v>
      </c>
      <c r="F3090" s="33" t="n">
        <f aca="false">IF(B3090&gt;=9,AVERAGE(C3082:C3089),"")</f>
        <v>36.25</v>
      </c>
      <c r="G3090" s="33" t="n">
        <f aca="false">IF(B3090=1,"",IF(B3090=2,C3089,SES_Alpha*C3089+(1-SES_Alpha)*G3089))</f>
        <v>36.2436214038792</v>
      </c>
      <c r="H3090" s="33" t="n">
        <f aca="false">IF(D3090="","",D3090-C3090)</f>
        <v>4</v>
      </c>
      <c r="I3090" s="33" t="n">
        <f aca="false">IF(E3090="","",E3090-C3090)</f>
        <v>6</v>
      </c>
      <c r="J3090" s="33" t="n">
        <f aca="false">IF(F3090="","",F3090-C3090)</f>
        <v>5.25</v>
      </c>
      <c r="K3090" s="33" t="n">
        <f aca="false">IF(G3090="","",G3090-C3090)</f>
        <v>5.24362140387925</v>
      </c>
      <c r="L3090" s="33" t="n">
        <f aca="false">IF(H3090="","",ABS(H3090))</f>
        <v>4</v>
      </c>
      <c r="M3090" s="33" t="n">
        <f aca="false">IF(I3090="","",ABS(I3090))</f>
        <v>6</v>
      </c>
      <c r="N3090" s="33" t="n">
        <f aca="false">IF(J3090="","",ABS(J3090))</f>
        <v>5.25</v>
      </c>
      <c r="O3090" s="33" t="n">
        <f aca="false">IF(K3090="","",ABS(K3090))</f>
        <v>5.24362140387925</v>
      </c>
      <c r="P3090" s="34" t="str">
        <f aca="false">IF(B3090&gt;=Eval_Start_Week,"YES","")</f>
        <v>YES</v>
      </c>
      <c r="Q3090" s="34" t="str">
        <f aca="false">IF(AND(B3090&gt;=Cal_Start_Week,B3090&lt;=Cal_End_Week),"YES","")</f>
        <v>YES</v>
      </c>
    </row>
    <row r="3091" customFormat="false" ht="15" hidden="false" customHeight="false" outlineLevel="0" collapsed="false">
      <c r="A3091" s="31" t="str">
        <f aca="false">Demand_History!C3091</f>
        <v>ELE-001</v>
      </c>
      <c r="B3091" s="31" t="n">
        <f aca="false">Demand_History!A3091</f>
        <v>74</v>
      </c>
      <c r="C3091" s="32" t="n">
        <f aca="false">Demand_History!D3091</f>
        <v>40</v>
      </c>
      <c r="D3091" s="33" t="n">
        <f aca="false">IF(B3091&gt;=2,C3090,"")</f>
        <v>31</v>
      </c>
      <c r="E3091" s="33" t="n">
        <f aca="false">IF(B3091&gt;=5,AVERAGE(C3087:C3090),"")</f>
        <v>36.25</v>
      </c>
      <c r="F3091" s="33" t="n">
        <f aca="false">IF(B3091&gt;=9,AVERAGE(C3083:C3090),"")</f>
        <v>34.75</v>
      </c>
      <c r="G3091" s="33" t="n">
        <f aca="false">IF(B3091=1,"",IF(B3091=2,C3090,SES_Alpha*C3090+(1-SES_Alpha)*G3090))</f>
        <v>34.6705349827155</v>
      </c>
      <c r="H3091" s="33" t="n">
        <f aca="false">IF(D3091="","",D3091-C3091)</f>
        <v>-9</v>
      </c>
      <c r="I3091" s="33" t="n">
        <f aca="false">IF(E3091="","",E3091-C3091)</f>
        <v>-3.75</v>
      </c>
      <c r="J3091" s="33" t="n">
        <f aca="false">IF(F3091="","",F3091-C3091)</f>
        <v>-5.25</v>
      </c>
      <c r="K3091" s="33" t="n">
        <f aca="false">IF(G3091="","",G3091-C3091)</f>
        <v>-5.32946501728453</v>
      </c>
      <c r="L3091" s="33" t="n">
        <f aca="false">IF(H3091="","",ABS(H3091))</f>
        <v>9</v>
      </c>
      <c r="M3091" s="33" t="n">
        <f aca="false">IF(I3091="","",ABS(I3091))</f>
        <v>3.75</v>
      </c>
      <c r="N3091" s="33" t="n">
        <f aca="false">IF(J3091="","",ABS(J3091))</f>
        <v>5.25</v>
      </c>
      <c r="O3091" s="33" t="n">
        <f aca="false">IF(K3091="","",ABS(K3091))</f>
        <v>5.32946501728453</v>
      </c>
      <c r="P3091" s="34" t="str">
        <f aca="false">IF(B3091&gt;=Eval_Start_Week,"YES","")</f>
        <v>YES</v>
      </c>
      <c r="Q3091" s="34" t="str">
        <f aca="false">IF(AND(B3091&gt;=Cal_Start_Week,B3091&lt;=Cal_End_Week),"YES","")</f>
        <v>YES</v>
      </c>
    </row>
    <row r="3092" customFormat="false" ht="15" hidden="false" customHeight="false" outlineLevel="0" collapsed="false">
      <c r="A3092" s="31" t="str">
        <f aca="false">Demand_History!C3092</f>
        <v>ELE-001</v>
      </c>
      <c r="B3092" s="31" t="n">
        <f aca="false">Demand_History!A3092</f>
        <v>75</v>
      </c>
      <c r="C3092" s="32" t="n">
        <f aca="false">Demand_History!D3092</f>
        <v>36</v>
      </c>
      <c r="D3092" s="33" t="n">
        <f aca="false">IF(B3092&gt;=2,C3091,"")</f>
        <v>40</v>
      </c>
      <c r="E3092" s="33" t="n">
        <f aca="false">IF(B3092&gt;=5,AVERAGE(C3088:C3091),"")</f>
        <v>35.75</v>
      </c>
      <c r="F3092" s="33" t="n">
        <f aca="false">IF(B3092&gt;=9,AVERAGE(C3084:C3091),"")</f>
        <v>35.125</v>
      </c>
      <c r="G3092" s="33" t="n">
        <f aca="false">IF(B3092=1,"",IF(B3092=2,C3091,SES_Alpha*C3091+(1-SES_Alpha)*G3091))</f>
        <v>36.2693744879008</v>
      </c>
      <c r="H3092" s="33" t="n">
        <f aca="false">IF(D3092="","",D3092-C3092)</f>
        <v>4</v>
      </c>
      <c r="I3092" s="33" t="n">
        <f aca="false">IF(E3092="","",E3092-C3092)</f>
        <v>-0.25</v>
      </c>
      <c r="J3092" s="33" t="n">
        <f aca="false">IF(F3092="","",F3092-C3092)</f>
        <v>-0.875</v>
      </c>
      <c r="K3092" s="33" t="n">
        <f aca="false">IF(G3092="","",G3092-C3092)</f>
        <v>0.269374487900826</v>
      </c>
      <c r="L3092" s="33" t="n">
        <f aca="false">IF(H3092="","",ABS(H3092))</f>
        <v>4</v>
      </c>
      <c r="M3092" s="33" t="n">
        <f aca="false">IF(I3092="","",ABS(I3092))</f>
        <v>0.25</v>
      </c>
      <c r="N3092" s="33" t="n">
        <f aca="false">IF(J3092="","",ABS(J3092))</f>
        <v>0.875</v>
      </c>
      <c r="O3092" s="33" t="n">
        <f aca="false">IF(K3092="","",ABS(K3092))</f>
        <v>0.269374487900826</v>
      </c>
      <c r="P3092" s="34" t="str">
        <f aca="false">IF(B3092&gt;=Eval_Start_Week,"YES","")</f>
        <v>YES</v>
      </c>
      <c r="Q3092" s="34" t="str">
        <f aca="false">IF(AND(B3092&gt;=Cal_Start_Week,B3092&lt;=Cal_End_Week),"YES","")</f>
        <v>YES</v>
      </c>
    </row>
    <row r="3093" customFormat="false" ht="15" hidden="false" customHeight="false" outlineLevel="0" collapsed="false">
      <c r="A3093" s="31" t="str">
        <f aca="false">Demand_History!C3093</f>
        <v>ELE-001</v>
      </c>
      <c r="B3093" s="31" t="n">
        <f aca="false">Demand_History!A3093</f>
        <v>76</v>
      </c>
      <c r="C3093" s="32" t="n">
        <f aca="false">Demand_History!D3093</f>
        <v>35</v>
      </c>
      <c r="D3093" s="33" t="n">
        <f aca="false">IF(B3093&gt;=2,C3092,"")</f>
        <v>36</v>
      </c>
      <c r="E3093" s="33" t="n">
        <f aca="false">IF(B3093&gt;=5,AVERAGE(C3089:C3092),"")</f>
        <v>35.5</v>
      </c>
      <c r="F3093" s="33" t="n">
        <f aca="false">IF(B3093&gt;=9,AVERAGE(C3085:C3092),"")</f>
        <v>35.75</v>
      </c>
      <c r="G3093" s="33" t="n">
        <f aca="false">IF(B3093=1,"",IF(B3093=2,C3092,SES_Alpha*C3092+(1-SES_Alpha)*G3092))</f>
        <v>36.1885621415306</v>
      </c>
      <c r="H3093" s="33" t="n">
        <f aca="false">IF(D3093="","",D3093-C3093)</f>
        <v>1</v>
      </c>
      <c r="I3093" s="33" t="n">
        <f aca="false">IF(E3093="","",E3093-C3093)</f>
        <v>0.5</v>
      </c>
      <c r="J3093" s="33" t="n">
        <f aca="false">IF(F3093="","",F3093-C3093)</f>
        <v>0.75</v>
      </c>
      <c r="K3093" s="33" t="n">
        <f aca="false">IF(G3093="","",G3093-C3093)</f>
        <v>1.18856214153058</v>
      </c>
      <c r="L3093" s="33" t="n">
        <f aca="false">IF(H3093="","",ABS(H3093))</f>
        <v>1</v>
      </c>
      <c r="M3093" s="33" t="n">
        <f aca="false">IF(I3093="","",ABS(I3093))</f>
        <v>0.5</v>
      </c>
      <c r="N3093" s="33" t="n">
        <f aca="false">IF(J3093="","",ABS(J3093))</f>
        <v>0.75</v>
      </c>
      <c r="O3093" s="33" t="n">
        <f aca="false">IF(K3093="","",ABS(K3093))</f>
        <v>1.18856214153058</v>
      </c>
      <c r="P3093" s="34" t="str">
        <f aca="false">IF(B3093&gt;=Eval_Start_Week,"YES","")</f>
        <v>YES</v>
      </c>
      <c r="Q3093" s="34" t="str">
        <f aca="false">IF(AND(B3093&gt;=Cal_Start_Week,B3093&lt;=Cal_End_Week),"YES","")</f>
        <v>YES</v>
      </c>
    </row>
    <row r="3094" customFormat="false" ht="15" hidden="false" customHeight="false" outlineLevel="0" collapsed="false">
      <c r="A3094" s="31" t="str">
        <f aca="false">Demand_History!C3094</f>
        <v>ELE-001</v>
      </c>
      <c r="B3094" s="31" t="n">
        <f aca="false">Demand_History!A3094</f>
        <v>77</v>
      </c>
      <c r="C3094" s="32" t="n">
        <f aca="false">Demand_History!D3094</f>
        <v>36</v>
      </c>
      <c r="D3094" s="33" t="n">
        <f aca="false">IF(B3094&gt;=2,C3093,"")</f>
        <v>35</v>
      </c>
      <c r="E3094" s="33" t="n">
        <f aca="false">IF(B3094&gt;=5,AVERAGE(C3090:C3093),"")</f>
        <v>35.5</v>
      </c>
      <c r="F3094" s="33" t="n">
        <f aca="false">IF(B3094&gt;=9,AVERAGE(C3086:C3093),"")</f>
        <v>36.25</v>
      </c>
      <c r="G3094" s="33" t="n">
        <f aca="false">IF(B3094=1,"",IF(B3094=2,C3093,SES_Alpha*C3093+(1-SES_Alpha)*G3093))</f>
        <v>35.8319934990714</v>
      </c>
      <c r="H3094" s="33" t="n">
        <f aca="false">IF(D3094="","",D3094-C3094)</f>
        <v>-1</v>
      </c>
      <c r="I3094" s="33" t="n">
        <f aca="false">IF(E3094="","",E3094-C3094)</f>
        <v>-0.5</v>
      </c>
      <c r="J3094" s="33" t="n">
        <f aca="false">IF(F3094="","",F3094-C3094)</f>
        <v>0.25</v>
      </c>
      <c r="K3094" s="33" t="n">
        <f aca="false">IF(G3094="","",G3094-C3094)</f>
        <v>-0.168006500928598</v>
      </c>
      <c r="L3094" s="33" t="n">
        <f aca="false">IF(H3094="","",ABS(H3094))</f>
        <v>1</v>
      </c>
      <c r="M3094" s="33" t="n">
        <f aca="false">IF(I3094="","",ABS(I3094))</f>
        <v>0.5</v>
      </c>
      <c r="N3094" s="33" t="n">
        <f aca="false">IF(J3094="","",ABS(J3094))</f>
        <v>0.25</v>
      </c>
      <c r="O3094" s="33" t="n">
        <f aca="false">IF(K3094="","",ABS(K3094))</f>
        <v>0.168006500928598</v>
      </c>
      <c r="P3094" s="34" t="str">
        <f aca="false">IF(B3094&gt;=Eval_Start_Week,"YES","")</f>
        <v>YES</v>
      </c>
      <c r="Q3094" s="34" t="str">
        <f aca="false">IF(AND(B3094&gt;=Cal_Start_Week,B3094&lt;=Cal_End_Week),"YES","")</f>
        <v>YES</v>
      </c>
    </row>
    <row r="3095" customFormat="false" ht="15" hidden="false" customHeight="false" outlineLevel="0" collapsed="false">
      <c r="A3095" s="31" t="str">
        <f aca="false">Demand_History!C3095</f>
        <v>ELE-001</v>
      </c>
      <c r="B3095" s="31" t="n">
        <f aca="false">Demand_History!A3095</f>
        <v>78</v>
      </c>
      <c r="C3095" s="32" t="n">
        <f aca="false">Demand_History!D3095</f>
        <v>44</v>
      </c>
      <c r="D3095" s="33" t="n">
        <f aca="false">IF(B3095&gt;=2,C3094,"")</f>
        <v>36</v>
      </c>
      <c r="E3095" s="33" t="n">
        <f aca="false">IF(B3095&gt;=5,AVERAGE(C3091:C3094),"")</f>
        <v>36.75</v>
      </c>
      <c r="F3095" s="33" t="n">
        <f aca="false">IF(B3095&gt;=9,AVERAGE(C3087:C3094),"")</f>
        <v>36.5</v>
      </c>
      <c r="G3095" s="33" t="n">
        <f aca="false">IF(B3095=1,"",IF(B3095=2,C3094,SES_Alpha*C3094+(1-SES_Alpha)*G3094))</f>
        <v>35.88239544935</v>
      </c>
      <c r="H3095" s="33" t="n">
        <f aca="false">IF(D3095="","",D3095-C3095)</f>
        <v>-8</v>
      </c>
      <c r="I3095" s="33" t="n">
        <f aca="false">IF(E3095="","",E3095-C3095)</f>
        <v>-7.25</v>
      </c>
      <c r="J3095" s="33" t="n">
        <f aca="false">IF(F3095="","",F3095-C3095)</f>
        <v>-7.5</v>
      </c>
      <c r="K3095" s="33" t="n">
        <f aca="false">IF(G3095="","",G3095-C3095)</f>
        <v>-8.11760455065002</v>
      </c>
      <c r="L3095" s="33" t="n">
        <f aca="false">IF(H3095="","",ABS(H3095))</f>
        <v>8</v>
      </c>
      <c r="M3095" s="33" t="n">
        <f aca="false">IF(I3095="","",ABS(I3095))</f>
        <v>7.25</v>
      </c>
      <c r="N3095" s="33" t="n">
        <f aca="false">IF(J3095="","",ABS(J3095))</f>
        <v>7.5</v>
      </c>
      <c r="O3095" s="33" t="n">
        <f aca="false">IF(K3095="","",ABS(K3095))</f>
        <v>8.11760455065002</v>
      </c>
      <c r="P3095" s="34" t="str">
        <f aca="false">IF(B3095&gt;=Eval_Start_Week,"YES","")</f>
        <v>YES</v>
      </c>
      <c r="Q3095" s="34" t="str">
        <f aca="false">IF(AND(B3095&gt;=Cal_Start_Week,B3095&lt;=Cal_End_Week),"YES","")</f>
        <v>YES</v>
      </c>
    </row>
    <row r="3096" customFormat="false" ht="15" hidden="false" customHeight="false" outlineLevel="0" collapsed="false">
      <c r="A3096" s="31" t="str">
        <f aca="false">Demand_History!C3096</f>
        <v>ELE-001</v>
      </c>
      <c r="B3096" s="31" t="n">
        <f aca="false">Demand_History!A3096</f>
        <v>79</v>
      </c>
      <c r="C3096" s="32" t="n">
        <f aca="false">Demand_History!D3096</f>
        <v>34</v>
      </c>
      <c r="D3096" s="33" t="n">
        <f aca="false">IF(B3096&gt;=2,C3095,"")</f>
        <v>44</v>
      </c>
      <c r="E3096" s="33" t="n">
        <f aca="false">IF(B3096&gt;=5,AVERAGE(C3092:C3095),"")</f>
        <v>37.75</v>
      </c>
      <c r="F3096" s="33" t="n">
        <f aca="false">IF(B3096&gt;=9,AVERAGE(C3088:C3095),"")</f>
        <v>36.75</v>
      </c>
      <c r="G3096" s="33" t="n">
        <f aca="false">IF(B3096=1,"",IF(B3096=2,C3095,SES_Alpha*C3095+(1-SES_Alpha)*G3095))</f>
        <v>38.317676814545</v>
      </c>
      <c r="H3096" s="33" t="n">
        <f aca="false">IF(D3096="","",D3096-C3096)</f>
        <v>10</v>
      </c>
      <c r="I3096" s="33" t="n">
        <f aca="false">IF(E3096="","",E3096-C3096)</f>
        <v>3.75</v>
      </c>
      <c r="J3096" s="33" t="n">
        <f aca="false">IF(F3096="","",F3096-C3096)</f>
        <v>2.75</v>
      </c>
      <c r="K3096" s="33" t="n">
        <f aca="false">IF(G3096="","",G3096-C3096)</f>
        <v>4.31767681454498</v>
      </c>
      <c r="L3096" s="33" t="n">
        <f aca="false">IF(H3096="","",ABS(H3096))</f>
        <v>10</v>
      </c>
      <c r="M3096" s="33" t="n">
        <f aca="false">IF(I3096="","",ABS(I3096))</f>
        <v>3.75</v>
      </c>
      <c r="N3096" s="33" t="n">
        <f aca="false">IF(J3096="","",ABS(J3096))</f>
        <v>2.75</v>
      </c>
      <c r="O3096" s="33" t="n">
        <f aca="false">IF(K3096="","",ABS(K3096))</f>
        <v>4.31767681454498</v>
      </c>
      <c r="P3096" s="34" t="str">
        <f aca="false">IF(B3096&gt;=Eval_Start_Week,"YES","")</f>
        <v>YES</v>
      </c>
      <c r="Q3096" s="34" t="str">
        <f aca="false">IF(AND(B3096&gt;=Cal_Start_Week,B3096&lt;=Cal_End_Week),"YES","")</f>
        <v>YES</v>
      </c>
    </row>
    <row r="3097" customFormat="false" ht="15" hidden="false" customHeight="false" outlineLevel="0" collapsed="false">
      <c r="A3097" s="31" t="str">
        <f aca="false">Demand_History!C3097</f>
        <v>ELE-001</v>
      </c>
      <c r="B3097" s="31" t="n">
        <f aca="false">Demand_History!A3097</f>
        <v>80</v>
      </c>
      <c r="C3097" s="32" t="n">
        <f aca="false">Demand_History!D3097</f>
        <v>44</v>
      </c>
      <c r="D3097" s="33" t="n">
        <f aca="false">IF(B3097&gt;=2,C3096,"")</f>
        <v>34</v>
      </c>
      <c r="E3097" s="33" t="n">
        <f aca="false">IF(B3097&gt;=5,AVERAGE(C3093:C3096),"")</f>
        <v>37.25</v>
      </c>
      <c r="F3097" s="33" t="n">
        <f aca="false">IF(B3097&gt;=9,AVERAGE(C3089:C3096),"")</f>
        <v>36.375</v>
      </c>
      <c r="G3097" s="33" t="n">
        <f aca="false">IF(B3097=1,"",IF(B3097=2,C3096,SES_Alpha*C3096+(1-SES_Alpha)*G3096))</f>
        <v>37.0223737701815</v>
      </c>
      <c r="H3097" s="33" t="n">
        <f aca="false">IF(D3097="","",D3097-C3097)</f>
        <v>-10</v>
      </c>
      <c r="I3097" s="33" t="n">
        <f aca="false">IF(E3097="","",E3097-C3097)</f>
        <v>-6.75</v>
      </c>
      <c r="J3097" s="33" t="n">
        <f aca="false">IF(F3097="","",F3097-C3097)</f>
        <v>-7.625</v>
      </c>
      <c r="K3097" s="33" t="n">
        <f aca="false">IF(G3097="","",G3097-C3097)</f>
        <v>-6.97762622981851</v>
      </c>
      <c r="L3097" s="33" t="n">
        <f aca="false">IF(H3097="","",ABS(H3097))</f>
        <v>10</v>
      </c>
      <c r="M3097" s="33" t="n">
        <f aca="false">IF(I3097="","",ABS(I3097))</f>
        <v>6.75</v>
      </c>
      <c r="N3097" s="33" t="n">
        <f aca="false">IF(J3097="","",ABS(J3097))</f>
        <v>7.625</v>
      </c>
      <c r="O3097" s="33" t="n">
        <f aca="false">IF(K3097="","",ABS(K3097))</f>
        <v>6.97762622981851</v>
      </c>
      <c r="P3097" s="34" t="str">
        <f aca="false">IF(B3097&gt;=Eval_Start_Week,"YES","")</f>
        <v>YES</v>
      </c>
      <c r="Q3097" s="34" t="str">
        <f aca="false">IF(AND(B3097&gt;=Cal_Start_Week,B3097&lt;=Cal_End_Week),"YES","")</f>
        <v>YES</v>
      </c>
    </row>
    <row r="3098" customFormat="false" ht="15" hidden="false" customHeight="false" outlineLevel="0" collapsed="false">
      <c r="A3098" s="31" t="str">
        <f aca="false">Demand_History!C3098</f>
        <v>ELE-001</v>
      </c>
      <c r="B3098" s="31" t="n">
        <f aca="false">Demand_History!A3098</f>
        <v>81</v>
      </c>
      <c r="C3098" s="32" t="n">
        <f aca="false">Demand_History!D3098</f>
        <v>41</v>
      </c>
      <c r="D3098" s="33" t="n">
        <f aca="false">IF(B3098&gt;=2,C3097,"")</f>
        <v>44</v>
      </c>
      <c r="E3098" s="33" t="n">
        <f aca="false">IF(B3098&gt;=5,AVERAGE(C3094:C3097),"")</f>
        <v>39.5</v>
      </c>
      <c r="F3098" s="33" t="n">
        <f aca="false">IF(B3098&gt;=9,AVERAGE(C3090:C3097),"")</f>
        <v>37.5</v>
      </c>
      <c r="G3098" s="33" t="n">
        <f aca="false">IF(B3098=1,"",IF(B3098=2,C3097,SES_Alpha*C3097+(1-SES_Alpha)*G3097))</f>
        <v>39.115661639127</v>
      </c>
      <c r="H3098" s="33" t="n">
        <f aca="false">IF(D3098="","",D3098-C3098)</f>
        <v>3</v>
      </c>
      <c r="I3098" s="33" t="n">
        <f aca="false">IF(E3098="","",E3098-C3098)</f>
        <v>-1.5</v>
      </c>
      <c r="J3098" s="33" t="n">
        <f aca="false">IF(F3098="","",F3098-C3098)</f>
        <v>-3.5</v>
      </c>
      <c r="K3098" s="33" t="n">
        <f aca="false">IF(G3098="","",G3098-C3098)</f>
        <v>-1.88433836087296</v>
      </c>
      <c r="L3098" s="33" t="n">
        <f aca="false">IF(H3098="","",ABS(H3098))</f>
        <v>3</v>
      </c>
      <c r="M3098" s="33" t="n">
        <f aca="false">IF(I3098="","",ABS(I3098))</f>
        <v>1.5</v>
      </c>
      <c r="N3098" s="33" t="n">
        <f aca="false">IF(J3098="","",ABS(J3098))</f>
        <v>3.5</v>
      </c>
      <c r="O3098" s="33" t="n">
        <f aca="false">IF(K3098="","",ABS(K3098))</f>
        <v>1.88433836087296</v>
      </c>
      <c r="P3098" s="34" t="str">
        <f aca="false">IF(B3098&gt;=Eval_Start_Week,"YES","")</f>
        <v>YES</v>
      </c>
      <c r="Q3098" s="34" t="str">
        <f aca="false">IF(AND(B3098&gt;=Cal_Start_Week,B3098&lt;=Cal_End_Week),"YES","")</f>
        <v>YES</v>
      </c>
    </row>
    <row r="3099" customFormat="false" ht="15" hidden="false" customHeight="false" outlineLevel="0" collapsed="false">
      <c r="A3099" s="31" t="str">
        <f aca="false">Demand_History!C3099</f>
        <v>ELE-001</v>
      </c>
      <c r="B3099" s="31" t="n">
        <f aca="false">Demand_History!A3099</f>
        <v>82</v>
      </c>
      <c r="C3099" s="32" t="n">
        <f aca="false">Demand_History!D3099</f>
        <v>35</v>
      </c>
      <c r="D3099" s="33" t="n">
        <f aca="false">IF(B3099&gt;=2,C3098,"")</f>
        <v>41</v>
      </c>
      <c r="E3099" s="33" t="n">
        <f aca="false">IF(B3099&gt;=5,AVERAGE(C3095:C3098),"")</f>
        <v>40.75</v>
      </c>
      <c r="F3099" s="33" t="n">
        <f aca="false">IF(B3099&gt;=9,AVERAGE(C3091:C3098),"")</f>
        <v>38.75</v>
      </c>
      <c r="G3099" s="33" t="n">
        <f aca="false">IF(B3099=1,"",IF(B3099=2,C3098,SES_Alpha*C3098+(1-SES_Alpha)*G3098))</f>
        <v>39.6809631473889</v>
      </c>
      <c r="H3099" s="33" t="n">
        <f aca="false">IF(D3099="","",D3099-C3099)</f>
        <v>6</v>
      </c>
      <c r="I3099" s="33" t="n">
        <f aca="false">IF(E3099="","",E3099-C3099)</f>
        <v>5.75</v>
      </c>
      <c r="J3099" s="33" t="n">
        <f aca="false">IF(F3099="","",F3099-C3099)</f>
        <v>3.75</v>
      </c>
      <c r="K3099" s="33" t="n">
        <f aca="false">IF(G3099="","",G3099-C3099)</f>
        <v>4.68096314738892</v>
      </c>
      <c r="L3099" s="33" t="n">
        <f aca="false">IF(H3099="","",ABS(H3099))</f>
        <v>6</v>
      </c>
      <c r="M3099" s="33" t="n">
        <f aca="false">IF(I3099="","",ABS(I3099))</f>
        <v>5.75</v>
      </c>
      <c r="N3099" s="33" t="n">
        <f aca="false">IF(J3099="","",ABS(J3099))</f>
        <v>3.75</v>
      </c>
      <c r="O3099" s="33" t="n">
        <f aca="false">IF(K3099="","",ABS(K3099))</f>
        <v>4.68096314738892</v>
      </c>
      <c r="P3099" s="34" t="str">
        <f aca="false">IF(B3099&gt;=Eval_Start_Week,"YES","")</f>
        <v>YES</v>
      </c>
      <c r="Q3099" s="34" t="str">
        <f aca="false">IF(AND(B3099&gt;=Cal_Start_Week,B3099&lt;=Cal_End_Week),"YES","")</f>
        <v>YES</v>
      </c>
    </row>
    <row r="3100" customFormat="false" ht="15" hidden="false" customHeight="false" outlineLevel="0" collapsed="false">
      <c r="A3100" s="31" t="str">
        <f aca="false">Demand_History!C3100</f>
        <v>ELE-001</v>
      </c>
      <c r="B3100" s="31" t="n">
        <f aca="false">Demand_History!A3100</f>
        <v>83</v>
      </c>
      <c r="C3100" s="32" t="n">
        <f aca="false">Demand_History!D3100</f>
        <v>40</v>
      </c>
      <c r="D3100" s="33" t="n">
        <f aca="false">IF(B3100&gt;=2,C3099,"")</f>
        <v>35</v>
      </c>
      <c r="E3100" s="33" t="n">
        <f aca="false">IF(B3100&gt;=5,AVERAGE(C3096:C3099),"")</f>
        <v>38.5</v>
      </c>
      <c r="F3100" s="33" t="n">
        <f aca="false">IF(B3100&gt;=9,AVERAGE(C3092:C3099),"")</f>
        <v>38.125</v>
      </c>
      <c r="G3100" s="33" t="n">
        <f aca="false">IF(B3100=1,"",IF(B3100=2,C3099,SES_Alpha*C3099+(1-SES_Alpha)*G3099))</f>
        <v>38.2766742031723</v>
      </c>
      <c r="H3100" s="33" t="n">
        <f aca="false">IF(D3100="","",D3100-C3100)</f>
        <v>-5</v>
      </c>
      <c r="I3100" s="33" t="n">
        <f aca="false">IF(E3100="","",E3100-C3100)</f>
        <v>-1.5</v>
      </c>
      <c r="J3100" s="33" t="n">
        <f aca="false">IF(F3100="","",F3100-C3100)</f>
        <v>-1.875</v>
      </c>
      <c r="K3100" s="33" t="n">
        <f aca="false">IF(G3100="","",G3100-C3100)</f>
        <v>-1.72332579682775</v>
      </c>
      <c r="L3100" s="33" t="n">
        <f aca="false">IF(H3100="","",ABS(H3100))</f>
        <v>5</v>
      </c>
      <c r="M3100" s="33" t="n">
        <f aca="false">IF(I3100="","",ABS(I3100))</f>
        <v>1.5</v>
      </c>
      <c r="N3100" s="33" t="n">
        <f aca="false">IF(J3100="","",ABS(J3100))</f>
        <v>1.875</v>
      </c>
      <c r="O3100" s="33" t="n">
        <f aca="false">IF(K3100="","",ABS(K3100))</f>
        <v>1.72332579682775</v>
      </c>
      <c r="P3100" s="34" t="str">
        <f aca="false">IF(B3100&gt;=Eval_Start_Week,"YES","")</f>
        <v>YES</v>
      </c>
      <c r="Q3100" s="34" t="str">
        <f aca="false">IF(AND(B3100&gt;=Cal_Start_Week,B3100&lt;=Cal_End_Week),"YES","")</f>
        <v>YES</v>
      </c>
    </row>
    <row r="3101" customFormat="false" ht="15" hidden="false" customHeight="false" outlineLevel="0" collapsed="false">
      <c r="A3101" s="31" t="str">
        <f aca="false">Demand_History!C3101</f>
        <v>ELE-001</v>
      </c>
      <c r="B3101" s="31" t="n">
        <f aca="false">Demand_History!A3101</f>
        <v>84</v>
      </c>
      <c r="C3101" s="32" t="n">
        <f aca="false">Demand_History!D3101</f>
        <v>34</v>
      </c>
      <c r="D3101" s="33" t="n">
        <f aca="false">IF(B3101&gt;=2,C3100,"")</f>
        <v>40</v>
      </c>
      <c r="E3101" s="33" t="n">
        <f aca="false">IF(B3101&gt;=5,AVERAGE(C3097:C3100),"")</f>
        <v>40</v>
      </c>
      <c r="F3101" s="33" t="n">
        <f aca="false">IF(B3101&gt;=9,AVERAGE(C3093:C3100),"")</f>
        <v>38.625</v>
      </c>
      <c r="G3101" s="33" t="n">
        <f aca="false">IF(B3101=1,"",IF(B3101=2,C3100,SES_Alpha*C3100+(1-SES_Alpha)*G3100))</f>
        <v>38.7936719422206</v>
      </c>
      <c r="H3101" s="33" t="n">
        <f aca="false">IF(D3101="","",D3101-C3101)</f>
        <v>6</v>
      </c>
      <c r="I3101" s="33" t="n">
        <f aca="false">IF(E3101="","",E3101-C3101)</f>
        <v>6</v>
      </c>
      <c r="J3101" s="33" t="n">
        <f aca="false">IF(F3101="","",F3101-C3101)</f>
        <v>4.625</v>
      </c>
      <c r="K3101" s="33" t="n">
        <f aca="false">IF(G3101="","",G3101-C3101)</f>
        <v>4.79367194222057</v>
      </c>
      <c r="L3101" s="33" t="n">
        <f aca="false">IF(H3101="","",ABS(H3101))</f>
        <v>6</v>
      </c>
      <c r="M3101" s="33" t="n">
        <f aca="false">IF(I3101="","",ABS(I3101))</f>
        <v>6</v>
      </c>
      <c r="N3101" s="33" t="n">
        <f aca="false">IF(J3101="","",ABS(J3101))</f>
        <v>4.625</v>
      </c>
      <c r="O3101" s="33" t="n">
        <f aca="false">IF(K3101="","",ABS(K3101))</f>
        <v>4.79367194222057</v>
      </c>
      <c r="P3101" s="34" t="str">
        <f aca="false">IF(B3101&gt;=Eval_Start_Week,"YES","")</f>
        <v>YES</v>
      </c>
      <c r="Q3101" s="34" t="str">
        <f aca="false">IF(AND(B3101&gt;=Cal_Start_Week,B3101&lt;=Cal_End_Week),"YES","")</f>
        <v>YES</v>
      </c>
    </row>
    <row r="3102" customFormat="false" ht="15" hidden="false" customHeight="false" outlineLevel="0" collapsed="false">
      <c r="A3102" s="31" t="str">
        <f aca="false">Demand_History!C3102</f>
        <v>ELE-001</v>
      </c>
      <c r="B3102" s="31" t="n">
        <f aca="false">Demand_History!A3102</f>
        <v>85</v>
      </c>
      <c r="C3102" s="32" t="n">
        <f aca="false">Demand_History!D3102</f>
        <v>31</v>
      </c>
      <c r="D3102" s="33" t="n">
        <f aca="false">IF(B3102&gt;=2,C3101,"")</f>
        <v>34</v>
      </c>
      <c r="E3102" s="33" t="n">
        <f aca="false">IF(B3102&gt;=5,AVERAGE(C3098:C3101),"")</f>
        <v>37.5</v>
      </c>
      <c r="F3102" s="33" t="n">
        <f aca="false">IF(B3102&gt;=9,AVERAGE(C3094:C3101),"")</f>
        <v>38.5</v>
      </c>
      <c r="G3102" s="33" t="n">
        <f aca="false">IF(B3102=1,"",IF(B3102=2,C3101,SES_Alpha*C3101+(1-SES_Alpha)*G3101))</f>
        <v>37.3555703595544</v>
      </c>
      <c r="H3102" s="33" t="n">
        <f aca="false">IF(D3102="","",D3102-C3102)</f>
        <v>3</v>
      </c>
      <c r="I3102" s="33" t="n">
        <f aca="false">IF(E3102="","",E3102-C3102)</f>
        <v>6.5</v>
      </c>
      <c r="J3102" s="33" t="n">
        <f aca="false">IF(F3102="","",F3102-C3102)</f>
        <v>7.5</v>
      </c>
      <c r="K3102" s="33" t="n">
        <f aca="false">IF(G3102="","",G3102-C3102)</f>
        <v>6.35557035955439</v>
      </c>
      <c r="L3102" s="33" t="n">
        <f aca="false">IF(H3102="","",ABS(H3102))</f>
        <v>3</v>
      </c>
      <c r="M3102" s="33" t="n">
        <f aca="false">IF(I3102="","",ABS(I3102))</f>
        <v>6.5</v>
      </c>
      <c r="N3102" s="33" t="n">
        <f aca="false">IF(J3102="","",ABS(J3102))</f>
        <v>7.5</v>
      </c>
      <c r="O3102" s="33" t="n">
        <f aca="false">IF(K3102="","",ABS(K3102))</f>
        <v>6.35557035955439</v>
      </c>
      <c r="P3102" s="34" t="str">
        <f aca="false">IF(B3102&gt;=Eval_Start_Week,"YES","")</f>
        <v>YES</v>
      </c>
      <c r="Q3102" s="34" t="str">
        <f aca="false">IF(AND(B3102&gt;=Cal_Start_Week,B3102&lt;=Cal_End_Week),"YES","")</f>
        <v>YES</v>
      </c>
    </row>
    <row r="3103" customFormat="false" ht="15" hidden="false" customHeight="false" outlineLevel="0" collapsed="false">
      <c r="A3103" s="31" t="str">
        <f aca="false">Demand_History!C3103</f>
        <v>ELE-001</v>
      </c>
      <c r="B3103" s="31" t="n">
        <f aca="false">Demand_History!A3103</f>
        <v>86</v>
      </c>
      <c r="C3103" s="32" t="n">
        <f aca="false">Demand_History!D3103</f>
        <v>34</v>
      </c>
      <c r="D3103" s="33" t="n">
        <f aca="false">IF(B3103&gt;=2,C3102,"")</f>
        <v>31</v>
      </c>
      <c r="E3103" s="33" t="n">
        <f aca="false">IF(B3103&gt;=5,AVERAGE(C3099:C3102),"")</f>
        <v>35</v>
      </c>
      <c r="F3103" s="33" t="n">
        <f aca="false">IF(B3103&gt;=9,AVERAGE(C3095:C3102),"")</f>
        <v>37.875</v>
      </c>
      <c r="G3103" s="33" t="n">
        <f aca="false">IF(B3103=1,"",IF(B3103=2,C3102,SES_Alpha*C3102+(1-SES_Alpha)*G3102))</f>
        <v>35.4488992516881</v>
      </c>
      <c r="H3103" s="33" t="n">
        <f aca="false">IF(D3103="","",D3103-C3103)</f>
        <v>-3</v>
      </c>
      <c r="I3103" s="33" t="n">
        <f aca="false">IF(E3103="","",E3103-C3103)</f>
        <v>1</v>
      </c>
      <c r="J3103" s="33" t="n">
        <f aca="false">IF(F3103="","",F3103-C3103)</f>
        <v>3.875</v>
      </c>
      <c r="K3103" s="33" t="n">
        <f aca="false">IF(G3103="","",G3103-C3103)</f>
        <v>1.44889925168807</v>
      </c>
      <c r="L3103" s="33" t="n">
        <f aca="false">IF(H3103="","",ABS(H3103))</f>
        <v>3</v>
      </c>
      <c r="M3103" s="33" t="n">
        <f aca="false">IF(I3103="","",ABS(I3103))</f>
        <v>1</v>
      </c>
      <c r="N3103" s="33" t="n">
        <f aca="false">IF(J3103="","",ABS(J3103))</f>
        <v>3.875</v>
      </c>
      <c r="O3103" s="33" t="n">
        <f aca="false">IF(K3103="","",ABS(K3103))</f>
        <v>1.44889925168807</v>
      </c>
      <c r="P3103" s="34" t="str">
        <f aca="false">IF(B3103&gt;=Eval_Start_Week,"YES","")</f>
        <v>YES</v>
      </c>
      <c r="Q3103" s="34" t="str">
        <f aca="false">IF(AND(B3103&gt;=Cal_Start_Week,B3103&lt;=Cal_End_Week),"YES","")</f>
        <v>YES</v>
      </c>
    </row>
    <row r="3104" customFormat="false" ht="15" hidden="false" customHeight="false" outlineLevel="0" collapsed="false">
      <c r="A3104" s="31" t="str">
        <f aca="false">Demand_History!C3104</f>
        <v>ELE-001</v>
      </c>
      <c r="B3104" s="31" t="n">
        <f aca="false">Demand_History!A3104</f>
        <v>87</v>
      </c>
      <c r="C3104" s="32" t="n">
        <f aca="false">Demand_History!D3104</f>
        <v>30</v>
      </c>
      <c r="D3104" s="33" t="n">
        <f aca="false">IF(B3104&gt;=2,C3103,"")</f>
        <v>34</v>
      </c>
      <c r="E3104" s="33" t="n">
        <f aca="false">IF(B3104&gt;=5,AVERAGE(C3100:C3103),"")</f>
        <v>34.75</v>
      </c>
      <c r="F3104" s="33" t="n">
        <f aca="false">IF(B3104&gt;=9,AVERAGE(C3096:C3103),"")</f>
        <v>36.625</v>
      </c>
      <c r="G3104" s="33" t="n">
        <f aca="false">IF(B3104=1,"",IF(B3104=2,C3103,SES_Alpha*C3103+(1-SES_Alpha)*G3103))</f>
        <v>35.0142294761817</v>
      </c>
      <c r="H3104" s="33" t="n">
        <f aca="false">IF(D3104="","",D3104-C3104)</f>
        <v>4</v>
      </c>
      <c r="I3104" s="33" t="n">
        <f aca="false">IF(E3104="","",E3104-C3104)</f>
        <v>4.75</v>
      </c>
      <c r="J3104" s="33" t="n">
        <f aca="false">IF(F3104="","",F3104-C3104)</f>
        <v>6.625</v>
      </c>
      <c r="K3104" s="33" t="n">
        <f aca="false">IF(G3104="","",G3104-C3104)</f>
        <v>5.01422947618165</v>
      </c>
      <c r="L3104" s="33" t="n">
        <f aca="false">IF(H3104="","",ABS(H3104))</f>
        <v>4</v>
      </c>
      <c r="M3104" s="33" t="n">
        <f aca="false">IF(I3104="","",ABS(I3104))</f>
        <v>4.75</v>
      </c>
      <c r="N3104" s="33" t="n">
        <f aca="false">IF(J3104="","",ABS(J3104))</f>
        <v>6.625</v>
      </c>
      <c r="O3104" s="33" t="n">
        <f aca="false">IF(K3104="","",ABS(K3104))</f>
        <v>5.01422947618165</v>
      </c>
      <c r="P3104" s="34" t="str">
        <f aca="false">IF(B3104&gt;=Eval_Start_Week,"YES","")</f>
        <v>YES</v>
      </c>
      <c r="Q3104" s="34" t="str">
        <f aca="false">IF(AND(B3104&gt;=Cal_Start_Week,B3104&lt;=Cal_End_Week),"YES","")</f>
        <v>YES</v>
      </c>
    </row>
    <row r="3105" customFormat="false" ht="15" hidden="false" customHeight="false" outlineLevel="0" collapsed="false">
      <c r="A3105" s="31" t="str">
        <f aca="false">Demand_History!C3105</f>
        <v>ELE-001</v>
      </c>
      <c r="B3105" s="31" t="n">
        <f aca="false">Demand_History!A3105</f>
        <v>88</v>
      </c>
      <c r="C3105" s="32" t="n">
        <f aca="false">Demand_History!D3105</f>
        <v>38</v>
      </c>
      <c r="D3105" s="33" t="n">
        <f aca="false">IF(B3105&gt;=2,C3104,"")</f>
        <v>30</v>
      </c>
      <c r="E3105" s="33" t="n">
        <f aca="false">IF(B3105&gt;=5,AVERAGE(C3101:C3104),"")</f>
        <v>32.25</v>
      </c>
      <c r="F3105" s="33" t="n">
        <f aca="false">IF(B3105&gt;=9,AVERAGE(C3097:C3104),"")</f>
        <v>36.125</v>
      </c>
      <c r="G3105" s="33" t="n">
        <f aca="false">IF(B3105=1,"",IF(B3105=2,C3104,SES_Alpha*C3104+(1-SES_Alpha)*G3104))</f>
        <v>33.5099606333272</v>
      </c>
      <c r="H3105" s="33" t="n">
        <f aca="false">IF(D3105="","",D3105-C3105)</f>
        <v>-8</v>
      </c>
      <c r="I3105" s="33" t="n">
        <f aca="false">IF(E3105="","",E3105-C3105)</f>
        <v>-5.75</v>
      </c>
      <c r="J3105" s="33" t="n">
        <f aca="false">IF(F3105="","",F3105-C3105)</f>
        <v>-1.875</v>
      </c>
      <c r="K3105" s="33" t="n">
        <f aca="false">IF(G3105="","",G3105-C3105)</f>
        <v>-4.49003936667285</v>
      </c>
      <c r="L3105" s="33" t="n">
        <f aca="false">IF(H3105="","",ABS(H3105))</f>
        <v>8</v>
      </c>
      <c r="M3105" s="33" t="n">
        <f aca="false">IF(I3105="","",ABS(I3105))</f>
        <v>5.75</v>
      </c>
      <c r="N3105" s="33" t="n">
        <f aca="false">IF(J3105="","",ABS(J3105))</f>
        <v>1.875</v>
      </c>
      <c r="O3105" s="33" t="n">
        <f aca="false">IF(K3105="","",ABS(K3105))</f>
        <v>4.49003936667285</v>
      </c>
      <c r="P3105" s="34" t="str">
        <f aca="false">IF(B3105&gt;=Eval_Start_Week,"YES","")</f>
        <v>YES</v>
      </c>
      <c r="Q3105" s="34" t="str">
        <f aca="false">IF(AND(B3105&gt;=Cal_Start_Week,B3105&lt;=Cal_End_Week),"YES","")</f>
        <v>YES</v>
      </c>
    </row>
    <row r="3106" customFormat="false" ht="15" hidden="false" customHeight="false" outlineLevel="0" collapsed="false">
      <c r="A3106" s="31" t="str">
        <f aca="false">Demand_History!C3106</f>
        <v>ELE-001</v>
      </c>
      <c r="B3106" s="31" t="n">
        <f aca="false">Demand_History!A3106</f>
        <v>89</v>
      </c>
      <c r="C3106" s="32" t="n">
        <f aca="false">Demand_History!D3106</f>
        <v>35</v>
      </c>
      <c r="D3106" s="33" t="n">
        <f aca="false">IF(B3106&gt;=2,C3105,"")</f>
        <v>38</v>
      </c>
      <c r="E3106" s="33" t="n">
        <f aca="false">IF(B3106&gt;=5,AVERAGE(C3102:C3105),"")</f>
        <v>33.25</v>
      </c>
      <c r="F3106" s="33" t="n">
        <f aca="false">IF(B3106&gt;=9,AVERAGE(C3098:C3105),"")</f>
        <v>35.375</v>
      </c>
      <c r="G3106" s="33" t="n">
        <f aca="false">IF(B3106=1,"",IF(B3106=2,C3105,SES_Alpha*C3105+(1-SES_Alpha)*G3105))</f>
        <v>34.856972443329</v>
      </c>
      <c r="H3106" s="33" t="n">
        <f aca="false">IF(D3106="","",D3106-C3106)</f>
        <v>3</v>
      </c>
      <c r="I3106" s="33" t="n">
        <f aca="false">IF(E3106="","",E3106-C3106)</f>
        <v>-1.75</v>
      </c>
      <c r="J3106" s="33" t="n">
        <f aca="false">IF(F3106="","",F3106-C3106)</f>
        <v>0.375</v>
      </c>
      <c r="K3106" s="33" t="n">
        <f aca="false">IF(G3106="","",G3106-C3106)</f>
        <v>-0.143027556670994</v>
      </c>
      <c r="L3106" s="33" t="n">
        <f aca="false">IF(H3106="","",ABS(H3106))</f>
        <v>3</v>
      </c>
      <c r="M3106" s="33" t="n">
        <f aca="false">IF(I3106="","",ABS(I3106))</f>
        <v>1.75</v>
      </c>
      <c r="N3106" s="33" t="n">
        <f aca="false">IF(J3106="","",ABS(J3106))</f>
        <v>0.375</v>
      </c>
      <c r="O3106" s="33" t="n">
        <f aca="false">IF(K3106="","",ABS(K3106))</f>
        <v>0.143027556670994</v>
      </c>
      <c r="P3106" s="34" t="str">
        <f aca="false">IF(B3106&gt;=Eval_Start_Week,"YES","")</f>
        <v>YES</v>
      </c>
      <c r="Q3106" s="34" t="str">
        <f aca="false">IF(AND(B3106&gt;=Cal_Start_Week,B3106&lt;=Cal_End_Week),"YES","")</f>
        <v/>
      </c>
    </row>
    <row r="3107" customFormat="false" ht="15" hidden="false" customHeight="false" outlineLevel="0" collapsed="false">
      <c r="A3107" s="31" t="str">
        <f aca="false">Demand_History!C3107</f>
        <v>ELE-001</v>
      </c>
      <c r="B3107" s="31" t="n">
        <f aca="false">Demand_History!A3107</f>
        <v>90</v>
      </c>
      <c r="C3107" s="32" t="n">
        <f aca="false">Demand_History!D3107</f>
        <v>38</v>
      </c>
      <c r="D3107" s="33" t="n">
        <f aca="false">IF(B3107&gt;=2,C3106,"")</f>
        <v>35</v>
      </c>
      <c r="E3107" s="33" t="n">
        <f aca="false">IF(B3107&gt;=5,AVERAGE(C3103:C3106),"")</f>
        <v>34.25</v>
      </c>
      <c r="F3107" s="33" t="n">
        <f aca="false">IF(B3107&gt;=9,AVERAGE(C3099:C3106),"")</f>
        <v>34.625</v>
      </c>
      <c r="G3107" s="33" t="n">
        <f aca="false">IF(B3107=1,"",IF(B3107=2,C3106,SES_Alpha*C3106+(1-SES_Alpha)*G3106))</f>
        <v>34.8998807103303</v>
      </c>
      <c r="H3107" s="33" t="n">
        <f aca="false">IF(D3107="","",D3107-C3107)</f>
        <v>-3</v>
      </c>
      <c r="I3107" s="33" t="n">
        <f aca="false">IF(E3107="","",E3107-C3107)</f>
        <v>-3.75</v>
      </c>
      <c r="J3107" s="33" t="n">
        <f aca="false">IF(F3107="","",F3107-C3107)</f>
        <v>-3.375</v>
      </c>
      <c r="K3107" s="33" t="n">
        <f aca="false">IF(G3107="","",G3107-C3107)</f>
        <v>-3.10011928966969</v>
      </c>
      <c r="L3107" s="33" t="n">
        <f aca="false">IF(H3107="","",ABS(H3107))</f>
        <v>3</v>
      </c>
      <c r="M3107" s="33" t="n">
        <f aca="false">IF(I3107="","",ABS(I3107))</f>
        <v>3.75</v>
      </c>
      <c r="N3107" s="33" t="n">
        <f aca="false">IF(J3107="","",ABS(J3107))</f>
        <v>3.375</v>
      </c>
      <c r="O3107" s="33" t="n">
        <f aca="false">IF(K3107="","",ABS(K3107))</f>
        <v>3.10011928966969</v>
      </c>
      <c r="P3107" s="34" t="str">
        <f aca="false">IF(B3107&gt;=Eval_Start_Week,"YES","")</f>
        <v>YES</v>
      </c>
      <c r="Q3107" s="34" t="str">
        <f aca="false">IF(AND(B3107&gt;=Cal_Start_Week,B3107&lt;=Cal_End_Week),"YES","")</f>
        <v/>
      </c>
    </row>
    <row r="3108" customFormat="false" ht="15" hidden="false" customHeight="false" outlineLevel="0" collapsed="false">
      <c r="A3108" s="31" t="str">
        <f aca="false">Demand_History!C3108</f>
        <v>ELE-001</v>
      </c>
      <c r="B3108" s="31" t="n">
        <f aca="false">Demand_History!A3108</f>
        <v>91</v>
      </c>
      <c r="C3108" s="32" t="n">
        <f aca="false">Demand_History!D3108</f>
        <v>39</v>
      </c>
      <c r="D3108" s="33" t="n">
        <f aca="false">IF(B3108&gt;=2,C3107,"")</f>
        <v>38</v>
      </c>
      <c r="E3108" s="33" t="n">
        <f aca="false">IF(B3108&gt;=5,AVERAGE(C3104:C3107),"")</f>
        <v>35.25</v>
      </c>
      <c r="F3108" s="33" t="n">
        <f aca="false">IF(B3108&gt;=9,AVERAGE(C3100:C3107),"")</f>
        <v>35</v>
      </c>
      <c r="G3108" s="33" t="n">
        <f aca="false">IF(B3108=1,"",IF(B3108=2,C3107,SES_Alpha*C3107+(1-SES_Alpha)*G3107))</f>
        <v>35.8299164972312</v>
      </c>
      <c r="H3108" s="33" t="n">
        <f aca="false">IF(D3108="","",D3108-C3108)</f>
        <v>-1</v>
      </c>
      <c r="I3108" s="33" t="n">
        <f aca="false">IF(E3108="","",E3108-C3108)</f>
        <v>-3.75</v>
      </c>
      <c r="J3108" s="33" t="n">
        <f aca="false">IF(F3108="","",F3108-C3108)</f>
        <v>-4</v>
      </c>
      <c r="K3108" s="33" t="n">
        <f aca="false">IF(G3108="","",G3108-C3108)</f>
        <v>-3.17008350276878</v>
      </c>
      <c r="L3108" s="33" t="n">
        <f aca="false">IF(H3108="","",ABS(H3108))</f>
        <v>1</v>
      </c>
      <c r="M3108" s="33" t="n">
        <f aca="false">IF(I3108="","",ABS(I3108))</f>
        <v>3.75</v>
      </c>
      <c r="N3108" s="33" t="n">
        <f aca="false">IF(J3108="","",ABS(J3108))</f>
        <v>4</v>
      </c>
      <c r="O3108" s="33" t="n">
        <f aca="false">IF(K3108="","",ABS(K3108))</f>
        <v>3.17008350276878</v>
      </c>
      <c r="P3108" s="34" t="str">
        <f aca="false">IF(B3108&gt;=Eval_Start_Week,"YES","")</f>
        <v>YES</v>
      </c>
      <c r="Q3108" s="34" t="str">
        <f aca="false">IF(AND(B3108&gt;=Cal_Start_Week,B3108&lt;=Cal_End_Week),"YES","")</f>
        <v/>
      </c>
    </row>
    <row r="3109" customFormat="false" ht="15" hidden="false" customHeight="false" outlineLevel="0" collapsed="false">
      <c r="A3109" s="31" t="str">
        <f aca="false">Demand_History!C3109</f>
        <v>ELE-001</v>
      </c>
      <c r="B3109" s="31" t="n">
        <f aca="false">Demand_History!A3109</f>
        <v>92</v>
      </c>
      <c r="C3109" s="32" t="n">
        <f aca="false">Demand_History!D3109</f>
        <v>19</v>
      </c>
      <c r="D3109" s="33" t="n">
        <f aca="false">IF(B3109&gt;=2,C3108,"")</f>
        <v>39</v>
      </c>
      <c r="E3109" s="33" t="n">
        <f aca="false">IF(B3109&gt;=5,AVERAGE(C3105:C3108),"")</f>
        <v>37.5</v>
      </c>
      <c r="F3109" s="33" t="n">
        <f aca="false">IF(B3109&gt;=9,AVERAGE(C3101:C3108),"")</f>
        <v>34.875</v>
      </c>
      <c r="G3109" s="33" t="n">
        <f aca="false">IF(B3109=1,"",IF(B3109=2,C3108,SES_Alpha*C3108+(1-SES_Alpha)*G3108))</f>
        <v>36.7809415480619</v>
      </c>
      <c r="H3109" s="33" t="n">
        <f aca="false">IF(D3109="","",D3109-C3109)</f>
        <v>20</v>
      </c>
      <c r="I3109" s="33" t="n">
        <f aca="false">IF(E3109="","",E3109-C3109)</f>
        <v>18.5</v>
      </c>
      <c r="J3109" s="33" t="n">
        <f aca="false">IF(F3109="","",F3109-C3109)</f>
        <v>15.875</v>
      </c>
      <c r="K3109" s="33" t="n">
        <f aca="false">IF(G3109="","",G3109-C3109)</f>
        <v>17.7809415480618</v>
      </c>
      <c r="L3109" s="33" t="n">
        <f aca="false">IF(H3109="","",ABS(H3109))</f>
        <v>20</v>
      </c>
      <c r="M3109" s="33" t="n">
        <f aca="false">IF(I3109="","",ABS(I3109))</f>
        <v>18.5</v>
      </c>
      <c r="N3109" s="33" t="n">
        <f aca="false">IF(J3109="","",ABS(J3109))</f>
        <v>15.875</v>
      </c>
      <c r="O3109" s="33" t="n">
        <f aca="false">IF(K3109="","",ABS(K3109))</f>
        <v>17.7809415480618</v>
      </c>
      <c r="P3109" s="34" t="str">
        <f aca="false">IF(B3109&gt;=Eval_Start_Week,"YES","")</f>
        <v>YES</v>
      </c>
      <c r="Q3109" s="34" t="str">
        <f aca="false">IF(AND(B3109&gt;=Cal_Start_Week,B3109&lt;=Cal_End_Week),"YES","")</f>
        <v/>
      </c>
    </row>
    <row r="3110" customFormat="false" ht="15" hidden="false" customHeight="false" outlineLevel="0" collapsed="false">
      <c r="A3110" s="31" t="str">
        <f aca="false">Demand_History!C3110</f>
        <v>ELE-001</v>
      </c>
      <c r="B3110" s="31" t="n">
        <f aca="false">Demand_History!A3110</f>
        <v>93</v>
      </c>
      <c r="C3110" s="32" t="n">
        <f aca="false">Demand_History!D3110</f>
        <v>37</v>
      </c>
      <c r="D3110" s="33" t="n">
        <f aca="false">IF(B3110&gt;=2,C3109,"")</f>
        <v>19</v>
      </c>
      <c r="E3110" s="33" t="n">
        <f aca="false">IF(B3110&gt;=5,AVERAGE(C3106:C3109),"")</f>
        <v>32.75</v>
      </c>
      <c r="F3110" s="33" t="n">
        <f aca="false">IF(B3110&gt;=9,AVERAGE(C3102:C3109),"")</f>
        <v>33</v>
      </c>
      <c r="G3110" s="33" t="n">
        <f aca="false">IF(B3110=1,"",IF(B3110=2,C3109,SES_Alpha*C3109+(1-SES_Alpha)*G3109))</f>
        <v>31.4466590836433</v>
      </c>
      <c r="H3110" s="33" t="n">
        <f aca="false">IF(D3110="","",D3110-C3110)</f>
        <v>-18</v>
      </c>
      <c r="I3110" s="33" t="n">
        <f aca="false">IF(E3110="","",E3110-C3110)</f>
        <v>-4.25</v>
      </c>
      <c r="J3110" s="33" t="n">
        <f aca="false">IF(F3110="","",F3110-C3110)</f>
        <v>-4</v>
      </c>
      <c r="K3110" s="33" t="n">
        <f aca="false">IF(G3110="","",G3110-C3110)</f>
        <v>-5.55334091635671</v>
      </c>
      <c r="L3110" s="33" t="n">
        <f aca="false">IF(H3110="","",ABS(H3110))</f>
        <v>18</v>
      </c>
      <c r="M3110" s="33" t="n">
        <f aca="false">IF(I3110="","",ABS(I3110))</f>
        <v>4.25</v>
      </c>
      <c r="N3110" s="33" t="n">
        <f aca="false">IF(J3110="","",ABS(J3110))</f>
        <v>4</v>
      </c>
      <c r="O3110" s="33" t="n">
        <f aca="false">IF(K3110="","",ABS(K3110))</f>
        <v>5.55334091635671</v>
      </c>
      <c r="P3110" s="34" t="str">
        <f aca="false">IF(B3110&gt;=Eval_Start_Week,"YES","")</f>
        <v>YES</v>
      </c>
      <c r="Q3110" s="34" t="str">
        <f aca="false">IF(AND(B3110&gt;=Cal_Start_Week,B3110&lt;=Cal_End_Week),"YES","")</f>
        <v/>
      </c>
    </row>
    <row r="3111" customFormat="false" ht="15" hidden="false" customHeight="false" outlineLevel="0" collapsed="false">
      <c r="A3111" s="31" t="str">
        <f aca="false">Demand_History!C3111</f>
        <v>ELE-001</v>
      </c>
      <c r="B3111" s="31" t="n">
        <f aca="false">Demand_History!A3111</f>
        <v>94</v>
      </c>
      <c r="C3111" s="32" t="n">
        <f aca="false">Demand_History!D3111</f>
        <v>26</v>
      </c>
      <c r="D3111" s="33" t="n">
        <f aca="false">IF(B3111&gt;=2,C3110,"")</f>
        <v>37</v>
      </c>
      <c r="E3111" s="33" t="n">
        <f aca="false">IF(B3111&gt;=5,AVERAGE(C3107:C3110),"")</f>
        <v>33.25</v>
      </c>
      <c r="F3111" s="33" t="n">
        <f aca="false">IF(B3111&gt;=9,AVERAGE(C3103:C3110),"")</f>
        <v>33.75</v>
      </c>
      <c r="G3111" s="33" t="n">
        <f aca="false">IF(B3111=1,"",IF(B3111=2,C3110,SES_Alpha*C3110+(1-SES_Alpha)*G3110))</f>
        <v>33.1126613585503</v>
      </c>
      <c r="H3111" s="33" t="n">
        <f aca="false">IF(D3111="","",D3111-C3111)</f>
        <v>11</v>
      </c>
      <c r="I3111" s="33" t="n">
        <f aca="false">IF(E3111="","",E3111-C3111)</f>
        <v>7.25</v>
      </c>
      <c r="J3111" s="33" t="n">
        <f aca="false">IF(F3111="","",F3111-C3111)</f>
        <v>7.75</v>
      </c>
      <c r="K3111" s="33" t="n">
        <f aca="false">IF(G3111="","",G3111-C3111)</f>
        <v>7.1126613585503</v>
      </c>
      <c r="L3111" s="33" t="n">
        <f aca="false">IF(H3111="","",ABS(H3111))</f>
        <v>11</v>
      </c>
      <c r="M3111" s="33" t="n">
        <f aca="false">IF(I3111="","",ABS(I3111))</f>
        <v>7.25</v>
      </c>
      <c r="N3111" s="33" t="n">
        <f aca="false">IF(J3111="","",ABS(J3111))</f>
        <v>7.75</v>
      </c>
      <c r="O3111" s="33" t="n">
        <f aca="false">IF(K3111="","",ABS(K3111))</f>
        <v>7.1126613585503</v>
      </c>
      <c r="P3111" s="34" t="str">
        <f aca="false">IF(B3111&gt;=Eval_Start_Week,"YES","")</f>
        <v>YES</v>
      </c>
      <c r="Q3111" s="34" t="str">
        <f aca="false">IF(AND(B3111&gt;=Cal_Start_Week,B3111&lt;=Cal_End_Week),"YES","")</f>
        <v/>
      </c>
    </row>
    <row r="3112" customFormat="false" ht="15" hidden="false" customHeight="false" outlineLevel="0" collapsed="false">
      <c r="A3112" s="31" t="str">
        <f aca="false">Demand_History!C3112</f>
        <v>ELE-001</v>
      </c>
      <c r="B3112" s="31" t="n">
        <f aca="false">Demand_History!A3112</f>
        <v>95</v>
      </c>
      <c r="C3112" s="32" t="n">
        <f aca="false">Demand_History!D3112</f>
        <v>36</v>
      </c>
      <c r="D3112" s="33" t="n">
        <f aca="false">IF(B3112&gt;=2,C3111,"")</f>
        <v>26</v>
      </c>
      <c r="E3112" s="33" t="n">
        <f aca="false">IF(B3112&gt;=5,AVERAGE(C3108:C3111),"")</f>
        <v>30.25</v>
      </c>
      <c r="F3112" s="33" t="n">
        <f aca="false">IF(B3112&gt;=9,AVERAGE(C3104:C3111),"")</f>
        <v>32.75</v>
      </c>
      <c r="G3112" s="33" t="n">
        <f aca="false">IF(B3112=1,"",IF(B3112=2,C3111,SES_Alpha*C3111+(1-SES_Alpha)*G3111))</f>
        <v>30.9788629509852</v>
      </c>
      <c r="H3112" s="33" t="n">
        <f aca="false">IF(D3112="","",D3112-C3112)</f>
        <v>-10</v>
      </c>
      <c r="I3112" s="33" t="n">
        <f aca="false">IF(E3112="","",E3112-C3112)</f>
        <v>-5.75</v>
      </c>
      <c r="J3112" s="33" t="n">
        <f aca="false">IF(F3112="","",F3112-C3112)</f>
        <v>-3.25</v>
      </c>
      <c r="K3112" s="33" t="n">
        <f aca="false">IF(G3112="","",G3112-C3112)</f>
        <v>-5.02113704901479</v>
      </c>
      <c r="L3112" s="33" t="n">
        <f aca="false">IF(H3112="","",ABS(H3112))</f>
        <v>10</v>
      </c>
      <c r="M3112" s="33" t="n">
        <f aca="false">IF(I3112="","",ABS(I3112))</f>
        <v>5.75</v>
      </c>
      <c r="N3112" s="33" t="n">
        <f aca="false">IF(J3112="","",ABS(J3112))</f>
        <v>3.25</v>
      </c>
      <c r="O3112" s="33" t="n">
        <f aca="false">IF(K3112="","",ABS(K3112))</f>
        <v>5.02113704901479</v>
      </c>
      <c r="P3112" s="34" t="str">
        <f aca="false">IF(B3112&gt;=Eval_Start_Week,"YES","")</f>
        <v>YES</v>
      </c>
      <c r="Q3112" s="34" t="str">
        <f aca="false">IF(AND(B3112&gt;=Cal_Start_Week,B3112&lt;=Cal_End_Week),"YES","")</f>
        <v/>
      </c>
    </row>
    <row r="3113" customFormat="false" ht="15" hidden="false" customHeight="false" outlineLevel="0" collapsed="false">
      <c r="A3113" s="31" t="str">
        <f aca="false">Demand_History!C3113</f>
        <v>ELE-001</v>
      </c>
      <c r="B3113" s="31" t="n">
        <f aca="false">Demand_History!A3113</f>
        <v>96</v>
      </c>
      <c r="C3113" s="32" t="n">
        <f aca="false">Demand_History!D3113</f>
        <v>30</v>
      </c>
      <c r="D3113" s="33" t="n">
        <f aca="false">IF(B3113&gt;=2,C3112,"")</f>
        <v>36</v>
      </c>
      <c r="E3113" s="33" t="n">
        <f aca="false">IF(B3113&gt;=5,AVERAGE(C3109:C3112),"")</f>
        <v>29.5</v>
      </c>
      <c r="F3113" s="33" t="n">
        <f aca="false">IF(B3113&gt;=9,AVERAGE(C3105:C3112),"")</f>
        <v>33.5</v>
      </c>
      <c r="G3113" s="33" t="n">
        <f aca="false">IF(B3113=1,"",IF(B3113=2,C3112,SES_Alpha*C3112+(1-SES_Alpha)*G3112))</f>
        <v>32.4852040656896</v>
      </c>
      <c r="H3113" s="33" t="n">
        <f aca="false">IF(D3113="","",D3113-C3113)</f>
        <v>6</v>
      </c>
      <c r="I3113" s="33" t="n">
        <f aca="false">IF(E3113="","",E3113-C3113)</f>
        <v>-0.5</v>
      </c>
      <c r="J3113" s="33" t="n">
        <f aca="false">IF(F3113="","",F3113-C3113)</f>
        <v>3.5</v>
      </c>
      <c r="K3113" s="33" t="n">
        <f aca="false">IF(G3113="","",G3113-C3113)</f>
        <v>2.48520406568964</v>
      </c>
      <c r="L3113" s="33" t="n">
        <f aca="false">IF(H3113="","",ABS(H3113))</f>
        <v>6</v>
      </c>
      <c r="M3113" s="33" t="n">
        <f aca="false">IF(I3113="","",ABS(I3113))</f>
        <v>0.5</v>
      </c>
      <c r="N3113" s="33" t="n">
        <f aca="false">IF(J3113="","",ABS(J3113))</f>
        <v>3.5</v>
      </c>
      <c r="O3113" s="33" t="n">
        <f aca="false">IF(K3113="","",ABS(K3113))</f>
        <v>2.48520406568964</v>
      </c>
      <c r="P3113" s="34" t="str">
        <f aca="false">IF(B3113&gt;=Eval_Start_Week,"YES","")</f>
        <v>YES</v>
      </c>
      <c r="Q3113" s="34" t="str">
        <f aca="false">IF(AND(B3113&gt;=Cal_Start_Week,B3113&lt;=Cal_End_Week),"YES","")</f>
        <v/>
      </c>
    </row>
    <row r="3114" customFormat="false" ht="15" hidden="false" customHeight="false" outlineLevel="0" collapsed="false">
      <c r="A3114" s="31" t="str">
        <f aca="false">Demand_History!C3114</f>
        <v>ELE-001</v>
      </c>
      <c r="B3114" s="31" t="n">
        <f aca="false">Demand_History!A3114</f>
        <v>97</v>
      </c>
      <c r="C3114" s="32" t="n">
        <f aca="false">Demand_History!D3114</f>
        <v>36</v>
      </c>
      <c r="D3114" s="33" t="n">
        <f aca="false">IF(B3114&gt;=2,C3113,"")</f>
        <v>30</v>
      </c>
      <c r="E3114" s="33" t="n">
        <f aca="false">IF(B3114&gt;=5,AVERAGE(C3110:C3113),"")</f>
        <v>32.25</v>
      </c>
      <c r="F3114" s="33" t="n">
        <f aca="false">IF(B3114&gt;=9,AVERAGE(C3106:C3113),"")</f>
        <v>32.5</v>
      </c>
      <c r="G3114" s="33" t="n">
        <f aca="false">IF(B3114=1,"",IF(B3114=2,C3113,SES_Alpha*C3113+(1-SES_Alpha)*G3113))</f>
        <v>31.7396428459828</v>
      </c>
      <c r="H3114" s="33" t="n">
        <f aca="false">IF(D3114="","",D3114-C3114)</f>
        <v>-6</v>
      </c>
      <c r="I3114" s="33" t="n">
        <f aca="false">IF(E3114="","",E3114-C3114)</f>
        <v>-3.75</v>
      </c>
      <c r="J3114" s="33" t="n">
        <f aca="false">IF(F3114="","",F3114-C3114)</f>
        <v>-3.5</v>
      </c>
      <c r="K3114" s="33" t="n">
        <f aca="false">IF(G3114="","",G3114-C3114)</f>
        <v>-4.26035715401725</v>
      </c>
      <c r="L3114" s="33" t="n">
        <f aca="false">IF(H3114="","",ABS(H3114))</f>
        <v>6</v>
      </c>
      <c r="M3114" s="33" t="n">
        <f aca="false">IF(I3114="","",ABS(I3114))</f>
        <v>3.75</v>
      </c>
      <c r="N3114" s="33" t="n">
        <f aca="false">IF(J3114="","",ABS(J3114))</f>
        <v>3.5</v>
      </c>
      <c r="O3114" s="33" t="n">
        <f aca="false">IF(K3114="","",ABS(K3114))</f>
        <v>4.26035715401725</v>
      </c>
      <c r="P3114" s="34" t="str">
        <f aca="false">IF(B3114&gt;=Eval_Start_Week,"YES","")</f>
        <v>YES</v>
      </c>
      <c r="Q3114" s="34" t="str">
        <f aca="false">IF(AND(B3114&gt;=Cal_Start_Week,B3114&lt;=Cal_End_Week),"YES","")</f>
        <v/>
      </c>
    </row>
    <row r="3115" customFormat="false" ht="15" hidden="false" customHeight="false" outlineLevel="0" collapsed="false">
      <c r="A3115" s="31" t="str">
        <f aca="false">Demand_History!C3115</f>
        <v>ELE-001</v>
      </c>
      <c r="B3115" s="31" t="n">
        <f aca="false">Demand_History!A3115</f>
        <v>98</v>
      </c>
      <c r="C3115" s="32" t="n">
        <f aca="false">Demand_History!D3115</f>
        <v>42</v>
      </c>
      <c r="D3115" s="33" t="n">
        <f aca="false">IF(B3115&gt;=2,C3114,"")</f>
        <v>36</v>
      </c>
      <c r="E3115" s="33" t="n">
        <f aca="false">IF(B3115&gt;=5,AVERAGE(C3111:C3114),"")</f>
        <v>32</v>
      </c>
      <c r="F3115" s="33" t="n">
        <f aca="false">IF(B3115&gt;=9,AVERAGE(C3107:C3114),"")</f>
        <v>32.625</v>
      </c>
      <c r="G3115" s="33" t="n">
        <f aca="false">IF(B3115=1,"",IF(B3115=2,C3114,SES_Alpha*C3114+(1-SES_Alpha)*G3114))</f>
        <v>33.0177499921879</v>
      </c>
      <c r="H3115" s="33" t="n">
        <f aca="false">IF(D3115="","",D3115-C3115)</f>
        <v>-6</v>
      </c>
      <c r="I3115" s="33" t="n">
        <f aca="false">IF(E3115="","",E3115-C3115)</f>
        <v>-10</v>
      </c>
      <c r="J3115" s="33" t="n">
        <f aca="false">IF(F3115="","",F3115-C3115)</f>
        <v>-9.375</v>
      </c>
      <c r="K3115" s="33" t="n">
        <f aca="false">IF(G3115="","",G3115-C3115)</f>
        <v>-8.98225000781208</v>
      </c>
      <c r="L3115" s="33" t="n">
        <f aca="false">IF(H3115="","",ABS(H3115))</f>
        <v>6</v>
      </c>
      <c r="M3115" s="33" t="n">
        <f aca="false">IF(I3115="","",ABS(I3115))</f>
        <v>10</v>
      </c>
      <c r="N3115" s="33" t="n">
        <f aca="false">IF(J3115="","",ABS(J3115))</f>
        <v>9.375</v>
      </c>
      <c r="O3115" s="33" t="n">
        <f aca="false">IF(K3115="","",ABS(K3115))</f>
        <v>8.98225000781208</v>
      </c>
      <c r="P3115" s="34" t="str">
        <f aca="false">IF(B3115&gt;=Eval_Start_Week,"YES","")</f>
        <v>YES</v>
      </c>
      <c r="Q3115" s="34" t="str">
        <f aca="false">IF(AND(B3115&gt;=Cal_Start_Week,B3115&lt;=Cal_End_Week),"YES","")</f>
        <v/>
      </c>
    </row>
    <row r="3116" customFormat="false" ht="15" hidden="false" customHeight="false" outlineLevel="0" collapsed="false">
      <c r="A3116" s="31" t="str">
        <f aca="false">Demand_History!C3116</f>
        <v>ELE-001</v>
      </c>
      <c r="B3116" s="31" t="n">
        <f aca="false">Demand_History!A3116</f>
        <v>99</v>
      </c>
      <c r="C3116" s="32" t="n">
        <f aca="false">Demand_History!D3116</f>
        <v>26</v>
      </c>
      <c r="D3116" s="33" t="n">
        <f aca="false">IF(B3116&gt;=2,C3115,"")</f>
        <v>42</v>
      </c>
      <c r="E3116" s="33" t="n">
        <f aca="false">IF(B3116&gt;=5,AVERAGE(C3112:C3115),"")</f>
        <v>36</v>
      </c>
      <c r="F3116" s="33" t="n">
        <f aca="false">IF(B3116&gt;=9,AVERAGE(C3108:C3115),"")</f>
        <v>33.125</v>
      </c>
      <c r="G3116" s="33" t="n">
        <f aca="false">IF(B3116=1,"",IF(B3116=2,C3115,SES_Alpha*C3115+(1-SES_Alpha)*G3115))</f>
        <v>35.7124249945315</v>
      </c>
      <c r="H3116" s="33" t="n">
        <f aca="false">IF(D3116="","",D3116-C3116)</f>
        <v>16</v>
      </c>
      <c r="I3116" s="33" t="n">
        <f aca="false">IF(E3116="","",E3116-C3116)</f>
        <v>10</v>
      </c>
      <c r="J3116" s="33" t="n">
        <f aca="false">IF(F3116="","",F3116-C3116)</f>
        <v>7.125</v>
      </c>
      <c r="K3116" s="33" t="n">
        <f aca="false">IF(G3116="","",G3116-C3116)</f>
        <v>9.71242499453155</v>
      </c>
      <c r="L3116" s="33" t="n">
        <f aca="false">IF(H3116="","",ABS(H3116))</f>
        <v>16</v>
      </c>
      <c r="M3116" s="33" t="n">
        <f aca="false">IF(I3116="","",ABS(I3116))</f>
        <v>10</v>
      </c>
      <c r="N3116" s="33" t="n">
        <f aca="false">IF(J3116="","",ABS(J3116))</f>
        <v>7.125</v>
      </c>
      <c r="O3116" s="33" t="n">
        <f aca="false">IF(K3116="","",ABS(K3116))</f>
        <v>9.71242499453155</v>
      </c>
      <c r="P3116" s="34" t="str">
        <f aca="false">IF(B3116&gt;=Eval_Start_Week,"YES","")</f>
        <v>YES</v>
      </c>
      <c r="Q3116" s="34" t="str">
        <f aca="false">IF(AND(B3116&gt;=Cal_Start_Week,B3116&lt;=Cal_End_Week),"YES","")</f>
        <v/>
      </c>
    </row>
    <row r="3117" customFormat="false" ht="15" hidden="false" customHeight="false" outlineLevel="0" collapsed="false">
      <c r="A3117" s="31" t="str">
        <f aca="false">Demand_History!C3117</f>
        <v>ELE-001</v>
      </c>
      <c r="B3117" s="31" t="n">
        <f aca="false">Demand_History!A3117</f>
        <v>100</v>
      </c>
      <c r="C3117" s="32" t="n">
        <f aca="false">Demand_History!D3117</f>
        <v>36</v>
      </c>
      <c r="D3117" s="33" t="n">
        <f aca="false">IF(B3117&gt;=2,C3116,"")</f>
        <v>26</v>
      </c>
      <c r="E3117" s="33" t="n">
        <f aca="false">IF(B3117&gt;=5,AVERAGE(C3113:C3116),"")</f>
        <v>33.5</v>
      </c>
      <c r="F3117" s="33" t="n">
        <f aca="false">IF(B3117&gt;=9,AVERAGE(C3109:C3116),"")</f>
        <v>31.5</v>
      </c>
      <c r="G3117" s="33" t="n">
        <f aca="false">IF(B3117=1,"",IF(B3117=2,C3116,SES_Alpha*C3116+(1-SES_Alpha)*G3116))</f>
        <v>32.7986974961721</v>
      </c>
      <c r="H3117" s="33" t="n">
        <f aca="false">IF(D3117="","",D3117-C3117)</f>
        <v>-10</v>
      </c>
      <c r="I3117" s="33" t="n">
        <f aca="false">IF(E3117="","",E3117-C3117)</f>
        <v>-2.5</v>
      </c>
      <c r="J3117" s="33" t="n">
        <f aca="false">IF(F3117="","",F3117-C3117)</f>
        <v>-4.5</v>
      </c>
      <c r="K3117" s="33" t="n">
        <f aca="false">IF(G3117="","",G3117-C3117)</f>
        <v>-3.20130250382792</v>
      </c>
      <c r="L3117" s="33" t="n">
        <f aca="false">IF(H3117="","",ABS(H3117))</f>
        <v>10</v>
      </c>
      <c r="M3117" s="33" t="n">
        <f aca="false">IF(I3117="","",ABS(I3117))</f>
        <v>2.5</v>
      </c>
      <c r="N3117" s="33" t="n">
        <f aca="false">IF(J3117="","",ABS(J3117))</f>
        <v>4.5</v>
      </c>
      <c r="O3117" s="33" t="n">
        <f aca="false">IF(K3117="","",ABS(K3117))</f>
        <v>3.20130250382792</v>
      </c>
      <c r="P3117" s="34" t="str">
        <f aca="false">IF(B3117&gt;=Eval_Start_Week,"YES","")</f>
        <v>YES</v>
      </c>
      <c r="Q3117" s="34" t="str">
        <f aca="false">IF(AND(B3117&gt;=Cal_Start_Week,B3117&lt;=Cal_End_Week),"YES","")</f>
        <v/>
      </c>
    </row>
    <row r="3118" customFormat="false" ht="15" hidden="false" customHeight="false" outlineLevel="0" collapsed="false">
      <c r="A3118" s="31" t="str">
        <f aca="false">Demand_History!C3118</f>
        <v>ELE-001</v>
      </c>
      <c r="B3118" s="31" t="n">
        <f aca="false">Demand_History!A3118</f>
        <v>101</v>
      </c>
      <c r="C3118" s="32" t="n">
        <f aca="false">Demand_History!D3118</f>
        <v>35</v>
      </c>
      <c r="D3118" s="33" t="n">
        <f aca="false">IF(B3118&gt;=2,C3117,"")</f>
        <v>36</v>
      </c>
      <c r="E3118" s="33" t="n">
        <f aca="false">IF(B3118&gt;=5,AVERAGE(C3114:C3117),"")</f>
        <v>35</v>
      </c>
      <c r="F3118" s="33" t="n">
        <f aca="false">IF(B3118&gt;=9,AVERAGE(C3110:C3117),"")</f>
        <v>33.625</v>
      </c>
      <c r="G3118" s="33" t="n">
        <f aca="false">IF(B3118=1,"",IF(B3118=2,C3117,SES_Alpha*C3117+(1-SES_Alpha)*G3117))</f>
        <v>33.7590882473205</v>
      </c>
      <c r="H3118" s="33" t="n">
        <f aca="false">IF(D3118="","",D3118-C3118)</f>
        <v>1</v>
      </c>
      <c r="I3118" s="33" t="n">
        <f aca="false">IF(E3118="","",E3118-C3118)</f>
        <v>0</v>
      </c>
      <c r="J3118" s="33" t="n">
        <f aca="false">IF(F3118="","",F3118-C3118)</f>
        <v>-1.375</v>
      </c>
      <c r="K3118" s="33" t="n">
        <f aca="false">IF(G3118="","",G3118-C3118)</f>
        <v>-1.24091175267954</v>
      </c>
      <c r="L3118" s="33" t="n">
        <f aca="false">IF(H3118="","",ABS(H3118))</f>
        <v>1</v>
      </c>
      <c r="M3118" s="33" t="n">
        <f aca="false">IF(I3118="","",ABS(I3118))</f>
        <v>0</v>
      </c>
      <c r="N3118" s="33" t="n">
        <f aca="false">IF(J3118="","",ABS(J3118))</f>
        <v>1.375</v>
      </c>
      <c r="O3118" s="33" t="n">
        <f aca="false">IF(K3118="","",ABS(K3118))</f>
        <v>1.24091175267954</v>
      </c>
      <c r="P3118" s="34" t="str">
        <f aca="false">IF(B3118&gt;=Eval_Start_Week,"YES","")</f>
        <v>YES</v>
      </c>
      <c r="Q3118" s="34" t="str">
        <f aca="false">IF(AND(B3118&gt;=Cal_Start_Week,B3118&lt;=Cal_End_Week),"YES","")</f>
        <v/>
      </c>
    </row>
    <row r="3119" customFormat="false" ht="15" hidden="false" customHeight="false" outlineLevel="0" collapsed="false">
      <c r="A3119" s="31" t="str">
        <f aca="false">Demand_History!C3119</f>
        <v>ELE-001</v>
      </c>
      <c r="B3119" s="31" t="n">
        <f aca="false">Demand_History!A3119</f>
        <v>102</v>
      </c>
      <c r="C3119" s="32" t="n">
        <f aca="false">Demand_History!D3119</f>
        <v>25</v>
      </c>
      <c r="D3119" s="33" t="n">
        <f aca="false">IF(B3119&gt;=2,C3118,"")</f>
        <v>35</v>
      </c>
      <c r="E3119" s="33" t="n">
        <f aca="false">IF(B3119&gt;=5,AVERAGE(C3115:C3118),"")</f>
        <v>34.75</v>
      </c>
      <c r="F3119" s="33" t="n">
        <f aca="false">IF(B3119&gt;=9,AVERAGE(C3111:C3118),"")</f>
        <v>33.375</v>
      </c>
      <c r="G3119" s="33" t="n">
        <f aca="false">IF(B3119=1,"",IF(B3119=2,C3118,SES_Alpha*C3118+(1-SES_Alpha)*G3118))</f>
        <v>34.1313617731243</v>
      </c>
      <c r="H3119" s="33" t="n">
        <f aca="false">IF(D3119="","",D3119-C3119)</f>
        <v>10</v>
      </c>
      <c r="I3119" s="33" t="n">
        <f aca="false">IF(E3119="","",E3119-C3119)</f>
        <v>9.75</v>
      </c>
      <c r="J3119" s="33" t="n">
        <f aca="false">IF(F3119="","",F3119-C3119)</f>
        <v>8.375</v>
      </c>
      <c r="K3119" s="33" t="n">
        <f aca="false">IF(G3119="","",G3119-C3119)</f>
        <v>9.13136177312432</v>
      </c>
      <c r="L3119" s="33" t="n">
        <f aca="false">IF(H3119="","",ABS(H3119))</f>
        <v>10</v>
      </c>
      <c r="M3119" s="33" t="n">
        <f aca="false">IF(I3119="","",ABS(I3119))</f>
        <v>9.75</v>
      </c>
      <c r="N3119" s="33" t="n">
        <f aca="false">IF(J3119="","",ABS(J3119))</f>
        <v>8.375</v>
      </c>
      <c r="O3119" s="33" t="n">
        <f aca="false">IF(K3119="","",ABS(K3119))</f>
        <v>9.13136177312432</v>
      </c>
      <c r="P3119" s="34" t="str">
        <f aca="false">IF(B3119&gt;=Eval_Start_Week,"YES","")</f>
        <v>YES</v>
      </c>
      <c r="Q3119" s="34" t="str">
        <f aca="false">IF(AND(B3119&gt;=Cal_Start_Week,B3119&lt;=Cal_End_Week),"YES","")</f>
        <v/>
      </c>
    </row>
    <row r="3120" customFormat="false" ht="15" hidden="false" customHeight="false" outlineLevel="0" collapsed="false">
      <c r="A3120" s="31" t="str">
        <f aca="false">Demand_History!C3120</f>
        <v>ELE-001</v>
      </c>
      <c r="B3120" s="31" t="n">
        <f aca="false">Demand_History!A3120</f>
        <v>103</v>
      </c>
      <c r="C3120" s="32" t="n">
        <f aca="false">Demand_History!D3120</f>
        <v>38</v>
      </c>
      <c r="D3120" s="33" t="n">
        <f aca="false">IF(B3120&gt;=2,C3119,"")</f>
        <v>25</v>
      </c>
      <c r="E3120" s="33" t="n">
        <f aca="false">IF(B3120&gt;=5,AVERAGE(C3116:C3119),"")</f>
        <v>30.5</v>
      </c>
      <c r="F3120" s="33" t="n">
        <f aca="false">IF(B3120&gt;=9,AVERAGE(C3112:C3119),"")</f>
        <v>33.25</v>
      </c>
      <c r="G3120" s="33" t="n">
        <f aca="false">IF(B3120=1,"",IF(B3120=2,C3119,SES_Alpha*C3119+(1-SES_Alpha)*G3119))</f>
        <v>31.391953241187</v>
      </c>
      <c r="H3120" s="33" t="n">
        <f aca="false">IF(D3120="","",D3120-C3120)</f>
        <v>-13</v>
      </c>
      <c r="I3120" s="33" t="n">
        <f aca="false">IF(E3120="","",E3120-C3120)</f>
        <v>-7.5</v>
      </c>
      <c r="J3120" s="33" t="n">
        <f aca="false">IF(F3120="","",F3120-C3120)</f>
        <v>-4.75</v>
      </c>
      <c r="K3120" s="33" t="n">
        <f aca="false">IF(G3120="","",G3120-C3120)</f>
        <v>-6.60804675881298</v>
      </c>
      <c r="L3120" s="33" t="n">
        <f aca="false">IF(H3120="","",ABS(H3120))</f>
        <v>13</v>
      </c>
      <c r="M3120" s="33" t="n">
        <f aca="false">IF(I3120="","",ABS(I3120))</f>
        <v>7.5</v>
      </c>
      <c r="N3120" s="33" t="n">
        <f aca="false">IF(J3120="","",ABS(J3120))</f>
        <v>4.75</v>
      </c>
      <c r="O3120" s="33" t="n">
        <f aca="false">IF(K3120="","",ABS(K3120))</f>
        <v>6.60804675881298</v>
      </c>
      <c r="P3120" s="34" t="str">
        <f aca="false">IF(B3120&gt;=Eval_Start_Week,"YES","")</f>
        <v>YES</v>
      </c>
      <c r="Q3120" s="34" t="str">
        <f aca="false">IF(AND(B3120&gt;=Cal_Start_Week,B3120&lt;=Cal_End_Week),"YES","")</f>
        <v/>
      </c>
    </row>
    <row r="3121" customFormat="false" ht="15" hidden="false" customHeight="false" outlineLevel="0" collapsed="false">
      <c r="A3121" s="31" t="str">
        <f aca="false">Demand_History!C3121</f>
        <v>ELE-001</v>
      </c>
      <c r="B3121" s="31" t="n">
        <f aca="false">Demand_History!A3121</f>
        <v>104</v>
      </c>
      <c r="C3121" s="32" t="n">
        <f aca="false">Demand_History!D3121</f>
        <v>35</v>
      </c>
      <c r="D3121" s="33" t="n">
        <f aca="false">IF(B3121&gt;=2,C3120,"")</f>
        <v>38</v>
      </c>
      <c r="E3121" s="33" t="n">
        <f aca="false">IF(B3121&gt;=5,AVERAGE(C3117:C3120),"")</f>
        <v>33.5</v>
      </c>
      <c r="F3121" s="33" t="n">
        <f aca="false">IF(B3121&gt;=9,AVERAGE(C3113:C3120),"")</f>
        <v>33.5</v>
      </c>
      <c r="G3121" s="33" t="n">
        <f aca="false">IF(B3121=1,"",IF(B3121=2,C3120,SES_Alpha*C3120+(1-SES_Alpha)*G3120))</f>
        <v>33.3743672688309</v>
      </c>
      <c r="H3121" s="33" t="n">
        <f aca="false">IF(D3121="","",D3121-C3121)</f>
        <v>3</v>
      </c>
      <c r="I3121" s="33" t="n">
        <f aca="false">IF(E3121="","",E3121-C3121)</f>
        <v>-1.5</v>
      </c>
      <c r="J3121" s="33" t="n">
        <f aca="false">IF(F3121="","",F3121-C3121)</f>
        <v>-1.5</v>
      </c>
      <c r="K3121" s="33" t="n">
        <f aca="false">IF(G3121="","",G3121-C3121)</f>
        <v>-1.62563273116908</v>
      </c>
      <c r="L3121" s="33" t="n">
        <f aca="false">IF(H3121="","",ABS(H3121))</f>
        <v>3</v>
      </c>
      <c r="M3121" s="33" t="n">
        <f aca="false">IF(I3121="","",ABS(I3121))</f>
        <v>1.5</v>
      </c>
      <c r="N3121" s="33" t="n">
        <f aca="false">IF(J3121="","",ABS(J3121))</f>
        <v>1.5</v>
      </c>
      <c r="O3121" s="33" t="n">
        <f aca="false">IF(K3121="","",ABS(K3121))</f>
        <v>1.62563273116908</v>
      </c>
      <c r="P3121" s="34" t="str">
        <f aca="false">IF(B3121&gt;=Eval_Start_Week,"YES","")</f>
        <v>YES</v>
      </c>
      <c r="Q3121" s="34" t="str">
        <f aca="false">IF(AND(B3121&gt;=Cal_Start_Week,B3121&lt;=Cal_End_Week),"YES","")</f>
        <v/>
      </c>
    </row>
    <row r="3122" customFormat="false" ht="15" hidden="false" customHeight="false" outlineLevel="0" collapsed="false">
      <c r="A3122" s="31" t="str">
        <f aca="false">Demand_History!C3122</f>
        <v>ELE-002</v>
      </c>
      <c r="B3122" s="31" t="n">
        <f aca="false">Demand_History!A3122</f>
        <v>1</v>
      </c>
      <c r="C3122" s="32" t="n">
        <f aca="false">Demand_History!D3122</f>
        <v>31</v>
      </c>
      <c r="D3122" s="33" t="str">
        <f aca="false">IF(B3122&gt;=2,C3121,"")</f>
        <v/>
      </c>
      <c r="E3122" s="33" t="str">
        <f aca="false">IF(B3122&gt;=5,AVERAGE(C3118:C3121),"")</f>
        <v/>
      </c>
      <c r="F3122" s="33" t="str">
        <f aca="false">IF(B3122&gt;=9,AVERAGE(C3114:C3121),"")</f>
        <v/>
      </c>
      <c r="G3122" s="33" t="str">
        <f aca="false">IF(B3122=1,"",IF(B3122=2,C3121,SES_Alpha*C3121+(1-SES_Alpha)*G3121))</f>
        <v/>
      </c>
      <c r="H3122" s="33" t="str">
        <f aca="false">IF(D3122="","",D3122-C3122)</f>
        <v/>
      </c>
      <c r="I3122" s="33" t="str">
        <f aca="false">IF(E3122="","",E3122-C3122)</f>
        <v/>
      </c>
      <c r="J3122" s="33" t="str">
        <f aca="false">IF(F3122="","",F3122-C3122)</f>
        <v/>
      </c>
      <c r="K3122" s="33" t="str">
        <f aca="false">IF(G3122="","",G3122-C3122)</f>
        <v/>
      </c>
      <c r="L3122" s="33" t="str">
        <f aca="false">IF(H3122="","",ABS(H3122))</f>
        <v/>
      </c>
      <c r="M3122" s="33" t="str">
        <f aca="false">IF(I3122="","",ABS(I3122))</f>
        <v/>
      </c>
      <c r="N3122" s="33" t="str">
        <f aca="false">IF(J3122="","",ABS(J3122))</f>
        <v/>
      </c>
      <c r="O3122" s="33" t="str">
        <f aca="false">IF(K3122="","",ABS(K3122))</f>
        <v/>
      </c>
      <c r="P3122" s="34" t="str">
        <f aca="false">IF(B3122&gt;=Eval_Start_Week,"YES","")</f>
        <v/>
      </c>
      <c r="Q3122" s="34" t="str">
        <f aca="false">IF(AND(B3122&gt;=Cal_Start_Week,B3122&lt;=Cal_End_Week),"YES","")</f>
        <v/>
      </c>
    </row>
    <row r="3123" customFormat="false" ht="15" hidden="false" customHeight="false" outlineLevel="0" collapsed="false">
      <c r="A3123" s="31" t="str">
        <f aca="false">Demand_History!C3123</f>
        <v>ELE-002</v>
      </c>
      <c r="B3123" s="31" t="n">
        <f aca="false">Demand_History!A3123</f>
        <v>2</v>
      </c>
      <c r="C3123" s="32" t="n">
        <f aca="false">Demand_History!D3123</f>
        <v>80</v>
      </c>
      <c r="D3123" s="33" t="n">
        <f aca="false">IF(B3123&gt;=2,C3122,"")</f>
        <v>31</v>
      </c>
      <c r="E3123" s="33" t="str">
        <f aca="false">IF(B3123&gt;=5,AVERAGE(C3119:C3122),"")</f>
        <v/>
      </c>
      <c r="F3123" s="33" t="str">
        <f aca="false">IF(B3123&gt;=9,AVERAGE(C3115:C3122),"")</f>
        <v/>
      </c>
      <c r="G3123" s="33" t="n">
        <f aca="false">IF(B3123=1,"",IF(B3123=2,C3122,SES_Alpha*C3122+(1-SES_Alpha)*G3122))</f>
        <v>31</v>
      </c>
      <c r="H3123" s="33" t="n">
        <f aca="false">IF(D3123="","",D3123-C3123)</f>
        <v>-49</v>
      </c>
      <c r="I3123" s="33" t="str">
        <f aca="false">IF(E3123="","",E3123-C3123)</f>
        <v/>
      </c>
      <c r="J3123" s="33" t="str">
        <f aca="false">IF(F3123="","",F3123-C3123)</f>
        <v/>
      </c>
      <c r="K3123" s="33" t="n">
        <f aca="false">IF(G3123="","",G3123-C3123)</f>
        <v>-49</v>
      </c>
      <c r="L3123" s="33" t="n">
        <f aca="false">IF(H3123="","",ABS(H3123))</f>
        <v>49</v>
      </c>
      <c r="M3123" s="33" t="str">
        <f aca="false">IF(I3123="","",ABS(I3123))</f>
        <v/>
      </c>
      <c r="N3123" s="33" t="str">
        <f aca="false">IF(J3123="","",ABS(J3123))</f>
        <v/>
      </c>
      <c r="O3123" s="33" t="n">
        <f aca="false">IF(K3123="","",ABS(K3123))</f>
        <v>49</v>
      </c>
      <c r="P3123" s="34" t="str">
        <f aca="false">IF(B3123&gt;=Eval_Start_Week,"YES","")</f>
        <v/>
      </c>
      <c r="Q3123" s="34" t="str">
        <f aca="false">IF(AND(B3123&gt;=Cal_Start_Week,B3123&lt;=Cal_End_Week),"YES","")</f>
        <v/>
      </c>
    </row>
    <row r="3124" customFormat="false" ht="15" hidden="false" customHeight="false" outlineLevel="0" collapsed="false">
      <c r="A3124" s="31" t="str">
        <f aca="false">Demand_History!C3124</f>
        <v>ELE-002</v>
      </c>
      <c r="B3124" s="31" t="n">
        <f aca="false">Demand_History!A3124</f>
        <v>3</v>
      </c>
      <c r="C3124" s="32" t="n">
        <f aca="false">Demand_History!D3124</f>
        <v>35</v>
      </c>
      <c r="D3124" s="33" t="n">
        <f aca="false">IF(B3124&gt;=2,C3123,"")</f>
        <v>80</v>
      </c>
      <c r="E3124" s="33" t="str">
        <f aca="false">IF(B3124&gt;=5,AVERAGE(C3120:C3123),"")</f>
        <v/>
      </c>
      <c r="F3124" s="33" t="str">
        <f aca="false">IF(B3124&gt;=9,AVERAGE(C3116:C3123),"")</f>
        <v/>
      </c>
      <c r="G3124" s="33" t="n">
        <f aca="false">IF(B3124=1,"",IF(B3124=2,C3123,SES_Alpha*C3123+(1-SES_Alpha)*G3123))</f>
        <v>45.7</v>
      </c>
      <c r="H3124" s="33" t="n">
        <f aca="false">IF(D3124="","",D3124-C3124)</f>
        <v>45</v>
      </c>
      <c r="I3124" s="33" t="str">
        <f aca="false">IF(E3124="","",E3124-C3124)</f>
        <v/>
      </c>
      <c r="J3124" s="33" t="str">
        <f aca="false">IF(F3124="","",F3124-C3124)</f>
        <v/>
      </c>
      <c r="K3124" s="33" t="n">
        <f aca="false">IF(G3124="","",G3124-C3124)</f>
        <v>10.7</v>
      </c>
      <c r="L3124" s="33" t="n">
        <f aca="false">IF(H3124="","",ABS(H3124))</f>
        <v>45</v>
      </c>
      <c r="M3124" s="33" t="str">
        <f aca="false">IF(I3124="","",ABS(I3124))</f>
        <v/>
      </c>
      <c r="N3124" s="33" t="str">
        <f aca="false">IF(J3124="","",ABS(J3124))</f>
        <v/>
      </c>
      <c r="O3124" s="33" t="n">
        <f aca="false">IF(K3124="","",ABS(K3124))</f>
        <v>10.7</v>
      </c>
      <c r="P3124" s="34" t="str">
        <f aca="false">IF(B3124&gt;=Eval_Start_Week,"YES","")</f>
        <v/>
      </c>
      <c r="Q3124" s="34" t="str">
        <f aca="false">IF(AND(B3124&gt;=Cal_Start_Week,B3124&lt;=Cal_End_Week),"YES","")</f>
        <v/>
      </c>
    </row>
    <row r="3125" customFormat="false" ht="15" hidden="false" customHeight="false" outlineLevel="0" collapsed="false">
      <c r="A3125" s="31" t="str">
        <f aca="false">Demand_History!C3125</f>
        <v>ELE-002</v>
      </c>
      <c r="B3125" s="31" t="n">
        <f aca="false">Demand_History!A3125</f>
        <v>4</v>
      </c>
      <c r="C3125" s="32" t="n">
        <f aca="false">Demand_History!D3125</f>
        <v>18</v>
      </c>
      <c r="D3125" s="33" t="n">
        <f aca="false">IF(B3125&gt;=2,C3124,"")</f>
        <v>35</v>
      </c>
      <c r="E3125" s="33" t="str">
        <f aca="false">IF(B3125&gt;=5,AVERAGE(C3121:C3124),"")</f>
        <v/>
      </c>
      <c r="F3125" s="33" t="str">
        <f aca="false">IF(B3125&gt;=9,AVERAGE(C3117:C3124),"")</f>
        <v/>
      </c>
      <c r="G3125" s="33" t="n">
        <f aca="false">IF(B3125=1,"",IF(B3125=2,C3124,SES_Alpha*C3124+(1-SES_Alpha)*G3124))</f>
        <v>42.49</v>
      </c>
      <c r="H3125" s="33" t="n">
        <f aca="false">IF(D3125="","",D3125-C3125)</f>
        <v>17</v>
      </c>
      <c r="I3125" s="33" t="str">
        <f aca="false">IF(E3125="","",E3125-C3125)</f>
        <v/>
      </c>
      <c r="J3125" s="33" t="str">
        <f aca="false">IF(F3125="","",F3125-C3125)</f>
        <v/>
      </c>
      <c r="K3125" s="33" t="n">
        <f aca="false">IF(G3125="","",G3125-C3125)</f>
        <v>24.49</v>
      </c>
      <c r="L3125" s="33" t="n">
        <f aca="false">IF(H3125="","",ABS(H3125))</f>
        <v>17</v>
      </c>
      <c r="M3125" s="33" t="str">
        <f aca="false">IF(I3125="","",ABS(I3125))</f>
        <v/>
      </c>
      <c r="N3125" s="33" t="str">
        <f aca="false">IF(J3125="","",ABS(J3125))</f>
        <v/>
      </c>
      <c r="O3125" s="33" t="n">
        <f aca="false">IF(K3125="","",ABS(K3125))</f>
        <v>24.49</v>
      </c>
      <c r="P3125" s="34" t="str">
        <f aca="false">IF(B3125&gt;=Eval_Start_Week,"YES","")</f>
        <v/>
      </c>
      <c r="Q3125" s="34" t="str">
        <f aca="false">IF(AND(B3125&gt;=Cal_Start_Week,B3125&lt;=Cal_End_Week),"YES","")</f>
        <v/>
      </c>
    </row>
    <row r="3126" customFormat="false" ht="15" hidden="false" customHeight="false" outlineLevel="0" collapsed="false">
      <c r="A3126" s="31" t="str">
        <f aca="false">Demand_History!C3126</f>
        <v>ELE-002</v>
      </c>
      <c r="B3126" s="31" t="n">
        <f aca="false">Demand_History!A3126</f>
        <v>5</v>
      </c>
      <c r="C3126" s="32" t="n">
        <f aca="false">Demand_History!D3126</f>
        <v>28</v>
      </c>
      <c r="D3126" s="33" t="n">
        <f aca="false">IF(B3126&gt;=2,C3125,"")</f>
        <v>18</v>
      </c>
      <c r="E3126" s="33" t="n">
        <f aca="false">IF(B3126&gt;=5,AVERAGE(C3122:C3125),"")</f>
        <v>41</v>
      </c>
      <c r="F3126" s="33" t="str">
        <f aca="false">IF(B3126&gt;=9,AVERAGE(C3118:C3125),"")</f>
        <v/>
      </c>
      <c r="G3126" s="33" t="n">
        <f aca="false">IF(B3126=1,"",IF(B3126=2,C3125,SES_Alpha*C3125+(1-SES_Alpha)*G3125))</f>
        <v>35.143</v>
      </c>
      <c r="H3126" s="33" t="n">
        <f aca="false">IF(D3126="","",D3126-C3126)</f>
        <v>-10</v>
      </c>
      <c r="I3126" s="33" t="n">
        <f aca="false">IF(E3126="","",E3126-C3126)</f>
        <v>13</v>
      </c>
      <c r="J3126" s="33" t="str">
        <f aca="false">IF(F3126="","",F3126-C3126)</f>
        <v/>
      </c>
      <c r="K3126" s="33" t="n">
        <f aca="false">IF(G3126="","",G3126-C3126)</f>
        <v>7.14299999999999</v>
      </c>
      <c r="L3126" s="33" t="n">
        <f aca="false">IF(H3126="","",ABS(H3126))</f>
        <v>10</v>
      </c>
      <c r="M3126" s="33" t="n">
        <f aca="false">IF(I3126="","",ABS(I3126))</f>
        <v>13</v>
      </c>
      <c r="N3126" s="33" t="str">
        <f aca="false">IF(J3126="","",ABS(J3126))</f>
        <v/>
      </c>
      <c r="O3126" s="33" t="n">
        <f aca="false">IF(K3126="","",ABS(K3126))</f>
        <v>7.14299999999999</v>
      </c>
      <c r="P3126" s="34" t="str">
        <f aca="false">IF(B3126&gt;=Eval_Start_Week,"YES","")</f>
        <v/>
      </c>
      <c r="Q3126" s="34" t="str">
        <f aca="false">IF(AND(B3126&gt;=Cal_Start_Week,B3126&lt;=Cal_End_Week),"YES","")</f>
        <v/>
      </c>
    </row>
    <row r="3127" customFormat="false" ht="15" hidden="false" customHeight="false" outlineLevel="0" collapsed="false">
      <c r="A3127" s="31" t="str">
        <f aca="false">Demand_History!C3127</f>
        <v>ELE-002</v>
      </c>
      <c r="B3127" s="31" t="n">
        <f aca="false">Demand_History!A3127</f>
        <v>6</v>
      </c>
      <c r="C3127" s="32" t="n">
        <f aca="false">Demand_History!D3127</f>
        <v>35</v>
      </c>
      <c r="D3127" s="33" t="n">
        <f aca="false">IF(B3127&gt;=2,C3126,"")</f>
        <v>28</v>
      </c>
      <c r="E3127" s="33" t="n">
        <f aca="false">IF(B3127&gt;=5,AVERAGE(C3123:C3126),"")</f>
        <v>40.25</v>
      </c>
      <c r="F3127" s="33" t="str">
        <f aca="false">IF(B3127&gt;=9,AVERAGE(C3119:C3126),"")</f>
        <v/>
      </c>
      <c r="G3127" s="33" t="n">
        <f aca="false">IF(B3127=1,"",IF(B3127=2,C3126,SES_Alpha*C3126+(1-SES_Alpha)*G3126))</f>
        <v>33.0001</v>
      </c>
      <c r="H3127" s="33" t="n">
        <f aca="false">IF(D3127="","",D3127-C3127)</f>
        <v>-7</v>
      </c>
      <c r="I3127" s="33" t="n">
        <f aca="false">IF(E3127="","",E3127-C3127)</f>
        <v>5.25</v>
      </c>
      <c r="J3127" s="33" t="str">
        <f aca="false">IF(F3127="","",F3127-C3127)</f>
        <v/>
      </c>
      <c r="K3127" s="33" t="n">
        <f aca="false">IF(G3127="","",G3127-C3127)</f>
        <v>-1.9999</v>
      </c>
      <c r="L3127" s="33" t="n">
        <f aca="false">IF(H3127="","",ABS(H3127))</f>
        <v>7</v>
      </c>
      <c r="M3127" s="33" t="n">
        <f aca="false">IF(I3127="","",ABS(I3127))</f>
        <v>5.25</v>
      </c>
      <c r="N3127" s="33" t="str">
        <f aca="false">IF(J3127="","",ABS(J3127))</f>
        <v/>
      </c>
      <c r="O3127" s="33" t="n">
        <f aca="false">IF(K3127="","",ABS(K3127))</f>
        <v>1.9999</v>
      </c>
      <c r="P3127" s="34" t="str">
        <f aca="false">IF(B3127&gt;=Eval_Start_Week,"YES","")</f>
        <v/>
      </c>
      <c r="Q3127" s="34" t="str">
        <f aca="false">IF(AND(B3127&gt;=Cal_Start_Week,B3127&lt;=Cal_End_Week),"YES","")</f>
        <v/>
      </c>
    </row>
    <row r="3128" customFormat="false" ht="15" hidden="false" customHeight="false" outlineLevel="0" collapsed="false">
      <c r="A3128" s="31" t="str">
        <f aca="false">Demand_History!C3128</f>
        <v>ELE-002</v>
      </c>
      <c r="B3128" s="31" t="n">
        <f aca="false">Demand_History!A3128</f>
        <v>7</v>
      </c>
      <c r="C3128" s="32" t="n">
        <f aca="false">Demand_History!D3128</f>
        <v>35</v>
      </c>
      <c r="D3128" s="33" t="n">
        <f aca="false">IF(B3128&gt;=2,C3127,"")</f>
        <v>35</v>
      </c>
      <c r="E3128" s="33" t="n">
        <f aca="false">IF(B3128&gt;=5,AVERAGE(C3124:C3127),"")</f>
        <v>29</v>
      </c>
      <c r="F3128" s="33" t="str">
        <f aca="false">IF(B3128&gt;=9,AVERAGE(C3120:C3127),"")</f>
        <v/>
      </c>
      <c r="G3128" s="33" t="n">
        <f aca="false">IF(B3128=1,"",IF(B3128=2,C3127,SES_Alpha*C3127+(1-SES_Alpha)*G3127))</f>
        <v>33.60007</v>
      </c>
      <c r="H3128" s="33" t="n">
        <f aca="false">IF(D3128="","",D3128-C3128)</f>
        <v>0</v>
      </c>
      <c r="I3128" s="33" t="n">
        <f aca="false">IF(E3128="","",E3128-C3128)</f>
        <v>-6</v>
      </c>
      <c r="J3128" s="33" t="str">
        <f aca="false">IF(F3128="","",F3128-C3128)</f>
        <v/>
      </c>
      <c r="K3128" s="33" t="n">
        <f aca="false">IF(G3128="","",G3128-C3128)</f>
        <v>-1.39993</v>
      </c>
      <c r="L3128" s="33" t="n">
        <f aca="false">IF(H3128="","",ABS(H3128))</f>
        <v>0</v>
      </c>
      <c r="M3128" s="33" t="n">
        <f aca="false">IF(I3128="","",ABS(I3128))</f>
        <v>6</v>
      </c>
      <c r="N3128" s="33" t="str">
        <f aca="false">IF(J3128="","",ABS(J3128))</f>
        <v/>
      </c>
      <c r="O3128" s="33" t="n">
        <f aca="false">IF(K3128="","",ABS(K3128))</f>
        <v>1.39993</v>
      </c>
      <c r="P3128" s="34" t="str">
        <f aca="false">IF(B3128&gt;=Eval_Start_Week,"YES","")</f>
        <v/>
      </c>
      <c r="Q3128" s="34" t="str">
        <f aca="false">IF(AND(B3128&gt;=Cal_Start_Week,B3128&lt;=Cal_End_Week),"YES","")</f>
        <v/>
      </c>
    </row>
    <row r="3129" customFormat="false" ht="15" hidden="false" customHeight="false" outlineLevel="0" collapsed="false">
      <c r="A3129" s="31" t="str">
        <f aca="false">Demand_History!C3129</f>
        <v>ELE-002</v>
      </c>
      <c r="B3129" s="31" t="n">
        <f aca="false">Demand_History!A3129</f>
        <v>8</v>
      </c>
      <c r="C3129" s="32" t="n">
        <f aca="false">Demand_History!D3129</f>
        <v>39</v>
      </c>
      <c r="D3129" s="33" t="n">
        <f aca="false">IF(B3129&gt;=2,C3128,"")</f>
        <v>35</v>
      </c>
      <c r="E3129" s="33" t="n">
        <f aca="false">IF(B3129&gt;=5,AVERAGE(C3125:C3128),"")</f>
        <v>29</v>
      </c>
      <c r="F3129" s="33" t="str">
        <f aca="false">IF(B3129&gt;=9,AVERAGE(C3121:C3128),"")</f>
        <v/>
      </c>
      <c r="G3129" s="33" t="n">
        <f aca="false">IF(B3129=1,"",IF(B3129=2,C3128,SES_Alpha*C3128+(1-SES_Alpha)*G3128))</f>
        <v>34.020049</v>
      </c>
      <c r="H3129" s="33" t="n">
        <f aca="false">IF(D3129="","",D3129-C3129)</f>
        <v>-4</v>
      </c>
      <c r="I3129" s="33" t="n">
        <f aca="false">IF(E3129="","",E3129-C3129)</f>
        <v>-10</v>
      </c>
      <c r="J3129" s="33" t="str">
        <f aca="false">IF(F3129="","",F3129-C3129)</f>
        <v/>
      </c>
      <c r="K3129" s="33" t="n">
        <f aca="false">IF(G3129="","",G3129-C3129)</f>
        <v>-4.979951</v>
      </c>
      <c r="L3129" s="33" t="n">
        <f aca="false">IF(H3129="","",ABS(H3129))</f>
        <v>4</v>
      </c>
      <c r="M3129" s="33" t="n">
        <f aca="false">IF(I3129="","",ABS(I3129))</f>
        <v>10</v>
      </c>
      <c r="N3129" s="33" t="str">
        <f aca="false">IF(J3129="","",ABS(J3129))</f>
        <v/>
      </c>
      <c r="O3129" s="33" t="n">
        <f aca="false">IF(K3129="","",ABS(K3129))</f>
        <v>4.979951</v>
      </c>
      <c r="P3129" s="34" t="str">
        <f aca="false">IF(B3129&gt;=Eval_Start_Week,"YES","")</f>
        <v/>
      </c>
      <c r="Q3129" s="34" t="str">
        <f aca="false">IF(AND(B3129&gt;=Cal_Start_Week,B3129&lt;=Cal_End_Week),"YES","")</f>
        <v/>
      </c>
    </row>
    <row r="3130" customFormat="false" ht="15" hidden="false" customHeight="false" outlineLevel="0" collapsed="false">
      <c r="A3130" s="31" t="str">
        <f aca="false">Demand_History!C3130</f>
        <v>ELE-002</v>
      </c>
      <c r="B3130" s="31" t="n">
        <f aca="false">Demand_History!A3130</f>
        <v>9</v>
      </c>
      <c r="C3130" s="32" t="n">
        <f aca="false">Demand_History!D3130</f>
        <v>27</v>
      </c>
      <c r="D3130" s="33" t="n">
        <f aca="false">IF(B3130&gt;=2,C3129,"")</f>
        <v>39</v>
      </c>
      <c r="E3130" s="33" t="n">
        <f aca="false">IF(B3130&gt;=5,AVERAGE(C3126:C3129),"")</f>
        <v>34.25</v>
      </c>
      <c r="F3130" s="33" t="n">
        <f aca="false">IF(B3130&gt;=9,AVERAGE(C3122:C3129),"")</f>
        <v>37.625</v>
      </c>
      <c r="G3130" s="33" t="n">
        <f aca="false">IF(B3130=1,"",IF(B3130=2,C3129,SES_Alpha*C3129+(1-SES_Alpha)*G3129))</f>
        <v>35.5140343</v>
      </c>
      <c r="H3130" s="33" t="n">
        <f aca="false">IF(D3130="","",D3130-C3130)</f>
        <v>12</v>
      </c>
      <c r="I3130" s="33" t="n">
        <f aca="false">IF(E3130="","",E3130-C3130)</f>
        <v>7.25</v>
      </c>
      <c r="J3130" s="33" t="n">
        <f aca="false">IF(F3130="","",F3130-C3130)</f>
        <v>10.625</v>
      </c>
      <c r="K3130" s="33" t="n">
        <f aca="false">IF(G3130="","",G3130-C3130)</f>
        <v>8.5140343</v>
      </c>
      <c r="L3130" s="33" t="n">
        <f aca="false">IF(H3130="","",ABS(H3130))</f>
        <v>12</v>
      </c>
      <c r="M3130" s="33" t="n">
        <f aca="false">IF(I3130="","",ABS(I3130))</f>
        <v>7.25</v>
      </c>
      <c r="N3130" s="33" t="n">
        <f aca="false">IF(J3130="","",ABS(J3130))</f>
        <v>10.625</v>
      </c>
      <c r="O3130" s="33" t="n">
        <f aca="false">IF(K3130="","",ABS(K3130))</f>
        <v>8.5140343</v>
      </c>
      <c r="P3130" s="34" t="str">
        <f aca="false">IF(B3130&gt;=Eval_Start_Week,"YES","")</f>
        <v/>
      </c>
      <c r="Q3130" s="34" t="str">
        <f aca="false">IF(AND(B3130&gt;=Cal_Start_Week,B3130&lt;=Cal_End_Week),"YES","")</f>
        <v/>
      </c>
    </row>
    <row r="3131" customFormat="false" ht="15" hidden="false" customHeight="false" outlineLevel="0" collapsed="false">
      <c r="A3131" s="31" t="str">
        <f aca="false">Demand_History!C3131</f>
        <v>ELE-002</v>
      </c>
      <c r="B3131" s="31" t="n">
        <f aca="false">Demand_History!A3131</f>
        <v>10</v>
      </c>
      <c r="C3131" s="32" t="n">
        <f aca="false">Demand_History!D3131</f>
        <v>47</v>
      </c>
      <c r="D3131" s="33" t="n">
        <f aca="false">IF(B3131&gt;=2,C3130,"")</f>
        <v>27</v>
      </c>
      <c r="E3131" s="33" t="n">
        <f aca="false">IF(B3131&gt;=5,AVERAGE(C3127:C3130),"")</f>
        <v>34</v>
      </c>
      <c r="F3131" s="33" t="n">
        <f aca="false">IF(B3131&gt;=9,AVERAGE(C3123:C3130),"")</f>
        <v>37.125</v>
      </c>
      <c r="G3131" s="33" t="n">
        <f aca="false">IF(B3131=1,"",IF(B3131=2,C3130,SES_Alpha*C3130+(1-SES_Alpha)*G3130))</f>
        <v>32.95982401</v>
      </c>
      <c r="H3131" s="33" t="n">
        <f aca="false">IF(D3131="","",D3131-C3131)</f>
        <v>-20</v>
      </c>
      <c r="I3131" s="33" t="n">
        <f aca="false">IF(E3131="","",E3131-C3131)</f>
        <v>-13</v>
      </c>
      <c r="J3131" s="33" t="n">
        <f aca="false">IF(F3131="","",F3131-C3131)</f>
        <v>-9.875</v>
      </c>
      <c r="K3131" s="33" t="n">
        <f aca="false">IF(G3131="","",G3131-C3131)</f>
        <v>-14.04017599</v>
      </c>
      <c r="L3131" s="33" t="n">
        <f aca="false">IF(H3131="","",ABS(H3131))</f>
        <v>20</v>
      </c>
      <c r="M3131" s="33" t="n">
        <f aca="false">IF(I3131="","",ABS(I3131))</f>
        <v>13</v>
      </c>
      <c r="N3131" s="33" t="n">
        <f aca="false">IF(J3131="","",ABS(J3131))</f>
        <v>9.875</v>
      </c>
      <c r="O3131" s="33" t="n">
        <f aca="false">IF(K3131="","",ABS(K3131))</f>
        <v>14.04017599</v>
      </c>
      <c r="P3131" s="34" t="str">
        <f aca="false">IF(B3131&gt;=Eval_Start_Week,"YES","")</f>
        <v/>
      </c>
      <c r="Q3131" s="34" t="str">
        <f aca="false">IF(AND(B3131&gt;=Cal_Start_Week,B3131&lt;=Cal_End_Week),"YES","")</f>
        <v/>
      </c>
    </row>
    <row r="3132" customFormat="false" ht="15" hidden="false" customHeight="false" outlineLevel="0" collapsed="false">
      <c r="A3132" s="31" t="str">
        <f aca="false">Demand_History!C3132</f>
        <v>ELE-002</v>
      </c>
      <c r="B3132" s="31" t="n">
        <f aca="false">Demand_History!A3132</f>
        <v>11</v>
      </c>
      <c r="C3132" s="32" t="n">
        <f aca="false">Demand_History!D3132</f>
        <v>34</v>
      </c>
      <c r="D3132" s="33" t="n">
        <f aca="false">IF(B3132&gt;=2,C3131,"")</f>
        <v>47</v>
      </c>
      <c r="E3132" s="33" t="n">
        <f aca="false">IF(B3132&gt;=5,AVERAGE(C3128:C3131),"")</f>
        <v>37</v>
      </c>
      <c r="F3132" s="33" t="n">
        <f aca="false">IF(B3132&gt;=9,AVERAGE(C3124:C3131),"")</f>
        <v>33</v>
      </c>
      <c r="G3132" s="33" t="n">
        <f aca="false">IF(B3132=1,"",IF(B3132=2,C3131,SES_Alpha*C3131+(1-SES_Alpha)*G3131))</f>
        <v>37.171876807</v>
      </c>
      <c r="H3132" s="33" t="n">
        <f aca="false">IF(D3132="","",D3132-C3132)</f>
        <v>13</v>
      </c>
      <c r="I3132" s="33" t="n">
        <f aca="false">IF(E3132="","",E3132-C3132)</f>
        <v>3</v>
      </c>
      <c r="J3132" s="33" t="n">
        <f aca="false">IF(F3132="","",F3132-C3132)</f>
        <v>-1</v>
      </c>
      <c r="K3132" s="33" t="n">
        <f aca="false">IF(G3132="","",G3132-C3132)</f>
        <v>3.171876807</v>
      </c>
      <c r="L3132" s="33" t="n">
        <f aca="false">IF(H3132="","",ABS(H3132))</f>
        <v>13</v>
      </c>
      <c r="M3132" s="33" t="n">
        <f aca="false">IF(I3132="","",ABS(I3132))</f>
        <v>3</v>
      </c>
      <c r="N3132" s="33" t="n">
        <f aca="false">IF(J3132="","",ABS(J3132))</f>
        <v>1</v>
      </c>
      <c r="O3132" s="33" t="n">
        <f aca="false">IF(K3132="","",ABS(K3132))</f>
        <v>3.171876807</v>
      </c>
      <c r="P3132" s="34" t="str">
        <f aca="false">IF(B3132&gt;=Eval_Start_Week,"YES","")</f>
        <v/>
      </c>
      <c r="Q3132" s="34" t="str">
        <f aca="false">IF(AND(B3132&gt;=Cal_Start_Week,B3132&lt;=Cal_End_Week),"YES","")</f>
        <v/>
      </c>
    </row>
    <row r="3133" customFormat="false" ht="15" hidden="false" customHeight="false" outlineLevel="0" collapsed="false">
      <c r="A3133" s="31" t="str">
        <f aca="false">Demand_History!C3133</f>
        <v>ELE-002</v>
      </c>
      <c r="B3133" s="31" t="n">
        <f aca="false">Demand_History!A3133</f>
        <v>12</v>
      </c>
      <c r="C3133" s="32" t="n">
        <f aca="false">Demand_History!D3133</f>
        <v>23</v>
      </c>
      <c r="D3133" s="33" t="n">
        <f aca="false">IF(B3133&gt;=2,C3132,"")</f>
        <v>34</v>
      </c>
      <c r="E3133" s="33" t="n">
        <f aca="false">IF(B3133&gt;=5,AVERAGE(C3129:C3132),"")</f>
        <v>36.75</v>
      </c>
      <c r="F3133" s="33" t="n">
        <f aca="false">IF(B3133&gt;=9,AVERAGE(C3125:C3132),"")</f>
        <v>32.875</v>
      </c>
      <c r="G3133" s="33" t="n">
        <f aca="false">IF(B3133=1,"",IF(B3133=2,C3132,SES_Alpha*C3132+(1-SES_Alpha)*G3132))</f>
        <v>36.2203137649</v>
      </c>
      <c r="H3133" s="33" t="n">
        <f aca="false">IF(D3133="","",D3133-C3133)</f>
        <v>11</v>
      </c>
      <c r="I3133" s="33" t="n">
        <f aca="false">IF(E3133="","",E3133-C3133)</f>
        <v>13.75</v>
      </c>
      <c r="J3133" s="33" t="n">
        <f aca="false">IF(F3133="","",F3133-C3133)</f>
        <v>9.875</v>
      </c>
      <c r="K3133" s="33" t="n">
        <f aca="false">IF(G3133="","",G3133-C3133)</f>
        <v>13.2203137649</v>
      </c>
      <c r="L3133" s="33" t="n">
        <f aca="false">IF(H3133="","",ABS(H3133))</f>
        <v>11</v>
      </c>
      <c r="M3133" s="33" t="n">
        <f aca="false">IF(I3133="","",ABS(I3133))</f>
        <v>13.75</v>
      </c>
      <c r="N3133" s="33" t="n">
        <f aca="false">IF(J3133="","",ABS(J3133))</f>
        <v>9.875</v>
      </c>
      <c r="O3133" s="33" t="n">
        <f aca="false">IF(K3133="","",ABS(K3133))</f>
        <v>13.2203137649</v>
      </c>
      <c r="P3133" s="34" t="str">
        <f aca="false">IF(B3133&gt;=Eval_Start_Week,"YES","")</f>
        <v/>
      </c>
      <c r="Q3133" s="34" t="str">
        <f aca="false">IF(AND(B3133&gt;=Cal_Start_Week,B3133&lt;=Cal_End_Week),"YES","")</f>
        <v/>
      </c>
    </row>
    <row r="3134" customFormat="false" ht="15" hidden="false" customHeight="false" outlineLevel="0" collapsed="false">
      <c r="A3134" s="31" t="str">
        <f aca="false">Demand_History!C3134</f>
        <v>ELE-002</v>
      </c>
      <c r="B3134" s="31" t="n">
        <f aca="false">Demand_History!A3134</f>
        <v>13</v>
      </c>
      <c r="C3134" s="32" t="n">
        <f aca="false">Demand_History!D3134</f>
        <v>30</v>
      </c>
      <c r="D3134" s="33" t="n">
        <f aca="false">IF(B3134&gt;=2,C3133,"")</f>
        <v>23</v>
      </c>
      <c r="E3134" s="33" t="n">
        <f aca="false">IF(B3134&gt;=5,AVERAGE(C3130:C3133),"")</f>
        <v>32.75</v>
      </c>
      <c r="F3134" s="33" t="n">
        <f aca="false">IF(B3134&gt;=9,AVERAGE(C3126:C3133),"")</f>
        <v>33.5</v>
      </c>
      <c r="G3134" s="33" t="n">
        <f aca="false">IF(B3134=1,"",IF(B3134=2,C3133,SES_Alpha*C3133+(1-SES_Alpha)*G3133))</f>
        <v>32.25421963543</v>
      </c>
      <c r="H3134" s="33" t="n">
        <f aca="false">IF(D3134="","",D3134-C3134)</f>
        <v>-7</v>
      </c>
      <c r="I3134" s="33" t="n">
        <f aca="false">IF(E3134="","",E3134-C3134)</f>
        <v>2.75</v>
      </c>
      <c r="J3134" s="33" t="n">
        <f aca="false">IF(F3134="","",F3134-C3134)</f>
        <v>3.5</v>
      </c>
      <c r="K3134" s="33" t="n">
        <f aca="false">IF(G3134="","",G3134-C3134)</f>
        <v>2.25421963543</v>
      </c>
      <c r="L3134" s="33" t="n">
        <f aca="false">IF(H3134="","",ABS(H3134))</f>
        <v>7</v>
      </c>
      <c r="M3134" s="33" t="n">
        <f aca="false">IF(I3134="","",ABS(I3134))</f>
        <v>2.75</v>
      </c>
      <c r="N3134" s="33" t="n">
        <f aca="false">IF(J3134="","",ABS(J3134))</f>
        <v>3.5</v>
      </c>
      <c r="O3134" s="33" t="n">
        <f aca="false">IF(K3134="","",ABS(K3134))</f>
        <v>2.25421963543</v>
      </c>
      <c r="P3134" s="34" t="str">
        <f aca="false">IF(B3134&gt;=Eval_Start_Week,"YES","")</f>
        <v/>
      </c>
      <c r="Q3134" s="34" t="str">
        <f aca="false">IF(AND(B3134&gt;=Cal_Start_Week,B3134&lt;=Cal_End_Week),"YES","")</f>
        <v/>
      </c>
    </row>
    <row r="3135" customFormat="false" ht="15" hidden="false" customHeight="false" outlineLevel="0" collapsed="false">
      <c r="A3135" s="31" t="str">
        <f aca="false">Demand_History!C3135</f>
        <v>ELE-002</v>
      </c>
      <c r="B3135" s="31" t="n">
        <f aca="false">Demand_History!A3135</f>
        <v>14</v>
      </c>
      <c r="C3135" s="32" t="n">
        <f aca="false">Demand_History!D3135</f>
        <v>35</v>
      </c>
      <c r="D3135" s="33" t="n">
        <f aca="false">IF(B3135&gt;=2,C3134,"")</f>
        <v>30</v>
      </c>
      <c r="E3135" s="33" t="n">
        <f aca="false">IF(B3135&gt;=5,AVERAGE(C3131:C3134),"")</f>
        <v>33.5</v>
      </c>
      <c r="F3135" s="33" t="n">
        <f aca="false">IF(B3135&gt;=9,AVERAGE(C3127:C3134),"")</f>
        <v>33.75</v>
      </c>
      <c r="G3135" s="33" t="n">
        <f aca="false">IF(B3135=1,"",IF(B3135=2,C3134,SES_Alpha*C3134+(1-SES_Alpha)*G3134))</f>
        <v>31.577953744801</v>
      </c>
      <c r="H3135" s="33" t="n">
        <f aca="false">IF(D3135="","",D3135-C3135)</f>
        <v>-5</v>
      </c>
      <c r="I3135" s="33" t="n">
        <f aca="false">IF(E3135="","",E3135-C3135)</f>
        <v>-1.5</v>
      </c>
      <c r="J3135" s="33" t="n">
        <f aca="false">IF(F3135="","",F3135-C3135)</f>
        <v>-1.25</v>
      </c>
      <c r="K3135" s="33" t="n">
        <f aca="false">IF(G3135="","",G3135-C3135)</f>
        <v>-3.422046255199</v>
      </c>
      <c r="L3135" s="33" t="n">
        <f aca="false">IF(H3135="","",ABS(H3135))</f>
        <v>5</v>
      </c>
      <c r="M3135" s="33" t="n">
        <f aca="false">IF(I3135="","",ABS(I3135))</f>
        <v>1.5</v>
      </c>
      <c r="N3135" s="33" t="n">
        <f aca="false">IF(J3135="","",ABS(J3135))</f>
        <v>1.25</v>
      </c>
      <c r="O3135" s="33" t="n">
        <f aca="false">IF(K3135="","",ABS(K3135))</f>
        <v>3.422046255199</v>
      </c>
      <c r="P3135" s="34" t="str">
        <f aca="false">IF(B3135&gt;=Eval_Start_Week,"YES","")</f>
        <v/>
      </c>
      <c r="Q3135" s="34" t="str">
        <f aca="false">IF(AND(B3135&gt;=Cal_Start_Week,B3135&lt;=Cal_End_Week),"YES","")</f>
        <v/>
      </c>
    </row>
    <row r="3136" customFormat="false" ht="15" hidden="false" customHeight="false" outlineLevel="0" collapsed="false">
      <c r="A3136" s="31" t="str">
        <f aca="false">Demand_History!C3136</f>
        <v>ELE-002</v>
      </c>
      <c r="B3136" s="31" t="n">
        <f aca="false">Demand_History!A3136</f>
        <v>15</v>
      </c>
      <c r="C3136" s="32" t="n">
        <f aca="false">Demand_History!D3136</f>
        <v>51</v>
      </c>
      <c r="D3136" s="33" t="n">
        <f aca="false">IF(B3136&gt;=2,C3135,"")</f>
        <v>35</v>
      </c>
      <c r="E3136" s="33" t="n">
        <f aca="false">IF(B3136&gt;=5,AVERAGE(C3132:C3135),"")</f>
        <v>30.5</v>
      </c>
      <c r="F3136" s="33" t="n">
        <f aca="false">IF(B3136&gt;=9,AVERAGE(C3128:C3135),"")</f>
        <v>33.75</v>
      </c>
      <c r="G3136" s="33" t="n">
        <f aca="false">IF(B3136=1,"",IF(B3136=2,C3135,SES_Alpha*C3135+(1-SES_Alpha)*G3135))</f>
        <v>32.6045676213607</v>
      </c>
      <c r="H3136" s="33" t="n">
        <f aca="false">IF(D3136="","",D3136-C3136)</f>
        <v>-16</v>
      </c>
      <c r="I3136" s="33" t="n">
        <f aca="false">IF(E3136="","",E3136-C3136)</f>
        <v>-20.5</v>
      </c>
      <c r="J3136" s="33" t="n">
        <f aca="false">IF(F3136="","",F3136-C3136)</f>
        <v>-17.25</v>
      </c>
      <c r="K3136" s="33" t="n">
        <f aca="false">IF(G3136="","",G3136-C3136)</f>
        <v>-18.3954323786393</v>
      </c>
      <c r="L3136" s="33" t="n">
        <f aca="false">IF(H3136="","",ABS(H3136))</f>
        <v>16</v>
      </c>
      <c r="M3136" s="33" t="n">
        <f aca="false">IF(I3136="","",ABS(I3136))</f>
        <v>20.5</v>
      </c>
      <c r="N3136" s="33" t="n">
        <f aca="false">IF(J3136="","",ABS(J3136))</f>
        <v>17.25</v>
      </c>
      <c r="O3136" s="33" t="n">
        <f aca="false">IF(K3136="","",ABS(K3136))</f>
        <v>18.3954323786393</v>
      </c>
      <c r="P3136" s="34" t="str">
        <f aca="false">IF(B3136&gt;=Eval_Start_Week,"YES","")</f>
        <v/>
      </c>
      <c r="Q3136" s="34" t="str">
        <f aca="false">IF(AND(B3136&gt;=Cal_Start_Week,B3136&lt;=Cal_End_Week),"YES","")</f>
        <v/>
      </c>
    </row>
    <row r="3137" customFormat="false" ht="15" hidden="false" customHeight="false" outlineLevel="0" collapsed="false">
      <c r="A3137" s="31" t="str">
        <f aca="false">Demand_History!C3137</f>
        <v>ELE-002</v>
      </c>
      <c r="B3137" s="31" t="n">
        <f aca="false">Demand_History!A3137</f>
        <v>16</v>
      </c>
      <c r="C3137" s="32" t="n">
        <f aca="false">Demand_History!D3137</f>
        <v>46</v>
      </c>
      <c r="D3137" s="33" t="n">
        <f aca="false">IF(B3137&gt;=2,C3136,"")</f>
        <v>51</v>
      </c>
      <c r="E3137" s="33" t="n">
        <f aca="false">IF(B3137&gt;=5,AVERAGE(C3133:C3136),"")</f>
        <v>34.75</v>
      </c>
      <c r="F3137" s="33" t="n">
        <f aca="false">IF(B3137&gt;=9,AVERAGE(C3129:C3136),"")</f>
        <v>35.75</v>
      </c>
      <c r="G3137" s="33" t="n">
        <f aca="false">IF(B3137=1,"",IF(B3137=2,C3136,SES_Alpha*C3136+(1-SES_Alpha)*G3136))</f>
        <v>38.1231973349525</v>
      </c>
      <c r="H3137" s="33" t="n">
        <f aca="false">IF(D3137="","",D3137-C3137)</f>
        <v>5</v>
      </c>
      <c r="I3137" s="33" t="n">
        <f aca="false">IF(E3137="","",E3137-C3137)</f>
        <v>-11.25</v>
      </c>
      <c r="J3137" s="33" t="n">
        <f aca="false">IF(F3137="","",F3137-C3137)</f>
        <v>-10.25</v>
      </c>
      <c r="K3137" s="33" t="n">
        <f aca="false">IF(G3137="","",G3137-C3137)</f>
        <v>-7.87680266504751</v>
      </c>
      <c r="L3137" s="33" t="n">
        <f aca="false">IF(H3137="","",ABS(H3137))</f>
        <v>5</v>
      </c>
      <c r="M3137" s="33" t="n">
        <f aca="false">IF(I3137="","",ABS(I3137))</f>
        <v>11.25</v>
      </c>
      <c r="N3137" s="33" t="n">
        <f aca="false">IF(J3137="","",ABS(J3137))</f>
        <v>10.25</v>
      </c>
      <c r="O3137" s="33" t="n">
        <f aca="false">IF(K3137="","",ABS(K3137))</f>
        <v>7.87680266504751</v>
      </c>
      <c r="P3137" s="34" t="str">
        <f aca="false">IF(B3137&gt;=Eval_Start_Week,"YES","")</f>
        <v/>
      </c>
      <c r="Q3137" s="34" t="str">
        <f aca="false">IF(AND(B3137&gt;=Cal_Start_Week,B3137&lt;=Cal_End_Week),"YES","")</f>
        <v/>
      </c>
    </row>
    <row r="3138" customFormat="false" ht="15" hidden="false" customHeight="false" outlineLevel="0" collapsed="false">
      <c r="A3138" s="31" t="str">
        <f aca="false">Demand_History!C3138</f>
        <v>ELE-002</v>
      </c>
      <c r="B3138" s="31" t="n">
        <f aca="false">Demand_History!A3138</f>
        <v>17</v>
      </c>
      <c r="C3138" s="32" t="n">
        <f aca="false">Demand_History!D3138</f>
        <v>36</v>
      </c>
      <c r="D3138" s="33" t="n">
        <f aca="false">IF(B3138&gt;=2,C3137,"")</f>
        <v>46</v>
      </c>
      <c r="E3138" s="33" t="n">
        <f aca="false">IF(B3138&gt;=5,AVERAGE(C3134:C3137),"")</f>
        <v>40.5</v>
      </c>
      <c r="F3138" s="33" t="n">
        <f aca="false">IF(B3138&gt;=9,AVERAGE(C3130:C3137),"")</f>
        <v>36.625</v>
      </c>
      <c r="G3138" s="33" t="n">
        <f aca="false">IF(B3138=1,"",IF(B3138=2,C3137,SES_Alpha*C3137+(1-SES_Alpha)*G3137))</f>
        <v>40.4862381344667</v>
      </c>
      <c r="H3138" s="33" t="n">
        <f aca="false">IF(D3138="","",D3138-C3138)</f>
        <v>10</v>
      </c>
      <c r="I3138" s="33" t="n">
        <f aca="false">IF(E3138="","",E3138-C3138)</f>
        <v>4.5</v>
      </c>
      <c r="J3138" s="33" t="n">
        <f aca="false">IF(F3138="","",F3138-C3138)</f>
        <v>0.625</v>
      </c>
      <c r="K3138" s="33" t="n">
        <f aca="false">IF(G3138="","",G3138-C3138)</f>
        <v>4.48623813446674</v>
      </c>
      <c r="L3138" s="33" t="n">
        <f aca="false">IF(H3138="","",ABS(H3138))</f>
        <v>10</v>
      </c>
      <c r="M3138" s="33" t="n">
        <f aca="false">IF(I3138="","",ABS(I3138))</f>
        <v>4.5</v>
      </c>
      <c r="N3138" s="33" t="n">
        <f aca="false">IF(J3138="","",ABS(J3138))</f>
        <v>0.625</v>
      </c>
      <c r="O3138" s="33" t="n">
        <f aca="false">IF(K3138="","",ABS(K3138))</f>
        <v>4.48623813446674</v>
      </c>
      <c r="P3138" s="34" t="str">
        <f aca="false">IF(B3138&gt;=Eval_Start_Week,"YES","")</f>
        <v/>
      </c>
      <c r="Q3138" s="34" t="str">
        <f aca="false">IF(AND(B3138&gt;=Cal_Start_Week,B3138&lt;=Cal_End_Week),"YES","")</f>
        <v/>
      </c>
    </row>
    <row r="3139" customFormat="false" ht="15" hidden="false" customHeight="false" outlineLevel="0" collapsed="false">
      <c r="A3139" s="31" t="str">
        <f aca="false">Demand_History!C3139</f>
        <v>ELE-002</v>
      </c>
      <c r="B3139" s="31" t="n">
        <f aca="false">Demand_History!A3139</f>
        <v>18</v>
      </c>
      <c r="C3139" s="32" t="n">
        <f aca="false">Demand_History!D3139</f>
        <v>40</v>
      </c>
      <c r="D3139" s="33" t="n">
        <f aca="false">IF(B3139&gt;=2,C3138,"")</f>
        <v>36</v>
      </c>
      <c r="E3139" s="33" t="n">
        <f aca="false">IF(B3139&gt;=5,AVERAGE(C3135:C3138),"")</f>
        <v>42</v>
      </c>
      <c r="F3139" s="33" t="n">
        <f aca="false">IF(B3139&gt;=9,AVERAGE(C3131:C3138),"")</f>
        <v>37.75</v>
      </c>
      <c r="G3139" s="33" t="n">
        <f aca="false">IF(B3139=1,"",IF(B3139=2,C3138,SES_Alpha*C3138+(1-SES_Alpha)*G3138))</f>
        <v>39.1403666941267</v>
      </c>
      <c r="H3139" s="33" t="n">
        <f aca="false">IF(D3139="","",D3139-C3139)</f>
        <v>-4</v>
      </c>
      <c r="I3139" s="33" t="n">
        <f aca="false">IF(E3139="","",E3139-C3139)</f>
        <v>2</v>
      </c>
      <c r="J3139" s="33" t="n">
        <f aca="false">IF(F3139="","",F3139-C3139)</f>
        <v>-2.25</v>
      </c>
      <c r="K3139" s="33" t="n">
        <f aca="false">IF(G3139="","",G3139-C3139)</f>
        <v>-0.859633305873288</v>
      </c>
      <c r="L3139" s="33" t="n">
        <f aca="false">IF(H3139="","",ABS(H3139))</f>
        <v>4</v>
      </c>
      <c r="M3139" s="33" t="n">
        <f aca="false">IF(I3139="","",ABS(I3139))</f>
        <v>2</v>
      </c>
      <c r="N3139" s="33" t="n">
        <f aca="false">IF(J3139="","",ABS(J3139))</f>
        <v>2.25</v>
      </c>
      <c r="O3139" s="33" t="n">
        <f aca="false">IF(K3139="","",ABS(K3139))</f>
        <v>0.859633305873288</v>
      </c>
      <c r="P3139" s="34" t="str">
        <f aca="false">IF(B3139&gt;=Eval_Start_Week,"YES","")</f>
        <v/>
      </c>
      <c r="Q3139" s="34" t="str">
        <f aca="false">IF(AND(B3139&gt;=Cal_Start_Week,B3139&lt;=Cal_End_Week),"YES","")</f>
        <v/>
      </c>
    </row>
    <row r="3140" customFormat="false" ht="15" hidden="false" customHeight="false" outlineLevel="0" collapsed="false">
      <c r="A3140" s="31" t="str">
        <f aca="false">Demand_History!C3140</f>
        <v>ELE-002</v>
      </c>
      <c r="B3140" s="31" t="n">
        <f aca="false">Demand_History!A3140</f>
        <v>19</v>
      </c>
      <c r="C3140" s="32" t="n">
        <f aca="false">Demand_History!D3140</f>
        <v>43</v>
      </c>
      <c r="D3140" s="33" t="n">
        <f aca="false">IF(B3140&gt;=2,C3139,"")</f>
        <v>40</v>
      </c>
      <c r="E3140" s="33" t="n">
        <f aca="false">IF(B3140&gt;=5,AVERAGE(C3136:C3139),"")</f>
        <v>43.25</v>
      </c>
      <c r="F3140" s="33" t="n">
        <f aca="false">IF(B3140&gt;=9,AVERAGE(C3132:C3139),"")</f>
        <v>36.875</v>
      </c>
      <c r="G3140" s="33" t="n">
        <f aca="false">IF(B3140=1,"",IF(B3140=2,C3139,SES_Alpha*C3139+(1-SES_Alpha)*G3139))</f>
        <v>39.3982566858887</v>
      </c>
      <c r="H3140" s="33" t="n">
        <f aca="false">IF(D3140="","",D3140-C3140)</f>
        <v>-3</v>
      </c>
      <c r="I3140" s="33" t="n">
        <f aca="false">IF(E3140="","",E3140-C3140)</f>
        <v>0.25</v>
      </c>
      <c r="J3140" s="33" t="n">
        <f aca="false">IF(F3140="","",F3140-C3140)</f>
        <v>-6.125</v>
      </c>
      <c r="K3140" s="33" t="n">
        <f aca="false">IF(G3140="","",G3140-C3140)</f>
        <v>-3.6017433141113</v>
      </c>
      <c r="L3140" s="33" t="n">
        <f aca="false">IF(H3140="","",ABS(H3140))</f>
        <v>3</v>
      </c>
      <c r="M3140" s="33" t="n">
        <f aca="false">IF(I3140="","",ABS(I3140))</f>
        <v>0.25</v>
      </c>
      <c r="N3140" s="33" t="n">
        <f aca="false">IF(J3140="","",ABS(J3140))</f>
        <v>6.125</v>
      </c>
      <c r="O3140" s="33" t="n">
        <f aca="false">IF(K3140="","",ABS(K3140))</f>
        <v>3.6017433141113</v>
      </c>
      <c r="P3140" s="34" t="str">
        <f aca="false">IF(B3140&gt;=Eval_Start_Week,"YES","")</f>
        <v/>
      </c>
      <c r="Q3140" s="34" t="str">
        <f aca="false">IF(AND(B3140&gt;=Cal_Start_Week,B3140&lt;=Cal_End_Week),"YES","")</f>
        <v/>
      </c>
    </row>
    <row r="3141" customFormat="false" ht="15" hidden="false" customHeight="false" outlineLevel="0" collapsed="false">
      <c r="A3141" s="31" t="str">
        <f aca="false">Demand_History!C3141</f>
        <v>ELE-002</v>
      </c>
      <c r="B3141" s="31" t="n">
        <f aca="false">Demand_History!A3141</f>
        <v>20</v>
      </c>
      <c r="C3141" s="32" t="n">
        <f aca="false">Demand_History!D3141</f>
        <v>65</v>
      </c>
      <c r="D3141" s="33" t="n">
        <f aca="false">IF(B3141&gt;=2,C3140,"")</f>
        <v>43</v>
      </c>
      <c r="E3141" s="33" t="n">
        <f aca="false">IF(B3141&gt;=5,AVERAGE(C3137:C3140),"")</f>
        <v>41.25</v>
      </c>
      <c r="F3141" s="33" t="n">
        <f aca="false">IF(B3141&gt;=9,AVERAGE(C3133:C3140),"")</f>
        <v>38</v>
      </c>
      <c r="G3141" s="33" t="n">
        <f aca="false">IF(B3141=1,"",IF(B3141=2,C3140,SES_Alpha*C3140+(1-SES_Alpha)*G3140))</f>
        <v>40.4787796801221</v>
      </c>
      <c r="H3141" s="33" t="n">
        <f aca="false">IF(D3141="","",D3141-C3141)</f>
        <v>-22</v>
      </c>
      <c r="I3141" s="33" t="n">
        <f aca="false">IF(E3141="","",E3141-C3141)</f>
        <v>-23.75</v>
      </c>
      <c r="J3141" s="33" t="n">
        <f aca="false">IF(F3141="","",F3141-C3141)</f>
        <v>-27</v>
      </c>
      <c r="K3141" s="33" t="n">
        <f aca="false">IF(G3141="","",G3141-C3141)</f>
        <v>-24.5212203198779</v>
      </c>
      <c r="L3141" s="33" t="n">
        <f aca="false">IF(H3141="","",ABS(H3141))</f>
        <v>22</v>
      </c>
      <c r="M3141" s="33" t="n">
        <f aca="false">IF(I3141="","",ABS(I3141))</f>
        <v>23.75</v>
      </c>
      <c r="N3141" s="33" t="n">
        <f aca="false">IF(J3141="","",ABS(J3141))</f>
        <v>27</v>
      </c>
      <c r="O3141" s="33" t="n">
        <f aca="false">IF(K3141="","",ABS(K3141))</f>
        <v>24.5212203198779</v>
      </c>
      <c r="P3141" s="34" t="str">
        <f aca="false">IF(B3141&gt;=Eval_Start_Week,"YES","")</f>
        <v/>
      </c>
      <c r="Q3141" s="34" t="str">
        <f aca="false">IF(AND(B3141&gt;=Cal_Start_Week,B3141&lt;=Cal_End_Week),"YES","")</f>
        <v/>
      </c>
    </row>
    <row r="3142" customFormat="false" ht="15" hidden="false" customHeight="false" outlineLevel="0" collapsed="false">
      <c r="A3142" s="31" t="str">
        <f aca="false">Demand_History!C3142</f>
        <v>ELE-002</v>
      </c>
      <c r="B3142" s="31" t="n">
        <f aca="false">Demand_History!A3142</f>
        <v>21</v>
      </c>
      <c r="C3142" s="32" t="n">
        <f aca="false">Demand_History!D3142</f>
        <v>32</v>
      </c>
      <c r="D3142" s="33" t="n">
        <f aca="false">IF(B3142&gt;=2,C3141,"")</f>
        <v>65</v>
      </c>
      <c r="E3142" s="33" t="n">
        <f aca="false">IF(B3142&gt;=5,AVERAGE(C3138:C3141),"")</f>
        <v>46</v>
      </c>
      <c r="F3142" s="33" t="n">
        <f aca="false">IF(B3142&gt;=9,AVERAGE(C3134:C3141),"")</f>
        <v>43.25</v>
      </c>
      <c r="G3142" s="33" t="n">
        <f aca="false">IF(B3142=1,"",IF(B3142=2,C3141,SES_Alpha*C3141+(1-SES_Alpha)*G3141))</f>
        <v>47.8351457760855</v>
      </c>
      <c r="H3142" s="33" t="n">
        <f aca="false">IF(D3142="","",D3142-C3142)</f>
        <v>33</v>
      </c>
      <c r="I3142" s="33" t="n">
        <f aca="false">IF(E3142="","",E3142-C3142)</f>
        <v>14</v>
      </c>
      <c r="J3142" s="33" t="n">
        <f aca="false">IF(F3142="","",F3142-C3142)</f>
        <v>11.25</v>
      </c>
      <c r="K3142" s="33" t="n">
        <f aca="false">IF(G3142="","",G3142-C3142)</f>
        <v>15.8351457760855</v>
      </c>
      <c r="L3142" s="33" t="n">
        <f aca="false">IF(H3142="","",ABS(H3142))</f>
        <v>33</v>
      </c>
      <c r="M3142" s="33" t="n">
        <f aca="false">IF(I3142="","",ABS(I3142))</f>
        <v>14</v>
      </c>
      <c r="N3142" s="33" t="n">
        <f aca="false">IF(J3142="","",ABS(J3142))</f>
        <v>11.25</v>
      </c>
      <c r="O3142" s="33" t="n">
        <f aca="false">IF(K3142="","",ABS(K3142))</f>
        <v>15.8351457760855</v>
      </c>
      <c r="P3142" s="34" t="str">
        <f aca="false">IF(B3142&gt;=Eval_Start_Week,"YES","")</f>
        <v/>
      </c>
      <c r="Q3142" s="34" t="str">
        <f aca="false">IF(AND(B3142&gt;=Cal_Start_Week,B3142&lt;=Cal_End_Week),"YES","")</f>
        <v/>
      </c>
    </row>
    <row r="3143" customFormat="false" ht="15" hidden="false" customHeight="false" outlineLevel="0" collapsed="false">
      <c r="A3143" s="31" t="str">
        <f aca="false">Demand_History!C3143</f>
        <v>ELE-002</v>
      </c>
      <c r="B3143" s="31" t="n">
        <f aca="false">Demand_History!A3143</f>
        <v>22</v>
      </c>
      <c r="C3143" s="32" t="n">
        <f aca="false">Demand_History!D3143</f>
        <v>46</v>
      </c>
      <c r="D3143" s="33" t="n">
        <f aca="false">IF(B3143&gt;=2,C3142,"")</f>
        <v>32</v>
      </c>
      <c r="E3143" s="33" t="n">
        <f aca="false">IF(B3143&gt;=5,AVERAGE(C3139:C3142),"")</f>
        <v>45</v>
      </c>
      <c r="F3143" s="33" t="n">
        <f aca="false">IF(B3143&gt;=9,AVERAGE(C3135:C3142),"")</f>
        <v>43.5</v>
      </c>
      <c r="G3143" s="33" t="n">
        <f aca="false">IF(B3143=1,"",IF(B3143=2,C3142,SES_Alpha*C3142+(1-SES_Alpha)*G3142))</f>
        <v>43.0846020432598</v>
      </c>
      <c r="H3143" s="33" t="n">
        <f aca="false">IF(D3143="","",D3143-C3143)</f>
        <v>-14</v>
      </c>
      <c r="I3143" s="33" t="n">
        <f aca="false">IF(E3143="","",E3143-C3143)</f>
        <v>-1</v>
      </c>
      <c r="J3143" s="33" t="n">
        <f aca="false">IF(F3143="","",F3143-C3143)</f>
        <v>-2.5</v>
      </c>
      <c r="K3143" s="33" t="n">
        <f aca="false">IF(G3143="","",G3143-C3143)</f>
        <v>-2.91539795674018</v>
      </c>
      <c r="L3143" s="33" t="n">
        <f aca="false">IF(H3143="","",ABS(H3143))</f>
        <v>14</v>
      </c>
      <c r="M3143" s="33" t="n">
        <f aca="false">IF(I3143="","",ABS(I3143))</f>
        <v>1</v>
      </c>
      <c r="N3143" s="33" t="n">
        <f aca="false">IF(J3143="","",ABS(J3143))</f>
        <v>2.5</v>
      </c>
      <c r="O3143" s="33" t="n">
        <f aca="false">IF(K3143="","",ABS(K3143))</f>
        <v>2.91539795674018</v>
      </c>
      <c r="P3143" s="34" t="str">
        <f aca="false">IF(B3143&gt;=Eval_Start_Week,"YES","")</f>
        <v/>
      </c>
      <c r="Q3143" s="34" t="str">
        <f aca="false">IF(AND(B3143&gt;=Cal_Start_Week,B3143&lt;=Cal_End_Week),"YES","")</f>
        <v/>
      </c>
    </row>
    <row r="3144" customFormat="false" ht="15" hidden="false" customHeight="false" outlineLevel="0" collapsed="false">
      <c r="A3144" s="31" t="str">
        <f aca="false">Demand_History!C3144</f>
        <v>ELE-002</v>
      </c>
      <c r="B3144" s="31" t="n">
        <f aca="false">Demand_History!A3144</f>
        <v>23</v>
      </c>
      <c r="C3144" s="32" t="n">
        <f aca="false">Demand_History!D3144</f>
        <v>49</v>
      </c>
      <c r="D3144" s="33" t="n">
        <f aca="false">IF(B3144&gt;=2,C3143,"")</f>
        <v>46</v>
      </c>
      <c r="E3144" s="33" t="n">
        <f aca="false">IF(B3144&gt;=5,AVERAGE(C3140:C3143),"")</f>
        <v>46.5</v>
      </c>
      <c r="F3144" s="33" t="n">
        <f aca="false">IF(B3144&gt;=9,AVERAGE(C3136:C3143),"")</f>
        <v>44.875</v>
      </c>
      <c r="G3144" s="33" t="n">
        <f aca="false">IF(B3144=1,"",IF(B3144=2,C3143,SES_Alpha*C3143+(1-SES_Alpha)*G3143))</f>
        <v>43.9592214302819</v>
      </c>
      <c r="H3144" s="33" t="n">
        <f aca="false">IF(D3144="","",D3144-C3144)</f>
        <v>-3</v>
      </c>
      <c r="I3144" s="33" t="n">
        <f aca="false">IF(E3144="","",E3144-C3144)</f>
        <v>-2.5</v>
      </c>
      <c r="J3144" s="33" t="n">
        <f aca="false">IF(F3144="","",F3144-C3144)</f>
        <v>-4.125</v>
      </c>
      <c r="K3144" s="33" t="n">
        <f aca="false">IF(G3144="","",G3144-C3144)</f>
        <v>-5.04077856971813</v>
      </c>
      <c r="L3144" s="33" t="n">
        <f aca="false">IF(H3144="","",ABS(H3144))</f>
        <v>3</v>
      </c>
      <c r="M3144" s="33" t="n">
        <f aca="false">IF(I3144="","",ABS(I3144))</f>
        <v>2.5</v>
      </c>
      <c r="N3144" s="33" t="n">
        <f aca="false">IF(J3144="","",ABS(J3144))</f>
        <v>4.125</v>
      </c>
      <c r="O3144" s="33" t="n">
        <f aca="false">IF(K3144="","",ABS(K3144))</f>
        <v>5.04077856971813</v>
      </c>
      <c r="P3144" s="34" t="str">
        <f aca="false">IF(B3144&gt;=Eval_Start_Week,"YES","")</f>
        <v/>
      </c>
      <c r="Q3144" s="34" t="str">
        <f aca="false">IF(AND(B3144&gt;=Cal_Start_Week,B3144&lt;=Cal_End_Week),"YES","")</f>
        <v/>
      </c>
    </row>
    <row r="3145" customFormat="false" ht="15" hidden="false" customHeight="false" outlineLevel="0" collapsed="false">
      <c r="A3145" s="31" t="str">
        <f aca="false">Demand_History!C3145</f>
        <v>ELE-002</v>
      </c>
      <c r="B3145" s="31" t="n">
        <f aca="false">Demand_History!A3145</f>
        <v>24</v>
      </c>
      <c r="C3145" s="32" t="n">
        <f aca="false">Demand_History!D3145</f>
        <v>28</v>
      </c>
      <c r="D3145" s="33" t="n">
        <f aca="false">IF(B3145&gt;=2,C3144,"")</f>
        <v>49</v>
      </c>
      <c r="E3145" s="33" t="n">
        <f aca="false">IF(B3145&gt;=5,AVERAGE(C3141:C3144),"")</f>
        <v>48</v>
      </c>
      <c r="F3145" s="33" t="n">
        <f aca="false">IF(B3145&gt;=9,AVERAGE(C3137:C3144),"")</f>
        <v>44.625</v>
      </c>
      <c r="G3145" s="33" t="n">
        <f aca="false">IF(B3145=1,"",IF(B3145=2,C3144,SES_Alpha*C3144+(1-SES_Alpha)*G3144))</f>
        <v>45.4714550011973</v>
      </c>
      <c r="H3145" s="33" t="n">
        <f aca="false">IF(D3145="","",D3145-C3145)</f>
        <v>21</v>
      </c>
      <c r="I3145" s="33" t="n">
        <f aca="false">IF(E3145="","",E3145-C3145)</f>
        <v>20</v>
      </c>
      <c r="J3145" s="33" t="n">
        <f aca="false">IF(F3145="","",F3145-C3145)</f>
        <v>16.625</v>
      </c>
      <c r="K3145" s="33" t="n">
        <f aca="false">IF(G3145="","",G3145-C3145)</f>
        <v>17.4714550011973</v>
      </c>
      <c r="L3145" s="33" t="n">
        <f aca="false">IF(H3145="","",ABS(H3145))</f>
        <v>21</v>
      </c>
      <c r="M3145" s="33" t="n">
        <f aca="false">IF(I3145="","",ABS(I3145))</f>
        <v>20</v>
      </c>
      <c r="N3145" s="33" t="n">
        <f aca="false">IF(J3145="","",ABS(J3145))</f>
        <v>16.625</v>
      </c>
      <c r="O3145" s="33" t="n">
        <f aca="false">IF(K3145="","",ABS(K3145))</f>
        <v>17.4714550011973</v>
      </c>
      <c r="P3145" s="34" t="str">
        <f aca="false">IF(B3145&gt;=Eval_Start_Week,"YES","")</f>
        <v/>
      </c>
      <c r="Q3145" s="34" t="str">
        <f aca="false">IF(AND(B3145&gt;=Cal_Start_Week,B3145&lt;=Cal_End_Week),"YES","")</f>
        <v/>
      </c>
    </row>
    <row r="3146" customFormat="false" ht="15" hidden="false" customHeight="false" outlineLevel="0" collapsed="false">
      <c r="A3146" s="31" t="str">
        <f aca="false">Demand_History!C3146</f>
        <v>ELE-002</v>
      </c>
      <c r="B3146" s="31" t="n">
        <f aca="false">Demand_History!A3146</f>
        <v>25</v>
      </c>
      <c r="C3146" s="32" t="n">
        <f aca="false">Demand_History!D3146</f>
        <v>42</v>
      </c>
      <c r="D3146" s="33" t="n">
        <f aca="false">IF(B3146&gt;=2,C3145,"")</f>
        <v>28</v>
      </c>
      <c r="E3146" s="33" t="n">
        <f aca="false">IF(B3146&gt;=5,AVERAGE(C3142:C3145),"")</f>
        <v>38.75</v>
      </c>
      <c r="F3146" s="33" t="n">
        <f aca="false">IF(B3146&gt;=9,AVERAGE(C3138:C3145),"")</f>
        <v>42.375</v>
      </c>
      <c r="G3146" s="33" t="n">
        <f aca="false">IF(B3146=1,"",IF(B3146=2,C3145,SES_Alpha*C3145+(1-SES_Alpha)*G3145))</f>
        <v>40.2300185008381</v>
      </c>
      <c r="H3146" s="33" t="n">
        <f aca="false">IF(D3146="","",D3146-C3146)</f>
        <v>-14</v>
      </c>
      <c r="I3146" s="33" t="n">
        <f aca="false">IF(E3146="","",E3146-C3146)</f>
        <v>-3.25</v>
      </c>
      <c r="J3146" s="33" t="n">
        <f aca="false">IF(F3146="","",F3146-C3146)</f>
        <v>0.375</v>
      </c>
      <c r="K3146" s="33" t="n">
        <f aca="false">IF(G3146="","",G3146-C3146)</f>
        <v>-1.76998149916189</v>
      </c>
      <c r="L3146" s="33" t="n">
        <f aca="false">IF(H3146="","",ABS(H3146))</f>
        <v>14</v>
      </c>
      <c r="M3146" s="33" t="n">
        <f aca="false">IF(I3146="","",ABS(I3146))</f>
        <v>3.25</v>
      </c>
      <c r="N3146" s="33" t="n">
        <f aca="false">IF(J3146="","",ABS(J3146))</f>
        <v>0.375</v>
      </c>
      <c r="O3146" s="33" t="n">
        <f aca="false">IF(K3146="","",ABS(K3146))</f>
        <v>1.76998149916189</v>
      </c>
      <c r="P3146" s="34" t="str">
        <f aca="false">IF(B3146&gt;=Eval_Start_Week,"YES","")</f>
        <v/>
      </c>
      <c r="Q3146" s="34" t="str">
        <f aca="false">IF(AND(B3146&gt;=Cal_Start_Week,B3146&lt;=Cal_End_Week),"YES","")</f>
        <v/>
      </c>
    </row>
    <row r="3147" customFormat="false" ht="15" hidden="false" customHeight="false" outlineLevel="0" collapsed="false">
      <c r="A3147" s="31" t="str">
        <f aca="false">Demand_History!C3147</f>
        <v>ELE-002</v>
      </c>
      <c r="B3147" s="31" t="n">
        <f aca="false">Demand_History!A3147</f>
        <v>26</v>
      </c>
      <c r="C3147" s="32" t="n">
        <f aca="false">Demand_History!D3147</f>
        <v>42</v>
      </c>
      <c r="D3147" s="33" t="n">
        <f aca="false">IF(B3147&gt;=2,C3146,"")</f>
        <v>42</v>
      </c>
      <c r="E3147" s="33" t="n">
        <f aca="false">IF(B3147&gt;=5,AVERAGE(C3143:C3146),"")</f>
        <v>41.25</v>
      </c>
      <c r="F3147" s="33" t="n">
        <f aca="false">IF(B3147&gt;=9,AVERAGE(C3139:C3146),"")</f>
        <v>43.125</v>
      </c>
      <c r="G3147" s="33" t="n">
        <f aca="false">IF(B3147=1,"",IF(B3147=2,C3146,SES_Alpha*C3146+(1-SES_Alpha)*G3146))</f>
        <v>40.7610129505867</v>
      </c>
      <c r="H3147" s="33" t="n">
        <f aca="false">IF(D3147="","",D3147-C3147)</f>
        <v>0</v>
      </c>
      <c r="I3147" s="33" t="n">
        <f aca="false">IF(E3147="","",E3147-C3147)</f>
        <v>-0.75</v>
      </c>
      <c r="J3147" s="33" t="n">
        <f aca="false">IF(F3147="","",F3147-C3147)</f>
        <v>1.125</v>
      </c>
      <c r="K3147" s="33" t="n">
        <f aca="false">IF(G3147="","",G3147-C3147)</f>
        <v>-1.23898704941332</v>
      </c>
      <c r="L3147" s="33" t="n">
        <f aca="false">IF(H3147="","",ABS(H3147))</f>
        <v>0</v>
      </c>
      <c r="M3147" s="33" t="n">
        <f aca="false">IF(I3147="","",ABS(I3147))</f>
        <v>0.75</v>
      </c>
      <c r="N3147" s="33" t="n">
        <f aca="false">IF(J3147="","",ABS(J3147))</f>
        <v>1.125</v>
      </c>
      <c r="O3147" s="33" t="n">
        <f aca="false">IF(K3147="","",ABS(K3147))</f>
        <v>1.23898704941332</v>
      </c>
      <c r="P3147" s="34" t="str">
        <f aca="false">IF(B3147&gt;=Eval_Start_Week,"YES","")</f>
        <v/>
      </c>
      <c r="Q3147" s="34" t="str">
        <f aca="false">IF(AND(B3147&gt;=Cal_Start_Week,B3147&lt;=Cal_End_Week),"YES","")</f>
        <v/>
      </c>
    </row>
    <row r="3148" customFormat="false" ht="15" hidden="false" customHeight="false" outlineLevel="0" collapsed="false">
      <c r="A3148" s="31" t="str">
        <f aca="false">Demand_History!C3148</f>
        <v>ELE-002</v>
      </c>
      <c r="B3148" s="31" t="n">
        <f aca="false">Demand_History!A3148</f>
        <v>27</v>
      </c>
      <c r="C3148" s="32" t="n">
        <f aca="false">Demand_History!D3148</f>
        <v>34</v>
      </c>
      <c r="D3148" s="33" t="n">
        <f aca="false">IF(B3148&gt;=2,C3147,"")</f>
        <v>42</v>
      </c>
      <c r="E3148" s="33" t="n">
        <f aca="false">IF(B3148&gt;=5,AVERAGE(C3144:C3147),"")</f>
        <v>40.25</v>
      </c>
      <c r="F3148" s="33" t="n">
        <f aca="false">IF(B3148&gt;=9,AVERAGE(C3140:C3147),"")</f>
        <v>43.375</v>
      </c>
      <c r="G3148" s="33" t="n">
        <f aca="false">IF(B3148=1,"",IF(B3148=2,C3147,SES_Alpha*C3147+(1-SES_Alpha)*G3147))</f>
        <v>41.1327090654107</v>
      </c>
      <c r="H3148" s="33" t="n">
        <f aca="false">IF(D3148="","",D3148-C3148)</f>
        <v>8</v>
      </c>
      <c r="I3148" s="33" t="n">
        <f aca="false">IF(E3148="","",E3148-C3148)</f>
        <v>6.25</v>
      </c>
      <c r="J3148" s="33" t="n">
        <f aca="false">IF(F3148="","",F3148-C3148)</f>
        <v>9.375</v>
      </c>
      <c r="K3148" s="33" t="n">
        <f aca="false">IF(G3148="","",G3148-C3148)</f>
        <v>7.13270906541067</v>
      </c>
      <c r="L3148" s="33" t="n">
        <f aca="false">IF(H3148="","",ABS(H3148))</f>
        <v>8</v>
      </c>
      <c r="M3148" s="33" t="n">
        <f aca="false">IF(I3148="","",ABS(I3148))</f>
        <v>6.25</v>
      </c>
      <c r="N3148" s="33" t="n">
        <f aca="false">IF(J3148="","",ABS(J3148))</f>
        <v>9.375</v>
      </c>
      <c r="O3148" s="33" t="n">
        <f aca="false">IF(K3148="","",ABS(K3148))</f>
        <v>7.13270906541067</v>
      </c>
      <c r="P3148" s="34" t="str">
        <f aca="false">IF(B3148&gt;=Eval_Start_Week,"YES","")</f>
        <v/>
      </c>
      <c r="Q3148" s="34" t="str">
        <f aca="false">IF(AND(B3148&gt;=Cal_Start_Week,B3148&lt;=Cal_End_Week),"YES","")</f>
        <v/>
      </c>
    </row>
    <row r="3149" customFormat="false" ht="15" hidden="false" customHeight="false" outlineLevel="0" collapsed="false">
      <c r="A3149" s="31" t="str">
        <f aca="false">Demand_History!C3149</f>
        <v>ELE-002</v>
      </c>
      <c r="B3149" s="31" t="n">
        <f aca="false">Demand_History!A3149</f>
        <v>28</v>
      </c>
      <c r="C3149" s="32" t="n">
        <f aca="false">Demand_History!D3149</f>
        <v>47</v>
      </c>
      <c r="D3149" s="33" t="n">
        <f aca="false">IF(B3149&gt;=2,C3148,"")</f>
        <v>34</v>
      </c>
      <c r="E3149" s="33" t="n">
        <f aca="false">IF(B3149&gt;=5,AVERAGE(C3145:C3148),"")</f>
        <v>36.5</v>
      </c>
      <c r="F3149" s="33" t="n">
        <f aca="false">IF(B3149&gt;=9,AVERAGE(C3141:C3148),"")</f>
        <v>42.25</v>
      </c>
      <c r="G3149" s="33" t="n">
        <f aca="false">IF(B3149=1,"",IF(B3149=2,C3148,SES_Alpha*C3148+(1-SES_Alpha)*G3148))</f>
        <v>38.9928963457875</v>
      </c>
      <c r="H3149" s="33" t="n">
        <f aca="false">IF(D3149="","",D3149-C3149)</f>
        <v>-13</v>
      </c>
      <c r="I3149" s="33" t="n">
        <f aca="false">IF(E3149="","",E3149-C3149)</f>
        <v>-10.5</v>
      </c>
      <c r="J3149" s="33" t="n">
        <f aca="false">IF(F3149="","",F3149-C3149)</f>
        <v>-4.75</v>
      </c>
      <c r="K3149" s="33" t="n">
        <f aca="false">IF(G3149="","",G3149-C3149)</f>
        <v>-8.00710365421253</v>
      </c>
      <c r="L3149" s="33" t="n">
        <f aca="false">IF(H3149="","",ABS(H3149))</f>
        <v>13</v>
      </c>
      <c r="M3149" s="33" t="n">
        <f aca="false">IF(I3149="","",ABS(I3149))</f>
        <v>10.5</v>
      </c>
      <c r="N3149" s="33" t="n">
        <f aca="false">IF(J3149="","",ABS(J3149))</f>
        <v>4.75</v>
      </c>
      <c r="O3149" s="33" t="n">
        <f aca="false">IF(K3149="","",ABS(K3149))</f>
        <v>8.00710365421253</v>
      </c>
      <c r="P3149" s="34" t="str">
        <f aca="false">IF(B3149&gt;=Eval_Start_Week,"YES","")</f>
        <v/>
      </c>
      <c r="Q3149" s="34" t="str">
        <f aca="false">IF(AND(B3149&gt;=Cal_Start_Week,B3149&lt;=Cal_End_Week),"YES","")</f>
        <v/>
      </c>
    </row>
    <row r="3150" customFormat="false" ht="15" hidden="false" customHeight="false" outlineLevel="0" collapsed="false">
      <c r="A3150" s="31" t="str">
        <f aca="false">Demand_History!C3150</f>
        <v>ELE-002</v>
      </c>
      <c r="B3150" s="31" t="n">
        <f aca="false">Demand_History!A3150</f>
        <v>29</v>
      </c>
      <c r="C3150" s="32" t="n">
        <f aca="false">Demand_History!D3150</f>
        <v>53</v>
      </c>
      <c r="D3150" s="33" t="n">
        <f aca="false">IF(B3150&gt;=2,C3149,"")</f>
        <v>47</v>
      </c>
      <c r="E3150" s="33" t="n">
        <f aca="false">IF(B3150&gt;=5,AVERAGE(C3146:C3149),"")</f>
        <v>41.25</v>
      </c>
      <c r="F3150" s="33" t="n">
        <f aca="false">IF(B3150&gt;=9,AVERAGE(C3142:C3149),"")</f>
        <v>40</v>
      </c>
      <c r="G3150" s="33" t="n">
        <f aca="false">IF(B3150=1,"",IF(B3150=2,C3149,SES_Alpha*C3149+(1-SES_Alpha)*G3149))</f>
        <v>41.3950274420512</v>
      </c>
      <c r="H3150" s="33" t="n">
        <f aca="false">IF(D3150="","",D3150-C3150)</f>
        <v>-6</v>
      </c>
      <c r="I3150" s="33" t="n">
        <f aca="false">IF(E3150="","",E3150-C3150)</f>
        <v>-11.75</v>
      </c>
      <c r="J3150" s="33" t="n">
        <f aca="false">IF(F3150="","",F3150-C3150)</f>
        <v>-13</v>
      </c>
      <c r="K3150" s="33" t="n">
        <f aca="false">IF(G3150="","",G3150-C3150)</f>
        <v>-11.6049725579488</v>
      </c>
      <c r="L3150" s="33" t="n">
        <f aca="false">IF(H3150="","",ABS(H3150))</f>
        <v>6</v>
      </c>
      <c r="M3150" s="33" t="n">
        <f aca="false">IF(I3150="","",ABS(I3150))</f>
        <v>11.75</v>
      </c>
      <c r="N3150" s="33" t="n">
        <f aca="false">IF(J3150="","",ABS(J3150))</f>
        <v>13</v>
      </c>
      <c r="O3150" s="33" t="n">
        <f aca="false">IF(K3150="","",ABS(K3150))</f>
        <v>11.6049725579488</v>
      </c>
      <c r="P3150" s="34" t="str">
        <f aca="false">IF(B3150&gt;=Eval_Start_Week,"YES","")</f>
        <v/>
      </c>
      <c r="Q3150" s="34" t="str">
        <f aca="false">IF(AND(B3150&gt;=Cal_Start_Week,B3150&lt;=Cal_End_Week),"YES","")</f>
        <v/>
      </c>
    </row>
    <row r="3151" customFormat="false" ht="15" hidden="false" customHeight="false" outlineLevel="0" collapsed="false">
      <c r="A3151" s="31" t="str">
        <f aca="false">Demand_History!C3151</f>
        <v>ELE-002</v>
      </c>
      <c r="B3151" s="31" t="n">
        <f aca="false">Demand_History!A3151</f>
        <v>30</v>
      </c>
      <c r="C3151" s="32" t="n">
        <f aca="false">Demand_History!D3151</f>
        <v>54</v>
      </c>
      <c r="D3151" s="33" t="n">
        <f aca="false">IF(B3151&gt;=2,C3150,"")</f>
        <v>53</v>
      </c>
      <c r="E3151" s="33" t="n">
        <f aca="false">IF(B3151&gt;=5,AVERAGE(C3147:C3150),"")</f>
        <v>44</v>
      </c>
      <c r="F3151" s="33" t="n">
        <f aca="false">IF(B3151&gt;=9,AVERAGE(C3143:C3150),"")</f>
        <v>42.625</v>
      </c>
      <c r="G3151" s="33" t="n">
        <f aca="false">IF(B3151=1,"",IF(B3151=2,C3150,SES_Alpha*C3150+(1-SES_Alpha)*G3150))</f>
        <v>44.8765192094359</v>
      </c>
      <c r="H3151" s="33" t="n">
        <f aca="false">IF(D3151="","",D3151-C3151)</f>
        <v>-1</v>
      </c>
      <c r="I3151" s="33" t="n">
        <f aca="false">IF(E3151="","",E3151-C3151)</f>
        <v>-10</v>
      </c>
      <c r="J3151" s="33" t="n">
        <f aca="false">IF(F3151="","",F3151-C3151)</f>
        <v>-11.375</v>
      </c>
      <c r="K3151" s="33" t="n">
        <f aca="false">IF(G3151="","",G3151-C3151)</f>
        <v>-9.12348079056415</v>
      </c>
      <c r="L3151" s="33" t="n">
        <f aca="false">IF(H3151="","",ABS(H3151))</f>
        <v>1</v>
      </c>
      <c r="M3151" s="33" t="n">
        <f aca="false">IF(I3151="","",ABS(I3151))</f>
        <v>10</v>
      </c>
      <c r="N3151" s="33" t="n">
        <f aca="false">IF(J3151="","",ABS(J3151))</f>
        <v>11.375</v>
      </c>
      <c r="O3151" s="33" t="n">
        <f aca="false">IF(K3151="","",ABS(K3151))</f>
        <v>9.12348079056415</v>
      </c>
      <c r="P3151" s="34" t="str">
        <f aca="false">IF(B3151&gt;=Eval_Start_Week,"YES","")</f>
        <v/>
      </c>
      <c r="Q3151" s="34" t="str">
        <f aca="false">IF(AND(B3151&gt;=Cal_Start_Week,B3151&lt;=Cal_End_Week),"YES","")</f>
        <v/>
      </c>
    </row>
    <row r="3152" customFormat="false" ht="15" hidden="false" customHeight="false" outlineLevel="0" collapsed="false">
      <c r="A3152" s="31" t="str">
        <f aca="false">Demand_History!C3152</f>
        <v>ELE-002</v>
      </c>
      <c r="B3152" s="31" t="n">
        <f aca="false">Demand_History!A3152</f>
        <v>31</v>
      </c>
      <c r="C3152" s="32" t="n">
        <f aca="false">Demand_History!D3152</f>
        <v>38</v>
      </c>
      <c r="D3152" s="33" t="n">
        <f aca="false">IF(B3152&gt;=2,C3151,"")</f>
        <v>54</v>
      </c>
      <c r="E3152" s="33" t="n">
        <f aca="false">IF(B3152&gt;=5,AVERAGE(C3148:C3151),"")</f>
        <v>47</v>
      </c>
      <c r="F3152" s="33" t="n">
        <f aca="false">IF(B3152&gt;=9,AVERAGE(C3144:C3151),"")</f>
        <v>43.625</v>
      </c>
      <c r="G3152" s="33" t="n">
        <f aca="false">IF(B3152=1,"",IF(B3152=2,C3151,SES_Alpha*C3151+(1-SES_Alpha)*G3151))</f>
        <v>47.6135634466051</v>
      </c>
      <c r="H3152" s="33" t="n">
        <f aca="false">IF(D3152="","",D3152-C3152)</f>
        <v>16</v>
      </c>
      <c r="I3152" s="33" t="n">
        <f aca="false">IF(E3152="","",E3152-C3152)</f>
        <v>9</v>
      </c>
      <c r="J3152" s="33" t="n">
        <f aca="false">IF(F3152="","",F3152-C3152)</f>
        <v>5.625</v>
      </c>
      <c r="K3152" s="33" t="n">
        <f aca="false">IF(G3152="","",G3152-C3152)</f>
        <v>9.6135634466051</v>
      </c>
      <c r="L3152" s="33" t="n">
        <f aca="false">IF(H3152="","",ABS(H3152))</f>
        <v>16</v>
      </c>
      <c r="M3152" s="33" t="n">
        <f aca="false">IF(I3152="","",ABS(I3152))</f>
        <v>9</v>
      </c>
      <c r="N3152" s="33" t="n">
        <f aca="false">IF(J3152="","",ABS(J3152))</f>
        <v>5.625</v>
      </c>
      <c r="O3152" s="33" t="n">
        <f aca="false">IF(K3152="","",ABS(K3152))</f>
        <v>9.6135634466051</v>
      </c>
      <c r="P3152" s="34" t="str">
        <f aca="false">IF(B3152&gt;=Eval_Start_Week,"YES","")</f>
        <v/>
      </c>
      <c r="Q3152" s="34" t="str">
        <f aca="false">IF(AND(B3152&gt;=Cal_Start_Week,B3152&lt;=Cal_End_Week),"YES","")</f>
        <v/>
      </c>
    </row>
    <row r="3153" customFormat="false" ht="15" hidden="false" customHeight="false" outlineLevel="0" collapsed="false">
      <c r="A3153" s="31" t="str">
        <f aca="false">Demand_History!C3153</f>
        <v>ELE-002</v>
      </c>
      <c r="B3153" s="31" t="n">
        <f aca="false">Demand_History!A3153</f>
        <v>32</v>
      </c>
      <c r="C3153" s="32" t="n">
        <f aca="false">Demand_History!D3153</f>
        <v>42</v>
      </c>
      <c r="D3153" s="33" t="n">
        <f aca="false">IF(B3153&gt;=2,C3152,"")</f>
        <v>38</v>
      </c>
      <c r="E3153" s="33" t="n">
        <f aca="false">IF(B3153&gt;=5,AVERAGE(C3149:C3152),"")</f>
        <v>48</v>
      </c>
      <c r="F3153" s="33" t="n">
        <f aca="false">IF(B3153&gt;=9,AVERAGE(C3145:C3152),"")</f>
        <v>42.25</v>
      </c>
      <c r="G3153" s="33" t="n">
        <f aca="false">IF(B3153=1,"",IF(B3153=2,C3152,SES_Alpha*C3152+(1-SES_Alpha)*G3152))</f>
        <v>44.7294944126236</v>
      </c>
      <c r="H3153" s="33" t="n">
        <f aca="false">IF(D3153="","",D3153-C3153)</f>
        <v>-4</v>
      </c>
      <c r="I3153" s="33" t="n">
        <f aca="false">IF(E3153="","",E3153-C3153)</f>
        <v>6</v>
      </c>
      <c r="J3153" s="33" t="n">
        <f aca="false">IF(F3153="","",F3153-C3153)</f>
        <v>0.25</v>
      </c>
      <c r="K3153" s="33" t="n">
        <f aca="false">IF(G3153="","",G3153-C3153)</f>
        <v>2.72949441262357</v>
      </c>
      <c r="L3153" s="33" t="n">
        <f aca="false">IF(H3153="","",ABS(H3153))</f>
        <v>4</v>
      </c>
      <c r="M3153" s="33" t="n">
        <f aca="false">IF(I3153="","",ABS(I3153))</f>
        <v>6</v>
      </c>
      <c r="N3153" s="33" t="n">
        <f aca="false">IF(J3153="","",ABS(J3153))</f>
        <v>0.25</v>
      </c>
      <c r="O3153" s="33" t="n">
        <f aca="false">IF(K3153="","",ABS(K3153))</f>
        <v>2.72949441262357</v>
      </c>
      <c r="P3153" s="34" t="str">
        <f aca="false">IF(B3153&gt;=Eval_Start_Week,"YES","")</f>
        <v/>
      </c>
      <c r="Q3153" s="34" t="str">
        <f aca="false">IF(AND(B3153&gt;=Cal_Start_Week,B3153&lt;=Cal_End_Week),"YES","")</f>
        <v/>
      </c>
    </row>
    <row r="3154" customFormat="false" ht="15" hidden="false" customHeight="false" outlineLevel="0" collapsed="false">
      <c r="A3154" s="31" t="str">
        <f aca="false">Demand_History!C3154</f>
        <v>ELE-002</v>
      </c>
      <c r="B3154" s="31" t="n">
        <f aca="false">Demand_History!A3154</f>
        <v>33</v>
      </c>
      <c r="C3154" s="32" t="n">
        <f aca="false">Demand_History!D3154</f>
        <v>69</v>
      </c>
      <c r="D3154" s="33" t="n">
        <f aca="false">IF(B3154&gt;=2,C3153,"")</f>
        <v>42</v>
      </c>
      <c r="E3154" s="33" t="n">
        <f aca="false">IF(B3154&gt;=5,AVERAGE(C3150:C3153),"")</f>
        <v>46.75</v>
      </c>
      <c r="F3154" s="33" t="n">
        <f aca="false">IF(B3154&gt;=9,AVERAGE(C3146:C3153),"")</f>
        <v>44</v>
      </c>
      <c r="G3154" s="33" t="n">
        <f aca="false">IF(B3154=1,"",IF(B3154=2,C3153,SES_Alpha*C3153+(1-SES_Alpha)*G3153))</f>
        <v>43.9106460888365</v>
      </c>
      <c r="H3154" s="33" t="n">
        <f aca="false">IF(D3154="","",D3154-C3154)</f>
        <v>-27</v>
      </c>
      <c r="I3154" s="33" t="n">
        <f aca="false">IF(E3154="","",E3154-C3154)</f>
        <v>-22.25</v>
      </c>
      <c r="J3154" s="33" t="n">
        <f aca="false">IF(F3154="","",F3154-C3154)</f>
        <v>-25</v>
      </c>
      <c r="K3154" s="33" t="n">
        <f aca="false">IF(G3154="","",G3154-C3154)</f>
        <v>-25.0893539111635</v>
      </c>
      <c r="L3154" s="33" t="n">
        <f aca="false">IF(H3154="","",ABS(H3154))</f>
        <v>27</v>
      </c>
      <c r="M3154" s="33" t="n">
        <f aca="false">IF(I3154="","",ABS(I3154))</f>
        <v>22.25</v>
      </c>
      <c r="N3154" s="33" t="n">
        <f aca="false">IF(J3154="","",ABS(J3154))</f>
        <v>25</v>
      </c>
      <c r="O3154" s="33" t="n">
        <f aca="false">IF(K3154="","",ABS(K3154))</f>
        <v>25.0893539111635</v>
      </c>
      <c r="P3154" s="34" t="str">
        <f aca="false">IF(B3154&gt;=Eval_Start_Week,"YES","")</f>
        <v/>
      </c>
      <c r="Q3154" s="34" t="str">
        <f aca="false">IF(AND(B3154&gt;=Cal_Start_Week,B3154&lt;=Cal_End_Week),"YES","")</f>
        <v/>
      </c>
    </row>
    <row r="3155" customFormat="false" ht="15" hidden="false" customHeight="false" outlineLevel="0" collapsed="false">
      <c r="A3155" s="31" t="str">
        <f aca="false">Demand_History!C3155</f>
        <v>ELE-002</v>
      </c>
      <c r="B3155" s="31" t="n">
        <f aca="false">Demand_History!A3155</f>
        <v>34</v>
      </c>
      <c r="C3155" s="32" t="n">
        <f aca="false">Demand_History!D3155</f>
        <v>26</v>
      </c>
      <c r="D3155" s="33" t="n">
        <f aca="false">IF(B3155&gt;=2,C3154,"")</f>
        <v>69</v>
      </c>
      <c r="E3155" s="33" t="n">
        <f aca="false">IF(B3155&gt;=5,AVERAGE(C3151:C3154),"")</f>
        <v>50.75</v>
      </c>
      <c r="F3155" s="33" t="n">
        <f aca="false">IF(B3155&gt;=9,AVERAGE(C3147:C3154),"")</f>
        <v>47.375</v>
      </c>
      <c r="G3155" s="33" t="n">
        <f aca="false">IF(B3155=1,"",IF(B3155=2,C3154,SES_Alpha*C3154+(1-SES_Alpha)*G3154))</f>
        <v>51.4374522621855</v>
      </c>
      <c r="H3155" s="33" t="n">
        <f aca="false">IF(D3155="","",D3155-C3155)</f>
        <v>43</v>
      </c>
      <c r="I3155" s="33" t="n">
        <f aca="false">IF(E3155="","",E3155-C3155)</f>
        <v>24.75</v>
      </c>
      <c r="J3155" s="33" t="n">
        <f aca="false">IF(F3155="","",F3155-C3155)</f>
        <v>21.375</v>
      </c>
      <c r="K3155" s="33" t="n">
        <f aca="false">IF(G3155="","",G3155-C3155)</f>
        <v>25.4374522621855</v>
      </c>
      <c r="L3155" s="33" t="n">
        <f aca="false">IF(H3155="","",ABS(H3155))</f>
        <v>43</v>
      </c>
      <c r="M3155" s="33" t="n">
        <f aca="false">IF(I3155="","",ABS(I3155))</f>
        <v>24.75</v>
      </c>
      <c r="N3155" s="33" t="n">
        <f aca="false">IF(J3155="","",ABS(J3155))</f>
        <v>21.375</v>
      </c>
      <c r="O3155" s="33" t="n">
        <f aca="false">IF(K3155="","",ABS(K3155))</f>
        <v>25.4374522621855</v>
      </c>
      <c r="P3155" s="34" t="str">
        <f aca="false">IF(B3155&gt;=Eval_Start_Week,"YES","")</f>
        <v/>
      </c>
      <c r="Q3155" s="34" t="str">
        <f aca="false">IF(AND(B3155&gt;=Cal_Start_Week,B3155&lt;=Cal_End_Week),"YES","")</f>
        <v/>
      </c>
    </row>
    <row r="3156" customFormat="false" ht="15" hidden="false" customHeight="false" outlineLevel="0" collapsed="false">
      <c r="A3156" s="31" t="str">
        <f aca="false">Demand_History!C3156</f>
        <v>ELE-002</v>
      </c>
      <c r="B3156" s="31" t="n">
        <f aca="false">Demand_History!A3156</f>
        <v>35</v>
      </c>
      <c r="C3156" s="32" t="n">
        <f aca="false">Demand_History!D3156</f>
        <v>43</v>
      </c>
      <c r="D3156" s="33" t="n">
        <f aca="false">IF(B3156&gt;=2,C3155,"")</f>
        <v>26</v>
      </c>
      <c r="E3156" s="33" t="n">
        <f aca="false">IF(B3156&gt;=5,AVERAGE(C3152:C3155),"")</f>
        <v>43.75</v>
      </c>
      <c r="F3156" s="33" t="n">
        <f aca="false">IF(B3156&gt;=9,AVERAGE(C3148:C3155),"")</f>
        <v>45.375</v>
      </c>
      <c r="G3156" s="33" t="n">
        <f aca="false">IF(B3156=1,"",IF(B3156=2,C3155,SES_Alpha*C3155+(1-SES_Alpha)*G3155))</f>
        <v>43.8062165835299</v>
      </c>
      <c r="H3156" s="33" t="n">
        <f aca="false">IF(D3156="","",D3156-C3156)</f>
        <v>-17</v>
      </c>
      <c r="I3156" s="33" t="n">
        <f aca="false">IF(E3156="","",E3156-C3156)</f>
        <v>0.75</v>
      </c>
      <c r="J3156" s="33" t="n">
        <f aca="false">IF(F3156="","",F3156-C3156)</f>
        <v>2.375</v>
      </c>
      <c r="K3156" s="33" t="n">
        <f aca="false">IF(G3156="","",G3156-C3156)</f>
        <v>0.806216583529874</v>
      </c>
      <c r="L3156" s="33" t="n">
        <f aca="false">IF(H3156="","",ABS(H3156))</f>
        <v>17</v>
      </c>
      <c r="M3156" s="33" t="n">
        <f aca="false">IF(I3156="","",ABS(I3156))</f>
        <v>0.75</v>
      </c>
      <c r="N3156" s="33" t="n">
        <f aca="false">IF(J3156="","",ABS(J3156))</f>
        <v>2.375</v>
      </c>
      <c r="O3156" s="33" t="n">
        <f aca="false">IF(K3156="","",ABS(K3156))</f>
        <v>0.806216583529874</v>
      </c>
      <c r="P3156" s="34" t="str">
        <f aca="false">IF(B3156&gt;=Eval_Start_Week,"YES","")</f>
        <v/>
      </c>
      <c r="Q3156" s="34" t="str">
        <f aca="false">IF(AND(B3156&gt;=Cal_Start_Week,B3156&lt;=Cal_End_Week),"YES","")</f>
        <v/>
      </c>
    </row>
    <row r="3157" customFormat="false" ht="15" hidden="false" customHeight="false" outlineLevel="0" collapsed="false">
      <c r="A3157" s="31" t="str">
        <f aca="false">Demand_History!C3157</f>
        <v>ELE-002</v>
      </c>
      <c r="B3157" s="31" t="n">
        <f aca="false">Demand_History!A3157</f>
        <v>36</v>
      </c>
      <c r="C3157" s="32" t="n">
        <f aca="false">Demand_History!D3157</f>
        <v>51</v>
      </c>
      <c r="D3157" s="33" t="n">
        <f aca="false">IF(B3157&gt;=2,C3156,"")</f>
        <v>43</v>
      </c>
      <c r="E3157" s="33" t="n">
        <f aca="false">IF(B3157&gt;=5,AVERAGE(C3153:C3156),"")</f>
        <v>45</v>
      </c>
      <c r="F3157" s="33" t="n">
        <f aca="false">IF(B3157&gt;=9,AVERAGE(C3149:C3156),"")</f>
        <v>46.5</v>
      </c>
      <c r="G3157" s="33" t="n">
        <f aca="false">IF(B3157=1,"",IF(B3157=2,C3156,SES_Alpha*C3156+(1-SES_Alpha)*G3156))</f>
        <v>43.5643516084709</v>
      </c>
      <c r="H3157" s="33" t="n">
        <f aca="false">IF(D3157="","",D3157-C3157)</f>
        <v>-8</v>
      </c>
      <c r="I3157" s="33" t="n">
        <f aca="false">IF(E3157="","",E3157-C3157)</f>
        <v>-6</v>
      </c>
      <c r="J3157" s="33" t="n">
        <f aca="false">IF(F3157="","",F3157-C3157)</f>
        <v>-4.5</v>
      </c>
      <c r="K3157" s="33" t="n">
        <f aca="false">IF(G3157="","",G3157-C3157)</f>
        <v>-7.43564839152909</v>
      </c>
      <c r="L3157" s="33" t="n">
        <f aca="false">IF(H3157="","",ABS(H3157))</f>
        <v>8</v>
      </c>
      <c r="M3157" s="33" t="n">
        <f aca="false">IF(I3157="","",ABS(I3157))</f>
        <v>6</v>
      </c>
      <c r="N3157" s="33" t="n">
        <f aca="false">IF(J3157="","",ABS(J3157))</f>
        <v>4.5</v>
      </c>
      <c r="O3157" s="33" t="n">
        <f aca="false">IF(K3157="","",ABS(K3157))</f>
        <v>7.43564839152909</v>
      </c>
      <c r="P3157" s="34" t="str">
        <f aca="false">IF(B3157&gt;=Eval_Start_Week,"YES","")</f>
        <v/>
      </c>
      <c r="Q3157" s="34" t="str">
        <f aca="false">IF(AND(B3157&gt;=Cal_Start_Week,B3157&lt;=Cal_End_Week),"YES","")</f>
        <v/>
      </c>
    </row>
    <row r="3158" customFormat="false" ht="15" hidden="false" customHeight="false" outlineLevel="0" collapsed="false">
      <c r="A3158" s="31" t="str">
        <f aca="false">Demand_History!C3158</f>
        <v>ELE-002</v>
      </c>
      <c r="B3158" s="31" t="n">
        <f aca="false">Demand_History!A3158</f>
        <v>37</v>
      </c>
      <c r="C3158" s="32" t="n">
        <f aca="false">Demand_History!D3158</f>
        <v>42</v>
      </c>
      <c r="D3158" s="33" t="n">
        <f aca="false">IF(B3158&gt;=2,C3157,"")</f>
        <v>51</v>
      </c>
      <c r="E3158" s="33" t="n">
        <f aca="false">IF(B3158&gt;=5,AVERAGE(C3154:C3157),"")</f>
        <v>47.25</v>
      </c>
      <c r="F3158" s="33" t="n">
        <f aca="false">IF(B3158&gt;=9,AVERAGE(C3150:C3157),"")</f>
        <v>47</v>
      </c>
      <c r="G3158" s="33" t="n">
        <f aca="false">IF(B3158=1,"",IF(B3158=2,C3157,SES_Alpha*C3157+(1-SES_Alpha)*G3157))</f>
        <v>45.7950461259296</v>
      </c>
      <c r="H3158" s="33" t="n">
        <f aca="false">IF(D3158="","",D3158-C3158)</f>
        <v>9</v>
      </c>
      <c r="I3158" s="33" t="n">
        <f aca="false">IF(E3158="","",E3158-C3158)</f>
        <v>5.25</v>
      </c>
      <c r="J3158" s="33" t="n">
        <f aca="false">IF(F3158="","",F3158-C3158)</f>
        <v>5</v>
      </c>
      <c r="K3158" s="33" t="n">
        <f aca="false">IF(G3158="","",G3158-C3158)</f>
        <v>3.79504612592963</v>
      </c>
      <c r="L3158" s="33" t="n">
        <f aca="false">IF(H3158="","",ABS(H3158))</f>
        <v>9</v>
      </c>
      <c r="M3158" s="33" t="n">
        <f aca="false">IF(I3158="","",ABS(I3158))</f>
        <v>5.25</v>
      </c>
      <c r="N3158" s="33" t="n">
        <f aca="false">IF(J3158="","",ABS(J3158))</f>
        <v>5</v>
      </c>
      <c r="O3158" s="33" t="n">
        <f aca="false">IF(K3158="","",ABS(K3158))</f>
        <v>3.79504612592963</v>
      </c>
      <c r="P3158" s="34" t="str">
        <f aca="false">IF(B3158&gt;=Eval_Start_Week,"YES","")</f>
        <v/>
      </c>
      <c r="Q3158" s="34" t="str">
        <f aca="false">IF(AND(B3158&gt;=Cal_Start_Week,B3158&lt;=Cal_End_Week),"YES","")</f>
        <v>YES</v>
      </c>
    </row>
    <row r="3159" customFormat="false" ht="15" hidden="false" customHeight="false" outlineLevel="0" collapsed="false">
      <c r="A3159" s="31" t="str">
        <f aca="false">Demand_History!C3159</f>
        <v>ELE-002</v>
      </c>
      <c r="B3159" s="31" t="n">
        <f aca="false">Demand_History!A3159</f>
        <v>38</v>
      </c>
      <c r="C3159" s="32" t="n">
        <f aca="false">Demand_History!D3159</f>
        <v>48</v>
      </c>
      <c r="D3159" s="33" t="n">
        <f aca="false">IF(B3159&gt;=2,C3158,"")</f>
        <v>42</v>
      </c>
      <c r="E3159" s="33" t="n">
        <f aca="false">IF(B3159&gt;=5,AVERAGE(C3155:C3158),"")</f>
        <v>40.5</v>
      </c>
      <c r="F3159" s="33" t="n">
        <f aca="false">IF(B3159&gt;=9,AVERAGE(C3151:C3158),"")</f>
        <v>45.625</v>
      </c>
      <c r="G3159" s="33" t="n">
        <f aca="false">IF(B3159=1,"",IF(B3159=2,C3158,SES_Alpha*C3158+(1-SES_Alpha)*G3158))</f>
        <v>44.6565322881507</v>
      </c>
      <c r="H3159" s="33" t="n">
        <f aca="false">IF(D3159="","",D3159-C3159)</f>
        <v>-6</v>
      </c>
      <c r="I3159" s="33" t="n">
        <f aca="false">IF(E3159="","",E3159-C3159)</f>
        <v>-7.5</v>
      </c>
      <c r="J3159" s="33" t="n">
        <f aca="false">IF(F3159="","",F3159-C3159)</f>
        <v>-2.375</v>
      </c>
      <c r="K3159" s="33" t="n">
        <f aca="false">IF(G3159="","",G3159-C3159)</f>
        <v>-3.34346771184926</v>
      </c>
      <c r="L3159" s="33" t="n">
        <f aca="false">IF(H3159="","",ABS(H3159))</f>
        <v>6</v>
      </c>
      <c r="M3159" s="33" t="n">
        <f aca="false">IF(I3159="","",ABS(I3159))</f>
        <v>7.5</v>
      </c>
      <c r="N3159" s="33" t="n">
        <f aca="false">IF(J3159="","",ABS(J3159))</f>
        <v>2.375</v>
      </c>
      <c r="O3159" s="33" t="n">
        <f aca="false">IF(K3159="","",ABS(K3159))</f>
        <v>3.34346771184926</v>
      </c>
      <c r="P3159" s="34" t="str">
        <f aca="false">IF(B3159&gt;=Eval_Start_Week,"YES","")</f>
        <v/>
      </c>
      <c r="Q3159" s="34" t="str">
        <f aca="false">IF(AND(B3159&gt;=Cal_Start_Week,B3159&lt;=Cal_End_Week),"YES","")</f>
        <v>YES</v>
      </c>
    </row>
    <row r="3160" customFormat="false" ht="15" hidden="false" customHeight="false" outlineLevel="0" collapsed="false">
      <c r="A3160" s="31" t="str">
        <f aca="false">Demand_History!C3160</f>
        <v>ELE-002</v>
      </c>
      <c r="B3160" s="31" t="n">
        <f aca="false">Demand_History!A3160</f>
        <v>39</v>
      </c>
      <c r="C3160" s="32" t="n">
        <f aca="false">Demand_History!D3160</f>
        <v>42</v>
      </c>
      <c r="D3160" s="33" t="n">
        <f aca="false">IF(B3160&gt;=2,C3159,"")</f>
        <v>48</v>
      </c>
      <c r="E3160" s="33" t="n">
        <f aca="false">IF(B3160&gt;=5,AVERAGE(C3156:C3159),"")</f>
        <v>46</v>
      </c>
      <c r="F3160" s="33" t="n">
        <f aca="false">IF(B3160&gt;=9,AVERAGE(C3152:C3159),"")</f>
        <v>44.875</v>
      </c>
      <c r="G3160" s="33" t="n">
        <f aca="false">IF(B3160=1,"",IF(B3160=2,C3159,SES_Alpha*C3159+(1-SES_Alpha)*G3159))</f>
        <v>45.6595726017055</v>
      </c>
      <c r="H3160" s="33" t="n">
        <f aca="false">IF(D3160="","",D3160-C3160)</f>
        <v>6</v>
      </c>
      <c r="I3160" s="33" t="n">
        <f aca="false">IF(E3160="","",E3160-C3160)</f>
        <v>4</v>
      </c>
      <c r="J3160" s="33" t="n">
        <f aca="false">IF(F3160="","",F3160-C3160)</f>
        <v>2.875</v>
      </c>
      <c r="K3160" s="33" t="n">
        <f aca="false">IF(G3160="","",G3160-C3160)</f>
        <v>3.65957260170552</v>
      </c>
      <c r="L3160" s="33" t="n">
        <f aca="false">IF(H3160="","",ABS(H3160))</f>
        <v>6</v>
      </c>
      <c r="M3160" s="33" t="n">
        <f aca="false">IF(I3160="","",ABS(I3160))</f>
        <v>4</v>
      </c>
      <c r="N3160" s="33" t="n">
        <f aca="false">IF(J3160="","",ABS(J3160))</f>
        <v>2.875</v>
      </c>
      <c r="O3160" s="33" t="n">
        <f aca="false">IF(K3160="","",ABS(K3160))</f>
        <v>3.65957260170552</v>
      </c>
      <c r="P3160" s="34" t="str">
        <f aca="false">IF(B3160&gt;=Eval_Start_Week,"YES","")</f>
        <v/>
      </c>
      <c r="Q3160" s="34" t="str">
        <f aca="false">IF(AND(B3160&gt;=Cal_Start_Week,B3160&lt;=Cal_End_Week),"YES","")</f>
        <v>YES</v>
      </c>
    </row>
    <row r="3161" customFormat="false" ht="15" hidden="false" customHeight="false" outlineLevel="0" collapsed="false">
      <c r="A3161" s="31" t="str">
        <f aca="false">Demand_History!C3161</f>
        <v>ELE-002</v>
      </c>
      <c r="B3161" s="31" t="n">
        <f aca="false">Demand_History!A3161</f>
        <v>40</v>
      </c>
      <c r="C3161" s="32" t="n">
        <f aca="false">Demand_History!D3161</f>
        <v>49</v>
      </c>
      <c r="D3161" s="33" t="n">
        <f aca="false">IF(B3161&gt;=2,C3160,"")</f>
        <v>42</v>
      </c>
      <c r="E3161" s="33" t="n">
        <f aca="false">IF(B3161&gt;=5,AVERAGE(C3157:C3160),"")</f>
        <v>45.75</v>
      </c>
      <c r="F3161" s="33" t="n">
        <f aca="false">IF(B3161&gt;=9,AVERAGE(C3153:C3160),"")</f>
        <v>45.375</v>
      </c>
      <c r="G3161" s="33" t="n">
        <f aca="false">IF(B3161=1,"",IF(B3161=2,C3160,SES_Alpha*C3160+(1-SES_Alpha)*G3160))</f>
        <v>44.5617008211939</v>
      </c>
      <c r="H3161" s="33" t="n">
        <f aca="false">IF(D3161="","",D3161-C3161)</f>
        <v>-7</v>
      </c>
      <c r="I3161" s="33" t="n">
        <f aca="false">IF(E3161="","",E3161-C3161)</f>
        <v>-3.25</v>
      </c>
      <c r="J3161" s="33" t="n">
        <f aca="false">IF(F3161="","",F3161-C3161)</f>
        <v>-3.625</v>
      </c>
      <c r="K3161" s="33" t="n">
        <f aca="false">IF(G3161="","",G3161-C3161)</f>
        <v>-4.43829917880614</v>
      </c>
      <c r="L3161" s="33" t="n">
        <f aca="false">IF(H3161="","",ABS(H3161))</f>
        <v>7</v>
      </c>
      <c r="M3161" s="33" t="n">
        <f aca="false">IF(I3161="","",ABS(I3161))</f>
        <v>3.25</v>
      </c>
      <c r="N3161" s="33" t="n">
        <f aca="false">IF(J3161="","",ABS(J3161))</f>
        <v>3.625</v>
      </c>
      <c r="O3161" s="33" t="n">
        <f aca="false">IF(K3161="","",ABS(K3161))</f>
        <v>4.43829917880614</v>
      </c>
      <c r="P3161" s="34" t="str">
        <f aca="false">IF(B3161&gt;=Eval_Start_Week,"YES","")</f>
        <v/>
      </c>
      <c r="Q3161" s="34" t="str">
        <f aca="false">IF(AND(B3161&gt;=Cal_Start_Week,B3161&lt;=Cal_End_Week),"YES","")</f>
        <v>YES</v>
      </c>
    </row>
    <row r="3162" customFormat="false" ht="15" hidden="false" customHeight="false" outlineLevel="0" collapsed="false">
      <c r="A3162" s="31" t="str">
        <f aca="false">Demand_History!C3162</f>
        <v>ELE-002</v>
      </c>
      <c r="B3162" s="31" t="n">
        <f aca="false">Demand_History!A3162</f>
        <v>41</v>
      </c>
      <c r="C3162" s="32" t="n">
        <f aca="false">Demand_History!D3162</f>
        <v>56</v>
      </c>
      <c r="D3162" s="33" t="n">
        <f aca="false">IF(B3162&gt;=2,C3161,"")</f>
        <v>49</v>
      </c>
      <c r="E3162" s="33" t="n">
        <f aca="false">IF(B3162&gt;=5,AVERAGE(C3158:C3161),"")</f>
        <v>45.25</v>
      </c>
      <c r="F3162" s="33" t="n">
        <f aca="false">IF(B3162&gt;=9,AVERAGE(C3154:C3161),"")</f>
        <v>46.25</v>
      </c>
      <c r="G3162" s="33" t="n">
        <f aca="false">IF(B3162=1,"",IF(B3162=2,C3161,SES_Alpha*C3161+(1-SES_Alpha)*G3161))</f>
        <v>45.8931905748357</v>
      </c>
      <c r="H3162" s="33" t="n">
        <f aca="false">IF(D3162="","",D3162-C3162)</f>
        <v>-7</v>
      </c>
      <c r="I3162" s="33" t="n">
        <f aca="false">IF(E3162="","",E3162-C3162)</f>
        <v>-10.75</v>
      </c>
      <c r="J3162" s="33" t="n">
        <f aca="false">IF(F3162="","",F3162-C3162)</f>
        <v>-9.75</v>
      </c>
      <c r="K3162" s="33" t="n">
        <f aca="false">IF(G3162="","",G3162-C3162)</f>
        <v>-10.1068094251643</v>
      </c>
      <c r="L3162" s="33" t="n">
        <f aca="false">IF(H3162="","",ABS(H3162))</f>
        <v>7</v>
      </c>
      <c r="M3162" s="33" t="n">
        <f aca="false">IF(I3162="","",ABS(I3162))</f>
        <v>10.75</v>
      </c>
      <c r="N3162" s="33" t="n">
        <f aca="false">IF(J3162="","",ABS(J3162))</f>
        <v>9.75</v>
      </c>
      <c r="O3162" s="33" t="n">
        <f aca="false">IF(K3162="","",ABS(K3162))</f>
        <v>10.1068094251643</v>
      </c>
      <c r="P3162" s="34" t="str">
        <f aca="false">IF(B3162&gt;=Eval_Start_Week,"YES","")</f>
        <v/>
      </c>
      <c r="Q3162" s="34" t="str">
        <f aca="false">IF(AND(B3162&gt;=Cal_Start_Week,B3162&lt;=Cal_End_Week),"YES","")</f>
        <v>YES</v>
      </c>
    </row>
    <row r="3163" customFormat="false" ht="15" hidden="false" customHeight="false" outlineLevel="0" collapsed="false">
      <c r="A3163" s="31" t="str">
        <f aca="false">Demand_History!C3163</f>
        <v>ELE-002</v>
      </c>
      <c r="B3163" s="31" t="n">
        <f aca="false">Demand_History!A3163</f>
        <v>42</v>
      </c>
      <c r="C3163" s="32" t="n">
        <f aca="false">Demand_History!D3163</f>
        <v>37</v>
      </c>
      <c r="D3163" s="33" t="n">
        <f aca="false">IF(B3163&gt;=2,C3162,"")</f>
        <v>56</v>
      </c>
      <c r="E3163" s="33" t="n">
        <f aca="false">IF(B3163&gt;=5,AVERAGE(C3159:C3162),"")</f>
        <v>48.75</v>
      </c>
      <c r="F3163" s="33" t="n">
        <f aca="false">IF(B3163&gt;=9,AVERAGE(C3155:C3162),"")</f>
        <v>44.625</v>
      </c>
      <c r="G3163" s="33" t="n">
        <f aca="false">IF(B3163=1,"",IF(B3163=2,C3162,SES_Alpha*C3162+(1-SES_Alpha)*G3162))</f>
        <v>48.925233402385</v>
      </c>
      <c r="H3163" s="33" t="n">
        <f aca="false">IF(D3163="","",D3163-C3163)</f>
        <v>19</v>
      </c>
      <c r="I3163" s="33" t="n">
        <f aca="false">IF(E3163="","",E3163-C3163)</f>
        <v>11.75</v>
      </c>
      <c r="J3163" s="33" t="n">
        <f aca="false">IF(F3163="","",F3163-C3163)</f>
        <v>7.625</v>
      </c>
      <c r="K3163" s="33" t="n">
        <f aca="false">IF(G3163="","",G3163-C3163)</f>
        <v>11.925233402385</v>
      </c>
      <c r="L3163" s="33" t="n">
        <f aca="false">IF(H3163="","",ABS(H3163))</f>
        <v>19</v>
      </c>
      <c r="M3163" s="33" t="n">
        <f aca="false">IF(I3163="","",ABS(I3163))</f>
        <v>11.75</v>
      </c>
      <c r="N3163" s="33" t="n">
        <f aca="false">IF(J3163="","",ABS(J3163))</f>
        <v>7.625</v>
      </c>
      <c r="O3163" s="33" t="n">
        <f aca="false">IF(K3163="","",ABS(K3163))</f>
        <v>11.925233402385</v>
      </c>
      <c r="P3163" s="34" t="str">
        <f aca="false">IF(B3163&gt;=Eval_Start_Week,"YES","")</f>
        <v/>
      </c>
      <c r="Q3163" s="34" t="str">
        <f aca="false">IF(AND(B3163&gt;=Cal_Start_Week,B3163&lt;=Cal_End_Week),"YES","")</f>
        <v>YES</v>
      </c>
    </row>
    <row r="3164" customFormat="false" ht="15" hidden="false" customHeight="false" outlineLevel="0" collapsed="false">
      <c r="A3164" s="31" t="str">
        <f aca="false">Demand_History!C3164</f>
        <v>ELE-002</v>
      </c>
      <c r="B3164" s="31" t="n">
        <f aca="false">Demand_History!A3164</f>
        <v>43</v>
      </c>
      <c r="C3164" s="32" t="n">
        <f aca="false">Demand_History!D3164</f>
        <v>42</v>
      </c>
      <c r="D3164" s="33" t="n">
        <f aca="false">IF(B3164&gt;=2,C3163,"")</f>
        <v>37</v>
      </c>
      <c r="E3164" s="33" t="n">
        <f aca="false">IF(B3164&gt;=5,AVERAGE(C3160:C3163),"")</f>
        <v>46</v>
      </c>
      <c r="F3164" s="33" t="n">
        <f aca="false">IF(B3164&gt;=9,AVERAGE(C3156:C3163),"")</f>
        <v>46</v>
      </c>
      <c r="G3164" s="33" t="n">
        <f aca="false">IF(B3164=1,"",IF(B3164=2,C3163,SES_Alpha*C3163+(1-SES_Alpha)*G3163))</f>
        <v>45.3476633816695</v>
      </c>
      <c r="H3164" s="33" t="n">
        <f aca="false">IF(D3164="","",D3164-C3164)</f>
        <v>-5</v>
      </c>
      <c r="I3164" s="33" t="n">
        <f aca="false">IF(E3164="","",E3164-C3164)</f>
        <v>4</v>
      </c>
      <c r="J3164" s="33" t="n">
        <f aca="false">IF(F3164="","",F3164-C3164)</f>
        <v>4</v>
      </c>
      <c r="K3164" s="33" t="n">
        <f aca="false">IF(G3164="","",G3164-C3164)</f>
        <v>3.34766338166949</v>
      </c>
      <c r="L3164" s="33" t="n">
        <f aca="false">IF(H3164="","",ABS(H3164))</f>
        <v>5</v>
      </c>
      <c r="M3164" s="33" t="n">
        <f aca="false">IF(I3164="","",ABS(I3164))</f>
        <v>4</v>
      </c>
      <c r="N3164" s="33" t="n">
        <f aca="false">IF(J3164="","",ABS(J3164))</f>
        <v>4</v>
      </c>
      <c r="O3164" s="33" t="n">
        <f aca="false">IF(K3164="","",ABS(K3164))</f>
        <v>3.34766338166949</v>
      </c>
      <c r="P3164" s="34" t="str">
        <f aca="false">IF(B3164&gt;=Eval_Start_Week,"YES","")</f>
        <v/>
      </c>
      <c r="Q3164" s="34" t="str">
        <f aca="false">IF(AND(B3164&gt;=Cal_Start_Week,B3164&lt;=Cal_End_Week),"YES","")</f>
        <v>YES</v>
      </c>
    </row>
    <row r="3165" customFormat="false" ht="15" hidden="false" customHeight="false" outlineLevel="0" collapsed="false">
      <c r="A3165" s="31" t="str">
        <f aca="false">Demand_History!C3165</f>
        <v>ELE-002</v>
      </c>
      <c r="B3165" s="31" t="n">
        <f aca="false">Demand_History!A3165</f>
        <v>44</v>
      </c>
      <c r="C3165" s="32" t="n">
        <f aca="false">Demand_History!D3165</f>
        <v>39</v>
      </c>
      <c r="D3165" s="33" t="n">
        <f aca="false">IF(B3165&gt;=2,C3164,"")</f>
        <v>42</v>
      </c>
      <c r="E3165" s="33" t="n">
        <f aca="false">IF(B3165&gt;=5,AVERAGE(C3161:C3164),"")</f>
        <v>46</v>
      </c>
      <c r="F3165" s="33" t="n">
        <f aca="false">IF(B3165&gt;=9,AVERAGE(C3157:C3164),"")</f>
        <v>45.875</v>
      </c>
      <c r="G3165" s="33" t="n">
        <f aca="false">IF(B3165=1,"",IF(B3165=2,C3164,SES_Alpha*C3164+(1-SES_Alpha)*G3164))</f>
        <v>44.3433643671686</v>
      </c>
      <c r="H3165" s="33" t="n">
        <f aca="false">IF(D3165="","",D3165-C3165)</f>
        <v>3</v>
      </c>
      <c r="I3165" s="33" t="n">
        <f aca="false">IF(E3165="","",E3165-C3165)</f>
        <v>7</v>
      </c>
      <c r="J3165" s="33" t="n">
        <f aca="false">IF(F3165="","",F3165-C3165)</f>
        <v>6.875</v>
      </c>
      <c r="K3165" s="33" t="n">
        <f aca="false">IF(G3165="","",G3165-C3165)</f>
        <v>5.34336436716864</v>
      </c>
      <c r="L3165" s="33" t="n">
        <f aca="false">IF(H3165="","",ABS(H3165))</f>
        <v>3</v>
      </c>
      <c r="M3165" s="33" t="n">
        <f aca="false">IF(I3165="","",ABS(I3165))</f>
        <v>7</v>
      </c>
      <c r="N3165" s="33" t="n">
        <f aca="false">IF(J3165="","",ABS(J3165))</f>
        <v>6.875</v>
      </c>
      <c r="O3165" s="33" t="n">
        <f aca="false">IF(K3165="","",ABS(K3165))</f>
        <v>5.34336436716864</v>
      </c>
      <c r="P3165" s="34" t="str">
        <f aca="false">IF(B3165&gt;=Eval_Start_Week,"YES","")</f>
        <v/>
      </c>
      <c r="Q3165" s="34" t="str">
        <f aca="false">IF(AND(B3165&gt;=Cal_Start_Week,B3165&lt;=Cal_End_Week),"YES","")</f>
        <v>YES</v>
      </c>
    </row>
    <row r="3166" customFormat="false" ht="15" hidden="false" customHeight="false" outlineLevel="0" collapsed="false">
      <c r="A3166" s="31" t="str">
        <f aca="false">Demand_History!C3166</f>
        <v>ELE-002</v>
      </c>
      <c r="B3166" s="31" t="n">
        <f aca="false">Demand_History!A3166</f>
        <v>45</v>
      </c>
      <c r="C3166" s="32" t="n">
        <f aca="false">Demand_History!D3166</f>
        <v>35</v>
      </c>
      <c r="D3166" s="33" t="n">
        <f aca="false">IF(B3166&gt;=2,C3165,"")</f>
        <v>39</v>
      </c>
      <c r="E3166" s="33" t="n">
        <f aca="false">IF(B3166&gt;=5,AVERAGE(C3162:C3165),"")</f>
        <v>43.5</v>
      </c>
      <c r="F3166" s="33" t="n">
        <f aca="false">IF(B3166&gt;=9,AVERAGE(C3158:C3165),"")</f>
        <v>44.375</v>
      </c>
      <c r="G3166" s="33" t="n">
        <f aca="false">IF(B3166=1,"",IF(B3166=2,C3165,SES_Alpha*C3165+(1-SES_Alpha)*G3165))</f>
        <v>42.7403550570181</v>
      </c>
      <c r="H3166" s="33" t="n">
        <f aca="false">IF(D3166="","",D3166-C3166)</f>
        <v>4</v>
      </c>
      <c r="I3166" s="33" t="n">
        <f aca="false">IF(E3166="","",E3166-C3166)</f>
        <v>8.5</v>
      </c>
      <c r="J3166" s="33" t="n">
        <f aca="false">IF(F3166="","",F3166-C3166)</f>
        <v>9.375</v>
      </c>
      <c r="K3166" s="33" t="n">
        <f aca="false">IF(G3166="","",G3166-C3166)</f>
        <v>7.74035505701805</v>
      </c>
      <c r="L3166" s="33" t="n">
        <f aca="false">IF(H3166="","",ABS(H3166))</f>
        <v>4</v>
      </c>
      <c r="M3166" s="33" t="n">
        <f aca="false">IF(I3166="","",ABS(I3166))</f>
        <v>8.5</v>
      </c>
      <c r="N3166" s="33" t="n">
        <f aca="false">IF(J3166="","",ABS(J3166))</f>
        <v>9.375</v>
      </c>
      <c r="O3166" s="33" t="n">
        <f aca="false">IF(K3166="","",ABS(K3166))</f>
        <v>7.74035505701805</v>
      </c>
      <c r="P3166" s="34" t="str">
        <f aca="false">IF(B3166&gt;=Eval_Start_Week,"YES","")</f>
        <v/>
      </c>
      <c r="Q3166" s="34" t="str">
        <f aca="false">IF(AND(B3166&gt;=Cal_Start_Week,B3166&lt;=Cal_End_Week),"YES","")</f>
        <v>YES</v>
      </c>
    </row>
    <row r="3167" customFormat="false" ht="15" hidden="false" customHeight="false" outlineLevel="0" collapsed="false">
      <c r="A3167" s="31" t="str">
        <f aca="false">Demand_History!C3167</f>
        <v>ELE-002</v>
      </c>
      <c r="B3167" s="31" t="n">
        <f aca="false">Demand_History!A3167</f>
        <v>46</v>
      </c>
      <c r="C3167" s="32" t="n">
        <f aca="false">Demand_History!D3167</f>
        <v>40</v>
      </c>
      <c r="D3167" s="33" t="n">
        <f aca="false">IF(B3167&gt;=2,C3166,"")</f>
        <v>35</v>
      </c>
      <c r="E3167" s="33" t="n">
        <f aca="false">IF(B3167&gt;=5,AVERAGE(C3163:C3166),"")</f>
        <v>38.25</v>
      </c>
      <c r="F3167" s="33" t="n">
        <f aca="false">IF(B3167&gt;=9,AVERAGE(C3159:C3166),"")</f>
        <v>43.5</v>
      </c>
      <c r="G3167" s="33" t="n">
        <f aca="false">IF(B3167=1,"",IF(B3167=2,C3166,SES_Alpha*C3166+(1-SES_Alpha)*G3166))</f>
        <v>40.4182485399126</v>
      </c>
      <c r="H3167" s="33" t="n">
        <f aca="false">IF(D3167="","",D3167-C3167)</f>
        <v>-5</v>
      </c>
      <c r="I3167" s="33" t="n">
        <f aca="false">IF(E3167="","",E3167-C3167)</f>
        <v>-1.75</v>
      </c>
      <c r="J3167" s="33" t="n">
        <f aca="false">IF(F3167="","",F3167-C3167)</f>
        <v>3.5</v>
      </c>
      <c r="K3167" s="33" t="n">
        <f aca="false">IF(G3167="","",G3167-C3167)</f>
        <v>0.418248539912632</v>
      </c>
      <c r="L3167" s="33" t="n">
        <f aca="false">IF(H3167="","",ABS(H3167))</f>
        <v>5</v>
      </c>
      <c r="M3167" s="33" t="n">
        <f aca="false">IF(I3167="","",ABS(I3167))</f>
        <v>1.75</v>
      </c>
      <c r="N3167" s="33" t="n">
        <f aca="false">IF(J3167="","",ABS(J3167))</f>
        <v>3.5</v>
      </c>
      <c r="O3167" s="33" t="n">
        <f aca="false">IF(K3167="","",ABS(K3167))</f>
        <v>0.418248539912632</v>
      </c>
      <c r="P3167" s="34" t="str">
        <f aca="false">IF(B3167&gt;=Eval_Start_Week,"YES","")</f>
        <v/>
      </c>
      <c r="Q3167" s="34" t="str">
        <f aca="false">IF(AND(B3167&gt;=Cal_Start_Week,B3167&lt;=Cal_End_Week),"YES","")</f>
        <v>YES</v>
      </c>
    </row>
    <row r="3168" customFormat="false" ht="15" hidden="false" customHeight="false" outlineLevel="0" collapsed="false">
      <c r="A3168" s="31" t="str">
        <f aca="false">Demand_History!C3168</f>
        <v>ELE-002</v>
      </c>
      <c r="B3168" s="31" t="n">
        <f aca="false">Demand_History!A3168</f>
        <v>47</v>
      </c>
      <c r="C3168" s="32" t="n">
        <f aca="false">Demand_History!D3168</f>
        <v>26</v>
      </c>
      <c r="D3168" s="33" t="n">
        <f aca="false">IF(B3168&gt;=2,C3167,"")</f>
        <v>40</v>
      </c>
      <c r="E3168" s="33" t="n">
        <f aca="false">IF(B3168&gt;=5,AVERAGE(C3164:C3167),"")</f>
        <v>39</v>
      </c>
      <c r="F3168" s="33" t="n">
        <f aca="false">IF(B3168&gt;=9,AVERAGE(C3160:C3167),"")</f>
        <v>42.5</v>
      </c>
      <c r="G3168" s="33" t="n">
        <f aca="false">IF(B3168=1,"",IF(B3168=2,C3167,SES_Alpha*C3167+(1-SES_Alpha)*G3167))</f>
        <v>40.2927739779388</v>
      </c>
      <c r="H3168" s="33" t="n">
        <f aca="false">IF(D3168="","",D3168-C3168)</f>
        <v>14</v>
      </c>
      <c r="I3168" s="33" t="n">
        <f aca="false">IF(E3168="","",E3168-C3168)</f>
        <v>13</v>
      </c>
      <c r="J3168" s="33" t="n">
        <f aca="false">IF(F3168="","",F3168-C3168)</f>
        <v>16.5</v>
      </c>
      <c r="K3168" s="33" t="n">
        <f aca="false">IF(G3168="","",G3168-C3168)</f>
        <v>14.2927739779388</v>
      </c>
      <c r="L3168" s="33" t="n">
        <f aca="false">IF(H3168="","",ABS(H3168))</f>
        <v>14</v>
      </c>
      <c r="M3168" s="33" t="n">
        <f aca="false">IF(I3168="","",ABS(I3168))</f>
        <v>13</v>
      </c>
      <c r="N3168" s="33" t="n">
        <f aca="false">IF(J3168="","",ABS(J3168))</f>
        <v>16.5</v>
      </c>
      <c r="O3168" s="33" t="n">
        <f aca="false">IF(K3168="","",ABS(K3168))</f>
        <v>14.2927739779388</v>
      </c>
      <c r="P3168" s="34" t="str">
        <f aca="false">IF(B3168&gt;=Eval_Start_Week,"YES","")</f>
        <v/>
      </c>
      <c r="Q3168" s="34" t="str">
        <f aca="false">IF(AND(B3168&gt;=Cal_Start_Week,B3168&lt;=Cal_End_Week),"YES","")</f>
        <v>YES</v>
      </c>
    </row>
    <row r="3169" customFormat="false" ht="15" hidden="false" customHeight="false" outlineLevel="0" collapsed="false">
      <c r="A3169" s="31" t="str">
        <f aca="false">Demand_History!C3169</f>
        <v>ELE-002</v>
      </c>
      <c r="B3169" s="31" t="n">
        <f aca="false">Demand_History!A3169</f>
        <v>48</v>
      </c>
      <c r="C3169" s="32" t="n">
        <f aca="false">Demand_History!D3169</f>
        <v>49</v>
      </c>
      <c r="D3169" s="33" t="n">
        <f aca="false">IF(B3169&gt;=2,C3168,"")</f>
        <v>26</v>
      </c>
      <c r="E3169" s="33" t="n">
        <f aca="false">IF(B3169&gt;=5,AVERAGE(C3165:C3168),"")</f>
        <v>35</v>
      </c>
      <c r="F3169" s="33" t="n">
        <f aca="false">IF(B3169&gt;=9,AVERAGE(C3161:C3168),"")</f>
        <v>40.5</v>
      </c>
      <c r="G3169" s="33" t="n">
        <f aca="false">IF(B3169=1,"",IF(B3169=2,C3168,SES_Alpha*C3168+(1-SES_Alpha)*G3168))</f>
        <v>36.0049417845572</v>
      </c>
      <c r="H3169" s="33" t="n">
        <f aca="false">IF(D3169="","",D3169-C3169)</f>
        <v>-23</v>
      </c>
      <c r="I3169" s="33" t="n">
        <f aca="false">IF(E3169="","",E3169-C3169)</f>
        <v>-14</v>
      </c>
      <c r="J3169" s="33" t="n">
        <f aca="false">IF(F3169="","",F3169-C3169)</f>
        <v>-8.5</v>
      </c>
      <c r="K3169" s="33" t="n">
        <f aca="false">IF(G3169="","",G3169-C3169)</f>
        <v>-12.9950582154428</v>
      </c>
      <c r="L3169" s="33" t="n">
        <f aca="false">IF(H3169="","",ABS(H3169))</f>
        <v>23</v>
      </c>
      <c r="M3169" s="33" t="n">
        <f aca="false">IF(I3169="","",ABS(I3169))</f>
        <v>14</v>
      </c>
      <c r="N3169" s="33" t="n">
        <f aca="false">IF(J3169="","",ABS(J3169))</f>
        <v>8.5</v>
      </c>
      <c r="O3169" s="33" t="n">
        <f aca="false">IF(K3169="","",ABS(K3169))</f>
        <v>12.9950582154428</v>
      </c>
      <c r="P3169" s="34" t="str">
        <f aca="false">IF(B3169&gt;=Eval_Start_Week,"YES","")</f>
        <v/>
      </c>
      <c r="Q3169" s="34" t="str">
        <f aca="false">IF(AND(B3169&gt;=Cal_Start_Week,B3169&lt;=Cal_End_Week),"YES","")</f>
        <v>YES</v>
      </c>
    </row>
    <row r="3170" customFormat="false" ht="15" hidden="false" customHeight="false" outlineLevel="0" collapsed="false">
      <c r="A3170" s="31" t="str">
        <f aca="false">Demand_History!C3170</f>
        <v>ELE-002</v>
      </c>
      <c r="B3170" s="31" t="n">
        <f aca="false">Demand_History!A3170</f>
        <v>49</v>
      </c>
      <c r="C3170" s="32" t="n">
        <f aca="false">Demand_History!D3170</f>
        <v>61</v>
      </c>
      <c r="D3170" s="33" t="n">
        <f aca="false">IF(B3170&gt;=2,C3169,"")</f>
        <v>49</v>
      </c>
      <c r="E3170" s="33" t="n">
        <f aca="false">IF(B3170&gt;=5,AVERAGE(C3166:C3169),"")</f>
        <v>37.5</v>
      </c>
      <c r="F3170" s="33" t="n">
        <f aca="false">IF(B3170&gt;=9,AVERAGE(C3162:C3169),"")</f>
        <v>40.5</v>
      </c>
      <c r="G3170" s="33" t="n">
        <f aca="false">IF(B3170=1,"",IF(B3170=2,C3169,SES_Alpha*C3169+(1-SES_Alpha)*G3169))</f>
        <v>39.90345924919</v>
      </c>
      <c r="H3170" s="33" t="n">
        <f aca="false">IF(D3170="","",D3170-C3170)</f>
        <v>-12</v>
      </c>
      <c r="I3170" s="33" t="n">
        <f aca="false">IF(E3170="","",E3170-C3170)</f>
        <v>-23.5</v>
      </c>
      <c r="J3170" s="33" t="n">
        <f aca="false">IF(F3170="","",F3170-C3170)</f>
        <v>-20.5</v>
      </c>
      <c r="K3170" s="33" t="n">
        <f aca="false">IF(G3170="","",G3170-C3170)</f>
        <v>-21.09654075081</v>
      </c>
      <c r="L3170" s="33" t="n">
        <f aca="false">IF(H3170="","",ABS(H3170))</f>
        <v>12</v>
      </c>
      <c r="M3170" s="33" t="n">
        <f aca="false">IF(I3170="","",ABS(I3170))</f>
        <v>23.5</v>
      </c>
      <c r="N3170" s="33" t="n">
        <f aca="false">IF(J3170="","",ABS(J3170))</f>
        <v>20.5</v>
      </c>
      <c r="O3170" s="33" t="n">
        <f aca="false">IF(K3170="","",ABS(K3170))</f>
        <v>21.09654075081</v>
      </c>
      <c r="P3170" s="34" t="str">
        <f aca="false">IF(B3170&gt;=Eval_Start_Week,"YES","")</f>
        <v/>
      </c>
      <c r="Q3170" s="34" t="str">
        <f aca="false">IF(AND(B3170&gt;=Cal_Start_Week,B3170&lt;=Cal_End_Week),"YES","")</f>
        <v>YES</v>
      </c>
    </row>
    <row r="3171" customFormat="false" ht="15" hidden="false" customHeight="false" outlineLevel="0" collapsed="false">
      <c r="A3171" s="31" t="str">
        <f aca="false">Demand_History!C3171</f>
        <v>ELE-002</v>
      </c>
      <c r="B3171" s="31" t="n">
        <f aca="false">Demand_History!A3171</f>
        <v>50</v>
      </c>
      <c r="C3171" s="32" t="n">
        <f aca="false">Demand_History!D3171</f>
        <v>61</v>
      </c>
      <c r="D3171" s="33" t="n">
        <f aca="false">IF(B3171&gt;=2,C3170,"")</f>
        <v>61</v>
      </c>
      <c r="E3171" s="33" t="n">
        <f aca="false">IF(B3171&gt;=5,AVERAGE(C3167:C3170),"")</f>
        <v>44</v>
      </c>
      <c r="F3171" s="33" t="n">
        <f aca="false">IF(B3171&gt;=9,AVERAGE(C3163:C3170),"")</f>
        <v>41.125</v>
      </c>
      <c r="G3171" s="33" t="n">
        <f aca="false">IF(B3171=1,"",IF(B3171=2,C3170,SES_Alpha*C3170+(1-SES_Alpha)*G3170))</f>
        <v>46.232421474433</v>
      </c>
      <c r="H3171" s="33" t="n">
        <f aca="false">IF(D3171="","",D3171-C3171)</f>
        <v>0</v>
      </c>
      <c r="I3171" s="33" t="n">
        <f aca="false">IF(E3171="","",E3171-C3171)</f>
        <v>-17</v>
      </c>
      <c r="J3171" s="33" t="n">
        <f aca="false">IF(F3171="","",F3171-C3171)</f>
        <v>-19.875</v>
      </c>
      <c r="K3171" s="33" t="n">
        <f aca="false">IF(G3171="","",G3171-C3171)</f>
        <v>-14.767578525567</v>
      </c>
      <c r="L3171" s="33" t="n">
        <f aca="false">IF(H3171="","",ABS(H3171))</f>
        <v>0</v>
      </c>
      <c r="M3171" s="33" t="n">
        <f aca="false">IF(I3171="","",ABS(I3171))</f>
        <v>17</v>
      </c>
      <c r="N3171" s="33" t="n">
        <f aca="false">IF(J3171="","",ABS(J3171))</f>
        <v>19.875</v>
      </c>
      <c r="O3171" s="33" t="n">
        <f aca="false">IF(K3171="","",ABS(K3171))</f>
        <v>14.767578525567</v>
      </c>
      <c r="P3171" s="34" t="str">
        <f aca="false">IF(B3171&gt;=Eval_Start_Week,"YES","")</f>
        <v/>
      </c>
      <c r="Q3171" s="34" t="str">
        <f aca="false">IF(AND(B3171&gt;=Cal_Start_Week,B3171&lt;=Cal_End_Week),"YES","")</f>
        <v>YES</v>
      </c>
    </row>
    <row r="3172" customFormat="false" ht="15" hidden="false" customHeight="false" outlineLevel="0" collapsed="false">
      <c r="A3172" s="31" t="str">
        <f aca="false">Demand_History!C3172</f>
        <v>ELE-002</v>
      </c>
      <c r="B3172" s="31" t="n">
        <f aca="false">Demand_History!A3172</f>
        <v>51</v>
      </c>
      <c r="C3172" s="32" t="n">
        <f aca="false">Demand_History!D3172</f>
        <v>56</v>
      </c>
      <c r="D3172" s="33" t="n">
        <f aca="false">IF(B3172&gt;=2,C3171,"")</f>
        <v>61</v>
      </c>
      <c r="E3172" s="33" t="n">
        <f aca="false">IF(B3172&gt;=5,AVERAGE(C3168:C3171),"")</f>
        <v>49.25</v>
      </c>
      <c r="F3172" s="33" t="n">
        <f aca="false">IF(B3172&gt;=9,AVERAGE(C3164:C3171),"")</f>
        <v>44.125</v>
      </c>
      <c r="G3172" s="33" t="n">
        <f aca="false">IF(B3172=1,"",IF(B3172=2,C3171,SES_Alpha*C3171+(1-SES_Alpha)*G3171))</f>
        <v>50.6626950321031</v>
      </c>
      <c r="H3172" s="33" t="n">
        <f aca="false">IF(D3172="","",D3172-C3172)</f>
        <v>5</v>
      </c>
      <c r="I3172" s="33" t="n">
        <f aca="false">IF(E3172="","",E3172-C3172)</f>
        <v>-6.75</v>
      </c>
      <c r="J3172" s="33" t="n">
        <f aca="false">IF(F3172="","",F3172-C3172)</f>
        <v>-11.875</v>
      </c>
      <c r="K3172" s="33" t="n">
        <f aca="false">IF(G3172="","",G3172-C3172)</f>
        <v>-5.3373049678969</v>
      </c>
      <c r="L3172" s="33" t="n">
        <f aca="false">IF(H3172="","",ABS(H3172))</f>
        <v>5</v>
      </c>
      <c r="M3172" s="33" t="n">
        <f aca="false">IF(I3172="","",ABS(I3172))</f>
        <v>6.75</v>
      </c>
      <c r="N3172" s="33" t="n">
        <f aca="false">IF(J3172="","",ABS(J3172))</f>
        <v>11.875</v>
      </c>
      <c r="O3172" s="33" t="n">
        <f aca="false">IF(K3172="","",ABS(K3172))</f>
        <v>5.3373049678969</v>
      </c>
      <c r="P3172" s="34" t="str">
        <f aca="false">IF(B3172&gt;=Eval_Start_Week,"YES","")</f>
        <v/>
      </c>
      <c r="Q3172" s="34" t="str">
        <f aca="false">IF(AND(B3172&gt;=Cal_Start_Week,B3172&lt;=Cal_End_Week),"YES","")</f>
        <v>YES</v>
      </c>
    </row>
    <row r="3173" customFormat="false" ht="15" hidden="false" customHeight="false" outlineLevel="0" collapsed="false">
      <c r="A3173" s="31" t="str">
        <f aca="false">Demand_History!C3173</f>
        <v>ELE-002</v>
      </c>
      <c r="B3173" s="31" t="n">
        <f aca="false">Demand_History!A3173</f>
        <v>52</v>
      </c>
      <c r="C3173" s="32" t="n">
        <f aca="false">Demand_History!D3173</f>
        <v>28</v>
      </c>
      <c r="D3173" s="33" t="n">
        <f aca="false">IF(B3173&gt;=2,C3172,"")</f>
        <v>56</v>
      </c>
      <c r="E3173" s="33" t="n">
        <f aca="false">IF(B3173&gt;=5,AVERAGE(C3169:C3172),"")</f>
        <v>56.75</v>
      </c>
      <c r="F3173" s="33" t="n">
        <f aca="false">IF(B3173&gt;=9,AVERAGE(C3165:C3172),"")</f>
        <v>45.875</v>
      </c>
      <c r="G3173" s="33" t="n">
        <f aca="false">IF(B3173=1,"",IF(B3173=2,C3172,SES_Alpha*C3172+(1-SES_Alpha)*G3172))</f>
        <v>52.2638865224722</v>
      </c>
      <c r="H3173" s="33" t="n">
        <f aca="false">IF(D3173="","",D3173-C3173)</f>
        <v>28</v>
      </c>
      <c r="I3173" s="33" t="n">
        <f aca="false">IF(E3173="","",E3173-C3173)</f>
        <v>28.75</v>
      </c>
      <c r="J3173" s="33" t="n">
        <f aca="false">IF(F3173="","",F3173-C3173)</f>
        <v>17.875</v>
      </c>
      <c r="K3173" s="33" t="n">
        <f aca="false">IF(G3173="","",G3173-C3173)</f>
        <v>24.2638865224722</v>
      </c>
      <c r="L3173" s="33" t="n">
        <f aca="false">IF(H3173="","",ABS(H3173))</f>
        <v>28</v>
      </c>
      <c r="M3173" s="33" t="n">
        <f aca="false">IF(I3173="","",ABS(I3173))</f>
        <v>28.75</v>
      </c>
      <c r="N3173" s="33" t="n">
        <f aca="false">IF(J3173="","",ABS(J3173))</f>
        <v>17.875</v>
      </c>
      <c r="O3173" s="33" t="n">
        <f aca="false">IF(K3173="","",ABS(K3173))</f>
        <v>24.2638865224722</v>
      </c>
      <c r="P3173" s="34" t="str">
        <f aca="false">IF(B3173&gt;=Eval_Start_Week,"YES","")</f>
        <v/>
      </c>
      <c r="Q3173" s="34" t="str">
        <f aca="false">IF(AND(B3173&gt;=Cal_Start_Week,B3173&lt;=Cal_End_Week),"YES","")</f>
        <v>YES</v>
      </c>
    </row>
    <row r="3174" customFormat="false" ht="15" hidden="false" customHeight="false" outlineLevel="0" collapsed="false">
      <c r="A3174" s="31" t="str">
        <f aca="false">Demand_History!C3174</f>
        <v>ELE-002</v>
      </c>
      <c r="B3174" s="31" t="n">
        <f aca="false">Demand_History!A3174</f>
        <v>53</v>
      </c>
      <c r="C3174" s="32" t="n">
        <f aca="false">Demand_History!D3174</f>
        <v>59</v>
      </c>
      <c r="D3174" s="33" t="n">
        <f aca="false">IF(B3174&gt;=2,C3173,"")</f>
        <v>28</v>
      </c>
      <c r="E3174" s="33" t="n">
        <f aca="false">IF(B3174&gt;=5,AVERAGE(C3170:C3173),"")</f>
        <v>51.5</v>
      </c>
      <c r="F3174" s="33" t="n">
        <f aca="false">IF(B3174&gt;=9,AVERAGE(C3166:C3173),"")</f>
        <v>44.5</v>
      </c>
      <c r="G3174" s="33" t="n">
        <f aca="false">IF(B3174=1,"",IF(B3174=2,C3173,SES_Alpha*C3173+(1-SES_Alpha)*G3173))</f>
        <v>44.9847205657305</v>
      </c>
      <c r="H3174" s="33" t="n">
        <f aca="false">IF(D3174="","",D3174-C3174)</f>
        <v>-31</v>
      </c>
      <c r="I3174" s="33" t="n">
        <f aca="false">IF(E3174="","",E3174-C3174)</f>
        <v>-7.5</v>
      </c>
      <c r="J3174" s="33" t="n">
        <f aca="false">IF(F3174="","",F3174-C3174)</f>
        <v>-14.5</v>
      </c>
      <c r="K3174" s="33" t="n">
        <f aca="false">IF(G3174="","",G3174-C3174)</f>
        <v>-14.0152794342695</v>
      </c>
      <c r="L3174" s="33" t="n">
        <f aca="false">IF(H3174="","",ABS(H3174))</f>
        <v>31</v>
      </c>
      <c r="M3174" s="33" t="n">
        <f aca="false">IF(I3174="","",ABS(I3174))</f>
        <v>7.5</v>
      </c>
      <c r="N3174" s="33" t="n">
        <f aca="false">IF(J3174="","",ABS(J3174))</f>
        <v>14.5</v>
      </c>
      <c r="O3174" s="33" t="n">
        <f aca="false">IF(K3174="","",ABS(K3174))</f>
        <v>14.0152794342695</v>
      </c>
      <c r="P3174" s="34" t="str">
        <f aca="false">IF(B3174&gt;=Eval_Start_Week,"YES","")</f>
        <v>YES</v>
      </c>
      <c r="Q3174" s="34" t="str">
        <f aca="false">IF(AND(B3174&gt;=Cal_Start_Week,B3174&lt;=Cal_End_Week),"YES","")</f>
        <v>YES</v>
      </c>
    </row>
    <row r="3175" customFormat="false" ht="15" hidden="false" customHeight="false" outlineLevel="0" collapsed="false">
      <c r="A3175" s="31" t="str">
        <f aca="false">Demand_History!C3175</f>
        <v>ELE-002</v>
      </c>
      <c r="B3175" s="31" t="n">
        <f aca="false">Demand_History!A3175</f>
        <v>54</v>
      </c>
      <c r="C3175" s="32" t="n">
        <f aca="false">Demand_History!D3175</f>
        <v>31</v>
      </c>
      <c r="D3175" s="33" t="n">
        <f aca="false">IF(B3175&gt;=2,C3174,"")</f>
        <v>59</v>
      </c>
      <c r="E3175" s="33" t="n">
        <f aca="false">IF(B3175&gt;=5,AVERAGE(C3171:C3174),"")</f>
        <v>51</v>
      </c>
      <c r="F3175" s="33" t="n">
        <f aca="false">IF(B3175&gt;=9,AVERAGE(C3167:C3174),"")</f>
        <v>47.5</v>
      </c>
      <c r="G3175" s="33" t="n">
        <f aca="false">IF(B3175=1,"",IF(B3175=2,C3174,SES_Alpha*C3174+(1-SES_Alpha)*G3174))</f>
        <v>49.1893043960114</v>
      </c>
      <c r="H3175" s="33" t="n">
        <f aca="false">IF(D3175="","",D3175-C3175)</f>
        <v>28</v>
      </c>
      <c r="I3175" s="33" t="n">
        <f aca="false">IF(E3175="","",E3175-C3175)</f>
        <v>20</v>
      </c>
      <c r="J3175" s="33" t="n">
        <f aca="false">IF(F3175="","",F3175-C3175)</f>
        <v>16.5</v>
      </c>
      <c r="K3175" s="33" t="n">
        <f aca="false">IF(G3175="","",G3175-C3175)</f>
        <v>18.1893043960114</v>
      </c>
      <c r="L3175" s="33" t="n">
        <f aca="false">IF(H3175="","",ABS(H3175))</f>
        <v>28</v>
      </c>
      <c r="M3175" s="33" t="n">
        <f aca="false">IF(I3175="","",ABS(I3175))</f>
        <v>20</v>
      </c>
      <c r="N3175" s="33" t="n">
        <f aca="false">IF(J3175="","",ABS(J3175))</f>
        <v>16.5</v>
      </c>
      <c r="O3175" s="33" t="n">
        <f aca="false">IF(K3175="","",ABS(K3175))</f>
        <v>18.1893043960114</v>
      </c>
      <c r="P3175" s="34" t="str">
        <f aca="false">IF(B3175&gt;=Eval_Start_Week,"YES","")</f>
        <v>YES</v>
      </c>
      <c r="Q3175" s="34" t="str">
        <f aca="false">IF(AND(B3175&gt;=Cal_Start_Week,B3175&lt;=Cal_End_Week),"YES","")</f>
        <v>YES</v>
      </c>
    </row>
    <row r="3176" customFormat="false" ht="15" hidden="false" customHeight="false" outlineLevel="0" collapsed="false">
      <c r="A3176" s="31" t="str">
        <f aca="false">Demand_History!C3176</f>
        <v>ELE-002</v>
      </c>
      <c r="B3176" s="31" t="n">
        <f aca="false">Demand_History!A3176</f>
        <v>55</v>
      </c>
      <c r="C3176" s="32" t="n">
        <f aca="false">Demand_History!D3176</f>
        <v>39</v>
      </c>
      <c r="D3176" s="33" t="n">
        <f aca="false">IF(B3176&gt;=2,C3175,"")</f>
        <v>31</v>
      </c>
      <c r="E3176" s="33" t="n">
        <f aca="false">IF(B3176&gt;=5,AVERAGE(C3172:C3175),"")</f>
        <v>43.5</v>
      </c>
      <c r="F3176" s="33" t="n">
        <f aca="false">IF(B3176&gt;=9,AVERAGE(C3168:C3175),"")</f>
        <v>46.375</v>
      </c>
      <c r="G3176" s="33" t="n">
        <f aca="false">IF(B3176=1,"",IF(B3176=2,C3175,SES_Alpha*C3175+(1-SES_Alpha)*G3175))</f>
        <v>43.7325130772079</v>
      </c>
      <c r="H3176" s="33" t="n">
        <f aca="false">IF(D3176="","",D3176-C3176)</f>
        <v>-8</v>
      </c>
      <c r="I3176" s="33" t="n">
        <f aca="false">IF(E3176="","",E3176-C3176)</f>
        <v>4.5</v>
      </c>
      <c r="J3176" s="33" t="n">
        <f aca="false">IF(F3176="","",F3176-C3176)</f>
        <v>7.375</v>
      </c>
      <c r="K3176" s="33" t="n">
        <f aca="false">IF(G3176="","",G3176-C3176)</f>
        <v>4.73251307720794</v>
      </c>
      <c r="L3176" s="33" t="n">
        <f aca="false">IF(H3176="","",ABS(H3176))</f>
        <v>8</v>
      </c>
      <c r="M3176" s="33" t="n">
        <f aca="false">IF(I3176="","",ABS(I3176))</f>
        <v>4.5</v>
      </c>
      <c r="N3176" s="33" t="n">
        <f aca="false">IF(J3176="","",ABS(J3176))</f>
        <v>7.375</v>
      </c>
      <c r="O3176" s="33" t="n">
        <f aca="false">IF(K3176="","",ABS(K3176))</f>
        <v>4.73251307720794</v>
      </c>
      <c r="P3176" s="34" t="str">
        <f aca="false">IF(B3176&gt;=Eval_Start_Week,"YES","")</f>
        <v>YES</v>
      </c>
      <c r="Q3176" s="34" t="str">
        <f aca="false">IF(AND(B3176&gt;=Cal_Start_Week,B3176&lt;=Cal_End_Week),"YES","")</f>
        <v>YES</v>
      </c>
    </row>
    <row r="3177" customFormat="false" ht="15" hidden="false" customHeight="false" outlineLevel="0" collapsed="false">
      <c r="A3177" s="31" t="str">
        <f aca="false">Demand_History!C3177</f>
        <v>ELE-002</v>
      </c>
      <c r="B3177" s="31" t="n">
        <f aca="false">Demand_History!A3177</f>
        <v>56</v>
      </c>
      <c r="C3177" s="32" t="n">
        <f aca="false">Demand_History!D3177</f>
        <v>63</v>
      </c>
      <c r="D3177" s="33" t="n">
        <f aca="false">IF(B3177&gt;=2,C3176,"")</f>
        <v>39</v>
      </c>
      <c r="E3177" s="33" t="n">
        <f aca="false">IF(B3177&gt;=5,AVERAGE(C3173:C3176),"")</f>
        <v>39.25</v>
      </c>
      <c r="F3177" s="33" t="n">
        <f aca="false">IF(B3177&gt;=9,AVERAGE(C3169:C3176),"")</f>
        <v>48</v>
      </c>
      <c r="G3177" s="33" t="n">
        <f aca="false">IF(B3177=1,"",IF(B3177=2,C3176,SES_Alpha*C3176+(1-SES_Alpha)*G3176))</f>
        <v>42.3127591540456</v>
      </c>
      <c r="H3177" s="33" t="n">
        <f aca="false">IF(D3177="","",D3177-C3177)</f>
        <v>-24</v>
      </c>
      <c r="I3177" s="33" t="n">
        <f aca="false">IF(E3177="","",E3177-C3177)</f>
        <v>-23.75</v>
      </c>
      <c r="J3177" s="33" t="n">
        <f aca="false">IF(F3177="","",F3177-C3177)</f>
        <v>-15</v>
      </c>
      <c r="K3177" s="33" t="n">
        <f aca="false">IF(G3177="","",G3177-C3177)</f>
        <v>-20.6872408459545</v>
      </c>
      <c r="L3177" s="33" t="n">
        <f aca="false">IF(H3177="","",ABS(H3177))</f>
        <v>24</v>
      </c>
      <c r="M3177" s="33" t="n">
        <f aca="false">IF(I3177="","",ABS(I3177))</f>
        <v>23.75</v>
      </c>
      <c r="N3177" s="33" t="n">
        <f aca="false">IF(J3177="","",ABS(J3177))</f>
        <v>15</v>
      </c>
      <c r="O3177" s="33" t="n">
        <f aca="false">IF(K3177="","",ABS(K3177))</f>
        <v>20.6872408459545</v>
      </c>
      <c r="P3177" s="34" t="str">
        <f aca="false">IF(B3177&gt;=Eval_Start_Week,"YES","")</f>
        <v>YES</v>
      </c>
      <c r="Q3177" s="34" t="str">
        <f aca="false">IF(AND(B3177&gt;=Cal_Start_Week,B3177&lt;=Cal_End_Week),"YES","")</f>
        <v>YES</v>
      </c>
    </row>
    <row r="3178" customFormat="false" ht="15" hidden="false" customHeight="false" outlineLevel="0" collapsed="false">
      <c r="A3178" s="31" t="str">
        <f aca="false">Demand_History!C3178</f>
        <v>ELE-002</v>
      </c>
      <c r="B3178" s="31" t="n">
        <f aca="false">Demand_History!A3178</f>
        <v>57</v>
      </c>
      <c r="C3178" s="32" t="n">
        <f aca="false">Demand_History!D3178</f>
        <v>27</v>
      </c>
      <c r="D3178" s="33" t="n">
        <f aca="false">IF(B3178&gt;=2,C3177,"")</f>
        <v>63</v>
      </c>
      <c r="E3178" s="33" t="n">
        <f aca="false">IF(B3178&gt;=5,AVERAGE(C3174:C3177),"")</f>
        <v>48</v>
      </c>
      <c r="F3178" s="33" t="n">
        <f aca="false">IF(B3178&gt;=9,AVERAGE(C3170:C3177),"")</f>
        <v>49.75</v>
      </c>
      <c r="G3178" s="33" t="n">
        <f aca="false">IF(B3178=1,"",IF(B3178=2,C3177,SES_Alpha*C3177+(1-SES_Alpha)*G3177))</f>
        <v>48.5189314078319</v>
      </c>
      <c r="H3178" s="33" t="n">
        <f aca="false">IF(D3178="","",D3178-C3178)</f>
        <v>36</v>
      </c>
      <c r="I3178" s="33" t="n">
        <f aca="false">IF(E3178="","",E3178-C3178)</f>
        <v>21</v>
      </c>
      <c r="J3178" s="33" t="n">
        <f aca="false">IF(F3178="","",F3178-C3178)</f>
        <v>22.75</v>
      </c>
      <c r="K3178" s="33" t="n">
        <f aca="false">IF(G3178="","",G3178-C3178)</f>
        <v>21.5189314078319</v>
      </c>
      <c r="L3178" s="33" t="n">
        <f aca="false">IF(H3178="","",ABS(H3178))</f>
        <v>36</v>
      </c>
      <c r="M3178" s="33" t="n">
        <f aca="false">IF(I3178="","",ABS(I3178))</f>
        <v>21</v>
      </c>
      <c r="N3178" s="33" t="n">
        <f aca="false">IF(J3178="","",ABS(J3178))</f>
        <v>22.75</v>
      </c>
      <c r="O3178" s="33" t="n">
        <f aca="false">IF(K3178="","",ABS(K3178))</f>
        <v>21.5189314078319</v>
      </c>
      <c r="P3178" s="34" t="str">
        <f aca="false">IF(B3178&gt;=Eval_Start_Week,"YES","")</f>
        <v>YES</v>
      </c>
      <c r="Q3178" s="34" t="str">
        <f aca="false">IF(AND(B3178&gt;=Cal_Start_Week,B3178&lt;=Cal_End_Week),"YES","")</f>
        <v>YES</v>
      </c>
    </row>
    <row r="3179" customFormat="false" ht="15" hidden="false" customHeight="false" outlineLevel="0" collapsed="false">
      <c r="A3179" s="31" t="str">
        <f aca="false">Demand_History!C3179</f>
        <v>ELE-002</v>
      </c>
      <c r="B3179" s="31" t="n">
        <f aca="false">Demand_History!A3179</f>
        <v>58</v>
      </c>
      <c r="C3179" s="32" t="n">
        <f aca="false">Demand_History!D3179</f>
        <v>50</v>
      </c>
      <c r="D3179" s="33" t="n">
        <f aca="false">IF(B3179&gt;=2,C3178,"")</f>
        <v>27</v>
      </c>
      <c r="E3179" s="33" t="n">
        <f aca="false">IF(B3179&gt;=5,AVERAGE(C3175:C3178),"")</f>
        <v>40</v>
      </c>
      <c r="F3179" s="33" t="n">
        <f aca="false">IF(B3179&gt;=9,AVERAGE(C3171:C3178),"")</f>
        <v>45.5</v>
      </c>
      <c r="G3179" s="33" t="n">
        <f aca="false">IF(B3179=1,"",IF(B3179=2,C3178,SES_Alpha*C3178+(1-SES_Alpha)*G3178))</f>
        <v>42.0632519854823</v>
      </c>
      <c r="H3179" s="33" t="n">
        <f aca="false">IF(D3179="","",D3179-C3179)</f>
        <v>-23</v>
      </c>
      <c r="I3179" s="33" t="n">
        <f aca="false">IF(E3179="","",E3179-C3179)</f>
        <v>-10</v>
      </c>
      <c r="J3179" s="33" t="n">
        <f aca="false">IF(F3179="","",F3179-C3179)</f>
        <v>-4.5</v>
      </c>
      <c r="K3179" s="33" t="n">
        <f aca="false">IF(G3179="","",G3179-C3179)</f>
        <v>-7.93674801451768</v>
      </c>
      <c r="L3179" s="33" t="n">
        <f aca="false">IF(H3179="","",ABS(H3179))</f>
        <v>23</v>
      </c>
      <c r="M3179" s="33" t="n">
        <f aca="false">IF(I3179="","",ABS(I3179))</f>
        <v>10</v>
      </c>
      <c r="N3179" s="33" t="n">
        <f aca="false">IF(J3179="","",ABS(J3179))</f>
        <v>4.5</v>
      </c>
      <c r="O3179" s="33" t="n">
        <f aca="false">IF(K3179="","",ABS(K3179))</f>
        <v>7.93674801451768</v>
      </c>
      <c r="P3179" s="34" t="str">
        <f aca="false">IF(B3179&gt;=Eval_Start_Week,"YES","")</f>
        <v>YES</v>
      </c>
      <c r="Q3179" s="34" t="str">
        <f aca="false">IF(AND(B3179&gt;=Cal_Start_Week,B3179&lt;=Cal_End_Week),"YES","")</f>
        <v>YES</v>
      </c>
    </row>
    <row r="3180" customFormat="false" ht="15" hidden="false" customHeight="false" outlineLevel="0" collapsed="false">
      <c r="A3180" s="31" t="str">
        <f aca="false">Demand_History!C3180</f>
        <v>ELE-002</v>
      </c>
      <c r="B3180" s="31" t="n">
        <f aca="false">Demand_History!A3180</f>
        <v>59</v>
      </c>
      <c r="C3180" s="32" t="n">
        <f aca="false">Demand_History!D3180</f>
        <v>43</v>
      </c>
      <c r="D3180" s="33" t="n">
        <f aca="false">IF(B3180&gt;=2,C3179,"")</f>
        <v>50</v>
      </c>
      <c r="E3180" s="33" t="n">
        <f aca="false">IF(B3180&gt;=5,AVERAGE(C3176:C3179),"")</f>
        <v>44.75</v>
      </c>
      <c r="F3180" s="33" t="n">
        <f aca="false">IF(B3180&gt;=9,AVERAGE(C3172:C3179),"")</f>
        <v>44.125</v>
      </c>
      <c r="G3180" s="33" t="n">
        <f aca="false">IF(B3180=1,"",IF(B3180=2,C3179,SES_Alpha*C3179+(1-SES_Alpha)*G3179))</f>
        <v>44.4442763898376</v>
      </c>
      <c r="H3180" s="33" t="n">
        <f aca="false">IF(D3180="","",D3180-C3180)</f>
        <v>7</v>
      </c>
      <c r="I3180" s="33" t="n">
        <f aca="false">IF(E3180="","",E3180-C3180)</f>
        <v>1.75</v>
      </c>
      <c r="J3180" s="33" t="n">
        <f aca="false">IF(F3180="","",F3180-C3180)</f>
        <v>1.125</v>
      </c>
      <c r="K3180" s="33" t="n">
        <f aca="false">IF(G3180="","",G3180-C3180)</f>
        <v>1.44427638983762</v>
      </c>
      <c r="L3180" s="33" t="n">
        <f aca="false">IF(H3180="","",ABS(H3180))</f>
        <v>7</v>
      </c>
      <c r="M3180" s="33" t="n">
        <f aca="false">IF(I3180="","",ABS(I3180))</f>
        <v>1.75</v>
      </c>
      <c r="N3180" s="33" t="n">
        <f aca="false">IF(J3180="","",ABS(J3180))</f>
        <v>1.125</v>
      </c>
      <c r="O3180" s="33" t="n">
        <f aca="false">IF(K3180="","",ABS(K3180))</f>
        <v>1.44427638983762</v>
      </c>
      <c r="P3180" s="34" t="str">
        <f aca="false">IF(B3180&gt;=Eval_Start_Week,"YES","")</f>
        <v>YES</v>
      </c>
      <c r="Q3180" s="34" t="str">
        <f aca="false">IF(AND(B3180&gt;=Cal_Start_Week,B3180&lt;=Cal_End_Week),"YES","")</f>
        <v>YES</v>
      </c>
    </row>
    <row r="3181" customFormat="false" ht="15" hidden="false" customHeight="false" outlineLevel="0" collapsed="false">
      <c r="A3181" s="31" t="str">
        <f aca="false">Demand_History!C3181</f>
        <v>ELE-002</v>
      </c>
      <c r="B3181" s="31" t="n">
        <f aca="false">Demand_History!A3181</f>
        <v>60</v>
      </c>
      <c r="C3181" s="32" t="n">
        <f aca="false">Demand_History!D3181</f>
        <v>38</v>
      </c>
      <c r="D3181" s="33" t="n">
        <f aca="false">IF(B3181&gt;=2,C3180,"")</f>
        <v>43</v>
      </c>
      <c r="E3181" s="33" t="n">
        <f aca="false">IF(B3181&gt;=5,AVERAGE(C3177:C3180),"")</f>
        <v>45.75</v>
      </c>
      <c r="F3181" s="33" t="n">
        <f aca="false">IF(B3181&gt;=9,AVERAGE(C3173:C3180),"")</f>
        <v>42.5</v>
      </c>
      <c r="G3181" s="33" t="n">
        <f aca="false">IF(B3181=1,"",IF(B3181=2,C3180,SES_Alpha*C3180+(1-SES_Alpha)*G3180))</f>
        <v>44.0109934728863</v>
      </c>
      <c r="H3181" s="33" t="n">
        <f aca="false">IF(D3181="","",D3181-C3181)</f>
        <v>5</v>
      </c>
      <c r="I3181" s="33" t="n">
        <f aca="false">IF(E3181="","",E3181-C3181)</f>
        <v>7.75</v>
      </c>
      <c r="J3181" s="33" t="n">
        <f aca="false">IF(F3181="","",F3181-C3181)</f>
        <v>4.5</v>
      </c>
      <c r="K3181" s="33" t="n">
        <f aca="false">IF(G3181="","",G3181-C3181)</f>
        <v>6.01099347288633</v>
      </c>
      <c r="L3181" s="33" t="n">
        <f aca="false">IF(H3181="","",ABS(H3181))</f>
        <v>5</v>
      </c>
      <c r="M3181" s="33" t="n">
        <f aca="false">IF(I3181="","",ABS(I3181))</f>
        <v>7.75</v>
      </c>
      <c r="N3181" s="33" t="n">
        <f aca="false">IF(J3181="","",ABS(J3181))</f>
        <v>4.5</v>
      </c>
      <c r="O3181" s="33" t="n">
        <f aca="false">IF(K3181="","",ABS(K3181))</f>
        <v>6.01099347288633</v>
      </c>
      <c r="P3181" s="34" t="str">
        <f aca="false">IF(B3181&gt;=Eval_Start_Week,"YES","")</f>
        <v>YES</v>
      </c>
      <c r="Q3181" s="34" t="str">
        <f aca="false">IF(AND(B3181&gt;=Cal_Start_Week,B3181&lt;=Cal_End_Week),"YES","")</f>
        <v>YES</v>
      </c>
    </row>
    <row r="3182" customFormat="false" ht="15" hidden="false" customHeight="false" outlineLevel="0" collapsed="false">
      <c r="A3182" s="31" t="str">
        <f aca="false">Demand_History!C3182</f>
        <v>ELE-002</v>
      </c>
      <c r="B3182" s="31" t="n">
        <f aca="false">Demand_History!A3182</f>
        <v>61</v>
      </c>
      <c r="C3182" s="32" t="n">
        <f aca="false">Demand_History!D3182</f>
        <v>29</v>
      </c>
      <c r="D3182" s="33" t="n">
        <f aca="false">IF(B3182&gt;=2,C3181,"")</f>
        <v>38</v>
      </c>
      <c r="E3182" s="33" t="n">
        <f aca="false">IF(B3182&gt;=5,AVERAGE(C3178:C3181),"")</f>
        <v>39.5</v>
      </c>
      <c r="F3182" s="33" t="n">
        <f aca="false">IF(B3182&gt;=9,AVERAGE(C3174:C3181),"")</f>
        <v>43.75</v>
      </c>
      <c r="G3182" s="33" t="n">
        <f aca="false">IF(B3182=1,"",IF(B3182=2,C3181,SES_Alpha*C3181+(1-SES_Alpha)*G3181))</f>
        <v>42.2076954310204</v>
      </c>
      <c r="H3182" s="33" t="n">
        <f aca="false">IF(D3182="","",D3182-C3182)</f>
        <v>9</v>
      </c>
      <c r="I3182" s="33" t="n">
        <f aca="false">IF(E3182="","",E3182-C3182)</f>
        <v>10.5</v>
      </c>
      <c r="J3182" s="33" t="n">
        <f aca="false">IF(F3182="","",F3182-C3182)</f>
        <v>14.75</v>
      </c>
      <c r="K3182" s="33" t="n">
        <f aca="false">IF(G3182="","",G3182-C3182)</f>
        <v>13.2076954310204</v>
      </c>
      <c r="L3182" s="33" t="n">
        <f aca="false">IF(H3182="","",ABS(H3182))</f>
        <v>9</v>
      </c>
      <c r="M3182" s="33" t="n">
        <f aca="false">IF(I3182="","",ABS(I3182))</f>
        <v>10.5</v>
      </c>
      <c r="N3182" s="33" t="n">
        <f aca="false">IF(J3182="","",ABS(J3182))</f>
        <v>14.75</v>
      </c>
      <c r="O3182" s="33" t="n">
        <f aca="false">IF(K3182="","",ABS(K3182))</f>
        <v>13.2076954310204</v>
      </c>
      <c r="P3182" s="34" t="str">
        <f aca="false">IF(B3182&gt;=Eval_Start_Week,"YES","")</f>
        <v>YES</v>
      </c>
      <c r="Q3182" s="34" t="str">
        <f aca="false">IF(AND(B3182&gt;=Cal_Start_Week,B3182&lt;=Cal_End_Week),"YES","")</f>
        <v>YES</v>
      </c>
    </row>
    <row r="3183" customFormat="false" ht="15" hidden="false" customHeight="false" outlineLevel="0" collapsed="false">
      <c r="A3183" s="31" t="str">
        <f aca="false">Demand_History!C3183</f>
        <v>ELE-002</v>
      </c>
      <c r="B3183" s="31" t="n">
        <f aca="false">Demand_History!A3183</f>
        <v>62</v>
      </c>
      <c r="C3183" s="32" t="n">
        <f aca="false">Demand_History!D3183</f>
        <v>45</v>
      </c>
      <c r="D3183" s="33" t="n">
        <f aca="false">IF(B3183&gt;=2,C3182,"")</f>
        <v>29</v>
      </c>
      <c r="E3183" s="33" t="n">
        <f aca="false">IF(B3183&gt;=5,AVERAGE(C3179:C3182),"")</f>
        <v>40</v>
      </c>
      <c r="F3183" s="33" t="n">
        <f aca="false">IF(B3183&gt;=9,AVERAGE(C3175:C3182),"")</f>
        <v>40</v>
      </c>
      <c r="G3183" s="33" t="n">
        <f aca="false">IF(B3183=1,"",IF(B3183=2,C3182,SES_Alpha*C3182+(1-SES_Alpha)*G3182))</f>
        <v>38.2453868017143</v>
      </c>
      <c r="H3183" s="33" t="n">
        <f aca="false">IF(D3183="","",D3183-C3183)</f>
        <v>-16</v>
      </c>
      <c r="I3183" s="33" t="n">
        <f aca="false">IF(E3183="","",E3183-C3183)</f>
        <v>-5</v>
      </c>
      <c r="J3183" s="33" t="n">
        <f aca="false">IF(F3183="","",F3183-C3183)</f>
        <v>-5</v>
      </c>
      <c r="K3183" s="33" t="n">
        <f aca="false">IF(G3183="","",G3183-C3183)</f>
        <v>-6.7546131982857</v>
      </c>
      <c r="L3183" s="33" t="n">
        <f aca="false">IF(H3183="","",ABS(H3183))</f>
        <v>16</v>
      </c>
      <c r="M3183" s="33" t="n">
        <f aca="false">IF(I3183="","",ABS(I3183))</f>
        <v>5</v>
      </c>
      <c r="N3183" s="33" t="n">
        <f aca="false">IF(J3183="","",ABS(J3183))</f>
        <v>5</v>
      </c>
      <c r="O3183" s="33" t="n">
        <f aca="false">IF(K3183="","",ABS(K3183))</f>
        <v>6.7546131982857</v>
      </c>
      <c r="P3183" s="34" t="str">
        <f aca="false">IF(B3183&gt;=Eval_Start_Week,"YES","")</f>
        <v>YES</v>
      </c>
      <c r="Q3183" s="34" t="str">
        <f aca="false">IF(AND(B3183&gt;=Cal_Start_Week,B3183&lt;=Cal_End_Week),"YES","")</f>
        <v>YES</v>
      </c>
    </row>
    <row r="3184" customFormat="false" ht="15" hidden="false" customHeight="false" outlineLevel="0" collapsed="false">
      <c r="A3184" s="31" t="str">
        <f aca="false">Demand_History!C3184</f>
        <v>ELE-002</v>
      </c>
      <c r="B3184" s="31" t="n">
        <f aca="false">Demand_History!A3184</f>
        <v>63</v>
      </c>
      <c r="C3184" s="32" t="n">
        <f aca="false">Demand_History!D3184</f>
        <v>34</v>
      </c>
      <c r="D3184" s="33" t="n">
        <f aca="false">IF(B3184&gt;=2,C3183,"")</f>
        <v>45</v>
      </c>
      <c r="E3184" s="33" t="n">
        <f aca="false">IF(B3184&gt;=5,AVERAGE(C3180:C3183),"")</f>
        <v>38.75</v>
      </c>
      <c r="F3184" s="33" t="n">
        <f aca="false">IF(B3184&gt;=9,AVERAGE(C3176:C3183),"")</f>
        <v>41.75</v>
      </c>
      <c r="G3184" s="33" t="n">
        <f aca="false">IF(B3184=1,"",IF(B3184=2,C3183,SES_Alpha*C3183+(1-SES_Alpha)*G3183))</f>
        <v>40.2717707612</v>
      </c>
      <c r="H3184" s="33" t="n">
        <f aca="false">IF(D3184="","",D3184-C3184)</f>
        <v>11</v>
      </c>
      <c r="I3184" s="33" t="n">
        <f aca="false">IF(E3184="","",E3184-C3184)</f>
        <v>4.75</v>
      </c>
      <c r="J3184" s="33" t="n">
        <f aca="false">IF(F3184="","",F3184-C3184)</f>
        <v>7.75</v>
      </c>
      <c r="K3184" s="33" t="n">
        <f aca="false">IF(G3184="","",G3184-C3184)</f>
        <v>6.27177076120001</v>
      </c>
      <c r="L3184" s="33" t="n">
        <f aca="false">IF(H3184="","",ABS(H3184))</f>
        <v>11</v>
      </c>
      <c r="M3184" s="33" t="n">
        <f aca="false">IF(I3184="","",ABS(I3184))</f>
        <v>4.75</v>
      </c>
      <c r="N3184" s="33" t="n">
        <f aca="false">IF(J3184="","",ABS(J3184))</f>
        <v>7.75</v>
      </c>
      <c r="O3184" s="33" t="n">
        <f aca="false">IF(K3184="","",ABS(K3184))</f>
        <v>6.27177076120001</v>
      </c>
      <c r="P3184" s="34" t="str">
        <f aca="false">IF(B3184&gt;=Eval_Start_Week,"YES","")</f>
        <v>YES</v>
      </c>
      <c r="Q3184" s="34" t="str">
        <f aca="false">IF(AND(B3184&gt;=Cal_Start_Week,B3184&lt;=Cal_End_Week),"YES","")</f>
        <v>YES</v>
      </c>
    </row>
    <row r="3185" customFormat="false" ht="15" hidden="false" customHeight="false" outlineLevel="0" collapsed="false">
      <c r="A3185" s="31" t="str">
        <f aca="false">Demand_History!C3185</f>
        <v>ELE-002</v>
      </c>
      <c r="B3185" s="31" t="n">
        <f aca="false">Demand_History!A3185</f>
        <v>64</v>
      </c>
      <c r="C3185" s="32" t="n">
        <f aca="false">Demand_History!D3185</f>
        <v>53</v>
      </c>
      <c r="D3185" s="33" t="n">
        <f aca="false">IF(B3185&gt;=2,C3184,"")</f>
        <v>34</v>
      </c>
      <c r="E3185" s="33" t="n">
        <f aca="false">IF(B3185&gt;=5,AVERAGE(C3181:C3184),"")</f>
        <v>36.5</v>
      </c>
      <c r="F3185" s="33" t="n">
        <f aca="false">IF(B3185&gt;=9,AVERAGE(C3177:C3184),"")</f>
        <v>41.125</v>
      </c>
      <c r="G3185" s="33" t="n">
        <f aca="false">IF(B3185=1,"",IF(B3185=2,C3184,SES_Alpha*C3184+(1-SES_Alpha)*G3184))</f>
        <v>38.39023953284</v>
      </c>
      <c r="H3185" s="33" t="n">
        <f aca="false">IF(D3185="","",D3185-C3185)</f>
        <v>-19</v>
      </c>
      <c r="I3185" s="33" t="n">
        <f aca="false">IF(E3185="","",E3185-C3185)</f>
        <v>-16.5</v>
      </c>
      <c r="J3185" s="33" t="n">
        <f aca="false">IF(F3185="","",F3185-C3185)</f>
        <v>-11.875</v>
      </c>
      <c r="K3185" s="33" t="n">
        <f aca="false">IF(G3185="","",G3185-C3185)</f>
        <v>-14.60976046716</v>
      </c>
      <c r="L3185" s="33" t="n">
        <f aca="false">IF(H3185="","",ABS(H3185))</f>
        <v>19</v>
      </c>
      <c r="M3185" s="33" t="n">
        <f aca="false">IF(I3185="","",ABS(I3185))</f>
        <v>16.5</v>
      </c>
      <c r="N3185" s="33" t="n">
        <f aca="false">IF(J3185="","",ABS(J3185))</f>
        <v>11.875</v>
      </c>
      <c r="O3185" s="33" t="n">
        <f aca="false">IF(K3185="","",ABS(K3185))</f>
        <v>14.60976046716</v>
      </c>
      <c r="P3185" s="34" t="str">
        <f aca="false">IF(B3185&gt;=Eval_Start_Week,"YES","")</f>
        <v>YES</v>
      </c>
      <c r="Q3185" s="34" t="str">
        <f aca="false">IF(AND(B3185&gt;=Cal_Start_Week,B3185&lt;=Cal_End_Week),"YES","")</f>
        <v>YES</v>
      </c>
    </row>
    <row r="3186" customFormat="false" ht="15" hidden="false" customHeight="false" outlineLevel="0" collapsed="false">
      <c r="A3186" s="31" t="str">
        <f aca="false">Demand_History!C3186</f>
        <v>ELE-002</v>
      </c>
      <c r="B3186" s="31" t="n">
        <f aca="false">Demand_History!A3186</f>
        <v>65</v>
      </c>
      <c r="C3186" s="32" t="n">
        <f aca="false">Demand_History!D3186</f>
        <v>55</v>
      </c>
      <c r="D3186" s="33" t="n">
        <f aca="false">IF(B3186&gt;=2,C3185,"")</f>
        <v>53</v>
      </c>
      <c r="E3186" s="33" t="n">
        <f aca="false">IF(B3186&gt;=5,AVERAGE(C3182:C3185),"")</f>
        <v>40.25</v>
      </c>
      <c r="F3186" s="33" t="n">
        <f aca="false">IF(B3186&gt;=9,AVERAGE(C3178:C3185),"")</f>
        <v>39.875</v>
      </c>
      <c r="G3186" s="33" t="n">
        <f aca="false">IF(B3186=1,"",IF(B3186=2,C3185,SES_Alpha*C3185+(1-SES_Alpha)*G3185))</f>
        <v>42.773167672988</v>
      </c>
      <c r="H3186" s="33" t="n">
        <f aca="false">IF(D3186="","",D3186-C3186)</f>
        <v>-2</v>
      </c>
      <c r="I3186" s="33" t="n">
        <f aca="false">IF(E3186="","",E3186-C3186)</f>
        <v>-14.75</v>
      </c>
      <c r="J3186" s="33" t="n">
        <f aca="false">IF(F3186="","",F3186-C3186)</f>
        <v>-15.125</v>
      </c>
      <c r="K3186" s="33" t="n">
        <f aca="false">IF(G3186="","",G3186-C3186)</f>
        <v>-12.226832327012</v>
      </c>
      <c r="L3186" s="33" t="n">
        <f aca="false">IF(H3186="","",ABS(H3186))</f>
        <v>2</v>
      </c>
      <c r="M3186" s="33" t="n">
        <f aca="false">IF(I3186="","",ABS(I3186))</f>
        <v>14.75</v>
      </c>
      <c r="N3186" s="33" t="n">
        <f aca="false">IF(J3186="","",ABS(J3186))</f>
        <v>15.125</v>
      </c>
      <c r="O3186" s="33" t="n">
        <f aca="false">IF(K3186="","",ABS(K3186))</f>
        <v>12.226832327012</v>
      </c>
      <c r="P3186" s="34" t="str">
        <f aca="false">IF(B3186&gt;=Eval_Start_Week,"YES","")</f>
        <v>YES</v>
      </c>
      <c r="Q3186" s="34" t="str">
        <f aca="false">IF(AND(B3186&gt;=Cal_Start_Week,B3186&lt;=Cal_End_Week),"YES","")</f>
        <v>YES</v>
      </c>
    </row>
    <row r="3187" customFormat="false" ht="15" hidden="false" customHeight="false" outlineLevel="0" collapsed="false">
      <c r="A3187" s="31" t="str">
        <f aca="false">Demand_History!C3187</f>
        <v>ELE-002</v>
      </c>
      <c r="B3187" s="31" t="n">
        <f aca="false">Demand_History!A3187</f>
        <v>66</v>
      </c>
      <c r="C3187" s="32" t="n">
        <f aca="false">Demand_History!D3187</f>
        <v>23</v>
      </c>
      <c r="D3187" s="33" t="n">
        <f aca="false">IF(B3187&gt;=2,C3186,"")</f>
        <v>55</v>
      </c>
      <c r="E3187" s="33" t="n">
        <f aca="false">IF(B3187&gt;=5,AVERAGE(C3183:C3186),"")</f>
        <v>46.75</v>
      </c>
      <c r="F3187" s="33" t="n">
        <f aca="false">IF(B3187&gt;=9,AVERAGE(C3179:C3186),"")</f>
        <v>43.375</v>
      </c>
      <c r="G3187" s="33" t="n">
        <f aca="false">IF(B3187=1,"",IF(B3187=2,C3186,SES_Alpha*C3186+(1-SES_Alpha)*G3186))</f>
        <v>46.4412173710916</v>
      </c>
      <c r="H3187" s="33" t="n">
        <f aca="false">IF(D3187="","",D3187-C3187)</f>
        <v>32</v>
      </c>
      <c r="I3187" s="33" t="n">
        <f aca="false">IF(E3187="","",E3187-C3187)</f>
        <v>23.75</v>
      </c>
      <c r="J3187" s="33" t="n">
        <f aca="false">IF(F3187="","",F3187-C3187)</f>
        <v>20.375</v>
      </c>
      <c r="K3187" s="33" t="n">
        <f aca="false">IF(G3187="","",G3187-C3187)</f>
        <v>23.4412173710916</v>
      </c>
      <c r="L3187" s="33" t="n">
        <f aca="false">IF(H3187="","",ABS(H3187))</f>
        <v>32</v>
      </c>
      <c r="M3187" s="33" t="n">
        <f aca="false">IF(I3187="","",ABS(I3187))</f>
        <v>23.75</v>
      </c>
      <c r="N3187" s="33" t="n">
        <f aca="false">IF(J3187="","",ABS(J3187))</f>
        <v>20.375</v>
      </c>
      <c r="O3187" s="33" t="n">
        <f aca="false">IF(K3187="","",ABS(K3187))</f>
        <v>23.4412173710916</v>
      </c>
      <c r="P3187" s="34" t="str">
        <f aca="false">IF(B3187&gt;=Eval_Start_Week,"YES","")</f>
        <v>YES</v>
      </c>
      <c r="Q3187" s="34" t="str">
        <f aca="false">IF(AND(B3187&gt;=Cal_Start_Week,B3187&lt;=Cal_End_Week),"YES","")</f>
        <v>YES</v>
      </c>
    </row>
    <row r="3188" customFormat="false" ht="15" hidden="false" customHeight="false" outlineLevel="0" collapsed="false">
      <c r="A3188" s="31" t="str">
        <f aca="false">Demand_History!C3188</f>
        <v>ELE-002</v>
      </c>
      <c r="B3188" s="31" t="n">
        <f aca="false">Demand_History!A3188</f>
        <v>67</v>
      </c>
      <c r="C3188" s="32" t="n">
        <f aca="false">Demand_History!D3188</f>
        <v>34</v>
      </c>
      <c r="D3188" s="33" t="n">
        <f aca="false">IF(B3188&gt;=2,C3187,"")</f>
        <v>23</v>
      </c>
      <c r="E3188" s="33" t="n">
        <f aca="false">IF(B3188&gt;=5,AVERAGE(C3184:C3187),"")</f>
        <v>41.25</v>
      </c>
      <c r="F3188" s="33" t="n">
        <f aca="false">IF(B3188&gt;=9,AVERAGE(C3180:C3187),"")</f>
        <v>40</v>
      </c>
      <c r="G3188" s="33" t="n">
        <f aca="false">IF(B3188=1,"",IF(B3188=2,C3187,SES_Alpha*C3187+(1-SES_Alpha)*G3187))</f>
        <v>39.4088521597641</v>
      </c>
      <c r="H3188" s="33" t="n">
        <f aca="false">IF(D3188="","",D3188-C3188)</f>
        <v>-11</v>
      </c>
      <c r="I3188" s="33" t="n">
        <f aca="false">IF(E3188="","",E3188-C3188)</f>
        <v>7.25</v>
      </c>
      <c r="J3188" s="33" t="n">
        <f aca="false">IF(F3188="","",F3188-C3188)</f>
        <v>6</v>
      </c>
      <c r="K3188" s="33" t="n">
        <f aca="false">IF(G3188="","",G3188-C3188)</f>
        <v>5.40885215976412</v>
      </c>
      <c r="L3188" s="33" t="n">
        <f aca="false">IF(H3188="","",ABS(H3188))</f>
        <v>11</v>
      </c>
      <c r="M3188" s="33" t="n">
        <f aca="false">IF(I3188="","",ABS(I3188))</f>
        <v>7.25</v>
      </c>
      <c r="N3188" s="33" t="n">
        <f aca="false">IF(J3188="","",ABS(J3188))</f>
        <v>6</v>
      </c>
      <c r="O3188" s="33" t="n">
        <f aca="false">IF(K3188="","",ABS(K3188))</f>
        <v>5.40885215976412</v>
      </c>
      <c r="P3188" s="34" t="str">
        <f aca="false">IF(B3188&gt;=Eval_Start_Week,"YES","")</f>
        <v>YES</v>
      </c>
      <c r="Q3188" s="34" t="str">
        <f aca="false">IF(AND(B3188&gt;=Cal_Start_Week,B3188&lt;=Cal_End_Week),"YES","")</f>
        <v>YES</v>
      </c>
    </row>
    <row r="3189" customFormat="false" ht="15" hidden="false" customHeight="false" outlineLevel="0" collapsed="false">
      <c r="A3189" s="31" t="str">
        <f aca="false">Demand_History!C3189</f>
        <v>ELE-002</v>
      </c>
      <c r="B3189" s="31" t="n">
        <f aca="false">Demand_History!A3189</f>
        <v>68</v>
      </c>
      <c r="C3189" s="32" t="n">
        <f aca="false">Demand_History!D3189</f>
        <v>36</v>
      </c>
      <c r="D3189" s="33" t="n">
        <f aca="false">IF(B3189&gt;=2,C3188,"")</f>
        <v>34</v>
      </c>
      <c r="E3189" s="33" t="n">
        <f aca="false">IF(B3189&gt;=5,AVERAGE(C3185:C3188),"")</f>
        <v>41.25</v>
      </c>
      <c r="F3189" s="33" t="n">
        <f aca="false">IF(B3189&gt;=9,AVERAGE(C3181:C3188),"")</f>
        <v>38.875</v>
      </c>
      <c r="G3189" s="33" t="n">
        <f aca="false">IF(B3189=1,"",IF(B3189=2,C3188,SES_Alpha*C3188+(1-SES_Alpha)*G3188))</f>
        <v>37.7861965118349</v>
      </c>
      <c r="H3189" s="33" t="n">
        <f aca="false">IF(D3189="","",D3189-C3189)</f>
        <v>-2</v>
      </c>
      <c r="I3189" s="33" t="n">
        <f aca="false">IF(E3189="","",E3189-C3189)</f>
        <v>5.25</v>
      </c>
      <c r="J3189" s="33" t="n">
        <f aca="false">IF(F3189="","",F3189-C3189)</f>
        <v>2.875</v>
      </c>
      <c r="K3189" s="33" t="n">
        <f aca="false">IF(G3189="","",G3189-C3189)</f>
        <v>1.78619651183488</v>
      </c>
      <c r="L3189" s="33" t="n">
        <f aca="false">IF(H3189="","",ABS(H3189))</f>
        <v>2</v>
      </c>
      <c r="M3189" s="33" t="n">
        <f aca="false">IF(I3189="","",ABS(I3189))</f>
        <v>5.25</v>
      </c>
      <c r="N3189" s="33" t="n">
        <f aca="false">IF(J3189="","",ABS(J3189))</f>
        <v>2.875</v>
      </c>
      <c r="O3189" s="33" t="n">
        <f aca="false">IF(K3189="","",ABS(K3189))</f>
        <v>1.78619651183488</v>
      </c>
      <c r="P3189" s="34" t="str">
        <f aca="false">IF(B3189&gt;=Eval_Start_Week,"YES","")</f>
        <v>YES</v>
      </c>
      <c r="Q3189" s="34" t="str">
        <f aca="false">IF(AND(B3189&gt;=Cal_Start_Week,B3189&lt;=Cal_End_Week),"YES","")</f>
        <v>YES</v>
      </c>
    </row>
    <row r="3190" customFormat="false" ht="15" hidden="false" customHeight="false" outlineLevel="0" collapsed="false">
      <c r="A3190" s="31" t="str">
        <f aca="false">Demand_History!C3190</f>
        <v>ELE-002</v>
      </c>
      <c r="B3190" s="31" t="n">
        <f aca="false">Demand_History!A3190</f>
        <v>69</v>
      </c>
      <c r="C3190" s="32" t="n">
        <f aca="false">Demand_History!D3190</f>
        <v>25</v>
      </c>
      <c r="D3190" s="33" t="n">
        <f aca="false">IF(B3190&gt;=2,C3189,"")</f>
        <v>36</v>
      </c>
      <c r="E3190" s="33" t="n">
        <f aca="false">IF(B3190&gt;=5,AVERAGE(C3186:C3189),"")</f>
        <v>37</v>
      </c>
      <c r="F3190" s="33" t="n">
        <f aca="false">IF(B3190&gt;=9,AVERAGE(C3182:C3189),"")</f>
        <v>38.625</v>
      </c>
      <c r="G3190" s="33" t="n">
        <f aca="false">IF(B3190=1,"",IF(B3190=2,C3189,SES_Alpha*C3189+(1-SES_Alpha)*G3189))</f>
        <v>37.2503375582844</v>
      </c>
      <c r="H3190" s="33" t="n">
        <f aca="false">IF(D3190="","",D3190-C3190)</f>
        <v>11</v>
      </c>
      <c r="I3190" s="33" t="n">
        <f aca="false">IF(E3190="","",E3190-C3190)</f>
        <v>12</v>
      </c>
      <c r="J3190" s="33" t="n">
        <f aca="false">IF(F3190="","",F3190-C3190)</f>
        <v>13.625</v>
      </c>
      <c r="K3190" s="33" t="n">
        <f aca="false">IF(G3190="","",G3190-C3190)</f>
        <v>12.2503375582844</v>
      </c>
      <c r="L3190" s="33" t="n">
        <f aca="false">IF(H3190="","",ABS(H3190))</f>
        <v>11</v>
      </c>
      <c r="M3190" s="33" t="n">
        <f aca="false">IF(I3190="","",ABS(I3190))</f>
        <v>12</v>
      </c>
      <c r="N3190" s="33" t="n">
        <f aca="false">IF(J3190="","",ABS(J3190))</f>
        <v>13.625</v>
      </c>
      <c r="O3190" s="33" t="n">
        <f aca="false">IF(K3190="","",ABS(K3190))</f>
        <v>12.2503375582844</v>
      </c>
      <c r="P3190" s="34" t="str">
        <f aca="false">IF(B3190&gt;=Eval_Start_Week,"YES","")</f>
        <v>YES</v>
      </c>
      <c r="Q3190" s="34" t="str">
        <f aca="false">IF(AND(B3190&gt;=Cal_Start_Week,B3190&lt;=Cal_End_Week),"YES","")</f>
        <v>YES</v>
      </c>
    </row>
    <row r="3191" customFormat="false" ht="15" hidden="false" customHeight="false" outlineLevel="0" collapsed="false">
      <c r="A3191" s="31" t="str">
        <f aca="false">Demand_History!C3191</f>
        <v>ELE-002</v>
      </c>
      <c r="B3191" s="31" t="n">
        <f aca="false">Demand_History!A3191</f>
        <v>70</v>
      </c>
      <c r="C3191" s="32" t="n">
        <f aca="false">Demand_History!D3191</f>
        <v>26</v>
      </c>
      <c r="D3191" s="33" t="n">
        <f aca="false">IF(B3191&gt;=2,C3190,"")</f>
        <v>25</v>
      </c>
      <c r="E3191" s="33" t="n">
        <f aca="false">IF(B3191&gt;=5,AVERAGE(C3187:C3190),"")</f>
        <v>29.5</v>
      </c>
      <c r="F3191" s="33" t="n">
        <f aca="false">IF(B3191&gt;=9,AVERAGE(C3183:C3190),"")</f>
        <v>38.125</v>
      </c>
      <c r="G3191" s="33" t="n">
        <f aca="false">IF(B3191=1,"",IF(B3191=2,C3190,SES_Alpha*C3190+(1-SES_Alpha)*G3190))</f>
        <v>33.5752362907991</v>
      </c>
      <c r="H3191" s="33" t="n">
        <f aca="false">IF(D3191="","",D3191-C3191)</f>
        <v>-1</v>
      </c>
      <c r="I3191" s="33" t="n">
        <f aca="false">IF(E3191="","",E3191-C3191)</f>
        <v>3.5</v>
      </c>
      <c r="J3191" s="33" t="n">
        <f aca="false">IF(F3191="","",F3191-C3191)</f>
        <v>12.125</v>
      </c>
      <c r="K3191" s="33" t="n">
        <f aca="false">IF(G3191="","",G3191-C3191)</f>
        <v>7.57523629079909</v>
      </c>
      <c r="L3191" s="33" t="n">
        <f aca="false">IF(H3191="","",ABS(H3191))</f>
        <v>1</v>
      </c>
      <c r="M3191" s="33" t="n">
        <f aca="false">IF(I3191="","",ABS(I3191))</f>
        <v>3.5</v>
      </c>
      <c r="N3191" s="33" t="n">
        <f aca="false">IF(J3191="","",ABS(J3191))</f>
        <v>12.125</v>
      </c>
      <c r="O3191" s="33" t="n">
        <f aca="false">IF(K3191="","",ABS(K3191))</f>
        <v>7.57523629079909</v>
      </c>
      <c r="P3191" s="34" t="str">
        <f aca="false">IF(B3191&gt;=Eval_Start_Week,"YES","")</f>
        <v>YES</v>
      </c>
      <c r="Q3191" s="34" t="str">
        <f aca="false">IF(AND(B3191&gt;=Cal_Start_Week,B3191&lt;=Cal_End_Week),"YES","")</f>
        <v>YES</v>
      </c>
    </row>
    <row r="3192" customFormat="false" ht="15" hidden="false" customHeight="false" outlineLevel="0" collapsed="false">
      <c r="A3192" s="31" t="str">
        <f aca="false">Demand_History!C3192</f>
        <v>ELE-002</v>
      </c>
      <c r="B3192" s="31" t="n">
        <f aca="false">Demand_History!A3192</f>
        <v>71</v>
      </c>
      <c r="C3192" s="32" t="n">
        <f aca="false">Demand_History!D3192</f>
        <v>41</v>
      </c>
      <c r="D3192" s="33" t="n">
        <f aca="false">IF(B3192&gt;=2,C3191,"")</f>
        <v>26</v>
      </c>
      <c r="E3192" s="33" t="n">
        <f aca="false">IF(B3192&gt;=5,AVERAGE(C3188:C3191),"")</f>
        <v>30.25</v>
      </c>
      <c r="F3192" s="33" t="n">
        <f aca="false">IF(B3192&gt;=9,AVERAGE(C3184:C3191),"")</f>
        <v>35.75</v>
      </c>
      <c r="G3192" s="33" t="n">
        <f aca="false">IF(B3192=1,"",IF(B3192=2,C3191,SES_Alpha*C3191+(1-SES_Alpha)*G3191))</f>
        <v>31.3026654035594</v>
      </c>
      <c r="H3192" s="33" t="n">
        <f aca="false">IF(D3192="","",D3192-C3192)</f>
        <v>-15</v>
      </c>
      <c r="I3192" s="33" t="n">
        <f aca="false">IF(E3192="","",E3192-C3192)</f>
        <v>-10.75</v>
      </c>
      <c r="J3192" s="33" t="n">
        <f aca="false">IF(F3192="","",F3192-C3192)</f>
        <v>-5.25</v>
      </c>
      <c r="K3192" s="33" t="n">
        <f aca="false">IF(G3192="","",G3192-C3192)</f>
        <v>-9.69733459644064</v>
      </c>
      <c r="L3192" s="33" t="n">
        <f aca="false">IF(H3192="","",ABS(H3192))</f>
        <v>15</v>
      </c>
      <c r="M3192" s="33" t="n">
        <f aca="false">IF(I3192="","",ABS(I3192))</f>
        <v>10.75</v>
      </c>
      <c r="N3192" s="33" t="n">
        <f aca="false">IF(J3192="","",ABS(J3192))</f>
        <v>5.25</v>
      </c>
      <c r="O3192" s="33" t="n">
        <f aca="false">IF(K3192="","",ABS(K3192))</f>
        <v>9.69733459644064</v>
      </c>
      <c r="P3192" s="34" t="str">
        <f aca="false">IF(B3192&gt;=Eval_Start_Week,"YES","")</f>
        <v>YES</v>
      </c>
      <c r="Q3192" s="34" t="str">
        <f aca="false">IF(AND(B3192&gt;=Cal_Start_Week,B3192&lt;=Cal_End_Week),"YES","")</f>
        <v>YES</v>
      </c>
    </row>
    <row r="3193" customFormat="false" ht="15" hidden="false" customHeight="false" outlineLevel="0" collapsed="false">
      <c r="A3193" s="31" t="str">
        <f aca="false">Demand_History!C3193</f>
        <v>ELE-002</v>
      </c>
      <c r="B3193" s="31" t="n">
        <f aca="false">Demand_History!A3193</f>
        <v>72</v>
      </c>
      <c r="C3193" s="32" t="n">
        <f aca="false">Demand_History!D3193</f>
        <v>37</v>
      </c>
      <c r="D3193" s="33" t="n">
        <f aca="false">IF(B3193&gt;=2,C3192,"")</f>
        <v>41</v>
      </c>
      <c r="E3193" s="33" t="n">
        <f aca="false">IF(B3193&gt;=5,AVERAGE(C3189:C3192),"")</f>
        <v>32</v>
      </c>
      <c r="F3193" s="33" t="n">
        <f aca="false">IF(B3193&gt;=9,AVERAGE(C3185:C3192),"")</f>
        <v>36.625</v>
      </c>
      <c r="G3193" s="33" t="n">
        <f aca="false">IF(B3193=1,"",IF(B3193=2,C3192,SES_Alpha*C3192+(1-SES_Alpha)*G3192))</f>
        <v>34.2118657824916</v>
      </c>
      <c r="H3193" s="33" t="n">
        <f aca="false">IF(D3193="","",D3193-C3193)</f>
        <v>4</v>
      </c>
      <c r="I3193" s="33" t="n">
        <f aca="false">IF(E3193="","",E3193-C3193)</f>
        <v>-5</v>
      </c>
      <c r="J3193" s="33" t="n">
        <f aca="false">IF(F3193="","",F3193-C3193)</f>
        <v>-0.375</v>
      </c>
      <c r="K3193" s="33" t="n">
        <f aca="false">IF(G3193="","",G3193-C3193)</f>
        <v>-2.78813421750845</v>
      </c>
      <c r="L3193" s="33" t="n">
        <f aca="false">IF(H3193="","",ABS(H3193))</f>
        <v>4</v>
      </c>
      <c r="M3193" s="33" t="n">
        <f aca="false">IF(I3193="","",ABS(I3193))</f>
        <v>5</v>
      </c>
      <c r="N3193" s="33" t="n">
        <f aca="false">IF(J3193="","",ABS(J3193))</f>
        <v>0.375</v>
      </c>
      <c r="O3193" s="33" t="n">
        <f aca="false">IF(K3193="","",ABS(K3193))</f>
        <v>2.78813421750845</v>
      </c>
      <c r="P3193" s="34" t="str">
        <f aca="false">IF(B3193&gt;=Eval_Start_Week,"YES","")</f>
        <v>YES</v>
      </c>
      <c r="Q3193" s="34" t="str">
        <f aca="false">IF(AND(B3193&gt;=Cal_Start_Week,B3193&lt;=Cal_End_Week),"YES","")</f>
        <v>YES</v>
      </c>
    </row>
    <row r="3194" customFormat="false" ht="15" hidden="false" customHeight="false" outlineLevel="0" collapsed="false">
      <c r="A3194" s="31" t="str">
        <f aca="false">Demand_History!C3194</f>
        <v>ELE-002</v>
      </c>
      <c r="B3194" s="31" t="n">
        <f aca="false">Demand_History!A3194</f>
        <v>73</v>
      </c>
      <c r="C3194" s="32" t="n">
        <f aca="false">Demand_History!D3194</f>
        <v>20</v>
      </c>
      <c r="D3194" s="33" t="n">
        <f aca="false">IF(B3194&gt;=2,C3193,"")</f>
        <v>37</v>
      </c>
      <c r="E3194" s="33" t="n">
        <f aca="false">IF(B3194&gt;=5,AVERAGE(C3190:C3193),"")</f>
        <v>32.25</v>
      </c>
      <c r="F3194" s="33" t="n">
        <f aca="false">IF(B3194&gt;=9,AVERAGE(C3186:C3193),"")</f>
        <v>34.625</v>
      </c>
      <c r="G3194" s="33" t="n">
        <f aca="false">IF(B3194=1,"",IF(B3194=2,C3193,SES_Alpha*C3193+(1-SES_Alpha)*G3193))</f>
        <v>35.0483060477441</v>
      </c>
      <c r="H3194" s="33" t="n">
        <f aca="false">IF(D3194="","",D3194-C3194)</f>
        <v>17</v>
      </c>
      <c r="I3194" s="33" t="n">
        <f aca="false">IF(E3194="","",E3194-C3194)</f>
        <v>12.25</v>
      </c>
      <c r="J3194" s="33" t="n">
        <f aca="false">IF(F3194="","",F3194-C3194)</f>
        <v>14.625</v>
      </c>
      <c r="K3194" s="33" t="n">
        <f aca="false">IF(G3194="","",G3194-C3194)</f>
        <v>15.0483060477441</v>
      </c>
      <c r="L3194" s="33" t="n">
        <f aca="false">IF(H3194="","",ABS(H3194))</f>
        <v>17</v>
      </c>
      <c r="M3194" s="33" t="n">
        <f aca="false">IF(I3194="","",ABS(I3194))</f>
        <v>12.25</v>
      </c>
      <c r="N3194" s="33" t="n">
        <f aca="false">IF(J3194="","",ABS(J3194))</f>
        <v>14.625</v>
      </c>
      <c r="O3194" s="33" t="n">
        <f aca="false">IF(K3194="","",ABS(K3194))</f>
        <v>15.0483060477441</v>
      </c>
      <c r="P3194" s="34" t="str">
        <f aca="false">IF(B3194&gt;=Eval_Start_Week,"YES","")</f>
        <v>YES</v>
      </c>
      <c r="Q3194" s="34" t="str">
        <f aca="false">IF(AND(B3194&gt;=Cal_Start_Week,B3194&lt;=Cal_End_Week),"YES","")</f>
        <v>YES</v>
      </c>
    </row>
    <row r="3195" customFormat="false" ht="15" hidden="false" customHeight="false" outlineLevel="0" collapsed="false">
      <c r="A3195" s="31" t="str">
        <f aca="false">Demand_History!C3195</f>
        <v>ELE-002</v>
      </c>
      <c r="B3195" s="31" t="n">
        <f aca="false">Demand_History!A3195</f>
        <v>74</v>
      </c>
      <c r="C3195" s="32" t="n">
        <f aca="false">Demand_History!D3195</f>
        <v>33</v>
      </c>
      <c r="D3195" s="33" t="n">
        <f aca="false">IF(B3195&gt;=2,C3194,"")</f>
        <v>20</v>
      </c>
      <c r="E3195" s="33" t="n">
        <f aca="false">IF(B3195&gt;=5,AVERAGE(C3191:C3194),"")</f>
        <v>31</v>
      </c>
      <c r="F3195" s="33" t="n">
        <f aca="false">IF(B3195&gt;=9,AVERAGE(C3187:C3194),"")</f>
        <v>30.25</v>
      </c>
      <c r="G3195" s="33" t="n">
        <f aca="false">IF(B3195=1,"",IF(B3195=2,C3194,SES_Alpha*C3194+(1-SES_Alpha)*G3194))</f>
        <v>30.5338142334209</v>
      </c>
      <c r="H3195" s="33" t="n">
        <f aca="false">IF(D3195="","",D3195-C3195)</f>
        <v>-13</v>
      </c>
      <c r="I3195" s="33" t="n">
        <f aca="false">IF(E3195="","",E3195-C3195)</f>
        <v>-2</v>
      </c>
      <c r="J3195" s="33" t="n">
        <f aca="false">IF(F3195="","",F3195-C3195)</f>
        <v>-2.75</v>
      </c>
      <c r="K3195" s="33" t="n">
        <f aca="false">IF(G3195="","",G3195-C3195)</f>
        <v>-2.46618576657914</v>
      </c>
      <c r="L3195" s="33" t="n">
        <f aca="false">IF(H3195="","",ABS(H3195))</f>
        <v>13</v>
      </c>
      <c r="M3195" s="33" t="n">
        <f aca="false">IF(I3195="","",ABS(I3195))</f>
        <v>2</v>
      </c>
      <c r="N3195" s="33" t="n">
        <f aca="false">IF(J3195="","",ABS(J3195))</f>
        <v>2.75</v>
      </c>
      <c r="O3195" s="33" t="n">
        <f aca="false">IF(K3195="","",ABS(K3195))</f>
        <v>2.46618576657914</v>
      </c>
      <c r="P3195" s="34" t="str">
        <f aca="false">IF(B3195&gt;=Eval_Start_Week,"YES","")</f>
        <v>YES</v>
      </c>
      <c r="Q3195" s="34" t="str">
        <f aca="false">IF(AND(B3195&gt;=Cal_Start_Week,B3195&lt;=Cal_End_Week),"YES","")</f>
        <v>YES</v>
      </c>
    </row>
    <row r="3196" customFormat="false" ht="15" hidden="false" customHeight="false" outlineLevel="0" collapsed="false">
      <c r="A3196" s="31" t="str">
        <f aca="false">Demand_History!C3196</f>
        <v>ELE-002</v>
      </c>
      <c r="B3196" s="31" t="n">
        <f aca="false">Demand_History!A3196</f>
        <v>75</v>
      </c>
      <c r="C3196" s="32" t="n">
        <f aca="false">Demand_History!D3196</f>
        <v>46</v>
      </c>
      <c r="D3196" s="33" t="n">
        <f aca="false">IF(B3196&gt;=2,C3195,"")</f>
        <v>33</v>
      </c>
      <c r="E3196" s="33" t="n">
        <f aca="false">IF(B3196&gt;=5,AVERAGE(C3192:C3195),"")</f>
        <v>32.75</v>
      </c>
      <c r="F3196" s="33" t="n">
        <f aca="false">IF(B3196&gt;=9,AVERAGE(C3188:C3195),"")</f>
        <v>31.5</v>
      </c>
      <c r="G3196" s="33" t="n">
        <f aca="false">IF(B3196=1,"",IF(B3196=2,C3195,SES_Alpha*C3195+(1-SES_Alpha)*G3195))</f>
        <v>31.2736699633946</v>
      </c>
      <c r="H3196" s="33" t="n">
        <f aca="false">IF(D3196="","",D3196-C3196)</f>
        <v>-13</v>
      </c>
      <c r="I3196" s="33" t="n">
        <f aca="false">IF(E3196="","",E3196-C3196)</f>
        <v>-13.25</v>
      </c>
      <c r="J3196" s="33" t="n">
        <f aca="false">IF(F3196="","",F3196-C3196)</f>
        <v>-14.5</v>
      </c>
      <c r="K3196" s="33" t="n">
        <f aca="false">IF(G3196="","",G3196-C3196)</f>
        <v>-14.7263300366054</v>
      </c>
      <c r="L3196" s="33" t="n">
        <f aca="false">IF(H3196="","",ABS(H3196))</f>
        <v>13</v>
      </c>
      <c r="M3196" s="33" t="n">
        <f aca="false">IF(I3196="","",ABS(I3196))</f>
        <v>13.25</v>
      </c>
      <c r="N3196" s="33" t="n">
        <f aca="false">IF(J3196="","",ABS(J3196))</f>
        <v>14.5</v>
      </c>
      <c r="O3196" s="33" t="n">
        <f aca="false">IF(K3196="","",ABS(K3196))</f>
        <v>14.7263300366054</v>
      </c>
      <c r="P3196" s="34" t="str">
        <f aca="false">IF(B3196&gt;=Eval_Start_Week,"YES","")</f>
        <v>YES</v>
      </c>
      <c r="Q3196" s="34" t="str">
        <f aca="false">IF(AND(B3196&gt;=Cal_Start_Week,B3196&lt;=Cal_End_Week),"YES","")</f>
        <v>YES</v>
      </c>
    </row>
    <row r="3197" customFormat="false" ht="15" hidden="false" customHeight="false" outlineLevel="0" collapsed="false">
      <c r="A3197" s="31" t="str">
        <f aca="false">Demand_History!C3197</f>
        <v>ELE-002</v>
      </c>
      <c r="B3197" s="31" t="n">
        <f aca="false">Demand_History!A3197</f>
        <v>76</v>
      </c>
      <c r="C3197" s="32" t="n">
        <f aca="false">Demand_History!D3197</f>
        <v>25</v>
      </c>
      <c r="D3197" s="33" t="n">
        <f aca="false">IF(B3197&gt;=2,C3196,"")</f>
        <v>46</v>
      </c>
      <c r="E3197" s="33" t="n">
        <f aca="false">IF(B3197&gt;=5,AVERAGE(C3193:C3196),"")</f>
        <v>34</v>
      </c>
      <c r="F3197" s="33" t="n">
        <f aca="false">IF(B3197&gt;=9,AVERAGE(C3189:C3196),"")</f>
        <v>33</v>
      </c>
      <c r="G3197" s="33" t="n">
        <f aca="false">IF(B3197=1,"",IF(B3197=2,C3196,SES_Alpha*C3196+(1-SES_Alpha)*G3196))</f>
        <v>35.6915689743762</v>
      </c>
      <c r="H3197" s="33" t="n">
        <f aca="false">IF(D3197="","",D3197-C3197)</f>
        <v>21</v>
      </c>
      <c r="I3197" s="33" t="n">
        <f aca="false">IF(E3197="","",E3197-C3197)</f>
        <v>9</v>
      </c>
      <c r="J3197" s="33" t="n">
        <f aca="false">IF(F3197="","",F3197-C3197)</f>
        <v>8</v>
      </c>
      <c r="K3197" s="33" t="n">
        <f aca="false">IF(G3197="","",G3197-C3197)</f>
        <v>10.6915689743762</v>
      </c>
      <c r="L3197" s="33" t="n">
        <f aca="false">IF(H3197="","",ABS(H3197))</f>
        <v>21</v>
      </c>
      <c r="M3197" s="33" t="n">
        <f aca="false">IF(I3197="","",ABS(I3197))</f>
        <v>9</v>
      </c>
      <c r="N3197" s="33" t="n">
        <f aca="false">IF(J3197="","",ABS(J3197))</f>
        <v>8</v>
      </c>
      <c r="O3197" s="33" t="n">
        <f aca="false">IF(K3197="","",ABS(K3197))</f>
        <v>10.6915689743762</v>
      </c>
      <c r="P3197" s="34" t="str">
        <f aca="false">IF(B3197&gt;=Eval_Start_Week,"YES","")</f>
        <v>YES</v>
      </c>
      <c r="Q3197" s="34" t="str">
        <f aca="false">IF(AND(B3197&gt;=Cal_Start_Week,B3197&lt;=Cal_End_Week),"YES","")</f>
        <v>YES</v>
      </c>
    </row>
    <row r="3198" customFormat="false" ht="15" hidden="false" customHeight="false" outlineLevel="0" collapsed="false">
      <c r="A3198" s="31" t="str">
        <f aca="false">Demand_History!C3198</f>
        <v>ELE-002</v>
      </c>
      <c r="B3198" s="31" t="n">
        <f aca="false">Demand_History!A3198</f>
        <v>77</v>
      </c>
      <c r="C3198" s="32" t="n">
        <f aca="false">Demand_History!D3198</f>
        <v>29</v>
      </c>
      <c r="D3198" s="33" t="n">
        <f aca="false">IF(B3198&gt;=2,C3197,"")</f>
        <v>25</v>
      </c>
      <c r="E3198" s="33" t="n">
        <f aca="false">IF(B3198&gt;=5,AVERAGE(C3194:C3197),"")</f>
        <v>31</v>
      </c>
      <c r="F3198" s="33" t="n">
        <f aca="false">IF(B3198&gt;=9,AVERAGE(C3190:C3197),"")</f>
        <v>31.625</v>
      </c>
      <c r="G3198" s="33" t="n">
        <f aca="false">IF(B3198=1,"",IF(B3198=2,C3197,SES_Alpha*C3197+(1-SES_Alpha)*G3197))</f>
        <v>32.4840982820634</v>
      </c>
      <c r="H3198" s="33" t="n">
        <f aca="false">IF(D3198="","",D3198-C3198)</f>
        <v>-4</v>
      </c>
      <c r="I3198" s="33" t="n">
        <f aca="false">IF(E3198="","",E3198-C3198)</f>
        <v>2</v>
      </c>
      <c r="J3198" s="33" t="n">
        <f aca="false">IF(F3198="","",F3198-C3198)</f>
        <v>2.625</v>
      </c>
      <c r="K3198" s="33" t="n">
        <f aca="false">IF(G3198="","",G3198-C3198)</f>
        <v>3.48409828206335</v>
      </c>
      <c r="L3198" s="33" t="n">
        <f aca="false">IF(H3198="","",ABS(H3198))</f>
        <v>4</v>
      </c>
      <c r="M3198" s="33" t="n">
        <f aca="false">IF(I3198="","",ABS(I3198))</f>
        <v>2</v>
      </c>
      <c r="N3198" s="33" t="n">
        <f aca="false">IF(J3198="","",ABS(J3198))</f>
        <v>2.625</v>
      </c>
      <c r="O3198" s="33" t="n">
        <f aca="false">IF(K3198="","",ABS(K3198))</f>
        <v>3.48409828206335</v>
      </c>
      <c r="P3198" s="34" t="str">
        <f aca="false">IF(B3198&gt;=Eval_Start_Week,"YES","")</f>
        <v>YES</v>
      </c>
      <c r="Q3198" s="34" t="str">
        <f aca="false">IF(AND(B3198&gt;=Cal_Start_Week,B3198&lt;=Cal_End_Week),"YES","")</f>
        <v>YES</v>
      </c>
    </row>
    <row r="3199" customFormat="false" ht="15" hidden="false" customHeight="false" outlineLevel="0" collapsed="false">
      <c r="A3199" s="31" t="str">
        <f aca="false">Demand_History!C3199</f>
        <v>ELE-002</v>
      </c>
      <c r="B3199" s="31" t="n">
        <f aca="false">Demand_History!A3199</f>
        <v>78</v>
      </c>
      <c r="C3199" s="32" t="n">
        <f aca="false">Demand_History!D3199</f>
        <v>60</v>
      </c>
      <c r="D3199" s="33" t="n">
        <f aca="false">IF(B3199&gt;=2,C3198,"")</f>
        <v>29</v>
      </c>
      <c r="E3199" s="33" t="n">
        <f aca="false">IF(B3199&gt;=5,AVERAGE(C3195:C3198),"")</f>
        <v>33.25</v>
      </c>
      <c r="F3199" s="33" t="n">
        <f aca="false">IF(B3199&gt;=9,AVERAGE(C3191:C3198),"")</f>
        <v>32.125</v>
      </c>
      <c r="G3199" s="33" t="n">
        <f aca="false">IF(B3199=1,"",IF(B3199=2,C3198,SES_Alpha*C3198+(1-SES_Alpha)*G3198))</f>
        <v>31.4388687974443</v>
      </c>
      <c r="H3199" s="33" t="n">
        <f aca="false">IF(D3199="","",D3199-C3199)</f>
        <v>-31</v>
      </c>
      <c r="I3199" s="33" t="n">
        <f aca="false">IF(E3199="","",E3199-C3199)</f>
        <v>-26.75</v>
      </c>
      <c r="J3199" s="33" t="n">
        <f aca="false">IF(F3199="","",F3199-C3199)</f>
        <v>-27.875</v>
      </c>
      <c r="K3199" s="33" t="n">
        <f aca="false">IF(G3199="","",G3199-C3199)</f>
        <v>-28.5611312025557</v>
      </c>
      <c r="L3199" s="33" t="n">
        <f aca="false">IF(H3199="","",ABS(H3199))</f>
        <v>31</v>
      </c>
      <c r="M3199" s="33" t="n">
        <f aca="false">IF(I3199="","",ABS(I3199))</f>
        <v>26.75</v>
      </c>
      <c r="N3199" s="33" t="n">
        <f aca="false">IF(J3199="","",ABS(J3199))</f>
        <v>27.875</v>
      </c>
      <c r="O3199" s="33" t="n">
        <f aca="false">IF(K3199="","",ABS(K3199))</f>
        <v>28.5611312025557</v>
      </c>
      <c r="P3199" s="34" t="str">
        <f aca="false">IF(B3199&gt;=Eval_Start_Week,"YES","")</f>
        <v>YES</v>
      </c>
      <c r="Q3199" s="34" t="str">
        <f aca="false">IF(AND(B3199&gt;=Cal_Start_Week,B3199&lt;=Cal_End_Week),"YES","")</f>
        <v>YES</v>
      </c>
    </row>
    <row r="3200" customFormat="false" ht="15" hidden="false" customHeight="false" outlineLevel="0" collapsed="false">
      <c r="A3200" s="31" t="str">
        <f aca="false">Demand_History!C3200</f>
        <v>ELE-002</v>
      </c>
      <c r="B3200" s="31" t="n">
        <f aca="false">Demand_History!A3200</f>
        <v>79</v>
      </c>
      <c r="C3200" s="32" t="n">
        <f aca="false">Demand_History!D3200</f>
        <v>56</v>
      </c>
      <c r="D3200" s="33" t="n">
        <f aca="false">IF(B3200&gt;=2,C3199,"")</f>
        <v>60</v>
      </c>
      <c r="E3200" s="33" t="n">
        <f aca="false">IF(B3200&gt;=5,AVERAGE(C3196:C3199),"")</f>
        <v>40</v>
      </c>
      <c r="F3200" s="33" t="n">
        <f aca="false">IF(B3200&gt;=9,AVERAGE(C3192:C3199),"")</f>
        <v>36.375</v>
      </c>
      <c r="G3200" s="33" t="n">
        <f aca="false">IF(B3200=1,"",IF(B3200=2,C3199,SES_Alpha*C3199+(1-SES_Alpha)*G3199))</f>
        <v>40.007208158211</v>
      </c>
      <c r="H3200" s="33" t="n">
        <f aca="false">IF(D3200="","",D3200-C3200)</f>
        <v>4</v>
      </c>
      <c r="I3200" s="33" t="n">
        <f aca="false">IF(E3200="","",E3200-C3200)</f>
        <v>-16</v>
      </c>
      <c r="J3200" s="33" t="n">
        <f aca="false">IF(F3200="","",F3200-C3200)</f>
        <v>-19.625</v>
      </c>
      <c r="K3200" s="33" t="n">
        <f aca="false">IF(G3200="","",G3200-C3200)</f>
        <v>-15.992791841789</v>
      </c>
      <c r="L3200" s="33" t="n">
        <f aca="false">IF(H3200="","",ABS(H3200))</f>
        <v>4</v>
      </c>
      <c r="M3200" s="33" t="n">
        <f aca="false">IF(I3200="","",ABS(I3200))</f>
        <v>16</v>
      </c>
      <c r="N3200" s="33" t="n">
        <f aca="false">IF(J3200="","",ABS(J3200))</f>
        <v>19.625</v>
      </c>
      <c r="O3200" s="33" t="n">
        <f aca="false">IF(K3200="","",ABS(K3200))</f>
        <v>15.992791841789</v>
      </c>
      <c r="P3200" s="34" t="str">
        <f aca="false">IF(B3200&gt;=Eval_Start_Week,"YES","")</f>
        <v>YES</v>
      </c>
      <c r="Q3200" s="34" t="str">
        <f aca="false">IF(AND(B3200&gt;=Cal_Start_Week,B3200&lt;=Cal_End_Week),"YES","")</f>
        <v>YES</v>
      </c>
    </row>
    <row r="3201" customFormat="false" ht="15" hidden="false" customHeight="false" outlineLevel="0" collapsed="false">
      <c r="A3201" s="31" t="str">
        <f aca="false">Demand_History!C3201</f>
        <v>ELE-002</v>
      </c>
      <c r="B3201" s="31" t="n">
        <f aca="false">Demand_History!A3201</f>
        <v>80</v>
      </c>
      <c r="C3201" s="32" t="n">
        <f aca="false">Demand_History!D3201</f>
        <v>20</v>
      </c>
      <c r="D3201" s="33" t="n">
        <f aca="false">IF(B3201&gt;=2,C3200,"")</f>
        <v>56</v>
      </c>
      <c r="E3201" s="33" t="n">
        <f aca="false">IF(B3201&gt;=5,AVERAGE(C3197:C3200),"")</f>
        <v>42.5</v>
      </c>
      <c r="F3201" s="33" t="n">
        <f aca="false">IF(B3201&gt;=9,AVERAGE(C3193:C3200),"")</f>
        <v>38.25</v>
      </c>
      <c r="G3201" s="33" t="n">
        <f aca="false">IF(B3201=1,"",IF(B3201=2,C3200,SES_Alpha*C3200+(1-SES_Alpha)*G3200))</f>
        <v>44.8050457107477</v>
      </c>
      <c r="H3201" s="33" t="n">
        <f aca="false">IF(D3201="","",D3201-C3201)</f>
        <v>36</v>
      </c>
      <c r="I3201" s="33" t="n">
        <f aca="false">IF(E3201="","",E3201-C3201)</f>
        <v>22.5</v>
      </c>
      <c r="J3201" s="33" t="n">
        <f aca="false">IF(F3201="","",F3201-C3201)</f>
        <v>18.25</v>
      </c>
      <c r="K3201" s="33" t="n">
        <f aca="false">IF(G3201="","",G3201-C3201)</f>
        <v>24.8050457107477</v>
      </c>
      <c r="L3201" s="33" t="n">
        <f aca="false">IF(H3201="","",ABS(H3201))</f>
        <v>36</v>
      </c>
      <c r="M3201" s="33" t="n">
        <f aca="false">IF(I3201="","",ABS(I3201))</f>
        <v>22.5</v>
      </c>
      <c r="N3201" s="33" t="n">
        <f aca="false">IF(J3201="","",ABS(J3201))</f>
        <v>18.25</v>
      </c>
      <c r="O3201" s="33" t="n">
        <f aca="false">IF(K3201="","",ABS(K3201))</f>
        <v>24.8050457107477</v>
      </c>
      <c r="P3201" s="34" t="str">
        <f aca="false">IF(B3201&gt;=Eval_Start_Week,"YES","")</f>
        <v>YES</v>
      </c>
      <c r="Q3201" s="34" t="str">
        <f aca="false">IF(AND(B3201&gt;=Cal_Start_Week,B3201&lt;=Cal_End_Week),"YES","")</f>
        <v>YES</v>
      </c>
    </row>
    <row r="3202" customFormat="false" ht="15" hidden="false" customHeight="false" outlineLevel="0" collapsed="false">
      <c r="A3202" s="31" t="str">
        <f aca="false">Demand_History!C3202</f>
        <v>ELE-002</v>
      </c>
      <c r="B3202" s="31" t="n">
        <f aca="false">Demand_History!A3202</f>
        <v>81</v>
      </c>
      <c r="C3202" s="32" t="n">
        <f aca="false">Demand_History!D3202</f>
        <v>23</v>
      </c>
      <c r="D3202" s="33" t="n">
        <f aca="false">IF(B3202&gt;=2,C3201,"")</f>
        <v>20</v>
      </c>
      <c r="E3202" s="33" t="n">
        <f aca="false">IF(B3202&gt;=5,AVERAGE(C3198:C3201),"")</f>
        <v>41.25</v>
      </c>
      <c r="F3202" s="33" t="n">
        <f aca="false">IF(B3202&gt;=9,AVERAGE(C3194:C3201),"")</f>
        <v>36.125</v>
      </c>
      <c r="G3202" s="33" t="n">
        <f aca="false">IF(B3202=1,"",IF(B3202=2,C3201,SES_Alpha*C3201+(1-SES_Alpha)*G3201))</f>
        <v>37.3635319975234</v>
      </c>
      <c r="H3202" s="33" t="n">
        <f aca="false">IF(D3202="","",D3202-C3202)</f>
        <v>-3</v>
      </c>
      <c r="I3202" s="33" t="n">
        <f aca="false">IF(E3202="","",E3202-C3202)</f>
        <v>18.25</v>
      </c>
      <c r="J3202" s="33" t="n">
        <f aca="false">IF(F3202="","",F3202-C3202)</f>
        <v>13.125</v>
      </c>
      <c r="K3202" s="33" t="n">
        <f aca="false">IF(G3202="","",G3202-C3202)</f>
        <v>14.3635319975234</v>
      </c>
      <c r="L3202" s="33" t="n">
        <f aca="false">IF(H3202="","",ABS(H3202))</f>
        <v>3</v>
      </c>
      <c r="M3202" s="33" t="n">
        <f aca="false">IF(I3202="","",ABS(I3202))</f>
        <v>18.25</v>
      </c>
      <c r="N3202" s="33" t="n">
        <f aca="false">IF(J3202="","",ABS(J3202))</f>
        <v>13.125</v>
      </c>
      <c r="O3202" s="33" t="n">
        <f aca="false">IF(K3202="","",ABS(K3202))</f>
        <v>14.3635319975234</v>
      </c>
      <c r="P3202" s="34" t="str">
        <f aca="false">IF(B3202&gt;=Eval_Start_Week,"YES","")</f>
        <v>YES</v>
      </c>
      <c r="Q3202" s="34" t="str">
        <f aca="false">IF(AND(B3202&gt;=Cal_Start_Week,B3202&lt;=Cal_End_Week),"YES","")</f>
        <v>YES</v>
      </c>
    </row>
    <row r="3203" customFormat="false" ht="15" hidden="false" customHeight="false" outlineLevel="0" collapsed="false">
      <c r="A3203" s="31" t="str">
        <f aca="false">Demand_History!C3203</f>
        <v>ELE-002</v>
      </c>
      <c r="B3203" s="31" t="n">
        <f aca="false">Demand_History!A3203</f>
        <v>82</v>
      </c>
      <c r="C3203" s="32" t="n">
        <f aca="false">Demand_History!D3203</f>
        <v>45</v>
      </c>
      <c r="D3203" s="33" t="n">
        <f aca="false">IF(B3203&gt;=2,C3202,"")</f>
        <v>23</v>
      </c>
      <c r="E3203" s="33" t="n">
        <f aca="false">IF(B3203&gt;=5,AVERAGE(C3199:C3202),"")</f>
        <v>39.75</v>
      </c>
      <c r="F3203" s="33" t="n">
        <f aca="false">IF(B3203&gt;=9,AVERAGE(C3195:C3202),"")</f>
        <v>36.5</v>
      </c>
      <c r="G3203" s="33" t="n">
        <f aca="false">IF(B3203=1,"",IF(B3203=2,C3202,SES_Alpha*C3202+(1-SES_Alpha)*G3202))</f>
        <v>33.0544723982664</v>
      </c>
      <c r="H3203" s="33" t="n">
        <f aca="false">IF(D3203="","",D3203-C3203)</f>
        <v>-22</v>
      </c>
      <c r="I3203" s="33" t="n">
        <f aca="false">IF(E3203="","",E3203-C3203)</f>
        <v>-5.25</v>
      </c>
      <c r="J3203" s="33" t="n">
        <f aca="false">IF(F3203="","",F3203-C3203)</f>
        <v>-8.5</v>
      </c>
      <c r="K3203" s="33" t="n">
        <f aca="false">IF(G3203="","",G3203-C3203)</f>
        <v>-11.9455276017336</v>
      </c>
      <c r="L3203" s="33" t="n">
        <f aca="false">IF(H3203="","",ABS(H3203))</f>
        <v>22</v>
      </c>
      <c r="M3203" s="33" t="n">
        <f aca="false">IF(I3203="","",ABS(I3203))</f>
        <v>5.25</v>
      </c>
      <c r="N3203" s="33" t="n">
        <f aca="false">IF(J3203="","",ABS(J3203))</f>
        <v>8.5</v>
      </c>
      <c r="O3203" s="33" t="n">
        <f aca="false">IF(K3203="","",ABS(K3203))</f>
        <v>11.9455276017336</v>
      </c>
      <c r="P3203" s="34" t="str">
        <f aca="false">IF(B3203&gt;=Eval_Start_Week,"YES","")</f>
        <v>YES</v>
      </c>
      <c r="Q3203" s="34" t="str">
        <f aca="false">IF(AND(B3203&gt;=Cal_Start_Week,B3203&lt;=Cal_End_Week),"YES","")</f>
        <v>YES</v>
      </c>
    </row>
    <row r="3204" customFormat="false" ht="15" hidden="false" customHeight="false" outlineLevel="0" collapsed="false">
      <c r="A3204" s="31" t="str">
        <f aca="false">Demand_History!C3204</f>
        <v>ELE-002</v>
      </c>
      <c r="B3204" s="31" t="n">
        <f aca="false">Demand_History!A3204</f>
        <v>83</v>
      </c>
      <c r="C3204" s="32" t="n">
        <f aca="false">Demand_History!D3204</f>
        <v>25</v>
      </c>
      <c r="D3204" s="33" t="n">
        <f aca="false">IF(B3204&gt;=2,C3203,"")</f>
        <v>45</v>
      </c>
      <c r="E3204" s="33" t="n">
        <f aca="false">IF(B3204&gt;=5,AVERAGE(C3200:C3203),"")</f>
        <v>36</v>
      </c>
      <c r="F3204" s="33" t="n">
        <f aca="false">IF(B3204&gt;=9,AVERAGE(C3196:C3203),"")</f>
        <v>38</v>
      </c>
      <c r="G3204" s="33" t="n">
        <f aca="false">IF(B3204=1,"",IF(B3204=2,C3203,SES_Alpha*C3203+(1-SES_Alpha)*G3203))</f>
        <v>36.6381306787865</v>
      </c>
      <c r="H3204" s="33" t="n">
        <f aca="false">IF(D3204="","",D3204-C3204)</f>
        <v>20</v>
      </c>
      <c r="I3204" s="33" t="n">
        <f aca="false">IF(E3204="","",E3204-C3204)</f>
        <v>11</v>
      </c>
      <c r="J3204" s="33" t="n">
        <f aca="false">IF(F3204="","",F3204-C3204)</f>
        <v>13</v>
      </c>
      <c r="K3204" s="33" t="n">
        <f aca="false">IF(G3204="","",G3204-C3204)</f>
        <v>11.6381306787865</v>
      </c>
      <c r="L3204" s="33" t="n">
        <f aca="false">IF(H3204="","",ABS(H3204))</f>
        <v>20</v>
      </c>
      <c r="M3204" s="33" t="n">
        <f aca="false">IF(I3204="","",ABS(I3204))</f>
        <v>11</v>
      </c>
      <c r="N3204" s="33" t="n">
        <f aca="false">IF(J3204="","",ABS(J3204))</f>
        <v>13</v>
      </c>
      <c r="O3204" s="33" t="n">
        <f aca="false">IF(K3204="","",ABS(K3204))</f>
        <v>11.6381306787865</v>
      </c>
      <c r="P3204" s="34" t="str">
        <f aca="false">IF(B3204&gt;=Eval_Start_Week,"YES","")</f>
        <v>YES</v>
      </c>
      <c r="Q3204" s="34" t="str">
        <f aca="false">IF(AND(B3204&gt;=Cal_Start_Week,B3204&lt;=Cal_End_Week),"YES","")</f>
        <v>YES</v>
      </c>
    </row>
    <row r="3205" customFormat="false" ht="15" hidden="false" customHeight="false" outlineLevel="0" collapsed="false">
      <c r="A3205" s="31" t="str">
        <f aca="false">Demand_History!C3205</f>
        <v>ELE-002</v>
      </c>
      <c r="B3205" s="31" t="n">
        <f aca="false">Demand_History!A3205</f>
        <v>84</v>
      </c>
      <c r="C3205" s="32" t="n">
        <f aca="false">Demand_History!D3205</f>
        <v>37</v>
      </c>
      <c r="D3205" s="33" t="n">
        <f aca="false">IF(B3205&gt;=2,C3204,"")</f>
        <v>25</v>
      </c>
      <c r="E3205" s="33" t="n">
        <f aca="false">IF(B3205&gt;=5,AVERAGE(C3201:C3204),"")</f>
        <v>28.25</v>
      </c>
      <c r="F3205" s="33" t="n">
        <f aca="false">IF(B3205&gt;=9,AVERAGE(C3197:C3204),"")</f>
        <v>35.375</v>
      </c>
      <c r="G3205" s="33" t="n">
        <f aca="false">IF(B3205=1,"",IF(B3205=2,C3204,SES_Alpha*C3204+(1-SES_Alpha)*G3204))</f>
        <v>33.1466914751505</v>
      </c>
      <c r="H3205" s="33" t="n">
        <f aca="false">IF(D3205="","",D3205-C3205)</f>
        <v>-12</v>
      </c>
      <c r="I3205" s="33" t="n">
        <f aca="false">IF(E3205="","",E3205-C3205)</f>
        <v>-8.75</v>
      </c>
      <c r="J3205" s="33" t="n">
        <f aca="false">IF(F3205="","",F3205-C3205)</f>
        <v>-1.625</v>
      </c>
      <c r="K3205" s="33" t="n">
        <f aca="false">IF(G3205="","",G3205-C3205)</f>
        <v>-3.85330852484947</v>
      </c>
      <c r="L3205" s="33" t="n">
        <f aca="false">IF(H3205="","",ABS(H3205))</f>
        <v>12</v>
      </c>
      <c r="M3205" s="33" t="n">
        <f aca="false">IF(I3205="","",ABS(I3205))</f>
        <v>8.75</v>
      </c>
      <c r="N3205" s="33" t="n">
        <f aca="false">IF(J3205="","",ABS(J3205))</f>
        <v>1.625</v>
      </c>
      <c r="O3205" s="33" t="n">
        <f aca="false">IF(K3205="","",ABS(K3205))</f>
        <v>3.85330852484947</v>
      </c>
      <c r="P3205" s="34" t="str">
        <f aca="false">IF(B3205&gt;=Eval_Start_Week,"YES","")</f>
        <v>YES</v>
      </c>
      <c r="Q3205" s="34" t="str">
        <f aca="false">IF(AND(B3205&gt;=Cal_Start_Week,B3205&lt;=Cal_End_Week),"YES","")</f>
        <v>YES</v>
      </c>
    </row>
    <row r="3206" customFormat="false" ht="15" hidden="false" customHeight="false" outlineLevel="0" collapsed="false">
      <c r="A3206" s="31" t="str">
        <f aca="false">Demand_History!C3206</f>
        <v>ELE-002</v>
      </c>
      <c r="B3206" s="31" t="n">
        <f aca="false">Demand_History!A3206</f>
        <v>85</v>
      </c>
      <c r="C3206" s="32" t="n">
        <f aca="false">Demand_History!D3206</f>
        <v>34</v>
      </c>
      <c r="D3206" s="33" t="n">
        <f aca="false">IF(B3206&gt;=2,C3205,"")</f>
        <v>37</v>
      </c>
      <c r="E3206" s="33" t="n">
        <f aca="false">IF(B3206&gt;=5,AVERAGE(C3202:C3205),"")</f>
        <v>32.5</v>
      </c>
      <c r="F3206" s="33" t="n">
        <f aca="false">IF(B3206&gt;=9,AVERAGE(C3198:C3205),"")</f>
        <v>36.875</v>
      </c>
      <c r="G3206" s="33" t="n">
        <f aca="false">IF(B3206=1,"",IF(B3206=2,C3205,SES_Alpha*C3205+(1-SES_Alpha)*G3205))</f>
        <v>34.3026840326054</v>
      </c>
      <c r="H3206" s="33" t="n">
        <f aca="false">IF(D3206="","",D3206-C3206)</f>
        <v>3</v>
      </c>
      <c r="I3206" s="33" t="n">
        <f aca="false">IF(E3206="","",E3206-C3206)</f>
        <v>-1.5</v>
      </c>
      <c r="J3206" s="33" t="n">
        <f aca="false">IF(F3206="","",F3206-C3206)</f>
        <v>2.875</v>
      </c>
      <c r="K3206" s="33" t="n">
        <f aca="false">IF(G3206="","",G3206-C3206)</f>
        <v>0.302684032605363</v>
      </c>
      <c r="L3206" s="33" t="n">
        <f aca="false">IF(H3206="","",ABS(H3206))</f>
        <v>3</v>
      </c>
      <c r="M3206" s="33" t="n">
        <f aca="false">IF(I3206="","",ABS(I3206))</f>
        <v>1.5</v>
      </c>
      <c r="N3206" s="33" t="n">
        <f aca="false">IF(J3206="","",ABS(J3206))</f>
        <v>2.875</v>
      </c>
      <c r="O3206" s="33" t="n">
        <f aca="false">IF(K3206="","",ABS(K3206))</f>
        <v>0.302684032605363</v>
      </c>
      <c r="P3206" s="34" t="str">
        <f aca="false">IF(B3206&gt;=Eval_Start_Week,"YES","")</f>
        <v>YES</v>
      </c>
      <c r="Q3206" s="34" t="str">
        <f aca="false">IF(AND(B3206&gt;=Cal_Start_Week,B3206&lt;=Cal_End_Week),"YES","")</f>
        <v>YES</v>
      </c>
    </row>
    <row r="3207" customFormat="false" ht="15" hidden="false" customHeight="false" outlineLevel="0" collapsed="false">
      <c r="A3207" s="31" t="str">
        <f aca="false">Demand_History!C3207</f>
        <v>ELE-002</v>
      </c>
      <c r="B3207" s="31" t="n">
        <f aca="false">Demand_History!A3207</f>
        <v>86</v>
      </c>
      <c r="C3207" s="32" t="n">
        <f aca="false">Demand_History!D3207</f>
        <v>47</v>
      </c>
      <c r="D3207" s="33" t="n">
        <f aca="false">IF(B3207&gt;=2,C3206,"")</f>
        <v>34</v>
      </c>
      <c r="E3207" s="33" t="n">
        <f aca="false">IF(B3207&gt;=5,AVERAGE(C3203:C3206),"")</f>
        <v>35.25</v>
      </c>
      <c r="F3207" s="33" t="n">
        <f aca="false">IF(B3207&gt;=9,AVERAGE(C3199:C3206),"")</f>
        <v>37.5</v>
      </c>
      <c r="G3207" s="33" t="n">
        <f aca="false">IF(B3207=1,"",IF(B3207=2,C3206,SES_Alpha*C3206+(1-SES_Alpha)*G3206))</f>
        <v>34.2118788228238</v>
      </c>
      <c r="H3207" s="33" t="n">
        <f aca="false">IF(D3207="","",D3207-C3207)</f>
        <v>-13</v>
      </c>
      <c r="I3207" s="33" t="n">
        <f aca="false">IF(E3207="","",E3207-C3207)</f>
        <v>-11.75</v>
      </c>
      <c r="J3207" s="33" t="n">
        <f aca="false">IF(F3207="","",F3207-C3207)</f>
        <v>-9.5</v>
      </c>
      <c r="K3207" s="33" t="n">
        <f aca="false">IF(G3207="","",G3207-C3207)</f>
        <v>-12.7881211771763</v>
      </c>
      <c r="L3207" s="33" t="n">
        <f aca="false">IF(H3207="","",ABS(H3207))</f>
        <v>13</v>
      </c>
      <c r="M3207" s="33" t="n">
        <f aca="false">IF(I3207="","",ABS(I3207))</f>
        <v>11.75</v>
      </c>
      <c r="N3207" s="33" t="n">
        <f aca="false">IF(J3207="","",ABS(J3207))</f>
        <v>9.5</v>
      </c>
      <c r="O3207" s="33" t="n">
        <f aca="false">IF(K3207="","",ABS(K3207))</f>
        <v>12.7881211771763</v>
      </c>
      <c r="P3207" s="34" t="str">
        <f aca="false">IF(B3207&gt;=Eval_Start_Week,"YES","")</f>
        <v>YES</v>
      </c>
      <c r="Q3207" s="34" t="str">
        <f aca="false">IF(AND(B3207&gt;=Cal_Start_Week,B3207&lt;=Cal_End_Week),"YES","")</f>
        <v>YES</v>
      </c>
    </row>
    <row r="3208" customFormat="false" ht="15" hidden="false" customHeight="false" outlineLevel="0" collapsed="false">
      <c r="A3208" s="31" t="str">
        <f aca="false">Demand_History!C3208</f>
        <v>ELE-002</v>
      </c>
      <c r="B3208" s="31" t="n">
        <f aca="false">Demand_History!A3208</f>
        <v>87</v>
      </c>
      <c r="C3208" s="32" t="n">
        <f aca="false">Demand_History!D3208</f>
        <v>9</v>
      </c>
      <c r="D3208" s="33" t="n">
        <f aca="false">IF(B3208&gt;=2,C3207,"")</f>
        <v>47</v>
      </c>
      <c r="E3208" s="33" t="n">
        <f aca="false">IF(B3208&gt;=5,AVERAGE(C3204:C3207),"")</f>
        <v>35.75</v>
      </c>
      <c r="F3208" s="33" t="n">
        <f aca="false">IF(B3208&gt;=9,AVERAGE(C3200:C3207),"")</f>
        <v>35.875</v>
      </c>
      <c r="G3208" s="33" t="n">
        <f aca="false">IF(B3208=1,"",IF(B3208=2,C3207,SES_Alpha*C3207+(1-SES_Alpha)*G3207))</f>
        <v>38.0483151759766</v>
      </c>
      <c r="H3208" s="33" t="n">
        <f aca="false">IF(D3208="","",D3208-C3208)</f>
        <v>38</v>
      </c>
      <c r="I3208" s="33" t="n">
        <f aca="false">IF(E3208="","",E3208-C3208)</f>
        <v>26.75</v>
      </c>
      <c r="J3208" s="33" t="n">
        <f aca="false">IF(F3208="","",F3208-C3208)</f>
        <v>26.875</v>
      </c>
      <c r="K3208" s="33" t="n">
        <f aca="false">IF(G3208="","",G3208-C3208)</f>
        <v>29.0483151759766</v>
      </c>
      <c r="L3208" s="33" t="n">
        <f aca="false">IF(H3208="","",ABS(H3208))</f>
        <v>38</v>
      </c>
      <c r="M3208" s="33" t="n">
        <f aca="false">IF(I3208="","",ABS(I3208))</f>
        <v>26.75</v>
      </c>
      <c r="N3208" s="33" t="n">
        <f aca="false">IF(J3208="","",ABS(J3208))</f>
        <v>26.875</v>
      </c>
      <c r="O3208" s="33" t="n">
        <f aca="false">IF(K3208="","",ABS(K3208))</f>
        <v>29.0483151759766</v>
      </c>
      <c r="P3208" s="34" t="str">
        <f aca="false">IF(B3208&gt;=Eval_Start_Week,"YES","")</f>
        <v>YES</v>
      </c>
      <c r="Q3208" s="34" t="str">
        <f aca="false">IF(AND(B3208&gt;=Cal_Start_Week,B3208&lt;=Cal_End_Week),"YES","")</f>
        <v>YES</v>
      </c>
    </row>
    <row r="3209" customFormat="false" ht="15" hidden="false" customHeight="false" outlineLevel="0" collapsed="false">
      <c r="A3209" s="31" t="str">
        <f aca="false">Demand_History!C3209</f>
        <v>ELE-002</v>
      </c>
      <c r="B3209" s="31" t="n">
        <f aca="false">Demand_History!A3209</f>
        <v>88</v>
      </c>
      <c r="C3209" s="32" t="n">
        <f aca="false">Demand_History!D3209</f>
        <v>13</v>
      </c>
      <c r="D3209" s="33" t="n">
        <f aca="false">IF(B3209&gt;=2,C3208,"")</f>
        <v>9</v>
      </c>
      <c r="E3209" s="33" t="n">
        <f aca="false">IF(B3209&gt;=5,AVERAGE(C3205:C3208),"")</f>
        <v>31.75</v>
      </c>
      <c r="F3209" s="33" t="n">
        <f aca="false">IF(B3209&gt;=9,AVERAGE(C3201:C3208),"")</f>
        <v>30</v>
      </c>
      <c r="G3209" s="33" t="n">
        <f aca="false">IF(B3209=1,"",IF(B3209=2,C3208,SES_Alpha*C3208+(1-SES_Alpha)*G3208))</f>
        <v>29.3338206231836</v>
      </c>
      <c r="H3209" s="33" t="n">
        <f aca="false">IF(D3209="","",D3209-C3209)</f>
        <v>-4</v>
      </c>
      <c r="I3209" s="33" t="n">
        <f aca="false">IF(E3209="","",E3209-C3209)</f>
        <v>18.75</v>
      </c>
      <c r="J3209" s="33" t="n">
        <f aca="false">IF(F3209="","",F3209-C3209)</f>
        <v>17</v>
      </c>
      <c r="K3209" s="33" t="n">
        <f aca="false">IF(G3209="","",G3209-C3209)</f>
        <v>16.3338206231836</v>
      </c>
      <c r="L3209" s="33" t="n">
        <f aca="false">IF(H3209="","",ABS(H3209))</f>
        <v>4</v>
      </c>
      <c r="M3209" s="33" t="n">
        <f aca="false">IF(I3209="","",ABS(I3209))</f>
        <v>18.75</v>
      </c>
      <c r="N3209" s="33" t="n">
        <f aca="false">IF(J3209="","",ABS(J3209))</f>
        <v>17</v>
      </c>
      <c r="O3209" s="33" t="n">
        <f aca="false">IF(K3209="","",ABS(K3209))</f>
        <v>16.3338206231836</v>
      </c>
      <c r="P3209" s="34" t="str">
        <f aca="false">IF(B3209&gt;=Eval_Start_Week,"YES","")</f>
        <v>YES</v>
      </c>
      <c r="Q3209" s="34" t="str">
        <f aca="false">IF(AND(B3209&gt;=Cal_Start_Week,B3209&lt;=Cal_End_Week),"YES","")</f>
        <v>YES</v>
      </c>
    </row>
    <row r="3210" customFormat="false" ht="15" hidden="false" customHeight="false" outlineLevel="0" collapsed="false">
      <c r="A3210" s="31" t="str">
        <f aca="false">Demand_History!C3210</f>
        <v>ELE-002</v>
      </c>
      <c r="B3210" s="31" t="n">
        <f aca="false">Demand_History!A3210</f>
        <v>89</v>
      </c>
      <c r="C3210" s="32" t="n">
        <f aca="false">Demand_History!D3210</f>
        <v>25</v>
      </c>
      <c r="D3210" s="33" t="n">
        <f aca="false">IF(B3210&gt;=2,C3209,"")</f>
        <v>13</v>
      </c>
      <c r="E3210" s="33" t="n">
        <f aca="false">IF(B3210&gt;=5,AVERAGE(C3206:C3209),"")</f>
        <v>25.75</v>
      </c>
      <c r="F3210" s="33" t="n">
        <f aca="false">IF(B3210&gt;=9,AVERAGE(C3202:C3209),"")</f>
        <v>29.125</v>
      </c>
      <c r="G3210" s="33" t="n">
        <f aca="false">IF(B3210=1,"",IF(B3210=2,C3209,SES_Alpha*C3209+(1-SES_Alpha)*G3209))</f>
        <v>24.4336744362285</v>
      </c>
      <c r="H3210" s="33" t="n">
        <f aca="false">IF(D3210="","",D3210-C3210)</f>
        <v>-12</v>
      </c>
      <c r="I3210" s="33" t="n">
        <f aca="false">IF(E3210="","",E3210-C3210)</f>
        <v>0.75</v>
      </c>
      <c r="J3210" s="33" t="n">
        <f aca="false">IF(F3210="","",F3210-C3210)</f>
        <v>4.125</v>
      </c>
      <c r="K3210" s="33" t="n">
        <f aca="false">IF(G3210="","",G3210-C3210)</f>
        <v>-0.566325563771457</v>
      </c>
      <c r="L3210" s="33" t="n">
        <f aca="false">IF(H3210="","",ABS(H3210))</f>
        <v>12</v>
      </c>
      <c r="M3210" s="33" t="n">
        <f aca="false">IF(I3210="","",ABS(I3210))</f>
        <v>0.75</v>
      </c>
      <c r="N3210" s="33" t="n">
        <f aca="false">IF(J3210="","",ABS(J3210))</f>
        <v>4.125</v>
      </c>
      <c r="O3210" s="33" t="n">
        <f aca="false">IF(K3210="","",ABS(K3210))</f>
        <v>0.566325563771457</v>
      </c>
      <c r="P3210" s="34" t="str">
        <f aca="false">IF(B3210&gt;=Eval_Start_Week,"YES","")</f>
        <v>YES</v>
      </c>
      <c r="Q3210" s="34" t="str">
        <f aca="false">IF(AND(B3210&gt;=Cal_Start_Week,B3210&lt;=Cal_End_Week),"YES","")</f>
        <v/>
      </c>
    </row>
    <row r="3211" customFormat="false" ht="15" hidden="false" customHeight="false" outlineLevel="0" collapsed="false">
      <c r="A3211" s="31" t="str">
        <f aca="false">Demand_History!C3211</f>
        <v>ELE-002</v>
      </c>
      <c r="B3211" s="31" t="n">
        <f aca="false">Demand_History!A3211</f>
        <v>90</v>
      </c>
      <c r="C3211" s="32" t="n">
        <f aca="false">Demand_History!D3211</f>
        <v>53</v>
      </c>
      <c r="D3211" s="33" t="n">
        <f aca="false">IF(B3211&gt;=2,C3210,"")</f>
        <v>25</v>
      </c>
      <c r="E3211" s="33" t="n">
        <f aca="false">IF(B3211&gt;=5,AVERAGE(C3207:C3210),"")</f>
        <v>23.5</v>
      </c>
      <c r="F3211" s="33" t="n">
        <f aca="false">IF(B3211&gt;=9,AVERAGE(C3203:C3210),"")</f>
        <v>29.375</v>
      </c>
      <c r="G3211" s="33" t="n">
        <f aca="false">IF(B3211=1,"",IF(B3211=2,C3210,SES_Alpha*C3210+(1-SES_Alpha)*G3210))</f>
        <v>24.60357210536</v>
      </c>
      <c r="H3211" s="33" t="n">
        <f aca="false">IF(D3211="","",D3211-C3211)</f>
        <v>-28</v>
      </c>
      <c r="I3211" s="33" t="n">
        <f aca="false">IF(E3211="","",E3211-C3211)</f>
        <v>-29.5</v>
      </c>
      <c r="J3211" s="33" t="n">
        <f aca="false">IF(F3211="","",F3211-C3211)</f>
        <v>-23.625</v>
      </c>
      <c r="K3211" s="33" t="n">
        <f aca="false">IF(G3211="","",G3211-C3211)</f>
        <v>-28.39642789464</v>
      </c>
      <c r="L3211" s="33" t="n">
        <f aca="false">IF(H3211="","",ABS(H3211))</f>
        <v>28</v>
      </c>
      <c r="M3211" s="33" t="n">
        <f aca="false">IF(I3211="","",ABS(I3211))</f>
        <v>29.5</v>
      </c>
      <c r="N3211" s="33" t="n">
        <f aca="false">IF(J3211="","",ABS(J3211))</f>
        <v>23.625</v>
      </c>
      <c r="O3211" s="33" t="n">
        <f aca="false">IF(K3211="","",ABS(K3211))</f>
        <v>28.39642789464</v>
      </c>
      <c r="P3211" s="34" t="str">
        <f aca="false">IF(B3211&gt;=Eval_Start_Week,"YES","")</f>
        <v>YES</v>
      </c>
      <c r="Q3211" s="34" t="str">
        <f aca="false">IF(AND(B3211&gt;=Cal_Start_Week,B3211&lt;=Cal_End_Week),"YES","")</f>
        <v/>
      </c>
    </row>
    <row r="3212" customFormat="false" ht="15" hidden="false" customHeight="false" outlineLevel="0" collapsed="false">
      <c r="A3212" s="31" t="str">
        <f aca="false">Demand_History!C3212</f>
        <v>ELE-002</v>
      </c>
      <c r="B3212" s="31" t="n">
        <f aca="false">Demand_History!A3212</f>
        <v>91</v>
      </c>
      <c r="C3212" s="32" t="n">
        <f aca="false">Demand_History!D3212</f>
        <v>38</v>
      </c>
      <c r="D3212" s="33" t="n">
        <f aca="false">IF(B3212&gt;=2,C3211,"")</f>
        <v>53</v>
      </c>
      <c r="E3212" s="33" t="n">
        <f aca="false">IF(B3212&gt;=5,AVERAGE(C3208:C3211),"")</f>
        <v>25</v>
      </c>
      <c r="F3212" s="33" t="n">
        <f aca="false">IF(B3212&gt;=9,AVERAGE(C3204:C3211),"")</f>
        <v>30.375</v>
      </c>
      <c r="G3212" s="33" t="n">
        <f aca="false">IF(B3212=1,"",IF(B3212=2,C3211,SES_Alpha*C3211+(1-SES_Alpha)*G3211))</f>
        <v>33.122500473752</v>
      </c>
      <c r="H3212" s="33" t="n">
        <f aca="false">IF(D3212="","",D3212-C3212)</f>
        <v>15</v>
      </c>
      <c r="I3212" s="33" t="n">
        <f aca="false">IF(E3212="","",E3212-C3212)</f>
        <v>-13</v>
      </c>
      <c r="J3212" s="33" t="n">
        <f aca="false">IF(F3212="","",F3212-C3212)</f>
        <v>-7.625</v>
      </c>
      <c r="K3212" s="33" t="n">
        <f aca="false">IF(G3212="","",G3212-C3212)</f>
        <v>-4.87749952624802</v>
      </c>
      <c r="L3212" s="33" t="n">
        <f aca="false">IF(H3212="","",ABS(H3212))</f>
        <v>15</v>
      </c>
      <c r="M3212" s="33" t="n">
        <f aca="false">IF(I3212="","",ABS(I3212))</f>
        <v>13</v>
      </c>
      <c r="N3212" s="33" t="n">
        <f aca="false">IF(J3212="","",ABS(J3212))</f>
        <v>7.625</v>
      </c>
      <c r="O3212" s="33" t="n">
        <f aca="false">IF(K3212="","",ABS(K3212))</f>
        <v>4.87749952624802</v>
      </c>
      <c r="P3212" s="34" t="str">
        <f aca="false">IF(B3212&gt;=Eval_Start_Week,"YES","")</f>
        <v>YES</v>
      </c>
      <c r="Q3212" s="34" t="str">
        <f aca="false">IF(AND(B3212&gt;=Cal_Start_Week,B3212&lt;=Cal_End_Week),"YES","")</f>
        <v/>
      </c>
    </row>
    <row r="3213" customFormat="false" ht="15" hidden="false" customHeight="false" outlineLevel="0" collapsed="false">
      <c r="A3213" s="31" t="str">
        <f aca="false">Demand_History!C3213</f>
        <v>ELE-002</v>
      </c>
      <c r="B3213" s="31" t="n">
        <f aca="false">Demand_History!A3213</f>
        <v>92</v>
      </c>
      <c r="C3213" s="32" t="n">
        <f aca="false">Demand_History!D3213</f>
        <v>19</v>
      </c>
      <c r="D3213" s="33" t="n">
        <f aca="false">IF(B3213&gt;=2,C3212,"")</f>
        <v>38</v>
      </c>
      <c r="E3213" s="33" t="n">
        <f aca="false">IF(B3213&gt;=5,AVERAGE(C3209:C3212),"")</f>
        <v>32.25</v>
      </c>
      <c r="F3213" s="33" t="n">
        <f aca="false">IF(B3213&gt;=9,AVERAGE(C3205:C3212),"")</f>
        <v>32</v>
      </c>
      <c r="G3213" s="33" t="n">
        <f aca="false">IF(B3213=1,"",IF(B3213=2,C3212,SES_Alpha*C3212+(1-SES_Alpha)*G3212))</f>
        <v>34.5857503316264</v>
      </c>
      <c r="H3213" s="33" t="n">
        <f aca="false">IF(D3213="","",D3213-C3213)</f>
        <v>19</v>
      </c>
      <c r="I3213" s="33" t="n">
        <f aca="false">IF(E3213="","",E3213-C3213)</f>
        <v>13.25</v>
      </c>
      <c r="J3213" s="33" t="n">
        <f aca="false">IF(F3213="","",F3213-C3213)</f>
        <v>13</v>
      </c>
      <c r="K3213" s="33" t="n">
        <f aca="false">IF(G3213="","",G3213-C3213)</f>
        <v>15.5857503316264</v>
      </c>
      <c r="L3213" s="33" t="n">
        <f aca="false">IF(H3213="","",ABS(H3213))</f>
        <v>19</v>
      </c>
      <c r="M3213" s="33" t="n">
        <f aca="false">IF(I3213="","",ABS(I3213))</f>
        <v>13.25</v>
      </c>
      <c r="N3213" s="33" t="n">
        <f aca="false">IF(J3213="","",ABS(J3213))</f>
        <v>13</v>
      </c>
      <c r="O3213" s="33" t="n">
        <f aca="false">IF(K3213="","",ABS(K3213))</f>
        <v>15.5857503316264</v>
      </c>
      <c r="P3213" s="34" t="str">
        <f aca="false">IF(B3213&gt;=Eval_Start_Week,"YES","")</f>
        <v>YES</v>
      </c>
      <c r="Q3213" s="34" t="str">
        <f aca="false">IF(AND(B3213&gt;=Cal_Start_Week,B3213&lt;=Cal_End_Week),"YES","")</f>
        <v/>
      </c>
    </row>
    <row r="3214" customFormat="false" ht="15" hidden="false" customHeight="false" outlineLevel="0" collapsed="false">
      <c r="A3214" s="31" t="str">
        <f aca="false">Demand_History!C3214</f>
        <v>ELE-002</v>
      </c>
      <c r="B3214" s="31" t="n">
        <f aca="false">Demand_History!A3214</f>
        <v>93</v>
      </c>
      <c r="C3214" s="32" t="n">
        <f aca="false">Demand_History!D3214</f>
        <v>46</v>
      </c>
      <c r="D3214" s="33" t="n">
        <f aca="false">IF(B3214&gt;=2,C3213,"")</f>
        <v>19</v>
      </c>
      <c r="E3214" s="33" t="n">
        <f aca="false">IF(B3214&gt;=5,AVERAGE(C3210:C3213),"")</f>
        <v>33.75</v>
      </c>
      <c r="F3214" s="33" t="n">
        <f aca="false">IF(B3214&gt;=9,AVERAGE(C3206:C3213),"")</f>
        <v>29.75</v>
      </c>
      <c r="G3214" s="33" t="n">
        <f aca="false">IF(B3214=1,"",IF(B3214=2,C3213,SES_Alpha*C3213+(1-SES_Alpha)*G3213))</f>
        <v>29.9100252321385</v>
      </c>
      <c r="H3214" s="33" t="n">
        <f aca="false">IF(D3214="","",D3214-C3214)</f>
        <v>-27</v>
      </c>
      <c r="I3214" s="33" t="n">
        <f aca="false">IF(E3214="","",E3214-C3214)</f>
        <v>-12.25</v>
      </c>
      <c r="J3214" s="33" t="n">
        <f aca="false">IF(F3214="","",F3214-C3214)</f>
        <v>-16.25</v>
      </c>
      <c r="K3214" s="33" t="n">
        <f aca="false">IF(G3214="","",G3214-C3214)</f>
        <v>-16.0899747678615</v>
      </c>
      <c r="L3214" s="33" t="n">
        <f aca="false">IF(H3214="","",ABS(H3214))</f>
        <v>27</v>
      </c>
      <c r="M3214" s="33" t="n">
        <f aca="false">IF(I3214="","",ABS(I3214))</f>
        <v>12.25</v>
      </c>
      <c r="N3214" s="33" t="n">
        <f aca="false">IF(J3214="","",ABS(J3214))</f>
        <v>16.25</v>
      </c>
      <c r="O3214" s="33" t="n">
        <f aca="false">IF(K3214="","",ABS(K3214))</f>
        <v>16.0899747678615</v>
      </c>
      <c r="P3214" s="34" t="str">
        <f aca="false">IF(B3214&gt;=Eval_Start_Week,"YES","")</f>
        <v>YES</v>
      </c>
      <c r="Q3214" s="34" t="str">
        <f aca="false">IF(AND(B3214&gt;=Cal_Start_Week,B3214&lt;=Cal_End_Week),"YES","")</f>
        <v/>
      </c>
    </row>
    <row r="3215" customFormat="false" ht="15" hidden="false" customHeight="false" outlineLevel="0" collapsed="false">
      <c r="A3215" s="31" t="str">
        <f aca="false">Demand_History!C3215</f>
        <v>ELE-002</v>
      </c>
      <c r="B3215" s="31" t="n">
        <f aca="false">Demand_History!A3215</f>
        <v>94</v>
      </c>
      <c r="C3215" s="32" t="n">
        <f aca="false">Demand_History!D3215</f>
        <v>49</v>
      </c>
      <c r="D3215" s="33" t="n">
        <f aca="false">IF(B3215&gt;=2,C3214,"")</f>
        <v>46</v>
      </c>
      <c r="E3215" s="33" t="n">
        <f aca="false">IF(B3215&gt;=5,AVERAGE(C3211:C3214),"")</f>
        <v>39</v>
      </c>
      <c r="F3215" s="33" t="n">
        <f aca="false">IF(B3215&gt;=9,AVERAGE(C3207:C3214),"")</f>
        <v>31.25</v>
      </c>
      <c r="G3215" s="33" t="n">
        <f aca="false">IF(B3215=1,"",IF(B3215=2,C3214,SES_Alpha*C3214+(1-SES_Alpha)*G3214))</f>
        <v>34.7370176624969</v>
      </c>
      <c r="H3215" s="33" t="n">
        <f aca="false">IF(D3215="","",D3215-C3215)</f>
        <v>-3</v>
      </c>
      <c r="I3215" s="33" t="n">
        <f aca="false">IF(E3215="","",E3215-C3215)</f>
        <v>-10</v>
      </c>
      <c r="J3215" s="33" t="n">
        <f aca="false">IF(F3215="","",F3215-C3215)</f>
        <v>-17.75</v>
      </c>
      <c r="K3215" s="33" t="n">
        <f aca="false">IF(G3215="","",G3215-C3215)</f>
        <v>-14.2629823375031</v>
      </c>
      <c r="L3215" s="33" t="n">
        <f aca="false">IF(H3215="","",ABS(H3215))</f>
        <v>3</v>
      </c>
      <c r="M3215" s="33" t="n">
        <f aca="false">IF(I3215="","",ABS(I3215))</f>
        <v>10</v>
      </c>
      <c r="N3215" s="33" t="n">
        <f aca="false">IF(J3215="","",ABS(J3215))</f>
        <v>17.75</v>
      </c>
      <c r="O3215" s="33" t="n">
        <f aca="false">IF(K3215="","",ABS(K3215))</f>
        <v>14.2629823375031</v>
      </c>
      <c r="P3215" s="34" t="str">
        <f aca="false">IF(B3215&gt;=Eval_Start_Week,"YES","")</f>
        <v>YES</v>
      </c>
      <c r="Q3215" s="34" t="str">
        <f aca="false">IF(AND(B3215&gt;=Cal_Start_Week,B3215&lt;=Cal_End_Week),"YES","")</f>
        <v/>
      </c>
    </row>
    <row r="3216" customFormat="false" ht="15" hidden="false" customHeight="false" outlineLevel="0" collapsed="false">
      <c r="A3216" s="31" t="str">
        <f aca="false">Demand_History!C3216</f>
        <v>ELE-002</v>
      </c>
      <c r="B3216" s="31" t="n">
        <f aca="false">Demand_History!A3216</f>
        <v>95</v>
      </c>
      <c r="C3216" s="32" t="n">
        <f aca="false">Demand_History!D3216</f>
        <v>37</v>
      </c>
      <c r="D3216" s="33" t="n">
        <f aca="false">IF(B3216&gt;=2,C3215,"")</f>
        <v>49</v>
      </c>
      <c r="E3216" s="33" t="n">
        <f aca="false">IF(B3216&gt;=5,AVERAGE(C3212:C3215),"")</f>
        <v>38</v>
      </c>
      <c r="F3216" s="33" t="n">
        <f aca="false">IF(B3216&gt;=9,AVERAGE(C3208:C3215),"")</f>
        <v>31.5</v>
      </c>
      <c r="G3216" s="33" t="n">
        <f aca="false">IF(B3216=1,"",IF(B3216=2,C3215,SES_Alpha*C3215+(1-SES_Alpha)*G3215))</f>
        <v>39.0159123637478</v>
      </c>
      <c r="H3216" s="33" t="n">
        <f aca="false">IF(D3216="","",D3216-C3216)</f>
        <v>12</v>
      </c>
      <c r="I3216" s="33" t="n">
        <f aca="false">IF(E3216="","",E3216-C3216)</f>
        <v>1</v>
      </c>
      <c r="J3216" s="33" t="n">
        <f aca="false">IF(F3216="","",F3216-C3216)</f>
        <v>-5.5</v>
      </c>
      <c r="K3216" s="33" t="n">
        <f aca="false">IF(G3216="","",G3216-C3216)</f>
        <v>2.01591236374784</v>
      </c>
      <c r="L3216" s="33" t="n">
        <f aca="false">IF(H3216="","",ABS(H3216))</f>
        <v>12</v>
      </c>
      <c r="M3216" s="33" t="n">
        <f aca="false">IF(I3216="","",ABS(I3216))</f>
        <v>1</v>
      </c>
      <c r="N3216" s="33" t="n">
        <f aca="false">IF(J3216="","",ABS(J3216))</f>
        <v>5.5</v>
      </c>
      <c r="O3216" s="33" t="n">
        <f aca="false">IF(K3216="","",ABS(K3216))</f>
        <v>2.01591236374784</v>
      </c>
      <c r="P3216" s="34" t="str">
        <f aca="false">IF(B3216&gt;=Eval_Start_Week,"YES","")</f>
        <v>YES</v>
      </c>
      <c r="Q3216" s="34" t="str">
        <f aca="false">IF(AND(B3216&gt;=Cal_Start_Week,B3216&lt;=Cal_End_Week),"YES","")</f>
        <v/>
      </c>
    </row>
    <row r="3217" customFormat="false" ht="15" hidden="false" customHeight="false" outlineLevel="0" collapsed="false">
      <c r="A3217" s="31" t="str">
        <f aca="false">Demand_History!C3217</f>
        <v>ELE-002</v>
      </c>
      <c r="B3217" s="31" t="n">
        <f aca="false">Demand_History!A3217</f>
        <v>96</v>
      </c>
      <c r="C3217" s="32" t="n">
        <f aca="false">Demand_History!D3217</f>
        <v>36</v>
      </c>
      <c r="D3217" s="33" t="n">
        <f aca="false">IF(B3217&gt;=2,C3216,"")</f>
        <v>37</v>
      </c>
      <c r="E3217" s="33" t="n">
        <f aca="false">IF(B3217&gt;=5,AVERAGE(C3213:C3216),"")</f>
        <v>37.75</v>
      </c>
      <c r="F3217" s="33" t="n">
        <f aca="false">IF(B3217&gt;=9,AVERAGE(C3209:C3216),"")</f>
        <v>35</v>
      </c>
      <c r="G3217" s="33" t="n">
        <f aca="false">IF(B3217=1,"",IF(B3217=2,C3216,SES_Alpha*C3216+(1-SES_Alpha)*G3216))</f>
        <v>38.4111386546235</v>
      </c>
      <c r="H3217" s="33" t="n">
        <f aca="false">IF(D3217="","",D3217-C3217)</f>
        <v>1</v>
      </c>
      <c r="I3217" s="33" t="n">
        <f aca="false">IF(E3217="","",E3217-C3217)</f>
        <v>1.75</v>
      </c>
      <c r="J3217" s="33" t="n">
        <f aca="false">IF(F3217="","",F3217-C3217)</f>
        <v>-1</v>
      </c>
      <c r="K3217" s="33" t="n">
        <f aca="false">IF(G3217="","",G3217-C3217)</f>
        <v>2.41113865462349</v>
      </c>
      <c r="L3217" s="33" t="n">
        <f aca="false">IF(H3217="","",ABS(H3217))</f>
        <v>1</v>
      </c>
      <c r="M3217" s="33" t="n">
        <f aca="false">IF(I3217="","",ABS(I3217))</f>
        <v>1.75</v>
      </c>
      <c r="N3217" s="33" t="n">
        <f aca="false">IF(J3217="","",ABS(J3217))</f>
        <v>1</v>
      </c>
      <c r="O3217" s="33" t="n">
        <f aca="false">IF(K3217="","",ABS(K3217))</f>
        <v>2.41113865462349</v>
      </c>
      <c r="P3217" s="34" t="str">
        <f aca="false">IF(B3217&gt;=Eval_Start_Week,"YES","")</f>
        <v>YES</v>
      </c>
      <c r="Q3217" s="34" t="str">
        <f aca="false">IF(AND(B3217&gt;=Cal_Start_Week,B3217&lt;=Cal_End_Week),"YES","")</f>
        <v/>
      </c>
    </row>
    <row r="3218" customFormat="false" ht="15" hidden="false" customHeight="false" outlineLevel="0" collapsed="false">
      <c r="A3218" s="31" t="str">
        <f aca="false">Demand_History!C3218</f>
        <v>ELE-002</v>
      </c>
      <c r="B3218" s="31" t="n">
        <f aca="false">Demand_History!A3218</f>
        <v>97</v>
      </c>
      <c r="C3218" s="32" t="n">
        <f aca="false">Demand_History!D3218</f>
        <v>45</v>
      </c>
      <c r="D3218" s="33" t="n">
        <f aca="false">IF(B3218&gt;=2,C3217,"")</f>
        <v>36</v>
      </c>
      <c r="E3218" s="33" t="n">
        <f aca="false">IF(B3218&gt;=5,AVERAGE(C3214:C3217),"")</f>
        <v>42</v>
      </c>
      <c r="F3218" s="33" t="n">
        <f aca="false">IF(B3218&gt;=9,AVERAGE(C3210:C3217),"")</f>
        <v>37.875</v>
      </c>
      <c r="G3218" s="33" t="n">
        <f aca="false">IF(B3218=1,"",IF(B3218=2,C3217,SES_Alpha*C3217+(1-SES_Alpha)*G3217))</f>
        <v>37.6877970582364</v>
      </c>
      <c r="H3218" s="33" t="n">
        <f aca="false">IF(D3218="","",D3218-C3218)</f>
        <v>-9</v>
      </c>
      <c r="I3218" s="33" t="n">
        <f aca="false">IF(E3218="","",E3218-C3218)</f>
        <v>-3</v>
      </c>
      <c r="J3218" s="33" t="n">
        <f aca="false">IF(F3218="","",F3218-C3218)</f>
        <v>-7.125</v>
      </c>
      <c r="K3218" s="33" t="n">
        <f aca="false">IF(G3218="","",G3218-C3218)</f>
        <v>-7.31220294176356</v>
      </c>
      <c r="L3218" s="33" t="n">
        <f aca="false">IF(H3218="","",ABS(H3218))</f>
        <v>9</v>
      </c>
      <c r="M3218" s="33" t="n">
        <f aca="false">IF(I3218="","",ABS(I3218))</f>
        <v>3</v>
      </c>
      <c r="N3218" s="33" t="n">
        <f aca="false">IF(J3218="","",ABS(J3218))</f>
        <v>7.125</v>
      </c>
      <c r="O3218" s="33" t="n">
        <f aca="false">IF(K3218="","",ABS(K3218))</f>
        <v>7.31220294176356</v>
      </c>
      <c r="P3218" s="34" t="str">
        <f aca="false">IF(B3218&gt;=Eval_Start_Week,"YES","")</f>
        <v>YES</v>
      </c>
      <c r="Q3218" s="34" t="str">
        <f aca="false">IF(AND(B3218&gt;=Cal_Start_Week,B3218&lt;=Cal_End_Week),"YES","")</f>
        <v/>
      </c>
    </row>
    <row r="3219" customFormat="false" ht="15" hidden="false" customHeight="false" outlineLevel="0" collapsed="false">
      <c r="A3219" s="31" t="str">
        <f aca="false">Demand_History!C3219</f>
        <v>ELE-002</v>
      </c>
      <c r="B3219" s="31" t="n">
        <f aca="false">Demand_History!A3219</f>
        <v>98</v>
      </c>
      <c r="C3219" s="32" t="n">
        <f aca="false">Demand_History!D3219</f>
        <v>55</v>
      </c>
      <c r="D3219" s="33" t="n">
        <f aca="false">IF(B3219&gt;=2,C3218,"")</f>
        <v>45</v>
      </c>
      <c r="E3219" s="33" t="n">
        <f aca="false">IF(B3219&gt;=5,AVERAGE(C3215:C3218),"")</f>
        <v>41.75</v>
      </c>
      <c r="F3219" s="33" t="n">
        <f aca="false">IF(B3219&gt;=9,AVERAGE(C3211:C3218),"")</f>
        <v>40.375</v>
      </c>
      <c r="G3219" s="33" t="n">
        <f aca="false">IF(B3219=1,"",IF(B3219=2,C3218,SES_Alpha*C3218+(1-SES_Alpha)*G3218))</f>
        <v>39.8814579407655</v>
      </c>
      <c r="H3219" s="33" t="n">
        <f aca="false">IF(D3219="","",D3219-C3219)</f>
        <v>-10</v>
      </c>
      <c r="I3219" s="33" t="n">
        <f aca="false">IF(E3219="","",E3219-C3219)</f>
        <v>-13.25</v>
      </c>
      <c r="J3219" s="33" t="n">
        <f aca="false">IF(F3219="","",F3219-C3219)</f>
        <v>-14.625</v>
      </c>
      <c r="K3219" s="33" t="n">
        <f aca="false">IF(G3219="","",G3219-C3219)</f>
        <v>-15.1185420592345</v>
      </c>
      <c r="L3219" s="33" t="n">
        <f aca="false">IF(H3219="","",ABS(H3219))</f>
        <v>10</v>
      </c>
      <c r="M3219" s="33" t="n">
        <f aca="false">IF(I3219="","",ABS(I3219))</f>
        <v>13.25</v>
      </c>
      <c r="N3219" s="33" t="n">
        <f aca="false">IF(J3219="","",ABS(J3219))</f>
        <v>14.625</v>
      </c>
      <c r="O3219" s="33" t="n">
        <f aca="false">IF(K3219="","",ABS(K3219))</f>
        <v>15.1185420592345</v>
      </c>
      <c r="P3219" s="34" t="str">
        <f aca="false">IF(B3219&gt;=Eval_Start_Week,"YES","")</f>
        <v>YES</v>
      </c>
      <c r="Q3219" s="34" t="str">
        <f aca="false">IF(AND(B3219&gt;=Cal_Start_Week,B3219&lt;=Cal_End_Week),"YES","")</f>
        <v/>
      </c>
    </row>
    <row r="3220" customFormat="false" ht="15" hidden="false" customHeight="false" outlineLevel="0" collapsed="false">
      <c r="A3220" s="31" t="str">
        <f aca="false">Demand_History!C3220</f>
        <v>ELE-002</v>
      </c>
      <c r="B3220" s="31" t="n">
        <f aca="false">Demand_History!A3220</f>
        <v>99</v>
      </c>
      <c r="C3220" s="32" t="n">
        <f aca="false">Demand_History!D3220</f>
        <v>42</v>
      </c>
      <c r="D3220" s="33" t="n">
        <f aca="false">IF(B3220&gt;=2,C3219,"")</f>
        <v>55</v>
      </c>
      <c r="E3220" s="33" t="n">
        <f aca="false">IF(B3220&gt;=5,AVERAGE(C3216:C3219),"")</f>
        <v>43.25</v>
      </c>
      <c r="F3220" s="33" t="n">
        <f aca="false">IF(B3220&gt;=9,AVERAGE(C3212:C3219),"")</f>
        <v>40.625</v>
      </c>
      <c r="G3220" s="33" t="n">
        <f aca="false">IF(B3220=1,"",IF(B3220=2,C3219,SES_Alpha*C3219+(1-SES_Alpha)*G3219))</f>
        <v>44.4170205585359</v>
      </c>
      <c r="H3220" s="33" t="n">
        <f aca="false">IF(D3220="","",D3220-C3220)</f>
        <v>13</v>
      </c>
      <c r="I3220" s="33" t="n">
        <f aca="false">IF(E3220="","",E3220-C3220)</f>
        <v>1.25</v>
      </c>
      <c r="J3220" s="33" t="n">
        <f aca="false">IF(F3220="","",F3220-C3220)</f>
        <v>-1.375</v>
      </c>
      <c r="K3220" s="33" t="n">
        <f aca="false">IF(G3220="","",G3220-C3220)</f>
        <v>2.41702055853585</v>
      </c>
      <c r="L3220" s="33" t="n">
        <f aca="false">IF(H3220="","",ABS(H3220))</f>
        <v>13</v>
      </c>
      <c r="M3220" s="33" t="n">
        <f aca="false">IF(I3220="","",ABS(I3220))</f>
        <v>1.25</v>
      </c>
      <c r="N3220" s="33" t="n">
        <f aca="false">IF(J3220="","",ABS(J3220))</f>
        <v>1.375</v>
      </c>
      <c r="O3220" s="33" t="n">
        <f aca="false">IF(K3220="","",ABS(K3220))</f>
        <v>2.41702055853585</v>
      </c>
      <c r="P3220" s="34" t="str">
        <f aca="false">IF(B3220&gt;=Eval_Start_Week,"YES","")</f>
        <v>YES</v>
      </c>
      <c r="Q3220" s="34" t="str">
        <f aca="false">IF(AND(B3220&gt;=Cal_Start_Week,B3220&lt;=Cal_End_Week),"YES","")</f>
        <v/>
      </c>
    </row>
    <row r="3221" customFormat="false" ht="15" hidden="false" customHeight="false" outlineLevel="0" collapsed="false">
      <c r="A3221" s="31" t="str">
        <f aca="false">Demand_History!C3221</f>
        <v>ELE-002</v>
      </c>
      <c r="B3221" s="31" t="n">
        <f aca="false">Demand_History!A3221</f>
        <v>100</v>
      </c>
      <c r="C3221" s="32" t="n">
        <f aca="false">Demand_History!D3221</f>
        <v>47</v>
      </c>
      <c r="D3221" s="33" t="n">
        <f aca="false">IF(B3221&gt;=2,C3220,"")</f>
        <v>42</v>
      </c>
      <c r="E3221" s="33" t="n">
        <f aca="false">IF(B3221&gt;=5,AVERAGE(C3217:C3220),"")</f>
        <v>44.5</v>
      </c>
      <c r="F3221" s="33" t="n">
        <f aca="false">IF(B3221&gt;=9,AVERAGE(C3213:C3220),"")</f>
        <v>41.125</v>
      </c>
      <c r="G3221" s="33" t="n">
        <f aca="false">IF(B3221=1,"",IF(B3221=2,C3220,SES_Alpha*C3220+(1-SES_Alpha)*G3220))</f>
        <v>43.6919143909751</v>
      </c>
      <c r="H3221" s="33" t="n">
        <f aca="false">IF(D3221="","",D3221-C3221)</f>
        <v>-5</v>
      </c>
      <c r="I3221" s="33" t="n">
        <f aca="false">IF(E3221="","",E3221-C3221)</f>
        <v>-2.5</v>
      </c>
      <c r="J3221" s="33" t="n">
        <f aca="false">IF(F3221="","",F3221-C3221)</f>
        <v>-5.875</v>
      </c>
      <c r="K3221" s="33" t="n">
        <f aca="false">IF(G3221="","",G3221-C3221)</f>
        <v>-3.30808560902491</v>
      </c>
      <c r="L3221" s="33" t="n">
        <f aca="false">IF(H3221="","",ABS(H3221))</f>
        <v>5</v>
      </c>
      <c r="M3221" s="33" t="n">
        <f aca="false">IF(I3221="","",ABS(I3221))</f>
        <v>2.5</v>
      </c>
      <c r="N3221" s="33" t="n">
        <f aca="false">IF(J3221="","",ABS(J3221))</f>
        <v>5.875</v>
      </c>
      <c r="O3221" s="33" t="n">
        <f aca="false">IF(K3221="","",ABS(K3221))</f>
        <v>3.30808560902491</v>
      </c>
      <c r="P3221" s="34" t="str">
        <f aca="false">IF(B3221&gt;=Eval_Start_Week,"YES","")</f>
        <v>YES</v>
      </c>
      <c r="Q3221" s="34" t="str">
        <f aca="false">IF(AND(B3221&gt;=Cal_Start_Week,B3221&lt;=Cal_End_Week),"YES","")</f>
        <v/>
      </c>
    </row>
    <row r="3222" customFormat="false" ht="15" hidden="false" customHeight="false" outlineLevel="0" collapsed="false">
      <c r="A3222" s="31" t="str">
        <f aca="false">Demand_History!C3222</f>
        <v>ELE-002</v>
      </c>
      <c r="B3222" s="31" t="n">
        <f aca="false">Demand_History!A3222</f>
        <v>101</v>
      </c>
      <c r="C3222" s="32" t="n">
        <f aca="false">Demand_History!D3222</f>
        <v>39</v>
      </c>
      <c r="D3222" s="33" t="n">
        <f aca="false">IF(B3222&gt;=2,C3221,"")</f>
        <v>47</v>
      </c>
      <c r="E3222" s="33" t="n">
        <f aca="false">IF(B3222&gt;=5,AVERAGE(C3218:C3221),"")</f>
        <v>47.25</v>
      </c>
      <c r="F3222" s="33" t="n">
        <f aca="false">IF(B3222&gt;=9,AVERAGE(C3214:C3221),"")</f>
        <v>44.625</v>
      </c>
      <c r="G3222" s="33" t="n">
        <f aca="false">IF(B3222=1,"",IF(B3222=2,C3221,SES_Alpha*C3221+(1-SES_Alpha)*G3221))</f>
        <v>44.6843400736826</v>
      </c>
      <c r="H3222" s="33" t="n">
        <f aca="false">IF(D3222="","",D3222-C3222)</f>
        <v>8</v>
      </c>
      <c r="I3222" s="33" t="n">
        <f aca="false">IF(E3222="","",E3222-C3222)</f>
        <v>8.25</v>
      </c>
      <c r="J3222" s="33" t="n">
        <f aca="false">IF(F3222="","",F3222-C3222)</f>
        <v>5.625</v>
      </c>
      <c r="K3222" s="33" t="n">
        <f aca="false">IF(G3222="","",G3222-C3222)</f>
        <v>5.68434007368256</v>
      </c>
      <c r="L3222" s="33" t="n">
        <f aca="false">IF(H3222="","",ABS(H3222))</f>
        <v>8</v>
      </c>
      <c r="M3222" s="33" t="n">
        <f aca="false">IF(I3222="","",ABS(I3222))</f>
        <v>8.25</v>
      </c>
      <c r="N3222" s="33" t="n">
        <f aca="false">IF(J3222="","",ABS(J3222))</f>
        <v>5.625</v>
      </c>
      <c r="O3222" s="33" t="n">
        <f aca="false">IF(K3222="","",ABS(K3222))</f>
        <v>5.68434007368256</v>
      </c>
      <c r="P3222" s="34" t="str">
        <f aca="false">IF(B3222&gt;=Eval_Start_Week,"YES","")</f>
        <v>YES</v>
      </c>
      <c r="Q3222" s="34" t="str">
        <f aca="false">IF(AND(B3222&gt;=Cal_Start_Week,B3222&lt;=Cal_End_Week),"YES","")</f>
        <v/>
      </c>
    </row>
    <row r="3223" customFormat="false" ht="15" hidden="false" customHeight="false" outlineLevel="0" collapsed="false">
      <c r="A3223" s="31" t="str">
        <f aca="false">Demand_History!C3223</f>
        <v>ELE-002</v>
      </c>
      <c r="B3223" s="31" t="n">
        <f aca="false">Demand_History!A3223</f>
        <v>102</v>
      </c>
      <c r="C3223" s="32" t="n">
        <f aca="false">Demand_History!D3223</f>
        <v>35</v>
      </c>
      <c r="D3223" s="33" t="n">
        <f aca="false">IF(B3223&gt;=2,C3222,"")</f>
        <v>39</v>
      </c>
      <c r="E3223" s="33" t="n">
        <f aca="false">IF(B3223&gt;=5,AVERAGE(C3219:C3222),"")</f>
        <v>45.75</v>
      </c>
      <c r="F3223" s="33" t="n">
        <f aca="false">IF(B3223&gt;=9,AVERAGE(C3215:C3222),"")</f>
        <v>43.75</v>
      </c>
      <c r="G3223" s="33" t="n">
        <f aca="false">IF(B3223=1,"",IF(B3223=2,C3222,SES_Alpha*C3222+(1-SES_Alpha)*G3222))</f>
        <v>42.9790380515778</v>
      </c>
      <c r="H3223" s="33" t="n">
        <f aca="false">IF(D3223="","",D3223-C3223)</f>
        <v>4</v>
      </c>
      <c r="I3223" s="33" t="n">
        <f aca="false">IF(E3223="","",E3223-C3223)</f>
        <v>10.75</v>
      </c>
      <c r="J3223" s="33" t="n">
        <f aca="false">IF(F3223="","",F3223-C3223)</f>
        <v>8.75</v>
      </c>
      <c r="K3223" s="33" t="n">
        <f aca="false">IF(G3223="","",G3223-C3223)</f>
        <v>7.97903805157779</v>
      </c>
      <c r="L3223" s="33" t="n">
        <f aca="false">IF(H3223="","",ABS(H3223))</f>
        <v>4</v>
      </c>
      <c r="M3223" s="33" t="n">
        <f aca="false">IF(I3223="","",ABS(I3223))</f>
        <v>10.75</v>
      </c>
      <c r="N3223" s="33" t="n">
        <f aca="false">IF(J3223="","",ABS(J3223))</f>
        <v>8.75</v>
      </c>
      <c r="O3223" s="33" t="n">
        <f aca="false">IF(K3223="","",ABS(K3223))</f>
        <v>7.97903805157779</v>
      </c>
      <c r="P3223" s="34" t="str">
        <f aca="false">IF(B3223&gt;=Eval_Start_Week,"YES","")</f>
        <v>YES</v>
      </c>
      <c r="Q3223" s="34" t="str">
        <f aca="false">IF(AND(B3223&gt;=Cal_Start_Week,B3223&lt;=Cal_End_Week),"YES","")</f>
        <v/>
      </c>
    </row>
    <row r="3224" customFormat="false" ht="15" hidden="false" customHeight="false" outlineLevel="0" collapsed="false">
      <c r="A3224" s="31" t="str">
        <f aca="false">Demand_History!C3224</f>
        <v>ELE-002</v>
      </c>
      <c r="B3224" s="31" t="n">
        <f aca="false">Demand_History!A3224</f>
        <v>103</v>
      </c>
      <c r="C3224" s="32" t="n">
        <f aca="false">Demand_History!D3224</f>
        <v>29</v>
      </c>
      <c r="D3224" s="33" t="n">
        <f aca="false">IF(B3224&gt;=2,C3223,"")</f>
        <v>35</v>
      </c>
      <c r="E3224" s="33" t="n">
        <f aca="false">IF(B3224&gt;=5,AVERAGE(C3220:C3223),"")</f>
        <v>40.75</v>
      </c>
      <c r="F3224" s="33" t="n">
        <f aca="false">IF(B3224&gt;=9,AVERAGE(C3216:C3223),"")</f>
        <v>42</v>
      </c>
      <c r="G3224" s="33" t="n">
        <f aca="false">IF(B3224=1,"",IF(B3224=2,C3223,SES_Alpha*C3223+(1-SES_Alpha)*G3223))</f>
        <v>40.5853266361045</v>
      </c>
      <c r="H3224" s="33" t="n">
        <f aca="false">IF(D3224="","",D3224-C3224)</f>
        <v>6</v>
      </c>
      <c r="I3224" s="33" t="n">
        <f aca="false">IF(E3224="","",E3224-C3224)</f>
        <v>11.75</v>
      </c>
      <c r="J3224" s="33" t="n">
        <f aca="false">IF(F3224="","",F3224-C3224)</f>
        <v>13</v>
      </c>
      <c r="K3224" s="33" t="n">
        <f aca="false">IF(G3224="","",G3224-C3224)</f>
        <v>11.5853266361045</v>
      </c>
      <c r="L3224" s="33" t="n">
        <f aca="false">IF(H3224="","",ABS(H3224))</f>
        <v>6</v>
      </c>
      <c r="M3224" s="33" t="n">
        <f aca="false">IF(I3224="","",ABS(I3224))</f>
        <v>11.75</v>
      </c>
      <c r="N3224" s="33" t="n">
        <f aca="false">IF(J3224="","",ABS(J3224))</f>
        <v>13</v>
      </c>
      <c r="O3224" s="33" t="n">
        <f aca="false">IF(K3224="","",ABS(K3224))</f>
        <v>11.5853266361045</v>
      </c>
      <c r="P3224" s="34" t="str">
        <f aca="false">IF(B3224&gt;=Eval_Start_Week,"YES","")</f>
        <v>YES</v>
      </c>
      <c r="Q3224" s="34" t="str">
        <f aca="false">IF(AND(B3224&gt;=Cal_Start_Week,B3224&lt;=Cal_End_Week),"YES","")</f>
        <v/>
      </c>
    </row>
    <row r="3225" customFormat="false" ht="15" hidden="false" customHeight="false" outlineLevel="0" collapsed="false">
      <c r="A3225" s="31" t="str">
        <f aca="false">Demand_History!C3225</f>
        <v>ELE-002</v>
      </c>
      <c r="B3225" s="31" t="n">
        <f aca="false">Demand_History!A3225</f>
        <v>104</v>
      </c>
      <c r="C3225" s="32" t="n">
        <f aca="false">Demand_History!D3225</f>
        <v>43</v>
      </c>
      <c r="D3225" s="33" t="n">
        <f aca="false">IF(B3225&gt;=2,C3224,"")</f>
        <v>29</v>
      </c>
      <c r="E3225" s="33" t="n">
        <f aca="false">IF(B3225&gt;=5,AVERAGE(C3221:C3224),"")</f>
        <v>37.5</v>
      </c>
      <c r="F3225" s="33" t="n">
        <f aca="false">IF(B3225&gt;=9,AVERAGE(C3217:C3224),"")</f>
        <v>41</v>
      </c>
      <c r="G3225" s="33" t="n">
        <f aca="false">IF(B3225=1,"",IF(B3225=2,C3224,SES_Alpha*C3224+(1-SES_Alpha)*G3224))</f>
        <v>37.1097286452731</v>
      </c>
      <c r="H3225" s="33" t="n">
        <f aca="false">IF(D3225="","",D3225-C3225)</f>
        <v>-14</v>
      </c>
      <c r="I3225" s="33" t="n">
        <f aca="false">IF(E3225="","",E3225-C3225)</f>
        <v>-5.5</v>
      </c>
      <c r="J3225" s="33" t="n">
        <f aca="false">IF(F3225="","",F3225-C3225)</f>
        <v>-2</v>
      </c>
      <c r="K3225" s="33" t="n">
        <f aca="false">IF(G3225="","",G3225-C3225)</f>
        <v>-5.89027135472689</v>
      </c>
      <c r="L3225" s="33" t="n">
        <f aca="false">IF(H3225="","",ABS(H3225))</f>
        <v>14</v>
      </c>
      <c r="M3225" s="33" t="n">
        <f aca="false">IF(I3225="","",ABS(I3225))</f>
        <v>5.5</v>
      </c>
      <c r="N3225" s="33" t="n">
        <f aca="false">IF(J3225="","",ABS(J3225))</f>
        <v>2</v>
      </c>
      <c r="O3225" s="33" t="n">
        <f aca="false">IF(K3225="","",ABS(K3225))</f>
        <v>5.89027135472689</v>
      </c>
      <c r="P3225" s="34" t="str">
        <f aca="false">IF(B3225&gt;=Eval_Start_Week,"YES","")</f>
        <v>YES</v>
      </c>
      <c r="Q3225" s="34" t="str">
        <f aca="false">IF(AND(B3225&gt;=Cal_Start_Week,B3225&lt;=Cal_End_Week),"YES","")</f>
        <v/>
      </c>
    </row>
    <row r="3226" customFormat="false" ht="15" hidden="false" customHeight="false" outlineLevel="0" collapsed="false">
      <c r="A3226" s="31" t="str">
        <f aca="false">Demand_History!C3226</f>
        <v>ELE-003</v>
      </c>
      <c r="B3226" s="31" t="n">
        <f aca="false">Demand_History!A3226</f>
        <v>1</v>
      </c>
      <c r="C3226" s="32" t="n">
        <f aca="false">Demand_History!D3226</f>
        <v>17</v>
      </c>
      <c r="D3226" s="33" t="str">
        <f aca="false">IF(B3226&gt;=2,C3225,"")</f>
        <v/>
      </c>
      <c r="E3226" s="33" t="str">
        <f aca="false">IF(B3226&gt;=5,AVERAGE(C3222:C3225),"")</f>
        <v/>
      </c>
      <c r="F3226" s="33" t="str">
        <f aca="false">IF(B3226&gt;=9,AVERAGE(C3218:C3225),"")</f>
        <v/>
      </c>
      <c r="G3226" s="33" t="str">
        <f aca="false">IF(B3226=1,"",IF(B3226=2,C3225,SES_Alpha*C3225+(1-SES_Alpha)*G3225))</f>
        <v/>
      </c>
      <c r="H3226" s="33" t="str">
        <f aca="false">IF(D3226="","",D3226-C3226)</f>
        <v/>
      </c>
      <c r="I3226" s="33" t="str">
        <f aca="false">IF(E3226="","",E3226-C3226)</f>
        <v/>
      </c>
      <c r="J3226" s="33" t="str">
        <f aca="false">IF(F3226="","",F3226-C3226)</f>
        <v/>
      </c>
      <c r="K3226" s="33" t="str">
        <f aca="false">IF(G3226="","",G3226-C3226)</f>
        <v/>
      </c>
      <c r="L3226" s="33" t="str">
        <f aca="false">IF(H3226="","",ABS(H3226))</f>
        <v/>
      </c>
      <c r="M3226" s="33" t="str">
        <f aca="false">IF(I3226="","",ABS(I3226))</f>
        <v/>
      </c>
      <c r="N3226" s="33" t="str">
        <f aca="false">IF(J3226="","",ABS(J3226))</f>
        <v/>
      </c>
      <c r="O3226" s="33" t="str">
        <f aca="false">IF(K3226="","",ABS(K3226))</f>
        <v/>
      </c>
      <c r="P3226" s="34" t="str">
        <f aca="false">IF(B3226&gt;=Eval_Start_Week,"YES","")</f>
        <v/>
      </c>
      <c r="Q3226" s="34" t="str">
        <f aca="false">IF(AND(B3226&gt;=Cal_Start_Week,B3226&lt;=Cal_End_Week),"YES","")</f>
        <v/>
      </c>
    </row>
    <row r="3227" customFormat="false" ht="15" hidden="false" customHeight="false" outlineLevel="0" collapsed="false">
      <c r="A3227" s="31" t="str">
        <f aca="false">Demand_History!C3227</f>
        <v>ELE-003</v>
      </c>
      <c r="B3227" s="31" t="n">
        <f aca="false">Demand_History!A3227</f>
        <v>2</v>
      </c>
      <c r="C3227" s="32" t="n">
        <f aca="false">Demand_History!D3227</f>
        <v>18</v>
      </c>
      <c r="D3227" s="33" t="n">
        <f aca="false">IF(B3227&gt;=2,C3226,"")</f>
        <v>17</v>
      </c>
      <c r="E3227" s="33" t="str">
        <f aca="false">IF(B3227&gt;=5,AVERAGE(C3223:C3226),"")</f>
        <v/>
      </c>
      <c r="F3227" s="33" t="str">
        <f aca="false">IF(B3227&gt;=9,AVERAGE(C3219:C3226),"")</f>
        <v/>
      </c>
      <c r="G3227" s="33" t="n">
        <f aca="false">IF(B3227=1,"",IF(B3227=2,C3226,SES_Alpha*C3226+(1-SES_Alpha)*G3226))</f>
        <v>17</v>
      </c>
      <c r="H3227" s="33" t="n">
        <f aca="false">IF(D3227="","",D3227-C3227)</f>
        <v>-1</v>
      </c>
      <c r="I3227" s="33" t="str">
        <f aca="false">IF(E3227="","",E3227-C3227)</f>
        <v/>
      </c>
      <c r="J3227" s="33" t="str">
        <f aca="false">IF(F3227="","",F3227-C3227)</f>
        <v/>
      </c>
      <c r="K3227" s="33" t="n">
        <f aca="false">IF(G3227="","",G3227-C3227)</f>
        <v>-1</v>
      </c>
      <c r="L3227" s="33" t="n">
        <f aca="false">IF(H3227="","",ABS(H3227))</f>
        <v>1</v>
      </c>
      <c r="M3227" s="33" t="str">
        <f aca="false">IF(I3227="","",ABS(I3227))</f>
        <v/>
      </c>
      <c r="N3227" s="33" t="str">
        <f aca="false">IF(J3227="","",ABS(J3227))</f>
        <v/>
      </c>
      <c r="O3227" s="33" t="n">
        <f aca="false">IF(K3227="","",ABS(K3227))</f>
        <v>1</v>
      </c>
      <c r="P3227" s="34" t="str">
        <f aca="false">IF(B3227&gt;=Eval_Start_Week,"YES","")</f>
        <v/>
      </c>
      <c r="Q3227" s="34" t="str">
        <f aca="false">IF(AND(B3227&gt;=Cal_Start_Week,B3227&lt;=Cal_End_Week),"YES","")</f>
        <v/>
      </c>
    </row>
    <row r="3228" customFormat="false" ht="15" hidden="false" customHeight="false" outlineLevel="0" collapsed="false">
      <c r="A3228" s="31" t="str">
        <f aca="false">Demand_History!C3228</f>
        <v>ELE-003</v>
      </c>
      <c r="B3228" s="31" t="n">
        <f aca="false">Demand_History!A3228</f>
        <v>3</v>
      </c>
      <c r="C3228" s="32" t="n">
        <f aca="false">Demand_History!D3228</f>
        <v>21</v>
      </c>
      <c r="D3228" s="33" t="n">
        <f aca="false">IF(B3228&gt;=2,C3227,"")</f>
        <v>18</v>
      </c>
      <c r="E3228" s="33" t="str">
        <f aca="false">IF(B3228&gt;=5,AVERAGE(C3224:C3227),"")</f>
        <v/>
      </c>
      <c r="F3228" s="33" t="str">
        <f aca="false">IF(B3228&gt;=9,AVERAGE(C3220:C3227),"")</f>
        <v/>
      </c>
      <c r="G3228" s="33" t="n">
        <f aca="false">IF(B3228=1,"",IF(B3228=2,C3227,SES_Alpha*C3227+(1-SES_Alpha)*G3227))</f>
        <v>17.3</v>
      </c>
      <c r="H3228" s="33" t="n">
        <f aca="false">IF(D3228="","",D3228-C3228)</f>
        <v>-3</v>
      </c>
      <c r="I3228" s="33" t="str">
        <f aca="false">IF(E3228="","",E3228-C3228)</f>
        <v/>
      </c>
      <c r="J3228" s="33" t="str">
        <f aca="false">IF(F3228="","",F3228-C3228)</f>
        <v/>
      </c>
      <c r="K3228" s="33" t="n">
        <f aca="false">IF(G3228="","",G3228-C3228)</f>
        <v>-3.7</v>
      </c>
      <c r="L3228" s="33" t="n">
        <f aca="false">IF(H3228="","",ABS(H3228))</f>
        <v>3</v>
      </c>
      <c r="M3228" s="33" t="str">
        <f aca="false">IF(I3228="","",ABS(I3228))</f>
        <v/>
      </c>
      <c r="N3228" s="33" t="str">
        <f aca="false">IF(J3228="","",ABS(J3228))</f>
        <v/>
      </c>
      <c r="O3228" s="33" t="n">
        <f aca="false">IF(K3228="","",ABS(K3228))</f>
        <v>3.7</v>
      </c>
      <c r="P3228" s="34" t="str">
        <f aca="false">IF(B3228&gt;=Eval_Start_Week,"YES","")</f>
        <v/>
      </c>
      <c r="Q3228" s="34" t="str">
        <f aca="false">IF(AND(B3228&gt;=Cal_Start_Week,B3228&lt;=Cal_End_Week),"YES","")</f>
        <v/>
      </c>
    </row>
    <row r="3229" customFormat="false" ht="15" hidden="false" customHeight="false" outlineLevel="0" collapsed="false">
      <c r="A3229" s="31" t="str">
        <f aca="false">Demand_History!C3229</f>
        <v>ELE-003</v>
      </c>
      <c r="B3229" s="31" t="n">
        <f aca="false">Demand_History!A3229</f>
        <v>4</v>
      </c>
      <c r="C3229" s="32" t="n">
        <f aca="false">Demand_History!D3229</f>
        <v>20</v>
      </c>
      <c r="D3229" s="33" t="n">
        <f aca="false">IF(B3229&gt;=2,C3228,"")</f>
        <v>21</v>
      </c>
      <c r="E3229" s="33" t="str">
        <f aca="false">IF(B3229&gt;=5,AVERAGE(C3225:C3228),"")</f>
        <v/>
      </c>
      <c r="F3229" s="33" t="str">
        <f aca="false">IF(B3229&gt;=9,AVERAGE(C3221:C3228),"")</f>
        <v/>
      </c>
      <c r="G3229" s="33" t="n">
        <f aca="false">IF(B3229=1,"",IF(B3229=2,C3228,SES_Alpha*C3228+(1-SES_Alpha)*G3228))</f>
        <v>18.41</v>
      </c>
      <c r="H3229" s="33" t="n">
        <f aca="false">IF(D3229="","",D3229-C3229)</f>
        <v>1</v>
      </c>
      <c r="I3229" s="33" t="str">
        <f aca="false">IF(E3229="","",E3229-C3229)</f>
        <v/>
      </c>
      <c r="J3229" s="33" t="str">
        <f aca="false">IF(F3229="","",F3229-C3229)</f>
        <v/>
      </c>
      <c r="K3229" s="33" t="n">
        <f aca="false">IF(G3229="","",G3229-C3229)</f>
        <v>-1.59</v>
      </c>
      <c r="L3229" s="33" t="n">
        <f aca="false">IF(H3229="","",ABS(H3229))</f>
        <v>1</v>
      </c>
      <c r="M3229" s="33" t="str">
        <f aca="false">IF(I3229="","",ABS(I3229))</f>
        <v/>
      </c>
      <c r="N3229" s="33" t="str">
        <f aca="false">IF(J3229="","",ABS(J3229))</f>
        <v/>
      </c>
      <c r="O3229" s="33" t="n">
        <f aca="false">IF(K3229="","",ABS(K3229))</f>
        <v>1.59</v>
      </c>
      <c r="P3229" s="34" t="str">
        <f aca="false">IF(B3229&gt;=Eval_Start_Week,"YES","")</f>
        <v/>
      </c>
      <c r="Q3229" s="34" t="str">
        <f aca="false">IF(AND(B3229&gt;=Cal_Start_Week,B3229&lt;=Cal_End_Week),"YES","")</f>
        <v/>
      </c>
    </row>
    <row r="3230" customFormat="false" ht="15" hidden="false" customHeight="false" outlineLevel="0" collapsed="false">
      <c r="A3230" s="31" t="str">
        <f aca="false">Demand_History!C3230</f>
        <v>ELE-003</v>
      </c>
      <c r="B3230" s="31" t="n">
        <f aca="false">Demand_History!A3230</f>
        <v>5</v>
      </c>
      <c r="C3230" s="32" t="n">
        <f aca="false">Demand_History!D3230</f>
        <v>21</v>
      </c>
      <c r="D3230" s="33" t="n">
        <f aca="false">IF(B3230&gt;=2,C3229,"")</f>
        <v>20</v>
      </c>
      <c r="E3230" s="33" t="n">
        <f aca="false">IF(B3230&gt;=5,AVERAGE(C3226:C3229),"")</f>
        <v>19</v>
      </c>
      <c r="F3230" s="33" t="str">
        <f aca="false">IF(B3230&gt;=9,AVERAGE(C3222:C3229),"")</f>
        <v/>
      </c>
      <c r="G3230" s="33" t="n">
        <f aca="false">IF(B3230=1,"",IF(B3230=2,C3229,SES_Alpha*C3229+(1-SES_Alpha)*G3229))</f>
        <v>18.887</v>
      </c>
      <c r="H3230" s="33" t="n">
        <f aca="false">IF(D3230="","",D3230-C3230)</f>
        <v>-1</v>
      </c>
      <c r="I3230" s="33" t="n">
        <f aca="false">IF(E3230="","",E3230-C3230)</f>
        <v>-2</v>
      </c>
      <c r="J3230" s="33" t="str">
        <f aca="false">IF(F3230="","",F3230-C3230)</f>
        <v/>
      </c>
      <c r="K3230" s="33" t="n">
        <f aca="false">IF(G3230="","",G3230-C3230)</f>
        <v>-2.113</v>
      </c>
      <c r="L3230" s="33" t="n">
        <f aca="false">IF(H3230="","",ABS(H3230))</f>
        <v>1</v>
      </c>
      <c r="M3230" s="33" t="n">
        <f aca="false">IF(I3230="","",ABS(I3230))</f>
        <v>2</v>
      </c>
      <c r="N3230" s="33" t="str">
        <f aca="false">IF(J3230="","",ABS(J3230))</f>
        <v/>
      </c>
      <c r="O3230" s="33" t="n">
        <f aca="false">IF(K3230="","",ABS(K3230))</f>
        <v>2.113</v>
      </c>
      <c r="P3230" s="34" t="str">
        <f aca="false">IF(B3230&gt;=Eval_Start_Week,"YES","")</f>
        <v/>
      </c>
      <c r="Q3230" s="34" t="str">
        <f aca="false">IF(AND(B3230&gt;=Cal_Start_Week,B3230&lt;=Cal_End_Week),"YES","")</f>
        <v/>
      </c>
    </row>
    <row r="3231" customFormat="false" ht="15" hidden="false" customHeight="false" outlineLevel="0" collapsed="false">
      <c r="A3231" s="31" t="str">
        <f aca="false">Demand_History!C3231</f>
        <v>ELE-003</v>
      </c>
      <c r="B3231" s="31" t="n">
        <f aca="false">Demand_History!A3231</f>
        <v>6</v>
      </c>
      <c r="C3231" s="32" t="n">
        <f aca="false">Demand_History!D3231</f>
        <v>15</v>
      </c>
      <c r="D3231" s="33" t="n">
        <f aca="false">IF(B3231&gt;=2,C3230,"")</f>
        <v>21</v>
      </c>
      <c r="E3231" s="33" t="n">
        <f aca="false">IF(B3231&gt;=5,AVERAGE(C3227:C3230),"")</f>
        <v>20</v>
      </c>
      <c r="F3231" s="33" t="str">
        <f aca="false">IF(B3231&gt;=9,AVERAGE(C3223:C3230),"")</f>
        <v/>
      </c>
      <c r="G3231" s="33" t="n">
        <f aca="false">IF(B3231=1,"",IF(B3231=2,C3230,SES_Alpha*C3230+(1-SES_Alpha)*G3230))</f>
        <v>19.5209</v>
      </c>
      <c r="H3231" s="33" t="n">
        <f aca="false">IF(D3231="","",D3231-C3231)</f>
        <v>6</v>
      </c>
      <c r="I3231" s="33" t="n">
        <f aca="false">IF(E3231="","",E3231-C3231)</f>
        <v>5</v>
      </c>
      <c r="J3231" s="33" t="str">
        <f aca="false">IF(F3231="","",F3231-C3231)</f>
        <v/>
      </c>
      <c r="K3231" s="33" t="n">
        <f aca="false">IF(G3231="","",G3231-C3231)</f>
        <v>4.5209</v>
      </c>
      <c r="L3231" s="33" t="n">
        <f aca="false">IF(H3231="","",ABS(H3231))</f>
        <v>6</v>
      </c>
      <c r="M3231" s="33" t="n">
        <f aca="false">IF(I3231="","",ABS(I3231))</f>
        <v>5</v>
      </c>
      <c r="N3231" s="33" t="str">
        <f aca="false">IF(J3231="","",ABS(J3231))</f>
        <v/>
      </c>
      <c r="O3231" s="33" t="n">
        <f aca="false">IF(K3231="","",ABS(K3231))</f>
        <v>4.5209</v>
      </c>
      <c r="P3231" s="34" t="str">
        <f aca="false">IF(B3231&gt;=Eval_Start_Week,"YES","")</f>
        <v/>
      </c>
      <c r="Q3231" s="34" t="str">
        <f aca="false">IF(AND(B3231&gt;=Cal_Start_Week,B3231&lt;=Cal_End_Week),"YES","")</f>
        <v/>
      </c>
    </row>
    <row r="3232" customFormat="false" ht="15" hidden="false" customHeight="false" outlineLevel="0" collapsed="false">
      <c r="A3232" s="31" t="str">
        <f aca="false">Demand_History!C3232</f>
        <v>ELE-003</v>
      </c>
      <c r="B3232" s="31" t="n">
        <f aca="false">Demand_History!A3232</f>
        <v>7</v>
      </c>
      <c r="C3232" s="32" t="n">
        <f aca="false">Demand_History!D3232</f>
        <v>21</v>
      </c>
      <c r="D3232" s="33" t="n">
        <f aca="false">IF(B3232&gt;=2,C3231,"")</f>
        <v>15</v>
      </c>
      <c r="E3232" s="33" t="n">
        <f aca="false">IF(B3232&gt;=5,AVERAGE(C3228:C3231),"")</f>
        <v>19.25</v>
      </c>
      <c r="F3232" s="33" t="str">
        <f aca="false">IF(B3232&gt;=9,AVERAGE(C3224:C3231),"")</f>
        <v/>
      </c>
      <c r="G3232" s="33" t="n">
        <f aca="false">IF(B3232=1,"",IF(B3232=2,C3231,SES_Alpha*C3231+(1-SES_Alpha)*G3231))</f>
        <v>18.16463</v>
      </c>
      <c r="H3232" s="33" t="n">
        <f aca="false">IF(D3232="","",D3232-C3232)</f>
        <v>-6</v>
      </c>
      <c r="I3232" s="33" t="n">
        <f aca="false">IF(E3232="","",E3232-C3232)</f>
        <v>-1.75</v>
      </c>
      <c r="J3232" s="33" t="str">
        <f aca="false">IF(F3232="","",F3232-C3232)</f>
        <v/>
      </c>
      <c r="K3232" s="33" t="n">
        <f aca="false">IF(G3232="","",G3232-C3232)</f>
        <v>-2.83537</v>
      </c>
      <c r="L3232" s="33" t="n">
        <f aca="false">IF(H3232="","",ABS(H3232))</f>
        <v>6</v>
      </c>
      <c r="M3232" s="33" t="n">
        <f aca="false">IF(I3232="","",ABS(I3232))</f>
        <v>1.75</v>
      </c>
      <c r="N3232" s="33" t="str">
        <f aca="false">IF(J3232="","",ABS(J3232))</f>
        <v/>
      </c>
      <c r="O3232" s="33" t="n">
        <f aca="false">IF(K3232="","",ABS(K3232))</f>
        <v>2.83537</v>
      </c>
      <c r="P3232" s="34" t="str">
        <f aca="false">IF(B3232&gt;=Eval_Start_Week,"YES","")</f>
        <v/>
      </c>
      <c r="Q3232" s="34" t="str">
        <f aca="false">IF(AND(B3232&gt;=Cal_Start_Week,B3232&lt;=Cal_End_Week),"YES","")</f>
        <v/>
      </c>
    </row>
    <row r="3233" customFormat="false" ht="15" hidden="false" customHeight="false" outlineLevel="0" collapsed="false">
      <c r="A3233" s="31" t="str">
        <f aca="false">Demand_History!C3233</f>
        <v>ELE-003</v>
      </c>
      <c r="B3233" s="31" t="n">
        <f aca="false">Demand_History!A3233</f>
        <v>8</v>
      </c>
      <c r="C3233" s="32" t="n">
        <f aca="false">Demand_History!D3233</f>
        <v>18</v>
      </c>
      <c r="D3233" s="33" t="n">
        <f aca="false">IF(B3233&gt;=2,C3232,"")</f>
        <v>21</v>
      </c>
      <c r="E3233" s="33" t="n">
        <f aca="false">IF(B3233&gt;=5,AVERAGE(C3229:C3232),"")</f>
        <v>19.25</v>
      </c>
      <c r="F3233" s="33" t="str">
        <f aca="false">IF(B3233&gt;=9,AVERAGE(C3225:C3232),"")</f>
        <v/>
      </c>
      <c r="G3233" s="33" t="n">
        <f aca="false">IF(B3233=1,"",IF(B3233=2,C3232,SES_Alpha*C3232+(1-SES_Alpha)*G3232))</f>
        <v>19.015241</v>
      </c>
      <c r="H3233" s="33" t="n">
        <f aca="false">IF(D3233="","",D3233-C3233)</f>
        <v>3</v>
      </c>
      <c r="I3233" s="33" t="n">
        <f aca="false">IF(E3233="","",E3233-C3233)</f>
        <v>1.25</v>
      </c>
      <c r="J3233" s="33" t="str">
        <f aca="false">IF(F3233="","",F3233-C3233)</f>
        <v/>
      </c>
      <c r="K3233" s="33" t="n">
        <f aca="false">IF(G3233="","",G3233-C3233)</f>
        <v>1.015241</v>
      </c>
      <c r="L3233" s="33" t="n">
        <f aca="false">IF(H3233="","",ABS(H3233))</f>
        <v>3</v>
      </c>
      <c r="M3233" s="33" t="n">
        <f aca="false">IF(I3233="","",ABS(I3233))</f>
        <v>1.25</v>
      </c>
      <c r="N3233" s="33" t="str">
        <f aca="false">IF(J3233="","",ABS(J3233))</f>
        <v/>
      </c>
      <c r="O3233" s="33" t="n">
        <f aca="false">IF(K3233="","",ABS(K3233))</f>
        <v>1.015241</v>
      </c>
      <c r="P3233" s="34" t="str">
        <f aca="false">IF(B3233&gt;=Eval_Start_Week,"YES","")</f>
        <v/>
      </c>
      <c r="Q3233" s="34" t="str">
        <f aca="false">IF(AND(B3233&gt;=Cal_Start_Week,B3233&lt;=Cal_End_Week),"YES","")</f>
        <v/>
      </c>
    </row>
    <row r="3234" customFormat="false" ht="15" hidden="false" customHeight="false" outlineLevel="0" collapsed="false">
      <c r="A3234" s="31" t="str">
        <f aca="false">Demand_History!C3234</f>
        <v>ELE-003</v>
      </c>
      <c r="B3234" s="31" t="n">
        <f aca="false">Demand_History!A3234</f>
        <v>9</v>
      </c>
      <c r="C3234" s="32" t="n">
        <f aca="false">Demand_History!D3234</f>
        <v>18</v>
      </c>
      <c r="D3234" s="33" t="n">
        <f aca="false">IF(B3234&gt;=2,C3233,"")</f>
        <v>18</v>
      </c>
      <c r="E3234" s="33" t="n">
        <f aca="false">IF(B3234&gt;=5,AVERAGE(C3230:C3233),"")</f>
        <v>18.75</v>
      </c>
      <c r="F3234" s="33" t="n">
        <f aca="false">IF(B3234&gt;=9,AVERAGE(C3226:C3233),"")</f>
        <v>18.875</v>
      </c>
      <c r="G3234" s="33" t="n">
        <f aca="false">IF(B3234=1,"",IF(B3234=2,C3233,SES_Alpha*C3233+(1-SES_Alpha)*G3233))</f>
        <v>18.7106687</v>
      </c>
      <c r="H3234" s="33" t="n">
        <f aca="false">IF(D3234="","",D3234-C3234)</f>
        <v>0</v>
      </c>
      <c r="I3234" s="33" t="n">
        <f aca="false">IF(E3234="","",E3234-C3234)</f>
        <v>0.75</v>
      </c>
      <c r="J3234" s="33" t="n">
        <f aca="false">IF(F3234="","",F3234-C3234)</f>
        <v>0.875</v>
      </c>
      <c r="K3234" s="33" t="n">
        <f aca="false">IF(G3234="","",G3234-C3234)</f>
        <v>0.710668699999996</v>
      </c>
      <c r="L3234" s="33" t="n">
        <f aca="false">IF(H3234="","",ABS(H3234))</f>
        <v>0</v>
      </c>
      <c r="M3234" s="33" t="n">
        <f aca="false">IF(I3234="","",ABS(I3234))</f>
        <v>0.75</v>
      </c>
      <c r="N3234" s="33" t="n">
        <f aca="false">IF(J3234="","",ABS(J3234))</f>
        <v>0.875</v>
      </c>
      <c r="O3234" s="33" t="n">
        <f aca="false">IF(K3234="","",ABS(K3234))</f>
        <v>0.710668699999996</v>
      </c>
      <c r="P3234" s="34" t="str">
        <f aca="false">IF(B3234&gt;=Eval_Start_Week,"YES","")</f>
        <v/>
      </c>
      <c r="Q3234" s="34" t="str">
        <f aca="false">IF(AND(B3234&gt;=Cal_Start_Week,B3234&lt;=Cal_End_Week),"YES","")</f>
        <v/>
      </c>
    </row>
    <row r="3235" customFormat="false" ht="15" hidden="false" customHeight="false" outlineLevel="0" collapsed="false">
      <c r="A3235" s="31" t="str">
        <f aca="false">Demand_History!C3235</f>
        <v>ELE-003</v>
      </c>
      <c r="B3235" s="31" t="n">
        <f aca="false">Demand_History!A3235</f>
        <v>10</v>
      </c>
      <c r="C3235" s="32" t="n">
        <f aca="false">Demand_History!D3235</f>
        <v>18</v>
      </c>
      <c r="D3235" s="33" t="n">
        <f aca="false">IF(B3235&gt;=2,C3234,"")</f>
        <v>18</v>
      </c>
      <c r="E3235" s="33" t="n">
        <f aca="false">IF(B3235&gt;=5,AVERAGE(C3231:C3234),"")</f>
        <v>18</v>
      </c>
      <c r="F3235" s="33" t="n">
        <f aca="false">IF(B3235&gt;=9,AVERAGE(C3227:C3234),"")</f>
        <v>19</v>
      </c>
      <c r="G3235" s="33" t="n">
        <f aca="false">IF(B3235=1,"",IF(B3235=2,C3234,SES_Alpha*C3234+(1-SES_Alpha)*G3234))</f>
        <v>18.49746809</v>
      </c>
      <c r="H3235" s="33" t="n">
        <f aca="false">IF(D3235="","",D3235-C3235)</f>
        <v>0</v>
      </c>
      <c r="I3235" s="33" t="n">
        <f aca="false">IF(E3235="","",E3235-C3235)</f>
        <v>0</v>
      </c>
      <c r="J3235" s="33" t="n">
        <f aca="false">IF(F3235="","",F3235-C3235)</f>
        <v>1</v>
      </c>
      <c r="K3235" s="33" t="n">
        <f aca="false">IF(G3235="","",G3235-C3235)</f>
        <v>0.497468089999995</v>
      </c>
      <c r="L3235" s="33" t="n">
        <f aca="false">IF(H3235="","",ABS(H3235))</f>
        <v>0</v>
      </c>
      <c r="M3235" s="33" t="n">
        <f aca="false">IF(I3235="","",ABS(I3235))</f>
        <v>0</v>
      </c>
      <c r="N3235" s="33" t="n">
        <f aca="false">IF(J3235="","",ABS(J3235))</f>
        <v>1</v>
      </c>
      <c r="O3235" s="33" t="n">
        <f aca="false">IF(K3235="","",ABS(K3235))</f>
        <v>0.497468089999995</v>
      </c>
      <c r="P3235" s="34" t="str">
        <f aca="false">IF(B3235&gt;=Eval_Start_Week,"YES","")</f>
        <v/>
      </c>
      <c r="Q3235" s="34" t="str">
        <f aca="false">IF(AND(B3235&gt;=Cal_Start_Week,B3235&lt;=Cal_End_Week),"YES","")</f>
        <v/>
      </c>
    </row>
    <row r="3236" customFormat="false" ht="15" hidden="false" customHeight="false" outlineLevel="0" collapsed="false">
      <c r="A3236" s="31" t="str">
        <f aca="false">Demand_History!C3236</f>
        <v>ELE-003</v>
      </c>
      <c r="B3236" s="31" t="n">
        <f aca="false">Demand_History!A3236</f>
        <v>11</v>
      </c>
      <c r="C3236" s="32" t="n">
        <f aca="false">Demand_History!D3236</f>
        <v>24</v>
      </c>
      <c r="D3236" s="33" t="n">
        <f aca="false">IF(B3236&gt;=2,C3235,"")</f>
        <v>18</v>
      </c>
      <c r="E3236" s="33" t="n">
        <f aca="false">IF(B3236&gt;=5,AVERAGE(C3232:C3235),"")</f>
        <v>18.75</v>
      </c>
      <c r="F3236" s="33" t="n">
        <f aca="false">IF(B3236&gt;=9,AVERAGE(C3228:C3235),"")</f>
        <v>19</v>
      </c>
      <c r="G3236" s="33" t="n">
        <f aca="false">IF(B3236=1,"",IF(B3236=2,C3235,SES_Alpha*C3235+(1-SES_Alpha)*G3235))</f>
        <v>18.348227663</v>
      </c>
      <c r="H3236" s="33" t="n">
        <f aca="false">IF(D3236="","",D3236-C3236)</f>
        <v>-6</v>
      </c>
      <c r="I3236" s="33" t="n">
        <f aca="false">IF(E3236="","",E3236-C3236)</f>
        <v>-5.25</v>
      </c>
      <c r="J3236" s="33" t="n">
        <f aca="false">IF(F3236="","",F3236-C3236)</f>
        <v>-5</v>
      </c>
      <c r="K3236" s="33" t="n">
        <f aca="false">IF(G3236="","",G3236-C3236)</f>
        <v>-5.651772337</v>
      </c>
      <c r="L3236" s="33" t="n">
        <f aca="false">IF(H3236="","",ABS(H3236))</f>
        <v>6</v>
      </c>
      <c r="M3236" s="33" t="n">
        <f aca="false">IF(I3236="","",ABS(I3236))</f>
        <v>5.25</v>
      </c>
      <c r="N3236" s="33" t="n">
        <f aca="false">IF(J3236="","",ABS(J3236))</f>
        <v>5</v>
      </c>
      <c r="O3236" s="33" t="n">
        <f aca="false">IF(K3236="","",ABS(K3236))</f>
        <v>5.651772337</v>
      </c>
      <c r="P3236" s="34" t="str">
        <f aca="false">IF(B3236&gt;=Eval_Start_Week,"YES","")</f>
        <v/>
      </c>
      <c r="Q3236" s="34" t="str">
        <f aca="false">IF(AND(B3236&gt;=Cal_Start_Week,B3236&lt;=Cal_End_Week),"YES","")</f>
        <v/>
      </c>
    </row>
    <row r="3237" customFormat="false" ht="15" hidden="false" customHeight="false" outlineLevel="0" collapsed="false">
      <c r="A3237" s="31" t="str">
        <f aca="false">Demand_History!C3237</f>
        <v>ELE-003</v>
      </c>
      <c r="B3237" s="31" t="n">
        <f aca="false">Demand_History!A3237</f>
        <v>12</v>
      </c>
      <c r="C3237" s="32" t="n">
        <f aca="false">Demand_History!D3237</f>
        <v>23</v>
      </c>
      <c r="D3237" s="33" t="n">
        <f aca="false">IF(B3237&gt;=2,C3236,"")</f>
        <v>24</v>
      </c>
      <c r="E3237" s="33" t="n">
        <f aca="false">IF(B3237&gt;=5,AVERAGE(C3233:C3236),"")</f>
        <v>19.5</v>
      </c>
      <c r="F3237" s="33" t="n">
        <f aca="false">IF(B3237&gt;=9,AVERAGE(C3229:C3236),"")</f>
        <v>19.375</v>
      </c>
      <c r="G3237" s="33" t="n">
        <f aca="false">IF(B3237=1,"",IF(B3237=2,C3236,SES_Alpha*C3236+(1-SES_Alpha)*G3236))</f>
        <v>20.0437593641</v>
      </c>
      <c r="H3237" s="33" t="n">
        <f aca="false">IF(D3237="","",D3237-C3237)</f>
        <v>1</v>
      </c>
      <c r="I3237" s="33" t="n">
        <f aca="false">IF(E3237="","",E3237-C3237)</f>
        <v>-3.5</v>
      </c>
      <c r="J3237" s="33" t="n">
        <f aca="false">IF(F3237="","",F3237-C3237)</f>
        <v>-3.625</v>
      </c>
      <c r="K3237" s="33" t="n">
        <f aca="false">IF(G3237="","",G3237-C3237)</f>
        <v>-2.9562406359</v>
      </c>
      <c r="L3237" s="33" t="n">
        <f aca="false">IF(H3237="","",ABS(H3237))</f>
        <v>1</v>
      </c>
      <c r="M3237" s="33" t="n">
        <f aca="false">IF(I3237="","",ABS(I3237))</f>
        <v>3.5</v>
      </c>
      <c r="N3237" s="33" t="n">
        <f aca="false">IF(J3237="","",ABS(J3237))</f>
        <v>3.625</v>
      </c>
      <c r="O3237" s="33" t="n">
        <f aca="false">IF(K3237="","",ABS(K3237))</f>
        <v>2.9562406359</v>
      </c>
      <c r="P3237" s="34" t="str">
        <f aca="false">IF(B3237&gt;=Eval_Start_Week,"YES","")</f>
        <v/>
      </c>
      <c r="Q3237" s="34" t="str">
        <f aca="false">IF(AND(B3237&gt;=Cal_Start_Week,B3237&lt;=Cal_End_Week),"YES","")</f>
        <v/>
      </c>
    </row>
    <row r="3238" customFormat="false" ht="15" hidden="false" customHeight="false" outlineLevel="0" collapsed="false">
      <c r="A3238" s="31" t="str">
        <f aca="false">Demand_History!C3238</f>
        <v>ELE-003</v>
      </c>
      <c r="B3238" s="31" t="n">
        <f aca="false">Demand_History!A3238</f>
        <v>13</v>
      </c>
      <c r="C3238" s="32" t="n">
        <f aca="false">Demand_History!D3238</f>
        <v>19</v>
      </c>
      <c r="D3238" s="33" t="n">
        <f aca="false">IF(B3238&gt;=2,C3237,"")</f>
        <v>23</v>
      </c>
      <c r="E3238" s="33" t="n">
        <f aca="false">IF(B3238&gt;=5,AVERAGE(C3234:C3237),"")</f>
        <v>20.75</v>
      </c>
      <c r="F3238" s="33" t="n">
        <f aca="false">IF(B3238&gt;=9,AVERAGE(C3230:C3237),"")</f>
        <v>19.75</v>
      </c>
      <c r="G3238" s="33" t="n">
        <f aca="false">IF(B3238=1,"",IF(B3238=2,C3237,SES_Alpha*C3237+(1-SES_Alpha)*G3237))</f>
        <v>20.93063155487</v>
      </c>
      <c r="H3238" s="33" t="n">
        <f aca="false">IF(D3238="","",D3238-C3238)</f>
        <v>4</v>
      </c>
      <c r="I3238" s="33" t="n">
        <f aca="false">IF(E3238="","",E3238-C3238)</f>
        <v>1.75</v>
      </c>
      <c r="J3238" s="33" t="n">
        <f aca="false">IF(F3238="","",F3238-C3238)</f>
        <v>0.75</v>
      </c>
      <c r="K3238" s="33" t="n">
        <f aca="false">IF(G3238="","",G3238-C3238)</f>
        <v>1.93063155487</v>
      </c>
      <c r="L3238" s="33" t="n">
        <f aca="false">IF(H3238="","",ABS(H3238))</f>
        <v>4</v>
      </c>
      <c r="M3238" s="33" t="n">
        <f aca="false">IF(I3238="","",ABS(I3238))</f>
        <v>1.75</v>
      </c>
      <c r="N3238" s="33" t="n">
        <f aca="false">IF(J3238="","",ABS(J3238))</f>
        <v>0.75</v>
      </c>
      <c r="O3238" s="33" t="n">
        <f aca="false">IF(K3238="","",ABS(K3238))</f>
        <v>1.93063155487</v>
      </c>
      <c r="P3238" s="34" t="str">
        <f aca="false">IF(B3238&gt;=Eval_Start_Week,"YES","")</f>
        <v/>
      </c>
      <c r="Q3238" s="34" t="str">
        <f aca="false">IF(AND(B3238&gt;=Cal_Start_Week,B3238&lt;=Cal_End_Week),"YES","")</f>
        <v/>
      </c>
    </row>
    <row r="3239" customFormat="false" ht="15" hidden="false" customHeight="false" outlineLevel="0" collapsed="false">
      <c r="A3239" s="31" t="str">
        <f aca="false">Demand_History!C3239</f>
        <v>ELE-003</v>
      </c>
      <c r="B3239" s="31" t="n">
        <f aca="false">Demand_History!A3239</f>
        <v>14</v>
      </c>
      <c r="C3239" s="32" t="n">
        <f aca="false">Demand_History!D3239</f>
        <v>18</v>
      </c>
      <c r="D3239" s="33" t="n">
        <f aca="false">IF(B3239&gt;=2,C3238,"")</f>
        <v>19</v>
      </c>
      <c r="E3239" s="33" t="n">
        <f aca="false">IF(B3239&gt;=5,AVERAGE(C3235:C3238),"")</f>
        <v>21</v>
      </c>
      <c r="F3239" s="33" t="n">
        <f aca="false">IF(B3239&gt;=9,AVERAGE(C3231:C3238),"")</f>
        <v>19.5</v>
      </c>
      <c r="G3239" s="33" t="n">
        <f aca="false">IF(B3239=1,"",IF(B3239=2,C3238,SES_Alpha*C3238+(1-SES_Alpha)*G3238))</f>
        <v>20.351442088409</v>
      </c>
      <c r="H3239" s="33" t="n">
        <f aca="false">IF(D3239="","",D3239-C3239)</f>
        <v>1</v>
      </c>
      <c r="I3239" s="33" t="n">
        <f aca="false">IF(E3239="","",E3239-C3239)</f>
        <v>3</v>
      </c>
      <c r="J3239" s="33" t="n">
        <f aca="false">IF(F3239="","",F3239-C3239)</f>
        <v>1.5</v>
      </c>
      <c r="K3239" s="33" t="n">
        <f aca="false">IF(G3239="","",G3239-C3239)</f>
        <v>2.351442088409</v>
      </c>
      <c r="L3239" s="33" t="n">
        <f aca="false">IF(H3239="","",ABS(H3239))</f>
        <v>1</v>
      </c>
      <c r="M3239" s="33" t="n">
        <f aca="false">IF(I3239="","",ABS(I3239))</f>
        <v>3</v>
      </c>
      <c r="N3239" s="33" t="n">
        <f aca="false">IF(J3239="","",ABS(J3239))</f>
        <v>1.5</v>
      </c>
      <c r="O3239" s="33" t="n">
        <f aca="false">IF(K3239="","",ABS(K3239))</f>
        <v>2.351442088409</v>
      </c>
      <c r="P3239" s="34" t="str">
        <f aca="false">IF(B3239&gt;=Eval_Start_Week,"YES","")</f>
        <v/>
      </c>
      <c r="Q3239" s="34" t="str">
        <f aca="false">IF(AND(B3239&gt;=Cal_Start_Week,B3239&lt;=Cal_End_Week),"YES","")</f>
        <v/>
      </c>
    </row>
    <row r="3240" customFormat="false" ht="15" hidden="false" customHeight="false" outlineLevel="0" collapsed="false">
      <c r="A3240" s="31" t="str">
        <f aca="false">Demand_History!C3240</f>
        <v>ELE-003</v>
      </c>
      <c r="B3240" s="31" t="n">
        <f aca="false">Demand_History!A3240</f>
        <v>15</v>
      </c>
      <c r="C3240" s="32" t="n">
        <f aca="false">Demand_History!D3240</f>
        <v>21</v>
      </c>
      <c r="D3240" s="33" t="n">
        <f aca="false">IF(B3240&gt;=2,C3239,"")</f>
        <v>18</v>
      </c>
      <c r="E3240" s="33" t="n">
        <f aca="false">IF(B3240&gt;=5,AVERAGE(C3236:C3239),"")</f>
        <v>21</v>
      </c>
      <c r="F3240" s="33" t="n">
        <f aca="false">IF(B3240&gt;=9,AVERAGE(C3232:C3239),"")</f>
        <v>19.875</v>
      </c>
      <c r="G3240" s="33" t="n">
        <f aca="false">IF(B3240=1,"",IF(B3240=2,C3239,SES_Alpha*C3239+(1-SES_Alpha)*G3239))</f>
        <v>19.6460094618863</v>
      </c>
      <c r="H3240" s="33" t="n">
        <f aca="false">IF(D3240="","",D3240-C3240)</f>
        <v>-3</v>
      </c>
      <c r="I3240" s="33" t="n">
        <f aca="false">IF(E3240="","",E3240-C3240)</f>
        <v>0</v>
      </c>
      <c r="J3240" s="33" t="n">
        <f aca="false">IF(F3240="","",F3240-C3240)</f>
        <v>-1.125</v>
      </c>
      <c r="K3240" s="33" t="n">
        <f aca="false">IF(G3240="","",G3240-C3240)</f>
        <v>-1.3539905381137</v>
      </c>
      <c r="L3240" s="33" t="n">
        <f aca="false">IF(H3240="","",ABS(H3240))</f>
        <v>3</v>
      </c>
      <c r="M3240" s="33" t="n">
        <f aca="false">IF(I3240="","",ABS(I3240))</f>
        <v>0</v>
      </c>
      <c r="N3240" s="33" t="n">
        <f aca="false">IF(J3240="","",ABS(J3240))</f>
        <v>1.125</v>
      </c>
      <c r="O3240" s="33" t="n">
        <f aca="false">IF(K3240="","",ABS(K3240))</f>
        <v>1.3539905381137</v>
      </c>
      <c r="P3240" s="34" t="str">
        <f aca="false">IF(B3240&gt;=Eval_Start_Week,"YES","")</f>
        <v/>
      </c>
      <c r="Q3240" s="34" t="str">
        <f aca="false">IF(AND(B3240&gt;=Cal_Start_Week,B3240&lt;=Cal_End_Week),"YES","")</f>
        <v/>
      </c>
    </row>
    <row r="3241" customFormat="false" ht="15" hidden="false" customHeight="false" outlineLevel="0" collapsed="false">
      <c r="A3241" s="31" t="str">
        <f aca="false">Demand_History!C3241</f>
        <v>ELE-003</v>
      </c>
      <c r="B3241" s="31" t="n">
        <f aca="false">Demand_History!A3241</f>
        <v>16</v>
      </c>
      <c r="C3241" s="32" t="n">
        <f aca="false">Demand_History!D3241</f>
        <v>20</v>
      </c>
      <c r="D3241" s="33" t="n">
        <f aca="false">IF(B3241&gt;=2,C3240,"")</f>
        <v>21</v>
      </c>
      <c r="E3241" s="33" t="n">
        <f aca="false">IF(B3241&gt;=5,AVERAGE(C3237:C3240),"")</f>
        <v>20.25</v>
      </c>
      <c r="F3241" s="33" t="n">
        <f aca="false">IF(B3241&gt;=9,AVERAGE(C3233:C3240),"")</f>
        <v>19.875</v>
      </c>
      <c r="G3241" s="33" t="n">
        <f aca="false">IF(B3241=1,"",IF(B3241=2,C3240,SES_Alpha*C3240+(1-SES_Alpha)*G3240))</f>
        <v>20.0522066233204</v>
      </c>
      <c r="H3241" s="33" t="n">
        <f aca="false">IF(D3241="","",D3241-C3241)</f>
        <v>1</v>
      </c>
      <c r="I3241" s="33" t="n">
        <f aca="false">IF(E3241="","",E3241-C3241)</f>
        <v>0.25</v>
      </c>
      <c r="J3241" s="33" t="n">
        <f aca="false">IF(F3241="","",F3241-C3241)</f>
        <v>-0.125</v>
      </c>
      <c r="K3241" s="33" t="n">
        <f aca="false">IF(G3241="","",G3241-C3241)</f>
        <v>0.0522066233204086</v>
      </c>
      <c r="L3241" s="33" t="n">
        <f aca="false">IF(H3241="","",ABS(H3241))</f>
        <v>1</v>
      </c>
      <c r="M3241" s="33" t="n">
        <f aca="false">IF(I3241="","",ABS(I3241))</f>
        <v>0.25</v>
      </c>
      <c r="N3241" s="33" t="n">
        <f aca="false">IF(J3241="","",ABS(J3241))</f>
        <v>0.125</v>
      </c>
      <c r="O3241" s="33" t="n">
        <f aca="false">IF(K3241="","",ABS(K3241))</f>
        <v>0.0522066233204086</v>
      </c>
      <c r="P3241" s="34" t="str">
        <f aca="false">IF(B3241&gt;=Eval_Start_Week,"YES","")</f>
        <v/>
      </c>
      <c r="Q3241" s="34" t="str">
        <f aca="false">IF(AND(B3241&gt;=Cal_Start_Week,B3241&lt;=Cal_End_Week),"YES","")</f>
        <v/>
      </c>
    </row>
    <row r="3242" customFormat="false" ht="15" hidden="false" customHeight="false" outlineLevel="0" collapsed="false">
      <c r="A3242" s="31" t="str">
        <f aca="false">Demand_History!C3242</f>
        <v>ELE-003</v>
      </c>
      <c r="B3242" s="31" t="n">
        <f aca="false">Demand_History!A3242</f>
        <v>17</v>
      </c>
      <c r="C3242" s="32" t="n">
        <f aca="false">Demand_History!D3242</f>
        <v>26</v>
      </c>
      <c r="D3242" s="33" t="n">
        <f aca="false">IF(B3242&gt;=2,C3241,"")</f>
        <v>20</v>
      </c>
      <c r="E3242" s="33" t="n">
        <f aca="false">IF(B3242&gt;=5,AVERAGE(C3238:C3241),"")</f>
        <v>19.5</v>
      </c>
      <c r="F3242" s="33" t="n">
        <f aca="false">IF(B3242&gt;=9,AVERAGE(C3234:C3241),"")</f>
        <v>20.125</v>
      </c>
      <c r="G3242" s="33" t="n">
        <f aca="false">IF(B3242=1,"",IF(B3242=2,C3241,SES_Alpha*C3241+(1-SES_Alpha)*G3241))</f>
        <v>20.0365446363243</v>
      </c>
      <c r="H3242" s="33" t="n">
        <f aca="false">IF(D3242="","",D3242-C3242)</f>
        <v>-6</v>
      </c>
      <c r="I3242" s="33" t="n">
        <f aca="false">IF(E3242="","",E3242-C3242)</f>
        <v>-6.5</v>
      </c>
      <c r="J3242" s="33" t="n">
        <f aca="false">IF(F3242="","",F3242-C3242)</f>
        <v>-5.875</v>
      </c>
      <c r="K3242" s="33" t="n">
        <f aca="false">IF(G3242="","",G3242-C3242)</f>
        <v>-5.96345536367571</v>
      </c>
      <c r="L3242" s="33" t="n">
        <f aca="false">IF(H3242="","",ABS(H3242))</f>
        <v>6</v>
      </c>
      <c r="M3242" s="33" t="n">
        <f aca="false">IF(I3242="","",ABS(I3242))</f>
        <v>6.5</v>
      </c>
      <c r="N3242" s="33" t="n">
        <f aca="false">IF(J3242="","",ABS(J3242))</f>
        <v>5.875</v>
      </c>
      <c r="O3242" s="33" t="n">
        <f aca="false">IF(K3242="","",ABS(K3242))</f>
        <v>5.96345536367571</v>
      </c>
      <c r="P3242" s="34" t="str">
        <f aca="false">IF(B3242&gt;=Eval_Start_Week,"YES","")</f>
        <v/>
      </c>
      <c r="Q3242" s="34" t="str">
        <f aca="false">IF(AND(B3242&gt;=Cal_Start_Week,B3242&lt;=Cal_End_Week),"YES","")</f>
        <v/>
      </c>
    </row>
    <row r="3243" customFormat="false" ht="15" hidden="false" customHeight="false" outlineLevel="0" collapsed="false">
      <c r="A3243" s="31" t="str">
        <f aca="false">Demand_History!C3243</f>
        <v>ELE-003</v>
      </c>
      <c r="B3243" s="31" t="n">
        <f aca="false">Demand_History!A3243</f>
        <v>18</v>
      </c>
      <c r="C3243" s="32" t="n">
        <f aca="false">Demand_History!D3243</f>
        <v>17</v>
      </c>
      <c r="D3243" s="33" t="n">
        <f aca="false">IF(B3243&gt;=2,C3242,"")</f>
        <v>26</v>
      </c>
      <c r="E3243" s="33" t="n">
        <f aca="false">IF(B3243&gt;=5,AVERAGE(C3239:C3242),"")</f>
        <v>21.25</v>
      </c>
      <c r="F3243" s="33" t="n">
        <f aca="false">IF(B3243&gt;=9,AVERAGE(C3235:C3242),"")</f>
        <v>21.125</v>
      </c>
      <c r="G3243" s="33" t="n">
        <f aca="false">IF(B3243=1,"",IF(B3243=2,C3242,SES_Alpha*C3242+(1-SES_Alpha)*G3242))</f>
        <v>21.825581245427</v>
      </c>
      <c r="H3243" s="33" t="n">
        <f aca="false">IF(D3243="","",D3243-C3243)</f>
        <v>9</v>
      </c>
      <c r="I3243" s="33" t="n">
        <f aca="false">IF(E3243="","",E3243-C3243)</f>
        <v>4.25</v>
      </c>
      <c r="J3243" s="33" t="n">
        <f aca="false">IF(F3243="","",F3243-C3243)</f>
        <v>4.125</v>
      </c>
      <c r="K3243" s="33" t="n">
        <f aca="false">IF(G3243="","",G3243-C3243)</f>
        <v>4.825581245427</v>
      </c>
      <c r="L3243" s="33" t="n">
        <f aca="false">IF(H3243="","",ABS(H3243))</f>
        <v>9</v>
      </c>
      <c r="M3243" s="33" t="n">
        <f aca="false">IF(I3243="","",ABS(I3243))</f>
        <v>4.25</v>
      </c>
      <c r="N3243" s="33" t="n">
        <f aca="false">IF(J3243="","",ABS(J3243))</f>
        <v>4.125</v>
      </c>
      <c r="O3243" s="33" t="n">
        <f aca="false">IF(K3243="","",ABS(K3243))</f>
        <v>4.825581245427</v>
      </c>
      <c r="P3243" s="34" t="str">
        <f aca="false">IF(B3243&gt;=Eval_Start_Week,"YES","")</f>
        <v/>
      </c>
      <c r="Q3243" s="34" t="str">
        <f aca="false">IF(AND(B3243&gt;=Cal_Start_Week,B3243&lt;=Cal_End_Week),"YES","")</f>
        <v/>
      </c>
    </row>
    <row r="3244" customFormat="false" ht="15" hidden="false" customHeight="false" outlineLevel="0" collapsed="false">
      <c r="A3244" s="31" t="str">
        <f aca="false">Demand_History!C3244</f>
        <v>ELE-003</v>
      </c>
      <c r="B3244" s="31" t="n">
        <f aca="false">Demand_History!A3244</f>
        <v>19</v>
      </c>
      <c r="C3244" s="32" t="n">
        <f aca="false">Demand_History!D3244</f>
        <v>16</v>
      </c>
      <c r="D3244" s="33" t="n">
        <f aca="false">IF(B3244&gt;=2,C3243,"")</f>
        <v>17</v>
      </c>
      <c r="E3244" s="33" t="n">
        <f aca="false">IF(B3244&gt;=5,AVERAGE(C3240:C3243),"")</f>
        <v>21</v>
      </c>
      <c r="F3244" s="33" t="n">
        <f aca="false">IF(B3244&gt;=9,AVERAGE(C3236:C3243),"")</f>
        <v>21</v>
      </c>
      <c r="G3244" s="33" t="n">
        <f aca="false">IF(B3244=1,"",IF(B3244=2,C3243,SES_Alpha*C3243+(1-SES_Alpha)*G3243))</f>
        <v>20.3779068717989</v>
      </c>
      <c r="H3244" s="33" t="n">
        <f aca="false">IF(D3244="","",D3244-C3244)</f>
        <v>1</v>
      </c>
      <c r="I3244" s="33" t="n">
        <f aca="false">IF(E3244="","",E3244-C3244)</f>
        <v>5</v>
      </c>
      <c r="J3244" s="33" t="n">
        <f aca="false">IF(F3244="","",F3244-C3244)</f>
        <v>5</v>
      </c>
      <c r="K3244" s="33" t="n">
        <f aca="false">IF(G3244="","",G3244-C3244)</f>
        <v>4.3779068717989</v>
      </c>
      <c r="L3244" s="33" t="n">
        <f aca="false">IF(H3244="","",ABS(H3244))</f>
        <v>1</v>
      </c>
      <c r="M3244" s="33" t="n">
        <f aca="false">IF(I3244="","",ABS(I3244))</f>
        <v>5</v>
      </c>
      <c r="N3244" s="33" t="n">
        <f aca="false">IF(J3244="","",ABS(J3244))</f>
        <v>5</v>
      </c>
      <c r="O3244" s="33" t="n">
        <f aca="false">IF(K3244="","",ABS(K3244))</f>
        <v>4.3779068717989</v>
      </c>
      <c r="P3244" s="34" t="str">
        <f aca="false">IF(B3244&gt;=Eval_Start_Week,"YES","")</f>
        <v/>
      </c>
      <c r="Q3244" s="34" t="str">
        <f aca="false">IF(AND(B3244&gt;=Cal_Start_Week,B3244&lt;=Cal_End_Week),"YES","")</f>
        <v/>
      </c>
    </row>
    <row r="3245" customFormat="false" ht="15" hidden="false" customHeight="false" outlineLevel="0" collapsed="false">
      <c r="A3245" s="31" t="str">
        <f aca="false">Demand_History!C3245</f>
        <v>ELE-003</v>
      </c>
      <c r="B3245" s="31" t="n">
        <f aca="false">Demand_History!A3245</f>
        <v>20</v>
      </c>
      <c r="C3245" s="32" t="n">
        <f aca="false">Demand_History!D3245</f>
        <v>21</v>
      </c>
      <c r="D3245" s="33" t="n">
        <f aca="false">IF(B3245&gt;=2,C3244,"")</f>
        <v>16</v>
      </c>
      <c r="E3245" s="33" t="n">
        <f aca="false">IF(B3245&gt;=5,AVERAGE(C3241:C3244),"")</f>
        <v>19.75</v>
      </c>
      <c r="F3245" s="33" t="n">
        <f aca="false">IF(B3245&gt;=9,AVERAGE(C3237:C3244),"")</f>
        <v>20</v>
      </c>
      <c r="G3245" s="33" t="n">
        <f aca="false">IF(B3245=1,"",IF(B3245=2,C3244,SES_Alpha*C3244+(1-SES_Alpha)*G3244))</f>
        <v>19.0645348102592</v>
      </c>
      <c r="H3245" s="33" t="n">
        <f aca="false">IF(D3245="","",D3245-C3245)</f>
        <v>-5</v>
      </c>
      <c r="I3245" s="33" t="n">
        <f aca="false">IF(E3245="","",E3245-C3245)</f>
        <v>-1.25</v>
      </c>
      <c r="J3245" s="33" t="n">
        <f aca="false">IF(F3245="","",F3245-C3245)</f>
        <v>-1</v>
      </c>
      <c r="K3245" s="33" t="n">
        <f aca="false">IF(G3245="","",G3245-C3245)</f>
        <v>-1.93546518974077</v>
      </c>
      <c r="L3245" s="33" t="n">
        <f aca="false">IF(H3245="","",ABS(H3245))</f>
        <v>5</v>
      </c>
      <c r="M3245" s="33" t="n">
        <f aca="false">IF(I3245="","",ABS(I3245))</f>
        <v>1.25</v>
      </c>
      <c r="N3245" s="33" t="n">
        <f aca="false">IF(J3245="","",ABS(J3245))</f>
        <v>1</v>
      </c>
      <c r="O3245" s="33" t="n">
        <f aca="false">IF(K3245="","",ABS(K3245))</f>
        <v>1.93546518974077</v>
      </c>
      <c r="P3245" s="34" t="str">
        <f aca="false">IF(B3245&gt;=Eval_Start_Week,"YES","")</f>
        <v/>
      </c>
      <c r="Q3245" s="34" t="str">
        <f aca="false">IF(AND(B3245&gt;=Cal_Start_Week,B3245&lt;=Cal_End_Week),"YES","")</f>
        <v/>
      </c>
    </row>
    <row r="3246" customFormat="false" ht="15" hidden="false" customHeight="false" outlineLevel="0" collapsed="false">
      <c r="A3246" s="31" t="str">
        <f aca="false">Demand_History!C3246</f>
        <v>ELE-003</v>
      </c>
      <c r="B3246" s="31" t="n">
        <f aca="false">Demand_History!A3246</f>
        <v>21</v>
      </c>
      <c r="C3246" s="32" t="n">
        <f aca="false">Demand_History!D3246</f>
        <v>22</v>
      </c>
      <c r="D3246" s="33" t="n">
        <f aca="false">IF(B3246&gt;=2,C3245,"")</f>
        <v>21</v>
      </c>
      <c r="E3246" s="33" t="n">
        <f aca="false">IF(B3246&gt;=5,AVERAGE(C3242:C3245),"")</f>
        <v>20</v>
      </c>
      <c r="F3246" s="33" t="n">
        <f aca="false">IF(B3246&gt;=9,AVERAGE(C3238:C3245),"")</f>
        <v>19.75</v>
      </c>
      <c r="G3246" s="33" t="n">
        <f aca="false">IF(B3246=1,"",IF(B3246=2,C3245,SES_Alpha*C3245+(1-SES_Alpha)*G3245))</f>
        <v>19.6451743671815</v>
      </c>
      <c r="H3246" s="33" t="n">
        <f aca="false">IF(D3246="","",D3246-C3246)</f>
        <v>-1</v>
      </c>
      <c r="I3246" s="33" t="n">
        <f aca="false">IF(E3246="","",E3246-C3246)</f>
        <v>-2</v>
      </c>
      <c r="J3246" s="33" t="n">
        <f aca="false">IF(F3246="","",F3246-C3246)</f>
        <v>-2.25</v>
      </c>
      <c r="K3246" s="33" t="n">
        <f aca="false">IF(G3246="","",G3246-C3246)</f>
        <v>-2.35482563281854</v>
      </c>
      <c r="L3246" s="33" t="n">
        <f aca="false">IF(H3246="","",ABS(H3246))</f>
        <v>1</v>
      </c>
      <c r="M3246" s="33" t="n">
        <f aca="false">IF(I3246="","",ABS(I3246))</f>
        <v>2</v>
      </c>
      <c r="N3246" s="33" t="n">
        <f aca="false">IF(J3246="","",ABS(J3246))</f>
        <v>2.25</v>
      </c>
      <c r="O3246" s="33" t="n">
        <f aca="false">IF(K3246="","",ABS(K3246))</f>
        <v>2.35482563281854</v>
      </c>
      <c r="P3246" s="34" t="str">
        <f aca="false">IF(B3246&gt;=Eval_Start_Week,"YES","")</f>
        <v/>
      </c>
      <c r="Q3246" s="34" t="str">
        <f aca="false">IF(AND(B3246&gt;=Cal_Start_Week,B3246&lt;=Cal_End_Week),"YES","")</f>
        <v/>
      </c>
    </row>
    <row r="3247" customFormat="false" ht="15" hidden="false" customHeight="false" outlineLevel="0" collapsed="false">
      <c r="A3247" s="31" t="str">
        <f aca="false">Demand_History!C3247</f>
        <v>ELE-003</v>
      </c>
      <c r="B3247" s="31" t="n">
        <f aca="false">Demand_History!A3247</f>
        <v>22</v>
      </c>
      <c r="C3247" s="32" t="n">
        <f aca="false">Demand_History!D3247</f>
        <v>23</v>
      </c>
      <c r="D3247" s="33" t="n">
        <f aca="false">IF(B3247&gt;=2,C3246,"")</f>
        <v>22</v>
      </c>
      <c r="E3247" s="33" t="n">
        <f aca="false">IF(B3247&gt;=5,AVERAGE(C3243:C3246),"")</f>
        <v>19</v>
      </c>
      <c r="F3247" s="33" t="n">
        <f aca="false">IF(B3247&gt;=9,AVERAGE(C3239:C3246),"")</f>
        <v>20.125</v>
      </c>
      <c r="G3247" s="33" t="n">
        <f aca="false">IF(B3247=1,"",IF(B3247=2,C3246,SES_Alpha*C3246+(1-SES_Alpha)*G3246))</f>
        <v>20.351622057027</v>
      </c>
      <c r="H3247" s="33" t="n">
        <f aca="false">IF(D3247="","",D3247-C3247)</f>
        <v>-1</v>
      </c>
      <c r="I3247" s="33" t="n">
        <f aca="false">IF(E3247="","",E3247-C3247)</f>
        <v>-4</v>
      </c>
      <c r="J3247" s="33" t="n">
        <f aca="false">IF(F3247="","",F3247-C3247)</f>
        <v>-2.875</v>
      </c>
      <c r="K3247" s="33" t="n">
        <f aca="false">IF(G3247="","",G3247-C3247)</f>
        <v>-2.64837794297298</v>
      </c>
      <c r="L3247" s="33" t="n">
        <f aca="false">IF(H3247="","",ABS(H3247))</f>
        <v>1</v>
      </c>
      <c r="M3247" s="33" t="n">
        <f aca="false">IF(I3247="","",ABS(I3247))</f>
        <v>4</v>
      </c>
      <c r="N3247" s="33" t="n">
        <f aca="false">IF(J3247="","",ABS(J3247))</f>
        <v>2.875</v>
      </c>
      <c r="O3247" s="33" t="n">
        <f aca="false">IF(K3247="","",ABS(K3247))</f>
        <v>2.64837794297298</v>
      </c>
      <c r="P3247" s="34" t="str">
        <f aca="false">IF(B3247&gt;=Eval_Start_Week,"YES","")</f>
        <v/>
      </c>
      <c r="Q3247" s="34" t="str">
        <f aca="false">IF(AND(B3247&gt;=Cal_Start_Week,B3247&lt;=Cal_End_Week),"YES","")</f>
        <v/>
      </c>
    </row>
    <row r="3248" customFormat="false" ht="15" hidden="false" customHeight="false" outlineLevel="0" collapsed="false">
      <c r="A3248" s="31" t="str">
        <f aca="false">Demand_History!C3248</f>
        <v>ELE-003</v>
      </c>
      <c r="B3248" s="31" t="n">
        <f aca="false">Demand_History!A3248</f>
        <v>23</v>
      </c>
      <c r="C3248" s="32" t="n">
        <f aca="false">Demand_History!D3248</f>
        <v>25</v>
      </c>
      <c r="D3248" s="33" t="n">
        <f aca="false">IF(B3248&gt;=2,C3247,"")</f>
        <v>23</v>
      </c>
      <c r="E3248" s="33" t="n">
        <f aca="false">IF(B3248&gt;=5,AVERAGE(C3244:C3247),"")</f>
        <v>20.5</v>
      </c>
      <c r="F3248" s="33" t="n">
        <f aca="false">IF(B3248&gt;=9,AVERAGE(C3240:C3247),"")</f>
        <v>20.75</v>
      </c>
      <c r="G3248" s="33" t="n">
        <f aca="false">IF(B3248=1,"",IF(B3248=2,C3247,SES_Alpha*C3247+(1-SES_Alpha)*G3247))</f>
        <v>21.1461354399189</v>
      </c>
      <c r="H3248" s="33" t="n">
        <f aca="false">IF(D3248="","",D3248-C3248)</f>
        <v>-2</v>
      </c>
      <c r="I3248" s="33" t="n">
        <f aca="false">IF(E3248="","",E3248-C3248)</f>
        <v>-4.5</v>
      </c>
      <c r="J3248" s="33" t="n">
        <f aca="false">IF(F3248="","",F3248-C3248)</f>
        <v>-4.25</v>
      </c>
      <c r="K3248" s="33" t="n">
        <f aca="false">IF(G3248="","",G3248-C3248)</f>
        <v>-3.85386456008109</v>
      </c>
      <c r="L3248" s="33" t="n">
        <f aca="false">IF(H3248="","",ABS(H3248))</f>
        <v>2</v>
      </c>
      <c r="M3248" s="33" t="n">
        <f aca="false">IF(I3248="","",ABS(I3248))</f>
        <v>4.5</v>
      </c>
      <c r="N3248" s="33" t="n">
        <f aca="false">IF(J3248="","",ABS(J3248))</f>
        <v>4.25</v>
      </c>
      <c r="O3248" s="33" t="n">
        <f aca="false">IF(K3248="","",ABS(K3248))</f>
        <v>3.85386456008109</v>
      </c>
      <c r="P3248" s="34" t="str">
        <f aca="false">IF(B3248&gt;=Eval_Start_Week,"YES","")</f>
        <v/>
      </c>
      <c r="Q3248" s="34" t="str">
        <f aca="false">IF(AND(B3248&gt;=Cal_Start_Week,B3248&lt;=Cal_End_Week),"YES","")</f>
        <v/>
      </c>
    </row>
    <row r="3249" customFormat="false" ht="15" hidden="false" customHeight="false" outlineLevel="0" collapsed="false">
      <c r="A3249" s="31" t="str">
        <f aca="false">Demand_History!C3249</f>
        <v>ELE-003</v>
      </c>
      <c r="B3249" s="31" t="n">
        <f aca="false">Demand_History!A3249</f>
        <v>24</v>
      </c>
      <c r="C3249" s="32" t="n">
        <f aca="false">Demand_History!D3249</f>
        <v>30</v>
      </c>
      <c r="D3249" s="33" t="n">
        <f aca="false">IF(B3249&gt;=2,C3248,"")</f>
        <v>25</v>
      </c>
      <c r="E3249" s="33" t="n">
        <f aca="false">IF(B3249&gt;=5,AVERAGE(C3245:C3248),"")</f>
        <v>22.75</v>
      </c>
      <c r="F3249" s="33" t="n">
        <f aca="false">IF(B3249&gt;=9,AVERAGE(C3241:C3248),"")</f>
        <v>21.25</v>
      </c>
      <c r="G3249" s="33" t="n">
        <f aca="false">IF(B3249=1,"",IF(B3249=2,C3248,SES_Alpha*C3248+(1-SES_Alpha)*G3248))</f>
        <v>22.3022948079432</v>
      </c>
      <c r="H3249" s="33" t="n">
        <f aca="false">IF(D3249="","",D3249-C3249)</f>
        <v>-5</v>
      </c>
      <c r="I3249" s="33" t="n">
        <f aca="false">IF(E3249="","",E3249-C3249)</f>
        <v>-7.25</v>
      </c>
      <c r="J3249" s="33" t="n">
        <f aca="false">IF(F3249="","",F3249-C3249)</f>
        <v>-8.75</v>
      </c>
      <c r="K3249" s="33" t="n">
        <f aca="false">IF(G3249="","",G3249-C3249)</f>
        <v>-7.69770519205676</v>
      </c>
      <c r="L3249" s="33" t="n">
        <f aca="false">IF(H3249="","",ABS(H3249))</f>
        <v>5</v>
      </c>
      <c r="M3249" s="33" t="n">
        <f aca="false">IF(I3249="","",ABS(I3249))</f>
        <v>7.25</v>
      </c>
      <c r="N3249" s="33" t="n">
        <f aca="false">IF(J3249="","",ABS(J3249))</f>
        <v>8.75</v>
      </c>
      <c r="O3249" s="33" t="n">
        <f aca="false">IF(K3249="","",ABS(K3249))</f>
        <v>7.69770519205676</v>
      </c>
      <c r="P3249" s="34" t="str">
        <f aca="false">IF(B3249&gt;=Eval_Start_Week,"YES","")</f>
        <v/>
      </c>
      <c r="Q3249" s="34" t="str">
        <f aca="false">IF(AND(B3249&gt;=Cal_Start_Week,B3249&lt;=Cal_End_Week),"YES","")</f>
        <v/>
      </c>
    </row>
    <row r="3250" customFormat="false" ht="15" hidden="false" customHeight="false" outlineLevel="0" collapsed="false">
      <c r="A3250" s="31" t="str">
        <f aca="false">Demand_History!C3250</f>
        <v>ELE-003</v>
      </c>
      <c r="B3250" s="31" t="n">
        <f aca="false">Demand_History!A3250</f>
        <v>25</v>
      </c>
      <c r="C3250" s="32" t="n">
        <f aca="false">Demand_History!D3250</f>
        <v>22</v>
      </c>
      <c r="D3250" s="33" t="n">
        <f aca="false">IF(B3250&gt;=2,C3249,"")</f>
        <v>30</v>
      </c>
      <c r="E3250" s="33" t="n">
        <f aca="false">IF(B3250&gt;=5,AVERAGE(C3246:C3249),"")</f>
        <v>25</v>
      </c>
      <c r="F3250" s="33" t="n">
        <f aca="false">IF(B3250&gt;=9,AVERAGE(C3242:C3249),"")</f>
        <v>22.5</v>
      </c>
      <c r="G3250" s="33" t="n">
        <f aca="false">IF(B3250=1,"",IF(B3250=2,C3249,SES_Alpha*C3249+(1-SES_Alpha)*G3249))</f>
        <v>24.6116063655603</v>
      </c>
      <c r="H3250" s="33" t="n">
        <f aca="false">IF(D3250="","",D3250-C3250)</f>
        <v>8</v>
      </c>
      <c r="I3250" s="33" t="n">
        <f aca="false">IF(E3250="","",E3250-C3250)</f>
        <v>3</v>
      </c>
      <c r="J3250" s="33" t="n">
        <f aca="false">IF(F3250="","",F3250-C3250)</f>
        <v>0.5</v>
      </c>
      <c r="K3250" s="33" t="n">
        <f aca="false">IF(G3250="","",G3250-C3250)</f>
        <v>2.61160636556026</v>
      </c>
      <c r="L3250" s="33" t="n">
        <f aca="false">IF(H3250="","",ABS(H3250))</f>
        <v>8</v>
      </c>
      <c r="M3250" s="33" t="n">
        <f aca="false">IF(I3250="","",ABS(I3250))</f>
        <v>3</v>
      </c>
      <c r="N3250" s="33" t="n">
        <f aca="false">IF(J3250="","",ABS(J3250))</f>
        <v>0.5</v>
      </c>
      <c r="O3250" s="33" t="n">
        <f aca="false">IF(K3250="","",ABS(K3250))</f>
        <v>2.61160636556026</v>
      </c>
      <c r="P3250" s="34" t="str">
        <f aca="false">IF(B3250&gt;=Eval_Start_Week,"YES","")</f>
        <v/>
      </c>
      <c r="Q3250" s="34" t="str">
        <f aca="false">IF(AND(B3250&gt;=Cal_Start_Week,B3250&lt;=Cal_End_Week),"YES","")</f>
        <v/>
      </c>
    </row>
    <row r="3251" customFormat="false" ht="15" hidden="false" customHeight="false" outlineLevel="0" collapsed="false">
      <c r="A3251" s="31" t="str">
        <f aca="false">Demand_History!C3251</f>
        <v>ELE-003</v>
      </c>
      <c r="B3251" s="31" t="n">
        <f aca="false">Demand_History!A3251</f>
        <v>26</v>
      </c>
      <c r="C3251" s="32" t="n">
        <f aca="false">Demand_History!D3251</f>
        <v>22</v>
      </c>
      <c r="D3251" s="33" t="n">
        <f aca="false">IF(B3251&gt;=2,C3250,"")</f>
        <v>22</v>
      </c>
      <c r="E3251" s="33" t="n">
        <f aca="false">IF(B3251&gt;=5,AVERAGE(C3247:C3250),"")</f>
        <v>25</v>
      </c>
      <c r="F3251" s="33" t="n">
        <f aca="false">IF(B3251&gt;=9,AVERAGE(C3243:C3250),"")</f>
        <v>22</v>
      </c>
      <c r="G3251" s="33" t="n">
        <f aca="false">IF(B3251=1,"",IF(B3251=2,C3250,SES_Alpha*C3250+(1-SES_Alpha)*G3250))</f>
        <v>23.8281244558922</v>
      </c>
      <c r="H3251" s="33" t="n">
        <f aca="false">IF(D3251="","",D3251-C3251)</f>
        <v>0</v>
      </c>
      <c r="I3251" s="33" t="n">
        <f aca="false">IF(E3251="","",E3251-C3251)</f>
        <v>3</v>
      </c>
      <c r="J3251" s="33" t="n">
        <f aca="false">IF(F3251="","",F3251-C3251)</f>
        <v>0</v>
      </c>
      <c r="K3251" s="33" t="n">
        <f aca="false">IF(G3251="","",G3251-C3251)</f>
        <v>1.82812445589218</v>
      </c>
      <c r="L3251" s="33" t="n">
        <f aca="false">IF(H3251="","",ABS(H3251))</f>
        <v>0</v>
      </c>
      <c r="M3251" s="33" t="n">
        <f aca="false">IF(I3251="","",ABS(I3251))</f>
        <v>3</v>
      </c>
      <c r="N3251" s="33" t="n">
        <f aca="false">IF(J3251="","",ABS(J3251))</f>
        <v>0</v>
      </c>
      <c r="O3251" s="33" t="n">
        <f aca="false">IF(K3251="","",ABS(K3251))</f>
        <v>1.82812445589218</v>
      </c>
      <c r="P3251" s="34" t="str">
        <f aca="false">IF(B3251&gt;=Eval_Start_Week,"YES","")</f>
        <v/>
      </c>
      <c r="Q3251" s="34" t="str">
        <f aca="false">IF(AND(B3251&gt;=Cal_Start_Week,B3251&lt;=Cal_End_Week),"YES","")</f>
        <v/>
      </c>
    </row>
    <row r="3252" customFormat="false" ht="15" hidden="false" customHeight="false" outlineLevel="0" collapsed="false">
      <c r="A3252" s="31" t="str">
        <f aca="false">Demand_History!C3252</f>
        <v>ELE-003</v>
      </c>
      <c r="B3252" s="31" t="n">
        <f aca="false">Demand_History!A3252</f>
        <v>27</v>
      </c>
      <c r="C3252" s="32" t="n">
        <f aca="false">Demand_History!D3252</f>
        <v>18</v>
      </c>
      <c r="D3252" s="33" t="n">
        <f aca="false">IF(B3252&gt;=2,C3251,"")</f>
        <v>22</v>
      </c>
      <c r="E3252" s="33" t="n">
        <f aca="false">IF(B3252&gt;=5,AVERAGE(C3248:C3251),"")</f>
        <v>24.75</v>
      </c>
      <c r="F3252" s="33" t="n">
        <f aca="false">IF(B3252&gt;=9,AVERAGE(C3244:C3251),"")</f>
        <v>22.625</v>
      </c>
      <c r="G3252" s="33" t="n">
        <f aca="false">IF(B3252=1,"",IF(B3252=2,C3251,SES_Alpha*C3251+(1-SES_Alpha)*G3251))</f>
        <v>23.2796871191245</v>
      </c>
      <c r="H3252" s="33" t="n">
        <f aca="false">IF(D3252="","",D3252-C3252)</f>
        <v>4</v>
      </c>
      <c r="I3252" s="33" t="n">
        <f aca="false">IF(E3252="","",E3252-C3252)</f>
        <v>6.75</v>
      </c>
      <c r="J3252" s="33" t="n">
        <f aca="false">IF(F3252="","",F3252-C3252)</f>
        <v>4.625</v>
      </c>
      <c r="K3252" s="33" t="n">
        <f aca="false">IF(G3252="","",G3252-C3252)</f>
        <v>5.27968711912452</v>
      </c>
      <c r="L3252" s="33" t="n">
        <f aca="false">IF(H3252="","",ABS(H3252))</f>
        <v>4</v>
      </c>
      <c r="M3252" s="33" t="n">
        <f aca="false">IF(I3252="","",ABS(I3252))</f>
        <v>6.75</v>
      </c>
      <c r="N3252" s="33" t="n">
        <f aca="false">IF(J3252="","",ABS(J3252))</f>
        <v>4.625</v>
      </c>
      <c r="O3252" s="33" t="n">
        <f aca="false">IF(K3252="","",ABS(K3252))</f>
        <v>5.27968711912452</v>
      </c>
      <c r="P3252" s="34" t="str">
        <f aca="false">IF(B3252&gt;=Eval_Start_Week,"YES","")</f>
        <v/>
      </c>
      <c r="Q3252" s="34" t="str">
        <f aca="false">IF(AND(B3252&gt;=Cal_Start_Week,B3252&lt;=Cal_End_Week),"YES","")</f>
        <v/>
      </c>
    </row>
    <row r="3253" customFormat="false" ht="15" hidden="false" customHeight="false" outlineLevel="0" collapsed="false">
      <c r="A3253" s="31" t="str">
        <f aca="false">Demand_History!C3253</f>
        <v>ELE-003</v>
      </c>
      <c r="B3253" s="31" t="n">
        <f aca="false">Demand_History!A3253</f>
        <v>28</v>
      </c>
      <c r="C3253" s="32" t="n">
        <f aca="false">Demand_History!D3253</f>
        <v>25</v>
      </c>
      <c r="D3253" s="33" t="n">
        <f aca="false">IF(B3253&gt;=2,C3252,"")</f>
        <v>18</v>
      </c>
      <c r="E3253" s="33" t="n">
        <f aca="false">IF(B3253&gt;=5,AVERAGE(C3249:C3252),"")</f>
        <v>23</v>
      </c>
      <c r="F3253" s="33" t="n">
        <f aca="false">IF(B3253&gt;=9,AVERAGE(C3245:C3252),"")</f>
        <v>22.875</v>
      </c>
      <c r="G3253" s="33" t="n">
        <f aca="false">IF(B3253=1,"",IF(B3253=2,C3252,SES_Alpha*C3252+(1-SES_Alpha)*G3252))</f>
        <v>21.6957809833872</v>
      </c>
      <c r="H3253" s="33" t="n">
        <f aca="false">IF(D3253="","",D3253-C3253)</f>
        <v>-7</v>
      </c>
      <c r="I3253" s="33" t="n">
        <f aca="false">IF(E3253="","",E3253-C3253)</f>
        <v>-2</v>
      </c>
      <c r="J3253" s="33" t="n">
        <f aca="false">IF(F3253="","",F3253-C3253)</f>
        <v>-2.125</v>
      </c>
      <c r="K3253" s="33" t="n">
        <f aca="false">IF(G3253="","",G3253-C3253)</f>
        <v>-3.30421901661283</v>
      </c>
      <c r="L3253" s="33" t="n">
        <f aca="false">IF(H3253="","",ABS(H3253))</f>
        <v>7</v>
      </c>
      <c r="M3253" s="33" t="n">
        <f aca="false">IF(I3253="","",ABS(I3253))</f>
        <v>2</v>
      </c>
      <c r="N3253" s="33" t="n">
        <f aca="false">IF(J3253="","",ABS(J3253))</f>
        <v>2.125</v>
      </c>
      <c r="O3253" s="33" t="n">
        <f aca="false">IF(K3253="","",ABS(K3253))</f>
        <v>3.30421901661283</v>
      </c>
      <c r="P3253" s="34" t="str">
        <f aca="false">IF(B3253&gt;=Eval_Start_Week,"YES","")</f>
        <v/>
      </c>
      <c r="Q3253" s="34" t="str">
        <f aca="false">IF(AND(B3253&gt;=Cal_Start_Week,B3253&lt;=Cal_End_Week),"YES","")</f>
        <v/>
      </c>
    </row>
    <row r="3254" customFormat="false" ht="15" hidden="false" customHeight="false" outlineLevel="0" collapsed="false">
      <c r="A3254" s="31" t="str">
        <f aca="false">Demand_History!C3254</f>
        <v>ELE-003</v>
      </c>
      <c r="B3254" s="31" t="n">
        <f aca="false">Demand_History!A3254</f>
        <v>29</v>
      </c>
      <c r="C3254" s="32" t="n">
        <f aca="false">Demand_History!D3254</f>
        <v>27</v>
      </c>
      <c r="D3254" s="33" t="n">
        <f aca="false">IF(B3254&gt;=2,C3253,"")</f>
        <v>25</v>
      </c>
      <c r="E3254" s="33" t="n">
        <f aca="false">IF(B3254&gt;=5,AVERAGE(C3250:C3253),"")</f>
        <v>21.75</v>
      </c>
      <c r="F3254" s="33" t="n">
        <f aca="false">IF(B3254&gt;=9,AVERAGE(C3246:C3253),"")</f>
        <v>23.375</v>
      </c>
      <c r="G3254" s="33" t="n">
        <f aca="false">IF(B3254=1,"",IF(B3254=2,C3253,SES_Alpha*C3253+(1-SES_Alpha)*G3253))</f>
        <v>22.687046688371</v>
      </c>
      <c r="H3254" s="33" t="n">
        <f aca="false">IF(D3254="","",D3254-C3254)</f>
        <v>-2</v>
      </c>
      <c r="I3254" s="33" t="n">
        <f aca="false">IF(E3254="","",E3254-C3254)</f>
        <v>-5.25</v>
      </c>
      <c r="J3254" s="33" t="n">
        <f aca="false">IF(F3254="","",F3254-C3254)</f>
        <v>-3.625</v>
      </c>
      <c r="K3254" s="33" t="n">
        <f aca="false">IF(G3254="","",G3254-C3254)</f>
        <v>-4.31295331162898</v>
      </c>
      <c r="L3254" s="33" t="n">
        <f aca="false">IF(H3254="","",ABS(H3254))</f>
        <v>2</v>
      </c>
      <c r="M3254" s="33" t="n">
        <f aca="false">IF(I3254="","",ABS(I3254))</f>
        <v>5.25</v>
      </c>
      <c r="N3254" s="33" t="n">
        <f aca="false">IF(J3254="","",ABS(J3254))</f>
        <v>3.625</v>
      </c>
      <c r="O3254" s="33" t="n">
        <f aca="false">IF(K3254="","",ABS(K3254))</f>
        <v>4.31295331162898</v>
      </c>
      <c r="P3254" s="34" t="str">
        <f aca="false">IF(B3254&gt;=Eval_Start_Week,"YES","")</f>
        <v/>
      </c>
      <c r="Q3254" s="34" t="str">
        <f aca="false">IF(AND(B3254&gt;=Cal_Start_Week,B3254&lt;=Cal_End_Week),"YES","")</f>
        <v/>
      </c>
    </row>
    <row r="3255" customFormat="false" ht="15" hidden="false" customHeight="false" outlineLevel="0" collapsed="false">
      <c r="A3255" s="31" t="str">
        <f aca="false">Demand_History!C3255</f>
        <v>ELE-003</v>
      </c>
      <c r="B3255" s="31" t="n">
        <f aca="false">Demand_History!A3255</f>
        <v>30</v>
      </c>
      <c r="C3255" s="32" t="n">
        <f aca="false">Demand_History!D3255</f>
        <v>23</v>
      </c>
      <c r="D3255" s="33" t="n">
        <f aca="false">IF(B3255&gt;=2,C3254,"")</f>
        <v>27</v>
      </c>
      <c r="E3255" s="33" t="n">
        <f aca="false">IF(B3255&gt;=5,AVERAGE(C3251:C3254),"")</f>
        <v>23</v>
      </c>
      <c r="F3255" s="33" t="n">
        <f aca="false">IF(B3255&gt;=9,AVERAGE(C3247:C3254),"")</f>
        <v>24</v>
      </c>
      <c r="G3255" s="33" t="n">
        <f aca="false">IF(B3255=1,"",IF(B3255=2,C3254,SES_Alpha*C3254+(1-SES_Alpha)*G3254))</f>
        <v>23.9809326818597</v>
      </c>
      <c r="H3255" s="33" t="n">
        <f aca="false">IF(D3255="","",D3255-C3255)</f>
        <v>4</v>
      </c>
      <c r="I3255" s="33" t="n">
        <f aca="false">IF(E3255="","",E3255-C3255)</f>
        <v>0</v>
      </c>
      <c r="J3255" s="33" t="n">
        <f aca="false">IF(F3255="","",F3255-C3255)</f>
        <v>1</v>
      </c>
      <c r="K3255" s="33" t="n">
        <f aca="false">IF(G3255="","",G3255-C3255)</f>
        <v>0.980932681859709</v>
      </c>
      <c r="L3255" s="33" t="n">
        <f aca="false">IF(H3255="","",ABS(H3255))</f>
        <v>4</v>
      </c>
      <c r="M3255" s="33" t="n">
        <f aca="false">IF(I3255="","",ABS(I3255))</f>
        <v>0</v>
      </c>
      <c r="N3255" s="33" t="n">
        <f aca="false">IF(J3255="","",ABS(J3255))</f>
        <v>1</v>
      </c>
      <c r="O3255" s="33" t="n">
        <f aca="false">IF(K3255="","",ABS(K3255))</f>
        <v>0.980932681859709</v>
      </c>
      <c r="P3255" s="34" t="str">
        <f aca="false">IF(B3255&gt;=Eval_Start_Week,"YES","")</f>
        <v/>
      </c>
      <c r="Q3255" s="34" t="str">
        <f aca="false">IF(AND(B3255&gt;=Cal_Start_Week,B3255&lt;=Cal_End_Week),"YES","")</f>
        <v/>
      </c>
    </row>
    <row r="3256" customFormat="false" ht="15" hidden="false" customHeight="false" outlineLevel="0" collapsed="false">
      <c r="A3256" s="31" t="str">
        <f aca="false">Demand_History!C3256</f>
        <v>ELE-003</v>
      </c>
      <c r="B3256" s="31" t="n">
        <f aca="false">Demand_History!A3256</f>
        <v>31</v>
      </c>
      <c r="C3256" s="32" t="n">
        <f aca="false">Demand_History!D3256</f>
        <v>28</v>
      </c>
      <c r="D3256" s="33" t="n">
        <f aca="false">IF(B3256&gt;=2,C3255,"")</f>
        <v>23</v>
      </c>
      <c r="E3256" s="33" t="n">
        <f aca="false">IF(B3256&gt;=5,AVERAGE(C3252:C3255),"")</f>
        <v>23.25</v>
      </c>
      <c r="F3256" s="33" t="n">
        <f aca="false">IF(B3256&gt;=9,AVERAGE(C3248:C3255),"")</f>
        <v>24</v>
      </c>
      <c r="G3256" s="33" t="n">
        <f aca="false">IF(B3256=1,"",IF(B3256=2,C3255,SES_Alpha*C3255+(1-SES_Alpha)*G3255))</f>
        <v>23.6866528773018</v>
      </c>
      <c r="H3256" s="33" t="n">
        <f aca="false">IF(D3256="","",D3256-C3256)</f>
        <v>-5</v>
      </c>
      <c r="I3256" s="33" t="n">
        <f aca="false">IF(E3256="","",E3256-C3256)</f>
        <v>-4.75</v>
      </c>
      <c r="J3256" s="33" t="n">
        <f aca="false">IF(F3256="","",F3256-C3256)</f>
        <v>-4</v>
      </c>
      <c r="K3256" s="33" t="n">
        <f aca="false">IF(G3256="","",G3256-C3256)</f>
        <v>-4.31334712269821</v>
      </c>
      <c r="L3256" s="33" t="n">
        <f aca="false">IF(H3256="","",ABS(H3256))</f>
        <v>5</v>
      </c>
      <c r="M3256" s="33" t="n">
        <f aca="false">IF(I3256="","",ABS(I3256))</f>
        <v>4.75</v>
      </c>
      <c r="N3256" s="33" t="n">
        <f aca="false">IF(J3256="","",ABS(J3256))</f>
        <v>4</v>
      </c>
      <c r="O3256" s="33" t="n">
        <f aca="false">IF(K3256="","",ABS(K3256))</f>
        <v>4.31334712269821</v>
      </c>
      <c r="P3256" s="34" t="str">
        <f aca="false">IF(B3256&gt;=Eval_Start_Week,"YES","")</f>
        <v/>
      </c>
      <c r="Q3256" s="34" t="str">
        <f aca="false">IF(AND(B3256&gt;=Cal_Start_Week,B3256&lt;=Cal_End_Week),"YES","")</f>
        <v/>
      </c>
    </row>
    <row r="3257" customFormat="false" ht="15" hidden="false" customHeight="false" outlineLevel="0" collapsed="false">
      <c r="A3257" s="31" t="str">
        <f aca="false">Demand_History!C3257</f>
        <v>ELE-003</v>
      </c>
      <c r="B3257" s="31" t="n">
        <f aca="false">Demand_History!A3257</f>
        <v>32</v>
      </c>
      <c r="C3257" s="32" t="n">
        <f aca="false">Demand_History!D3257</f>
        <v>25</v>
      </c>
      <c r="D3257" s="33" t="n">
        <f aca="false">IF(B3257&gt;=2,C3256,"")</f>
        <v>28</v>
      </c>
      <c r="E3257" s="33" t="n">
        <f aca="false">IF(B3257&gt;=5,AVERAGE(C3253:C3256),"")</f>
        <v>25.75</v>
      </c>
      <c r="F3257" s="33" t="n">
        <f aca="false">IF(B3257&gt;=9,AVERAGE(C3249:C3256),"")</f>
        <v>24.375</v>
      </c>
      <c r="G3257" s="33" t="n">
        <f aca="false">IF(B3257=1,"",IF(B3257=2,C3256,SES_Alpha*C3256+(1-SES_Alpha)*G3256))</f>
        <v>24.9806570141113</v>
      </c>
      <c r="H3257" s="33" t="n">
        <f aca="false">IF(D3257="","",D3257-C3257)</f>
        <v>3</v>
      </c>
      <c r="I3257" s="33" t="n">
        <f aca="false">IF(E3257="","",E3257-C3257)</f>
        <v>0.75</v>
      </c>
      <c r="J3257" s="33" t="n">
        <f aca="false">IF(F3257="","",F3257-C3257)</f>
        <v>-0.625</v>
      </c>
      <c r="K3257" s="33" t="n">
        <f aca="false">IF(G3257="","",G3257-C3257)</f>
        <v>-0.0193429858887484</v>
      </c>
      <c r="L3257" s="33" t="n">
        <f aca="false">IF(H3257="","",ABS(H3257))</f>
        <v>3</v>
      </c>
      <c r="M3257" s="33" t="n">
        <f aca="false">IF(I3257="","",ABS(I3257))</f>
        <v>0.75</v>
      </c>
      <c r="N3257" s="33" t="n">
        <f aca="false">IF(J3257="","",ABS(J3257))</f>
        <v>0.625</v>
      </c>
      <c r="O3257" s="33" t="n">
        <f aca="false">IF(K3257="","",ABS(K3257))</f>
        <v>0.0193429858887484</v>
      </c>
      <c r="P3257" s="34" t="str">
        <f aca="false">IF(B3257&gt;=Eval_Start_Week,"YES","")</f>
        <v/>
      </c>
      <c r="Q3257" s="34" t="str">
        <f aca="false">IF(AND(B3257&gt;=Cal_Start_Week,B3257&lt;=Cal_End_Week),"YES","")</f>
        <v/>
      </c>
    </row>
    <row r="3258" customFormat="false" ht="15" hidden="false" customHeight="false" outlineLevel="0" collapsed="false">
      <c r="A3258" s="31" t="str">
        <f aca="false">Demand_History!C3258</f>
        <v>ELE-003</v>
      </c>
      <c r="B3258" s="31" t="n">
        <f aca="false">Demand_History!A3258</f>
        <v>33</v>
      </c>
      <c r="C3258" s="32" t="n">
        <f aca="false">Demand_History!D3258</f>
        <v>30</v>
      </c>
      <c r="D3258" s="33" t="n">
        <f aca="false">IF(B3258&gt;=2,C3257,"")</f>
        <v>25</v>
      </c>
      <c r="E3258" s="33" t="n">
        <f aca="false">IF(B3258&gt;=5,AVERAGE(C3254:C3257),"")</f>
        <v>25.75</v>
      </c>
      <c r="F3258" s="33" t="n">
        <f aca="false">IF(B3258&gt;=9,AVERAGE(C3250:C3257),"")</f>
        <v>23.75</v>
      </c>
      <c r="G3258" s="33" t="n">
        <f aca="false">IF(B3258=1,"",IF(B3258=2,C3257,SES_Alpha*C3257+(1-SES_Alpha)*G3257))</f>
        <v>24.9864599098779</v>
      </c>
      <c r="H3258" s="33" t="n">
        <f aca="false">IF(D3258="","",D3258-C3258)</f>
        <v>-5</v>
      </c>
      <c r="I3258" s="33" t="n">
        <f aca="false">IF(E3258="","",E3258-C3258)</f>
        <v>-4.25</v>
      </c>
      <c r="J3258" s="33" t="n">
        <f aca="false">IF(F3258="","",F3258-C3258)</f>
        <v>-6.25</v>
      </c>
      <c r="K3258" s="33" t="n">
        <f aca="false">IF(G3258="","",G3258-C3258)</f>
        <v>-5.01354009012212</v>
      </c>
      <c r="L3258" s="33" t="n">
        <f aca="false">IF(H3258="","",ABS(H3258))</f>
        <v>5</v>
      </c>
      <c r="M3258" s="33" t="n">
        <f aca="false">IF(I3258="","",ABS(I3258))</f>
        <v>4.25</v>
      </c>
      <c r="N3258" s="33" t="n">
        <f aca="false">IF(J3258="","",ABS(J3258))</f>
        <v>6.25</v>
      </c>
      <c r="O3258" s="33" t="n">
        <f aca="false">IF(K3258="","",ABS(K3258))</f>
        <v>5.01354009012212</v>
      </c>
      <c r="P3258" s="34" t="str">
        <f aca="false">IF(B3258&gt;=Eval_Start_Week,"YES","")</f>
        <v/>
      </c>
      <c r="Q3258" s="34" t="str">
        <f aca="false">IF(AND(B3258&gt;=Cal_Start_Week,B3258&lt;=Cal_End_Week),"YES","")</f>
        <v/>
      </c>
    </row>
    <row r="3259" customFormat="false" ht="15" hidden="false" customHeight="false" outlineLevel="0" collapsed="false">
      <c r="A3259" s="31" t="str">
        <f aca="false">Demand_History!C3259</f>
        <v>ELE-003</v>
      </c>
      <c r="B3259" s="31" t="n">
        <f aca="false">Demand_History!A3259</f>
        <v>34</v>
      </c>
      <c r="C3259" s="32" t="n">
        <f aca="false">Demand_History!D3259</f>
        <v>26</v>
      </c>
      <c r="D3259" s="33" t="n">
        <f aca="false">IF(B3259&gt;=2,C3258,"")</f>
        <v>30</v>
      </c>
      <c r="E3259" s="33" t="n">
        <f aca="false">IF(B3259&gt;=5,AVERAGE(C3255:C3258),"")</f>
        <v>26.5</v>
      </c>
      <c r="F3259" s="33" t="n">
        <f aca="false">IF(B3259&gt;=9,AVERAGE(C3251:C3258),"")</f>
        <v>24.75</v>
      </c>
      <c r="G3259" s="33" t="n">
        <f aca="false">IF(B3259=1,"",IF(B3259=2,C3258,SES_Alpha*C3258+(1-SES_Alpha)*G3258))</f>
        <v>26.4905219369145</v>
      </c>
      <c r="H3259" s="33" t="n">
        <f aca="false">IF(D3259="","",D3259-C3259)</f>
        <v>4</v>
      </c>
      <c r="I3259" s="33" t="n">
        <f aca="false">IF(E3259="","",E3259-C3259)</f>
        <v>0.5</v>
      </c>
      <c r="J3259" s="33" t="n">
        <f aca="false">IF(F3259="","",F3259-C3259)</f>
        <v>-1.25</v>
      </c>
      <c r="K3259" s="33" t="n">
        <f aca="false">IF(G3259="","",G3259-C3259)</f>
        <v>0.490521936914512</v>
      </c>
      <c r="L3259" s="33" t="n">
        <f aca="false">IF(H3259="","",ABS(H3259))</f>
        <v>4</v>
      </c>
      <c r="M3259" s="33" t="n">
        <f aca="false">IF(I3259="","",ABS(I3259))</f>
        <v>0.5</v>
      </c>
      <c r="N3259" s="33" t="n">
        <f aca="false">IF(J3259="","",ABS(J3259))</f>
        <v>1.25</v>
      </c>
      <c r="O3259" s="33" t="n">
        <f aca="false">IF(K3259="","",ABS(K3259))</f>
        <v>0.490521936914512</v>
      </c>
      <c r="P3259" s="34" t="str">
        <f aca="false">IF(B3259&gt;=Eval_Start_Week,"YES","")</f>
        <v/>
      </c>
      <c r="Q3259" s="34" t="str">
        <f aca="false">IF(AND(B3259&gt;=Cal_Start_Week,B3259&lt;=Cal_End_Week),"YES","")</f>
        <v/>
      </c>
    </row>
    <row r="3260" customFormat="false" ht="15" hidden="false" customHeight="false" outlineLevel="0" collapsed="false">
      <c r="A3260" s="31" t="str">
        <f aca="false">Demand_History!C3260</f>
        <v>ELE-003</v>
      </c>
      <c r="B3260" s="31" t="n">
        <f aca="false">Demand_History!A3260</f>
        <v>35</v>
      </c>
      <c r="C3260" s="32" t="n">
        <f aca="false">Demand_History!D3260</f>
        <v>21</v>
      </c>
      <c r="D3260" s="33" t="n">
        <f aca="false">IF(B3260&gt;=2,C3259,"")</f>
        <v>26</v>
      </c>
      <c r="E3260" s="33" t="n">
        <f aca="false">IF(B3260&gt;=5,AVERAGE(C3256:C3259),"")</f>
        <v>27.25</v>
      </c>
      <c r="F3260" s="33" t="n">
        <f aca="false">IF(B3260&gt;=9,AVERAGE(C3252:C3259),"")</f>
        <v>25.25</v>
      </c>
      <c r="G3260" s="33" t="n">
        <f aca="false">IF(B3260=1,"",IF(B3260=2,C3259,SES_Alpha*C3259+(1-SES_Alpha)*G3259))</f>
        <v>26.3433653558402</v>
      </c>
      <c r="H3260" s="33" t="n">
        <f aca="false">IF(D3260="","",D3260-C3260)</f>
        <v>5</v>
      </c>
      <c r="I3260" s="33" t="n">
        <f aca="false">IF(E3260="","",E3260-C3260)</f>
        <v>6.25</v>
      </c>
      <c r="J3260" s="33" t="n">
        <f aca="false">IF(F3260="","",F3260-C3260)</f>
        <v>4.25</v>
      </c>
      <c r="K3260" s="33" t="n">
        <f aca="false">IF(G3260="","",G3260-C3260)</f>
        <v>5.34336535584016</v>
      </c>
      <c r="L3260" s="33" t="n">
        <f aca="false">IF(H3260="","",ABS(H3260))</f>
        <v>5</v>
      </c>
      <c r="M3260" s="33" t="n">
        <f aca="false">IF(I3260="","",ABS(I3260))</f>
        <v>6.25</v>
      </c>
      <c r="N3260" s="33" t="n">
        <f aca="false">IF(J3260="","",ABS(J3260))</f>
        <v>4.25</v>
      </c>
      <c r="O3260" s="33" t="n">
        <f aca="false">IF(K3260="","",ABS(K3260))</f>
        <v>5.34336535584016</v>
      </c>
      <c r="P3260" s="34" t="str">
        <f aca="false">IF(B3260&gt;=Eval_Start_Week,"YES","")</f>
        <v/>
      </c>
      <c r="Q3260" s="34" t="str">
        <f aca="false">IF(AND(B3260&gt;=Cal_Start_Week,B3260&lt;=Cal_End_Week),"YES","")</f>
        <v/>
      </c>
    </row>
    <row r="3261" customFormat="false" ht="15" hidden="false" customHeight="false" outlineLevel="0" collapsed="false">
      <c r="A3261" s="31" t="str">
        <f aca="false">Demand_History!C3261</f>
        <v>ELE-003</v>
      </c>
      <c r="B3261" s="31" t="n">
        <f aca="false">Demand_History!A3261</f>
        <v>36</v>
      </c>
      <c r="C3261" s="32" t="n">
        <f aca="false">Demand_History!D3261</f>
        <v>23</v>
      </c>
      <c r="D3261" s="33" t="n">
        <f aca="false">IF(B3261&gt;=2,C3260,"")</f>
        <v>21</v>
      </c>
      <c r="E3261" s="33" t="n">
        <f aca="false">IF(B3261&gt;=5,AVERAGE(C3257:C3260),"")</f>
        <v>25.5</v>
      </c>
      <c r="F3261" s="33" t="n">
        <f aca="false">IF(B3261&gt;=9,AVERAGE(C3253:C3260),"")</f>
        <v>25.625</v>
      </c>
      <c r="G3261" s="33" t="n">
        <f aca="false">IF(B3261=1,"",IF(B3261=2,C3260,SES_Alpha*C3260+(1-SES_Alpha)*G3260))</f>
        <v>24.7403557490881</v>
      </c>
      <c r="H3261" s="33" t="n">
        <f aca="false">IF(D3261="","",D3261-C3261)</f>
        <v>-2</v>
      </c>
      <c r="I3261" s="33" t="n">
        <f aca="false">IF(E3261="","",E3261-C3261)</f>
        <v>2.5</v>
      </c>
      <c r="J3261" s="33" t="n">
        <f aca="false">IF(F3261="","",F3261-C3261)</f>
        <v>2.625</v>
      </c>
      <c r="K3261" s="33" t="n">
        <f aca="false">IF(G3261="","",G3261-C3261)</f>
        <v>1.74035574908811</v>
      </c>
      <c r="L3261" s="33" t="n">
        <f aca="false">IF(H3261="","",ABS(H3261))</f>
        <v>2</v>
      </c>
      <c r="M3261" s="33" t="n">
        <f aca="false">IF(I3261="","",ABS(I3261))</f>
        <v>2.5</v>
      </c>
      <c r="N3261" s="33" t="n">
        <f aca="false">IF(J3261="","",ABS(J3261))</f>
        <v>2.625</v>
      </c>
      <c r="O3261" s="33" t="n">
        <f aca="false">IF(K3261="","",ABS(K3261))</f>
        <v>1.74035574908811</v>
      </c>
      <c r="P3261" s="34" t="str">
        <f aca="false">IF(B3261&gt;=Eval_Start_Week,"YES","")</f>
        <v/>
      </c>
      <c r="Q3261" s="34" t="str">
        <f aca="false">IF(AND(B3261&gt;=Cal_Start_Week,B3261&lt;=Cal_End_Week),"YES","")</f>
        <v/>
      </c>
    </row>
    <row r="3262" customFormat="false" ht="15" hidden="false" customHeight="false" outlineLevel="0" collapsed="false">
      <c r="A3262" s="31" t="str">
        <f aca="false">Demand_History!C3262</f>
        <v>ELE-003</v>
      </c>
      <c r="B3262" s="31" t="n">
        <f aca="false">Demand_History!A3262</f>
        <v>37</v>
      </c>
      <c r="C3262" s="32" t="n">
        <f aca="false">Demand_History!D3262</f>
        <v>20</v>
      </c>
      <c r="D3262" s="33" t="n">
        <f aca="false">IF(B3262&gt;=2,C3261,"")</f>
        <v>23</v>
      </c>
      <c r="E3262" s="33" t="n">
        <f aca="false">IF(B3262&gt;=5,AVERAGE(C3258:C3261),"")</f>
        <v>25</v>
      </c>
      <c r="F3262" s="33" t="n">
        <f aca="false">IF(B3262&gt;=9,AVERAGE(C3254:C3261),"")</f>
        <v>25.375</v>
      </c>
      <c r="G3262" s="33" t="n">
        <f aca="false">IF(B3262=1,"",IF(B3262=2,C3261,SES_Alpha*C3261+(1-SES_Alpha)*G3261))</f>
        <v>24.2182490243617</v>
      </c>
      <c r="H3262" s="33" t="n">
        <f aca="false">IF(D3262="","",D3262-C3262)</f>
        <v>3</v>
      </c>
      <c r="I3262" s="33" t="n">
        <f aca="false">IF(E3262="","",E3262-C3262)</f>
        <v>5</v>
      </c>
      <c r="J3262" s="33" t="n">
        <f aca="false">IF(F3262="","",F3262-C3262)</f>
        <v>5.375</v>
      </c>
      <c r="K3262" s="33" t="n">
        <f aca="false">IF(G3262="","",G3262-C3262)</f>
        <v>4.21824902436168</v>
      </c>
      <c r="L3262" s="33" t="n">
        <f aca="false">IF(H3262="","",ABS(H3262))</f>
        <v>3</v>
      </c>
      <c r="M3262" s="33" t="n">
        <f aca="false">IF(I3262="","",ABS(I3262))</f>
        <v>5</v>
      </c>
      <c r="N3262" s="33" t="n">
        <f aca="false">IF(J3262="","",ABS(J3262))</f>
        <v>5.375</v>
      </c>
      <c r="O3262" s="33" t="n">
        <f aca="false">IF(K3262="","",ABS(K3262))</f>
        <v>4.21824902436168</v>
      </c>
      <c r="P3262" s="34" t="str">
        <f aca="false">IF(B3262&gt;=Eval_Start_Week,"YES","")</f>
        <v/>
      </c>
      <c r="Q3262" s="34" t="str">
        <f aca="false">IF(AND(B3262&gt;=Cal_Start_Week,B3262&lt;=Cal_End_Week),"YES","")</f>
        <v>YES</v>
      </c>
    </row>
    <row r="3263" customFormat="false" ht="15" hidden="false" customHeight="false" outlineLevel="0" collapsed="false">
      <c r="A3263" s="31" t="str">
        <f aca="false">Demand_History!C3263</f>
        <v>ELE-003</v>
      </c>
      <c r="B3263" s="31" t="n">
        <f aca="false">Demand_History!A3263</f>
        <v>38</v>
      </c>
      <c r="C3263" s="32" t="n">
        <f aca="false">Demand_History!D3263</f>
        <v>19</v>
      </c>
      <c r="D3263" s="33" t="n">
        <f aca="false">IF(B3263&gt;=2,C3262,"")</f>
        <v>20</v>
      </c>
      <c r="E3263" s="33" t="n">
        <f aca="false">IF(B3263&gt;=5,AVERAGE(C3259:C3262),"")</f>
        <v>22.5</v>
      </c>
      <c r="F3263" s="33" t="n">
        <f aca="false">IF(B3263&gt;=9,AVERAGE(C3255:C3262),"")</f>
        <v>24.5</v>
      </c>
      <c r="G3263" s="33" t="n">
        <f aca="false">IF(B3263=1,"",IF(B3263=2,C3262,SES_Alpha*C3262+(1-SES_Alpha)*G3262))</f>
        <v>22.9527743170532</v>
      </c>
      <c r="H3263" s="33" t="n">
        <f aca="false">IF(D3263="","",D3263-C3263)</f>
        <v>1</v>
      </c>
      <c r="I3263" s="33" t="n">
        <f aca="false">IF(E3263="","",E3263-C3263)</f>
        <v>3.5</v>
      </c>
      <c r="J3263" s="33" t="n">
        <f aca="false">IF(F3263="","",F3263-C3263)</f>
        <v>5.5</v>
      </c>
      <c r="K3263" s="33" t="n">
        <f aca="false">IF(G3263="","",G3263-C3263)</f>
        <v>3.95277431705317</v>
      </c>
      <c r="L3263" s="33" t="n">
        <f aca="false">IF(H3263="","",ABS(H3263))</f>
        <v>1</v>
      </c>
      <c r="M3263" s="33" t="n">
        <f aca="false">IF(I3263="","",ABS(I3263))</f>
        <v>3.5</v>
      </c>
      <c r="N3263" s="33" t="n">
        <f aca="false">IF(J3263="","",ABS(J3263))</f>
        <v>5.5</v>
      </c>
      <c r="O3263" s="33" t="n">
        <f aca="false">IF(K3263="","",ABS(K3263))</f>
        <v>3.95277431705317</v>
      </c>
      <c r="P3263" s="34" t="str">
        <f aca="false">IF(B3263&gt;=Eval_Start_Week,"YES","")</f>
        <v/>
      </c>
      <c r="Q3263" s="34" t="str">
        <f aca="false">IF(AND(B3263&gt;=Cal_Start_Week,B3263&lt;=Cal_End_Week),"YES","")</f>
        <v>YES</v>
      </c>
    </row>
    <row r="3264" customFormat="false" ht="15" hidden="false" customHeight="false" outlineLevel="0" collapsed="false">
      <c r="A3264" s="31" t="str">
        <f aca="false">Demand_History!C3264</f>
        <v>ELE-003</v>
      </c>
      <c r="B3264" s="31" t="n">
        <f aca="false">Demand_History!A3264</f>
        <v>39</v>
      </c>
      <c r="C3264" s="32" t="n">
        <f aca="false">Demand_History!D3264</f>
        <v>27</v>
      </c>
      <c r="D3264" s="33" t="n">
        <f aca="false">IF(B3264&gt;=2,C3263,"")</f>
        <v>19</v>
      </c>
      <c r="E3264" s="33" t="n">
        <f aca="false">IF(B3264&gt;=5,AVERAGE(C3260:C3263),"")</f>
        <v>20.75</v>
      </c>
      <c r="F3264" s="33" t="n">
        <f aca="false">IF(B3264&gt;=9,AVERAGE(C3256:C3263),"")</f>
        <v>24</v>
      </c>
      <c r="G3264" s="33" t="n">
        <f aca="false">IF(B3264=1,"",IF(B3264=2,C3263,SES_Alpha*C3263+(1-SES_Alpha)*G3263))</f>
        <v>21.7669420219372</v>
      </c>
      <c r="H3264" s="33" t="n">
        <f aca="false">IF(D3264="","",D3264-C3264)</f>
        <v>-8</v>
      </c>
      <c r="I3264" s="33" t="n">
        <f aca="false">IF(E3264="","",E3264-C3264)</f>
        <v>-6.25</v>
      </c>
      <c r="J3264" s="33" t="n">
        <f aca="false">IF(F3264="","",F3264-C3264)</f>
        <v>-3</v>
      </c>
      <c r="K3264" s="33" t="n">
        <f aca="false">IF(G3264="","",G3264-C3264)</f>
        <v>-5.23305797806278</v>
      </c>
      <c r="L3264" s="33" t="n">
        <f aca="false">IF(H3264="","",ABS(H3264))</f>
        <v>8</v>
      </c>
      <c r="M3264" s="33" t="n">
        <f aca="false">IF(I3264="","",ABS(I3264))</f>
        <v>6.25</v>
      </c>
      <c r="N3264" s="33" t="n">
        <f aca="false">IF(J3264="","",ABS(J3264))</f>
        <v>3</v>
      </c>
      <c r="O3264" s="33" t="n">
        <f aca="false">IF(K3264="","",ABS(K3264))</f>
        <v>5.23305797806278</v>
      </c>
      <c r="P3264" s="34" t="str">
        <f aca="false">IF(B3264&gt;=Eval_Start_Week,"YES","")</f>
        <v/>
      </c>
      <c r="Q3264" s="34" t="str">
        <f aca="false">IF(AND(B3264&gt;=Cal_Start_Week,B3264&lt;=Cal_End_Week),"YES","")</f>
        <v>YES</v>
      </c>
    </row>
    <row r="3265" customFormat="false" ht="15" hidden="false" customHeight="false" outlineLevel="0" collapsed="false">
      <c r="A3265" s="31" t="str">
        <f aca="false">Demand_History!C3265</f>
        <v>ELE-003</v>
      </c>
      <c r="B3265" s="31" t="n">
        <f aca="false">Demand_History!A3265</f>
        <v>40</v>
      </c>
      <c r="C3265" s="32" t="n">
        <f aca="false">Demand_History!D3265</f>
        <v>29</v>
      </c>
      <c r="D3265" s="33" t="n">
        <f aca="false">IF(B3265&gt;=2,C3264,"")</f>
        <v>27</v>
      </c>
      <c r="E3265" s="33" t="n">
        <f aca="false">IF(B3265&gt;=5,AVERAGE(C3261:C3264),"")</f>
        <v>22.25</v>
      </c>
      <c r="F3265" s="33" t="n">
        <f aca="false">IF(B3265&gt;=9,AVERAGE(C3257:C3264),"")</f>
        <v>23.875</v>
      </c>
      <c r="G3265" s="33" t="n">
        <f aca="false">IF(B3265=1,"",IF(B3265=2,C3264,SES_Alpha*C3264+(1-SES_Alpha)*G3264))</f>
        <v>23.3368594153561</v>
      </c>
      <c r="H3265" s="33" t="n">
        <f aca="false">IF(D3265="","",D3265-C3265)</f>
        <v>-2</v>
      </c>
      <c r="I3265" s="33" t="n">
        <f aca="false">IF(E3265="","",E3265-C3265)</f>
        <v>-6.75</v>
      </c>
      <c r="J3265" s="33" t="n">
        <f aca="false">IF(F3265="","",F3265-C3265)</f>
        <v>-5.125</v>
      </c>
      <c r="K3265" s="33" t="n">
        <f aca="false">IF(G3265="","",G3265-C3265)</f>
        <v>-5.66314058464395</v>
      </c>
      <c r="L3265" s="33" t="n">
        <f aca="false">IF(H3265="","",ABS(H3265))</f>
        <v>2</v>
      </c>
      <c r="M3265" s="33" t="n">
        <f aca="false">IF(I3265="","",ABS(I3265))</f>
        <v>6.75</v>
      </c>
      <c r="N3265" s="33" t="n">
        <f aca="false">IF(J3265="","",ABS(J3265))</f>
        <v>5.125</v>
      </c>
      <c r="O3265" s="33" t="n">
        <f aca="false">IF(K3265="","",ABS(K3265))</f>
        <v>5.66314058464395</v>
      </c>
      <c r="P3265" s="34" t="str">
        <f aca="false">IF(B3265&gt;=Eval_Start_Week,"YES","")</f>
        <v/>
      </c>
      <c r="Q3265" s="34" t="str">
        <f aca="false">IF(AND(B3265&gt;=Cal_Start_Week,B3265&lt;=Cal_End_Week),"YES","")</f>
        <v>YES</v>
      </c>
    </row>
    <row r="3266" customFormat="false" ht="15" hidden="false" customHeight="false" outlineLevel="0" collapsed="false">
      <c r="A3266" s="31" t="str">
        <f aca="false">Demand_History!C3266</f>
        <v>ELE-003</v>
      </c>
      <c r="B3266" s="31" t="n">
        <f aca="false">Demand_History!A3266</f>
        <v>41</v>
      </c>
      <c r="C3266" s="32" t="n">
        <f aca="false">Demand_History!D3266</f>
        <v>34</v>
      </c>
      <c r="D3266" s="33" t="n">
        <f aca="false">IF(B3266&gt;=2,C3265,"")</f>
        <v>29</v>
      </c>
      <c r="E3266" s="33" t="n">
        <f aca="false">IF(B3266&gt;=5,AVERAGE(C3262:C3265),"")</f>
        <v>23.75</v>
      </c>
      <c r="F3266" s="33" t="n">
        <f aca="false">IF(B3266&gt;=9,AVERAGE(C3258:C3265),"")</f>
        <v>24.375</v>
      </c>
      <c r="G3266" s="33" t="n">
        <f aca="false">IF(B3266=1,"",IF(B3266=2,C3265,SES_Alpha*C3265+(1-SES_Alpha)*G3265))</f>
        <v>25.0358015907492</v>
      </c>
      <c r="H3266" s="33" t="n">
        <f aca="false">IF(D3266="","",D3266-C3266)</f>
        <v>-5</v>
      </c>
      <c r="I3266" s="33" t="n">
        <f aca="false">IF(E3266="","",E3266-C3266)</f>
        <v>-10.25</v>
      </c>
      <c r="J3266" s="33" t="n">
        <f aca="false">IF(F3266="","",F3266-C3266)</f>
        <v>-9.625</v>
      </c>
      <c r="K3266" s="33" t="n">
        <f aca="false">IF(G3266="","",G3266-C3266)</f>
        <v>-8.96419840925077</v>
      </c>
      <c r="L3266" s="33" t="n">
        <f aca="false">IF(H3266="","",ABS(H3266))</f>
        <v>5</v>
      </c>
      <c r="M3266" s="33" t="n">
        <f aca="false">IF(I3266="","",ABS(I3266))</f>
        <v>10.25</v>
      </c>
      <c r="N3266" s="33" t="n">
        <f aca="false">IF(J3266="","",ABS(J3266))</f>
        <v>9.625</v>
      </c>
      <c r="O3266" s="33" t="n">
        <f aca="false">IF(K3266="","",ABS(K3266))</f>
        <v>8.96419840925077</v>
      </c>
      <c r="P3266" s="34" t="str">
        <f aca="false">IF(B3266&gt;=Eval_Start_Week,"YES","")</f>
        <v/>
      </c>
      <c r="Q3266" s="34" t="str">
        <f aca="false">IF(AND(B3266&gt;=Cal_Start_Week,B3266&lt;=Cal_End_Week),"YES","")</f>
        <v>YES</v>
      </c>
    </row>
    <row r="3267" customFormat="false" ht="15" hidden="false" customHeight="false" outlineLevel="0" collapsed="false">
      <c r="A3267" s="31" t="str">
        <f aca="false">Demand_History!C3267</f>
        <v>ELE-003</v>
      </c>
      <c r="B3267" s="31" t="n">
        <f aca="false">Demand_History!A3267</f>
        <v>42</v>
      </c>
      <c r="C3267" s="32" t="n">
        <f aca="false">Demand_History!D3267</f>
        <v>26</v>
      </c>
      <c r="D3267" s="33" t="n">
        <f aca="false">IF(B3267&gt;=2,C3266,"")</f>
        <v>34</v>
      </c>
      <c r="E3267" s="33" t="n">
        <f aca="false">IF(B3267&gt;=5,AVERAGE(C3263:C3266),"")</f>
        <v>27.25</v>
      </c>
      <c r="F3267" s="33" t="n">
        <f aca="false">IF(B3267&gt;=9,AVERAGE(C3259:C3266),"")</f>
        <v>24.875</v>
      </c>
      <c r="G3267" s="33" t="n">
        <f aca="false">IF(B3267=1,"",IF(B3267=2,C3266,SES_Alpha*C3266+(1-SES_Alpha)*G3266))</f>
        <v>27.7250611135245</v>
      </c>
      <c r="H3267" s="33" t="n">
        <f aca="false">IF(D3267="","",D3267-C3267)</f>
        <v>8</v>
      </c>
      <c r="I3267" s="33" t="n">
        <f aca="false">IF(E3267="","",E3267-C3267)</f>
        <v>1.25</v>
      </c>
      <c r="J3267" s="33" t="n">
        <f aca="false">IF(F3267="","",F3267-C3267)</f>
        <v>-1.125</v>
      </c>
      <c r="K3267" s="33" t="n">
        <f aca="false">IF(G3267="","",G3267-C3267)</f>
        <v>1.72506111352446</v>
      </c>
      <c r="L3267" s="33" t="n">
        <f aca="false">IF(H3267="","",ABS(H3267))</f>
        <v>8</v>
      </c>
      <c r="M3267" s="33" t="n">
        <f aca="false">IF(I3267="","",ABS(I3267))</f>
        <v>1.25</v>
      </c>
      <c r="N3267" s="33" t="n">
        <f aca="false">IF(J3267="","",ABS(J3267))</f>
        <v>1.125</v>
      </c>
      <c r="O3267" s="33" t="n">
        <f aca="false">IF(K3267="","",ABS(K3267))</f>
        <v>1.72506111352446</v>
      </c>
      <c r="P3267" s="34" t="str">
        <f aca="false">IF(B3267&gt;=Eval_Start_Week,"YES","")</f>
        <v/>
      </c>
      <c r="Q3267" s="34" t="str">
        <f aca="false">IF(AND(B3267&gt;=Cal_Start_Week,B3267&lt;=Cal_End_Week),"YES","")</f>
        <v>YES</v>
      </c>
    </row>
    <row r="3268" customFormat="false" ht="15" hidden="false" customHeight="false" outlineLevel="0" collapsed="false">
      <c r="A3268" s="31" t="str">
        <f aca="false">Demand_History!C3268</f>
        <v>ELE-003</v>
      </c>
      <c r="B3268" s="31" t="n">
        <f aca="false">Demand_History!A3268</f>
        <v>43</v>
      </c>
      <c r="C3268" s="32" t="n">
        <f aca="false">Demand_History!D3268</f>
        <v>26</v>
      </c>
      <c r="D3268" s="33" t="n">
        <f aca="false">IF(B3268&gt;=2,C3267,"")</f>
        <v>26</v>
      </c>
      <c r="E3268" s="33" t="n">
        <f aca="false">IF(B3268&gt;=5,AVERAGE(C3264:C3267),"")</f>
        <v>29</v>
      </c>
      <c r="F3268" s="33" t="n">
        <f aca="false">IF(B3268&gt;=9,AVERAGE(C3260:C3267),"")</f>
        <v>24.875</v>
      </c>
      <c r="G3268" s="33" t="n">
        <f aca="false">IF(B3268=1,"",IF(B3268=2,C3267,SES_Alpha*C3267+(1-SES_Alpha)*G3267))</f>
        <v>27.2075427794671</v>
      </c>
      <c r="H3268" s="33" t="n">
        <f aca="false">IF(D3268="","",D3268-C3268)</f>
        <v>0</v>
      </c>
      <c r="I3268" s="33" t="n">
        <f aca="false">IF(E3268="","",E3268-C3268)</f>
        <v>3</v>
      </c>
      <c r="J3268" s="33" t="n">
        <f aca="false">IF(F3268="","",F3268-C3268)</f>
        <v>-1.125</v>
      </c>
      <c r="K3268" s="33" t="n">
        <f aca="false">IF(G3268="","",G3268-C3268)</f>
        <v>1.20754277946712</v>
      </c>
      <c r="L3268" s="33" t="n">
        <f aca="false">IF(H3268="","",ABS(H3268))</f>
        <v>0</v>
      </c>
      <c r="M3268" s="33" t="n">
        <f aca="false">IF(I3268="","",ABS(I3268))</f>
        <v>3</v>
      </c>
      <c r="N3268" s="33" t="n">
        <f aca="false">IF(J3268="","",ABS(J3268))</f>
        <v>1.125</v>
      </c>
      <c r="O3268" s="33" t="n">
        <f aca="false">IF(K3268="","",ABS(K3268))</f>
        <v>1.20754277946712</v>
      </c>
      <c r="P3268" s="34" t="str">
        <f aca="false">IF(B3268&gt;=Eval_Start_Week,"YES","")</f>
        <v/>
      </c>
      <c r="Q3268" s="34" t="str">
        <f aca="false">IF(AND(B3268&gt;=Cal_Start_Week,B3268&lt;=Cal_End_Week),"YES","")</f>
        <v>YES</v>
      </c>
    </row>
    <row r="3269" customFormat="false" ht="15" hidden="false" customHeight="false" outlineLevel="0" collapsed="false">
      <c r="A3269" s="31" t="str">
        <f aca="false">Demand_History!C3269</f>
        <v>ELE-003</v>
      </c>
      <c r="B3269" s="31" t="n">
        <f aca="false">Demand_History!A3269</f>
        <v>44</v>
      </c>
      <c r="C3269" s="32" t="n">
        <f aca="false">Demand_History!D3269</f>
        <v>23</v>
      </c>
      <c r="D3269" s="33" t="n">
        <f aca="false">IF(B3269&gt;=2,C3268,"")</f>
        <v>26</v>
      </c>
      <c r="E3269" s="33" t="n">
        <f aca="false">IF(B3269&gt;=5,AVERAGE(C3265:C3268),"")</f>
        <v>28.75</v>
      </c>
      <c r="F3269" s="33" t="n">
        <f aca="false">IF(B3269&gt;=9,AVERAGE(C3261:C3268),"")</f>
        <v>25.5</v>
      </c>
      <c r="G3269" s="33" t="n">
        <f aca="false">IF(B3269=1,"",IF(B3269=2,C3268,SES_Alpha*C3268+(1-SES_Alpha)*G3268))</f>
        <v>26.845279945627</v>
      </c>
      <c r="H3269" s="33" t="n">
        <f aca="false">IF(D3269="","",D3269-C3269)</f>
        <v>3</v>
      </c>
      <c r="I3269" s="33" t="n">
        <f aca="false">IF(E3269="","",E3269-C3269)</f>
        <v>5.75</v>
      </c>
      <c r="J3269" s="33" t="n">
        <f aca="false">IF(F3269="","",F3269-C3269)</f>
        <v>2.5</v>
      </c>
      <c r="K3269" s="33" t="n">
        <f aca="false">IF(G3269="","",G3269-C3269)</f>
        <v>3.84527994562698</v>
      </c>
      <c r="L3269" s="33" t="n">
        <f aca="false">IF(H3269="","",ABS(H3269))</f>
        <v>3</v>
      </c>
      <c r="M3269" s="33" t="n">
        <f aca="false">IF(I3269="","",ABS(I3269))</f>
        <v>5.75</v>
      </c>
      <c r="N3269" s="33" t="n">
        <f aca="false">IF(J3269="","",ABS(J3269))</f>
        <v>2.5</v>
      </c>
      <c r="O3269" s="33" t="n">
        <f aca="false">IF(K3269="","",ABS(K3269))</f>
        <v>3.84527994562698</v>
      </c>
      <c r="P3269" s="34" t="str">
        <f aca="false">IF(B3269&gt;=Eval_Start_Week,"YES","")</f>
        <v/>
      </c>
      <c r="Q3269" s="34" t="str">
        <f aca="false">IF(AND(B3269&gt;=Cal_Start_Week,B3269&lt;=Cal_End_Week),"YES","")</f>
        <v>YES</v>
      </c>
    </row>
    <row r="3270" customFormat="false" ht="15" hidden="false" customHeight="false" outlineLevel="0" collapsed="false">
      <c r="A3270" s="31" t="str">
        <f aca="false">Demand_History!C3270</f>
        <v>ELE-003</v>
      </c>
      <c r="B3270" s="31" t="n">
        <f aca="false">Demand_History!A3270</f>
        <v>45</v>
      </c>
      <c r="C3270" s="32" t="n">
        <f aca="false">Demand_History!D3270</f>
        <v>31</v>
      </c>
      <c r="D3270" s="33" t="n">
        <f aca="false">IF(B3270&gt;=2,C3269,"")</f>
        <v>23</v>
      </c>
      <c r="E3270" s="33" t="n">
        <f aca="false">IF(B3270&gt;=5,AVERAGE(C3266:C3269),"")</f>
        <v>27.25</v>
      </c>
      <c r="F3270" s="33" t="n">
        <f aca="false">IF(B3270&gt;=9,AVERAGE(C3262:C3269),"")</f>
        <v>25.5</v>
      </c>
      <c r="G3270" s="33" t="n">
        <f aca="false">IF(B3270=1,"",IF(B3270=2,C3269,SES_Alpha*C3269+(1-SES_Alpha)*G3269))</f>
        <v>25.6916959619389</v>
      </c>
      <c r="H3270" s="33" t="n">
        <f aca="false">IF(D3270="","",D3270-C3270)</f>
        <v>-8</v>
      </c>
      <c r="I3270" s="33" t="n">
        <f aca="false">IF(E3270="","",E3270-C3270)</f>
        <v>-3.75</v>
      </c>
      <c r="J3270" s="33" t="n">
        <f aca="false">IF(F3270="","",F3270-C3270)</f>
        <v>-5.5</v>
      </c>
      <c r="K3270" s="33" t="n">
        <f aca="false">IF(G3270="","",G3270-C3270)</f>
        <v>-5.30830403806111</v>
      </c>
      <c r="L3270" s="33" t="n">
        <f aca="false">IF(H3270="","",ABS(H3270))</f>
        <v>8</v>
      </c>
      <c r="M3270" s="33" t="n">
        <f aca="false">IF(I3270="","",ABS(I3270))</f>
        <v>3.75</v>
      </c>
      <c r="N3270" s="33" t="n">
        <f aca="false">IF(J3270="","",ABS(J3270))</f>
        <v>5.5</v>
      </c>
      <c r="O3270" s="33" t="n">
        <f aca="false">IF(K3270="","",ABS(K3270))</f>
        <v>5.30830403806111</v>
      </c>
      <c r="P3270" s="34" t="str">
        <f aca="false">IF(B3270&gt;=Eval_Start_Week,"YES","")</f>
        <v/>
      </c>
      <c r="Q3270" s="34" t="str">
        <f aca="false">IF(AND(B3270&gt;=Cal_Start_Week,B3270&lt;=Cal_End_Week),"YES","")</f>
        <v>YES</v>
      </c>
    </row>
    <row r="3271" customFormat="false" ht="15" hidden="false" customHeight="false" outlineLevel="0" collapsed="false">
      <c r="A3271" s="31" t="str">
        <f aca="false">Demand_History!C3271</f>
        <v>ELE-003</v>
      </c>
      <c r="B3271" s="31" t="n">
        <f aca="false">Demand_History!A3271</f>
        <v>46</v>
      </c>
      <c r="C3271" s="32" t="n">
        <f aca="false">Demand_History!D3271</f>
        <v>29</v>
      </c>
      <c r="D3271" s="33" t="n">
        <f aca="false">IF(B3271&gt;=2,C3270,"")</f>
        <v>31</v>
      </c>
      <c r="E3271" s="33" t="n">
        <f aca="false">IF(B3271&gt;=5,AVERAGE(C3267:C3270),"")</f>
        <v>26.5</v>
      </c>
      <c r="F3271" s="33" t="n">
        <f aca="false">IF(B3271&gt;=9,AVERAGE(C3263:C3270),"")</f>
        <v>26.875</v>
      </c>
      <c r="G3271" s="33" t="n">
        <f aca="false">IF(B3271=1,"",IF(B3271=2,C3270,SES_Alpha*C3270+(1-SES_Alpha)*G3270))</f>
        <v>27.2841871733572</v>
      </c>
      <c r="H3271" s="33" t="n">
        <f aca="false">IF(D3271="","",D3271-C3271)</f>
        <v>2</v>
      </c>
      <c r="I3271" s="33" t="n">
        <f aca="false">IF(E3271="","",E3271-C3271)</f>
        <v>-2.5</v>
      </c>
      <c r="J3271" s="33" t="n">
        <f aca="false">IF(F3271="","",F3271-C3271)</f>
        <v>-2.125</v>
      </c>
      <c r="K3271" s="33" t="n">
        <f aca="false">IF(G3271="","",G3271-C3271)</f>
        <v>-1.71581282664278</v>
      </c>
      <c r="L3271" s="33" t="n">
        <f aca="false">IF(H3271="","",ABS(H3271))</f>
        <v>2</v>
      </c>
      <c r="M3271" s="33" t="n">
        <f aca="false">IF(I3271="","",ABS(I3271))</f>
        <v>2.5</v>
      </c>
      <c r="N3271" s="33" t="n">
        <f aca="false">IF(J3271="","",ABS(J3271))</f>
        <v>2.125</v>
      </c>
      <c r="O3271" s="33" t="n">
        <f aca="false">IF(K3271="","",ABS(K3271))</f>
        <v>1.71581282664278</v>
      </c>
      <c r="P3271" s="34" t="str">
        <f aca="false">IF(B3271&gt;=Eval_Start_Week,"YES","")</f>
        <v/>
      </c>
      <c r="Q3271" s="34" t="str">
        <f aca="false">IF(AND(B3271&gt;=Cal_Start_Week,B3271&lt;=Cal_End_Week),"YES","")</f>
        <v>YES</v>
      </c>
    </row>
    <row r="3272" customFormat="false" ht="15" hidden="false" customHeight="false" outlineLevel="0" collapsed="false">
      <c r="A3272" s="31" t="str">
        <f aca="false">Demand_History!C3272</f>
        <v>ELE-003</v>
      </c>
      <c r="B3272" s="31" t="n">
        <f aca="false">Demand_History!A3272</f>
        <v>47</v>
      </c>
      <c r="C3272" s="32" t="n">
        <f aca="false">Demand_History!D3272</f>
        <v>25</v>
      </c>
      <c r="D3272" s="33" t="n">
        <f aca="false">IF(B3272&gt;=2,C3271,"")</f>
        <v>29</v>
      </c>
      <c r="E3272" s="33" t="n">
        <f aca="false">IF(B3272&gt;=5,AVERAGE(C3268:C3271),"")</f>
        <v>27.25</v>
      </c>
      <c r="F3272" s="33" t="n">
        <f aca="false">IF(B3272&gt;=9,AVERAGE(C3264:C3271),"")</f>
        <v>28.125</v>
      </c>
      <c r="G3272" s="33" t="n">
        <f aca="false">IF(B3272=1,"",IF(B3272=2,C3271,SES_Alpha*C3271+(1-SES_Alpha)*G3271))</f>
        <v>27.7989310213501</v>
      </c>
      <c r="H3272" s="33" t="n">
        <f aca="false">IF(D3272="","",D3272-C3272)</f>
        <v>4</v>
      </c>
      <c r="I3272" s="33" t="n">
        <f aca="false">IF(E3272="","",E3272-C3272)</f>
        <v>2.25</v>
      </c>
      <c r="J3272" s="33" t="n">
        <f aca="false">IF(F3272="","",F3272-C3272)</f>
        <v>3.125</v>
      </c>
      <c r="K3272" s="33" t="n">
        <f aca="false">IF(G3272="","",G3272-C3272)</f>
        <v>2.79893102135005</v>
      </c>
      <c r="L3272" s="33" t="n">
        <f aca="false">IF(H3272="","",ABS(H3272))</f>
        <v>4</v>
      </c>
      <c r="M3272" s="33" t="n">
        <f aca="false">IF(I3272="","",ABS(I3272))</f>
        <v>2.25</v>
      </c>
      <c r="N3272" s="33" t="n">
        <f aca="false">IF(J3272="","",ABS(J3272))</f>
        <v>3.125</v>
      </c>
      <c r="O3272" s="33" t="n">
        <f aca="false">IF(K3272="","",ABS(K3272))</f>
        <v>2.79893102135005</v>
      </c>
      <c r="P3272" s="34" t="str">
        <f aca="false">IF(B3272&gt;=Eval_Start_Week,"YES","")</f>
        <v/>
      </c>
      <c r="Q3272" s="34" t="str">
        <f aca="false">IF(AND(B3272&gt;=Cal_Start_Week,B3272&lt;=Cal_End_Week),"YES","")</f>
        <v>YES</v>
      </c>
    </row>
    <row r="3273" customFormat="false" ht="15" hidden="false" customHeight="false" outlineLevel="0" collapsed="false">
      <c r="A3273" s="31" t="str">
        <f aca="false">Demand_History!C3273</f>
        <v>ELE-003</v>
      </c>
      <c r="B3273" s="31" t="n">
        <f aca="false">Demand_History!A3273</f>
        <v>48</v>
      </c>
      <c r="C3273" s="32" t="n">
        <f aca="false">Demand_History!D3273</f>
        <v>30</v>
      </c>
      <c r="D3273" s="33" t="n">
        <f aca="false">IF(B3273&gt;=2,C3272,"")</f>
        <v>25</v>
      </c>
      <c r="E3273" s="33" t="n">
        <f aca="false">IF(B3273&gt;=5,AVERAGE(C3269:C3272),"")</f>
        <v>27</v>
      </c>
      <c r="F3273" s="33" t="n">
        <f aca="false">IF(B3273&gt;=9,AVERAGE(C3265:C3272),"")</f>
        <v>27.875</v>
      </c>
      <c r="G3273" s="33" t="n">
        <f aca="false">IF(B3273=1,"",IF(B3273=2,C3272,SES_Alpha*C3272+(1-SES_Alpha)*G3272))</f>
        <v>26.959251714945</v>
      </c>
      <c r="H3273" s="33" t="n">
        <f aca="false">IF(D3273="","",D3273-C3273)</f>
        <v>-5</v>
      </c>
      <c r="I3273" s="33" t="n">
        <f aca="false">IF(E3273="","",E3273-C3273)</f>
        <v>-3</v>
      </c>
      <c r="J3273" s="33" t="n">
        <f aca="false">IF(F3273="","",F3273-C3273)</f>
        <v>-2.125</v>
      </c>
      <c r="K3273" s="33" t="n">
        <f aca="false">IF(G3273="","",G3273-C3273)</f>
        <v>-3.04074828505497</v>
      </c>
      <c r="L3273" s="33" t="n">
        <f aca="false">IF(H3273="","",ABS(H3273))</f>
        <v>5</v>
      </c>
      <c r="M3273" s="33" t="n">
        <f aca="false">IF(I3273="","",ABS(I3273))</f>
        <v>3</v>
      </c>
      <c r="N3273" s="33" t="n">
        <f aca="false">IF(J3273="","",ABS(J3273))</f>
        <v>2.125</v>
      </c>
      <c r="O3273" s="33" t="n">
        <f aca="false">IF(K3273="","",ABS(K3273))</f>
        <v>3.04074828505497</v>
      </c>
      <c r="P3273" s="34" t="str">
        <f aca="false">IF(B3273&gt;=Eval_Start_Week,"YES","")</f>
        <v/>
      </c>
      <c r="Q3273" s="34" t="str">
        <f aca="false">IF(AND(B3273&gt;=Cal_Start_Week,B3273&lt;=Cal_End_Week),"YES","")</f>
        <v>YES</v>
      </c>
    </row>
    <row r="3274" customFormat="false" ht="15" hidden="false" customHeight="false" outlineLevel="0" collapsed="false">
      <c r="A3274" s="31" t="str">
        <f aca="false">Demand_History!C3274</f>
        <v>ELE-003</v>
      </c>
      <c r="B3274" s="31" t="n">
        <f aca="false">Demand_History!A3274</f>
        <v>49</v>
      </c>
      <c r="C3274" s="32" t="n">
        <f aca="false">Demand_History!D3274</f>
        <v>30</v>
      </c>
      <c r="D3274" s="33" t="n">
        <f aca="false">IF(B3274&gt;=2,C3273,"")</f>
        <v>30</v>
      </c>
      <c r="E3274" s="33" t="n">
        <f aca="false">IF(B3274&gt;=5,AVERAGE(C3270:C3273),"")</f>
        <v>28.75</v>
      </c>
      <c r="F3274" s="33" t="n">
        <f aca="false">IF(B3274&gt;=9,AVERAGE(C3266:C3273),"")</f>
        <v>28</v>
      </c>
      <c r="G3274" s="33" t="n">
        <f aca="false">IF(B3274=1,"",IF(B3274=2,C3273,SES_Alpha*C3273+(1-SES_Alpha)*G3273))</f>
        <v>27.8714762004615</v>
      </c>
      <c r="H3274" s="33" t="n">
        <f aca="false">IF(D3274="","",D3274-C3274)</f>
        <v>0</v>
      </c>
      <c r="I3274" s="33" t="n">
        <f aca="false">IF(E3274="","",E3274-C3274)</f>
        <v>-1.25</v>
      </c>
      <c r="J3274" s="33" t="n">
        <f aca="false">IF(F3274="","",F3274-C3274)</f>
        <v>-2</v>
      </c>
      <c r="K3274" s="33" t="n">
        <f aca="false">IF(G3274="","",G3274-C3274)</f>
        <v>-2.12852379953848</v>
      </c>
      <c r="L3274" s="33" t="n">
        <f aca="false">IF(H3274="","",ABS(H3274))</f>
        <v>0</v>
      </c>
      <c r="M3274" s="33" t="n">
        <f aca="false">IF(I3274="","",ABS(I3274))</f>
        <v>1.25</v>
      </c>
      <c r="N3274" s="33" t="n">
        <f aca="false">IF(J3274="","",ABS(J3274))</f>
        <v>2</v>
      </c>
      <c r="O3274" s="33" t="n">
        <f aca="false">IF(K3274="","",ABS(K3274))</f>
        <v>2.12852379953848</v>
      </c>
      <c r="P3274" s="34" t="str">
        <f aca="false">IF(B3274&gt;=Eval_Start_Week,"YES","")</f>
        <v/>
      </c>
      <c r="Q3274" s="34" t="str">
        <f aca="false">IF(AND(B3274&gt;=Cal_Start_Week,B3274&lt;=Cal_End_Week),"YES","")</f>
        <v>YES</v>
      </c>
    </row>
    <row r="3275" customFormat="false" ht="15" hidden="false" customHeight="false" outlineLevel="0" collapsed="false">
      <c r="A3275" s="31" t="str">
        <f aca="false">Demand_History!C3275</f>
        <v>ELE-003</v>
      </c>
      <c r="B3275" s="31" t="n">
        <f aca="false">Demand_History!A3275</f>
        <v>50</v>
      </c>
      <c r="C3275" s="32" t="n">
        <f aca="false">Demand_History!D3275</f>
        <v>21</v>
      </c>
      <c r="D3275" s="33" t="n">
        <f aca="false">IF(B3275&gt;=2,C3274,"")</f>
        <v>30</v>
      </c>
      <c r="E3275" s="33" t="n">
        <f aca="false">IF(B3275&gt;=5,AVERAGE(C3271:C3274),"")</f>
        <v>28.5</v>
      </c>
      <c r="F3275" s="33" t="n">
        <f aca="false">IF(B3275&gt;=9,AVERAGE(C3267:C3274),"")</f>
        <v>27.5</v>
      </c>
      <c r="G3275" s="33" t="n">
        <f aca="false">IF(B3275=1,"",IF(B3275=2,C3274,SES_Alpha*C3274+(1-SES_Alpha)*G3274))</f>
        <v>28.5100333403231</v>
      </c>
      <c r="H3275" s="33" t="n">
        <f aca="false">IF(D3275="","",D3275-C3275)</f>
        <v>9</v>
      </c>
      <c r="I3275" s="33" t="n">
        <f aca="false">IF(E3275="","",E3275-C3275)</f>
        <v>7.5</v>
      </c>
      <c r="J3275" s="33" t="n">
        <f aca="false">IF(F3275="","",F3275-C3275)</f>
        <v>6.5</v>
      </c>
      <c r="K3275" s="33" t="n">
        <f aca="false">IF(G3275="","",G3275-C3275)</f>
        <v>7.51003334032307</v>
      </c>
      <c r="L3275" s="33" t="n">
        <f aca="false">IF(H3275="","",ABS(H3275))</f>
        <v>9</v>
      </c>
      <c r="M3275" s="33" t="n">
        <f aca="false">IF(I3275="","",ABS(I3275))</f>
        <v>7.5</v>
      </c>
      <c r="N3275" s="33" t="n">
        <f aca="false">IF(J3275="","",ABS(J3275))</f>
        <v>6.5</v>
      </c>
      <c r="O3275" s="33" t="n">
        <f aca="false">IF(K3275="","",ABS(K3275))</f>
        <v>7.51003334032307</v>
      </c>
      <c r="P3275" s="34" t="str">
        <f aca="false">IF(B3275&gt;=Eval_Start_Week,"YES","")</f>
        <v/>
      </c>
      <c r="Q3275" s="34" t="str">
        <f aca="false">IF(AND(B3275&gt;=Cal_Start_Week,B3275&lt;=Cal_End_Week),"YES","")</f>
        <v>YES</v>
      </c>
    </row>
    <row r="3276" customFormat="false" ht="15" hidden="false" customHeight="false" outlineLevel="0" collapsed="false">
      <c r="A3276" s="31" t="str">
        <f aca="false">Demand_History!C3276</f>
        <v>ELE-003</v>
      </c>
      <c r="B3276" s="31" t="n">
        <f aca="false">Demand_History!A3276</f>
        <v>51</v>
      </c>
      <c r="C3276" s="32" t="n">
        <f aca="false">Demand_History!D3276</f>
        <v>31</v>
      </c>
      <c r="D3276" s="33" t="n">
        <f aca="false">IF(B3276&gt;=2,C3275,"")</f>
        <v>21</v>
      </c>
      <c r="E3276" s="33" t="n">
        <f aca="false">IF(B3276&gt;=5,AVERAGE(C3272:C3275),"")</f>
        <v>26.5</v>
      </c>
      <c r="F3276" s="33" t="n">
        <f aca="false">IF(B3276&gt;=9,AVERAGE(C3268:C3275),"")</f>
        <v>26.875</v>
      </c>
      <c r="G3276" s="33" t="n">
        <f aca="false">IF(B3276=1,"",IF(B3276=2,C3275,SES_Alpha*C3275+(1-SES_Alpha)*G3275))</f>
        <v>26.2570233382261</v>
      </c>
      <c r="H3276" s="33" t="n">
        <f aca="false">IF(D3276="","",D3276-C3276)</f>
        <v>-10</v>
      </c>
      <c r="I3276" s="33" t="n">
        <f aca="false">IF(E3276="","",E3276-C3276)</f>
        <v>-4.5</v>
      </c>
      <c r="J3276" s="33" t="n">
        <f aca="false">IF(F3276="","",F3276-C3276)</f>
        <v>-4.125</v>
      </c>
      <c r="K3276" s="33" t="n">
        <f aca="false">IF(G3276="","",G3276-C3276)</f>
        <v>-4.74297666177386</v>
      </c>
      <c r="L3276" s="33" t="n">
        <f aca="false">IF(H3276="","",ABS(H3276))</f>
        <v>10</v>
      </c>
      <c r="M3276" s="33" t="n">
        <f aca="false">IF(I3276="","",ABS(I3276))</f>
        <v>4.5</v>
      </c>
      <c r="N3276" s="33" t="n">
        <f aca="false">IF(J3276="","",ABS(J3276))</f>
        <v>4.125</v>
      </c>
      <c r="O3276" s="33" t="n">
        <f aca="false">IF(K3276="","",ABS(K3276))</f>
        <v>4.74297666177386</v>
      </c>
      <c r="P3276" s="34" t="str">
        <f aca="false">IF(B3276&gt;=Eval_Start_Week,"YES","")</f>
        <v/>
      </c>
      <c r="Q3276" s="34" t="str">
        <f aca="false">IF(AND(B3276&gt;=Cal_Start_Week,B3276&lt;=Cal_End_Week),"YES","")</f>
        <v>YES</v>
      </c>
    </row>
    <row r="3277" customFormat="false" ht="15" hidden="false" customHeight="false" outlineLevel="0" collapsed="false">
      <c r="A3277" s="31" t="str">
        <f aca="false">Demand_History!C3277</f>
        <v>ELE-003</v>
      </c>
      <c r="B3277" s="31" t="n">
        <f aca="false">Demand_History!A3277</f>
        <v>52</v>
      </c>
      <c r="C3277" s="32" t="n">
        <f aca="false">Demand_History!D3277</f>
        <v>29</v>
      </c>
      <c r="D3277" s="33" t="n">
        <f aca="false">IF(B3277&gt;=2,C3276,"")</f>
        <v>31</v>
      </c>
      <c r="E3277" s="33" t="n">
        <f aca="false">IF(B3277&gt;=5,AVERAGE(C3273:C3276),"")</f>
        <v>28</v>
      </c>
      <c r="F3277" s="33" t="n">
        <f aca="false">IF(B3277&gt;=9,AVERAGE(C3269:C3276),"")</f>
        <v>27.5</v>
      </c>
      <c r="G3277" s="33" t="n">
        <f aca="false">IF(B3277=1,"",IF(B3277=2,C3276,SES_Alpha*C3276+(1-SES_Alpha)*G3276))</f>
        <v>27.6799163367583</v>
      </c>
      <c r="H3277" s="33" t="n">
        <f aca="false">IF(D3277="","",D3277-C3277)</f>
        <v>2</v>
      </c>
      <c r="I3277" s="33" t="n">
        <f aca="false">IF(E3277="","",E3277-C3277)</f>
        <v>-1</v>
      </c>
      <c r="J3277" s="33" t="n">
        <f aca="false">IF(F3277="","",F3277-C3277)</f>
        <v>-1.5</v>
      </c>
      <c r="K3277" s="33" t="n">
        <f aca="false">IF(G3277="","",G3277-C3277)</f>
        <v>-1.3200836632417</v>
      </c>
      <c r="L3277" s="33" t="n">
        <f aca="false">IF(H3277="","",ABS(H3277))</f>
        <v>2</v>
      </c>
      <c r="M3277" s="33" t="n">
        <f aca="false">IF(I3277="","",ABS(I3277))</f>
        <v>1</v>
      </c>
      <c r="N3277" s="33" t="n">
        <f aca="false">IF(J3277="","",ABS(J3277))</f>
        <v>1.5</v>
      </c>
      <c r="O3277" s="33" t="n">
        <f aca="false">IF(K3277="","",ABS(K3277))</f>
        <v>1.3200836632417</v>
      </c>
      <c r="P3277" s="34" t="str">
        <f aca="false">IF(B3277&gt;=Eval_Start_Week,"YES","")</f>
        <v/>
      </c>
      <c r="Q3277" s="34" t="str">
        <f aca="false">IF(AND(B3277&gt;=Cal_Start_Week,B3277&lt;=Cal_End_Week),"YES","")</f>
        <v>YES</v>
      </c>
    </row>
    <row r="3278" customFormat="false" ht="15" hidden="false" customHeight="false" outlineLevel="0" collapsed="false">
      <c r="A3278" s="31" t="str">
        <f aca="false">Demand_History!C3278</f>
        <v>ELE-003</v>
      </c>
      <c r="B3278" s="31" t="n">
        <f aca="false">Demand_History!A3278</f>
        <v>53</v>
      </c>
      <c r="C3278" s="32" t="n">
        <f aca="false">Demand_History!D3278</f>
        <v>27</v>
      </c>
      <c r="D3278" s="33" t="n">
        <f aca="false">IF(B3278&gt;=2,C3277,"")</f>
        <v>29</v>
      </c>
      <c r="E3278" s="33" t="n">
        <f aca="false">IF(B3278&gt;=5,AVERAGE(C3274:C3277),"")</f>
        <v>27.75</v>
      </c>
      <c r="F3278" s="33" t="n">
        <f aca="false">IF(B3278&gt;=9,AVERAGE(C3270:C3277),"")</f>
        <v>28.25</v>
      </c>
      <c r="G3278" s="33" t="n">
        <f aca="false">IF(B3278=1,"",IF(B3278=2,C3277,SES_Alpha*C3277+(1-SES_Alpha)*G3277))</f>
        <v>28.0759414357308</v>
      </c>
      <c r="H3278" s="33" t="n">
        <f aca="false">IF(D3278="","",D3278-C3278)</f>
        <v>2</v>
      </c>
      <c r="I3278" s="33" t="n">
        <f aca="false">IF(E3278="","",E3278-C3278)</f>
        <v>0.75</v>
      </c>
      <c r="J3278" s="33" t="n">
        <f aca="false">IF(F3278="","",F3278-C3278)</f>
        <v>1.25</v>
      </c>
      <c r="K3278" s="33" t="n">
        <f aca="false">IF(G3278="","",G3278-C3278)</f>
        <v>1.0759414357308</v>
      </c>
      <c r="L3278" s="33" t="n">
        <f aca="false">IF(H3278="","",ABS(H3278))</f>
        <v>2</v>
      </c>
      <c r="M3278" s="33" t="n">
        <f aca="false">IF(I3278="","",ABS(I3278))</f>
        <v>0.75</v>
      </c>
      <c r="N3278" s="33" t="n">
        <f aca="false">IF(J3278="","",ABS(J3278))</f>
        <v>1.25</v>
      </c>
      <c r="O3278" s="33" t="n">
        <f aca="false">IF(K3278="","",ABS(K3278))</f>
        <v>1.0759414357308</v>
      </c>
      <c r="P3278" s="34" t="str">
        <f aca="false">IF(B3278&gt;=Eval_Start_Week,"YES","")</f>
        <v>YES</v>
      </c>
      <c r="Q3278" s="34" t="str">
        <f aca="false">IF(AND(B3278&gt;=Cal_Start_Week,B3278&lt;=Cal_End_Week),"YES","")</f>
        <v>YES</v>
      </c>
    </row>
    <row r="3279" customFormat="false" ht="15" hidden="false" customHeight="false" outlineLevel="0" collapsed="false">
      <c r="A3279" s="31" t="str">
        <f aca="false">Demand_History!C3279</f>
        <v>ELE-003</v>
      </c>
      <c r="B3279" s="31" t="n">
        <f aca="false">Demand_History!A3279</f>
        <v>54</v>
      </c>
      <c r="C3279" s="32" t="n">
        <f aca="false">Demand_History!D3279</f>
        <v>27</v>
      </c>
      <c r="D3279" s="33" t="n">
        <f aca="false">IF(B3279&gt;=2,C3278,"")</f>
        <v>27</v>
      </c>
      <c r="E3279" s="33" t="n">
        <f aca="false">IF(B3279&gt;=5,AVERAGE(C3275:C3278),"")</f>
        <v>27</v>
      </c>
      <c r="F3279" s="33" t="n">
        <f aca="false">IF(B3279&gt;=9,AVERAGE(C3271:C3278),"")</f>
        <v>27.75</v>
      </c>
      <c r="G3279" s="33" t="n">
        <f aca="false">IF(B3279=1,"",IF(B3279=2,C3278,SES_Alpha*C3278+(1-SES_Alpha)*G3278))</f>
        <v>27.7531590050116</v>
      </c>
      <c r="H3279" s="33" t="n">
        <f aca="false">IF(D3279="","",D3279-C3279)</f>
        <v>0</v>
      </c>
      <c r="I3279" s="33" t="n">
        <f aca="false">IF(E3279="","",E3279-C3279)</f>
        <v>0</v>
      </c>
      <c r="J3279" s="33" t="n">
        <f aca="false">IF(F3279="","",F3279-C3279)</f>
        <v>0.75</v>
      </c>
      <c r="K3279" s="33" t="n">
        <f aca="false">IF(G3279="","",G3279-C3279)</f>
        <v>0.753159005011561</v>
      </c>
      <c r="L3279" s="33" t="n">
        <f aca="false">IF(H3279="","",ABS(H3279))</f>
        <v>0</v>
      </c>
      <c r="M3279" s="33" t="n">
        <f aca="false">IF(I3279="","",ABS(I3279))</f>
        <v>0</v>
      </c>
      <c r="N3279" s="33" t="n">
        <f aca="false">IF(J3279="","",ABS(J3279))</f>
        <v>0.75</v>
      </c>
      <c r="O3279" s="33" t="n">
        <f aca="false">IF(K3279="","",ABS(K3279))</f>
        <v>0.753159005011561</v>
      </c>
      <c r="P3279" s="34" t="str">
        <f aca="false">IF(B3279&gt;=Eval_Start_Week,"YES","")</f>
        <v>YES</v>
      </c>
      <c r="Q3279" s="34" t="str">
        <f aca="false">IF(AND(B3279&gt;=Cal_Start_Week,B3279&lt;=Cal_End_Week),"YES","")</f>
        <v>YES</v>
      </c>
    </row>
    <row r="3280" customFormat="false" ht="15" hidden="false" customHeight="false" outlineLevel="0" collapsed="false">
      <c r="A3280" s="31" t="str">
        <f aca="false">Demand_History!C3280</f>
        <v>ELE-003</v>
      </c>
      <c r="B3280" s="31" t="n">
        <f aca="false">Demand_History!A3280</f>
        <v>55</v>
      </c>
      <c r="C3280" s="32" t="n">
        <f aca="false">Demand_History!D3280</f>
        <v>36</v>
      </c>
      <c r="D3280" s="33" t="n">
        <f aca="false">IF(B3280&gt;=2,C3279,"")</f>
        <v>27</v>
      </c>
      <c r="E3280" s="33" t="n">
        <f aca="false">IF(B3280&gt;=5,AVERAGE(C3276:C3279),"")</f>
        <v>28.5</v>
      </c>
      <c r="F3280" s="33" t="n">
        <f aca="false">IF(B3280&gt;=9,AVERAGE(C3272:C3279),"")</f>
        <v>27.5</v>
      </c>
      <c r="G3280" s="33" t="n">
        <f aca="false">IF(B3280=1,"",IF(B3280=2,C3279,SES_Alpha*C3279+(1-SES_Alpha)*G3279))</f>
        <v>27.5272113035081</v>
      </c>
      <c r="H3280" s="33" t="n">
        <f aca="false">IF(D3280="","",D3280-C3280)</f>
        <v>-9</v>
      </c>
      <c r="I3280" s="33" t="n">
        <f aca="false">IF(E3280="","",E3280-C3280)</f>
        <v>-7.5</v>
      </c>
      <c r="J3280" s="33" t="n">
        <f aca="false">IF(F3280="","",F3280-C3280)</f>
        <v>-8.5</v>
      </c>
      <c r="K3280" s="33" t="n">
        <f aca="false">IF(G3280="","",G3280-C3280)</f>
        <v>-8.47278869649191</v>
      </c>
      <c r="L3280" s="33" t="n">
        <f aca="false">IF(H3280="","",ABS(H3280))</f>
        <v>9</v>
      </c>
      <c r="M3280" s="33" t="n">
        <f aca="false">IF(I3280="","",ABS(I3280))</f>
        <v>7.5</v>
      </c>
      <c r="N3280" s="33" t="n">
        <f aca="false">IF(J3280="","",ABS(J3280))</f>
        <v>8.5</v>
      </c>
      <c r="O3280" s="33" t="n">
        <f aca="false">IF(K3280="","",ABS(K3280))</f>
        <v>8.47278869649191</v>
      </c>
      <c r="P3280" s="34" t="str">
        <f aca="false">IF(B3280&gt;=Eval_Start_Week,"YES","")</f>
        <v>YES</v>
      </c>
      <c r="Q3280" s="34" t="str">
        <f aca="false">IF(AND(B3280&gt;=Cal_Start_Week,B3280&lt;=Cal_End_Week),"YES","")</f>
        <v>YES</v>
      </c>
    </row>
    <row r="3281" customFormat="false" ht="15" hidden="false" customHeight="false" outlineLevel="0" collapsed="false">
      <c r="A3281" s="31" t="str">
        <f aca="false">Demand_History!C3281</f>
        <v>ELE-003</v>
      </c>
      <c r="B3281" s="31" t="n">
        <f aca="false">Demand_History!A3281</f>
        <v>56</v>
      </c>
      <c r="C3281" s="32" t="n">
        <f aca="false">Demand_History!D3281</f>
        <v>36</v>
      </c>
      <c r="D3281" s="33" t="n">
        <f aca="false">IF(B3281&gt;=2,C3280,"")</f>
        <v>36</v>
      </c>
      <c r="E3281" s="33" t="n">
        <f aca="false">IF(B3281&gt;=5,AVERAGE(C3277:C3280),"")</f>
        <v>29.75</v>
      </c>
      <c r="F3281" s="33" t="n">
        <f aca="false">IF(B3281&gt;=9,AVERAGE(C3273:C3280),"")</f>
        <v>28.875</v>
      </c>
      <c r="G3281" s="33" t="n">
        <f aca="false">IF(B3281=1,"",IF(B3281=2,C3280,SES_Alpha*C3280+(1-SES_Alpha)*G3280))</f>
        <v>30.0690479124557</v>
      </c>
      <c r="H3281" s="33" t="n">
        <f aca="false">IF(D3281="","",D3281-C3281)</f>
        <v>0</v>
      </c>
      <c r="I3281" s="33" t="n">
        <f aca="false">IF(E3281="","",E3281-C3281)</f>
        <v>-6.25</v>
      </c>
      <c r="J3281" s="33" t="n">
        <f aca="false">IF(F3281="","",F3281-C3281)</f>
        <v>-7.125</v>
      </c>
      <c r="K3281" s="33" t="n">
        <f aca="false">IF(G3281="","",G3281-C3281)</f>
        <v>-5.93095208754434</v>
      </c>
      <c r="L3281" s="33" t="n">
        <f aca="false">IF(H3281="","",ABS(H3281))</f>
        <v>0</v>
      </c>
      <c r="M3281" s="33" t="n">
        <f aca="false">IF(I3281="","",ABS(I3281))</f>
        <v>6.25</v>
      </c>
      <c r="N3281" s="33" t="n">
        <f aca="false">IF(J3281="","",ABS(J3281))</f>
        <v>7.125</v>
      </c>
      <c r="O3281" s="33" t="n">
        <f aca="false">IF(K3281="","",ABS(K3281))</f>
        <v>5.93095208754434</v>
      </c>
      <c r="P3281" s="34" t="str">
        <f aca="false">IF(B3281&gt;=Eval_Start_Week,"YES","")</f>
        <v>YES</v>
      </c>
      <c r="Q3281" s="34" t="str">
        <f aca="false">IF(AND(B3281&gt;=Cal_Start_Week,B3281&lt;=Cal_End_Week),"YES","")</f>
        <v>YES</v>
      </c>
    </row>
    <row r="3282" customFormat="false" ht="15" hidden="false" customHeight="false" outlineLevel="0" collapsed="false">
      <c r="A3282" s="31" t="str">
        <f aca="false">Demand_History!C3282</f>
        <v>ELE-003</v>
      </c>
      <c r="B3282" s="31" t="n">
        <f aca="false">Demand_History!A3282</f>
        <v>57</v>
      </c>
      <c r="C3282" s="32" t="n">
        <f aca="false">Demand_History!D3282</f>
        <v>37</v>
      </c>
      <c r="D3282" s="33" t="n">
        <f aca="false">IF(B3282&gt;=2,C3281,"")</f>
        <v>36</v>
      </c>
      <c r="E3282" s="33" t="n">
        <f aca="false">IF(B3282&gt;=5,AVERAGE(C3278:C3281),"")</f>
        <v>31.5</v>
      </c>
      <c r="F3282" s="33" t="n">
        <f aca="false">IF(B3282&gt;=9,AVERAGE(C3274:C3281),"")</f>
        <v>29.625</v>
      </c>
      <c r="G3282" s="33" t="n">
        <f aca="false">IF(B3282=1,"",IF(B3282=2,C3281,SES_Alpha*C3281+(1-SES_Alpha)*G3281))</f>
        <v>31.848333538719</v>
      </c>
      <c r="H3282" s="33" t="n">
        <f aca="false">IF(D3282="","",D3282-C3282)</f>
        <v>-1</v>
      </c>
      <c r="I3282" s="33" t="n">
        <f aca="false">IF(E3282="","",E3282-C3282)</f>
        <v>-5.5</v>
      </c>
      <c r="J3282" s="33" t="n">
        <f aca="false">IF(F3282="","",F3282-C3282)</f>
        <v>-7.375</v>
      </c>
      <c r="K3282" s="33" t="n">
        <f aca="false">IF(G3282="","",G3282-C3282)</f>
        <v>-5.15166646128104</v>
      </c>
      <c r="L3282" s="33" t="n">
        <f aca="false">IF(H3282="","",ABS(H3282))</f>
        <v>1</v>
      </c>
      <c r="M3282" s="33" t="n">
        <f aca="false">IF(I3282="","",ABS(I3282))</f>
        <v>5.5</v>
      </c>
      <c r="N3282" s="33" t="n">
        <f aca="false">IF(J3282="","",ABS(J3282))</f>
        <v>7.375</v>
      </c>
      <c r="O3282" s="33" t="n">
        <f aca="false">IF(K3282="","",ABS(K3282))</f>
        <v>5.15166646128104</v>
      </c>
      <c r="P3282" s="34" t="str">
        <f aca="false">IF(B3282&gt;=Eval_Start_Week,"YES","")</f>
        <v>YES</v>
      </c>
      <c r="Q3282" s="34" t="str">
        <f aca="false">IF(AND(B3282&gt;=Cal_Start_Week,B3282&lt;=Cal_End_Week),"YES","")</f>
        <v>YES</v>
      </c>
    </row>
    <row r="3283" customFormat="false" ht="15" hidden="false" customHeight="false" outlineLevel="0" collapsed="false">
      <c r="A3283" s="31" t="str">
        <f aca="false">Demand_History!C3283</f>
        <v>ELE-003</v>
      </c>
      <c r="B3283" s="31" t="n">
        <f aca="false">Demand_History!A3283</f>
        <v>58</v>
      </c>
      <c r="C3283" s="32" t="n">
        <f aca="false">Demand_History!D3283</f>
        <v>25</v>
      </c>
      <c r="D3283" s="33" t="n">
        <f aca="false">IF(B3283&gt;=2,C3282,"")</f>
        <v>37</v>
      </c>
      <c r="E3283" s="33" t="n">
        <f aca="false">IF(B3283&gt;=5,AVERAGE(C3279:C3282),"")</f>
        <v>34</v>
      </c>
      <c r="F3283" s="33" t="n">
        <f aca="false">IF(B3283&gt;=9,AVERAGE(C3275:C3282),"")</f>
        <v>30.5</v>
      </c>
      <c r="G3283" s="33" t="n">
        <f aca="false">IF(B3283=1,"",IF(B3283=2,C3282,SES_Alpha*C3282+(1-SES_Alpha)*G3282))</f>
        <v>33.3938334771033</v>
      </c>
      <c r="H3283" s="33" t="n">
        <f aca="false">IF(D3283="","",D3283-C3283)</f>
        <v>12</v>
      </c>
      <c r="I3283" s="33" t="n">
        <f aca="false">IF(E3283="","",E3283-C3283)</f>
        <v>9</v>
      </c>
      <c r="J3283" s="33" t="n">
        <f aca="false">IF(F3283="","",F3283-C3283)</f>
        <v>5.5</v>
      </c>
      <c r="K3283" s="33" t="n">
        <f aca="false">IF(G3283="","",G3283-C3283)</f>
        <v>8.39383347710327</v>
      </c>
      <c r="L3283" s="33" t="n">
        <f aca="false">IF(H3283="","",ABS(H3283))</f>
        <v>12</v>
      </c>
      <c r="M3283" s="33" t="n">
        <f aca="false">IF(I3283="","",ABS(I3283))</f>
        <v>9</v>
      </c>
      <c r="N3283" s="33" t="n">
        <f aca="false">IF(J3283="","",ABS(J3283))</f>
        <v>5.5</v>
      </c>
      <c r="O3283" s="33" t="n">
        <f aca="false">IF(K3283="","",ABS(K3283))</f>
        <v>8.39383347710327</v>
      </c>
      <c r="P3283" s="34" t="str">
        <f aca="false">IF(B3283&gt;=Eval_Start_Week,"YES","")</f>
        <v>YES</v>
      </c>
      <c r="Q3283" s="34" t="str">
        <f aca="false">IF(AND(B3283&gt;=Cal_Start_Week,B3283&lt;=Cal_End_Week),"YES","")</f>
        <v>YES</v>
      </c>
    </row>
    <row r="3284" customFormat="false" ht="15" hidden="false" customHeight="false" outlineLevel="0" collapsed="false">
      <c r="A3284" s="31" t="str">
        <f aca="false">Demand_History!C3284</f>
        <v>ELE-003</v>
      </c>
      <c r="B3284" s="31" t="n">
        <f aca="false">Demand_History!A3284</f>
        <v>59</v>
      </c>
      <c r="C3284" s="32" t="n">
        <f aca="false">Demand_History!D3284</f>
        <v>27</v>
      </c>
      <c r="D3284" s="33" t="n">
        <f aca="false">IF(B3284&gt;=2,C3283,"")</f>
        <v>25</v>
      </c>
      <c r="E3284" s="33" t="n">
        <f aca="false">IF(B3284&gt;=5,AVERAGE(C3280:C3283),"")</f>
        <v>33.5</v>
      </c>
      <c r="F3284" s="33" t="n">
        <f aca="false">IF(B3284&gt;=9,AVERAGE(C3276:C3283),"")</f>
        <v>31</v>
      </c>
      <c r="G3284" s="33" t="n">
        <f aca="false">IF(B3284=1,"",IF(B3284=2,C3283,SES_Alpha*C3283+(1-SES_Alpha)*G3283))</f>
        <v>30.8756834339723</v>
      </c>
      <c r="H3284" s="33" t="n">
        <f aca="false">IF(D3284="","",D3284-C3284)</f>
        <v>-2</v>
      </c>
      <c r="I3284" s="33" t="n">
        <f aca="false">IF(E3284="","",E3284-C3284)</f>
        <v>6.5</v>
      </c>
      <c r="J3284" s="33" t="n">
        <f aca="false">IF(F3284="","",F3284-C3284)</f>
        <v>4</v>
      </c>
      <c r="K3284" s="33" t="n">
        <f aca="false">IF(G3284="","",G3284-C3284)</f>
        <v>3.87568343397229</v>
      </c>
      <c r="L3284" s="33" t="n">
        <f aca="false">IF(H3284="","",ABS(H3284))</f>
        <v>2</v>
      </c>
      <c r="M3284" s="33" t="n">
        <f aca="false">IF(I3284="","",ABS(I3284))</f>
        <v>6.5</v>
      </c>
      <c r="N3284" s="33" t="n">
        <f aca="false">IF(J3284="","",ABS(J3284))</f>
        <v>4</v>
      </c>
      <c r="O3284" s="33" t="n">
        <f aca="false">IF(K3284="","",ABS(K3284))</f>
        <v>3.87568343397229</v>
      </c>
      <c r="P3284" s="34" t="str">
        <f aca="false">IF(B3284&gt;=Eval_Start_Week,"YES","")</f>
        <v>YES</v>
      </c>
      <c r="Q3284" s="34" t="str">
        <f aca="false">IF(AND(B3284&gt;=Cal_Start_Week,B3284&lt;=Cal_End_Week),"YES","")</f>
        <v>YES</v>
      </c>
    </row>
    <row r="3285" customFormat="false" ht="15" hidden="false" customHeight="false" outlineLevel="0" collapsed="false">
      <c r="A3285" s="31" t="str">
        <f aca="false">Demand_History!C3285</f>
        <v>ELE-003</v>
      </c>
      <c r="B3285" s="31" t="n">
        <f aca="false">Demand_History!A3285</f>
        <v>60</v>
      </c>
      <c r="C3285" s="32" t="n">
        <f aca="false">Demand_History!D3285</f>
        <v>34</v>
      </c>
      <c r="D3285" s="33" t="n">
        <f aca="false">IF(B3285&gt;=2,C3284,"")</f>
        <v>27</v>
      </c>
      <c r="E3285" s="33" t="n">
        <f aca="false">IF(B3285&gt;=5,AVERAGE(C3281:C3284),"")</f>
        <v>31.25</v>
      </c>
      <c r="F3285" s="33" t="n">
        <f aca="false">IF(B3285&gt;=9,AVERAGE(C3277:C3284),"")</f>
        <v>30.5</v>
      </c>
      <c r="G3285" s="33" t="n">
        <f aca="false">IF(B3285=1,"",IF(B3285=2,C3284,SES_Alpha*C3284+(1-SES_Alpha)*G3284))</f>
        <v>29.7129784037806</v>
      </c>
      <c r="H3285" s="33" t="n">
        <f aca="false">IF(D3285="","",D3285-C3285)</f>
        <v>-7</v>
      </c>
      <c r="I3285" s="33" t="n">
        <f aca="false">IF(E3285="","",E3285-C3285)</f>
        <v>-2.75</v>
      </c>
      <c r="J3285" s="33" t="n">
        <f aca="false">IF(F3285="","",F3285-C3285)</f>
        <v>-3.5</v>
      </c>
      <c r="K3285" s="33" t="n">
        <f aca="false">IF(G3285="","",G3285-C3285)</f>
        <v>-4.2870215962194</v>
      </c>
      <c r="L3285" s="33" t="n">
        <f aca="false">IF(H3285="","",ABS(H3285))</f>
        <v>7</v>
      </c>
      <c r="M3285" s="33" t="n">
        <f aca="false">IF(I3285="","",ABS(I3285))</f>
        <v>2.75</v>
      </c>
      <c r="N3285" s="33" t="n">
        <f aca="false">IF(J3285="","",ABS(J3285))</f>
        <v>3.5</v>
      </c>
      <c r="O3285" s="33" t="n">
        <f aca="false">IF(K3285="","",ABS(K3285))</f>
        <v>4.2870215962194</v>
      </c>
      <c r="P3285" s="34" t="str">
        <f aca="false">IF(B3285&gt;=Eval_Start_Week,"YES","")</f>
        <v>YES</v>
      </c>
      <c r="Q3285" s="34" t="str">
        <f aca="false">IF(AND(B3285&gt;=Cal_Start_Week,B3285&lt;=Cal_End_Week),"YES","")</f>
        <v>YES</v>
      </c>
    </row>
    <row r="3286" customFormat="false" ht="15" hidden="false" customHeight="false" outlineLevel="0" collapsed="false">
      <c r="A3286" s="31" t="str">
        <f aca="false">Demand_History!C3286</f>
        <v>ELE-003</v>
      </c>
      <c r="B3286" s="31" t="n">
        <f aca="false">Demand_History!A3286</f>
        <v>61</v>
      </c>
      <c r="C3286" s="32" t="n">
        <f aca="false">Demand_History!D3286</f>
        <v>25</v>
      </c>
      <c r="D3286" s="33" t="n">
        <f aca="false">IF(B3286&gt;=2,C3285,"")</f>
        <v>34</v>
      </c>
      <c r="E3286" s="33" t="n">
        <f aca="false">IF(B3286&gt;=5,AVERAGE(C3282:C3285),"")</f>
        <v>30.75</v>
      </c>
      <c r="F3286" s="33" t="n">
        <f aca="false">IF(B3286&gt;=9,AVERAGE(C3278:C3285),"")</f>
        <v>31.125</v>
      </c>
      <c r="G3286" s="33" t="n">
        <f aca="false">IF(B3286=1,"",IF(B3286=2,C3285,SES_Alpha*C3285+(1-SES_Alpha)*G3285))</f>
        <v>30.9990848826464</v>
      </c>
      <c r="H3286" s="33" t="n">
        <f aca="false">IF(D3286="","",D3286-C3286)</f>
        <v>9</v>
      </c>
      <c r="I3286" s="33" t="n">
        <f aca="false">IF(E3286="","",E3286-C3286)</f>
        <v>5.75</v>
      </c>
      <c r="J3286" s="33" t="n">
        <f aca="false">IF(F3286="","",F3286-C3286)</f>
        <v>6.125</v>
      </c>
      <c r="K3286" s="33" t="n">
        <f aca="false">IF(G3286="","",G3286-C3286)</f>
        <v>5.99908488264642</v>
      </c>
      <c r="L3286" s="33" t="n">
        <f aca="false">IF(H3286="","",ABS(H3286))</f>
        <v>9</v>
      </c>
      <c r="M3286" s="33" t="n">
        <f aca="false">IF(I3286="","",ABS(I3286))</f>
        <v>5.75</v>
      </c>
      <c r="N3286" s="33" t="n">
        <f aca="false">IF(J3286="","",ABS(J3286))</f>
        <v>6.125</v>
      </c>
      <c r="O3286" s="33" t="n">
        <f aca="false">IF(K3286="","",ABS(K3286))</f>
        <v>5.99908488264642</v>
      </c>
      <c r="P3286" s="34" t="str">
        <f aca="false">IF(B3286&gt;=Eval_Start_Week,"YES","")</f>
        <v>YES</v>
      </c>
      <c r="Q3286" s="34" t="str">
        <f aca="false">IF(AND(B3286&gt;=Cal_Start_Week,B3286&lt;=Cal_End_Week),"YES","")</f>
        <v>YES</v>
      </c>
    </row>
    <row r="3287" customFormat="false" ht="15" hidden="false" customHeight="false" outlineLevel="0" collapsed="false">
      <c r="A3287" s="31" t="str">
        <f aca="false">Demand_History!C3287</f>
        <v>ELE-003</v>
      </c>
      <c r="B3287" s="31" t="n">
        <f aca="false">Demand_History!A3287</f>
        <v>62</v>
      </c>
      <c r="C3287" s="32" t="n">
        <f aca="false">Demand_History!D3287</f>
        <v>28</v>
      </c>
      <c r="D3287" s="33" t="n">
        <f aca="false">IF(B3287&gt;=2,C3286,"")</f>
        <v>25</v>
      </c>
      <c r="E3287" s="33" t="n">
        <f aca="false">IF(B3287&gt;=5,AVERAGE(C3283:C3286),"")</f>
        <v>27.75</v>
      </c>
      <c r="F3287" s="33" t="n">
        <f aca="false">IF(B3287&gt;=9,AVERAGE(C3279:C3286),"")</f>
        <v>30.875</v>
      </c>
      <c r="G3287" s="33" t="n">
        <f aca="false">IF(B3287=1,"",IF(B3287=2,C3286,SES_Alpha*C3286+(1-SES_Alpha)*G3286))</f>
        <v>29.1993594178525</v>
      </c>
      <c r="H3287" s="33" t="n">
        <f aca="false">IF(D3287="","",D3287-C3287)</f>
        <v>-3</v>
      </c>
      <c r="I3287" s="33" t="n">
        <f aca="false">IF(E3287="","",E3287-C3287)</f>
        <v>-0.25</v>
      </c>
      <c r="J3287" s="33" t="n">
        <f aca="false">IF(F3287="","",F3287-C3287)</f>
        <v>2.875</v>
      </c>
      <c r="K3287" s="33" t="n">
        <f aca="false">IF(G3287="","",G3287-C3287)</f>
        <v>1.1993594178525</v>
      </c>
      <c r="L3287" s="33" t="n">
        <f aca="false">IF(H3287="","",ABS(H3287))</f>
        <v>3</v>
      </c>
      <c r="M3287" s="33" t="n">
        <f aca="false">IF(I3287="","",ABS(I3287))</f>
        <v>0.25</v>
      </c>
      <c r="N3287" s="33" t="n">
        <f aca="false">IF(J3287="","",ABS(J3287))</f>
        <v>2.875</v>
      </c>
      <c r="O3287" s="33" t="n">
        <f aca="false">IF(K3287="","",ABS(K3287))</f>
        <v>1.1993594178525</v>
      </c>
      <c r="P3287" s="34" t="str">
        <f aca="false">IF(B3287&gt;=Eval_Start_Week,"YES","")</f>
        <v>YES</v>
      </c>
      <c r="Q3287" s="34" t="str">
        <f aca="false">IF(AND(B3287&gt;=Cal_Start_Week,B3287&lt;=Cal_End_Week),"YES","")</f>
        <v>YES</v>
      </c>
    </row>
    <row r="3288" customFormat="false" ht="15" hidden="false" customHeight="false" outlineLevel="0" collapsed="false">
      <c r="A3288" s="31" t="str">
        <f aca="false">Demand_History!C3288</f>
        <v>ELE-003</v>
      </c>
      <c r="B3288" s="31" t="n">
        <f aca="false">Demand_History!A3288</f>
        <v>63</v>
      </c>
      <c r="C3288" s="32" t="n">
        <f aca="false">Demand_History!D3288</f>
        <v>23</v>
      </c>
      <c r="D3288" s="33" t="n">
        <f aca="false">IF(B3288&gt;=2,C3287,"")</f>
        <v>28</v>
      </c>
      <c r="E3288" s="33" t="n">
        <f aca="false">IF(B3288&gt;=5,AVERAGE(C3284:C3287),"")</f>
        <v>28.5</v>
      </c>
      <c r="F3288" s="33" t="n">
        <f aca="false">IF(B3288&gt;=9,AVERAGE(C3280:C3287),"")</f>
        <v>31</v>
      </c>
      <c r="G3288" s="33" t="n">
        <f aca="false">IF(B3288=1,"",IF(B3288=2,C3287,SES_Alpha*C3287+(1-SES_Alpha)*G3287))</f>
        <v>28.8395515924967</v>
      </c>
      <c r="H3288" s="33" t="n">
        <f aca="false">IF(D3288="","",D3288-C3288)</f>
        <v>5</v>
      </c>
      <c r="I3288" s="33" t="n">
        <f aca="false">IF(E3288="","",E3288-C3288)</f>
        <v>5.5</v>
      </c>
      <c r="J3288" s="33" t="n">
        <f aca="false">IF(F3288="","",F3288-C3288)</f>
        <v>8</v>
      </c>
      <c r="K3288" s="33" t="n">
        <f aca="false">IF(G3288="","",G3288-C3288)</f>
        <v>5.83955159249675</v>
      </c>
      <c r="L3288" s="33" t="n">
        <f aca="false">IF(H3288="","",ABS(H3288))</f>
        <v>5</v>
      </c>
      <c r="M3288" s="33" t="n">
        <f aca="false">IF(I3288="","",ABS(I3288))</f>
        <v>5.5</v>
      </c>
      <c r="N3288" s="33" t="n">
        <f aca="false">IF(J3288="","",ABS(J3288))</f>
        <v>8</v>
      </c>
      <c r="O3288" s="33" t="n">
        <f aca="false">IF(K3288="","",ABS(K3288))</f>
        <v>5.83955159249675</v>
      </c>
      <c r="P3288" s="34" t="str">
        <f aca="false">IF(B3288&gt;=Eval_Start_Week,"YES","")</f>
        <v>YES</v>
      </c>
      <c r="Q3288" s="34" t="str">
        <f aca="false">IF(AND(B3288&gt;=Cal_Start_Week,B3288&lt;=Cal_End_Week),"YES","")</f>
        <v>YES</v>
      </c>
    </row>
    <row r="3289" customFormat="false" ht="15" hidden="false" customHeight="false" outlineLevel="0" collapsed="false">
      <c r="A3289" s="31" t="str">
        <f aca="false">Demand_History!C3289</f>
        <v>ELE-003</v>
      </c>
      <c r="B3289" s="31" t="n">
        <f aca="false">Demand_History!A3289</f>
        <v>64</v>
      </c>
      <c r="C3289" s="32" t="n">
        <f aca="false">Demand_History!D3289</f>
        <v>39</v>
      </c>
      <c r="D3289" s="33" t="n">
        <f aca="false">IF(B3289&gt;=2,C3288,"")</f>
        <v>23</v>
      </c>
      <c r="E3289" s="33" t="n">
        <f aca="false">IF(B3289&gt;=5,AVERAGE(C3285:C3288),"")</f>
        <v>27.5</v>
      </c>
      <c r="F3289" s="33" t="n">
        <f aca="false">IF(B3289&gt;=9,AVERAGE(C3281:C3288),"")</f>
        <v>29.375</v>
      </c>
      <c r="G3289" s="33" t="n">
        <f aca="false">IF(B3289=1,"",IF(B3289=2,C3288,SES_Alpha*C3288+(1-SES_Alpha)*G3288))</f>
        <v>27.0876861147477</v>
      </c>
      <c r="H3289" s="33" t="n">
        <f aca="false">IF(D3289="","",D3289-C3289)</f>
        <v>-16</v>
      </c>
      <c r="I3289" s="33" t="n">
        <f aca="false">IF(E3289="","",E3289-C3289)</f>
        <v>-11.5</v>
      </c>
      <c r="J3289" s="33" t="n">
        <f aca="false">IF(F3289="","",F3289-C3289)</f>
        <v>-9.625</v>
      </c>
      <c r="K3289" s="33" t="n">
        <f aca="false">IF(G3289="","",G3289-C3289)</f>
        <v>-11.9123138852523</v>
      </c>
      <c r="L3289" s="33" t="n">
        <f aca="false">IF(H3289="","",ABS(H3289))</f>
        <v>16</v>
      </c>
      <c r="M3289" s="33" t="n">
        <f aca="false">IF(I3289="","",ABS(I3289))</f>
        <v>11.5</v>
      </c>
      <c r="N3289" s="33" t="n">
        <f aca="false">IF(J3289="","",ABS(J3289))</f>
        <v>9.625</v>
      </c>
      <c r="O3289" s="33" t="n">
        <f aca="false">IF(K3289="","",ABS(K3289))</f>
        <v>11.9123138852523</v>
      </c>
      <c r="P3289" s="34" t="str">
        <f aca="false">IF(B3289&gt;=Eval_Start_Week,"YES","")</f>
        <v>YES</v>
      </c>
      <c r="Q3289" s="34" t="str">
        <f aca="false">IF(AND(B3289&gt;=Cal_Start_Week,B3289&lt;=Cal_End_Week),"YES","")</f>
        <v>YES</v>
      </c>
    </row>
    <row r="3290" customFormat="false" ht="15" hidden="false" customHeight="false" outlineLevel="0" collapsed="false">
      <c r="A3290" s="31" t="str">
        <f aca="false">Demand_History!C3290</f>
        <v>ELE-003</v>
      </c>
      <c r="B3290" s="31" t="n">
        <f aca="false">Demand_History!A3290</f>
        <v>65</v>
      </c>
      <c r="C3290" s="32" t="n">
        <f aca="false">Demand_History!D3290</f>
        <v>36</v>
      </c>
      <c r="D3290" s="33" t="n">
        <f aca="false">IF(B3290&gt;=2,C3289,"")</f>
        <v>39</v>
      </c>
      <c r="E3290" s="33" t="n">
        <f aca="false">IF(B3290&gt;=5,AVERAGE(C3286:C3289),"")</f>
        <v>28.75</v>
      </c>
      <c r="F3290" s="33" t="n">
        <f aca="false">IF(B3290&gt;=9,AVERAGE(C3282:C3289),"")</f>
        <v>29.75</v>
      </c>
      <c r="G3290" s="33" t="n">
        <f aca="false">IF(B3290=1,"",IF(B3290=2,C3289,SES_Alpha*C3289+(1-SES_Alpha)*G3289))</f>
        <v>30.6613802803234</v>
      </c>
      <c r="H3290" s="33" t="n">
        <f aca="false">IF(D3290="","",D3290-C3290)</f>
        <v>3</v>
      </c>
      <c r="I3290" s="33" t="n">
        <f aca="false">IF(E3290="","",E3290-C3290)</f>
        <v>-7.25</v>
      </c>
      <c r="J3290" s="33" t="n">
        <f aca="false">IF(F3290="","",F3290-C3290)</f>
        <v>-6.25</v>
      </c>
      <c r="K3290" s="33" t="n">
        <f aca="false">IF(G3290="","",G3290-C3290)</f>
        <v>-5.3386197196766</v>
      </c>
      <c r="L3290" s="33" t="n">
        <f aca="false">IF(H3290="","",ABS(H3290))</f>
        <v>3</v>
      </c>
      <c r="M3290" s="33" t="n">
        <f aca="false">IF(I3290="","",ABS(I3290))</f>
        <v>7.25</v>
      </c>
      <c r="N3290" s="33" t="n">
        <f aca="false">IF(J3290="","",ABS(J3290))</f>
        <v>6.25</v>
      </c>
      <c r="O3290" s="33" t="n">
        <f aca="false">IF(K3290="","",ABS(K3290))</f>
        <v>5.3386197196766</v>
      </c>
      <c r="P3290" s="34" t="str">
        <f aca="false">IF(B3290&gt;=Eval_Start_Week,"YES","")</f>
        <v>YES</v>
      </c>
      <c r="Q3290" s="34" t="str">
        <f aca="false">IF(AND(B3290&gt;=Cal_Start_Week,B3290&lt;=Cal_End_Week),"YES","")</f>
        <v>YES</v>
      </c>
    </row>
    <row r="3291" customFormat="false" ht="15" hidden="false" customHeight="false" outlineLevel="0" collapsed="false">
      <c r="A3291" s="31" t="str">
        <f aca="false">Demand_History!C3291</f>
        <v>ELE-003</v>
      </c>
      <c r="B3291" s="31" t="n">
        <f aca="false">Demand_History!A3291</f>
        <v>66</v>
      </c>
      <c r="C3291" s="32" t="n">
        <f aca="false">Demand_History!D3291</f>
        <v>33</v>
      </c>
      <c r="D3291" s="33" t="n">
        <f aca="false">IF(B3291&gt;=2,C3290,"")</f>
        <v>36</v>
      </c>
      <c r="E3291" s="33" t="n">
        <f aca="false">IF(B3291&gt;=5,AVERAGE(C3287:C3290),"")</f>
        <v>31.5</v>
      </c>
      <c r="F3291" s="33" t="n">
        <f aca="false">IF(B3291&gt;=9,AVERAGE(C3283:C3290),"")</f>
        <v>29.625</v>
      </c>
      <c r="G3291" s="33" t="n">
        <f aca="false">IF(B3291=1,"",IF(B3291=2,C3290,SES_Alpha*C3290+(1-SES_Alpha)*G3290))</f>
        <v>32.2629661962264</v>
      </c>
      <c r="H3291" s="33" t="n">
        <f aca="false">IF(D3291="","",D3291-C3291)</f>
        <v>3</v>
      </c>
      <c r="I3291" s="33" t="n">
        <f aca="false">IF(E3291="","",E3291-C3291)</f>
        <v>-1.5</v>
      </c>
      <c r="J3291" s="33" t="n">
        <f aca="false">IF(F3291="","",F3291-C3291)</f>
        <v>-3.375</v>
      </c>
      <c r="K3291" s="33" t="n">
        <f aca="false">IF(G3291="","",G3291-C3291)</f>
        <v>-0.73703380377362</v>
      </c>
      <c r="L3291" s="33" t="n">
        <f aca="false">IF(H3291="","",ABS(H3291))</f>
        <v>3</v>
      </c>
      <c r="M3291" s="33" t="n">
        <f aca="false">IF(I3291="","",ABS(I3291))</f>
        <v>1.5</v>
      </c>
      <c r="N3291" s="33" t="n">
        <f aca="false">IF(J3291="","",ABS(J3291))</f>
        <v>3.375</v>
      </c>
      <c r="O3291" s="33" t="n">
        <f aca="false">IF(K3291="","",ABS(K3291))</f>
        <v>0.73703380377362</v>
      </c>
      <c r="P3291" s="34" t="str">
        <f aca="false">IF(B3291&gt;=Eval_Start_Week,"YES","")</f>
        <v>YES</v>
      </c>
      <c r="Q3291" s="34" t="str">
        <f aca="false">IF(AND(B3291&gt;=Cal_Start_Week,B3291&lt;=Cal_End_Week),"YES","")</f>
        <v>YES</v>
      </c>
    </row>
    <row r="3292" customFormat="false" ht="15" hidden="false" customHeight="false" outlineLevel="0" collapsed="false">
      <c r="A3292" s="31" t="str">
        <f aca="false">Demand_History!C3292</f>
        <v>ELE-003</v>
      </c>
      <c r="B3292" s="31" t="n">
        <f aca="false">Demand_History!A3292</f>
        <v>67</v>
      </c>
      <c r="C3292" s="32" t="n">
        <f aca="false">Demand_History!D3292</f>
        <v>33</v>
      </c>
      <c r="D3292" s="33" t="n">
        <f aca="false">IF(B3292&gt;=2,C3291,"")</f>
        <v>33</v>
      </c>
      <c r="E3292" s="33" t="n">
        <f aca="false">IF(B3292&gt;=5,AVERAGE(C3288:C3291),"")</f>
        <v>32.75</v>
      </c>
      <c r="F3292" s="33" t="n">
        <f aca="false">IF(B3292&gt;=9,AVERAGE(C3284:C3291),"")</f>
        <v>30.625</v>
      </c>
      <c r="G3292" s="33" t="n">
        <f aca="false">IF(B3292=1,"",IF(B3292=2,C3291,SES_Alpha*C3291+(1-SES_Alpha)*G3291))</f>
        <v>32.4840763373585</v>
      </c>
      <c r="H3292" s="33" t="n">
        <f aca="false">IF(D3292="","",D3292-C3292)</f>
        <v>0</v>
      </c>
      <c r="I3292" s="33" t="n">
        <f aca="false">IF(E3292="","",E3292-C3292)</f>
        <v>-0.25</v>
      </c>
      <c r="J3292" s="33" t="n">
        <f aca="false">IF(F3292="","",F3292-C3292)</f>
        <v>-2.375</v>
      </c>
      <c r="K3292" s="33" t="n">
        <f aca="false">IF(G3292="","",G3292-C3292)</f>
        <v>-0.515923662641534</v>
      </c>
      <c r="L3292" s="33" t="n">
        <f aca="false">IF(H3292="","",ABS(H3292))</f>
        <v>0</v>
      </c>
      <c r="M3292" s="33" t="n">
        <f aca="false">IF(I3292="","",ABS(I3292))</f>
        <v>0.25</v>
      </c>
      <c r="N3292" s="33" t="n">
        <f aca="false">IF(J3292="","",ABS(J3292))</f>
        <v>2.375</v>
      </c>
      <c r="O3292" s="33" t="n">
        <f aca="false">IF(K3292="","",ABS(K3292))</f>
        <v>0.515923662641534</v>
      </c>
      <c r="P3292" s="34" t="str">
        <f aca="false">IF(B3292&gt;=Eval_Start_Week,"YES","")</f>
        <v>YES</v>
      </c>
      <c r="Q3292" s="34" t="str">
        <f aca="false">IF(AND(B3292&gt;=Cal_Start_Week,B3292&lt;=Cal_End_Week),"YES","")</f>
        <v>YES</v>
      </c>
    </row>
    <row r="3293" customFormat="false" ht="15" hidden="false" customHeight="false" outlineLevel="0" collapsed="false">
      <c r="A3293" s="31" t="str">
        <f aca="false">Demand_History!C3293</f>
        <v>ELE-003</v>
      </c>
      <c r="B3293" s="31" t="n">
        <f aca="false">Demand_History!A3293</f>
        <v>68</v>
      </c>
      <c r="C3293" s="32" t="n">
        <f aca="false">Demand_History!D3293</f>
        <v>30</v>
      </c>
      <c r="D3293" s="33" t="n">
        <f aca="false">IF(B3293&gt;=2,C3292,"")</f>
        <v>33</v>
      </c>
      <c r="E3293" s="33" t="n">
        <f aca="false">IF(B3293&gt;=5,AVERAGE(C3289:C3292),"")</f>
        <v>35.25</v>
      </c>
      <c r="F3293" s="33" t="n">
        <f aca="false">IF(B3293&gt;=9,AVERAGE(C3285:C3292),"")</f>
        <v>31.375</v>
      </c>
      <c r="G3293" s="33" t="n">
        <f aca="false">IF(B3293=1,"",IF(B3293=2,C3292,SES_Alpha*C3292+(1-SES_Alpha)*G3292))</f>
        <v>32.6388534361509</v>
      </c>
      <c r="H3293" s="33" t="n">
        <f aca="false">IF(D3293="","",D3293-C3293)</f>
        <v>3</v>
      </c>
      <c r="I3293" s="33" t="n">
        <f aca="false">IF(E3293="","",E3293-C3293)</f>
        <v>5.25</v>
      </c>
      <c r="J3293" s="33" t="n">
        <f aca="false">IF(F3293="","",F3293-C3293)</f>
        <v>1.375</v>
      </c>
      <c r="K3293" s="33" t="n">
        <f aca="false">IF(G3293="","",G3293-C3293)</f>
        <v>2.63885343615092</v>
      </c>
      <c r="L3293" s="33" t="n">
        <f aca="false">IF(H3293="","",ABS(H3293))</f>
        <v>3</v>
      </c>
      <c r="M3293" s="33" t="n">
        <f aca="false">IF(I3293="","",ABS(I3293))</f>
        <v>5.25</v>
      </c>
      <c r="N3293" s="33" t="n">
        <f aca="false">IF(J3293="","",ABS(J3293))</f>
        <v>1.375</v>
      </c>
      <c r="O3293" s="33" t="n">
        <f aca="false">IF(K3293="","",ABS(K3293))</f>
        <v>2.63885343615092</v>
      </c>
      <c r="P3293" s="34" t="str">
        <f aca="false">IF(B3293&gt;=Eval_Start_Week,"YES","")</f>
        <v>YES</v>
      </c>
      <c r="Q3293" s="34" t="str">
        <f aca="false">IF(AND(B3293&gt;=Cal_Start_Week,B3293&lt;=Cal_End_Week),"YES","")</f>
        <v>YES</v>
      </c>
    </row>
    <row r="3294" customFormat="false" ht="15" hidden="false" customHeight="false" outlineLevel="0" collapsed="false">
      <c r="A3294" s="31" t="str">
        <f aca="false">Demand_History!C3294</f>
        <v>ELE-003</v>
      </c>
      <c r="B3294" s="31" t="n">
        <f aca="false">Demand_History!A3294</f>
        <v>69</v>
      </c>
      <c r="C3294" s="32" t="n">
        <f aca="false">Demand_History!D3294</f>
        <v>30</v>
      </c>
      <c r="D3294" s="33" t="n">
        <f aca="false">IF(B3294&gt;=2,C3293,"")</f>
        <v>30</v>
      </c>
      <c r="E3294" s="33" t="n">
        <f aca="false">IF(B3294&gt;=5,AVERAGE(C3290:C3293),"")</f>
        <v>33</v>
      </c>
      <c r="F3294" s="33" t="n">
        <f aca="false">IF(B3294&gt;=9,AVERAGE(C3286:C3293),"")</f>
        <v>30.875</v>
      </c>
      <c r="G3294" s="33" t="n">
        <f aca="false">IF(B3294=1,"",IF(B3294=2,C3293,SES_Alpha*C3293+(1-SES_Alpha)*G3293))</f>
        <v>31.8471974053056</v>
      </c>
      <c r="H3294" s="33" t="n">
        <f aca="false">IF(D3294="","",D3294-C3294)</f>
        <v>0</v>
      </c>
      <c r="I3294" s="33" t="n">
        <f aca="false">IF(E3294="","",E3294-C3294)</f>
        <v>3</v>
      </c>
      <c r="J3294" s="33" t="n">
        <f aca="false">IF(F3294="","",F3294-C3294)</f>
        <v>0.875</v>
      </c>
      <c r="K3294" s="33" t="n">
        <f aca="false">IF(G3294="","",G3294-C3294)</f>
        <v>1.84719740530565</v>
      </c>
      <c r="L3294" s="33" t="n">
        <f aca="false">IF(H3294="","",ABS(H3294))</f>
        <v>0</v>
      </c>
      <c r="M3294" s="33" t="n">
        <f aca="false">IF(I3294="","",ABS(I3294))</f>
        <v>3</v>
      </c>
      <c r="N3294" s="33" t="n">
        <f aca="false">IF(J3294="","",ABS(J3294))</f>
        <v>0.875</v>
      </c>
      <c r="O3294" s="33" t="n">
        <f aca="false">IF(K3294="","",ABS(K3294))</f>
        <v>1.84719740530565</v>
      </c>
      <c r="P3294" s="34" t="str">
        <f aca="false">IF(B3294&gt;=Eval_Start_Week,"YES","")</f>
        <v>YES</v>
      </c>
      <c r="Q3294" s="34" t="str">
        <f aca="false">IF(AND(B3294&gt;=Cal_Start_Week,B3294&lt;=Cal_End_Week),"YES","")</f>
        <v>YES</v>
      </c>
    </row>
    <row r="3295" customFormat="false" ht="15" hidden="false" customHeight="false" outlineLevel="0" collapsed="false">
      <c r="A3295" s="31" t="str">
        <f aca="false">Demand_History!C3295</f>
        <v>ELE-003</v>
      </c>
      <c r="B3295" s="31" t="n">
        <f aca="false">Demand_History!A3295</f>
        <v>70</v>
      </c>
      <c r="C3295" s="32" t="n">
        <f aca="false">Demand_History!D3295</f>
        <v>35</v>
      </c>
      <c r="D3295" s="33" t="n">
        <f aca="false">IF(B3295&gt;=2,C3294,"")</f>
        <v>30</v>
      </c>
      <c r="E3295" s="33" t="n">
        <f aca="false">IF(B3295&gt;=5,AVERAGE(C3291:C3294),"")</f>
        <v>31.5</v>
      </c>
      <c r="F3295" s="33" t="n">
        <f aca="false">IF(B3295&gt;=9,AVERAGE(C3287:C3294),"")</f>
        <v>31.5</v>
      </c>
      <c r="G3295" s="33" t="n">
        <f aca="false">IF(B3295=1,"",IF(B3295=2,C3294,SES_Alpha*C3294+(1-SES_Alpha)*G3294))</f>
        <v>31.293038183714</v>
      </c>
      <c r="H3295" s="33" t="n">
        <f aca="false">IF(D3295="","",D3295-C3295)</f>
        <v>-5</v>
      </c>
      <c r="I3295" s="33" t="n">
        <f aca="false">IF(E3295="","",E3295-C3295)</f>
        <v>-3.5</v>
      </c>
      <c r="J3295" s="33" t="n">
        <f aca="false">IF(F3295="","",F3295-C3295)</f>
        <v>-3.5</v>
      </c>
      <c r="K3295" s="33" t="n">
        <f aca="false">IF(G3295="","",G3295-C3295)</f>
        <v>-3.70696181628605</v>
      </c>
      <c r="L3295" s="33" t="n">
        <f aca="false">IF(H3295="","",ABS(H3295))</f>
        <v>5</v>
      </c>
      <c r="M3295" s="33" t="n">
        <f aca="false">IF(I3295="","",ABS(I3295))</f>
        <v>3.5</v>
      </c>
      <c r="N3295" s="33" t="n">
        <f aca="false">IF(J3295="","",ABS(J3295))</f>
        <v>3.5</v>
      </c>
      <c r="O3295" s="33" t="n">
        <f aca="false">IF(K3295="","",ABS(K3295))</f>
        <v>3.70696181628605</v>
      </c>
      <c r="P3295" s="34" t="str">
        <f aca="false">IF(B3295&gt;=Eval_Start_Week,"YES","")</f>
        <v>YES</v>
      </c>
      <c r="Q3295" s="34" t="str">
        <f aca="false">IF(AND(B3295&gt;=Cal_Start_Week,B3295&lt;=Cal_End_Week),"YES","")</f>
        <v>YES</v>
      </c>
    </row>
    <row r="3296" customFormat="false" ht="15" hidden="false" customHeight="false" outlineLevel="0" collapsed="false">
      <c r="A3296" s="31" t="str">
        <f aca="false">Demand_History!C3296</f>
        <v>ELE-003</v>
      </c>
      <c r="B3296" s="31" t="n">
        <f aca="false">Demand_History!A3296</f>
        <v>71</v>
      </c>
      <c r="C3296" s="32" t="n">
        <f aca="false">Demand_History!D3296</f>
        <v>29</v>
      </c>
      <c r="D3296" s="33" t="n">
        <f aca="false">IF(B3296&gt;=2,C3295,"")</f>
        <v>35</v>
      </c>
      <c r="E3296" s="33" t="n">
        <f aca="false">IF(B3296&gt;=5,AVERAGE(C3292:C3295),"")</f>
        <v>32</v>
      </c>
      <c r="F3296" s="33" t="n">
        <f aca="false">IF(B3296&gt;=9,AVERAGE(C3288:C3295),"")</f>
        <v>32.375</v>
      </c>
      <c r="G3296" s="33" t="n">
        <f aca="false">IF(B3296=1,"",IF(B3296=2,C3295,SES_Alpha*C3295+(1-SES_Alpha)*G3295))</f>
        <v>32.4051267285998</v>
      </c>
      <c r="H3296" s="33" t="n">
        <f aca="false">IF(D3296="","",D3296-C3296)</f>
        <v>6</v>
      </c>
      <c r="I3296" s="33" t="n">
        <f aca="false">IF(E3296="","",E3296-C3296)</f>
        <v>3</v>
      </c>
      <c r="J3296" s="33" t="n">
        <f aca="false">IF(F3296="","",F3296-C3296)</f>
        <v>3.375</v>
      </c>
      <c r="K3296" s="33" t="n">
        <f aca="false">IF(G3296="","",G3296-C3296)</f>
        <v>3.40512672859977</v>
      </c>
      <c r="L3296" s="33" t="n">
        <f aca="false">IF(H3296="","",ABS(H3296))</f>
        <v>6</v>
      </c>
      <c r="M3296" s="33" t="n">
        <f aca="false">IF(I3296="","",ABS(I3296))</f>
        <v>3</v>
      </c>
      <c r="N3296" s="33" t="n">
        <f aca="false">IF(J3296="","",ABS(J3296))</f>
        <v>3.375</v>
      </c>
      <c r="O3296" s="33" t="n">
        <f aca="false">IF(K3296="","",ABS(K3296))</f>
        <v>3.40512672859977</v>
      </c>
      <c r="P3296" s="34" t="str">
        <f aca="false">IF(B3296&gt;=Eval_Start_Week,"YES","")</f>
        <v>YES</v>
      </c>
      <c r="Q3296" s="34" t="str">
        <f aca="false">IF(AND(B3296&gt;=Cal_Start_Week,B3296&lt;=Cal_End_Week),"YES","")</f>
        <v>YES</v>
      </c>
    </row>
    <row r="3297" customFormat="false" ht="15" hidden="false" customHeight="false" outlineLevel="0" collapsed="false">
      <c r="A3297" s="31" t="str">
        <f aca="false">Demand_History!C3297</f>
        <v>ELE-003</v>
      </c>
      <c r="B3297" s="31" t="n">
        <f aca="false">Demand_History!A3297</f>
        <v>72</v>
      </c>
      <c r="C3297" s="32" t="n">
        <f aca="false">Demand_History!D3297</f>
        <v>38</v>
      </c>
      <c r="D3297" s="33" t="n">
        <f aca="false">IF(B3297&gt;=2,C3296,"")</f>
        <v>29</v>
      </c>
      <c r="E3297" s="33" t="n">
        <f aca="false">IF(B3297&gt;=5,AVERAGE(C3293:C3296),"")</f>
        <v>31</v>
      </c>
      <c r="F3297" s="33" t="n">
        <f aca="false">IF(B3297&gt;=9,AVERAGE(C3289:C3296),"")</f>
        <v>33.125</v>
      </c>
      <c r="G3297" s="33" t="n">
        <f aca="false">IF(B3297=1,"",IF(B3297=2,C3296,SES_Alpha*C3296+(1-SES_Alpha)*G3296))</f>
        <v>31.3835887100198</v>
      </c>
      <c r="H3297" s="33" t="n">
        <f aca="false">IF(D3297="","",D3297-C3297)</f>
        <v>-9</v>
      </c>
      <c r="I3297" s="33" t="n">
        <f aca="false">IF(E3297="","",E3297-C3297)</f>
        <v>-7</v>
      </c>
      <c r="J3297" s="33" t="n">
        <f aca="false">IF(F3297="","",F3297-C3297)</f>
        <v>-4.875</v>
      </c>
      <c r="K3297" s="33" t="n">
        <f aca="false">IF(G3297="","",G3297-C3297)</f>
        <v>-6.61641128998016</v>
      </c>
      <c r="L3297" s="33" t="n">
        <f aca="false">IF(H3297="","",ABS(H3297))</f>
        <v>9</v>
      </c>
      <c r="M3297" s="33" t="n">
        <f aca="false">IF(I3297="","",ABS(I3297))</f>
        <v>7</v>
      </c>
      <c r="N3297" s="33" t="n">
        <f aca="false">IF(J3297="","",ABS(J3297))</f>
        <v>4.875</v>
      </c>
      <c r="O3297" s="33" t="n">
        <f aca="false">IF(K3297="","",ABS(K3297))</f>
        <v>6.61641128998016</v>
      </c>
      <c r="P3297" s="34" t="str">
        <f aca="false">IF(B3297&gt;=Eval_Start_Week,"YES","")</f>
        <v>YES</v>
      </c>
      <c r="Q3297" s="34" t="str">
        <f aca="false">IF(AND(B3297&gt;=Cal_Start_Week,B3297&lt;=Cal_End_Week),"YES","")</f>
        <v>YES</v>
      </c>
    </row>
    <row r="3298" customFormat="false" ht="15" hidden="false" customHeight="false" outlineLevel="0" collapsed="false">
      <c r="A3298" s="31" t="str">
        <f aca="false">Demand_History!C3298</f>
        <v>ELE-003</v>
      </c>
      <c r="B3298" s="31" t="n">
        <f aca="false">Demand_History!A3298</f>
        <v>73</v>
      </c>
      <c r="C3298" s="32" t="n">
        <f aca="false">Demand_History!D3298</f>
        <v>31</v>
      </c>
      <c r="D3298" s="33" t="n">
        <f aca="false">IF(B3298&gt;=2,C3297,"")</f>
        <v>38</v>
      </c>
      <c r="E3298" s="33" t="n">
        <f aca="false">IF(B3298&gt;=5,AVERAGE(C3294:C3297),"")</f>
        <v>33</v>
      </c>
      <c r="F3298" s="33" t="n">
        <f aca="false">IF(B3298&gt;=9,AVERAGE(C3290:C3297),"")</f>
        <v>33</v>
      </c>
      <c r="G3298" s="33" t="n">
        <f aca="false">IF(B3298=1,"",IF(B3298=2,C3297,SES_Alpha*C3297+(1-SES_Alpha)*G3297))</f>
        <v>33.3685120970139</v>
      </c>
      <c r="H3298" s="33" t="n">
        <f aca="false">IF(D3298="","",D3298-C3298)</f>
        <v>7</v>
      </c>
      <c r="I3298" s="33" t="n">
        <f aca="false">IF(E3298="","",E3298-C3298)</f>
        <v>2</v>
      </c>
      <c r="J3298" s="33" t="n">
        <f aca="false">IF(F3298="","",F3298-C3298)</f>
        <v>2</v>
      </c>
      <c r="K3298" s="33" t="n">
        <f aca="false">IF(G3298="","",G3298-C3298)</f>
        <v>2.36851209701388</v>
      </c>
      <c r="L3298" s="33" t="n">
        <f aca="false">IF(H3298="","",ABS(H3298))</f>
        <v>7</v>
      </c>
      <c r="M3298" s="33" t="n">
        <f aca="false">IF(I3298="","",ABS(I3298))</f>
        <v>2</v>
      </c>
      <c r="N3298" s="33" t="n">
        <f aca="false">IF(J3298="","",ABS(J3298))</f>
        <v>2</v>
      </c>
      <c r="O3298" s="33" t="n">
        <f aca="false">IF(K3298="","",ABS(K3298))</f>
        <v>2.36851209701388</v>
      </c>
      <c r="P3298" s="34" t="str">
        <f aca="false">IF(B3298&gt;=Eval_Start_Week,"YES","")</f>
        <v>YES</v>
      </c>
      <c r="Q3298" s="34" t="str">
        <f aca="false">IF(AND(B3298&gt;=Cal_Start_Week,B3298&lt;=Cal_End_Week),"YES","")</f>
        <v>YES</v>
      </c>
    </row>
    <row r="3299" customFormat="false" ht="15" hidden="false" customHeight="false" outlineLevel="0" collapsed="false">
      <c r="A3299" s="31" t="str">
        <f aca="false">Demand_History!C3299</f>
        <v>ELE-003</v>
      </c>
      <c r="B3299" s="31" t="n">
        <f aca="false">Demand_History!A3299</f>
        <v>74</v>
      </c>
      <c r="C3299" s="32" t="n">
        <f aca="false">Demand_History!D3299</f>
        <v>29</v>
      </c>
      <c r="D3299" s="33" t="n">
        <f aca="false">IF(B3299&gt;=2,C3298,"")</f>
        <v>31</v>
      </c>
      <c r="E3299" s="33" t="n">
        <f aca="false">IF(B3299&gt;=5,AVERAGE(C3295:C3298),"")</f>
        <v>33.25</v>
      </c>
      <c r="F3299" s="33" t="n">
        <f aca="false">IF(B3299&gt;=9,AVERAGE(C3291:C3298),"")</f>
        <v>32.375</v>
      </c>
      <c r="G3299" s="33" t="n">
        <f aca="false">IF(B3299=1,"",IF(B3299=2,C3298,SES_Alpha*C3298+(1-SES_Alpha)*G3298))</f>
        <v>32.6579584679097</v>
      </c>
      <c r="H3299" s="33" t="n">
        <f aca="false">IF(D3299="","",D3299-C3299)</f>
        <v>2</v>
      </c>
      <c r="I3299" s="33" t="n">
        <f aca="false">IF(E3299="","",E3299-C3299)</f>
        <v>4.25</v>
      </c>
      <c r="J3299" s="33" t="n">
        <f aca="false">IF(F3299="","",F3299-C3299)</f>
        <v>3.375</v>
      </c>
      <c r="K3299" s="33" t="n">
        <f aca="false">IF(G3299="","",G3299-C3299)</f>
        <v>3.65795846790972</v>
      </c>
      <c r="L3299" s="33" t="n">
        <f aca="false">IF(H3299="","",ABS(H3299))</f>
        <v>2</v>
      </c>
      <c r="M3299" s="33" t="n">
        <f aca="false">IF(I3299="","",ABS(I3299))</f>
        <v>4.25</v>
      </c>
      <c r="N3299" s="33" t="n">
        <f aca="false">IF(J3299="","",ABS(J3299))</f>
        <v>3.375</v>
      </c>
      <c r="O3299" s="33" t="n">
        <f aca="false">IF(K3299="","",ABS(K3299))</f>
        <v>3.65795846790972</v>
      </c>
      <c r="P3299" s="34" t="str">
        <f aca="false">IF(B3299&gt;=Eval_Start_Week,"YES","")</f>
        <v>YES</v>
      </c>
      <c r="Q3299" s="34" t="str">
        <f aca="false">IF(AND(B3299&gt;=Cal_Start_Week,B3299&lt;=Cal_End_Week),"YES","")</f>
        <v>YES</v>
      </c>
    </row>
    <row r="3300" customFormat="false" ht="15" hidden="false" customHeight="false" outlineLevel="0" collapsed="false">
      <c r="A3300" s="31" t="str">
        <f aca="false">Demand_History!C3300</f>
        <v>ELE-003</v>
      </c>
      <c r="B3300" s="31" t="n">
        <f aca="false">Demand_History!A3300</f>
        <v>75</v>
      </c>
      <c r="C3300" s="32" t="n">
        <f aca="false">Demand_History!D3300</f>
        <v>39</v>
      </c>
      <c r="D3300" s="33" t="n">
        <f aca="false">IF(B3300&gt;=2,C3299,"")</f>
        <v>29</v>
      </c>
      <c r="E3300" s="33" t="n">
        <f aca="false">IF(B3300&gt;=5,AVERAGE(C3296:C3299),"")</f>
        <v>31.75</v>
      </c>
      <c r="F3300" s="33" t="n">
        <f aca="false">IF(B3300&gt;=9,AVERAGE(C3292:C3299),"")</f>
        <v>31.875</v>
      </c>
      <c r="G3300" s="33" t="n">
        <f aca="false">IF(B3300=1,"",IF(B3300=2,C3299,SES_Alpha*C3299+(1-SES_Alpha)*G3299))</f>
        <v>31.5605709275368</v>
      </c>
      <c r="H3300" s="33" t="n">
        <f aca="false">IF(D3300="","",D3300-C3300)</f>
        <v>-10</v>
      </c>
      <c r="I3300" s="33" t="n">
        <f aca="false">IF(E3300="","",E3300-C3300)</f>
        <v>-7.25</v>
      </c>
      <c r="J3300" s="33" t="n">
        <f aca="false">IF(F3300="","",F3300-C3300)</f>
        <v>-7.125</v>
      </c>
      <c r="K3300" s="33" t="n">
        <f aca="false">IF(G3300="","",G3300-C3300)</f>
        <v>-7.4394290724632</v>
      </c>
      <c r="L3300" s="33" t="n">
        <f aca="false">IF(H3300="","",ABS(H3300))</f>
        <v>10</v>
      </c>
      <c r="M3300" s="33" t="n">
        <f aca="false">IF(I3300="","",ABS(I3300))</f>
        <v>7.25</v>
      </c>
      <c r="N3300" s="33" t="n">
        <f aca="false">IF(J3300="","",ABS(J3300))</f>
        <v>7.125</v>
      </c>
      <c r="O3300" s="33" t="n">
        <f aca="false">IF(K3300="","",ABS(K3300))</f>
        <v>7.4394290724632</v>
      </c>
      <c r="P3300" s="34" t="str">
        <f aca="false">IF(B3300&gt;=Eval_Start_Week,"YES","")</f>
        <v>YES</v>
      </c>
      <c r="Q3300" s="34" t="str">
        <f aca="false">IF(AND(B3300&gt;=Cal_Start_Week,B3300&lt;=Cal_End_Week),"YES","")</f>
        <v>YES</v>
      </c>
    </row>
    <row r="3301" customFormat="false" ht="15" hidden="false" customHeight="false" outlineLevel="0" collapsed="false">
      <c r="A3301" s="31" t="str">
        <f aca="false">Demand_History!C3301</f>
        <v>ELE-003</v>
      </c>
      <c r="B3301" s="31" t="n">
        <f aca="false">Demand_History!A3301</f>
        <v>76</v>
      </c>
      <c r="C3301" s="32" t="n">
        <f aca="false">Demand_History!D3301</f>
        <v>33</v>
      </c>
      <c r="D3301" s="33" t="n">
        <f aca="false">IF(B3301&gt;=2,C3300,"")</f>
        <v>39</v>
      </c>
      <c r="E3301" s="33" t="n">
        <f aca="false">IF(B3301&gt;=5,AVERAGE(C3297:C3300),"")</f>
        <v>34.25</v>
      </c>
      <c r="F3301" s="33" t="n">
        <f aca="false">IF(B3301&gt;=9,AVERAGE(C3293:C3300),"")</f>
        <v>32.625</v>
      </c>
      <c r="G3301" s="33" t="n">
        <f aca="false">IF(B3301=1,"",IF(B3301=2,C3300,SES_Alpha*C3300+(1-SES_Alpha)*G3300))</f>
        <v>33.7923996492758</v>
      </c>
      <c r="H3301" s="33" t="n">
        <f aca="false">IF(D3301="","",D3301-C3301)</f>
        <v>6</v>
      </c>
      <c r="I3301" s="33" t="n">
        <f aca="false">IF(E3301="","",E3301-C3301)</f>
        <v>1.25</v>
      </c>
      <c r="J3301" s="33" t="n">
        <f aca="false">IF(F3301="","",F3301-C3301)</f>
        <v>-0.375</v>
      </c>
      <c r="K3301" s="33" t="n">
        <f aca="false">IF(G3301="","",G3301-C3301)</f>
        <v>0.792399649275758</v>
      </c>
      <c r="L3301" s="33" t="n">
        <f aca="false">IF(H3301="","",ABS(H3301))</f>
        <v>6</v>
      </c>
      <c r="M3301" s="33" t="n">
        <f aca="false">IF(I3301="","",ABS(I3301))</f>
        <v>1.25</v>
      </c>
      <c r="N3301" s="33" t="n">
        <f aca="false">IF(J3301="","",ABS(J3301))</f>
        <v>0.375</v>
      </c>
      <c r="O3301" s="33" t="n">
        <f aca="false">IF(K3301="","",ABS(K3301))</f>
        <v>0.792399649275758</v>
      </c>
      <c r="P3301" s="34" t="str">
        <f aca="false">IF(B3301&gt;=Eval_Start_Week,"YES","")</f>
        <v>YES</v>
      </c>
      <c r="Q3301" s="34" t="str">
        <f aca="false">IF(AND(B3301&gt;=Cal_Start_Week,B3301&lt;=Cal_End_Week),"YES","")</f>
        <v>YES</v>
      </c>
    </row>
    <row r="3302" customFormat="false" ht="15" hidden="false" customHeight="false" outlineLevel="0" collapsed="false">
      <c r="A3302" s="31" t="str">
        <f aca="false">Demand_History!C3302</f>
        <v>ELE-003</v>
      </c>
      <c r="B3302" s="31" t="n">
        <f aca="false">Demand_History!A3302</f>
        <v>77</v>
      </c>
      <c r="C3302" s="32" t="n">
        <f aca="false">Demand_History!D3302</f>
        <v>36</v>
      </c>
      <c r="D3302" s="33" t="n">
        <f aca="false">IF(B3302&gt;=2,C3301,"")</f>
        <v>33</v>
      </c>
      <c r="E3302" s="33" t="n">
        <f aca="false">IF(B3302&gt;=5,AVERAGE(C3298:C3301),"")</f>
        <v>33</v>
      </c>
      <c r="F3302" s="33" t="n">
        <f aca="false">IF(B3302&gt;=9,AVERAGE(C3294:C3301),"")</f>
        <v>33</v>
      </c>
      <c r="G3302" s="33" t="n">
        <f aca="false">IF(B3302=1,"",IF(B3302=2,C3301,SES_Alpha*C3301+(1-SES_Alpha)*G3301))</f>
        <v>33.554679754493</v>
      </c>
      <c r="H3302" s="33" t="n">
        <f aca="false">IF(D3302="","",D3302-C3302)</f>
        <v>-3</v>
      </c>
      <c r="I3302" s="33" t="n">
        <f aca="false">IF(E3302="","",E3302-C3302)</f>
        <v>-3</v>
      </c>
      <c r="J3302" s="33" t="n">
        <f aca="false">IF(F3302="","",F3302-C3302)</f>
        <v>-3</v>
      </c>
      <c r="K3302" s="33" t="n">
        <f aca="false">IF(G3302="","",G3302-C3302)</f>
        <v>-2.44532024550697</v>
      </c>
      <c r="L3302" s="33" t="n">
        <f aca="false">IF(H3302="","",ABS(H3302))</f>
        <v>3</v>
      </c>
      <c r="M3302" s="33" t="n">
        <f aca="false">IF(I3302="","",ABS(I3302))</f>
        <v>3</v>
      </c>
      <c r="N3302" s="33" t="n">
        <f aca="false">IF(J3302="","",ABS(J3302))</f>
        <v>3</v>
      </c>
      <c r="O3302" s="33" t="n">
        <f aca="false">IF(K3302="","",ABS(K3302))</f>
        <v>2.44532024550697</v>
      </c>
      <c r="P3302" s="34" t="str">
        <f aca="false">IF(B3302&gt;=Eval_Start_Week,"YES","")</f>
        <v>YES</v>
      </c>
      <c r="Q3302" s="34" t="str">
        <f aca="false">IF(AND(B3302&gt;=Cal_Start_Week,B3302&lt;=Cal_End_Week),"YES","")</f>
        <v>YES</v>
      </c>
    </row>
    <row r="3303" customFormat="false" ht="15" hidden="false" customHeight="false" outlineLevel="0" collapsed="false">
      <c r="A3303" s="31" t="str">
        <f aca="false">Demand_History!C3303</f>
        <v>ELE-003</v>
      </c>
      <c r="B3303" s="31" t="n">
        <f aca="false">Demand_History!A3303</f>
        <v>78</v>
      </c>
      <c r="C3303" s="32" t="n">
        <f aca="false">Demand_History!D3303</f>
        <v>32</v>
      </c>
      <c r="D3303" s="33" t="n">
        <f aca="false">IF(B3303&gt;=2,C3302,"")</f>
        <v>36</v>
      </c>
      <c r="E3303" s="33" t="n">
        <f aca="false">IF(B3303&gt;=5,AVERAGE(C3299:C3302),"")</f>
        <v>34.25</v>
      </c>
      <c r="F3303" s="33" t="n">
        <f aca="false">IF(B3303&gt;=9,AVERAGE(C3295:C3302),"")</f>
        <v>33.75</v>
      </c>
      <c r="G3303" s="33" t="n">
        <f aca="false">IF(B3303=1,"",IF(B3303=2,C3302,SES_Alpha*C3302+(1-SES_Alpha)*G3302))</f>
        <v>34.2882758281451</v>
      </c>
      <c r="H3303" s="33" t="n">
        <f aca="false">IF(D3303="","",D3303-C3303)</f>
        <v>4</v>
      </c>
      <c r="I3303" s="33" t="n">
        <f aca="false">IF(E3303="","",E3303-C3303)</f>
        <v>2.25</v>
      </c>
      <c r="J3303" s="33" t="n">
        <f aca="false">IF(F3303="","",F3303-C3303)</f>
        <v>1.75</v>
      </c>
      <c r="K3303" s="33" t="n">
        <f aca="false">IF(G3303="","",G3303-C3303)</f>
        <v>2.28827582814512</v>
      </c>
      <c r="L3303" s="33" t="n">
        <f aca="false">IF(H3303="","",ABS(H3303))</f>
        <v>4</v>
      </c>
      <c r="M3303" s="33" t="n">
        <f aca="false">IF(I3303="","",ABS(I3303))</f>
        <v>2.25</v>
      </c>
      <c r="N3303" s="33" t="n">
        <f aca="false">IF(J3303="","",ABS(J3303))</f>
        <v>1.75</v>
      </c>
      <c r="O3303" s="33" t="n">
        <f aca="false">IF(K3303="","",ABS(K3303))</f>
        <v>2.28827582814512</v>
      </c>
      <c r="P3303" s="34" t="str">
        <f aca="false">IF(B3303&gt;=Eval_Start_Week,"YES","")</f>
        <v>YES</v>
      </c>
      <c r="Q3303" s="34" t="str">
        <f aca="false">IF(AND(B3303&gt;=Cal_Start_Week,B3303&lt;=Cal_End_Week),"YES","")</f>
        <v>YES</v>
      </c>
    </row>
    <row r="3304" customFormat="false" ht="15" hidden="false" customHeight="false" outlineLevel="0" collapsed="false">
      <c r="A3304" s="31" t="str">
        <f aca="false">Demand_History!C3304</f>
        <v>ELE-003</v>
      </c>
      <c r="B3304" s="31" t="n">
        <f aca="false">Demand_History!A3304</f>
        <v>79</v>
      </c>
      <c r="C3304" s="32" t="n">
        <f aca="false">Demand_History!D3304</f>
        <v>23</v>
      </c>
      <c r="D3304" s="33" t="n">
        <f aca="false">IF(B3304&gt;=2,C3303,"")</f>
        <v>32</v>
      </c>
      <c r="E3304" s="33" t="n">
        <f aca="false">IF(B3304&gt;=5,AVERAGE(C3300:C3303),"")</f>
        <v>35</v>
      </c>
      <c r="F3304" s="33" t="n">
        <f aca="false">IF(B3304&gt;=9,AVERAGE(C3296:C3303),"")</f>
        <v>33.375</v>
      </c>
      <c r="G3304" s="33" t="n">
        <f aca="false">IF(B3304=1,"",IF(B3304=2,C3303,SES_Alpha*C3303+(1-SES_Alpha)*G3303))</f>
        <v>33.6017930797016</v>
      </c>
      <c r="H3304" s="33" t="n">
        <f aca="false">IF(D3304="","",D3304-C3304)</f>
        <v>9</v>
      </c>
      <c r="I3304" s="33" t="n">
        <f aca="false">IF(E3304="","",E3304-C3304)</f>
        <v>12</v>
      </c>
      <c r="J3304" s="33" t="n">
        <f aca="false">IF(F3304="","",F3304-C3304)</f>
        <v>10.375</v>
      </c>
      <c r="K3304" s="33" t="n">
        <f aca="false">IF(G3304="","",G3304-C3304)</f>
        <v>10.6017930797016</v>
      </c>
      <c r="L3304" s="33" t="n">
        <f aca="false">IF(H3304="","",ABS(H3304))</f>
        <v>9</v>
      </c>
      <c r="M3304" s="33" t="n">
        <f aca="false">IF(I3304="","",ABS(I3304))</f>
        <v>12</v>
      </c>
      <c r="N3304" s="33" t="n">
        <f aca="false">IF(J3304="","",ABS(J3304))</f>
        <v>10.375</v>
      </c>
      <c r="O3304" s="33" t="n">
        <f aca="false">IF(K3304="","",ABS(K3304))</f>
        <v>10.6017930797016</v>
      </c>
      <c r="P3304" s="34" t="str">
        <f aca="false">IF(B3304&gt;=Eval_Start_Week,"YES","")</f>
        <v>YES</v>
      </c>
      <c r="Q3304" s="34" t="str">
        <f aca="false">IF(AND(B3304&gt;=Cal_Start_Week,B3304&lt;=Cal_End_Week),"YES","")</f>
        <v>YES</v>
      </c>
    </row>
    <row r="3305" customFormat="false" ht="15" hidden="false" customHeight="false" outlineLevel="0" collapsed="false">
      <c r="A3305" s="31" t="str">
        <f aca="false">Demand_History!C3305</f>
        <v>ELE-003</v>
      </c>
      <c r="B3305" s="31" t="n">
        <f aca="false">Demand_History!A3305</f>
        <v>80</v>
      </c>
      <c r="C3305" s="32" t="n">
        <f aca="false">Demand_History!D3305</f>
        <v>37</v>
      </c>
      <c r="D3305" s="33" t="n">
        <f aca="false">IF(B3305&gt;=2,C3304,"")</f>
        <v>23</v>
      </c>
      <c r="E3305" s="33" t="n">
        <f aca="false">IF(B3305&gt;=5,AVERAGE(C3301:C3304),"")</f>
        <v>31</v>
      </c>
      <c r="F3305" s="33" t="n">
        <f aca="false">IF(B3305&gt;=9,AVERAGE(C3297:C3304),"")</f>
        <v>32.625</v>
      </c>
      <c r="G3305" s="33" t="n">
        <f aca="false">IF(B3305=1,"",IF(B3305=2,C3304,SES_Alpha*C3304+(1-SES_Alpha)*G3304))</f>
        <v>30.4212551557911</v>
      </c>
      <c r="H3305" s="33" t="n">
        <f aca="false">IF(D3305="","",D3305-C3305)</f>
        <v>-14</v>
      </c>
      <c r="I3305" s="33" t="n">
        <f aca="false">IF(E3305="","",E3305-C3305)</f>
        <v>-6</v>
      </c>
      <c r="J3305" s="33" t="n">
        <f aca="false">IF(F3305="","",F3305-C3305)</f>
        <v>-4.375</v>
      </c>
      <c r="K3305" s="33" t="n">
        <f aca="false">IF(G3305="","",G3305-C3305)</f>
        <v>-6.5787448442089</v>
      </c>
      <c r="L3305" s="33" t="n">
        <f aca="false">IF(H3305="","",ABS(H3305))</f>
        <v>14</v>
      </c>
      <c r="M3305" s="33" t="n">
        <f aca="false">IF(I3305="","",ABS(I3305))</f>
        <v>6</v>
      </c>
      <c r="N3305" s="33" t="n">
        <f aca="false">IF(J3305="","",ABS(J3305))</f>
        <v>4.375</v>
      </c>
      <c r="O3305" s="33" t="n">
        <f aca="false">IF(K3305="","",ABS(K3305))</f>
        <v>6.5787448442089</v>
      </c>
      <c r="P3305" s="34" t="str">
        <f aca="false">IF(B3305&gt;=Eval_Start_Week,"YES","")</f>
        <v>YES</v>
      </c>
      <c r="Q3305" s="34" t="str">
        <f aca="false">IF(AND(B3305&gt;=Cal_Start_Week,B3305&lt;=Cal_End_Week),"YES","")</f>
        <v>YES</v>
      </c>
    </row>
    <row r="3306" customFormat="false" ht="15" hidden="false" customHeight="false" outlineLevel="0" collapsed="false">
      <c r="A3306" s="31" t="str">
        <f aca="false">Demand_History!C3306</f>
        <v>ELE-003</v>
      </c>
      <c r="B3306" s="31" t="n">
        <f aca="false">Demand_History!A3306</f>
        <v>81</v>
      </c>
      <c r="C3306" s="32" t="n">
        <f aca="false">Demand_History!D3306</f>
        <v>28</v>
      </c>
      <c r="D3306" s="33" t="n">
        <f aca="false">IF(B3306&gt;=2,C3305,"")</f>
        <v>37</v>
      </c>
      <c r="E3306" s="33" t="n">
        <f aca="false">IF(B3306&gt;=5,AVERAGE(C3302:C3305),"")</f>
        <v>32</v>
      </c>
      <c r="F3306" s="33" t="n">
        <f aca="false">IF(B3306&gt;=9,AVERAGE(C3298:C3305),"")</f>
        <v>32.5</v>
      </c>
      <c r="G3306" s="33" t="n">
        <f aca="false">IF(B3306=1,"",IF(B3306=2,C3305,SES_Alpha*C3305+(1-SES_Alpha)*G3305))</f>
        <v>32.3948786090538</v>
      </c>
      <c r="H3306" s="33" t="n">
        <f aca="false">IF(D3306="","",D3306-C3306)</f>
        <v>9</v>
      </c>
      <c r="I3306" s="33" t="n">
        <f aca="false">IF(E3306="","",E3306-C3306)</f>
        <v>4</v>
      </c>
      <c r="J3306" s="33" t="n">
        <f aca="false">IF(F3306="","",F3306-C3306)</f>
        <v>4.5</v>
      </c>
      <c r="K3306" s="33" t="n">
        <f aca="false">IF(G3306="","",G3306-C3306)</f>
        <v>4.39487860905377</v>
      </c>
      <c r="L3306" s="33" t="n">
        <f aca="false">IF(H3306="","",ABS(H3306))</f>
        <v>9</v>
      </c>
      <c r="M3306" s="33" t="n">
        <f aca="false">IF(I3306="","",ABS(I3306))</f>
        <v>4</v>
      </c>
      <c r="N3306" s="33" t="n">
        <f aca="false">IF(J3306="","",ABS(J3306))</f>
        <v>4.5</v>
      </c>
      <c r="O3306" s="33" t="n">
        <f aca="false">IF(K3306="","",ABS(K3306))</f>
        <v>4.39487860905377</v>
      </c>
      <c r="P3306" s="34" t="str">
        <f aca="false">IF(B3306&gt;=Eval_Start_Week,"YES","")</f>
        <v>YES</v>
      </c>
      <c r="Q3306" s="34" t="str">
        <f aca="false">IF(AND(B3306&gt;=Cal_Start_Week,B3306&lt;=Cal_End_Week),"YES","")</f>
        <v>YES</v>
      </c>
    </row>
    <row r="3307" customFormat="false" ht="15" hidden="false" customHeight="false" outlineLevel="0" collapsed="false">
      <c r="A3307" s="31" t="str">
        <f aca="false">Demand_History!C3307</f>
        <v>ELE-003</v>
      </c>
      <c r="B3307" s="31" t="n">
        <f aca="false">Demand_History!A3307</f>
        <v>82</v>
      </c>
      <c r="C3307" s="32" t="n">
        <f aca="false">Demand_History!D3307</f>
        <v>40</v>
      </c>
      <c r="D3307" s="33" t="n">
        <f aca="false">IF(B3307&gt;=2,C3306,"")</f>
        <v>28</v>
      </c>
      <c r="E3307" s="33" t="n">
        <f aca="false">IF(B3307&gt;=5,AVERAGE(C3303:C3306),"")</f>
        <v>30</v>
      </c>
      <c r="F3307" s="33" t="n">
        <f aca="false">IF(B3307&gt;=9,AVERAGE(C3299:C3306),"")</f>
        <v>32.125</v>
      </c>
      <c r="G3307" s="33" t="n">
        <f aca="false">IF(B3307=1,"",IF(B3307=2,C3306,SES_Alpha*C3306+(1-SES_Alpha)*G3306))</f>
        <v>31.0764150263376</v>
      </c>
      <c r="H3307" s="33" t="n">
        <f aca="false">IF(D3307="","",D3307-C3307)</f>
        <v>-12</v>
      </c>
      <c r="I3307" s="33" t="n">
        <f aca="false">IF(E3307="","",E3307-C3307)</f>
        <v>-10</v>
      </c>
      <c r="J3307" s="33" t="n">
        <f aca="false">IF(F3307="","",F3307-C3307)</f>
        <v>-7.875</v>
      </c>
      <c r="K3307" s="33" t="n">
        <f aca="false">IF(G3307="","",G3307-C3307)</f>
        <v>-8.92358497366237</v>
      </c>
      <c r="L3307" s="33" t="n">
        <f aca="false">IF(H3307="","",ABS(H3307))</f>
        <v>12</v>
      </c>
      <c r="M3307" s="33" t="n">
        <f aca="false">IF(I3307="","",ABS(I3307))</f>
        <v>10</v>
      </c>
      <c r="N3307" s="33" t="n">
        <f aca="false">IF(J3307="","",ABS(J3307))</f>
        <v>7.875</v>
      </c>
      <c r="O3307" s="33" t="n">
        <f aca="false">IF(K3307="","",ABS(K3307))</f>
        <v>8.92358497366237</v>
      </c>
      <c r="P3307" s="34" t="str">
        <f aca="false">IF(B3307&gt;=Eval_Start_Week,"YES","")</f>
        <v>YES</v>
      </c>
      <c r="Q3307" s="34" t="str">
        <f aca="false">IF(AND(B3307&gt;=Cal_Start_Week,B3307&lt;=Cal_End_Week),"YES","")</f>
        <v>YES</v>
      </c>
    </row>
    <row r="3308" customFormat="false" ht="15" hidden="false" customHeight="false" outlineLevel="0" collapsed="false">
      <c r="A3308" s="31" t="str">
        <f aca="false">Demand_History!C3308</f>
        <v>ELE-003</v>
      </c>
      <c r="B3308" s="31" t="n">
        <f aca="false">Demand_History!A3308</f>
        <v>83</v>
      </c>
      <c r="C3308" s="32" t="n">
        <f aca="false">Demand_History!D3308</f>
        <v>27</v>
      </c>
      <c r="D3308" s="33" t="n">
        <f aca="false">IF(B3308&gt;=2,C3307,"")</f>
        <v>40</v>
      </c>
      <c r="E3308" s="33" t="n">
        <f aca="false">IF(B3308&gt;=5,AVERAGE(C3304:C3307),"")</f>
        <v>32</v>
      </c>
      <c r="F3308" s="33" t="n">
        <f aca="false">IF(B3308&gt;=9,AVERAGE(C3300:C3307),"")</f>
        <v>33.5</v>
      </c>
      <c r="G3308" s="33" t="n">
        <f aca="false">IF(B3308=1,"",IF(B3308=2,C3307,SES_Alpha*C3307+(1-SES_Alpha)*G3307))</f>
        <v>33.7534905184363</v>
      </c>
      <c r="H3308" s="33" t="n">
        <f aca="false">IF(D3308="","",D3308-C3308)</f>
        <v>13</v>
      </c>
      <c r="I3308" s="33" t="n">
        <f aca="false">IF(E3308="","",E3308-C3308)</f>
        <v>5</v>
      </c>
      <c r="J3308" s="33" t="n">
        <f aca="false">IF(F3308="","",F3308-C3308)</f>
        <v>6.5</v>
      </c>
      <c r="K3308" s="33" t="n">
        <f aca="false">IF(G3308="","",G3308-C3308)</f>
        <v>6.75349051843634</v>
      </c>
      <c r="L3308" s="33" t="n">
        <f aca="false">IF(H3308="","",ABS(H3308))</f>
        <v>13</v>
      </c>
      <c r="M3308" s="33" t="n">
        <f aca="false">IF(I3308="","",ABS(I3308))</f>
        <v>5</v>
      </c>
      <c r="N3308" s="33" t="n">
        <f aca="false">IF(J3308="","",ABS(J3308))</f>
        <v>6.5</v>
      </c>
      <c r="O3308" s="33" t="n">
        <f aca="false">IF(K3308="","",ABS(K3308))</f>
        <v>6.75349051843634</v>
      </c>
      <c r="P3308" s="34" t="str">
        <f aca="false">IF(B3308&gt;=Eval_Start_Week,"YES","")</f>
        <v>YES</v>
      </c>
      <c r="Q3308" s="34" t="str">
        <f aca="false">IF(AND(B3308&gt;=Cal_Start_Week,B3308&lt;=Cal_End_Week),"YES","")</f>
        <v>YES</v>
      </c>
    </row>
    <row r="3309" customFormat="false" ht="15" hidden="false" customHeight="false" outlineLevel="0" collapsed="false">
      <c r="A3309" s="31" t="str">
        <f aca="false">Demand_History!C3309</f>
        <v>ELE-003</v>
      </c>
      <c r="B3309" s="31" t="n">
        <f aca="false">Demand_History!A3309</f>
        <v>84</v>
      </c>
      <c r="C3309" s="32" t="n">
        <f aca="false">Demand_History!D3309</f>
        <v>26</v>
      </c>
      <c r="D3309" s="33" t="n">
        <f aca="false">IF(B3309&gt;=2,C3308,"")</f>
        <v>27</v>
      </c>
      <c r="E3309" s="33" t="n">
        <f aca="false">IF(B3309&gt;=5,AVERAGE(C3305:C3308),"")</f>
        <v>33</v>
      </c>
      <c r="F3309" s="33" t="n">
        <f aca="false">IF(B3309&gt;=9,AVERAGE(C3301:C3308),"")</f>
        <v>32</v>
      </c>
      <c r="G3309" s="33" t="n">
        <f aca="false">IF(B3309=1,"",IF(B3309=2,C3308,SES_Alpha*C3308+(1-SES_Alpha)*G3308))</f>
        <v>31.7274433629054</v>
      </c>
      <c r="H3309" s="33" t="n">
        <f aca="false">IF(D3309="","",D3309-C3309)</f>
        <v>1</v>
      </c>
      <c r="I3309" s="33" t="n">
        <f aca="false">IF(E3309="","",E3309-C3309)</f>
        <v>7</v>
      </c>
      <c r="J3309" s="33" t="n">
        <f aca="false">IF(F3309="","",F3309-C3309)</f>
        <v>6</v>
      </c>
      <c r="K3309" s="33" t="n">
        <f aca="false">IF(G3309="","",G3309-C3309)</f>
        <v>5.72744336290544</v>
      </c>
      <c r="L3309" s="33" t="n">
        <f aca="false">IF(H3309="","",ABS(H3309))</f>
        <v>1</v>
      </c>
      <c r="M3309" s="33" t="n">
        <f aca="false">IF(I3309="","",ABS(I3309))</f>
        <v>7</v>
      </c>
      <c r="N3309" s="33" t="n">
        <f aca="false">IF(J3309="","",ABS(J3309))</f>
        <v>6</v>
      </c>
      <c r="O3309" s="33" t="n">
        <f aca="false">IF(K3309="","",ABS(K3309))</f>
        <v>5.72744336290544</v>
      </c>
      <c r="P3309" s="34" t="str">
        <f aca="false">IF(B3309&gt;=Eval_Start_Week,"YES","")</f>
        <v>YES</v>
      </c>
      <c r="Q3309" s="34" t="str">
        <f aca="false">IF(AND(B3309&gt;=Cal_Start_Week,B3309&lt;=Cal_End_Week),"YES","")</f>
        <v>YES</v>
      </c>
    </row>
    <row r="3310" customFormat="false" ht="15" hidden="false" customHeight="false" outlineLevel="0" collapsed="false">
      <c r="A3310" s="31" t="str">
        <f aca="false">Demand_History!C3310</f>
        <v>ELE-003</v>
      </c>
      <c r="B3310" s="31" t="n">
        <f aca="false">Demand_History!A3310</f>
        <v>85</v>
      </c>
      <c r="C3310" s="32" t="n">
        <f aca="false">Demand_History!D3310</f>
        <v>37</v>
      </c>
      <c r="D3310" s="33" t="n">
        <f aca="false">IF(B3310&gt;=2,C3309,"")</f>
        <v>26</v>
      </c>
      <c r="E3310" s="33" t="n">
        <f aca="false">IF(B3310&gt;=5,AVERAGE(C3306:C3309),"")</f>
        <v>30.25</v>
      </c>
      <c r="F3310" s="33" t="n">
        <f aca="false">IF(B3310&gt;=9,AVERAGE(C3302:C3309),"")</f>
        <v>31.125</v>
      </c>
      <c r="G3310" s="33" t="n">
        <f aca="false">IF(B3310=1,"",IF(B3310=2,C3309,SES_Alpha*C3309+(1-SES_Alpha)*G3309))</f>
        <v>30.0092103540338</v>
      </c>
      <c r="H3310" s="33" t="n">
        <f aca="false">IF(D3310="","",D3310-C3310)</f>
        <v>-11</v>
      </c>
      <c r="I3310" s="33" t="n">
        <f aca="false">IF(E3310="","",E3310-C3310)</f>
        <v>-6.75</v>
      </c>
      <c r="J3310" s="33" t="n">
        <f aca="false">IF(F3310="","",F3310-C3310)</f>
        <v>-5.875</v>
      </c>
      <c r="K3310" s="33" t="n">
        <f aca="false">IF(G3310="","",G3310-C3310)</f>
        <v>-6.99078964596619</v>
      </c>
      <c r="L3310" s="33" t="n">
        <f aca="false">IF(H3310="","",ABS(H3310))</f>
        <v>11</v>
      </c>
      <c r="M3310" s="33" t="n">
        <f aca="false">IF(I3310="","",ABS(I3310))</f>
        <v>6.75</v>
      </c>
      <c r="N3310" s="33" t="n">
        <f aca="false">IF(J3310="","",ABS(J3310))</f>
        <v>5.875</v>
      </c>
      <c r="O3310" s="33" t="n">
        <f aca="false">IF(K3310="","",ABS(K3310))</f>
        <v>6.99078964596619</v>
      </c>
      <c r="P3310" s="34" t="str">
        <f aca="false">IF(B3310&gt;=Eval_Start_Week,"YES","")</f>
        <v>YES</v>
      </c>
      <c r="Q3310" s="34" t="str">
        <f aca="false">IF(AND(B3310&gt;=Cal_Start_Week,B3310&lt;=Cal_End_Week),"YES","")</f>
        <v>YES</v>
      </c>
    </row>
    <row r="3311" customFormat="false" ht="15" hidden="false" customHeight="false" outlineLevel="0" collapsed="false">
      <c r="A3311" s="31" t="str">
        <f aca="false">Demand_History!C3311</f>
        <v>ELE-003</v>
      </c>
      <c r="B3311" s="31" t="n">
        <f aca="false">Demand_History!A3311</f>
        <v>86</v>
      </c>
      <c r="C3311" s="32" t="n">
        <f aca="false">Demand_History!D3311</f>
        <v>38</v>
      </c>
      <c r="D3311" s="33" t="n">
        <f aca="false">IF(B3311&gt;=2,C3310,"")</f>
        <v>37</v>
      </c>
      <c r="E3311" s="33" t="n">
        <f aca="false">IF(B3311&gt;=5,AVERAGE(C3307:C3310),"")</f>
        <v>32.5</v>
      </c>
      <c r="F3311" s="33" t="n">
        <f aca="false">IF(B3311&gt;=9,AVERAGE(C3303:C3310),"")</f>
        <v>31.25</v>
      </c>
      <c r="G3311" s="33" t="n">
        <f aca="false">IF(B3311=1,"",IF(B3311=2,C3310,SES_Alpha*C3310+(1-SES_Alpha)*G3310))</f>
        <v>32.1064472478237</v>
      </c>
      <c r="H3311" s="33" t="n">
        <f aca="false">IF(D3311="","",D3311-C3311)</f>
        <v>-1</v>
      </c>
      <c r="I3311" s="33" t="n">
        <f aca="false">IF(E3311="","",E3311-C3311)</f>
        <v>-5.5</v>
      </c>
      <c r="J3311" s="33" t="n">
        <f aca="false">IF(F3311="","",F3311-C3311)</f>
        <v>-6.75</v>
      </c>
      <c r="K3311" s="33" t="n">
        <f aca="false">IF(G3311="","",G3311-C3311)</f>
        <v>-5.89355275217633</v>
      </c>
      <c r="L3311" s="33" t="n">
        <f aca="false">IF(H3311="","",ABS(H3311))</f>
        <v>1</v>
      </c>
      <c r="M3311" s="33" t="n">
        <f aca="false">IF(I3311="","",ABS(I3311))</f>
        <v>5.5</v>
      </c>
      <c r="N3311" s="33" t="n">
        <f aca="false">IF(J3311="","",ABS(J3311))</f>
        <v>6.75</v>
      </c>
      <c r="O3311" s="33" t="n">
        <f aca="false">IF(K3311="","",ABS(K3311))</f>
        <v>5.89355275217633</v>
      </c>
      <c r="P3311" s="34" t="str">
        <f aca="false">IF(B3311&gt;=Eval_Start_Week,"YES","")</f>
        <v>YES</v>
      </c>
      <c r="Q3311" s="34" t="str">
        <f aca="false">IF(AND(B3311&gt;=Cal_Start_Week,B3311&lt;=Cal_End_Week),"YES","")</f>
        <v>YES</v>
      </c>
    </row>
    <row r="3312" customFormat="false" ht="15" hidden="false" customHeight="false" outlineLevel="0" collapsed="false">
      <c r="A3312" s="31" t="str">
        <f aca="false">Demand_History!C3312</f>
        <v>ELE-003</v>
      </c>
      <c r="B3312" s="31" t="n">
        <f aca="false">Demand_History!A3312</f>
        <v>87</v>
      </c>
      <c r="C3312" s="32" t="n">
        <f aca="false">Demand_History!D3312</f>
        <v>36</v>
      </c>
      <c r="D3312" s="33" t="n">
        <f aca="false">IF(B3312&gt;=2,C3311,"")</f>
        <v>38</v>
      </c>
      <c r="E3312" s="33" t="n">
        <f aca="false">IF(B3312&gt;=5,AVERAGE(C3308:C3311),"")</f>
        <v>32</v>
      </c>
      <c r="F3312" s="33" t="n">
        <f aca="false">IF(B3312&gt;=9,AVERAGE(C3304:C3311),"")</f>
        <v>32</v>
      </c>
      <c r="G3312" s="33" t="n">
        <f aca="false">IF(B3312=1,"",IF(B3312=2,C3311,SES_Alpha*C3311+(1-SES_Alpha)*G3311))</f>
        <v>33.8745130734766</v>
      </c>
      <c r="H3312" s="33" t="n">
        <f aca="false">IF(D3312="","",D3312-C3312)</f>
        <v>2</v>
      </c>
      <c r="I3312" s="33" t="n">
        <f aca="false">IF(E3312="","",E3312-C3312)</f>
        <v>-4</v>
      </c>
      <c r="J3312" s="33" t="n">
        <f aca="false">IF(F3312="","",F3312-C3312)</f>
        <v>-4</v>
      </c>
      <c r="K3312" s="33" t="n">
        <f aca="false">IF(G3312="","",G3312-C3312)</f>
        <v>-2.12548692652344</v>
      </c>
      <c r="L3312" s="33" t="n">
        <f aca="false">IF(H3312="","",ABS(H3312))</f>
        <v>2</v>
      </c>
      <c r="M3312" s="33" t="n">
        <f aca="false">IF(I3312="","",ABS(I3312))</f>
        <v>4</v>
      </c>
      <c r="N3312" s="33" t="n">
        <f aca="false">IF(J3312="","",ABS(J3312))</f>
        <v>4</v>
      </c>
      <c r="O3312" s="33" t="n">
        <f aca="false">IF(K3312="","",ABS(K3312))</f>
        <v>2.12548692652344</v>
      </c>
      <c r="P3312" s="34" t="str">
        <f aca="false">IF(B3312&gt;=Eval_Start_Week,"YES","")</f>
        <v>YES</v>
      </c>
      <c r="Q3312" s="34" t="str">
        <f aca="false">IF(AND(B3312&gt;=Cal_Start_Week,B3312&lt;=Cal_End_Week),"YES","")</f>
        <v>YES</v>
      </c>
    </row>
    <row r="3313" customFormat="false" ht="15" hidden="false" customHeight="false" outlineLevel="0" collapsed="false">
      <c r="A3313" s="31" t="str">
        <f aca="false">Demand_History!C3313</f>
        <v>ELE-003</v>
      </c>
      <c r="B3313" s="31" t="n">
        <f aca="false">Demand_History!A3313</f>
        <v>88</v>
      </c>
      <c r="C3313" s="32" t="n">
        <f aca="false">Demand_History!D3313</f>
        <v>30</v>
      </c>
      <c r="D3313" s="33" t="n">
        <f aca="false">IF(B3313&gt;=2,C3312,"")</f>
        <v>36</v>
      </c>
      <c r="E3313" s="33" t="n">
        <f aca="false">IF(B3313&gt;=5,AVERAGE(C3309:C3312),"")</f>
        <v>34.25</v>
      </c>
      <c r="F3313" s="33" t="n">
        <f aca="false">IF(B3313&gt;=9,AVERAGE(C3305:C3312),"")</f>
        <v>33.625</v>
      </c>
      <c r="G3313" s="33" t="n">
        <f aca="false">IF(B3313=1,"",IF(B3313=2,C3312,SES_Alpha*C3312+(1-SES_Alpha)*G3312))</f>
        <v>34.5121591514336</v>
      </c>
      <c r="H3313" s="33" t="n">
        <f aca="false">IF(D3313="","",D3313-C3313)</f>
        <v>6</v>
      </c>
      <c r="I3313" s="33" t="n">
        <f aca="false">IF(E3313="","",E3313-C3313)</f>
        <v>4.25</v>
      </c>
      <c r="J3313" s="33" t="n">
        <f aca="false">IF(F3313="","",F3313-C3313)</f>
        <v>3.625</v>
      </c>
      <c r="K3313" s="33" t="n">
        <f aca="false">IF(G3313="","",G3313-C3313)</f>
        <v>4.51215915143359</v>
      </c>
      <c r="L3313" s="33" t="n">
        <f aca="false">IF(H3313="","",ABS(H3313))</f>
        <v>6</v>
      </c>
      <c r="M3313" s="33" t="n">
        <f aca="false">IF(I3313="","",ABS(I3313))</f>
        <v>4.25</v>
      </c>
      <c r="N3313" s="33" t="n">
        <f aca="false">IF(J3313="","",ABS(J3313))</f>
        <v>3.625</v>
      </c>
      <c r="O3313" s="33" t="n">
        <f aca="false">IF(K3313="","",ABS(K3313))</f>
        <v>4.51215915143359</v>
      </c>
      <c r="P3313" s="34" t="str">
        <f aca="false">IF(B3313&gt;=Eval_Start_Week,"YES","")</f>
        <v>YES</v>
      </c>
      <c r="Q3313" s="34" t="str">
        <f aca="false">IF(AND(B3313&gt;=Cal_Start_Week,B3313&lt;=Cal_End_Week),"YES","")</f>
        <v>YES</v>
      </c>
    </row>
    <row r="3314" customFormat="false" ht="15" hidden="false" customHeight="false" outlineLevel="0" collapsed="false">
      <c r="A3314" s="31" t="str">
        <f aca="false">Demand_History!C3314</f>
        <v>ELE-003</v>
      </c>
      <c r="B3314" s="31" t="n">
        <f aca="false">Demand_History!A3314</f>
        <v>89</v>
      </c>
      <c r="C3314" s="32" t="n">
        <f aca="false">Demand_History!D3314</f>
        <v>41</v>
      </c>
      <c r="D3314" s="33" t="n">
        <f aca="false">IF(B3314&gt;=2,C3313,"")</f>
        <v>30</v>
      </c>
      <c r="E3314" s="33" t="n">
        <f aca="false">IF(B3314&gt;=5,AVERAGE(C3310:C3313),"")</f>
        <v>35.25</v>
      </c>
      <c r="F3314" s="33" t="n">
        <f aca="false">IF(B3314&gt;=9,AVERAGE(C3306:C3313),"")</f>
        <v>32.75</v>
      </c>
      <c r="G3314" s="33" t="n">
        <f aca="false">IF(B3314=1,"",IF(B3314=2,C3313,SES_Alpha*C3313+(1-SES_Alpha)*G3313))</f>
        <v>33.1585114060035</v>
      </c>
      <c r="H3314" s="33" t="n">
        <f aca="false">IF(D3314="","",D3314-C3314)</f>
        <v>-11</v>
      </c>
      <c r="I3314" s="33" t="n">
        <f aca="false">IF(E3314="","",E3314-C3314)</f>
        <v>-5.75</v>
      </c>
      <c r="J3314" s="33" t="n">
        <f aca="false">IF(F3314="","",F3314-C3314)</f>
        <v>-8.25</v>
      </c>
      <c r="K3314" s="33" t="n">
        <f aca="false">IF(G3314="","",G3314-C3314)</f>
        <v>-7.84148859399649</v>
      </c>
      <c r="L3314" s="33" t="n">
        <f aca="false">IF(H3314="","",ABS(H3314))</f>
        <v>11</v>
      </c>
      <c r="M3314" s="33" t="n">
        <f aca="false">IF(I3314="","",ABS(I3314))</f>
        <v>5.75</v>
      </c>
      <c r="N3314" s="33" t="n">
        <f aca="false">IF(J3314="","",ABS(J3314))</f>
        <v>8.25</v>
      </c>
      <c r="O3314" s="33" t="n">
        <f aca="false">IF(K3314="","",ABS(K3314))</f>
        <v>7.84148859399649</v>
      </c>
      <c r="P3314" s="34" t="str">
        <f aca="false">IF(B3314&gt;=Eval_Start_Week,"YES","")</f>
        <v>YES</v>
      </c>
      <c r="Q3314" s="34" t="str">
        <f aca="false">IF(AND(B3314&gt;=Cal_Start_Week,B3314&lt;=Cal_End_Week),"YES","")</f>
        <v/>
      </c>
    </row>
    <row r="3315" customFormat="false" ht="15" hidden="false" customHeight="false" outlineLevel="0" collapsed="false">
      <c r="A3315" s="31" t="str">
        <f aca="false">Demand_History!C3315</f>
        <v>ELE-003</v>
      </c>
      <c r="B3315" s="31" t="n">
        <f aca="false">Demand_History!A3315</f>
        <v>90</v>
      </c>
      <c r="C3315" s="32" t="n">
        <f aca="false">Demand_History!D3315</f>
        <v>29</v>
      </c>
      <c r="D3315" s="33" t="n">
        <f aca="false">IF(B3315&gt;=2,C3314,"")</f>
        <v>41</v>
      </c>
      <c r="E3315" s="33" t="n">
        <f aca="false">IF(B3315&gt;=5,AVERAGE(C3311:C3314),"")</f>
        <v>36.25</v>
      </c>
      <c r="F3315" s="33" t="n">
        <f aca="false">IF(B3315&gt;=9,AVERAGE(C3307:C3314),"")</f>
        <v>34.375</v>
      </c>
      <c r="G3315" s="33" t="n">
        <f aca="false">IF(B3315=1,"",IF(B3315=2,C3314,SES_Alpha*C3314+(1-SES_Alpha)*G3314))</f>
        <v>35.5109579842025</v>
      </c>
      <c r="H3315" s="33" t="n">
        <f aca="false">IF(D3315="","",D3315-C3315)</f>
        <v>12</v>
      </c>
      <c r="I3315" s="33" t="n">
        <f aca="false">IF(E3315="","",E3315-C3315)</f>
        <v>7.25</v>
      </c>
      <c r="J3315" s="33" t="n">
        <f aca="false">IF(F3315="","",F3315-C3315)</f>
        <v>5.375</v>
      </c>
      <c r="K3315" s="33" t="n">
        <f aca="false">IF(G3315="","",G3315-C3315)</f>
        <v>6.51095798420246</v>
      </c>
      <c r="L3315" s="33" t="n">
        <f aca="false">IF(H3315="","",ABS(H3315))</f>
        <v>12</v>
      </c>
      <c r="M3315" s="33" t="n">
        <f aca="false">IF(I3315="","",ABS(I3315))</f>
        <v>7.25</v>
      </c>
      <c r="N3315" s="33" t="n">
        <f aca="false">IF(J3315="","",ABS(J3315))</f>
        <v>5.375</v>
      </c>
      <c r="O3315" s="33" t="n">
        <f aca="false">IF(K3315="","",ABS(K3315))</f>
        <v>6.51095798420246</v>
      </c>
      <c r="P3315" s="34" t="str">
        <f aca="false">IF(B3315&gt;=Eval_Start_Week,"YES","")</f>
        <v>YES</v>
      </c>
      <c r="Q3315" s="34" t="str">
        <f aca="false">IF(AND(B3315&gt;=Cal_Start_Week,B3315&lt;=Cal_End_Week),"YES","")</f>
        <v/>
      </c>
    </row>
    <row r="3316" customFormat="false" ht="15" hidden="false" customHeight="false" outlineLevel="0" collapsed="false">
      <c r="A3316" s="31" t="str">
        <f aca="false">Demand_History!C3316</f>
        <v>ELE-003</v>
      </c>
      <c r="B3316" s="31" t="n">
        <f aca="false">Demand_History!A3316</f>
        <v>91</v>
      </c>
      <c r="C3316" s="32" t="n">
        <f aca="false">Demand_History!D3316</f>
        <v>34</v>
      </c>
      <c r="D3316" s="33" t="n">
        <f aca="false">IF(B3316&gt;=2,C3315,"")</f>
        <v>29</v>
      </c>
      <c r="E3316" s="33" t="n">
        <f aca="false">IF(B3316&gt;=5,AVERAGE(C3312:C3315),"")</f>
        <v>34</v>
      </c>
      <c r="F3316" s="33" t="n">
        <f aca="false">IF(B3316&gt;=9,AVERAGE(C3308:C3315),"")</f>
        <v>33</v>
      </c>
      <c r="G3316" s="33" t="n">
        <f aca="false">IF(B3316=1,"",IF(B3316=2,C3315,SES_Alpha*C3315+(1-SES_Alpha)*G3315))</f>
        <v>33.5576705889417</v>
      </c>
      <c r="H3316" s="33" t="n">
        <f aca="false">IF(D3316="","",D3316-C3316)</f>
        <v>-5</v>
      </c>
      <c r="I3316" s="33" t="n">
        <f aca="false">IF(E3316="","",E3316-C3316)</f>
        <v>0</v>
      </c>
      <c r="J3316" s="33" t="n">
        <f aca="false">IF(F3316="","",F3316-C3316)</f>
        <v>-1</v>
      </c>
      <c r="K3316" s="33" t="n">
        <f aca="false">IF(G3316="","",G3316-C3316)</f>
        <v>-0.442329411058282</v>
      </c>
      <c r="L3316" s="33" t="n">
        <f aca="false">IF(H3316="","",ABS(H3316))</f>
        <v>5</v>
      </c>
      <c r="M3316" s="33" t="n">
        <f aca="false">IF(I3316="","",ABS(I3316))</f>
        <v>0</v>
      </c>
      <c r="N3316" s="33" t="n">
        <f aca="false">IF(J3316="","",ABS(J3316))</f>
        <v>1</v>
      </c>
      <c r="O3316" s="33" t="n">
        <f aca="false">IF(K3316="","",ABS(K3316))</f>
        <v>0.442329411058282</v>
      </c>
      <c r="P3316" s="34" t="str">
        <f aca="false">IF(B3316&gt;=Eval_Start_Week,"YES","")</f>
        <v>YES</v>
      </c>
      <c r="Q3316" s="34" t="str">
        <f aca="false">IF(AND(B3316&gt;=Cal_Start_Week,B3316&lt;=Cal_End_Week),"YES","")</f>
        <v/>
      </c>
    </row>
    <row r="3317" customFormat="false" ht="15" hidden="false" customHeight="false" outlineLevel="0" collapsed="false">
      <c r="A3317" s="31" t="str">
        <f aca="false">Demand_History!C3317</f>
        <v>ELE-003</v>
      </c>
      <c r="B3317" s="31" t="n">
        <f aca="false">Demand_History!A3317</f>
        <v>92</v>
      </c>
      <c r="C3317" s="32" t="n">
        <f aca="false">Demand_History!D3317</f>
        <v>33</v>
      </c>
      <c r="D3317" s="33" t="n">
        <f aca="false">IF(B3317&gt;=2,C3316,"")</f>
        <v>34</v>
      </c>
      <c r="E3317" s="33" t="n">
        <f aca="false">IF(B3317&gt;=5,AVERAGE(C3313:C3316),"")</f>
        <v>33.5</v>
      </c>
      <c r="F3317" s="33" t="n">
        <f aca="false">IF(B3317&gt;=9,AVERAGE(C3309:C3316),"")</f>
        <v>33.875</v>
      </c>
      <c r="G3317" s="33" t="n">
        <f aca="false">IF(B3317=1,"",IF(B3317=2,C3316,SES_Alpha*C3316+(1-SES_Alpha)*G3316))</f>
        <v>33.6903694122592</v>
      </c>
      <c r="H3317" s="33" t="n">
        <f aca="false">IF(D3317="","",D3317-C3317)</f>
        <v>1</v>
      </c>
      <c r="I3317" s="33" t="n">
        <f aca="false">IF(E3317="","",E3317-C3317)</f>
        <v>0.5</v>
      </c>
      <c r="J3317" s="33" t="n">
        <f aca="false">IF(F3317="","",F3317-C3317)</f>
        <v>0.875</v>
      </c>
      <c r="K3317" s="33" t="n">
        <f aca="false">IF(G3317="","",G3317-C3317)</f>
        <v>0.690369412259202</v>
      </c>
      <c r="L3317" s="33" t="n">
        <f aca="false">IF(H3317="","",ABS(H3317))</f>
        <v>1</v>
      </c>
      <c r="M3317" s="33" t="n">
        <f aca="false">IF(I3317="","",ABS(I3317))</f>
        <v>0.5</v>
      </c>
      <c r="N3317" s="33" t="n">
        <f aca="false">IF(J3317="","",ABS(J3317))</f>
        <v>0.875</v>
      </c>
      <c r="O3317" s="33" t="n">
        <f aca="false">IF(K3317="","",ABS(K3317))</f>
        <v>0.690369412259202</v>
      </c>
      <c r="P3317" s="34" t="str">
        <f aca="false">IF(B3317&gt;=Eval_Start_Week,"YES","")</f>
        <v>YES</v>
      </c>
      <c r="Q3317" s="34" t="str">
        <f aca="false">IF(AND(B3317&gt;=Cal_Start_Week,B3317&lt;=Cal_End_Week),"YES","")</f>
        <v/>
      </c>
    </row>
    <row r="3318" customFormat="false" ht="15" hidden="false" customHeight="false" outlineLevel="0" collapsed="false">
      <c r="A3318" s="31" t="str">
        <f aca="false">Demand_History!C3318</f>
        <v>ELE-003</v>
      </c>
      <c r="B3318" s="31" t="n">
        <f aca="false">Demand_History!A3318</f>
        <v>93</v>
      </c>
      <c r="C3318" s="32" t="n">
        <f aca="false">Demand_History!D3318</f>
        <v>35</v>
      </c>
      <c r="D3318" s="33" t="n">
        <f aca="false">IF(B3318&gt;=2,C3317,"")</f>
        <v>33</v>
      </c>
      <c r="E3318" s="33" t="n">
        <f aca="false">IF(B3318&gt;=5,AVERAGE(C3314:C3317),"")</f>
        <v>34.25</v>
      </c>
      <c r="F3318" s="33" t="n">
        <f aca="false">IF(B3318&gt;=9,AVERAGE(C3310:C3317),"")</f>
        <v>34.75</v>
      </c>
      <c r="G3318" s="33" t="n">
        <f aca="false">IF(B3318=1,"",IF(B3318=2,C3317,SES_Alpha*C3317+(1-SES_Alpha)*G3317))</f>
        <v>33.4832585885814</v>
      </c>
      <c r="H3318" s="33" t="n">
        <f aca="false">IF(D3318="","",D3318-C3318)</f>
        <v>-2</v>
      </c>
      <c r="I3318" s="33" t="n">
        <f aca="false">IF(E3318="","",E3318-C3318)</f>
        <v>-0.75</v>
      </c>
      <c r="J3318" s="33" t="n">
        <f aca="false">IF(F3318="","",F3318-C3318)</f>
        <v>-0.25</v>
      </c>
      <c r="K3318" s="33" t="n">
        <f aca="false">IF(G3318="","",G3318-C3318)</f>
        <v>-1.51674141141856</v>
      </c>
      <c r="L3318" s="33" t="n">
        <f aca="false">IF(H3318="","",ABS(H3318))</f>
        <v>2</v>
      </c>
      <c r="M3318" s="33" t="n">
        <f aca="false">IF(I3318="","",ABS(I3318))</f>
        <v>0.75</v>
      </c>
      <c r="N3318" s="33" t="n">
        <f aca="false">IF(J3318="","",ABS(J3318))</f>
        <v>0.25</v>
      </c>
      <c r="O3318" s="33" t="n">
        <f aca="false">IF(K3318="","",ABS(K3318))</f>
        <v>1.51674141141856</v>
      </c>
      <c r="P3318" s="34" t="str">
        <f aca="false">IF(B3318&gt;=Eval_Start_Week,"YES","")</f>
        <v>YES</v>
      </c>
      <c r="Q3318" s="34" t="str">
        <f aca="false">IF(AND(B3318&gt;=Cal_Start_Week,B3318&lt;=Cal_End_Week),"YES","")</f>
        <v/>
      </c>
    </row>
    <row r="3319" customFormat="false" ht="15" hidden="false" customHeight="false" outlineLevel="0" collapsed="false">
      <c r="A3319" s="31" t="str">
        <f aca="false">Demand_History!C3319</f>
        <v>ELE-003</v>
      </c>
      <c r="B3319" s="31" t="n">
        <f aca="false">Demand_History!A3319</f>
        <v>94</v>
      </c>
      <c r="C3319" s="32" t="n">
        <f aca="false">Demand_History!D3319</f>
        <v>42</v>
      </c>
      <c r="D3319" s="33" t="n">
        <f aca="false">IF(B3319&gt;=2,C3318,"")</f>
        <v>35</v>
      </c>
      <c r="E3319" s="33" t="n">
        <f aca="false">IF(B3319&gt;=5,AVERAGE(C3315:C3318),"")</f>
        <v>32.75</v>
      </c>
      <c r="F3319" s="33" t="n">
        <f aca="false">IF(B3319&gt;=9,AVERAGE(C3311:C3318),"")</f>
        <v>34.5</v>
      </c>
      <c r="G3319" s="33" t="n">
        <f aca="false">IF(B3319=1,"",IF(B3319=2,C3318,SES_Alpha*C3318+(1-SES_Alpha)*G3318))</f>
        <v>33.938281012007</v>
      </c>
      <c r="H3319" s="33" t="n">
        <f aca="false">IF(D3319="","",D3319-C3319)</f>
        <v>-7</v>
      </c>
      <c r="I3319" s="33" t="n">
        <f aca="false">IF(E3319="","",E3319-C3319)</f>
        <v>-9.25</v>
      </c>
      <c r="J3319" s="33" t="n">
        <f aca="false">IF(F3319="","",F3319-C3319)</f>
        <v>-7.5</v>
      </c>
      <c r="K3319" s="33" t="n">
        <f aca="false">IF(G3319="","",G3319-C3319)</f>
        <v>-8.06171898799299</v>
      </c>
      <c r="L3319" s="33" t="n">
        <f aca="false">IF(H3319="","",ABS(H3319))</f>
        <v>7</v>
      </c>
      <c r="M3319" s="33" t="n">
        <f aca="false">IF(I3319="","",ABS(I3319))</f>
        <v>9.25</v>
      </c>
      <c r="N3319" s="33" t="n">
        <f aca="false">IF(J3319="","",ABS(J3319))</f>
        <v>7.5</v>
      </c>
      <c r="O3319" s="33" t="n">
        <f aca="false">IF(K3319="","",ABS(K3319))</f>
        <v>8.06171898799299</v>
      </c>
      <c r="P3319" s="34" t="str">
        <f aca="false">IF(B3319&gt;=Eval_Start_Week,"YES","")</f>
        <v>YES</v>
      </c>
      <c r="Q3319" s="34" t="str">
        <f aca="false">IF(AND(B3319&gt;=Cal_Start_Week,B3319&lt;=Cal_End_Week),"YES","")</f>
        <v/>
      </c>
    </row>
    <row r="3320" customFormat="false" ht="15" hidden="false" customHeight="false" outlineLevel="0" collapsed="false">
      <c r="A3320" s="31" t="str">
        <f aca="false">Demand_History!C3320</f>
        <v>ELE-003</v>
      </c>
      <c r="B3320" s="31" t="n">
        <f aca="false">Demand_History!A3320</f>
        <v>95</v>
      </c>
      <c r="C3320" s="32" t="n">
        <f aca="false">Demand_History!D3320</f>
        <v>34</v>
      </c>
      <c r="D3320" s="33" t="n">
        <f aca="false">IF(B3320&gt;=2,C3319,"")</f>
        <v>42</v>
      </c>
      <c r="E3320" s="33" t="n">
        <f aca="false">IF(B3320&gt;=5,AVERAGE(C3316:C3319),"")</f>
        <v>36</v>
      </c>
      <c r="F3320" s="33" t="n">
        <f aca="false">IF(B3320&gt;=9,AVERAGE(C3312:C3319),"")</f>
        <v>35</v>
      </c>
      <c r="G3320" s="33" t="n">
        <f aca="false">IF(B3320=1,"",IF(B3320=2,C3319,SES_Alpha*C3319+(1-SES_Alpha)*G3319))</f>
        <v>36.3567967084049</v>
      </c>
      <c r="H3320" s="33" t="n">
        <f aca="false">IF(D3320="","",D3320-C3320)</f>
        <v>8</v>
      </c>
      <c r="I3320" s="33" t="n">
        <f aca="false">IF(E3320="","",E3320-C3320)</f>
        <v>2</v>
      </c>
      <c r="J3320" s="33" t="n">
        <f aca="false">IF(F3320="","",F3320-C3320)</f>
        <v>1</v>
      </c>
      <c r="K3320" s="33" t="n">
        <f aca="false">IF(G3320="","",G3320-C3320)</f>
        <v>2.35679670840491</v>
      </c>
      <c r="L3320" s="33" t="n">
        <f aca="false">IF(H3320="","",ABS(H3320))</f>
        <v>8</v>
      </c>
      <c r="M3320" s="33" t="n">
        <f aca="false">IF(I3320="","",ABS(I3320))</f>
        <v>2</v>
      </c>
      <c r="N3320" s="33" t="n">
        <f aca="false">IF(J3320="","",ABS(J3320))</f>
        <v>1</v>
      </c>
      <c r="O3320" s="33" t="n">
        <f aca="false">IF(K3320="","",ABS(K3320))</f>
        <v>2.35679670840491</v>
      </c>
      <c r="P3320" s="34" t="str">
        <f aca="false">IF(B3320&gt;=Eval_Start_Week,"YES","")</f>
        <v>YES</v>
      </c>
      <c r="Q3320" s="34" t="str">
        <f aca="false">IF(AND(B3320&gt;=Cal_Start_Week,B3320&lt;=Cal_End_Week),"YES","")</f>
        <v/>
      </c>
    </row>
    <row r="3321" customFormat="false" ht="15" hidden="false" customHeight="false" outlineLevel="0" collapsed="false">
      <c r="A3321" s="31" t="str">
        <f aca="false">Demand_History!C3321</f>
        <v>ELE-003</v>
      </c>
      <c r="B3321" s="31" t="n">
        <f aca="false">Demand_History!A3321</f>
        <v>96</v>
      </c>
      <c r="C3321" s="32" t="n">
        <f aca="false">Demand_History!D3321</f>
        <v>41</v>
      </c>
      <c r="D3321" s="33" t="n">
        <f aca="false">IF(B3321&gt;=2,C3320,"")</f>
        <v>34</v>
      </c>
      <c r="E3321" s="33" t="n">
        <f aca="false">IF(B3321&gt;=5,AVERAGE(C3317:C3320),"")</f>
        <v>36</v>
      </c>
      <c r="F3321" s="33" t="n">
        <f aca="false">IF(B3321&gt;=9,AVERAGE(C3313:C3320),"")</f>
        <v>34.75</v>
      </c>
      <c r="G3321" s="33" t="n">
        <f aca="false">IF(B3321=1,"",IF(B3321=2,C3320,SES_Alpha*C3320+(1-SES_Alpha)*G3320))</f>
        <v>35.6497576958834</v>
      </c>
      <c r="H3321" s="33" t="n">
        <f aca="false">IF(D3321="","",D3321-C3321)</f>
        <v>-7</v>
      </c>
      <c r="I3321" s="33" t="n">
        <f aca="false">IF(E3321="","",E3321-C3321)</f>
        <v>-5</v>
      </c>
      <c r="J3321" s="33" t="n">
        <f aca="false">IF(F3321="","",F3321-C3321)</f>
        <v>-6.25</v>
      </c>
      <c r="K3321" s="33" t="n">
        <f aca="false">IF(G3321="","",G3321-C3321)</f>
        <v>-5.35024230411656</v>
      </c>
      <c r="L3321" s="33" t="n">
        <f aca="false">IF(H3321="","",ABS(H3321))</f>
        <v>7</v>
      </c>
      <c r="M3321" s="33" t="n">
        <f aca="false">IF(I3321="","",ABS(I3321))</f>
        <v>5</v>
      </c>
      <c r="N3321" s="33" t="n">
        <f aca="false">IF(J3321="","",ABS(J3321))</f>
        <v>6.25</v>
      </c>
      <c r="O3321" s="33" t="n">
        <f aca="false">IF(K3321="","",ABS(K3321))</f>
        <v>5.35024230411656</v>
      </c>
      <c r="P3321" s="34" t="str">
        <f aca="false">IF(B3321&gt;=Eval_Start_Week,"YES","")</f>
        <v>YES</v>
      </c>
      <c r="Q3321" s="34" t="str">
        <f aca="false">IF(AND(B3321&gt;=Cal_Start_Week,B3321&lt;=Cal_End_Week),"YES","")</f>
        <v/>
      </c>
    </row>
    <row r="3322" customFormat="false" ht="15" hidden="false" customHeight="false" outlineLevel="0" collapsed="false">
      <c r="A3322" s="31" t="str">
        <f aca="false">Demand_History!C3322</f>
        <v>ELE-003</v>
      </c>
      <c r="B3322" s="31" t="n">
        <f aca="false">Demand_History!A3322</f>
        <v>97</v>
      </c>
      <c r="C3322" s="32" t="n">
        <f aca="false">Demand_History!D3322</f>
        <v>41</v>
      </c>
      <c r="D3322" s="33" t="n">
        <f aca="false">IF(B3322&gt;=2,C3321,"")</f>
        <v>41</v>
      </c>
      <c r="E3322" s="33" t="n">
        <f aca="false">IF(B3322&gt;=5,AVERAGE(C3318:C3321),"")</f>
        <v>38</v>
      </c>
      <c r="F3322" s="33" t="n">
        <f aca="false">IF(B3322&gt;=9,AVERAGE(C3314:C3321),"")</f>
        <v>36.125</v>
      </c>
      <c r="G3322" s="33" t="n">
        <f aca="false">IF(B3322=1,"",IF(B3322=2,C3321,SES_Alpha*C3321+(1-SES_Alpha)*G3321))</f>
        <v>37.2548303871184</v>
      </c>
      <c r="H3322" s="33" t="n">
        <f aca="false">IF(D3322="","",D3322-C3322)</f>
        <v>0</v>
      </c>
      <c r="I3322" s="33" t="n">
        <f aca="false">IF(E3322="","",E3322-C3322)</f>
        <v>-3</v>
      </c>
      <c r="J3322" s="33" t="n">
        <f aca="false">IF(F3322="","",F3322-C3322)</f>
        <v>-4.875</v>
      </c>
      <c r="K3322" s="33" t="n">
        <f aca="false">IF(G3322="","",G3322-C3322)</f>
        <v>-3.7451696128816</v>
      </c>
      <c r="L3322" s="33" t="n">
        <f aca="false">IF(H3322="","",ABS(H3322))</f>
        <v>0</v>
      </c>
      <c r="M3322" s="33" t="n">
        <f aca="false">IF(I3322="","",ABS(I3322))</f>
        <v>3</v>
      </c>
      <c r="N3322" s="33" t="n">
        <f aca="false">IF(J3322="","",ABS(J3322))</f>
        <v>4.875</v>
      </c>
      <c r="O3322" s="33" t="n">
        <f aca="false">IF(K3322="","",ABS(K3322))</f>
        <v>3.7451696128816</v>
      </c>
      <c r="P3322" s="34" t="str">
        <f aca="false">IF(B3322&gt;=Eval_Start_Week,"YES","")</f>
        <v>YES</v>
      </c>
      <c r="Q3322" s="34" t="str">
        <f aca="false">IF(AND(B3322&gt;=Cal_Start_Week,B3322&lt;=Cal_End_Week),"YES","")</f>
        <v/>
      </c>
    </row>
    <row r="3323" customFormat="false" ht="15" hidden="false" customHeight="false" outlineLevel="0" collapsed="false">
      <c r="A3323" s="31" t="str">
        <f aca="false">Demand_History!C3323</f>
        <v>ELE-003</v>
      </c>
      <c r="B3323" s="31" t="n">
        <f aca="false">Demand_History!A3323</f>
        <v>98</v>
      </c>
      <c r="C3323" s="32" t="n">
        <f aca="false">Demand_History!D3323</f>
        <v>29</v>
      </c>
      <c r="D3323" s="33" t="n">
        <f aca="false">IF(B3323&gt;=2,C3322,"")</f>
        <v>41</v>
      </c>
      <c r="E3323" s="33" t="n">
        <f aca="false">IF(B3323&gt;=5,AVERAGE(C3319:C3322),"")</f>
        <v>39.5</v>
      </c>
      <c r="F3323" s="33" t="n">
        <f aca="false">IF(B3323&gt;=9,AVERAGE(C3315:C3322),"")</f>
        <v>36.125</v>
      </c>
      <c r="G3323" s="33" t="n">
        <f aca="false">IF(B3323=1,"",IF(B3323=2,C3322,SES_Alpha*C3322+(1-SES_Alpha)*G3322))</f>
        <v>38.3783812709829</v>
      </c>
      <c r="H3323" s="33" t="n">
        <f aca="false">IF(D3323="","",D3323-C3323)</f>
        <v>12</v>
      </c>
      <c r="I3323" s="33" t="n">
        <f aca="false">IF(E3323="","",E3323-C3323)</f>
        <v>10.5</v>
      </c>
      <c r="J3323" s="33" t="n">
        <f aca="false">IF(F3323="","",F3323-C3323)</f>
        <v>7.125</v>
      </c>
      <c r="K3323" s="33" t="n">
        <f aca="false">IF(G3323="","",G3323-C3323)</f>
        <v>9.37838127098288</v>
      </c>
      <c r="L3323" s="33" t="n">
        <f aca="false">IF(H3323="","",ABS(H3323))</f>
        <v>12</v>
      </c>
      <c r="M3323" s="33" t="n">
        <f aca="false">IF(I3323="","",ABS(I3323))</f>
        <v>10.5</v>
      </c>
      <c r="N3323" s="33" t="n">
        <f aca="false">IF(J3323="","",ABS(J3323))</f>
        <v>7.125</v>
      </c>
      <c r="O3323" s="33" t="n">
        <f aca="false">IF(K3323="","",ABS(K3323))</f>
        <v>9.37838127098288</v>
      </c>
      <c r="P3323" s="34" t="str">
        <f aca="false">IF(B3323&gt;=Eval_Start_Week,"YES","")</f>
        <v>YES</v>
      </c>
      <c r="Q3323" s="34" t="str">
        <f aca="false">IF(AND(B3323&gt;=Cal_Start_Week,B3323&lt;=Cal_End_Week),"YES","")</f>
        <v/>
      </c>
    </row>
    <row r="3324" customFormat="false" ht="15" hidden="false" customHeight="false" outlineLevel="0" collapsed="false">
      <c r="A3324" s="31" t="str">
        <f aca="false">Demand_History!C3324</f>
        <v>ELE-003</v>
      </c>
      <c r="B3324" s="31" t="n">
        <f aca="false">Demand_History!A3324</f>
        <v>99</v>
      </c>
      <c r="C3324" s="32" t="n">
        <f aca="false">Demand_History!D3324</f>
        <v>32</v>
      </c>
      <c r="D3324" s="33" t="n">
        <f aca="false">IF(B3324&gt;=2,C3323,"")</f>
        <v>29</v>
      </c>
      <c r="E3324" s="33" t="n">
        <f aca="false">IF(B3324&gt;=5,AVERAGE(C3320:C3323),"")</f>
        <v>36.25</v>
      </c>
      <c r="F3324" s="33" t="n">
        <f aca="false">IF(B3324&gt;=9,AVERAGE(C3316:C3323),"")</f>
        <v>36.125</v>
      </c>
      <c r="G3324" s="33" t="n">
        <f aca="false">IF(B3324=1,"",IF(B3324=2,C3323,SES_Alpha*C3323+(1-SES_Alpha)*G3323))</f>
        <v>35.564866889688</v>
      </c>
      <c r="H3324" s="33" t="n">
        <f aca="false">IF(D3324="","",D3324-C3324)</f>
        <v>-3</v>
      </c>
      <c r="I3324" s="33" t="n">
        <f aca="false">IF(E3324="","",E3324-C3324)</f>
        <v>4.25</v>
      </c>
      <c r="J3324" s="33" t="n">
        <f aca="false">IF(F3324="","",F3324-C3324)</f>
        <v>4.125</v>
      </c>
      <c r="K3324" s="33" t="n">
        <f aca="false">IF(G3324="","",G3324-C3324)</f>
        <v>3.56486688968801</v>
      </c>
      <c r="L3324" s="33" t="n">
        <f aca="false">IF(H3324="","",ABS(H3324))</f>
        <v>3</v>
      </c>
      <c r="M3324" s="33" t="n">
        <f aca="false">IF(I3324="","",ABS(I3324))</f>
        <v>4.25</v>
      </c>
      <c r="N3324" s="33" t="n">
        <f aca="false">IF(J3324="","",ABS(J3324))</f>
        <v>4.125</v>
      </c>
      <c r="O3324" s="33" t="n">
        <f aca="false">IF(K3324="","",ABS(K3324))</f>
        <v>3.56486688968801</v>
      </c>
      <c r="P3324" s="34" t="str">
        <f aca="false">IF(B3324&gt;=Eval_Start_Week,"YES","")</f>
        <v>YES</v>
      </c>
      <c r="Q3324" s="34" t="str">
        <f aca="false">IF(AND(B3324&gt;=Cal_Start_Week,B3324&lt;=Cal_End_Week),"YES","")</f>
        <v/>
      </c>
    </row>
    <row r="3325" customFormat="false" ht="15" hidden="false" customHeight="false" outlineLevel="0" collapsed="false">
      <c r="A3325" s="31" t="str">
        <f aca="false">Demand_History!C3325</f>
        <v>ELE-003</v>
      </c>
      <c r="B3325" s="31" t="n">
        <f aca="false">Demand_History!A3325</f>
        <v>100</v>
      </c>
      <c r="C3325" s="32" t="n">
        <f aca="false">Demand_History!D3325</f>
        <v>36</v>
      </c>
      <c r="D3325" s="33" t="n">
        <f aca="false">IF(B3325&gt;=2,C3324,"")</f>
        <v>32</v>
      </c>
      <c r="E3325" s="33" t="n">
        <f aca="false">IF(B3325&gt;=5,AVERAGE(C3321:C3324),"")</f>
        <v>35.75</v>
      </c>
      <c r="F3325" s="33" t="n">
        <f aca="false">IF(B3325&gt;=9,AVERAGE(C3317:C3324),"")</f>
        <v>35.875</v>
      </c>
      <c r="G3325" s="33" t="n">
        <f aca="false">IF(B3325=1,"",IF(B3325=2,C3324,SES_Alpha*C3324+(1-SES_Alpha)*G3324))</f>
        <v>34.4954068227816</v>
      </c>
      <c r="H3325" s="33" t="n">
        <f aca="false">IF(D3325="","",D3325-C3325)</f>
        <v>-4</v>
      </c>
      <c r="I3325" s="33" t="n">
        <f aca="false">IF(E3325="","",E3325-C3325)</f>
        <v>-0.25</v>
      </c>
      <c r="J3325" s="33" t="n">
        <f aca="false">IF(F3325="","",F3325-C3325)</f>
        <v>-0.125</v>
      </c>
      <c r="K3325" s="33" t="n">
        <f aca="false">IF(G3325="","",G3325-C3325)</f>
        <v>-1.5045931772184</v>
      </c>
      <c r="L3325" s="33" t="n">
        <f aca="false">IF(H3325="","",ABS(H3325))</f>
        <v>4</v>
      </c>
      <c r="M3325" s="33" t="n">
        <f aca="false">IF(I3325="","",ABS(I3325))</f>
        <v>0.25</v>
      </c>
      <c r="N3325" s="33" t="n">
        <f aca="false">IF(J3325="","",ABS(J3325))</f>
        <v>0.125</v>
      </c>
      <c r="O3325" s="33" t="n">
        <f aca="false">IF(K3325="","",ABS(K3325))</f>
        <v>1.5045931772184</v>
      </c>
      <c r="P3325" s="34" t="str">
        <f aca="false">IF(B3325&gt;=Eval_Start_Week,"YES","")</f>
        <v>YES</v>
      </c>
      <c r="Q3325" s="34" t="str">
        <f aca="false">IF(AND(B3325&gt;=Cal_Start_Week,B3325&lt;=Cal_End_Week),"YES","")</f>
        <v/>
      </c>
    </row>
    <row r="3326" customFormat="false" ht="15" hidden="false" customHeight="false" outlineLevel="0" collapsed="false">
      <c r="A3326" s="31" t="str">
        <f aca="false">Demand_History!C3326</f>
        <v>ELE-003</v>
      </c>
      <c r="B3326" s="31" t="n">
        <f aca="false">Demand_History!A3326</f>
        <v>101</v>
      </c>
      <c r="C3326" s="32" t="n">
        <f aca="false">Demand_History!D3326</f>
        <v>35</v>
      </c>
      <c r="D3326" s="33" t="n">
        <f aca="false">IF(B3326&gt;=2,C3325,"")</f>
        <v>36</v>
      </c>
      <c r="E3326" s="33" t="n">
        <f aca="false">IF(B3326&gt;=5,AVERAGE(C3322:C3325),"")</f>
        <v>34.5</v>
      </c>
      <c r="F3326" s="33" t="n">
        <f aca="false">IF(B3326&gt;=9,AVERAGE(C3318:C3325),"")</f>
        <v>36.25</v>
      </c>
      <c r="G3326" s="33" t="n">
        <f aca="false">IF(B3326=1,"",IF(B3326=2,C3325,SES_Alpha*C3325+(1-SES_Alpha)*G3325))</f>
        <v>34.9467847759471</v>
      </c>
      <c r="H3326" s="33" t="n">
        <f aca="false">IF(D3326="","",D3326-C3326)</f>
        <v>1</v>
      </c>
      <c r="I3326" s="33" t="n">
        <f aca="false">IF(E3326="","",E3326-C3326)</f>
        <v>-0.5</v>
      </c>
      <c r="J3326" s="33" t="n">
        <f aca="false">IF(F3326="","",F3326-C3326)</f>
        <v>1.25</v>
      </c>
      <c r="K3326" s="33" t="n">
        <f aca="false">IF(G3326="","",G3326-C3326)</f>
        <v>-0.0532152240528774</v>
      </c>
      <c r="L3326" s="33" t="n">
        <f aca="false">IF(H3326="","",ABS(H3326))</f>
        <v>1</v>
      </c>
      <c r="M3326" s="33" t="n">
        <f aca="false">IF(I3326="","",ABS(I3326))</f>
        <v>0.5</v>
      </c>
      <c r="N3326" s="33" t="n">
        <f aca="false">IF(J3326="","",ABS(J3326))</f>
        <v>1.25</v>
      </c>
      <c r="O3326" s="33" t="n">
        <f aca="false">IF(K3326="","",ABS(K3326))</f>
        <v>0.0532152240528774</v>
      </c>
      <c r="P3326" s="34" t="str">
        <f aca="false">IF(B3326&gt;=Eval_Start_Week,"YES","")</f>
        <v>YES</v>
      </c>
      <c r="Q3326" s="34" t="str">
        <f aca="false">IF(AND(B3326&gt;=Cal_Start_Week,B3326&lt;=Cal_End_Week),"YES","")</f>
        <v/>
      </c>
    </row>
    <row r="3327" customFormat="false" ht="15" hidden="false" customHeight="false" outlineLevel="0" collapsed="false">
      <c r="A3327" s="31" t="str">
        <f aca="false">Demand_History!C3327</f>
        <v>ELE-003</v>
      </c>
      <c r="B3327" s="31" t="n">
        <f aca="false">Demand_History!A3327</f>
        <v>102</v>
      </c>
      <c r="C3327" s="32" t="n">
        <f aca="false">Demand_History!D3327</f>
        <v>40</v>
      </c>
      <c r="D3327" s="33" t="n">
        <f aca="false">IF(B3327&gt;=2,C3326,"")</f>
        <v>35</v>
      </c>
      <c r="E3327" s="33" t="n">
        <f aca="false">IF(B3327&gt;=5,AVERAGE(C3323:C3326),"")</f>
        <v>33</v>
      </c>
      <c r="F3327" s="33" t="n">
        <f aca="false">IF(B3327&gt;=9,AVERAGE(C3319:C3326),"")</f>
        <v>36.25</v>
      </c>
      <c r="G3327" s="33" t="n">
        <f aca="false">IF(B3327=1,"",IF(B3327=2,C3326,SES_Alpha*C3326+(1-SES_Alpha)*G3326))</f>
        <v>34.962749343163</v>
      </c>
      <c r="H3327" s="33" t="n">
        <f aca="false">IF(D3327="","",D3327-C3327)</f>
        <v>-5</v>
      </c>
      <c r="I3327" s="33" t="n">
        <f aca="false">IF(E3327="","",E3327-C3327)</f>
        <v>-7</v>
      </c>
      <c r="J3327" s="33" t="n">
        <f aca="false">IF(F3327="","",F3327-C3327)</f>
        <v>-3.75</v>
      </c>
      <c r="K3327" s="33" t="n">
        <f aca="false">IF(G3327="","",G3327-C3327)</f>
        <v>-5.03725065683702</v>
      </c>
      <c r="L3327" s="33" t="n">
        <f aca="false">IF(H3327="","",ABS(H3327))</f>
        <v>5</v>
      </c>
      <c r="M3327" s="33" t="n">
        <f aca="false">IF(I3327="","",ABS(I3327))</f>
        <v>7</v>
      </c>
      <c r="N3327" s="33" t="n">
        <f aca="false">IF(J3327="","",ABS(J3327))</f>
        <v>3.75</v>
      </c>
      <c r="O3327" s="33" t="n">
        <f aca="false">IF(K3327="","",ABS(K3327))</f>
        <v>5.03725065683702</v>
      </c>
      <c r="P3327" s="34" t="str">
        <f aca="false">IF(B3327&gt;=Eval_Start_Week,"YES","")</f>
        <v>YES</v>
      </c>
      <c r="Q3327" s="34" t="str">
        <f aca="false">IF(AND(B3327&gt;=Cal_Start_Week,B3327&lt;=Cal_End_Week),"YES","")</f>
        <v/>
      </c>
    </row>
    <row r="3328" customFormat="false" ht="15" hidden="false" customHeight="false" outlineLevel="0" collapsed="false">
      <c r="A3328" s="31" t="str">
        <f aca="false">Demand_History!C3328</f>
        <v>ELE-003</v>
      </c>
      <c r="B3328" s="31" t="n">
        <f aca="false">Demand_History!A3328</f>
        <v>103</v>
      </c>
      <c r="C3328" s="32" t="n">
        <f aca="false">Demand_History!D3328</f>
        <v>28</v>
      </c>
      <c r="D3328" s="33" t="n">
        <f aca="false">IF(B3328&gt;=2,C3327,"")</f>
        <v>40</v>
      </c>
      <c r="E3328" s="33" t="n">
        <f aca="false">IF(B3328&gt;=5,AVERAGE(C3324:C3327),"")</f>
        <v>35.75</v>
      </c>
      <c r="F3328" s="33" t="n">
        <f aca="false">IF(B3328&gt;=9,AVERAGE(C3320:C3327),"")</f>
        <v>36</v>
      </c>
      <c r="G3328" s="33" t="n">
        <f aca="false">IF(B3328=1,"",IF(B3328=2,C3327,SES_Alpha*C3327+(1-SES_Alpha)*G3327))</f>
        <v>36.4739245402141</v>
      </c>
      <c r="H3328" s="33" t="n">
        <f aca="false">IF(D3328="","",D3328-C3328)</f>
        <v>12</v>
      </c>
      <c r="I3328" s="33" t="n">
        <f aca="false">IF(E3328="","",E3328-C3328)</f>
        <v>7.75</v>
      </c>
      <c r="J3328" s="33" t="n">
        <f aca="false">IF(F3328="","",F3328-C3328)</f>
        <v>8</v>
      </c>
      <c r="K3328" s="33" t="n">
        <f aca="false">IF(G3328="","",G3328-C3328)</f>
        <v>8.47392454021409</v>
      </c>
      <c r="L3328" s="33" t="n">
        <f aca="false">IF(H3328="","",ABS(H3328))</f>
        <v>12</v>
      </c>
      <c r="M3328" s="33" t="n">
        <f aca="false">IF(I3328="","",ABS(I3328))</f>
        <v>7.75</v>
      </c>
      <c r="N3328" s="33" t="n">
        <f aca="false">IF(J3328="","",ABS(J3328))</f>
        <v>8</v>
      </c>
      <c r="O3328" s="33" t="n">
        <f aca="false">IF(K3328="","",ABS(K3328))</f>
        <v>8.47392454021409</v>
      </c>
      <c r="P3328" s="34" t="str">
        <f aca="false">IF(B3328&gt;=Eval_Start_Week,"YES","")</f>
        <v>YES</v>
      </c>
      <c r="Q3328" s="34" t="str">
        <f aca="false">IF(AND(B3328&gt;=Cal_Start_Week,B3328&lt;=Cal_End_Week),"YES","")</f>
        <v/>
      </c>
    </row>
    <row r="3329" customFormat="false" ht="15" hidden="false" customHeight="false" outlineLevel="0" collapsed="false">
      <c r="A3329" s="31" t="str">
        <f aca="false">Demand_History!C3329</f>
        <v>ELE-003</v>
      </c>
      <c r="B3329" s="31" t="n">
        <f aca="false">Demand_History!A3329</f>
        <v>104</v>
      </c>
      <c r="C3329" s="32" t="n">
        <f aca="false">Demand_History!D3329</f>
        <v>43</v>
      </c>
      <c r="D3329" s="33" t="n">
        <f aca="false">IF(B3329&gt;=2,C3328,"")</f>
        <v>28</v>
      </c>
      <c r="E3329" s="33" t="n">
        <f aca="false">IF(B3329&gt;=5,AVERAGE(C3325:C3328),"")</f>
        <v>34.75</v>
      </c>
      <c r="F3329" s="33" t="n">
        <f aca="false">IF(B3329&gt;=9,AVERAGE(C3321:C3328),"")</f>
        <v>35.25</v>
      </c>
      <c r="G3329" s="33" t="n">
        <f aca="false">IF(B3329=1,"",IF(B3329=2,C3328,SES_Alpha*C3328+(1-SES_Alpha)*G3328))</f>
        <v>33.9317471781499</v>
      </c>
      <c r="H3329" s="33" t="n">
        <f aca="false">IF(D3329="","",D3329-C3329)</f>
        <v>-15</v>
      </c>
      <c r="I3329" s="33" t="n">
        <f aca="false">IF(E3329="","",E3329-C3329)</f>
        <v>-8.25</v>
      </c>
      <c r="J3329" s="33" t="n">
        <f aca="false">IF(F3329="","",F3329-C3329)</f>
        <v>-7.75</v>
      </c>
      <c r="K3329" s="33" t="n">
        <f aca="false">IF(G3329="","",G3329-C3329)</f>
        <v>-9.06825282185015</v>
      </c>
      <c r="L3329" s="33" t="n">
        <f aca="false">IF(H3329="","",ABS(H3329))</f>
        <v>15</v>
      </c>
      <c r="M3329" s="33" t="n">
        <f aca="false">IF(I3329="","",ABS(I3329))</f>
        <v>8.25</v>
      </c>
      <c r="N3329" s="33" t="n">
        <f aca="false">IF(J3329="","",ABS(J3329))</f>
        <v>7.75</v>
      </c>
      <c r="O3329" s="33" t="n">
        <f aca="false">IF(K3329="","",ABS(K3329))</f>
        <v>9.06825282185015</v>
      </c>
      <c r="P3329" s="34" t="str">
        <f aca="false">IF(B3329&gt;=Eval_Start_Week,"YES","")</f>
        <v>YES</v>
      </c>
      <c r="Q3329" s="34" t="str">
        <f aca="false">IF(AND(B3329&gt;=Cal_Start_Week,B3329&lt;=Cal_End_Week),"YES","")</f>
        <v/>
      </c>
    </row>
    <row r="3330" customFormat="false" ht="15" hidden="false" customHeight="false" outlineLevel="0" collapsed="false">
      <c r="A3330" s="31" t="str">
        <f aca="false">Demand_History!C3330</f>
        <v>ELE-004</v>
      </c>
      <c r="B3330" s="31" t="n">
        <f aca="false">Demand_History!A3330</f>
        <v>1</v>
      </c>
      <c r="C3330" s="32" t="n">
        <f aca="false">Demand_History!D3330</f>
        <v>65</v>
      </c>
      <c r="D3330" s="33" t="str">
        <f aca="false">IF(B3330&gt;=2,C3329,"")</f>
        <v/>
      </c>
      <c r="E3330" s="33" t="str">
        <f aca="false">IF(B3330&gt;=5,AVERAGE(C3326:C3329),"")</f>
        <v/>
      </c>
      <c r="F3330" s="33" t="str">
        <f aca="false">IF(B3330&gt;=9,AVERAGE(C3322:C3329),"")</f>
        <v/>
      </c>
      <c r="G3330" s="33" t="str">
        <f aca="false">IF(B3330=1,"",IF(B3330=2,C3329,SES_Alpha*C3329+(1-SES_Alpha)*G3329))</f>
        <v/>
      </c>
      <c r="H3330" s="33" t="str">
        <f aca="false">IF(D3330="","",D3330-C3330)</f>
        <v/>
      </c>
      <c r="I3330" s="33" t="str">
        <f aca="false">IF(E3330="","",E3330-C3330)</f>
        <v/>
      </c>
      <c r="J3330" s="33" t="str">
        <f aca="false">IF(F3330="","",F3330-C3330)</f>
        <v/>
      </c>
      <c r="K3330" s="33" t="str">
        <f aca="false">IF(G3330="","",G3330-C3330)</f>
        <v/>
      </c>
      <c r="L3330" s="33" t="str">
        <f aca="false">IF(H3330="","",ABS(H3330))</f>
        <v/>
      </c>
      <c r="M3330" s="33" t="str">
        <f aca="false">IF(I3330="","",ABS(I3330))</f>
        <v/>
      </c>
      <c r="N3330" s="33" t="str">
        <f aca="false">IF(J3330="","",ABS(J3330))</f>
        <v/>
      </c>
      <c r="O3330" s="33" t="str">
        <f aca="false">IF(K3330="","",ABS(K3330))</f>
        <v/>
      </c>
      <c r="P3330" s="34" t="str">
        <f aca="false">IF(B3330&gt;=Eval_Start_Week,"YES","")</f>
        <v/>
      </c>
      <c r="Q3330" s="34" t="str">
        <f aca="false">IF(AND(B3330&gt;=Cal_Start_Week,B3330&lt;=Cal_End_Week),"YES","")</f>
        <v/>
      </c>
    </row>
    <row r="3331" customFormat="false" ht="15" hidden="false" customHeight="false" outlineLevel="0" collapsed="false">
      <c r="A3331" s="31" t="str">
        <f aca="false">Demand_History!C3331</f>
        <v>ELE-004</v>
      </c>
      <c r="B3331" s="31" t="n">
        <f aca="false">Demand_History!A3331</f>
        <v>2</v>
      </c>
      <c r="C3331" s="32" t="n">
        <f aca="false">Demand_History!D3331</f>
        <v>58</v>
      </c>
      <c r="D3331" s="33" t="n">
        <f aca="false">IF(B3331&gt;=2,C3330,"")</f>
        <v>65</v>
      </c>
      <c r="E3331" s="33" t="str">
        <f aca="false">IF(B3331&gt;=5,AVERAGE(C3327:C3330),"")</f>
        <v/>
      </c>
      <c r="F3331" s="33" t="str">
        <f aca="false">IF(B3331&gt;=9,AVERAGE(C3323:C3330),"")</f>
        <v/>
      </c>
      <c r="G3331" s="33" t="n">
        <f aca="false">IF(B3331=1,"",IF(B3331=2,C3330,SES_Alpha*C3330+(1-SES_Alpha)*G3330))</f>
        <v>65</v>
      </c>
      <c r="H3331" s="33" t="n">
        <f aca="false">IF(D3331="","",D3331-C3331)</f>
        <v>7</v>
      </c>
      <c r="I3331" s="33" t="str">
        <f aca="false">IF(E3331="","",E3331-C3331)</f>
        <v/>
      </c>
      <c r="J3331" s="33" t="str">
        <f aca="false">IF(F3331="","",F3331-C3331)</f>
        <v/>
      </c>
      <c r="K3331" s="33" t="n">
        <f aca="false">IF(G3331="","",G3331-C3331)</f>
        <v>7</v>
      </c>
      <c r="L3331" s="33" t="n">
        <f aca="false">IF(H3331="","",ABS(H3331))</f>
        <v>7</v>
      </c>
      <c r="M3331" s="33" t="str">
        <f aca="false">IF(I3331="","",ABS(I3331))</f>
        <v/>
      </c>
      <c r="N3331" s="33" t="str">
        <f aca="false">IF(J3331="","",ABS(J3331))</f>
        <v/>
      </c>
      <c r="O3331" s="33" t="n">
        <f aca="false">IF(K3331="","",ABS(K3331))</f>
        <v>7</v>
      </c>
      <c r="P3331" s="34" t="str">
        <f aca="false">IF(B3331&gt;=Eval_Start_Week,"YES","")</f>
        <v/>
      </c>
      <c r="Q3331" s="34" t="str">
        <f aca="false">IF(AND(B3331&gt;=Cal_Start_Week,B3331&lt;=Cal_End_Week),"YES","")</f>
        <v/>
      </c>
    </row>
    <row r="3332" customFormat="false" ht="15" hidden="false" customHeight="false" outlineLevel="0" collapsed="false">
      <c r="A3332" s="31" t="str">
        <f aca="false">Demand_History!C3332</f>
        <v>ELE-004</v>
      </c>
      <c r="B3332" s="31" t="n">
        <f aca="false">Demand_History!A3332</f>
        <v>3</v>
      </c>
      <c r="C3332" s="32" t="n">
        <f aca="false">Demand_History!D3332</f>
        <v>48</v>
      </c>
      <c r="D3332" s="33" t="n">
        <f aca="false">IF(B3332&gt;=2,C3331,"")</f>
        <v>58</v>
      </c>
      <c r="E3332" s="33" t="str">
        <f aca="false">IF(B3332&gt;=5,AVERAGE(C3328:C3331),"")</f>
        <v/>
      </c>
      <c r="F3332" s="33" t="str">
        <f aca="false">IF(B3332&gt;=9,AVERAGE(C3324:C3331),"")</f>
        <v/>
      </c>
      <c r="G3332" s="33" t="n">
        <f aca="false">IF(B3332=1,"",IF(B3332=2,C3331,SES_Alpha*C3331+(1-SES_Alpha)*G3331))</f>
        <v>62.9</v>
      </c>
      <c r="H3332" s="33" t="n">
        <f aca="false">IF(D3332="","",D3332-C3332)</f>
        <v>10</v>
      </c>
      <c r="I3332" s="33" t="str">
        <f aca="false">IF(E3332="","",E3332-C3332)</f>
        <v/>
      </c>
      <c r="J3332" s="33" t="str">
        <f aca="false">IF(F3332="","",F3332-C3332)</f>
        <v/>
      </c>
      <c r="K3332" s="33" t="n">
        <f aca="false">IF(G3332="","",G3332-C3332)</f>
        <v>14.9</v>
      </c>
      <c r="L3332" s="33" t="n">
        <f aca="false">IF(H3332="","",ABS(H3332))</f>
        <v>10</v>
      </c>
      <c r="M3332" s="33" t="str">
        <f aca="false">IF(I3332="","",ABS(I3332))</f>
        <v/>
      </c>
      <c r="N3332" s="33" t="str">
        <f aca="false">IF(J3332="","",ABS(J3332))</f>
        <v/>
      </c>
      <c r="O3332" s="33" t="n">
        <f aca="false">IF(K3332="","",ABS(K3332))</f>
        <v>14.9</v>
      </c>
      <c r="P3332" s="34" t="str">
        <f aca="false">IF(B3332&gt;=Eval_Start_Week,"YES","")</f>
        <v/>
      </c>
      <c r="Q3332" s="34" t="str">
        <f aca="false">IF(AND(B3332&gt;=Cal_Start_Week,B3332&lt;=Cal_End_Week),"YES","")</f>
        <v/>
      </c>
    </row>
    <row r="3333" customFormat="false" ht="15" hidden="false" customHeight="false" outlineLevel="0" collapsed="false">
      <c r="A3333" s="31" t="str">
        <f aca="false">Demand_History!C3333</f>
        <v>ELE-004</v>
      </c>
      <c r="B3333" s="31" t="n">
        <f aca="false">Demand_History!A3333</f>
        <v>4</v>
      </c>
      <c r="C3333" s="32" t="n">
        <f aca="false">Demand_History!D3333</f>
        <v>61</v>
      </c>
      <c r="D3333" s="33" t="n">
        <f aca="false">IF(B3333&gt;=2,C3332,"")</f>
        <v>48</v>
      </c>
      <c r="E3333" s="33" t="str">
        <f aca="false">IF(B3333&gt;=5,AVERAGE(C3329:C3332),"")</f>
        <v/>
      </c>
      <c r="F3333" s="33" t="str">
        <f aca="false">IF(B3333&gt;=9,AVERAGE(C3325:C3332),"")</f>
        <v/>
      </c>
      <c r="G3333" s="33" t="n">
        <f aca="false">IF(B3333=1,"",IF(B3333=2,C3332,SES_Alpha*C3332+(1-SES_Alpha)*G3332))</f>
        <v>58.43</v>
      </c>
      <c r="H3333" s="33" t="n">
        <f aca="false">IF(D3333="","",D3333-C3333)</f>
        <v>-13</v>
      </c>
      <c r="I3333" s="33" t="str">
        <f aca="false">IF(E3333="","",E3333-C3333)</f>
        <v/>
      </c>
      <c r="J3333" s="33" t="str">
        <f aca="false">IF(F3333="","",F3333-C3333)</f>
        <v/>
      </c>
      <c r="K3333" s="33" t="n">
        <f aca="false">IF(G3333="","",G3333-C3333)</f>
        <v>-2.57000000000001</v>
      </c>
      <c r="L3333" s="33" t="n">
        <f aca="false">IF(H3333="","",ABS(H3333))</f>
        <v>13</v>
      </c>
      <c r="M3333" s="33" t="str">
        <f aca="false">IF(I3333="","",ABS(I3333))</f>
        <v/>
      </c>
      <c r="N3333" s="33" t="str">
        <f aca="false">IF(J3333="","",ABS(J3333))</f>
        <v/>
      </c>
      <c r="O3333" s="33" t="n">
        <f aca="false">IF(K3333="","",ABS(K3333))</f>
        <v>2.57000000000001</v>
      </c>
      <c r="P3333" s="34" t="str">
        <f aca="false">IF(B3333&gt;=Eval_Start_Week,"YES","")</f>
        <v/>
      </c>
      <c r="Q3333" s="34" t="str">
        <f aca="false">IF(AND(B3333&gt;=Cal_Start_Week,B3333&lt;=Cal_End_Week),"YES","")</f>
        <v/>
      </c>
    </row>
    <row r="3334" customFormat="false" ht="15" hidden="false" customHeight="false" outlineLevel="0" collapsed="false">
      <c r="A3334" s="31" t="str">
        <f aca="false">Demand_History!C3334</f>
        <v>ELE-004</v>
      </c>
      <c r="B3334" s="31" t="n">
        <f aca="false">Demand_History!A3334</f>
        <v>5</v>
      </c>
      <c r="C3334" s="32" t="n">
        <f aca="false">Demand_History!D3334</f>
        <v>57</v>
      </c>
      <c r="D3334" s="33" t="n">
        <f aca="false">IF(B3334&gt;=2,C3333,"")</f>
        <v>61</v>
      </c>
      <c r="E3334" s="33" t="n">
        <f aca="false">IF(B3334&gt;=5,AVERAGE(C3330:C3333),"")</f>
        <v>58</v>
      </c>
      <c r="F3334" s="33" t="str">
        <f aca="false">IF(B3334&gt;=9,AVERAGE(C3326:C3333),"")</f>
        <v/>
      </c>
      <c r="G3334" s="33" t="n">
        <f aca="false">IF(B3334=1,"",IF(B3334=2,C3333,SES_Alpha*C3333+(1-SES_Alpha)*G3333))</f>
        <v>59.201</v>
      </c>
      <c r="H3334" s="33" t="n">
        <f aca="false">IF(D3334="","",D3334-C3334)</f>
        <v>4</v>
      </c>
      <c r="I3334" s="33" t="n">
        <f aca="false">IF(E3334="","",E3334-C3334)</f>
        <v>1</v>
      </c>
      <c r="J3334" s="33" t="str">
        <f aca="false">IF(F3334="","",F3334-C3334)</f>
        <v/>
      </c>
      <c r="K3334" s="33" t="n">
        <f aca="false">IF(G3334="","",G3334-C3334)</f>
        <v>2.20099999999999</v>
      </c>
      <c r="L3334" s="33" t="n">
        <f aca="false">IF(H3334="","",ABS(H3334))</f>
        <v>4</v>
      </c>
      <c r="M3334" s="33" t="n">
        <f aca="false">IF(I3334="","",ABS(I3334))</f>
        <v>1</v>
      </c>
      <c r="N3334" s="33" t="str">
        <f aca="false">IF(J3334="","",ABS(J3334))</f>
        <v/>
      </c>
      <c r="O3334" s="33" t="n">
        <f aca="false">IF(K3334="","",ABS(K3334))</f>
        <v>2.20099999999999</v>
      </c>
      <c r="P3334" s="34" t="str">
        <f aca="false">IF(B3334&gt;=Eval_Start_Week,"YES","")</f>
        <v/>
      </c>
      <c r="Q3334" s="34" t="str">
        <f aca="false">IF(AND(B3334&gt;=Cal_Start_Week,B3334&lt;=Cal_End_Week),"YES","")</f>
        <v/>
      </c>
    </row>
    <row r="3335" customFormat="false" ht="15" hidden="false" customHeight="false" outlineLevel="0" collapsed="false">
      <c r="A3335" s="31" t="str">
        <f aca="false">Demand_History!C3335</f>
        <v>ELE-004</v>
      </c>
      <c r="B3335" s="31" t="n">
        <f aca="false">Demand_History!A3335</f>
        <v>6</v>
      </c>
      <c r="C3335" s="32" t="n">
        <f aca="false">Demand_History!D3335</f>
        <v>67</v>
      </c>
      <c r="D3335" s="33" t="n">
        <f aca="false">IF(B3335&gt;=2,C3334,"")</f>
        <v>57</v>
      </c>
      <c r="E3335" s="33" t="n">
        <f aca="false">IF(B3335&gt;=5,AVERAGE(C3331:C3334),"")</f>
        <v>56</v>
      </c>
      <c r="F3335" s="33" t="str">
        <f aca="false">IF(B3335&gt;=9,AVERAGE(C3327:C3334),"")</f>
        <v/>
      </c>
      <c r="G3335" s="33" t="n">
        <f aca="false">IF(B3335=1,"",IF(B3335=2,C3334,SES_Alpha*C3334+(1-SES_Alpha)*G3334))</f>
        <v>58.5407</v>
      </c>
      <c r="H3335" s="33" t="n">
        <f aca="false">IF(D3335="","",D3335-C3335)</f>
        <v>-10</v>
      </c>
      <c r="I3335" s="33" t="n">
        <f aca="false">IF(E3335="","",E3335-C3335)</f>
        <v>-11</v>
      </c>
      <c r="J3335" s="33" t="str">
        <f aca="false">IF(F3335="","",F3335-C3335)</f>
        <v/>
      </c>
      <c r="K3335" s="33" t="n">
        <f aca="false">IF(G3335="","",G3335-C3335)</f>
        <v>-8.45930000000001</v>
      </c>
      <c r="L3335" s="33" t="n">
        <f aca="false">IF(H3335="","",ABS(H3335))</f>
        <v>10</v>
      </c>
      <c r="M3335" s="33" t="n">
        <f aca="false">IF(I3335="","",ABS(I3335))</f>
        <v>11</v>
      </c>
      <c r="N3335" s="33" t="str">
        <f aca="false">IF(J3335="","",ABS(J3335))</f>
        <v/>
      </c>
      <c r="O3335" s="33" t="n">
        <f aca="false">IF(K3335="","",ABS(K3335))</f>
        <v>8.45930000000001</v>
      </c>
      <c r="P3335" s="34" t="str">
        <f aca="false">IF(B3335&gt;=Eval_Start_Week,"YES","")</f>
        <v/>
      </c>
      <c r="Q3335" s="34" t="str">
        <f aca="false">IF(AND(B3335&gt;=Cal_Start_Week,B3335&lt;=Cal_End_Week),"YES","")</f>
        <v/>
      </c>
    </row>
    <row r="3336" customFormat="false" ht="15" hidden="false" customHeight="false" outlineLevel="0" collapsed="false">
      <c r="A3336" s="31" t="str">
        <f aca="false">Demand_History!C3336</f>
        <v>ELE-004</v>
      </c>
      <c r="B3336" s="31" t="n">
        <f aca="false">Demand_History!A3336</f>
        <v>7</v>
      </c>
      <c r="C3336" s="32" t="n">
        <f aca="false">Demand_History!D3336</f>
        <v>62</v>
      </c>
      <c r="D3336" s="33" t="n">
        <f aca="false">IF(B3336&gt;=2,C3335,"")</f>
        <v>67</v>
      </c>
      <c r="E3336" s="33" t="n">
        <f aca="false">IF(B3336&gt;=5,AVERAGE(C3332:C3335),"")</f>
        <v>58.25</v>
      </c>
      <c r="F3336" s="33" t="str">
        <f aca="false">IF(B3336&gt;=9,AVERAGE(C3328:C3335),"")</f>
        <v/>
      </c>
      <c r="G3336" s="33" t="n">
        <f aca="false">IF(B3336=1,"",IF(B3336=2,C3335,SES_Alpha*C3335+(1-SES_Alpha)*G3335))</f>
        <v>61.07849</v>
      </c>
      <c r="H3336" s="33" t="n">
        <f aca="false">IF(D3336="","",D3336-C3336)</f>
        <v>5</v>
      </c>
      <c r="I3336" s="33" t="n">
        <f aca="false">IF(E3336="","",E3336-C3336)</f>
        <v>-3.75</v>
      </c>
      <c r="J3336" s="33" t="str">
        <f aca="false">IF(F3336="","",F3336-C3336)</f>
        <v/>
      </c>
      <c r="K3336" s="33" t="n">
        <f aca="false">IF(G3336="","",G3336-C3336)</f>
        <v>-0.921510000000012</v>
      </c>
      <c r="L3336" s="33" t="n">
        <f aca="false">IF(H3336="","",ABS(H3336))</f>
        <v>5</v>
      </c>
      <c r="M3336" s="33" t="n">
        <f aca="false">IF(I3336="","",ABS(I3336))</f>
        <v>3.75</v>
      </c>
      <c r="N3336" s="33" t="str">
        <f aca="false">IF(J3336="","",ABS(J3336))</f>
        <v/>
      </c>
      <c r="O3336" s="33" t="n">
        <f aca="false">IF(K3336="","",ABS(K3336))</f>
        <v>0.921510000000012</v>
      </c>
      <c r="P3336" s="34" t="str">
        <f aca="false">IF(B3336&gt;=Eval_Start_Week,"YES","")</f>
        <v/>
      </c>
      <c r="Q3336" s="34" t="str">
        <f aca="false">IF(AND(B3336&gt;=Cal_Start_Week,B3336&lt;=Cal_End_Week),"YES","")</f>
        <v/>
      </c>
    </row>
    <row r="3337" customFormat="false" ht="15" hidden="false" customHeight="false" outlineLevel="0" collapsed="false">
      <c r="A3337" s="31" t="str">
        <f aca="false">Demand_History!C3337</f>
        <v>ELE-004</v>
      </c>
      <c r="B3337" s="31" t="n">
        <f aca="false">Demand_History!A3337</f>
        <v>8</v>
      </c>
      <c r="C3337" s="32" t="n">
        <f aca="false">Demand_History!D3337</f>
        <v>70</v>
      </c>
      <c r="D3337" s="33" t="n">
        <f aca="false">IF(B3337&gt;=2,C3336,"")</f>
        <v>62</v>
      </c>
      <c r="E3337" s="33" t="n">
        <f aca="false">IF(B3337&gt;=5,AVERAGE(C3333:C3336),"")</f>
        <v>61.75</v>
      </c>
      <c r="F3337" s="33" t="str">
        <f aca="false">IF(B3337&gt;=9,AVERAGE(C3329:C3336),"")</f>
        <v/>
      </c>
      <c r="G3337" s="33" t="n">
        <f aca="false">IF(B3337=1,"",IF(B3337=2,C3336,SES_Alpha*C3336+(1-SES_Alpha)*G3336))</f>
        <v>61.354943</v>
      </c>
      <c r="H3337" s="33" t="n">
        <f aca="false">IF(D3337="","",D3337-C3337)</f>
        <v>-8</v>
      </c>
      <c r="I3337" s="33" t="n">
        <f aca="false">IF(E3337="","",E3337-C3337)</f>
        <v>-8.25</v>
      </c>
      <c r="J3337" s="33" t="str">
        <f aca="false">IF(F3337="","",F3337-C3337)</f>
        <v/>
      </c>
      <c r="K3337" s="33" t="n">
        <f aca="false">IF(G3337="","",G3337-C3337)</f>
        <v>-8.64505700000001</v>
      </c>
      <c r="L3337" s="33" t="n">
        <f aca="false">IF(H3337="","",ABS(H3337))</f>
        <v>8</v>
      </c>
      <c r="M3337" s="33" t="n">
        <f aca="false">IF(I3337="","",ABS(I3337))</f>
        <v>8.25</v>
      </c>
      <c r="N3337" s="33" t="str">
        <f aca="false">IF(J3337="","",ABS(J3337))</f>
        <v/>
      </c>
      <c r="O3337" s="33" t="n">
        <f aca="false">IF(K3337="","",ABS(K3337))</f>
        <v>8.64505700000001</v>
      </c>
      <c r="P3337" s="34" t="str">
        <f aca="false">IF(B3337&gt;=Eval_Start_Week,"YES","")</f>
        <v/>
      </c>
      <c r="Q3337" s="34" t="str">
        <f aca="false">IF(AND(B3337&gt;=Cal_Start_Week,B3337&lt;=Cal_End_Week),"YES","")</f>
        <v/>
      </c>
    </row>
    <row r="3338" customFormat="false" ht="15" hidden="false" customHeight="false" outlineLevel="0" collapsed="false">
      <c r="A3338" s="31" t="str">
        <f aca="false">Demand_History!C3338</f>
        <v>ELE-004</v>
      </c>
      <c r="B3338" s="31" t="n">
        <f aca="false">Demand_History!A3338</f>
        <v>9</v>
      </c>
      <c r="C3338" s="32" t="n">
        <f aca="false">Demand_History!D3338</f>
        <v>60</v>
      </c>
      <c r="D3338" s="33" t="n">
        <f aca="false">IF(B3338&gt;=2,C3337,"")</f>
        <v>70</v>
      </c>
      <c r="E3338" s="33" t="n">
        <f aca="false">IF(B3338&gt;=5,AVERAGE(C3334:C3337),"")</f>
        <v>64</v>
      </c>
      <c r="F3338" s="33" t="n">
        <f aca="false">IF(B3338&gt;=9,AVERAGE(C3330:C3337),"")</f>
        <v>61</v>
      </c>
      <c r="G3338" s="33" t="n">
        <f aca="false">IF(B3338=1,"",IF(B3338=2,C3337,SES_Alpha*C3337+(1-SES_Alpha)*G3337))</f>
        <v>63.9484601</v>
      </c>
      <c r="H3338" s="33" t="n">
        <f aca="false">IF(D3338="","",D3338-C3338)</f>
        <v>10</v>
      </c>
      <c r="I3338" s="33" t="n">
        <f aca="false">IF(E3338="","",E3338-C3338)</f>
        <v>4</v>
      </c>
      <c r="J3338" s="33" t="n">
        <f aca="false">IF(F3338="","",F3338-C3338)</f>
        <v>1</v>
      </c>
      <c r="K3338" s="33" t="n">
        <f aca="false">IF(G3338="","",G3338-C3338)</f>
        <v>3.94846009999999</v>
      </c>
      <c r="L3338" s="33" t="n">
        <f aca="false">IF(H3338="","",ABS(H3338))</f>
        <v>10</v>
      </c>
      <c r="M3338" s="33" t="n">
        <f aca="false">IF(I3338="","",ABS(I3338))</f>
        <v>4</v>
      </c>
      <c r="N3338" s="33" t="n">
        <f aca="false">IF(J3338="","",ABS(J3338))</f>
        <v>1</v>
      </c>
      <c r="O3338" s="33" t="n">
        <f aca="false">IF(K3338="","",ABS(K3338))</f>
        <v>3.94846009999999</v>
      </c>
      <c r="P3338" s="34" t="str">
        <f aca="false">IF(B3338&gt;=Eval_Start_Week,"YES","")</f>
        <v/>
      </c>
      <c r="Q3338" s="34" t="str">
        <f aca="false">IF(AND(B3338&gt;=Cal_Start_Week,B3338&lt;=Cal_End_Week),"YES","")</f>
        <v/>
      </c>
    </row>
    <row r="3339" customFormat="false" ht="15" hidden="false" customHeight="false" outlineLevel="0" collapsed="false">
      <c r="A3339" s="31" t="str">
        <f aca="false">Demand_History!C3339</f>
        <v>ELE-004</v>
      </c>
      <c r="B3339" s="31" t="n">
        <f aca="false">Demand_History!A3339</f>
        <v>10</v>
      </c>
      <c r="C3339" s="32" t="n">
        <f aca="false">Demand_History!D3339</f>
        <v>77</v>
      </c>
      <c r="D3339" s="33" t="n">
        <f aca="false">IF(B3339&gt;=2,C3338,"")</f>
        <v>60</v>
      </c>
      <c r="E3339" s="33" t="n">
        <f aca="false">IF(B3339&gt;=5,AVERAGE(C3335:C3338),"")</f>
        <v>64.75</v>
      </c>
      <c r="F3339" s="33" t="n">
        <f aca="false">IF(B3339&gt;=9,AVERAGE(C3331:C3338),"")</f>
        <v>60.375</v>
      </c>
      <c r="G3339" s="33" t="n">
        <f aca="false">IF(B3339=1,"",IF(B3339=2,C3338,SES_Alpha*C3338+(1-SES_Alpha)*G3338))</f>
        <v>62.76392207</v>
      </c>
      <c r="H3339" s="33" t="n">
        <f aca="false">IF(D3339="","",D3339-C3339)</f>
        <v>-17</v>
      </c>
      <c r="I3339" s="33" t="n">
        <f aca="false">IF(E3339="","",E3339-C3339)</f>
        <v>-12.25</v>
      </c>
      <c r="J3339" s="33" t="n">
        <f aca="false">IF(F3339="","",F3339-C3339)</f>
        <v>-16.625</v>
      </c>
      <c r="K3339" s="33" t="n">
        <f aca="false">IF(G3339="","",G3339-C3339)</f>
        <v>-14.23607793</v>
      </c>
      <c r="L3339" s="33" t="n">
        <f aca="false">IF(H3339="","",ABS(H3339))</f>
        <v>17</v>
      </c>
      <c r="M3339" s="33" t="n">
        <f aca="false">IF(I3339="","",ABS(I3339))</f>
        <v>12.25</v>
      </c>
      <c r="N3339" s="33" t="n">
        <f aca="false">IF(J3339="","",ABS(J3339))</f>
        <v>16.625</v>
      </c>
      <c r="O3339" s="33" t="n">
        <f aca="false">IF(K3339="","",ABS(K3339))</f>
        <v>14.23607793</v>
      </c>
      <c r="P3339" s="34" t="str">
        <f aca="false">IF(B3339&gt;=Eval_Start_Week,"YES","")</f>
        <v/>
      </c>
      <c r="Q3339" s="34" t="str">
        <f aca="false">IF(AND(B3339&gt;=Cal_Start_Week,B3339&lt;=Cal_End_Week),"YES","")</f>
        <v/>
      </c>
    </row>
    <row r="3340" customFormat="false" ht="15" hidden="false" customHeight="false" outlineLevel="0" collapsed="false">
      <c r="A3340" s="31" t="str">
        <f aca="false">Demand_History!C3340</f>
        <v>ELE-004</v>
      </c>
      <c r="B3340" s="31" t="n">
        <f aca="false">Demand_History!A3340</f>
        <v>11</v>
      </c>
      <c r="C3340" s="32" t="n">
        <f aca="false">Demand_History!D3340</f>
        <v>44</v>
      </c>
      <c r="D3340" s="33" t="n">
        <f aca="false">IF(B3340&gt;=2,C3339,"")</f>
        <v>77</v>
      </c>
      <c r="E3340" s="33" t="n">
        <f aca="false">IF(B3340&gt;=5,AVERAGE(C3336:C3339),"")</f>
        <v>67.25</v>
      </c>
      <c r="F3340" s="33" t="n">
        <f aca="false">IF(B3340&gt;=9,AVERAGE(C3332:C3339),"")</f>
        <v>62.75</v>
      </c>
      <c r="G3340" s="33" t="n">
        <f aca="false">IF(B3340=1,"",IF(B3340=2,C3339,SES_Alpha*C3339+(1-SES_Alpha)*G3339))</f>
        <v>67.034745449</v>
      </c>
      <c r="H3340" s="33" t="n">
        <f aca="false">IF(D3340="","",D3340-C3340)</f>
        <v>33</v>
      </c>
      <c r="I3340" s="33" t="n">
        <f aca="false">IF(E3340="","",E3340-C3340)</f>
        <v>23.25</v>
      </c>
      <c r="J3340" s="33" t="n">
        <f aca="false">IF(F3340="","",F3340-C3340)</f>
        <v>18.75</v>
      </c>
      <c r="K3340" s="33" t="n">
        <f aca="false">IF(G3340="","",G3340-C3340)</f>
        <v>23.034745449</v>
      </c>
      <c r="L3340" s="33" t="n">
        <f aca="false">IF(H3340="","",ABS(H3340))</f>
        <v>33</v>
      </c>
      <c r="M3340" s="33" t="n">
        <f aca="false">IF(I3340="","",ABS(I3340))</f>
        <v>23.25</v>
      </c>
      <c r="N3340" s="33" t="n">
        <f aca="false">IF(J3340="","",ABS(J3340))</f>
        <v>18.75</v>
      </c>
      <c r="O3340" s="33" t="n">
        <f aca="false">IF(K3340="","",ABS(K3340))</f>
        <v>23.034745449</v>
      </c>
      <c r="P3340" s="34" t="str">
        <f aca="false">IF(B3340&gt;=Eval_Start_Week,"YES","")</f>
        <v/>
      </c>
      <c r="Q3340" s="34" t="str">
        <f aca="false">IF(AND(B3340&gt;=Cal_Start_Week,B3340&lt;=Cal_End_Week),"YES","")</f>
        <v/>
      </c>
    </row>
    <row r="3341" customFormat="false" ht="15" hidden="false" customHeight="false" outlineLevel="0" collapsed="false">
      <c r="A3341" s="31" t="str">
        <f aca="false">Demand_History!C3341</f>
        <v>ELE-004</v>
      </c>
      <c r="B3341" s="31" t="n">
        <f aca="false">Demand_History!A3341</f>
        <v>12</v>
      </c>
      <c r="C3341" s="32" t="n">
        <f aca="false">Demand_History!D3341</f>
        <v>56</v>
      </c>
      <c r="D3341" s="33" t="n">
        <f aca="false">IF(B3341&gt;=2,C3340,"")</f>
        <v>44</v>
      </c>
      <c r="E3341" s="33" t="n">
        <f aca="false">IF(B3341&gt;=5,AVERAGE(C3337:C3340),"")</f>
        <v>62.75</v>
      </c>
      <c r="F3341" s="33" t="n">
        <f aca="false">IF(B3341&gt;=9,AVERAGE(C3333:C3340),"")</f>
        <v>62.25</v>
      </c>
      <c r="G3341" s="33" t="n">
        <f aca="false">IF(B3341=1,"",IF(B3341=2,C3340,SES_Alpha*C3340+(1-SES_Alpha)*G3340))</f>
        <v>60.1243218143</v>
      </c>
      <c r="H3341" s="33" t="n">
        <f aca="false">IF(D3341="","",D3341-C3341)</f>
        <v>-12</v>
      </c>
      <c r="I3341" s="33" t="n">
        <f aca="false">IF(E3341="","",E3341-C3341)</f>
        <v>6.75</v>
      </c>
      <c r="J3341" s="33" t="n">
        <f aca="false">IF(F3341="","",F3341-C3341)</f>
        <v>6.25</v>
      </c>
      <c r="K3341" s="33" t="n">
        <f aca="false">IF(G3341="","",G3341-C3341)</f>
        <v>4.12432181429999</v>
      </c>
      <c r="L3341" s="33" t="n">
        <f aca="false">IF(H3341="","",ABS(H3341))</f>
        <v>12</v>
      </c>
      <c r="M3341" s="33" t="n">
        <f aca="false">IF(I3341="","",ABS(I3341))</f>
        <v>6.75</v>
      </c>
      <c r="N3341" s="33" t="n">
        <f aca="false">IF(J3341="","",ABS(J3341))</f>
        <v>6.25</v>
      </c>
      <c r="O3341" s="33" t="n">
        <f aca="false">IF(K3341="","",ABS(K3341))</f>
        <v>4.12432181429999</v>
      </c>
      <c r="P3341" s="34" t="str">
        <f aca="false">IF(B3341&gt;=Eval_Start_Week,"YES","")</f>
        <v/>
      </c>
      <c r="Q3341" s="34" t="str">
        <f aca="false">IF(AND(B3341&gt;=Cal_Start_Week,B3341&lt;=Cal_End_Week),"YES","")</f>
        <v/>
      </c>
    </row>
    <row r="3342" customFormat="false" ht="15" hidden="false" customHeight="false" outlineLevel="0" collapsed="false">
      <c r="A3342" s="31" t="str">
        <f aca="false">Demand_History!C3342</f>
        <v>ELE-004</v>
      </c>
      <c r="B3342" s="31" t="n">
        <f aca="false">Demand_History!A3342</f>
        <v>13</v>
      </c>
      <c r="C3342" s="32" t="n">
        <f aca="false">Demand_History!D3342</f>
        <v>71</v>
      </c>
      <c r="D3342" s="33" t="n">
        <f aca="false">IF(B3342&gt;=2,C3341,"")</f>
        <v>56</v>
      </c>
      <c r="E3342" s="33" t="n">
        <f aca="false">IF(B3342&gt;=5,AVERAGE(C3338:C3341),"")</f>
        <v>59.25</v>
      </c>
      <c r="F3342" s="33" t="n">
        <f aca="false">IF(B3342&gt;=9,AVERAGE(C3334:C3341),"")</f>
        <v>61.625</v>
      </c>
      <c r="G3342" s="33" t="n">
        <f aca="false">IF(B3342=1,"",IF(B3342=2,C3341,SES_Alpha*C3341+(1-SES_Alpha)*G3341))</f>
        <v>58.88702527001</v>
      </c>
      <c r="H3342" s="33" t="n">
        <f aca="false">IF(D3342="","",D3342-C3342)</f>
        <v>-15</v>
      </c>
      <c r="I3342" s="33" t="n">
        <f aca="false">IF(E3342="","",E3342-C3342)</f>
        <v>-11.75</v>
      </c>
      <c r="J3342" s="33" t="n">
        <f aca="false">IF(F3342="","",F3342-C3342)</f>
        <v>-9.375</v>
      </c>
      <c r="K3342" s="33" t="n">
        <f aca="false">IF(G3342="","",G3342-C3342)</f>
        <v>-12.11297472999</v>
      </c>
      <c r="L3342" s="33" t="n">
        <f aca="false">IF(H3342="","",ABS(H3342))</f>
        <v>15</v>
      </c>
      <c r="M3342" s="33" t="n">
        <f aca="false">IF(I3342="","",ABS(I3342))</f>
        <v>11.75</v>
      </c>
      <c r="N3342" s="33" t="n">
        <f aca="false">IF(J3342="","",ABS(J3342))</f>
        <v>9.375</v>
      </c>
      <c r="O3342" s="33" t="n">
        <f aca="false">IF(K3342="","",ABS(K3342))</f>
        <v>12.11297472999</v>
      </c>
      <c r="P3342" s="34" t="str">
        <f aca="false">IF(B3342&gt;=Eval_Start_Week,"YES","")</f>
        <v/>
      </c>
      <c r="Q3342" s="34" t="str">
        <f aca="false">IF(AND(B3342&gt;=Cal_Start_Week,B3342&lt;=Cal_End_Week),"YES","")</f>
        <v/>
      </c>
    </row>
    <row r="3343" customFormat="false" ht="15" hidden="false" customHeight="false" outlineLevel="0" collapsed="false">
      <c r="A3343" s="31" t="str">
        <f aca="false">Demand_History!C3343</f>
        <v>ELE-004</v>
      </c>
      <c r="B3343" s="31" t="n">
        <f aca="false">Demand_History!A3343</f>
        <v>14</v>
      </c>
      <c r="C3343" s="32" t="n">
        <f aca="false">Demand_History!D3343</f>
        <v>53</v>
      </c>
      <c r="D3343" s="33" t="n">
        <f aca="false">IF(B3343&gt;=2,C3342,"")</f>
        <v>71</v>
      </c>
      <c r="E3343" s="33" t="n">
        <f aca="false">IF(B3343&gt;=5,AVERAGE(C3339:C3342),"")</f>
        <v>62</v>
      </c>
      <c r="F3343" s="33" t="n">
        <f aca="false">IF(B3343&gt;=9,AVERAGE(C3335:C3342),"")</f>
        <v>63.375</v>
      </c>
      <c r="G3343" s="33" t="n">
        <f aca="false">IF(B3343=1,"",IF(B3343=2,C3342,SES_Alpha*C3342+(1-SES_Alpha)*G3342))</f>
        <v>62.520917689007</v>
      </c>
      <c r="H3343" s="33" t="n">
        <f aca="false">IF(D3343="","",D3343-C3343)</f>
        <v>18</v>
      </c>
      <c r="I3343" s="33" t="n">
        <f aca="false">IF(E3343="","",E3343-C3343)</f>
        <v>9</v>
      </c>
      <c r="J3343" s="33" t="n">
        <f aca="false">IF(F3343="","",F3343-C3343)</f>
        <v>10.375</v>
      </c>
      <c r="K3343" s="33" t="n">
        <f aca="false">IF(G3343="","",G3343-C3343)</f>
        <v>9.52091768900699</v>
      </c>
      <c r="L3343" s="33" t="n">
        <f aca="false">IF(H3343="","",ABS(H3343))</f>
        <v>18</v>
      </c>
      <c r="M3343" s="33" t="n">
        <f aca="false">IF(I3343="","",ABS(I3343))</f>
        <v>9</v>
      </c>
      <c r="N3343" s="33" t="n">
        <f aca="false">IF(J3343="","",ABS(J3343))</f>
        <v>10.375</v>
      </c>
      <c r="O3343" s="33" t="n">
        <f aca="false">IF(K3343="","",ABS(K3343))</f>
        <v>9.52091768900699</v>
      </c>
      <c r="P3343" s="34" t="str">
        <f aca="false">IF(B3343&gt;=Eval_Start_Week,"YES","")</f>
        <v/>
      </c>
      <c r="Q3343" s="34" t="str">
        <f aca="false">IF(AND(B3343&gt;=Cal_Start_Week,B3343&lt;=Cal_End_Week),"YES","")</f>
        <v/>
      </c>
    </row>
    <row r="3344" customFormat="false" ht="15" hidden="false" customHeight="false" outlineLevel="0" collapsed="false">
      <c r="A3344" s="31" t="str">
        <f aca="false">Demand_History!C3344</f>
        <v>ELE-004</v>
      </c>
      <c r="B3344" s="31" t="n">
        <f aca="false">Demand_History!A3344</f>
        <v>15</v>
      </c>
      <c r="C3344" s="32" t="n">
        <f aca="false">Demand_History!D3344</f>
        <v>75</v>
      </c>
      <c r="D3344" s="33" t="n">
        <f aca="false">IF(B3344&gt;=2,C3343,"")</f>
        <v>53</v>
      </c>
      <c r="E3344" s="33" t="n">
        <f aca="false">IF(B3344&gt;=5,AVERAGE(C3340:C3343),"")</f>
        <v>56</v>
      </c>
      <c r="F3344" s="33" t="n">
        <f aca="false">IF(B3344&gt;=9,AVERAGE(C3336:C3343),"")</f>
        <v>61.625</v>
      </c>
      <c r="G3344" s="33" t="n">
        <f aca="false">IF(B3344=1,"",IF(B3344=2,C3343,SES_Alpha*C3343+(1-SES_Alpha)*G3343))</f>
        <v>59.6646423823049</v>
      </c>
      <c r="H3344" s="33" t="n">
        <f aca="false">IF(D3344="","",D3344-C3344)</f>
        <v>-22</v>
      </c>
      <c r="I3344" s="33" t="n">
        <f aca="false">IF(E3344="","",E3344-C3344)</f>
        <v>-19</v>
      </c>
      <c r="J3344" s="33" t="n">
        <f aca="false">IF(F3344="","",F3344-C3344)</f>
        <v>-13.375</v>
      </c>
      <c r="K3344" s="33" t="n">
        <f aca="false">IF(G3344="","",G3344-C3344)</f>
        <v>-15.3353576176951</v>
      </c>
      <c r="L3344" s="33" t="n">
        <f aca="false">IF(H3344="","",ABS(H3344))</f>
        <v>22</v>
      </c>
      <c r="M3344" s="33" t="n">
        <f aca="false">IF(I3344="","",ABS(I3344))</f>
        <v>19</v>
      </c>
      <c r="N3344" s="33" t="n">
        <f aca="false">IF(J3344="","",ABS(J3344))</f>
        <v>13.375</v>
      </c>
      <c r="O3344" s="33" t="n">
        <f aca="false">IF(K3344="","",ABS(K3344))</f>
        <v>15.3353576176951</v>
      </c>
      <c r="P3344" s="34" t="str">
        <f aca="false">IF(B3344&gt;=Eval_Start_Week,"YES","")</f>
        <v/>
      </c>
      <c r="Q3344" s="34" t="str">
        <f aca="false">IF(AND(B3344&gt;=Cal_Start_Week,B3344&lt;=Cal_End_Week),"YES","")</f>
        <v/>
      </c>
    </row>
    <row r="3345" customFormat="false" ht="15" hidden="false" customHeight="false" outlineLevel="0" collapsed="false">
      <c r="A3345" s="31" t="str">
        <f aca="false">Demand_History!C3345</f>
        <v>ELE-004</v>
      </c>
      <c r="B3345" s="31" t="n">
        <f aca="false">Demand_History!A3345</f>
        <v>16</v>
      </c>
      <c r="C3345" s="32" t="n">
        <f aca="false">Demand_History!D3345</f>
        <v>57</v>
      </c>
      <c r="D3345" s="33" t="n">
        <f aca="false">IF(B3345&gt;=2,C3344,"")</f>
        <v>75</v>
      </c>
      <c r="E3345" s="33" t="n">
        <f aca="false">IF(B3345&gt;=5,AVERAGE(C3341:C3344),"")</f>
        <v>63.75</v>
      </c>
      <c r="F3345" s="33" t="n">
        <f aca="false">IF(B3345&gt;=9,AVERAGE(C3337:C3344),"")</f>
        <v>63.25</v>
      </c>
      <c r="G3345" s="33" t="n">
        <f aca="false">IF(B3345=1,"",IF(B3345=2,C3344,SES_Alpha*C3344+(1-SES_Alpha)*G3344))</f>
        <v>64.2652496676134</v>
      </c>
      <c r="H3345" s="33" t="n">
        <f aca="false">IF(D3345="","",D3345-C3345)</f>
        <v>18</v>
      </c>
      <c r="I3345" s="33" t="n">
        <f aca="false">IF(E3345="","",E3345-C3345)</f>
        <v>6.75</v>
      </c>
      <c r="J3345" s="33" t="n">
        <f aca="false">IF(F3345="","",F3345-C3345)</f>
        <v>6.25</v>
      </c>
      <c r="K3345" s="33" t="n">
        <f aca="false">IF(G3345="","",G3345-C3345)</f>
        <v>7.26524966761342</v>
      </c>
      <c r="L3345" s="33" t="n">
        <f aca="false">IF(H3345="","",ABS(H3345))</f>
        <v>18</v>
      </c>
      <c r="M3345" s="33" t="n">
        <f aca="false">IF(I3345="","",ABS(I3345))</f>
        <v>6.75</v>
      </c>
      <c r="N3345" s="33" t="n">
        <f aca="false">IF(J3345="","",ABS(J3345))</f>
        <v>6.25</v>
      </c>
      <c r="O3345" s="33" t="n">
        <f aca="false">IF(K3345="","",ABS(K3345))</f>
        <v>7.26524966761342</v>
      </c>
      <c r="P3345" s="34" t="str">
        <f aca="false">IF(B3345&gt;=Eval_Start_Week,"YES","")</f>
        <v/>
      </c>
      <c r="Q3345" s="34" t="str">
        <f aca="false">IF(AND(B3345&gt;=Cal_Start_Week,B3345&lt;=Cal_End_Week),"YES","")</f>
        <v/>
      </c>
    </row>
    <row r="3346" customFormat="false" ht="15" hidden="false" customHeight="false" outlineLevel="0" collapsed="false">
      <c r="A3346" s="31" t="str">
        <f aca="false">Demand_History!C3346</f>
        <v>ELE-004</v>
      </c>
      <c r="B3346" s="31" t="n">
        <f aca="false">Demand_History!A3346</f>
        <v>17</v>
      </c>
      <c r="C3346" s="32" t="n">
        <f aca="false">Demand_History!D3346</f>
        <v>70</v>
      </c>
      <c r="D3346" s="33" t="n">
        <f aca="false">IF(B3346&gt;=2,C3345,"")</f>
        <v>57</v>
      </c>
      <c r="E3346" s="33" t="n">
        <f aca="false">IF(B3346&gt;=5,AVERAGE(C3342:C3345),"")</f>
        <v>64</v>
      </c>
      <c r="F3346" s="33" t="n">
        <f aca="false">IF(B3346&gt;=9,AVERAGE(C3338:C3345),"")</f>
        <v>61.625</v>
      </c>
      <c r="G3346" s="33" t="n">
        <f aca="false">IF(B3346=1,"",IF(B3346=2,C3345,SES_Alpha*C3345+(1-SES_Alpha)*G3345))</f>
        <v>62.0856747673294</v>
      </c>
      <c r="H3346" s="33" t="n">
        <f aca="false">IF(D3346="","",D3346-C3346)</f>
        <v>-13</v>
      </c>
      <c r="I3346" s="33" t="n">
        <f aca="false">IF(E3346="","",E3346-C3346)</f>
        <v>-6</v>
      </c>
      <c r="J3346" s="33" t="n">
        <f aca="false">IF(F3346="","",F3346-C3346)</f>
        <v>-8.375</v>
      </c>
      <c r="K3346" s="33" t="n">
        <f aca="false">IF(G3346="","",G3346-C3346)</f>
        <v>-7.91432523267061</v>
      </c>
      <c r="L3346" s="33" t="n">
        <f aca="false">IF(H3346="","",ABS(H3346))</f>
        <v>13</v>
      </c>
      <c r="M3346" s="33" t="n">
        <f aca="false">IF(I3346="","",ABS(I3346))</f>
        <v>6</v>
      </c>
      <c r="N3346" s="33" t="n">
        <f aca="false">IF(J3346="","",ABS(J3346))</f>
        <v>8.375</v>
      </c>
      <c r="O3346" s="33" t="n">
        <f aca="false">IF(K3346="","",ABS(K3346))</f>
        <v>7.91432523267061</v>
      </c>
      <c r="P3346" s="34" t="str">
        <f aca="false">IF(B3346&gt;=Eval_Start_Week,"YES","")</f>
        <v/>
      </c>
      <c r="Q3346" s="34" t="str">
        <f aca="false">IF(AND(B3346&gt;=Cal_Start_Week,B3346&lt;=Cal_End_Week),"YES","")</f>
        <v/>
      </c>
    </row>
    <row r="3347" customFormat="false" ht="15" hidden="false" customHeight="false" outlineLevel="0" collapsed="false">
      <c r="A3347" s="31" t="str">
        <f aca="false">Demand_History!C3347</f>
        <v>ELE-004</v>
      </c>
      <c r="B3347" s="31" t="n">
        <f aca="false">Demand_History!A3347</f>
        <v>18</v>
      </c>
      <c r="C3347" s="32" t="n">
        <f aca="false">Demand_History!D3347</f>
        <v>61</v>
      </c>
      <c r="D3347" s="33" t="n">
        <f aca="false">IF(B3347&gt;=2,C3346,"")</f>
        <v>70</v>
      </c>
      <c r="E3347" s="33" t="n">
        <f aca="false">IF(B3347&gt;=5,AVERAGE(C3343:C3346),"")</f>
        <v>63.75</v>
      </c>
      <c r="F3347" s="33" t="n">
        <f aca="false">IF(B3347&gt;=9,AVERAGE(C3339:C3346),"")</f>
        <v>62.875</v>
      </c>
      <c r="G3347" s="33" t="n">
        <f aca="false">IF(B3347=1,"",IF(B3347=2,C3346,SES_Alpha*C3346+(1-SES_Alpha)*G3346))</f>
        <v>64.4599723371306</v>
      </c>
      <c r="H3347" s="33" t="n">
        <f aca="false">IF(D3347="","",D3347-C3347)</f>
        <v>9</v>
      </c>
      <c r="I3347" s="33" t="n">
        <f aca="false">IF(E3347="","",E3347-C3347)</f>
        <v>2.75</v>
      </c>
      <c r="J3347" s="33" t="n">
        <f aca="false">IF(F3347="","",F3347-C3347)</f>
        <v>1.875</v>
      </c>
      <c r="K3347" s="33" t="n">
        <f aca="false">IF(G3347="","",G3347-C3347)</f>
        <v>3.45997233713058</v>
      </c>
      <c r="L3347" s="33" t="n">
        <f aca="false">IF(H3347="","",ABS(H3347))</f>
        <v>9</v>
      </c>
      <c r="M3347" s="33" t="n">
        <f aca="false">IF(I3347="","",ABS(I3347))</f>
        <v>2.75</v>
      </c>
      <c r="N3347" s="33" t="n">
        <f aca="false">IF(J3347="","",ABS(J3347))</f>
        <v>1.875</v>
      </c>
      <c r="O3347" s="33" t="n">
        <f aca="false">IF(K3347="","",ABS(K3347))</f>
        <v>3.45997233713058</v>
      </c>
      <c r="P3347" s="34" t="str">
        <f aca="false">IF(B3347&gt;=Eval_Start_Week,"YES","")</f>
        <v/>
      </c>
      <c r="Q3347" s="34" t="str">
        <f aca="false">IF(AND(B3347&gt;=Cal_Start_Week,B3347&lt;=Cal_End_Week),"YES","")</f>
        <v/>
      </c>
    </row>
    <row r="3348" customFormat="false" ht="15" hidden="false" customHeight="false" outlineLevel="0" collapsed="false">
      <c r="A3348" s="31" t="str">
        <f aca="false">Demand_History!C3348</f>
        <v>ELE-004</v>
      </c>
      <c r="B3348" s="31" t="n">
        <f aca="false">Demand_History!A3348</f>
        <v>19</v>
      </c>
      <c r="C3348" s="32" t="n">
        <f aca="false">Demand_History!D3348</f>
        <v>66</v>
      </c>
      <c r="D3348" s="33" t="n">
        <f aca="false">IF(B3348&gt;=2,C3347,"")</f>
        <v>61</v>
      </c>
      <c r="E3348" s="33" t="n">
        <f aca="false">IF(B3348&gt;=5,AVERAGE(C3344:C3347),"")</f>
        <v>65.75</v>
      </c>
      <c r="F3348" s="33" t="n">
        <f aca="false">IF(B3348&gt;=9,AVERAGE(C3340:C3347),"")</f>
        <v>60.875</v>
      </c>
      <c r="G3348" s="33" t="n">
        <f aca="false">IF(B3348=1,"",IF(B3348=2,C3347,SES_Alpha*C3347+(1-SES_Alpha)*G3347))</f>
        <v>63.4219806359914</v>
      </c>
      <c r="H3348" s="33" t="n">
        <f aca="false">IF(D3348="","",D3348-C3348)</f>
        <v>-5</v>
      </c>
      <c r="I3348" s="33" t="n">
        <f aca="false">IF(E3348="","",E3348-C3348)</f>
        <v>-0.25</v>
      </c>
      <c r="J3348" s="33" t="n">
        <f aca="false">IF(F3348="","",F3348-C3348)</f>
        <v>-5.125</v>
      </c>
      <c r="K3348" s="33" t="n">
        <f aca="false">IF(G3348="","",G3348-C3348)</f>
        <v>-2.5780193640086</v>
      </c>
      <c r="L3348" s="33" t="n">
        <f aca="false">IF(H3348="","",ABS(H3348))</f>
        <v>5</v>
      </c>
      <c r="M3348" s="33" t="n">
        <f aca="false">IF(I3348="","",ABS(I3348))</f>
        <v>0.25</v>
      </c>
      <c r="N3348" s="33" t="n">
        <f aca="false">IF(J3348="","",ABS(J3348))</f>
        <v>5.125</v>
      </c>
      <c r="O3348" s="33" t="n">
        <f aca="false">IF(K3348="","",ABS(K3348))</f>
        <v>2.5780193640086</v>
      </c>
      <c r="P3348" s="34" t="str">
        <f aca="false">IF(B3348&gt;=Eval_Start_Week,"YES","")</f>
        <v/>
      </c>
      <c r="Q3348" s="34" t="str">
        <f aca="false">IF(AND(B3348&gt;=Cal_Start_Week,B3348&lt;=Cal_End_Week),"YES","")</f>
        <v/>
      </c>
    </row>
    <row r="3349" customFormat="false" ht="15" hidden="false" customHeight="false" outlineLevel="0" collapsed="false">
      <c r="A3349" s="31" t="str">
        <f aca="false">Demand_History!C3349</f>
        <v>ELE-004</v>
      </c>
      <c r="B3349" s="31" t="n">
        <f aca="false">Demand_History!A3349</f>
        <v>20</v>
      </c>
      <c r="C3349" s="32" t="n">
        <f aca="false">Demand_History!D3349</f>
        <v>73</v>
      </c>
      <c r="D3349" s="33" t="n">
        <f aca="false">IF(B3349&gt;=2,C3348,"")</f>
        <v>66</v>
      </c>
      <c r="E3349" s="33" t="n">
        <f aca="false">IF(B3349&gt;=5,AVERAGE(C3345:C3348),"")</f>
        <v>63.5</v>
      </c>
      <c r="F3349" s="33" t="n">
        <f aca="false">IF(B3349&gt;=9,AVERAGE(C3341:C3348),"")</f>
        <v>63.625</v>
      </c>
      <c r="G3349" s="33" t="n">
        <f aca="false">IF(B3349=1,"",IF(B3349=2,C3348,SES_Alpha*C3348+(1-SES_Alpha)*G3348))</f>
        <v>64.195386445194</v>
      </c>
      <c r="H3349" s="33" t="n">
        <f aca="false">IF(D3349="","",D3349-C3349)</f>
        <v>-7</v>
      </c>
      <c r="I3349" s="33" t="n">
        <f aca="false">IF(E3349="","",E3349-C3349)</f>
        <v>-9.5</v>
      </c>
      <c r="J3349" s="33" t="n">
        <f aca="false">IF(F3349="","",F3349-C3349)</f>
        <v>-9.375</v>
      </c>
      <c r="K3349" s="33" t="n">
        <f aca="false">IF(G3349="","",G3349-C3349)</f>
        <v>-8.80461355480603</v>
      </c>
      <c r="L3349" s="33" t="n">
        <f aca="false">IF(H3349="","",ABS(H3349))</f>
        <v>7</v>
      </c>
      <c r="M3349" s="33" t="n">
        <f aca="false">IF(I3349="","",ABS(I3349))</f>
        <v>9.5</v>
      </c>
      <c r="N3349" s="33" t="n">
        <f aca="false">IF(J3349="","",ABS(J3349))</f>
        <v>9.375</v>
      </c>
      <c r="O3349" s="33" t="n">
        <f aca="false">IF(K3349="","",ABS(K3349))</f>
        <v>8.80461355480603</v>
      </c>
      <c r="P3349" s="34" t="str">
        <f aca="false">IF(B3349&gt;=Eval_Start_Week,"YES","")</f>
        <v/>
      </c>
      <c r="Q3349" s="34" t="str">
        <f aca="false">IF(AND(B3349&gt;=Cal_Start_Week,B3349&lt;=Cal_End_Week),"YES","")</f>
        <v/>
      </c>
    </row>
    <row r="3350" customFormat="false" ht="15" hidden="false" customHeight="false" outlineLevel="0" collapsed="false">
      <c r="A3350" s="31" t="str">
        <f aca="false">Demand_History!C3350</f>
        <v>ELE-004</v>
      </c>
      <c r="B3350" s="31" t="n">
        <f aca="false">Demand_History!A3350</f>
        <v>21</v>
      </c>
      <c r="C3350" s="32" t="n">
        <f aca="false">Demand_History!D3350</f>
        <v>71</v>
      </c>
      <c r="D3350" s="33" t="n">
        <f aca="false">IF(B3350&gt;=2,C3349,"")</f>
        <v>73</v>
      </c>
      <c r="E3350" s="33" t="n">
        <f aca="false">IF(B3350&gt;=5,AVERAGE(C3346:C3349),"")</f>
        <v>67.5</v>
      </c>
      <c r="F3350" s="33" t="n">
        <f aca="false">IF(B3350&gt;=9,AVERAGE(C3342:C3349),"")</f>
        <v>65.75</v>
      </c>
      <c r="G3350" s="33" t="n">
        <f aca="false">IF(B3350=1,"",IF(B3350=2,C3349,SES_Alpha*C3349+(1-SES_Alpha)*G3349))</f>
        <v>66.8367705116358</v>
      </c>
      <c r="H3350" s="33" t="n">
        <f aca="false">IF(D3350="","",D3350-C3350)</f>
        <v>2</v>
      </c>
      <c r="I3350" s="33" t="n">
        <f aca="false">IF(E3350="","",E3350-C3350)</f>
        <v>-3.5</v>
      </c>
      <c r="J3350" s="33" t="n">
        <f aca="false">IF(F3350="","",F3350-C3350)</f>
        <v>-5.25</v>
      </c>
      <c r="K3350" s="33" t="n">
        <f aca="false">IF(G3350="","",G3350-C3350)</f>
        <v>-4.16322948836422</v>
      </c>
      <c r="L3350" s="33" t="n">
        <f aca="false">IF(H3350="","",ABS(H3350))</f>
        <v>2</v>
      </c>
      <c r="M3350" s="33" t="n">
        <f aca="false">IF(I3350="","",ABS(I3350))</f>
        <v>3.5</v>
      </c>
      <c r="N3350" s="33" t="n">
        <f aca="false">IF(J3350="","",ABS(J3350))</f>
        <v>5.25</v>
      </c>
      <c r="O3350" s="33" t="n">
        <f aca="false">IF(K3350="","",ABS(K3350))</f>
        <v>4.16322948836422</v>
      </c>
      <c r="P3350" s="34" t="str">
        <f aca="false">IF(B3350&gt;=Eval_Start_Week,"YES","")</f>
        <v/>
      </c>
      <c r="Q3350" s="34" t="str">
        <f aca="false">IF(AND(B3350&gt;=Cal_Start_Week,B3350&lt;=Cal_End_Week),"YES","")</f>
        <v/>
      </c>
    </row>
    <row r="3351" customFormat="false" ht="15" hidden="false" customHeight="false" outlineLevel="0" collapsed="false">
      <c r="A3351" s="31" t="str">
        <f aca="false">Demand_History!C3351</f>
        <v>ELE-004</v>
      </c>
      <c r="B3351" s="31" t="n">
        <f aca="false">Demand_History!A3351</f>
        <v>22</v>
      </c>
      <c r="C3351" s="32" t="n">
        <f aca="false">Demand_History!D3351</f>
        <v>68</v>
      </c>
      <c r="D3351" s="33" t="n">
        <f aca="false">IF(B3351&gt;=2,C3350,"")</f>
        <v>71</v>
      </c>
      <c r="E3351" s="33" t="n">
        <f aca="false">IF(B3351&gt;=5,AVERAGE(C3347:C3350),"")</f>
        <v>67.75</v>
      </c>
      <c r="F3351" s="33" t="n">
        <f aca="false">IF(B3351&gt;=9,AVERAGE(C3343:C3350),"")</f>
        <v>65.75</v>
      </c>
      <c r="G3351" s="33" t="n">
        <f aca="false">IF(B3351=1,"",IF(B3351=2,C3350,SES_Alpha*C3350+(1-SES_Alpha)*G3350))</f>
        <v>68.0857393581451</v>
      </c>
      <c r="H3351" s="33" t="n">
        <f aca="false">IF(D3351="","",D3351-C3351)</f>
        <v>3</v>
      </c>
      <c r="I3351" s="33" t="n">
        <f aca="false">IF(E3351="","",E3351-C3351)</f>
        <v>-0.25</v>
      </c>
      <c r="J3351" s="33" t="n">
        <f aca="false">IF(F3351="","",F3351-C3351)</f>
        <v>-2.25</v>
      </c>
      <c r="K3351" s="33" t="n">
        <f aca="false">IF(G3351="","",G3351-C3351)</f>
        <v>0.0857393581450481</v>
      </c>
      <c r="L3351" s="33" t="n">
        <f aca="false">IF(H3351="","",ABS(H3351))</f>
        <v>3</v>
      </c>
      <c r="M3351" s="33" t="n">
        <f aca="false">IF(I3351="","",ABS(I3351))</f>
        <v>0.25</v>
      </c>
      <c r="N3351" s="33" t="n">
        <f aca="false">IF(J3351="","",ABS(J3351))</f>
        <v>2.25</v>
      </c>
      <c r="O3351" s="33" t="n">
        <f aca="false">IF(K3351="","",ABS(K3351))</f>
        <v>0.0857393581450481</v>
      </c>
      <c r="P3351" s="34" t="str">
        <f aca="false">IF(B3351&gt;=Eval_Start_Week,"YES","")</f>
        <v/>
      </c>
      <c r="Q3351" s="34" t="str">
        <f aca="false">IF(AND(B3351&gt;=Cal_Start_Week,B3351&lt;=Cal_End_Week),"YES","")</f>
        <v/>
      </c>
    </row>
    <row r="3352" customFormat="false" ht="15" hidden="false" customHeight="false" outlineLevel="0" collapsed="false">
      <c r="A3352" s="31" t="str">
        <f aca="false">Demand_History!C3352</f>
        <v>ELE-004</v>
      </c>
      <c r="B3352" s="31" t="n">
        <f aca="false">Demand_History!A3352</f>
        <v>23</v>
      </c>
      <c r="C3352" s="32" t="n">
        <f aca="false">Demand_History!D3352</f>
        <v>95</v>
      </c>
      <c r="D3352" s="33" t="n">
        <f aca="false">IF(B3352&gt;=2,C3351,"")</f>
        <v>68</v>
      </c>
      <c r="E3352" s="33" t="n">
        <f aca="false">IF(B3352&gt;=5,AVERAGE(C3348:C3351),"")</f>
        <v>69.5</v>
      </c>
      <c r="F3352" s="33" t="n">
        <f aca="false">IF(B3352&gt;=9,AVERAGE(C3344:C3351),"")</f>
        <v>67.625</v>
      </c>
      <c r="G3352" s="33" t="n">
        <f aca="false">IF(B3352=1,"",IF(B3352=2,C3351,SES_Alpha*C3351+(1-SES_Alpha)*G3351))</f>
        <v>68.0600175507015</v>
      </c>
      <c r="H3352" s="33" t="n">
        <f aca="false">IF(D3352="","",D3352-C3352)</f>
        <v>-27</v>
      </c>
      <c r="I3352" s="33" t="n">
        <f aca="false">IF(E3352="","",E3352-C3352)</f>
        <v>-25.5</v>
      </c>
      <c r="J3352" s="33" t="n">
        <f aca="false">IF(F3352="","",F3352-C3352)</f>
        <v>-27.375</v>
      </c>
      <c r="K3352" s="33" t="n">
        <f aca="false">IF(G3352="","",G3352-C3352)</f>
        <v>-26.9399824492985</v>
      </c>
      <c r="L3352" s="33" t="n">
        <f aca="false">IF(H3352="","",ABS(H3352))</f>
        <v>27</v>
      </c>
      <c r="M3352" s="33" t="n">
        <f aca="false">IF(I3352="","",ABS(I3352))</f>
        <v>25.5</v>
      </c>
      <c r="N3352" s="33" t="n">
        <f aca="false">IF(J3352="","",ABS(J3352))</f>
        <v>27.375</v>
      </c>
      <c r="O3352" s="33" t="n">
        <f aca="false">IF(K3352="","",ABS(K3352))</f>
        <v>26.9399824492985</v>
      </c>
      <c r="P3352" s="34" t="str">
        <f aca="false">IF(B3352&gt;=Eval_Start_Week,"YES","")</f>
        <v/>
      </c>
      <c r="Q3352" s="34" t="str">
        <f aca="false">IF(AND(B3352&gt;=Cal_Start_Week,B3352&lt;=Cal_End_Week),"YES","")</f>
        <v/>
      </c>
    </row>
    <row r="3353" customFormat="false" ht="15" hidden="false" customHeight="false" outlineLevel="0" collapsed="false">
      <c r="A3353" s="31" t="str">
        <f aca="false">Demand_History!C3353</f>
        <v>ELE-004</v>
      </c>
      <c r="B3353" s="31" t="n">
        <f aca="false">Demand_History!A3353</f>
        <v>24</v>
      </c>
      <c r="C3353" s="32" t="n">
        <f aca="false">Demand_History!D3353</f>
        <v>74</v>
      </c>
      <c r="D3353" s="33" t="n">
        <f aca="false">IF(B3353&gt;=2,C3352,"")</f>
        <v>95</v>
      </c>
      <c r="E3353" s="33" t="n">
        <f aca="false">IF(B3353&gt;=5,AVERAGE(C3349:C3352),"")</f>
        <v>76.75</v>
      </c>
      <c r="F3353" s="33" t="n">
        <f aca="false">IF(B3353&gt;=9,AVERAGE(C3345:C3352),"")</f>
        <v>70.125</v>
      </c>
      <c r="G3353" s="33" t="n">
        <f aca="false">IF(B3353=1,"",IF(B3353=2,C3352,SES_Alpha*C3352+(1-SES_Alpha)*G3352))</f>
        <v>76.1420122854911</v>
      </c>
      <c r="H3353" s="33" t="n">
        <f aca="false">IF(D3353="","",D3353-C3353)</f>
        <v>21</v>
      </c>
      <c r="I3353" s="33" t="n">
        <f aca="false">IF(E3353="","",E3353-C3353)</f>
        <v>2.75</v>
      </c>
      <c r="J3353" s="33" t="n">
        <f aca="false">IF(F3353="","",F3353-C3353)</f>
        <v>-3.875</v>
      </c>
      <c r="K3353" s="33" t="n">
        <f aca="false">IF(G3353="","",G3353-C3353)</f>
        <v>2.14201228549106</v>
      </c>
      <c r="L3353" s="33" t="n">
        <f aca="false">IF(H3353="","",ABS(H3353))</f>
        <v>21</v>
      </c>
      <c r="M3353" s="33" t="n">
        <f aca="false">IF(I3353="","",ABS(I3353))</f>
        <v>2.75</v>
      </c>
      <c r="N3353" s="33" t="n">
        <f aca="false">IF(J3353="","",ABS(J3353))</f>
        <v>3.875</v>
      </c>
      <c r="O3353" s="33" t="n">
        <f aca="false">IF(K3353="","",ABS(K3353))</f>
        <v>2.14201228549106</v>
      </c>
      <c r="P3353" s="34" t="str">
        <f aca="false">IF(B3353&gt;=Eval_Start_Week,"YES","")</f>
        <v/>
      </c>
      <c r="Q3353" s="34" t="str">
        <f aca="false">IF(AND(B3353&gt;=Cal_Start_Week,B3353&lt;=Cal_End_Week),"YES","")</f>
        <v/>
      </c>
    </row>
    <row r="3354" customFormat="false" ht="15" hidden="false" customHeight="false" outlineLevel="0" collapsed="false">
      <c r="A3354" s="31" t="str">
        <f aca="false">Demand_History!C3354</f>
        <v>ELE-004</v>
      </c>
      <c r="B3354" s="31" t="n">
        <f aca="false">Demand_History!A3354</f>
        <v>25</v>
      </c>
      <c r="C3354" s="32" t="n">
        <f aca="false">Demand_History!D3354</f>
        <v>64</v>
      </c>
      <c r="D3354" s="33" t="n">
        <f aca="false">IF(B3354&gt;=2,C3353,"")</f>
        <v>74</v>
      </c>
      <c r="E3354" s="33" t="n">
        <f aca="false">IF(B3354&gt;=5,AVERAGE(C3350:C3353),"")</f>
        <v>77</v>
      </c>
      <c r="F3354" s="33" t="n">
        <f aca="false">IF(B3354&gt;=9,AVERAGE(C3346:C3353),"")</f>
        <v>72.25</v>
      </c>
      <c r="G3354" s="33" t="n">
        <f aca="false">IF(B3354=1,"",IF(B3354=2,C3353,SES_Alpha*C3353+(1-SES_Alpha)*G3353))</f>
        <v>75.4994085998438</v>
      </c>
      <c r="H3354" s="33" t="n">
        <f aca="false">IF(D3354="","",D3354-C3354)</f>
        <v>10</v>
      </c>
      <c r="I3354" s="33" t="n">
        <f aca="false">IF(E3354="","",E3354-C3354)</f>
        <v>13</v>
      </c>
      <c r="J3354" s="33" t="n">
        <f aca="false">IF(F3354="","",F3354-C3354)</f>
        <v>8.25</v>
      </c>
      <c r="K3354" s="33" t="n">
        <f aca="false">IF(G3354="","",G3354-C3354)</f>
        <v>11.4994085998437</v>
      </c>
      <c r="L3354" s="33" t="n">
        <f aca="false">IF(H3354="","",ABS(H3354))</f>
        <v>10</v>
      </c>
      <c r="M3354" s="33" t="n">
        <f aca="false">IF(I3354="","",ABS(I3354))</f>
        <v>13</v>
      </c>
      <c r="N3354" s="33" t="n">
        <f aca="false">IF(J3354="","",ABS(J3354))</f>
        <v>8.25</v>
      </c>
      <c r="O3354" s="33" t="n">
        <f aca="false">IF(K3354="","",ABS(K3354))</f>
        <v>11.4994085998437</v>
      </c>
      <c r="P3354" s="34" t="str">
        <f aca="false">IF(B3354&gt;=Eval_Start_Week,"YES","")</f>
        <v/>
      </c>
      <c r="Q3354" s="34" t="str">
        <f aca="false">IF(AND(B3354&gt;=Cal_Start_Week,B3354&lt;=Cal_End_Week),"YES","")</f>
        <v/>
      </c>
    </row>
    <row r="3355" customFormat="false" ht="15" hidden="false" customHeight="false" outlineLevel="0" collapsed="false">
      <c r="A3355" s="31" t="str">
        <f aca="false">Demand_History!C3355</f>
        <v>ELE-004</v>
      </c>
      <c r="B3355" s="31" t="n">
        <f aca="false">Demand_History!A3355</f>
        <v>26</v>
      </c>
      <c r="C3355" s="32" t="n">
        <f aca="false">Demand_History!D3355</f>
        <v>85</v>
      </c>
      <c r="D3355" s="33" t="n">
        <f aca="false">IF(B3355&gt;=2,C3354,"")</f>
        <v>64</v>
      </c>
      <c r="E3355" s="33" t="n">
        <f aca="false">IF(B3355&gt;=5,AVERAGE(C3351:C3354),"")</f>
        <v>75.25</v>
      </c>
      <c r="F3355" s="33" t="n">
        <f aca="false">IF(B3355&gt;=9,AVERAGE(C3347:C3354),"")</f>
        <v>71.5</v>
      </c>
      <c r="G3355" s="33" t="n">
        <f aca="false">IF(B3355=1,"",IF(B3355=2,C3354,SES_Alpha*C3354+(1-SES_Alpha)*G3354))</f>
        <v>72.0495860198906</v>
      </c>
      <c r="H3355" s="33" t="n">
        <f aca="false">IF(D3355="","",D3355-C3355)</f>
        <v>-21</v>
      </c>
      <c r="I3355" s="33" t="n">
        <f aca="false">IF(E3355="","",E3355-C3355)</f>
        <v>-9.75</v>
      </c>
      <c r="J3355" s="33" t="n">
        <f aca="false">IF(F3355="","",F3355-C3355)</f>
        <v>-13.5</v>
      </c>
      <c r="K3355" s="33" t="n">
        <f aca="false">IF(G3355="","",G3355-C3355)</f>
        <v>-12.9504139801094</v>
      </c>
      <c r="L3355" s="33" t="n">
        <f aca="false">IF(H3355="","",ABS(H3355))</f>
        <v>21</v>
      </c>
      <c r="M3355" s="33" t="n">
        <f aca="false">IF(I3355="","",ABS(I3355))</f>
        <v>9.75</v>
      </c>
      <c r="N3355" s="33" t="n">
        <f aca="false">IF(J3355="","",ABS(J3355))</f>
        <v>13.5</v>
      </c>
      <c r="O3355" s="33" t="n">
        <f aca="false">IF(K3355="","",ABS(K3355))</f>
        <v>12.9504139801094</v>
      </c>
      <c r="P3355" s="34" t="str">
        <f aca="false">IF(B3355&gt;=Eval_Start_Week,"YES","")</f>
        <v/>
      </c>
      <c r="Q3355" s="34" t="str">
        <f aca="false">IF(AND(B3355&gt;=Cal_Start_Week,B3355&lt;=Cal_End_Week),"YES","")</f>
        <v/>
      </c>
    </row>
    <row r="3356" customFormat="false" ht="15" hidden="false" customHeight="false" outlineLevel="0" collapsed="false">
      <c r="A3356" s="31" t="str">
        <f aca="false">Demand_History!C3356</f>
        <v>ELE-004</v>
      </c>
      <c r="B3356" s="31" t="n">
        <f aca="false">Demand_History!A3356</f>
        <v>27</v>
      </c>
      <c r="C3356" s="32" t="n">
        <f aca="false">Demand_History!D3356</f>
        <v>84</v>
      </c>
      <c r="D3356" s="33" t="n">
        <f aca="false">IF(B3356&gt;=2,C3355,"")</f>
        <v>85</v>
      </c>
      <c r="E3356" s="33" t="n">
        <f aca="false">IF(B3356&gt;=5,AVERAGE(C3352:C3355),"")</f>
        <v>79.5</v>
      </c>
      <c r="F3356" s="33" t="n">
        <f aca="false">IF(B3356&gt;=9,AVERAGE(C3348:C3355),"")</f>
        <v>74.5</v>
      </c>
      <c r="G3356" s="33" t="n">
        <f aca="false">IF(B3356=1,"",IF(B3356=2,C3355,SES_Alpha*C3355+(1-SES_Alpha)*G3355))</f>
        <v>75.9347102139234</v>
      </c>
      <c r="H3356" s="33" t="n">
        <f aca="false">IF(D3356="","",D3356-C3356)</f>
        <v>1</v>
      </c>
      <c r="I3356" s="33" t="n">
        <f aca="false">IF(E3356="","",E3356-C3356)</f>
        <v>-4.5</v>
      </c>
      <c r="J3356" s="33" t="n">
        <f aca="false">IF(F3356="","",F3356-C3356)</f>
        <v>-9.5</v>
      </c>
      <c r="K3356" s="33" t="n">
        <f aca="false">IF(G3356="","",G3356-C3356)</f>
        <v>-8.06528978607656</v>
      </c>
      <c r="L3356" s="33" t="n">
        <f aca="false">IF(H3356="","",ABS(H3356))</f>
        <v>1</v>
      </c>
      <c r="M3356" s="33" t="n">
        <f aca="false">IF(I3356="","",ABS(I3356))</f>
        <v>4.5</v>
      </c>
      <c r="N3356" s="33" t="n">
        <f aca="false">IF(J3356="","",ABS(J3356))</f>
        <v>9.5</v>
      </c>
      <c r="O3356" s="33" t="n">
        <f aca="false">IF(K3356="","",ABS(K3356))</f>
        <v>8.06528978607656</v>
      </c>
      <c r="P3356" s="34" t="str">
        <f aca="false">IF(B3356&gt;=Eval_Start_Week,"YES","")</f>
        <v/>
      </c>
      <c r="Q3356" s="34" t="str">
        <f aca="false">IF(AND(B3356&gt;=Cal_Start_Week,B3356&lt;=Cal_End_Week),"YES","")</f>
        <v/>
      </c>
    </row>
    <row r="3357" customFormat="false" ht="15" hidden="false" customHeight="false" outlineLevel="0" collapsed="false">
      <c r="A3357" s="31" t="str">
        <f aca="false">Demand_History!C3357</f>
        <v>ELE-004</v>
      </c>
      <c r="B3357" s="31" t="n">
        <f aca="false">Demand_History!A3357</f>
        <v>28</v>
      </c>
      <c r="C3357" s="32" t="n">
        <f aca="false">Demand_History!D3357</f>
        <v>89</v>
      </c>
      <c r="D3357" s="33" t="n">
        <f aca="false">IF(B3357&gt;=2,C3356,"")</f>
        <v>84</v>
      </c>
      <c r="E3357" s="33" t="n">
        <f aca="false">IF(B3357&gt;=5,AVERAGE(C3353:C3356),"")</f>
        <v>76.75</v>
      </c>
      <c r="F3357" s="33" t="n">
        <f aca="false">IF(B3357&gt;=9,AVERAGE(C3349:C3356),"")</f>
        <v>76.75</v>
      </c>
      <c r="G3357" s="33" t="n">
        <f aca="false">IF(B3357=1,"",IF(B3357=2,C3356,SES_Alpha*C3356+(1-SES_Alpha)*G3356))</f>
        <v>78.3542971497464</v>
      </c>
      <c r="H3357" s="33" t="n">
        <f aca="false">IF(D3357="","",D3357-C3357)</f>
        <v>-5</v>
      </c>
      <c r="I3357" s="33" t="n">
        <f aca="false">IF(E3357="","",E3357-C3357)</f>
        <v>-12.25</v>
      </c>
      <c r="J3357" s="33" t="n">
        <f aca="false">IF(F3357="","",F3357-C3357)</f>
        <v>-12.25</v>
      </c>
      <c r="K3357" s="33" t="n">
        <f aca="false">IF(G3357="","",G3357-C3357)</f>
        <v>-10.6457028502536</v>
      </c>
      <c r="L3357" s="33" t="n">
        <f aca="false">IF(H3357="","",ABS(H3357))</f>
        <v>5</v>
      </c>
      <c r="M3357" s="33" t="n">
        <f aca="false">IF(I3357="","",ABS(I3357))</f>
        <v>12.25</v>
      </c>
      <c r="N3357" s="33" t="n">
        <f aca="false">IF(J3357="","",ABS(J3357))</f>
        <v>12.25</v>
      </c>
      <c r="O3357" s="33" t="n">
        <f aca="false">IF(K3357="","",ABS(K3357))</f>
        <v>10.6457028502536</v>
      </c>
      <c r="P3357" s="34" t="str">
        <f aca="false">IF(B3357&gt;=Eval_Start_Week,"YES","")</f>
        <v/>
      </c>
      <c r="Q3357" s="34" t="str">
        <f aca="false">IF(AND(B3357&gt;=Cal_Start_Week,B3357&lt;=Cal_End_Week),"YES","")</f>
        <v/>
      </c>
    </row>
    <row r="3358" customFormat="false" ht="15" hidden="false" customHeight="false" outlineLevel="0" collapsed="false">
      <c r="A3358" s="31" t="str">
        <f aca="false">Demand_History!C3358</f>
        <v>ELE-004</v>
      </c>
      <c r="B3358" s="31" t="n">
        <f aca="false">Demand_History!A3358</f>
        <v>29</v>
      </c>
      <c r="C3358" s="32" t="n">
        <f aca="false">Demand_History!D3358</f>
        <v>96</v>
      </c>
      <c r="D3358" s="33" t="n">
        <f aca="false">IF(B3358&gt;=2,C3357,"")</f>
        <v>89</v>
      </c>
      <c r="E3358" s="33" t="n">
        <f aca="false">IF(B3358&gt;=5,AVERAGE(C3354:C3357),"")</f>
        <v>80.5</v>
      </c>
      <c r="F3358" s="33" t="n">
        <f aca="false">IF(B3358&gt;=9,AVERAGE(C3350:C3357),"")</f>
        <v>78.75</v>
      </c>
      <c r="G3358" s="33" t="n">
        <f aca="false">IF(B3358=1,"",IF(B3358=2,C3357,SES_Alpha*C3357+(1-SES_Alpha)*G3357))</f>
        <v>81.5480080048225</v>
      </c>
      <c r="H3358" s="33" t="n">
        <f aca="false">IF(D3358="","",D3358-C3358)</f>
        <v>-7</v>
      </c>
      <c r="I3358" s="33" t="n">
        <f aca="false">IF(E3358="","",E3358-C3358)</f>
        <v>-15.5</v>
      </c>
      <c r="J3358" s="33" t="n">
        <f aca="false">IF(F3358="","",F3358-C3358)</f>
        <v>-17.25</v>
      </c>
      <c r="K3358" s="33" t="n">
        <f aca="false">IF(G3358="","",G3358-C3358)</f>
        <v>-14.4519919951775</v>
      </c>
      <c r="L3358" s="33" t="n">
        <f aca="false">IF(H3358="","",ABS(H3358))</f>
        <v>7</v>
      </c>
      <c r="M3358" s="33" t="n">
        <f aca="false">IF(I3358="","",ABS(I3358))</f>
        <v>15.5</v>
      </c>
      <c r="N3358" s="33" t="n">
        <f aca="false">IF(J3358="","",ABS(J3358))</f>
        <v>17.25</v>
      </c>
      <c r="O3358" s="33" t="n">
        <f aca="false">IF(K3358="","",ABS(K3358))</f>
        <v>14.4519919951775</v>
      </c>
      <c r="P3358" s="34" t="str">
        <f aca="false">IF(B3358&gt;=Eval_Start_Week,"YES","")</f>
        <v/>
      </c>
      <c r="Q3358" s="34" t="str">
        <f aca="false">IF(AND(B3358&gt;=Cal_Start_Week,B3358&lt;=Cal_End_Week),"YES","")</f>
        <v/>
      </c>
    </row>
    <row r="3359" customFormat="false" ht="15" hidden="false" customHeight="false" outlineLevel="0" collapsed="false">
      <c r="A3359" s="31" t="str">
        <f aca="false">Demand_History!C3359</f>
        <v>ELE-004</v>
      </c>
      <c r="B3359" s="31" t="n">
        <f aca="false">Demand_History!A3359</f>
        <v>30</v>
      </c>
      <c r="C3359" s="32" t="n">
        <f aca="false">Demand_History!D3359</f>
        <v>67</v>
      </c>
      <c r="D3359" s="33" t="n">
        <f aca="false">IF(B3359&gt;=2,C3358,"")</f>
        <v>96</v>
      </c>
      <c r="E3359" s="33" t="n">
        <f aca="false">IF(B3359&gt;=5,AVERAGE(C3355:C3358),"")</f>
        <v>88.5</v>
      </c>
      <c r="F3359" s="33" t="n">
        <f aca="false">IF(B3359&gt;=9,AVERAGE(C3351:C3358),"")</f>
        <v>81.875</v>
      </c>
      <c r="G3359" s="33" t="n">
        <f aca="false">IF(B3359=1,"",IF(B3359=2,C3358,SES_Alpha*C3358+(1-SES_Alpha)*G3358))</f>
        <v>85.8836056033757</v>
      </c>
      <c r="H3359" s="33" t="n">
        <f aca="false">IF(D3359="","",D3359-C3359)</f>
        <v>29</v>
      </c>
      <c r="I3359" s="33" t="n">
        <f aca="false">IF(E3359="","",E3359-C3359)</f>
        <v>21.5</v>
      </c>
      <c r="J3359" s="33" t="n">
        <f aca="false">IF(F3359="","",F3359-C3359)</f>
        <v>14.875</v>
      </c>
      <c r="K3359" s="33" t="n">
        <f aca="false">IF(G3359="","",G3359-C3359)</f>
        <v>18.8836056033757</v>
      </c>
      <c r="L3359" s="33" t="n">
        <f aca="false">IF(H3359="","",ABS(H3359))</f>
        <v>29</v>
      </c>
      <c r="M3359" s="33" t="n">
        <f aca="false">IF(I3359="","",ABS(I3359))</f>
        <v>21.5</v>
      </c>
      <c r="N3359" s="33" t="n">
        <f aca="false">IF(J3359="","",ABS(J3359))</f>
        <v>14.875</v>
      </c>
      <c r="O3359" s="33" t="n">
        <f aca="false">IF(K3359="","",ABS(K3359))</f>
        <v>18.8836056033757</v>
      </c>
      <c r="P3359" s="34" t="str">
        <f aca="false">IF(B3359&gt;=Eval_Start_Week,"YES","")</f>
        <v/>
      </c>
      <c r="Q3359" s="34" t="str">
        <f aca="false">IF(AND(B3359&gt;=Cal_Start_Week,B3359&lt;=Cal_End_Week),"YES","")</f>
        <v/>
      </c>
    </row>
    <row r="3360" customFormat="false" ht="15" hidden="false" customHeight="false" outlineLevel="0" collapsed="false">
      <c r="A3360" s="31" t="str">
        <f aca="false">Demand_History!C3360</f>
        <v>ELE-004</v>
      </c>
      <c r="B3360" s="31" t="n">
        <f aca="false">Demand_History!A3360</f>
        <v>31</v>
      </c>
      <c r="C3360" s="32" t="n">
        <f aca="false">Demand_History!D3360</f>
        <v>90</v>
      </c>
      <c r="D3360" s="33" t="n">
        <f aca="false">IF(B3360&gt;=2,C3359,"")</f>
        <v>67</v>
      </c>
      <c r="E3360" s="33" t="n">
        <f aca="false">IF(B3360&gt;=5,AVERAGE(C3356:C3359),"")</f>
        <v>84</v>
      </c>
      <c r="F3360" s="33" t="n">
        <f aca="false">IF(B3360&gt;=9,AVERAGE(C3352:C3359),"")</f>
        <v>81.75</v>
      </c>
      <c r="G3360" s="33" t="n">
        <f aca="false">IF(B3360=1,"",IF(B3360=2,C3359,SES_Alpha*C3359+(1-SES_Alpha)*G3359))</f>
        <v>80.218523922363</v>
      </c>
      <c r="H3360" s="33" t="n">
        <f aca="false">IF(D3360="","",D3360-C3360)</f>
        <v>-23</v>
      </c>
      <c r="I3360" s="33" t="n">
        <f aca="false">IF(E3360="","",E3360-C3360)</f>
        <v>-6</v>
      </c>
      <c r="J3360" s="33" t="n">
        <f aca="false">IF(F3360="","",F3360-C3360)</f>
        <v>-8.25</v>
      </c>
      <c r="K3360" s="33" t="n">
        <f aca="false">IF(G3360="","",G3360-C3360)</f>
        <v>-9.781476077637</v>
      </c>
      <c r="L3360" s="33" t="n">
        <f aca="false">IF(H3360="","",ABS(H3360))</f>
        <v>23</v>
      </c>
      <c r="M3360" s="33" t="n">
        <f aca="false">IF(I3360="","",ABS(I3360))</f>
        <v>6</v>
      </c>
      <c r="N3360" s="33" t="n">
        <f aca="false">IF(J3360="","",ABS(J3360))</f>
        <v>8.25</v>
      </c>
      <c r="O3360" s="33" t="n">
        <f aca="false">IF(K3360="","",ABS(K3360))</f>
        <v>9.781476077637</v>
      </c>
      <c r="P3360" s="34" t="str">
        <f aca="false">IF(B3360&gt;=Eval_Start_Week,"YES","")</f>
        <v/>
      </c>
      <c r="Q3360" s="34" t="str">
        <f aca="false">IF(AND(B3360&gt;=Cal_Start_Week,B3360&lt;=Cal_End_Week),"YES","")</f>
        <v/>
      </c>
    </row>
    <row r="3361" customFormat="false" ht="15" hidden="false" customHeight="false" outlineLevel="0" collapsed="false">
      <c r="A3361" s="31" t="str">
        <f aca="false">Demand_History!C3361</f>
        <v>ELE-004</v>
      </c>
      <c r="B3361" s="31" t="n">
        <f aca="false">Demand_History!A3361</f>
        <v>32</v>
      </c>
      <c r="C3361" s="32" t="n">
        <f aca="false">Demand_History!D3361</f>
        <v>91</v>
      </c>
      <c r="D3361" s="33" t="n">
        <f aca="false">IF(B3361&gt;=2,C3360,"")</f>
        <v>90</v>
      </c>
      <c r="E3361" s="33" t="n">
        <f aca="false">IF(B3361&gt;=5,AVERAGE(C3357:C3360),"")</f>
        <v>85.5</v>
      </c>
      <c r="F3361" s="33" t="n">
        <f aca="false">IF(B3361&gt;=9,AVERAGE(C3353:C3360),"")</f>
        <v>81.125</v>
      </c>
      <c r="G3361" s="33" t="n">
        <f aca="false">IF(B3361=1,"",IF(B3361=2,C3360,SES_Alpha*C3360+(1-SES_Alpha)*G3360))</f>
        <v>83.1529667456541</v>
      </c>
      <c r="H3361" s="33" t="n">
        <f aca="false">IF(D3361="","",D3361-C3361)</f>
        <v>-1</v>
      </c>
      <c r="I3361" s="33" t="n">
        <f aca="false">IF(E3361="","",E3361-C3361)</f>
        <v>-5.5</v>
      </c>
      <c r="J3361" s="33" t="n">
        <f aca="false">IF(F3361="","",F3361-C3361)</f>
        <v>-9.875</v>
      </c>
      <c r="K3361" s="33" t="n">
        <f aca="false">IF(G3361="","",G3361-C3361)</f>
        <v>-7.8470332543459</v>
      </c>
      <c r="L3361" s="33" t="n">
        <f aca="false">IF(H3361="","",ABS(H3361))</f>
        <v>1</v>
      </c>
      <c r="M3361" s="33" t="n">
        <f aca="false">IF(I3361="","",ABS(I3361))</f>
        <v>5.5</v>
      </c>
      <c r="N3361" s="33" t="n">
        <f aca="false">IF(J3361="","",ABS(J3361))</f>
        <v>9.875</v>
      </c>
      <c r="O3361" s="33" t="n">
        <f aca="false">IF(K3361="","",ABS(K3361))</f>
        <v>7.8470332543459</v>
      </c>
      <c r="P3361" s="34" t="str">
        <f aca="false">IF(B3361&gt;=Eval_Start_Week,"YES","")</f>
        <v/>
      </c>
      <c r="Q3361" s="34" t="str">
        <f aca="false">IF(AND(B3361&gt;=Cal_Start_Week,B3361&lt;=Cal_End_Week),"YES","")</f>
        <v/>
      </c>
    </row>
    <row r="3362" customFormat="false" ht="15" hidden="false" customHeight="false" outlineLevel="0" collapsed="false">
      <c r="A3362" s="31" t="str">
        <f aca="false">Demand_History!C3362</f>
        <v>ELE-004</v>
      </c>
      <c r="B3362" s="31" t="n">
        <f aca="false">Demand_History!A3362</f>
        <v>33</v>
      </c>
      <c r="C3362" s="32" t="n">
        <f aca="false">Demand_History!D3362</f>
        <v>79</v>
      </c>
      <c r="D3362" s="33" t="n">
        <f aca="false">IF(B3362&gt;=2,C3361,"")</f>
        <v>91</v>
      </c>
      <c r="E3362" s="33" t="n">
        <f aca="false">IF(B3362&gt;=5,AVERAGE(C3358:C3361),"")</f>
        <v>86</v>
      </c>
      <c r="F3362" s="33" t="n">
        <f aca="false">IF(B3362&gt;=9,AVERAGE(C3354:C3361),"")</f>
        <v>83.25</v>
      </c>
      <c r="G3362" s="33" t="n">
        <f aca="false">IF(B3362=1,"",IF(B3362=2,C3361,SES_Alpha*C3361+(1-SES_Alpha)*G3361))</f>
        <v>85.5070767219579</v>
      </c>
      <c r="H3362" s="33" t="n">
        <f aca="false">IF(D3362="","",D3362-C3362)</f>
        <v>12</v>
      </c>
      <c r="I3362" s="33" t="n">
        <f aca="false">IF(E3362="","",E3362-C3362)</f>
        <v>7</v>
      </c>
      <c r="J3362" s="33" t="n">
        <f aca="false">IF(F3362="","",F3362-C3362)</f>
        <v>4.25</v>
      </c>
      <c r="K3362" s="33" t="n">
        <f aca="false">IF(G3362="","",G3362-C3362)</f>
        <v>6.50707672195786</v>
      </c>
      <c r="L3362" s="33" t="n">
        <f aca="false">IF(H3362="","",ABS(H3362))</f>
        <v>12</v>
      </c>
      <c r="M3362" s="33" t="n">
        <f aca="false">IF(I3362="","",ABS(I3362))</f>
        <v>7</v>
      </c>
      <c r="N3362" s="33" t="n">
        <f aca="false">IF(J3362="","",ABS(J3362))</f>
        <v>4.25</v>
      </c>
      <c r="O3362" s="33" t="n">
        <f aca="false">IF(K3362="","",ABS(K3362))</f>
        <v>6.50707672195786</v>
      </c>
      <c r="P3362" s="34" t="str">
        <f aca="false">IF(B3362&gt;=Eval_Start_Week,"YES","")</f>
        <v/>
      </c>
      <c r="Q3362" s="34" t="str">
        <f aca="false">IF(AND(B3362&gt;=Cal_Start_Week,B3362&lt;=Cal_End_Week),"YES","")</f>
        <v/>
      </c>
    </row>
    <row r="3363" customFormat="false" ht="15" hidden="false" customHeight="false" outlineLevel="0" collapsed="false">
      <c r="A3363" s="31" t="str">
        <f aca="false">Demand_History!C3363</f>
        <v>ELE-004</v>
      </c>
      <c r="B3363" s="31" t="n">
        <f aca="false">Demand_History!A3363</f>
        <v>34</v>
      </c>
      <c r="C3363" s="32" t="n">
        <f aca="false">Demand_History!D3363</f>
        <v>83</v>
      </c>
      <c r="D3363" s="33" t="n">
        <f aca="false">IF(B3363&gt;=2,C3362,"")</f>
        <v>79</v>
      </c>
      <c r="E3363" s="33" t="n">
        <f aca="false">IF(B3363&gt;=5,AVERAGE(C3359:C3362),"")</f>
        <v>81.75</v>
      </c>
      <c r="F3363" s="33" t="n">
        <f aca="false">IF(B3363&gt;=9,AVERAGE(C3355:C3362),"")</f>
        <v>85.125</v>
      </c>
      <c r="G3363" s="33" t="n">
        <f aca="false">IF(B3363=1,"",IF(B3363=2,C3362,SES_Alpha*C3362+(1-SES_Alpha)*G3362))</f>
        <v>83.5549537053705</v>
      </c>
      <c r="H3363" s="33" t="n">
        <f aca="false">IF(D3363="","",D3363-C3363)</f>
        <v>-4</v>
      </c>
      <c r="I3363" s="33" t="n">
        <f aca="false">IF(E3363="","",E3363-C3363)</f>
        <v>-1.25</v>
      </c>
      <c r="J3363" s="33" t="n">
        <f aca="false">IF(F3363="","",F3363-C3363)</f>
        <v>2.125</v>
      </c>
      <c r="K3363" s="33" t="n">
        <f aca="false">IF(G3363="","",G3363-C3363)</f>
        <v>0.554953705370494</v>
      </c>
      <c r="L3363" s="33" t="n">
        <f aca="false">IF(H3363="","",ABS(H3363))</f>
        <v>4</v>
      </c>
      <c r="M3363" s="33" t="n">
        <f aca="false">IF(I3363="","",ABS(I3363))</f>
        <v>1.25</v>
      </c>
      <c r="N3363" s="33" t="n">
        <f aca="false">IF(J3363="","",ABS(J3363))</f>
        <v>2.125</v>
      </c>
      <c r="O3363" s="33" t="n">
        <f aca="false">IF(K3363="","",ABS(K3363))</f>
        <v>0.554953705370494</v>
      </c>
      <c r="P3363" s="34" t="str">
        <f aca="false">IF(B3363&gt;=Eval_Start_Week,"YES","")</f>
        <v/>
      </c>
      <c r="Q3363" s="34" t="str">
        <f aca="false">IF(AND(B3363&gt;=Cal_Start_Week,B3363&lt;=Cal_End_Week),"YES","")</f>
        <v/>
      </c>
    </row>
    <row r="3364" customFormat="false" ht="15" hidden="false" customHeight="false" outlineLevel="0" collapsed="false">
      <c r="A3364" s="31" t="str">
        <f aca="false">Demand_History!C3364</f>
        <v>ELE-004</v>
      </c>
      <c r="B3364" s="31" t="n">
        <f aca="false">Demand_History!A3364</f>
        <v>35</v>
      </c>
      <c r="C3364" s="32" t="n">
        <f aca="false">Demand_History!D3364</f>
        <v>47</v>
      </c>
      <c r="D3364" s="33" t="n">
        <f aca="false">IF(B3364&gt;=2,C3363,"")</f>
        <v>83</v>
      </c>
      <c r="E3364" s="33" t="n">
        <f aca="false">IF(B3364&gt;=5,AVERAGE(C3360:C3363),"")</f>
        <v>85.75</v>
      </c>
      <c r="F3364" s="33" t="n">
        <f aca="false">IF(B3364&gt;=9,AVERAGE(C3356:C3363),"")</f>
        <v>84.875</v>
      </c>
      <c r="G3364" s="33" t="n">
        <f aca="false">IF(B3364=1,"",IF(B3364=2,C3363,SES_Alpha*C3363+(1-SES_Alpha)*G3363))</f>
        <v>83.3884675937593</v>
      </c>
      <c r="H3364" s="33" t="n">
        <f aca="false">IF(D3364="","",D3364-C3364)</f>
        <v>36</v>
      </c>
      <c r="I3364" s="33" t="n">
        <f aca="false">IF(E3364="","",E3364-C3364)</f>
        <v>38.75</v>
      </c>
      <c r="J3364" s="33" t="n">
        <f aca="false">IF(F3364="","",F3364-C3364)</f>
        <v>37.875</v>
      </c>
      <c r="K3364" s="33" t="n">
        <f aca="false">IF(G3364="","",G3364-C3364)</f>
        <v>36.3884675937593</v>
      </c>
      <c r="L3364" s="33" t="n">
        <f aca="false">IF(H3364="","",ABS(H3364))</f>
        <v>36</v>
      </c>
      <c r="M3364" s="33" t="n">
        <f aca="false">IF(I3364="","",ABS(I3364))</f>
        <v>38.75</v>
      </c>
      <c r="N3364" s="33" t="n">
        <f aca="false">IF(J3364="","",ABS(J3364))</f>
        <v>37.875</v>
      </c>
      <c r="O3364" s="33" t="n">
        <f aca="false">IF(K3364="","",ABS(K3364))</f>
        <v>36.3884675937593</v>
      </c>
      <c r="P3364" s="34" t="str">
        <f aca="false">IF(B3364&gt;=Eval_Start_Week,"YES","")</f>
        <v/>
      </c>
      <c r="Q3364" s="34" t="str">
        <f aca="false">IF(AND(B3364&gt;=Cal_Start_Week,B3364&lt;=Cal_End_Week),"YES","")</f>
        <v/>
      </c>
    </row>
    <row r="3365" customFormat="false" ht="15" hidden="false" customHeight="false" outlineLevel="0" collapsed="false">
      <c r="A3365" s="31" t="str">
        <f aca="false">Demand_History!C3365</f>
        <v>ELE-004</v>
      </c>
      <c r="B3365" s="31" t="n">
        <f aca="false">Demand_History!A3365</f>
        <v>36</v>
      </c>
      <c r="C3365" s="32" t="n">
        <f aca="false">Demand_History!D3365</f>
        <v>75</v>
      </c>
      <c r="D3365" s="33" t="n">
        <f aca="false">IF(B3365&gt;=2,C3364,"")</f>
        <v>47</v>
      </c>
      <c r="E3365" s="33" t="n">
        <f aca="false">IF(B3365&gt;=5,AVERAGE(C3361:C3364),"")</f>
        <v>75</v>
      </c>
      <c r="F3365" s="33" t="n">
        <f aca="false">IF(B3365&gt;=9,AVERAGE(C3357:C3364),"")</f>
        <v>80.25</v>
      </c>
      <c r="G3365" s="33" t="n">
        <f aca="false">IF(B3365=1,"",IF(B3365=2,C3364,SES_Alpha*C3364+(1-SES_Alpha)*G3364))</f>
        <v>72.4719273156315</v>
      </c>
      <c r="H3365" s="33" t="n">
        <f aca="false">IF(D3365="","",D3365-C3365)</f>
        <v>-28</v>
      </c>
      <c r="I3365" s="33" t="n">
        <f aca="false">IF(E3365="","",E3365-C3365)</f>
        <v>0</v>
      </c>
      <c r="J3365" s="33" t="n">
        <f aca="false">IF(F3365="","",F3365-C3365)</f>
        <v>5.25</v>
      </c>
      <c r="K3365" s="33" t="n">
        <f aca="false">IF(G3365="","",G3365-C3365)</f>
        <v>-2.52807268436847</v>
      </c>
      <c r="L3365" s="33" t="n">
        <f aca="false">IF(H3365="","",ABS(H3365))</f>
        <v>28</v>
      </c>
      <c r="M3365" s="33" t="n">
        <f aca="false">IF(I3365="","",ABS(I3365))</f>
        <v>0</v>
      </c>
      <c r="N3365" s="33" t="n">
        <f aca="false">IF(J3365="","",ABS(J3365))</f>
        <v>5.25</v>
      </c>
      <c r="O3365" s="33" t="n">
        <f aca="false">IF(K3365="","",ABS(K3365))</f>
        <v>2.52807268436847</v>
      </c>
      <c r="P3365" s="34" t="str">
        <f aca="false">IF(B3365&gt;=Eval_Start_Week,"YES","")</f>
        <v/>
      </c>
      <c r="Q3365" s="34" t="str">
        <f aca="false">IF(AND(B3365&gt;=Cal_Start_Week,B3365&lt;=Cal_End_Week),"YES","")</f>
        <v/>
      </c>
    </row>
    <row r="3366" customFormat="false" ht="15" hidden="false" customHeight="false" outlineLevel="0" collapsed="false">
      <c r="A3366" s="31" t="str">
        <f aca="false">Demand_History!C3366</f>
        <v>ELE-004</v>
      </c>
      <c r="B3366" s="31" t="n">
        <f aca="false">Demand_History!A3366</f>
        <v>37</v>
      </c>
      <c r="C3366" s="32" t="n">
        <f aca="false">Demand_History!D3366</f>
        <v>103</v>
      </c>
      <c r="D3366" s="33" t="n">
        <f aca="false">IF(B3366&gt;=2,C3365,"")</f>
        <v>75</v>
      </c>
      <c r="E3366" s="33" t="n">
        <f aca="false">IF(B3366&gt;=5,AVERAGE(C3362:C3365),"")</f>
        <v>71</v>
      </c>
      <c r="F3366" s="33" t="n">
        <f aca="false">IF(B3366&gt;=9,AVERAGE(C3358:C3365),"")</f>
        <v>78.5</v>
      </c>
      <c r="G3366" s="33" t="n">
        <f aca="false">IF(B3366=1,"",IF(B3366=2,C3365,SES_Alpha*C3365+(1-SES_Alpha)*G3365))</f>
        <v>73.2303491209421</v>
      </c>
      <c r="H3366" s="33" t="n">
        <f aca="false">IF(D3366="","",D3366-C3366)</f>
        <v>-28</v>
      </c>
      <c r="I3366" s="33" t="n">
        <f aca="false">IF(E3366="","",E3366-C3366)</f>
        <v>-32</v>
      </c>
      <c r="J3366" s="33" t="n">
        <f aca="false">IF(F3366="","",F3366-C3366)</f>
        <v>-24.5</v>
      </c>
      <c r="K3366" s="33" t="n">
        <f aca="false">IF(G3366="","",G3366-C3366)</f>
        <v>-29.7696508790579</v>
      </c>
      <c r="L3366" s="33" t="n">
        <f aca="false">IF(H3366="","",ABS(H3366))</f>
        <v>28</v>
      </c>
      <c r="M3366" s="33" t="n">
        <f aca="false">IF(I3366="","",ABS(I3366))</f>
        <v>32</v>
      </c>
      <c r="N3366" s="33" t="n">
        <f aca="false">IF(J3366="","",ABS(J3366))</f>
        <v>24.5</v>
      </c>
      <c r="O3366" s="33" t="n">
        <f aca="false">IF(K3366="","",ABS(K3366))</f>
        <v>29.7696508790579</v>
      </c>
      <c r="P3366" s="34" t="str">
        <f aca="false">IF(B3366&gt;=Eval_Start_Week,"YES","")</f>
        <v/>
      </c>
      <c r="Q3366" s="34" t="str">
        <f aca="false">IF(AND(B3366&gt;=Cal_Start_Week,B3366&lt;=Cal_End_Week),"YES","")</f>
        <v>YES</v>
      </c>
    </row>
    <row r="3367" customFormat="false" ht="15" hidden="false" customHeight="false" outlineLevel="0" collapsed="false">
      <c r="A3367" s="31" t="str">
        <f aca="false">Demand_History!C3367</f>
        <v>ELE-004</v>
      </c>
      <c r="B3367" s="31" t="n">
        <f aca="false">Demand_History!A3367</f>
        <v>38</v>
      </c>
      <c r="C3367" s="32" t="n">
        <f aca="false">Demand_History!D3367</f>
        <v>62</v>
      </c>
      <c r="D3367" s="33" t="n">
        <f aca="false">IF(B3367&gt;=2,C3366,"")</f>
        <v>103</v>
      </c>
      <c r="E3367" s="33" t="n">
        <f aca="false">IF(B3367&gt;=5,AVERAGE(C3363:C3366),"")</f>
        <v>77</v>
      </c>
      <c r="F3367" s="33" t="n">
        <f aca="false">IF(B3367&gt;=9,AVERAGE(C3359:C3366),"")</f>
        <v>79.375</v>
      </c>
      <c r="G3367" s="33" t="n">
        <f aca="false">IF(B3367=1,"",IF(B3367=2,C3366,SES_Alpha*C3366+(1-SES_Alpha)*G3366))</f>
        <v>82.1612443846594</v>
      </c>
      <c r="H3367" s="33" t="n">
        <f aca="false">IF(D3367="","",D3367-C3367)</f>
        <v>41</v>
      </c>
      <c r="I3367" s="33" t="n">
        <f aca="false">IF(E3367="","",E3367-C3367)</f>
        <v>15</v>
      </c>
      <c r="J3367" s="33" t="n">
        <f aca="false">IF(F3367="","",F3367-C3367)</f>
        <v>17.375</v>
      </c>
      <c r="K3367" s="33" t="n">
        <f aca="false">IF(G3367="","",G3367-C3367)</f>
        <v>20.1612443846594</v>
      </c>
      <c r="L3367" s="33" t="n">
        <f aca="false">IF(H3367="","",ABS(H3367))</f>
        <v>41</v>
      </c>
      <c r="M3367" s="33" t="n">
        <f aca="false">IF(I3367="","",ABS(I3367))</f>
        <v>15</v>
      </c>
      <c r="N3367" s="33" t="n">
        <f aca="false">IF(J3367="","",ABS(J3367))</f>
        <v>17.375</v>
      </c>
      <c r="O3367" s="33" t="n">
        <f aca="false">IF(K3367="","",ABS(K3367))</f>
        <v>20.1612443846594</v>
      </c>
      <c r="P3367" s="34" t="str">
        <f aca="false">IF(B3367&gt;=Eval_Start_Week,"YES","")</f>
        <v/>
      </c>
      <c r="Q3367" s="34" t="str">
        <f aca="false">IF(AND(B3367&gt;=Cal_Start_Week,B3367&lt;=Cal_End_Week),"YES","")</f>
        <v>YES</v>
      </c>
    </row>
    <row r="3368" customFormat="false" ht="15" hidden="false" customHeight="false" outlineLevel="0" collapsed="false">
      <c r="A3368" s="31" t="str">
        <f aca="false">Demand_History!C3368</f>
        <v>ELE-004</v>
      </c>
      <c r="B3368" s="31" t="n">
        <f aca="false">Demand_History!A3368</f>
        <v>39</v>
      </c>
      <c r="C3368" s="32" t="n">
        <f aca="false">Demand_History!D3368</f>
        <v>77</v>
      </c>
      <c r="D3368" s="33" t="n">
        <f aca="false">IF(B3368&gt;=2,C3367,"")</f>
        <v>62</v>
      </c>
      <c r="E3368" s="33" t="n">
        <f aca="false">IF(B3368&gt;=5,AVERAGE(C3364:C3367),"")</f>
        <v>71.75</v>
      </c>
      <c r="F3368" s="33" t="n">
        <f aca="false">IF(B3368&gt;=9,AVERAGE(C3360:C3367),"")</f>
        <v>78.75</v>
      </c>
      <c r="G3368" s="33" t="n">
        <f aca="false">IF(B3368=1,"",IF(B3368=2,C3367,SES_Alpha*C3367+(1-SES_Alpha)*G3367))</f>
        <v>76.1128710692616</v>
      </c>
      <c r="H3368" s="33" t="n">
        <f aca="false">IF(D3368="","",D3368-C3368)</f>
        <v>-15</v>
      </c>
      <c r="I3368" s="33" t="n">
        <f aca="false">IF(E3368="","",E3368-C3368)</f>
        <v>-5.25</v>
      </c>
      <c r="J3368" s="33" t="n">
        <f aca="false">IF(F3368="","",F3368-C3368)</f>
        <v>1.75</v>
      </c>
      <c r="K3368" s="33" t="n">
        <f aca="false">IF(G3368="","",G3368-C3368)</f>
        <v>-0.887128930738399</v>
      </c>
      <c r="L3368" s="33" t="n">
        <f aca="false">IF(H3368="","",ABS(H3368))</f>
        <v>15</v>
      </c>
      <c r="M3368" s="33" t="n">
        <f aca="false">IF(I3368="","",ABS(I3368))</f>
        <v>5.25</v>
      </c>
      <c r="N3368" s="33" t="n">
        <f aca="false">IF(J3368="","",ABS(J3368))</f>
        <v>1.75</v>
      </c>
      <c r="O3368" s="33" t="n">
        <f aca="false">IF(K3368="","",ABS(K3368))</f>
        <v>0.887128930738399</v>
      </c>
      <c r="P3368" s="34" t="str">
        <f aca="false">IF(B3368&gt;=Eval_Start_Week,"YES","")</f>
        <v/>
      </c>
      <c r="Q3368" s="34" t="str">
        <f aca="false">IF(AND(B3368&gt;=Cal_Start_Week,B3368&lt;=Cal_End_Week),"YES","")</f>
        <v>YES</v>
      </c>
    </row>
    <row r="3369" customFormat="false" ht="15" hidden="false" customHeight="false" outlineLevel="0" collapsed="false">
      <c r="A3369" s="31" t="str">
        <f aca="false">Demand_History!C3369</f>
        <v>ELE-004</v>
      </c>
      <c r="B3369" s="31" t="n">
        <f aca="false">Demand_History!A3369</f>
        <v>40</v>
      </c>
      <c r="C3369" s="32" t="n">
        <f aca="false">Demand_History!D3369</f>
        <v>87</v>
      </c>
      <c r="D3369" s="33" t="n">
        <f aca="false">IF(B3369&gt;=2,C3368,"")</f>
        <v>77</v>
      </c>
      <c r="E3369" s="33" t="n">
        <f aca="false">IF(B3369&gt;=5,AVERAGE(C3365:C3368),"")</f>
        <v>79.25</v>
      </c>
      <c r="F3369" s="33" t="n">
        <f aca="false">IF(B3369&gt;=9,AVERAGE(C3361:C3368),"")</f>
        <v>77.125</v>
      </c>
      <c r="G3369" s="33" t="n">
        <f aca="false">IF(B3369=1,"",IF(B3369=2,C3368,SES_Alpha*C3368+(1-SES_Alpha)*G3368))</f>
        <v>76.3790097484831</v>
      </c>
      <c r="H3369" s="33" t="n">
        <f aca="false">IF(D3369="","",D3369-C3369)</f>
        <v>-10</v>
      </c>
      <c r="I3369" s="33" t="n">
        <f aca="false">IF(E3369="","",E3369-C3369)</f>
        <v>-7.75</v>
      </c>
      <c r="J3369" s="33" t="n">
        <f aca="false">IF(F3369="","",F3369-C3369)</f>
        <v>-9.875</v>
      </c>
      <c r="K3369" s="33" t="n">
        <f aca="false">IF(G3369="","",G3369-C3369)</f>
        <v>-10.6209902515169</v>
      </c>
      <c r="L3369" s="33" t="n">
        <f aca="false">IF(H3369="","",ABS(H3369))</f>
        <v>10</v>
      </c>
      <c r="M3369" s="33" t="n">
        <f aca="false">IF(I3369="","",ABS(I3369))</f>
        <v>7.75</v>
      </c>
      <c r="N3369" s="33" t="n">
        <f aca="false">IF(J3369="","",ABS(J3369))</f>
        <v>9.875</v>
      </c>
      <c r="O3369" s="33" t="n">
        <f aca="false">IF(K3369="","",ABS(K3369))</f>
        <v>10.6209902515169</v>
      </c>
      <c r="P3369" s="34" t="str">
        <f aca="false">IF(B3369&gt;=Eval_Start_Week,"YES","")</f>
        <v/>
      </c>
      <c r="Q3369" s="34" t="str">
        <f aca="false">IF(AND(B3369&gt;=Cal_Start_Week,B3369&lt;=Cal_End_Week),"YES","")</f>
        <v>YES</v>
      </c>
    </row>
    <row r="3370" customFormat="false" ht="15" hidden="false" customHeight="false" outlineLevel="0" collapsed="false">
      <c r="A3370" s="31" t="str">
        <f aca="false">Demand_History!C3370</f>
        <v>ELE-004</v>
      </c>
      <c r="B3370" s="31" t="n">
        <f aca="false">Demand_History!A3370</f>
        <v>41</v>
      </c>
      <c r="C3370" s="32" t="n">
        <f aca="false">Demand_History!D3370</f>
        <v>92</v>
      </c>
      <c r="D3370" s="33" t="n">
        <f aca="false">IF(B3370&gt;=2,C3369,"")</f>
        <v>87</v>
      </c>
      <c r="E3370" s="33" t="n">
        <f aca="false">IF(B3370&gt;=5,AVERAGE(C3366:C3369),"")</f>
        <v>82.25</v>
      </c>
      <c r="F3370" s="33" t="n">
        <f aca="false">IF(B3370&gt;=9,AVERAGE(C3362:C3369),"")</f>
        <v>76.625</v>
      </c>
      <c r="G3370" s="33" t="n">
        <f aca="false">IF(B3370=1,"",IF(B3370=2,C3369,SES_Alpha*C3369+(1-SES_Alpha)*G3369))</f>
        <v>79.5653068239382</v>
      </c>
      <c r="H3370" s="33" t="n">
        <f aca="false">IF(D3370="","",D3370-C3370)</f>
        <v>-5</v>
      </c>
      <c r="I3370" s="33" t="n">
        <f aca="false">IF(E3370="","",E3370-C3370)</f>
        <v>-9.75</v>
      </c>
      <c r="J3370" s="33" t="n">
        <f aca="false">IF(F3370="","",F3370-C3370)</f>
        <v>-15.375</v>
      </c>
      <c r="K3370" s="33" t="n">
        <f aca="false">IF(G3370="","",G3370-C3370)</f>
        <v>-12.4346931760618</v>
      </c>
      <c r="L3370" s="33" t="n">
        <f aca="false">IF(H3370="","",ABS(H3370))</f>
        <v>5</v>
      </c>
      <c r="M3370" s="33" t="n">
        <f aca="false">IF(I3370="","",ABS(I3370))</f>
        <v>9.75</v>
      </c>
      <c r="N3370" s="33" t="n">
        <f aca="false">IF(J3370="","",ABS(J3370))</f>
        <v>15.375</v>
      </c>
      <c r="O3370" s="33" t="n">
        <f aca="false">IF(K3370="","",ABS(K3370))</f>
        <v>12.4346931760618</v>
      </c>
      <c r="P3370" s="34" t="str">
        <f aca="false">IF(B3370&gt;=Eval_Start_Week,"YES","")</f>
        <v/>
      </c>
      <c r="Q3370" s="34" t="str">
        <f aca="false">IF(AND(B3370&gt;=Cal_Start_Week,B3370&lt;=Cal_End_Week),"YES","")</f>
        <v>YES</v>
      </c>
    </row>
    <row r="3371" customFormat="false" ht="15" hidden="false" customHeight="false" outlineLevel="0" collapsed="false">
      <c r="A3371" s="31" t="str">
        <f aca="false">Demand_History!C3371</f>
        <v>ELE-004</v>
      </c>
      <c r="B3371" s="31" t="n">
        <f aca="false">Demand_History!A3371</f>
        <v>42</v>
      </c>
      <c r="C3371" s="32" t="n">
        <f aca="false">Demand_History!D3371</f>
        <v>105</v>
      </c>
      <c r="D3371" s="33" t="n">
        <f aca="false">IF(B3371&gt;=2,C3370,"")</f>
        <v>92</v>
      </c>
      <c r="E3371" s="33" t="n">
        <f aca="false">IF(B3371&gt;=5,AVERAGE(C3367:C3370),"")</f>
        <v>79.5</v>
      </c>
      <c r="F3371" s="33" t="n">
        <f aca="false">IF(B3371&gt;=9,AVERAGE(C3363:C3370),"")</f>
        <v>78.25</v>
      </c>
      <c r="G3371" s="33" t="n">
        <f aca="false">IF(B3371=1,"",IF(B3371=2,C3370,SES_Alpha*C3370+(1-SES_Alpha)*G3370))</f>
        <v>83.2957147767567</v>
      </c>
      <c r="H3371" s="33" t="n">
        <f aca="false">IF(D3371="","",D3371-C3371)</f>
        <v>-13</v>
      </c>
      <c r="I3371" s="33" t="n">
        <f aca="false">IF(E3371="","",E3371-C3371)</f>
        <v>-25.5</v>
      </c>
      <c r="J3371" s="33" t="n">
        <f aca="false">IF(F3371="","",F3371-C3371)</f>
        <v>-26.75</v>
      </c>
      <c r="K3371" s="33" t="n">
        <f aca="false">IF(G3371="","",G3371-C3371)</f>
        <v>-21.7042852232433</v>
      </c>
      <c r="L3371" s="33" t="n">
        <f aca="false">IF(H3371="","",ABS(H3371))</f>
        <v>13</v>
      </c>
      <c r="M3371" s="33" t="n">
        <f aca="false">IF(I3371="","",ABS(I3371))</f>
        <v>25.5</v>
      </c>
      <c r="N3371" s="33" t="n">
        <f aca="false">IF(J3371="","",ABS(J3371))</f>
        <v>26.75</v>
      </c>
      <c r="O3371" s="33" t="n">
        <f aca="false">IF(K3371="","",ABS(K3371))</f>
        <v>21.7042852232433</v>
      </c>
      <c r="P3371" s="34" t="str">
        <f aca="false">IF(B3371&gt;=Eval_Start_Week,"YES","")</f>
        <v/>
      </c>
      <c r="Q3371" s="34" t="str">
        <f aca="false">IF(AND(B3371&gt;=Cal_Start_Week,B3371&lt;=Cal_End_Week),"YES","")</f>
        <v>YES</v>
      </c>
    </row>
    <row r="3372" customFormat="false" ht="15" hidden="false" customHeight="false" outlineLevel="0" collapsed="false">
      <c r="A3372" s="31" t="str">
        <f aca="false">Demand_History!C3372</f>
        <v>ELE-004</v>
      </c>
      <c r="B3372" s="31" t="n">
        <f aca="false">Demand_History!A3372</f>
        <v>43</v>
      </c>
      <c r="C3372" s="32" t="n">
        <f aca="false">Demand_History!D3372</f>
        <v>65</v>
      </c>
      <c r="D3372" s="33" t="n">
        <f aca="false">IF(B3372&gt;=2,C3371,"")</f>
        <v>105</v>
      </c>
      <c r="E3372" s="33" t="n">
        <f aca="false">IF(B3372&gt;=5,AVERAGE(C3368:C3371),"")</f>
        <v>90.25</v>
      </c>
      <c r="F3372" s="33" t="n">
        <f aca="false">IF(B3372&gt;=9,AVERAGE(C3364:C3371),"")</f>
        <v>81</v>
      </c>
      <c r="G3372" s="33" t="n">
        <f aca="false">IF(B3372=1,"",IF(B3372=2,C3371,SES_Alpha*C3371+(1-SES_Alpha)*G3371))</f>
        <v>89.8070003437297</v>
      </c>
      <c r="H3372" s="33" t="n">
        <f aca="false">IF(D3372="","",D3372-C3372)</f>
        <v>40</v>
      </c>
      <c r="I3372" s="33" t="n">
        <f aca="false">IF(E3372="","",E3372-C3372)</f>
        <v>25.25</v>
      </c>
      <c r="J3372" s="33" t="n">
        <f aca="false">IF(F3372="","",F3372-C3372)</f>
        <v>16</v>
      </c>
      <c r="K3372" s="33" t="n">
        <f aca="false">IF(G3372="","",G3372-C3372)</f>
        <v>24.8070003437297</v>
      </c>
      <c r="L3372" s="33" t="n">
        <f aca="false">IF(H3372="","",ABS(H3372))</f>
        <v>40</v>
      </c>
      <c r="M3372" s="33" t="n">
        <f aca="false">IF(I3372="","",ABS(I3372))</f>
        <v>25.25</v>
      </c>
      <c r="N3372" s="33" t="n">
        <f aca="false">IF(J3372="","",ABS(J3372))</f>
        <v>16</v>
      </c>
      <c r="O3372" s="33" t="n">
        <f aca="false">IF(K3372="","",ABS(K3372))</f>
        <v>24.8070003437297</v>
      </c>
      <c r="P3372" s="34" t="str">
        <f aca="false">IF(B3372&gt;=Eval_Start_Week,"YES","")</f>
        <v/>
      </c>
      <c r="Q3372" s="34" t="str">
        <f aca="false">IF(AND(B3372&gt;=Cal_Start_Week,B3372&lt;=Cal_End_Week),"YES","")</f>
        <v>YES</v>
      </c>
    </row>
    <row r="3373" customFormat="false" ht="15" hidden="false" customHeight="false" outlineLevel="0" collapsed="false">
      <c r="A3373" s="31" t="str">
        <f aca="false">Demand_History!C3373</f>
        <v>ELE-004</v>
      </c>
      <c r="B3373" s="31" t="n">
        <f aca="false">Demand_History!A3373</f>
        <v>44</v>
      </c>
      <c r="C3373" s="32" t="n">
        <f aca="false">Demand_History!D3373</f>
        <v>87</v>
      </c>
      <c r="D3373" s="33" t="n">
        <f aca="false">IF(B3373&gt;=2,C3372,"")</f>
        <v>65</v>
      </c>
      <c r="E3373" s="33" t="n">
        <f aca="false">IF(B3373&gt;=5,AVERAGE(C3369:C3372),"")</f>
        <v>87.25</v>
      </c>
      <c r="F3373" s="33" t="n">
        <f aca="false">IF(B3373&gt;=9,AVERAGE(C3365:C3372),"")</f>
        <v>83.25</v>
      </c>
      <c r="G3373" s="33" t="n">
        <f aca="false">IF(B3373=1,"",IF(B3373=2,C3372,SES_Alpha*C3372+(1-SES_Alpha)*G3372))</f>
        <v>82.3649002406108</v>
      </c>
      <c r="H3373" s="33" t="n">
        <f aca="false">IF(D3373="","",D3373-C3373)</f>
        <v>-22</v>
      </c>
      <c r="I3373" s="33" t="n">
        <f aca="false">IF(E3373="","",E3373-C3373)</f>
        <v>0.25</v>
      </c>
      <c r="J3373" s="33" t="n">
        <f aca="false">IF(F3373="","",F3373-C3373)</f>
        <v>-3.75</v>
      </c>
      <c r="K3373" s="33" t="n">
        <f aca="false">IF(G3373="","",G3373-C3373)</f>
        <v>-4.63509975938922</v>
      </c>
      <c r="L3373" s="33" t="n">
        <f aca="false">IF(H3373="","",ABS(H3373))</f>
        <v>22</v>
      </c>
      <c r="M3373" s="33" t="n">
        <f aca="false">IF(I3373="","",ABS(I3373))</f>
        <v>0.25</v>
      </c>
      <c r="N3373" s="33" t="n">
        <f aca="false">IF(J3373="","",ABS(J3373))</f>
        <v>3.75</v>
      </c>
      <c r="O3373" s="33" t="n">
        <f aca="false">IF(K3373="","",ABS(K3373))</f>
        <v>4.63509975938922</v>
      </c>
      <c r="P3373" s="34" t="str">
        <f aca="false">IF(B3373&gt;=Eval_Start_Week,"YES","")</f>
        <v/>
      </c>
      <c r="Q3373" s="34" t="str">
        <f aca="false">IF(AND(B3373&gt;=Cal_Start_Week,B3373&lt;=Cal_End_Week),"YES","")</f>
        <v>YES</v>
      </c>
    </row>
    <row r="3374" customFormat="false" ht="15" hidden="false" customHeight="false" outlineLevel="0" collapsed="false">
      <c r="A3374" s="31" t="str">
        <f aca="false">Demand_History!C3374</f>
        <v>ELE-004</v>
      </c>
      <c r="B3374" s="31" t="n">
        <f aca="false">Demand_History!A3374</f>
        <v>45</v>
      </c>
      <c r="C3374" s="32" t="n">
        <f aca="false">Demand_History!D3374</f>
        <v>98</v>
      </c>
      <c r="D3374" s="33" t="n">
        <f aca="false">IF(B3374&gt;=2,C3373,"")</f>
        <v>87</v>
      </c>
      <c r="E3374" s="33" t="n">
        <f aca="false">IF(B3374&gt;=5,AVERAGE(C3370:C3373),"")</f>
        <v>87.25</v>
      </c>
      <c r="F3374" s="33" t="n">
        <f aca="false">IF(B3374&gt;=9,AVERAGE(C3366:C3373),"")</f>
        <v>84.75</v>
      </c>
      <c r="G3374" s="33" t="n">
        <f aca="false">IF(B3374=1,"",IF(B3374=2,C3373,SES_Alpha*C3373+(1-SES_Alpha)*G3373))</f>
        <v>83.7554301684275</v>
      </c>
      <c r="H3374" s="33" t="n">
        <f aca="false">IF(D3374="","",D3374-C3374)</f>
        <v>-11</v>
      </c>
      <c r="I3374" s="33" t="n">
        <f aca="false">IF(E3374="","",E3374-C3374)</f>
        <v>-10.75</v>
      </c>
      <c r="J3374" s="33" t="n">
        <f aca="false">IF(F3374="","",F3374-C3374)</f>
        <v>-13.25</v>
      </c>
      <c r="K3374" s="33" t="n">
        <f aca="false">IF(G3374="","",G3374-C3374)</f>
        <v>-14.2445698315725</v>
      </c>
      <c r="L3374" s="33" t="n">
        <f aca="false">IF(H3374="","",ABS(H3374))</f>
        <v>11</v>
      </c>
      <c r="M3374" s="33" t="n">
        <f aca="false">IF(I3374="","",ABS(I3374))</f>
        <v>10.75</v>
      </c>
      <c r="N3374" s="33" t="n">
        <f aca="false">IF(J3374="","",ABS(J3374))</f>
        <v>13.25</v>
      </c>
      <c r="O3374" s="33" t="n">
        <f aca="false">IF(K3374="","",ABS(K3374))</f>
        <v>14.2445698315725</v>
      </c>
      <c r="P3374" s="34" t="str">
        <f aca="false">IF(B3374&gt;=Eval_Start_Week,"YES","")</f>
        <v/>
      </c>
      <c r="Q3374" s="34" t="str">
        <f aca="false">IF(AND(B3374&gt;=Cal_Start_Week,B3374&lt;=Cal_End_Week),"YES","")</f>
        <v>YES</v>
      </c>
    </row>
    <row r="3375" customFormat="false" ht="15" hidden="false" customHeight="false" outlineLevel="0" collapsed="false">
      <c r="A3375" s="31" t="str">
        <f aca="false">Demand_History!C3375</f>
        <v>ELE-004</v>
      </c>
      <c r="B3375" s="31" t="n">
        <f aca="false">Demand_History!A3375</f>
        <v>46</v>
      </c>
      <c r="C3375" s="32" t="n">
        <f aca="false">Demand_History!D3375</f>
        <v>72</v>
      </c>
      <c r="D3375" s="33" t="n">
        <f aca="false">IF(B3375&gt;=2,C3374,"")</f>
        <v>98</v>
      </c>
      <c r="E3375" s="33" t="n">
        <f aca="false">IF(B3375&gt;=5,AVERAGE(C3371:C3374),"")</f>
        <v>88.75</v>
      </c>
      <c r="F3375" s="33" t="n">
        <f aca="false">IF(B3375&gt;=9,AVERAGE(C3367:C3374),"")</f>
        <v>84.125</v>
      </c>
      <c r="G3375" s="33" t="n">
        <f aca="false">IF(B3375=1,"",IF(B3375=2,C3374,SES_Alpha*C3374+(1-SES_Alpha)*G3374))</f>
        <v>88.0288011178993</v>
      </c>
      <c r="H3375" s="33" t="n">
        <f aca="false">IF(D3375="","",D3375-C3375)</f>
        <v>26</v>
      </c>
      <c r="I3375" s="33" t="n">
        <f aca="false">IF(E3375="","",E3375-C3375)</f>
        <v>16.75</v>
      </c>
      <c r="J3375" s="33" t="n">
        <f aca="false">IF(F3375="","",F3375-C3375)</f>
        <v>12.125</v>
      </c>
      <c r="K3375" s="33" t="n">
        <f aca="false">IF(G3375="","",G3375-C3375)</f>
        <v>16.0288011178993</v>
      </c>
      <c r="L3375" s="33" t="n">
        <f aca="false">IF(H3375="","",ABS(H3375))</f>
        <v>26</v>
      </c>
      <c r="M3375" s="33" t="n">
        <f aca="false">IF(I3375="","",ABS(I3375))</f>
        <v>16.75</v>
      </c>
      <c r="N3375" s="33" t="n">
        <f aca="false">IF(J3375="","",ABS(J3375))</f>
        <v>12.125</v>
      </c>
      <c r="O3375" s="33" t="n">
        <f aca="false">IF(K3375="","",ABS(K3375))</f>
        <v>16.0288011178993</v>
      </c>
      <c r="P3375" s="34" t="str">
        <f aca="false">IF(B3375&gt;=Eval_Start_Week,"YES","")</f>
        <v/>
      </c>
      <c r="Q3375" s="34" t="str">
        <f aca="false">IF(AND(B3375&gt;=Cal_Start_Week,B3375&lt;=Cal_End_Week),"YES","")</f>
        <v>YES</v>
      </c>
    </row>
    <row r="3376" customFormat="false" ht="15" hidden="false" customHeight="false" outlineLevel="0" collapsed="false">
      <c r="A3376" s="31" t="str">
        <f aca="false">Demand_History!C3376</f>
        <v>ELE-004</v>
      </c>
      <c r="B3376" s="31" t="n">
        <f aca="false">Demand_History!A3376</f>
        <v>47</v>
      </c>
      <c r="C3376" s="32" t="n">
        <f aca="false">Demand_History!D3376</f>
        <v>88</v>
      </c>
      <c r="D3376" s="33" t="n">
        <f aca="false">IF(B3376&gt;=2,C3375,"")</f>
        <v>72</v>
      </c>
      <c r="E3376" s="33" t="n">
        <f aca="false">IF(B3376&gt;=5,AVERAGE(C3372:C3375),"")</f>
        <v>80.5</v>
      </c>
      <c r="F3376" s="33" t="n">
        <f aca="false">IF(B3376&gt;=9,AVERAGE(C3368:C3375),"")</f>
        <v>85.375</v>
      </c>
      <c r="G3376" s="33" t="n">
        <f aca="false">IF(B3376=1,"",IF(B3376=2,C3375,SES_Alpha*C3375+(1-SES_Alpha)*G3375))</f>
        <v>83.2201607825295</v>
      </c>
      <c r="H3376" s="33" t="n">
        <f aca="false">IF(D3376="","",D3376-C3376)</f>
        <v>-16</v>
      </c>
      <c r="I3376" s="33" t="n">
        <f aca="false">IF(E3376="","",E3376-C3376)</f>
        <v>-7.5</v>
      </c>
      <c r="J3376" s="33" t="n">
        <f aca="false">IF(F3376="","",F3376-C3376)</f>
        <v>-2.625</v>
      </c>
      <c r="K3376" s="33" t="n">
        <f aca="false">IF(G3376="","",G3376-C3376)</f>
        <v>-4.77983921747052</v>
      </c>
      <c r="L3376" s="33" t="n">
        <f aca="false">IF(H3376="","",ABS(H3376))</f>
        <v>16</v>
      </c>
      <c r="M3376" s="33" t="n">
        <f aca="false">IF(I3376="","",ABS(I3376))</f>
        <v>7.5</v>
      </c>
      <c r="N3376" s="33" t="n">
        <f aca="false">IF(J3376="","",ABS(J3376))</f>
        <v>2.625</v>
      </c>
      <c r="O3376" s="33" t="n">
        <f aca="false">IF(K3376="","",ABS(K3376))</f>
        <v>4.77983921747052</v>
      </c>
      <c r="P3376" s="34" t="str">
        <f aca="false">IF(B3376&gt;=Eval_Start_Week,"YES","")</f>
        <v/>
      </c>
      <c r="Q3376" s="34" t="str">
        <f aca="false">IF(AND(B3376&gt;=Cal_Start_Week,B3376&lt;=Cal_End_Week),"YES","")</f>
        <v>YES</v>
      </c>
    </row>
    <row r="3377" customFormat="false" ht="15" hidden="false" customHeight="false" outlineLevel="0" collapsed="false">
      <c r="A3377" s="31" t="str">
        <f aca="false">Demand_History!C3377</f>
        <v>ELE-004</v>
      </c>
      <c r="B3377" s="31" t="n">
        <f aca="false">Demand_History!A3377</f>
        <v>48</v>
      </c>
      <c r="C3377" s="32" t="n">
        <f aca="false">Demand_History!D3377</f>
        <v>113</v>
      </c>
      <c r="D3377" s="33" t="n">
        <f aca="false">IF(B3377&gt;=2,C3376,"")</f>
        <v>88</v>
      </c>
      <c r="E3377" s="33" t="n">
        <f aca="false">IF(B3377&gt;=5,AVERAGE(C3373:C3376),"")</f>
        <v>86.25</v>
      </c>
      <c r="F3377" s="33" t="n">
        <f aca="false">IF(B3377&gt;=9,AVERAGE(C3369:C3376),"")</f>
        <v>86.75</v>
      </c>
      <c r="G3377" s="33" t="n">
        <f aca="false">IF(B3377=1,"",IF(B3377=2,C3376,SES_Alpha*C3376+(1-SES_Alpha)*G3376))</f>
        <v>84.6541125477706</v>
      </c>
      <c r="H3377" s="33" t="n">
        <f aca="false">IF(D3377="","",D3377-C3377)</f>
        <v>-25</v>
      </c>
      <c r="I3377" s="33" t="n">
        <f aca="false">IF(E3377="","",E3377-C3377)</f>
        <v>-26.75</v>
      </c>
      <c r="J3377" s="33" t="n">
        <f aca="false">IF(F3377="","",F3377-C3377)</f>
        <v>-26.25</v>
      </c>
      <c r="K3377" s="33" t="n">
        <f aca="false">IF(G3377="","",G3377-C3377)</f>
        <v>-28.3458874522294</v>
      </c>
      <c r="L3377" s="33" t="n">
        <f aca="false">IF(H3377="","",ABS(H3377))</f>
        <v>25</v>
      </c>
      <c r="M3377" s="33" t="n">
        <f aca="false">IF(I3377="","",ABS(I3377))</f>
        <v>26.75</v>
      </c>
      <c r="N3377" s="33" t="n">
        <f aca="false">IF(J3377="","",ABS(J3377))</f>
        <v>26.25</v>
      </c>
      <c r="O3377" s="33" t="n">
        <f aca="false">IF(K3377="","",ABS(K3377))</f>
        <v>28.3458874522294</v>
      </c>
      <c r="P3377" s="34" t="str">
        <f aca="false">IF(B3377&gt;=Eval_Start_Week,"YES","")</f>
        <v/>
      </c>
      <c r="Q3377" s="34" t="str">
        <f aca="false">IF(AND(B3377&gt;=Cal_Start_Week,B3377&lt;=Cal_End_Week),"YES","")</f>
        <v>YES</v>
      </c>
    </row>
    <row r="3378" customFormat="false" ht="15" hidden="false" customHeight="false" outlineLevel="0" collapsed="false">
      <c r="A3378" s="31" t="str">
        <f aca="false">Demand_History!C3378</f>
        <v>ELE-004</v>
      </c>
      <c r="B3378" s="31" t="n">
        <f aca="false">Demand_History!A3378</f>
        <v>49</v>
      </c>
      <c r="C3378" s="32" t="n">
        <f aca="false">Demand_History!D3378</f>
        <v>107</v>
      </c>
      <c r="D3378" s="33" t="n">
        <f aca="false">IF(B3378&gt;=2,C3377,"")</f>
        <v>113</v>
      </c>
      <c r="E3378" s="33" t="n">
        <f aca="false">IF(B3378&gt;=5,AVERAGE(C3374:C3377),"")</f>
        <v>92.75</v>
      </c>
      <c r="F3378" s="33" t="n">
        <f aca="false">IF(B3378&gt;=9,AVERAGE(C3370:C3377),"")</f>
        <v>90</v>
      </c>
      <c r="G3378" s="33" t="n">
        <f aca="false">IF(B3378=1,"",IF(B3378=2,C3377,SES_Alpha*C3377+(1-SES_Alpha)*G3377))</f>
        <v>93.1578787834394</v>
      </c>
      <c r="H3378" s="33" t="n">
        <f aca="false">IF(D3378="","",D3378-C3378)</f>
        <v>6</v>
      </c>
      <c r="I3378" s="33" t="n">
        <f aca="false">IF(E3378="","",E3378-C3378)</f>
        <v>-14.25</v>
      </c>
      <c r="J3378" s="33" t="n">
        <f aca="false">IF(F3378="","",F3378-C3378)</f>
        <v>-17</v>
      </c>
      <c r="K3378" s="33" t="n">
        <f aca="false">IF(G3378="","",G3378-C3378)</f>
        <v>-13.8421212165606</v>
      </c>
      <c r="L3378" s="33" t="n">
        <f aca="false">IF(H3378="","",ABS(H3378))</f>
        <v>6</v>
      </c>
      <c r="M3378" s="33" t="n">
        <f aca="false">IF(I3378="","",ABS(I3378))</f>
        <v>14.25</v>
      </c>
      <c r="N3378" s="33" t="n">
        <f aca="false">IF(J3378="","",ABS(J3378))</f>
        <v>17</v>
      </c>
      <c r="O3378" s="33" t="n">
        <f aca="false">IF(K3378="","",ABS(K3378))</f>
        <v>13.8421212165606</v>
      </c>
      <c r="P3378" s="34" t="str">
        <f aca="false">IF(B3378&gt;=Eval_Start_Week,"YES","")</f>
        <v/>
      </c>
      <c r="Q3378" s="34" t="str">
        <f aca="false">IF(AND(B3378&gt;=Cal_Start_Week,B3378&lt;=Cal_End_Week),"YES","")</f>
        <v>YES</v>
      </c>
    </row>
    <row r="3379" customFormat="false" ht="15" hidden="false" customHeight="false" outlineLevel="0" collapsed="false">
      <c r="A3379" s="31" t="str">
        <f aca="false">Demand_History!C3379</f>
        <v>ELE-004</v>
      </c>
      <c r="B3379" s="31" t="n">
        <f aca="false">Demand_History!A3379</f>
        <v>50</v>
      </c>
      <c r="C3379" s="32" t="n">
        <f aca="false">Demand_History!D3379</f>
        <v>97</v>
      </c>
      <c r="D3379" s="33" t="n">
        <f aca="false">IF(B3379&gt;=2,C3378,"")</f>
        <v>107</v>
      </c>
      <c r="E3379" s="33" t="n">
        <f aca="false">IF(B3379&gt;=5,AVERAGE(C3375:C3378),"")</f>
        <v>95</v>
      </c>
      <c r="F3379" s="33" t="n">
        <f aca="false">IF(B3379&gt;=9,AVERAGE(C3371:C3378),"")</f>
        <v>91.875</v>
      </c>
      <c r="G3379" s="33" t="n">
        <f aca="false">IF(B3379=1,"",IF(B3379=2,C3378,SES_Alpha*C3378+(1-SES_Alpha)*G3378))</f>
        <v>97.3105151484076</v>
      </c>
      <c r="H3379" s="33" t="n">
        <f aca="false">IF(D3379="","",D3379-C3379)</f>
        <v>10</v>
      </c>
      <c r="I3379" s="33" t="n">
        <f aca="false">IF(E3379="","",E3379-C3379)</f>
        <v>-2</v>
      </c>
      <c r="J3379" s="33" t="n">
        <f aca="false">IF(F3379="","",F3379-C3379)</f>
        <v>-5.125</v>
      </c>
      <c r="K3379" s="33" t="n">
        <f aca="false">IF(G3379="","",G3379-C3379)</f>
        <v>0.310515148407603</v>
      </c>
      <c r="L3379" s="33" t="n">
        <f aca="false">IF(H3379="","",ABS(H3379))</f>
        <v>10</v>
      </c>
      <c r="M3379" s="33" t="n">
        <f aca="false">IF(I3379="","",ABS(I3379))</f>
        <v>2</v>
      </c>
      <c r="N3379" s="33" t="n">
        <f aca="false">IF(J3379="","",ABS(J3379))</f>
        <v>5.125</v>
      </c>
      <c r="O3379" s="33" t="n">
        <f aca="false">IF(K3379="","",ABS(K3379))</f>
        <v>0.310515148407603</v>
      </c>
      <c r="P3379" s="34" t="str">
        <f aca="false">IF(B3379&gt;=Eval_Start_Week,"YES","")</f>
        <v/>
      </c>
      <c r="Q3379" s="34" t="str">
        <f aca="false">IF(AND(B3379&gt;=Cal_Start_Week,B3379&lt;=Cal_End_Week),"YES","")</f>
        <v>YES</v>
      </c>
    </row>
    <row r="3380" customFormat="false" ht="15" hidden="false" customHeight="false" outlineLevel="0" collapsed="false">
      <c r="A3380" s="31" t="str">
        <f aca="false">Demand_History!C3380</f>
        <v>ELE-004</v>
      </c>
      <c r="B3380" s="31" t="n">
        <f aca="false">Demand_History!A3380</f>
        <v>51</v>
      </c>
      <c r="C3380" s="32" t="n">
        <f aca="false">Demand_History!D3380</f>
        <v>58</v>
      </c>
      <c r="D3380" s="33" t="n">
        <f aca="false">IF(B3380&gt;=2,C3379,"")</f>
        <v>97</v>
      </c>
      <c r="E3380" s="33" t="n">
        <f aca="false">IF(B3380&gt;=5,AVERAGE(C3376:C3379),"")</f>
        <v>101.25</v>
      </c>
      <c r="F3380" s="33" t="n">
        <f aca="false">IF(B3380&gt;=9,AVERAGE(C3372:C3379),"")</f>
        <v>90.875</v>
      </c>
      <c r="G3380" s="33" t="n">
        <f aca="false">IF(B3380=1,"",IF(B3380=2,C3379,SES_Alpha*C3379+(1-SES_Alpha)*G3379))</f>
        <v>97.2173606038853</v>
      </c>
      <c r="H3380" s="33" t="n">
        <f aca="false">IF(D3380="","",D3380-C3380)</f>
        <v>39</v>
      </c>
      <c r="I3380" s="33" t="n">
        <f aca="false">IF(E3380="","",E3380-C3380)</f>
        <v>43.25</v>
      </c>
      <c r="J3380" s="33" t="n">
        <f aca="false">IF(F3380="","",F3380-C3380)</f>
        <v>32.875</v>
      </c>
      <c r="K3380" s="33" t="n">
        <f aca="false">IF(G3380="","",G3380-C3380)</f>
        <v>39.2173606038853</v>
      </c>
      <c r="L3380" s="33" t="n">
        <f aca="false">IF(H3380="","",ABS(H3380))</f>
        <v>39</v>
      </c>
      <c r="M3380" s="33" t="n">
        <f aca="false">IF(I3380="","",ABS(I3380))</f>
        <v>43.25</v>
      </c>
      <c r="N3380" s="33" t="n">
        <f aca="false">IF(J3380="","",ABS(J3380))</f>
        <v>32.875</v>
      </c>
      <c r="O3380" s="33" t="n">
        <f aca="false">IF(K3380="","",ABS(K3380))</f>
        <v>39.2173606038853</v>
      </c>
      <c r="P3380" s="34" t="str">
        <f aca="false">IF(B3380&gt;=Eval_Start_Week,"YES","")</f>
        <v/>
      </c>
      <c r="Q3380" s="34" t="str">
        <f aca="false">IF(AND(B3380&gt;=Cal_Start_Week,B3380&lt;=Cal_End_Week),"YES","")</f>
        <v>YES</v>
      </c>
    </row>
    <row r="3381" customFormat="false" ht="15" hidden="false" customHeight="false" outlineLevel="0" collapsed="false">
      <c r="A3381" s="31" t="str">
        <f aca="false">Demand_History!C3381</f>
        <v>ELE-004</v>
      </c>
      <c r="B3381" s="31" t="n">
        <f aca="false">Demand_History!A3381</f>
        <v>52</v>
      </c>
      <c r="C3381" s="32" t="n">
        <f aca="false">Demand_History!D3381</f>
        <v>90</v>
      </c>
      <c r="D3381" s="33" t="n">
        <f aca="false">IF(B3381&gt;=2,C3380,"")</f>
        <v>58</v>
      </c>
      <c r="E3381" s="33" t="n">
        <f aca="false">IF(B3381&gt;=5,AVERAGE(C3377:C3380),"")</f>
        <v>93.75</v>
      </c>
      <c r="F3381" s="33" t="n">
        <f aca="false">IF(B3381&gt;=9,AVERAGE(C3373:C3380),"")</f>
        <v>90</v>
      </c>
      <c r="G3381" s="33" t="n">
        <f aca="false">IF(B3381=1,"",IF(B3381=2,C3380,SES_Alpha*C3380+(1-SES_Alpha)*G3380))</f>
        <v>85.4521524227197</v>
      </c>
      <c r="H3381" s="33" t="n">
        <f aca="false">IF(D3381="","",D3381-C3381)</f>
        <v>-32</v>
      </c>
      <c r="I3381" s="33" t="n">
        <f aca="false">IF(E3381="","",E3381-C3381)</f>
        <v>3.75</v>
      </c>
      <c r="J3381" s="33" t="n">
        <f aca="false">IF(F3381="","",F3381-C3381)</f>
        <v>0</v>
      </c>
      <c r="K3381" s="33" t="n">
        <f aca="false">IF(G3381="","",G3381-C3381)</f>
        <v>-4.54784757728029</v>
      </c>
      <c r="L3381" s="33" t="n">
        <f aca="false">IF(H3381="","",ABS(H3381))</f>
        <v>32</v>
      </c>
      <c r="M3381" s="33" t="n">
        <f aca="false">IF(I3381="","",ABS(I3381))</f>
        <v>3.75</v>
      </c>
      <c r="N3381" s="33" t="n">
        <f aca="false">IF(J3381="","",ABS(J3381))</f>
        <v>0</v>
      </c>
      <c r="O3381" s="33" t="n">
        <f aca="false">IF(K3381="","",ABS(K3381))</f>
        <v>4.54784757728029</v>
      </c>
      <c r="P3381" s="34" t="str">
        <f aca="false">IF(B3381&gt;=Eval_Start_Week,"YES","")</f>
        <v/>
      </c>
      <c r="Q3381" s="34" t="str">
        <f aca="false">IF(AND(B3381&gt;=Cal_Start_Week,B3381&lt;=Cal_End_Week),"YES","")</f>
        <v>YES</v>
      </c>
    </row>
    <row r="3382" customFormat="false" ht="15" hidden="false" customHeight="false" outlineLevel="0" collapsed="false">
      <c r="A3382" s="31" t="str">
        <f aca="false">Demand_History!C3382</f>
        <v>ELE-004</v>
      </c>
      <c r="B3382" s="31" t="n">
        <f aca="false">Demand_History!A3382</f>
        <v>53</v>
      </c>
      <c r="C3382" s="32" t="n">
        <f aca="false">Demand_History!D3382</f>
        <v>98</v>
      </c>
      <c r="D3382" s="33" t="n">
        <f aca="false">IF(B3382&gt;=2,C3381,"")</f>
        <v>90</v>
      </c>
      <c r="E3382" s="33" t="n">
        <f aca="false">IF(B3382&gt;=5,AVERAGE(C3378:C3381),"")</f>
        <v>88</v>
      </c>
      <c r="F3382" s="33" t="n">
        <f aca="false">IF(B3382&gt;=9,AVERAGE(C3374:C3381),"")</f>
        <v>90.375</v>
      </c>
      <c r="G3382" s="33" t="n">
        <f aca="false">IF(B3382=1,"",IF(B3382=2,C3381,SES_Alpha*C3381+(1-SES_Alpha)*G3381))</f>
        <v>86.8165066959038</v>
      </c>
      <c r="H3382" s="33" t="n">
        <f aca="false">IF(D3382="","",D3382-C3382)</f>
        <v>-8</v>
      </c>
      <c r="I3382" s="33" t="n">
        <f aca="false">IF(E3382="","",E3382-C3382)</f>
        <v>-10</v>
      </c>
      <c r="J3382" s="33" t="n">
        <f aca="false">IF(F3382="","",F3382-C3382)</f>
        <v>-7.625</v>
      </c>
      <c r="K3382" s="33" t="n">
        <f aca="false">IF(G3382="","",G3382-C3382)</f>
        <v>-11.1834933040962</v>
      </c>
      <c r="L3382" s="33" t="n">
        <f aca="false">IF(H3382="","",ABS(H3382))</f>
        <v>8</v>
      </c>
      <c r="M3382" s="33" t="n">
        <f aca="false">IF(I3382="","",ABS(I3382))</f>
        <v>10</v>
      </c>
      <c r="N3382" s="33" t="n">
        <f aca="false">IF(J3382="","",ABS(J3382))</f>
        <v>7.625</v>
      </c>
      <c r="O3382" s="33" t="n">
        <f aca="false">IF(K3382="","",ABS(K3382))</f>
        <v>11.1834933040962</v>
      </c>
      <c r="P3382" s="34" t="str">
        <f aca="false">IF(B3382&gt;=Eval_Start_Week,"YES","")</f>
        <v>YES</v>
      </c>
      <c r="Q3382" s="34" t="str">
        <f aca="false">IF(AND(B3382&gt;=Cal_Start_Week,B3382&lt;=Cal_End_Week),"YES","")</f>
        <v>YES</v>
      </c>
    </row>
    <row r="3383" customFormat="false" ht="15" hidden="false" customHeight="false" outlineLevel="0" collapsed="false">
      <c r="A3383" s="31" t="str">
        <f aca="false">Demand_History!C3383</f>
        <v>ELE-004</v>
      </c>
      <c r="B3383" s="31" t="n">
        <f aca="false">Demand_History!A3383</f>
        <v>54</v>
      </c>
      <c r="C3383" s="32" t="n">
        <f aca="false">Demand_History!D3383</f>
        <v>89</v>
      </c>
      <c r="D3383" s="33" t="n">
        <f aca="false">IF(B3383&gt;=2,C3382,"")</f>
        <v>98</v>
      </c>
      <c r="E3383" s="33" t="n">
        <f aca="false">IF(B3383&gt;=5,AVERAGE(C3379:C3382),"")</f>
        <v>85.75</v>
      </c>
      <c r="F3383" s="33" t="n">
        <f aca="false">IF(B3383&gt;=9,AVERAGE(C3375:C3382),"")</f>
        <v>90.375</v>
      </c>
      <c r="G3383" s="33" t="n">
        <f aca="false">IF(B3383=1,"",IF(B3383=2,C3382,SES_Alpha*C3382+(1-SES_Alpha)*G3382))</f>
        <v>90.1715546871327</v>
      </c>
      <c r="H3383" s="33" t="n">
        <f aca="false">IF(D3383="","",D3383-C3383)</f>
        <v>9</v>
      </c>
      <c r="I3383" s="33" t="n">
        <f aca="false">IF(E3383="","",E3383-C3383)</f>
        <v>-3.25</v>
      </c>
      <c r="J3383" s="33" t="n">
        <f aca="false">IF(F3383="","",F3383-C3383)</f>
        <v>1.375</v>
      </c>
      <c r="K3383" s="33" t="n">
        <f aca="false">IF(G3383="","",G3383-C3383)</f>
        <v>1.17155468713266</v>
      </c>
      <c r="L3383" s="33" t="n">
        <f aca="false">IF(H3383="","",ABS(H3383))</f>
        <v>9</v>
      </c>
      <c r="M3383" s="33" t="n">
        <f aca="false">IF(I3383="","",ABS(I3383))</f>
        <v>3.25</v>
      </c>
      <c r="N3383" s="33" t="n">
        <f aca="false">IF(J3383="","",ABS(J3383))</f>
        <v>1.375</v>
      </c>
      <c r="O3383" s="33" t="n">
        <f aca="false">IF(K3383="","",ABS(K3383))</f>
        <v>1.17155468713266</v>
      </c>
      <c r="P3383" s="34" t="str">
        <f aca="false">IF(B3383&gt;=Eval_Start_Week,"YES","")</f>
        <v>YES</v>
      </c>
      <c r="Q3383" s="34" t="str">
        <f aca="false">IF(AND(B3383&gt;=Cal_Start_Week,B3383&lt;=Cal_End_Week),"YES","")</f>
        <v>YES</v>
      </c>
    </row>
    <row r="3384" customFormat="false" ht="15" hidden="false" customHeight="false" outlineLevel="0" collapsed="false">
      <c r="A3384" s="31" t="str">
        <f aca="false">Demand_History!C3384</f>
        <v>ELE-004</v>
      </c>
      <c r="B3384" s="31" t="n">
        <f aca="false">Demand_History!A3384</f>
        <v>55</v>
      </c>
      <c r="C3384" s="32" t="n">
        <f aca="false">Demand_History!D3384</f>
        <v>93</v>
      </c>
      <c r="D3384" s="33" t="n">
        <f aca="false">IF(B3384&gt;=2,C3383,"")</f>
        <v>89</v>
      </c>
      <c r="E3384" s="33" t="n">
        <f aca="false">IF(B3384&gt;=5,AVERAGE(C3380:C3383),"")</f>
        <v>83.75</v>
      </c>
      <c r="F3384" s="33" t="n">
        <f aca="false">IF(B3384&gt;=9,AVERAGE(C3376:C3383),"")</f>
        <v>92.5</v>
      </c>
      <c r="G3384" s="33" t="n">
        <f aca="false">IF(B3384=1,"",IF(B3384=2,C3383,SES_Alpha*C3383+(1-SES_Alpha)*G3383))</f>
        <v>89.8200882809929</v>
      </c>
      <c r="H3384" s="33" t="n">
        <f aca="false">IF(D3384="","",D3384-C3384)</f>
        <v>-4</v>
      </c>
      <c r="I3384" s="33" t="n">
        <f aca="false">IF(E3384="","",E3384-C3384)</f>
        <v>-9.25</v>
      </c>
      <c r="J3384" s="33" t="n">
        <f aca="false">IF(F3384="","",F3384-C3384)</f>
        <v>-0.5</v>
      </c>
      <c r="K3384" s="33" t="n">
        <f aca="false">IF(G3384="","",G3384-C3384)</f>
        <v>-3.17991171900715</v>
      </c>
      <c r="L3384" s="33" t="n">
        <f aca="false">IF(H3384="","",ABS(H3384))</f>
        <v>4</v>
      </c>
      <c r="M3384" s="33" t="n">
        <f aca="false">IF(I3384="","",ABS(I3384))</f>
        <v>9.25</v>
      </c>
      <c r="N3384" s="33" t="n">
        <f aca="false">IF(J3384="","",ABS(J3384))</f>
        <v>0.5</v>
      </c>
      <c r="O3384" s="33" t="n">
        <f aca="false">IF(K3384="","",ABS(K3384))</f>
        <v>3.17991171900715</v>
      </c>
      <c r="P3384" s="34" t="str">
        <f aca="false">IF(B3384&gt;=Eval_Start_Week,"YES","")</f>
        <v>YES</v>
      </c>
      <c r="Q3384" s="34" t="str">
        <f aca="false">IF(AND(B3384&gt;=Cal_Start_Week,B3384&lt;=Cal_End_Week),"YES","")</f>
        <v>YES</v>
      </c>
    </row>
    <row r="3385" customFormat="false" ht="15" hidden="false" customHeight="false" outlineLevel="0" collapsed="false">
      <c r="A3385" s="31" t="str">
        <f aca="false">Demand_History!C3385</f>
        <v>ELE-004</v>
      </c>
      <c r="B3385" s="31" t="n">
        <f aca="false">Demand_History!A3385</f>
        <v>56</v>
      </c>
      <c r="C3385" s="32" t="n">
        <f aca="false">Demand_History!D3385</f>
        <v>135</v>
      </c>
      <c r="D3385" s="33" t="n">
        <f aca="false">IF(B3385&gt;=2,C3384,"")</f>
        <v>93</v>
      </c>
      <c r="E3385" s="33" t="n">
        <f aca="false">IF(B3385&gt;=5,AVERAGE(C3381:C3384),"")</f>
        <v>92.5</v>
      </c>
      <c r="F3385" s="33" t="n">
        <f aca="false">IF(B3385&gt;=9,AVERAGE(C3377:C3384),"")</f>
        <v>93.125</v>
      </c>
      <c r="G3385" s="33" t="n">
        <f aca="false">IF(B3385=1,"",IF(B3385=2,C3384,SES_Alpha*C3384+(1-SES_Alpha)*G3384))</f>
        <v>90.774061796695</v>
      </c>
      <c r="H3385" s="33" t="n">
        <f aca="false">IF(D3385="","",D3385-C3385)</f>
        <v>-42</v>
      </c>
      <c r="I3385" s="33" t="n">
        <f aca="false">IF(E3385="","",E3385-C3385)</f>
        <v>-42.5</v>
      </c>
      <c r="J3385" s="33" t="n">
        <f aca="false">IF(F3385="","",F3385-C3385)</f>
        <v>-41.875</v>
      </c>
      <c r="K3385" s="33" t="n">
        <f aca="false">IF(G3385="","",G3385-C3385)</f>
        <v>-44.225938203305</v>
      </c>
      <c r="L3385" s="33" t="n">
        <f aca="false">IF(H3385="","",ABS(H3385))</f>
        <v>42</v>
      </c>
      <c r="M3385" s="33" t="n">
        <f aca="false">IF(I3385="","",ABS(I3385))</f>
        <v>42.5</v>
      </c>
      <c r="N3385" s="33" t="n">
        <f aca="false">IF(J3385="","",ABS(J3385))</f>
        <v>41.875</v>
      </c>
      <c r="O3385" s="33" t="n">
        <f aca="false">IF(K3385="","",ABS(K3385))</f>
        <v>44.225938203305</v>
      </c>
      <c r="P3385" s="34" t="str">
        <f aca="false">IF(B3385&gt;=Eval_Start_Week,"YES","")</f>
        <v>YES</v>
      </c>
      <c r="Q3385" s="34" t="str">
        <f aca="false">IF(AND(B3385&gt;=Cal_Start_Week,B3385&lt;=Cal_End_Week),"YES","")</f>
        <v>YES</v>
      </c>
    </row>
    <row r="3386" customFormat="false" ht="15" hidden="false" customHeight="false" outlineLevel="0" collapsed="false">
      <c r="A3386" s="31" t="str">
        <f aca="false">Demand_History!C3386</f>
        <v>ELE-004</v>
      </c>
      <c r="B3386" s="31" t="n">
        <f aca="false">Demand_History!A3386</f>
        <v>57</v>
      </c>
      <c r="C3386" s="32" t="n">
        <f aca="false">Demand_History!D3386</f>
        <v>92</v>
      </c>
      <c r="D3386" s="33" t="n">
        <f aca="false">IF(B3386&gt;=2,C3385,"")</f>
        <v>135</v>
      </c>
      <c r="E3386" s="33" t="n">
        <f aca="false">IF(B3386&gt;=5,AVERAGE(C3382:C3385),"")</f>
        <v>103.75</v>
      </c>
      <c r="F3386" s="33" t="n">
        <f aca="false">IF(B3386&gt;=9,AVERAGE(C3378:C3385),"")</f>
        <v>95.875</v>
      </c>
      <c r="G3386" s="33" t="n">
        <f aca="false">IF(B3386=1,"",IF(B3386=2,C3385,SES_Alpha*C3385+(1-SES_Alpha)*G3385))</f>
        <v>104.041843257686</v>
      </c>
      <c r="H3386" s="33" t="n">
        <f aca="false">IF(D3386="","",D3386-C3386)</f>
        <v>43</v>
      </c>
      <c r="I3386" s="33" t="n">
        <f aca="false">IF(E3386="","",E3386-C3386)</f>
        <v>11.75</v>
      </c>
      <c r="J3386" s="33" t="n">
        <f aca="false">IF(F3386="","",F3386-C3386)</f>
        <v>3.875</v>
      </c>
      <c r="K3386" s="33" t="n">
        <f aca="false">IF(G3386="","",G3386-C3386)</f>
        <v>12.0418432576865</v>
      </c>
      <c r="L3386" s="33" t="n">
        <f aca="false">IF(H3386="","",ABS(H3386))</f>
        <v>43</v>
      </c>
      <c r="M3386" s="33" t="n">
        <f aca="false">IF(I3386="","",ABS(I3386))</f>
        <v>11.75</v>
      </c>
      <c r="N3386" s="33" t="n">
        <f aca="false">IF(J3386="","",ABS(J3386))</f>
        <v>3.875</v>
      </c>
      <c r="O3386" s="33" t="n">
        <f aca="false">IF(K3386="","",ABS(K3386))</f>
        <v>12.0418432576865</v>
      </c>
      <c r="P3386" s="34" t="str">
        <f aca="false">IF(B3386&gt;=Eval_Start_Week,"YES","")</f>
        <v>YES</v>
      </c>
      <c r="Q3386" s="34" t="str">
        <f aca="false">IF(AND(B3386&gt;=Cal_Start_Week,B3386&lt;=Cal_End_Week),"YES","")</f>
        <v>YES</v>
      </c>
    </row>
    <row r="3387" customFormat="false" ht="15" hidden="false" customHeight="false" outlineLevel="0" collapsed="false">
      <c r="A3387" s="31" t="str">
        <f aca="false">Demand_History!C3387</f>
        <v>ELE-004</v>
      </c>
      <c r="B3387" s="31" t="n">
        <f aca="false">Demand_History!A3387</f>
        <v>58</v>
      </c>
      <c r="C3387" s="32" t="n">
        <f aca="false">Demand_History!D3387</f>
        <v>83</v>
      </c>
      <c r="D3387" s="33" t="n">
        <f aca="false">IF(B3387&gt;=2,C3386,"")</f>
        <v>92</v>
      </c>
      <c r="E3387" s="33" t="n">
        <f aca="false">IF(B3387&gt;=5,AVERAGE(C3383:C3386),"")</f>
        <v>102.25</v>
      </c>
      <c r="F3387" s="33" t="n">
        <f aca="false">IF(B3387&gt;=9,AVERAGE(C3379:C3386),"")</f>
        <v>94</v>
      </c>
      <c r="G3387" s="33" t="n">
        <f aca="false">IF(B3387=1,"",IF(B3387=2,C3386,SES_Alpha*C3386+(1-SES_Alpha)*G3386))</f>
        <v>100.429290280381</v>
      </c>
      <c r="H3387" s="33" t="n">
        <f aca="false">IF(D3387="","",D3387-C3387)</f>
        <v>9</v>
      </c>
      <c r="I3387" s="33" t="n">
        <f aca="false">IF(E3387="","",E3387-C3387)</f>
        <v>19.25</v>
      </c>
      <c r="J3387" s="33" t="n">
        <f aca="false">IF(F3387="","",F3387-C3387)</f>
        <v>11</v>
      </c>
      <c r="K3387" s="33" t="n">
        <f aca="false">IF(G3387="","",G3387-C3387)</f>
        <v>17.4292902803805</v>
      </c>
      <c r="L3387" s="33" t="n">
        <f aca="false">IF(H3387="","",ABS(H3387))</f>
        <v>9</v>
      </c>
      <c r="M3387" s="33" t="n">
        <f aca="false">IF(I3387="","",ABS(I3387))</f>
        <v>19.25</v>
      </c>
      <c r="N3387" s="33" t="n">
        <f aca="false">IF(J3387="","",ABS(J3387))</f>
        <v>11</v>
      </c>
      <c r="O3387" s="33" t="n">
        <f aca="false">IF(K3387="","",ABS(K3387))</f>
        <v>17.4292902803805</v>
      </c>
      <c r="P3387" s="34" t="str">
        <f aca="false">IF(B3387&gt;=Eval_Start_Week,"YES","")</f>
        <v>YES</v>
      </c>
      <c r="Q3387" s="34" t="str">
        <f aca="false">IF(AND(B3387&gt;=Cal_Start_Week,B3387&lt;=Cal_End_Week),"YES","")</f>
        <v>YES</v>
      </c>
    </row>
    <row r="3388" customFormat="false" ht="15" hidden="false" customHeight="false" outlineLevel="0" collapsed="false">
      <c r="A3388" s="31" t="str">
        <f aca="false">Demand_History!C3388</f>
        <v>ELE-004</v>
      </c>
      <c r="B3388" s="31" t="n">
        <f aca="false">Demand_History!A3388</f>
        <v>59</v>
      </c>
      <c r="C3388" s="32" t="n">
        <f aca="false">Demand_History!D3388</f>
        <v>100</v>
      </c>
      <c r="D3388" s="33" t="n">
        <f aca="false">IF(B3388&gt;=2,C3387,"")</f>
        <v>83</v>
      </c>
      <c r="E3388" s="33" t="n">
        <f aca="false">IF(B3388&gt;=5,AVERAGE(C3384:C3387),"")</f>
        <v>100.75</v>
      </c>
      <c r="F3388" s="33" t="n">
        <f aca="false">IF(B3388&gt;=9,AVERAGE(C3380:C3387),"")</f>
        <v>92.25</v>
      </c>
      <c r="G3388" s="33" t="n">
        <f aca="false">IF(B3388=1,"",IF(B3388=2,C3387,SES_Alpha*C3387+(1-SES_Alpha)*G3387))</f>
        <v>95.2005031962664</v>
      </c>
      <c r="H3388" s="33" t="n">
        <f aca="false">IF(D3388="","",D3388-C3388)</f>
        <v>-17</v>
      </c>
      <c r="I3388" s="33" t="n">
        <f aca="false">IF(E3388="","",E3388-C3388)</f>
        <v>0.75</v>
      </c>
      <c r="J3388" s="33" t="n">
        <f aca="false">IF(F3388="","",F3388-C3388)</f>
        <v>-7.75</v>
      </c>
      <c r="K3388" s="33" t="n">
        <f aca="false">IF(G3388="","",G3388-C3388)</f>
        <v>-4.79949680373363</v>
      </c>
      <c r="L3388" s="33" t="n">
        <f aca="false">IF(H3388="","",ABS(H3388))</f>
        <v>17</v>
      </c>
      <c r="M3388" s="33" t="n">
        <f aca="false">IF(I3388="","",ABS(I3388))</f>
        <v>0.75</v>
      </c>
      <c r="N3388" s="33" t="n">
        <f aca="false">IF(J3388="","",ABS(J3388))</f>
        <v>7.75</v>
      </c>
      <c r="O3388" s="33" t="n">
        <f aca="false">IF(K3388="","",ABS(K3388))</f>
        <v>4.79949680373363</v>
      </c>
      <c r="P3388" s="34" t="str">
        <f aca="false">IF(B3388&gt;=Eval_Start_Week,"YES","")</f>
        <v>YES</v>
      </c>
      <c r="Q3388" s="34" t="str">
        <f aca="false">IF(AND(B3388&gt;=Cal_Start_Week,B3388&lt;=Cal_End_Week),"YES","")</f>
        <v>YES</v>
      </c>
    </row>
    <row r="3389" customFormat="false" ht="15" hidden="false" customHeight="false" outlineLevel="0" collapsed="false">
      <c r="A3389" s="31" t="str">
        <f aca="false">Demand_History!C3389</f>
        <v>ELE-004</v>
      </c>
      <c r="B3389" s="31" t="n">
        <f aca="false">Demand_History!A3389</f>
        <v>60</v>
      </c>
      <c r="C3389" s="32" t="n">
        <f aca="false">Demand_History!D3389</f>
        <v>93</v>
      </c>
      <c r="D3389" s="33" t="n">
        <f aca="false">IF(B3389&gt;=2,C3388,"")</f>
        <v>100</v>
      </c>
      <c r="E3389" s="33" t="n">
        <f aca="false">IF(B3389&gt;=5,AVERAGE(C3385:C3388),"")</f>
        <v>102.5</v>
      </c>
      <c r="F3389" s="33" t="n">
        <f aca="false">IF(B3389&gt;=9,AVERAGE(C3381:C3388),"")</f>
        <v>97.5</v>
      </c>
      <c r="G3389" s="33" t="n">
        <f aca="false">IF(B3389=1,"",IF(B3389=2,C3388,SES_Alpha*C3388+(1-SES_Alpha)*G3388))</f>
        <v>96.6403522373865</v>
      </c>
      <c r="H3389" s="33" t="n">
        <f aca="false">IF(D3389="","",D3389-C3389)</f>
        <v>7</v>
      </c>
      <c r="I3389" s="33" t="n">
        <f aca="false">IF(E3389="","",E3389-C3389)</f>
        <v>9.5</v>
      </c>
      <c r="J3389" s="33" t="n">
        <f aca="false">IF(F3389="","",F3389-C3389)</f>
        <v>4.5</v>
      </c>
      <c r="K3389" s="33" t="n">
        <f aca="false">IF(G3389="","",G3389-C3389)</f>
        <v>3.64035223738645</v>
      </c>
      <c r="L3389" s="33" t="n">
        <f aca="false">IF(H3389="","",ABS(H3389))</f>
        <v>7</v>
      </c>
      <c r="M3389" s="33" t="n">
        <f aca="false">IF(I3389="","",ABS(I3389))</f>
        <v>9.5</v>
      </c>
      <c r="N3389" s="33" t="n">
        <f aca="false">IF(J3389="","",ABS(J3389))</f>
        <v>4.5</v>
      </c>
      <c r="O3389" s="33" t="n">
        <f aca="false">IF(K3389="","",ABS(K3389))</f>
        <v>3.64035223738645</v>
      </c>
      <c r="P3389" s="34" t="str">
        <f aca="false">IF(B3389&gt;=Eval_Start_Week,"YES","")</f>
        <v>YES</v>
      </c>
      <c r="Q3389" s="34" t="str">
        <f aca="false">IF(AND(B3389&gt;=Cal_Start_Week,B3389&lt;=Cal_End_Week),"YES","")</f>
        <v>YES</v>
      </c>
    </row>
    <row r="3390" customFormat="false" ht="15" hidden="false" customHeight="false" outlineLevel="0" collapsed="false">
      <c r="A3390" s="31" t="str">
        <f aca="false">Demand_History!C3390</f>
        <v>ELE-004</v>
      </c>
      <c r="B3390" s="31" t="n">
        <f aca="false">Demand_History!A3390</f>
        <v>61</v>
      </c>
      <c r="C3390" s="32" t="n">
        <f aca="false">Demand_History!D3390</f>
        <v>94</v>
      </c>
      <c r="D3390" s="33" t="n">
        <f aca="false">IF(B3390&gt;=2,C3389,"")</f>
        <v>93</v>
      </c>
      <c r="E3390" s="33" t="n">
        <f aca="false">IF(B3390&gt;=5,AVERAGE(C3386:C3389),"")</f>
        <v>92</v>
      </c>
      <c r="F3390" s="33" t="n">
        <f aca="false">IF(B3390&gt;=9,AVERAGE(C3382:C3389),"")</f>
        <v>97.875</v>
      </c>
      <c r="G3390" s="33" t="n">
        <f aca="false">IF(B3390=1,"",IF(B3390=2,C3389,SES_Alpha*C3389+(1-SES_Alpha)*G3389))</f>
        <v>95.5482465661705</v>
      </c>
      <c r="H3390" s="33" t="n">
        <f aca="false">IF(D3390="","",D3390-C3390)</f>
        <v>-1</v>
      </c>
      <c r="I3390" s="33" t="n">
        <f aca="false">IF(E3390="","",E3390-C3390)</f>
        <v>-2</v>
      </c>
      <c r="J3390" s="33" t="n">
        <f aca="false">IF(F3390="","",F3390-C3390)</f>
        <v>3.875</v>
      </c>
      <c r="K3390" s="33" t="n">
        <f aca="false">IF(G3390="","",G3390-C3390)</f>
        <v>1.54824656617052</v>
      </c>
      <c r="L3390" s="33" t="n">
        <f aca="false">IF(H3390="","",ABS(H3390))</f>
        <v>1</v>
      </c>
      <c r="M3390" s="33" t="n">
        <f aca="false">IF(I3390="","",ABS(I3390))</f>
        <v>2</v>
      </c>
      <c r="N3390" s="33" t="n">
        <f aca="false">IF(J3390="","",ABS(J3390))</f>
        <v>3.875</v>
      </c>
      <c r="O3390" s="33" t="n">
        <f aca="false">IF(K3390="","",ABS(K3390))</f>
        <v>1.54824656617052</v>
      </c>
      <c r="P3390" s="34" t="str">
        <f aca="false">IF(B3390&gt;=Eval_Start_Week,"YES","")</f>
        <v>YES</v>
      </c>
      <c r="Q3390" s="34" t="str">
        <f aca="false">IF(AND(B3390&gt;=Cal_Start_Week,B3390&lt;=Cal_End_Week),"YES","")</f>
        <v>YES</v>
      </c>
    </row>
    <row r="3391" customFormat="false" ht="15" hidden="false" customHeight="false" outlineLevel="0" collapsed="false">
      <c r="A3391" s="31" t="str">
        <f aca="false">Demand_History!C3391</f>
        <v>ELE-004</v>
      </c>
      <c r="B3391" s="31" t="n">
        <f aca="false">Demand_History!A3391</f>
        <v>62</v>
      </c>
      <c r="C3391" s="32" t="n">
        <f aca="false">Demand_History!D3391</f>
        <v>97</v>
      </c>
      <c r="D3391" s="33" t="n">
        <f aca="false">IF(B3391&gt;=2,C3390,"")</f>
        <v>94</v>
      </c>
      <c r="E3391" s="33" t="n">
        <f aca="false">IF(B3391&gt;=5,AVERAGE(C3387:C3390),"")</f>
        <v>92.5</v>
      </c>
      <c r="F3391" s="33" t="n">
        <f aca="false">IF(B3391&gt;=9,AVERAGE(C3383:C3390),"")</f>
        <v>97.375</v>
      </c>
      <c r="G3391" s="33" t="n">
        <f aca="false">IF(B3391=1,"",IF(B3391=2,C3390,SES_Alpha*C3390+(1-SES_Alpha)*G3390))</f>
        <v>95.0837725963194</v>
      </c>
      <c r="H3391" s="33" t="n">
        <f aca="false">IF(D3391="","",D3391-C3391)</f>
        <v>-3</v>
      </c>
      <c r="I3391" s="33" t="n">
        <f aca="false">IF(E3391="","",E3391-C3391)</f>
        <v>-4.5</v>
      </c>
      <c r="J3391" s="33" t="n">
        <f aca="false">IF(F3391="","",F3391-C3391)</f>
        <v>0.375</v>
      </c>
      <c r="K3391" s="33" t="n">
        <f aca="false">IF(G3391="","",G3391-C3391)</f>
        <v>-1.91622740368064</v>
      </c>
      <c r="L3391" s="33" t="n">
        <f aca="false">IF(H3391="","",ABS(H3391))</f>
        <v>3</v>
      </c>
      <c r="M3391" s="33" t="n">
        <f aca="false">IF(I3391="","",ABS(I3391))</f>
        <v>4.5</v>
      </c>
      <c r="N3391" s="33" t="n">
        <f aca="false">IF(J3391="","",ABS(J3391))</f>
        <v>0.375</v>
      </c>
      <c r="O3391" s="33" t="n">
        <f aca="false">IF(K3391="","",ABS(K3391))</f>
        <v>1.91622740368064</v>
      </c>
      <c r="P3391" s="34" t="str">
        <f aca="false">IF(B3391&gt;=Eval_Start_Week,"YES","")</f>
        <v>YES</v>
      </c>
      <c r="Q3391" s="34" t="str">
        <f aca="false">IF(AND(B3391&gt;=Cal_Start_Week,B3391&lt;=Cal_End_Week),"YES","")</f>
        <v>YES</v>
      </c>
    </row>
    <row r="3392" customFormat="false" ht="15" hidden="false" customHeight="false" outlineLevel="0" collapsed="false">
      <c r="A3392" s="31" t="str">
        <f aca="false">Demand_History!C3392</f>
        <v>ELE-004</v>
      </c>
      <c r="B3392" s="31" t="n">
        <f aca="false">Demand_History!A3392</f>
        <v>63</v>
      </c>
      <c r="C3392" s="32" t="n">
        <f aca="false">Demand_History!D3392</f>
        <v>110</v>
      </c>
      <c r="D3392" s="33" t="n">
        <f aca="false">IF(B3392&gt;=2,C3391,"")</f>
        <v>97</v>
      </c>
      <c r="E3392" s="33" t="n">
        <f aca="false">IF(B3392&gt;=5,AVERAGE(C3388:C3391),"")</f>
        <v>96</v>
      </c>
      <c r="F3392" s="33" t="n">
        <f aca="false">IF(B3392&gt;=9,AVERAGE(C3384:C3391),"")</f>
        <v>98.375</v>
      </c>
      <c r="G3392" s="33" t="n">
        <f aca="false">IF(B3392=1,"",IF(B3392=2,C3391,SES_Alpha*C3391+(1-SES_Alpha)*G3391))</f>
        <v>95.6586408174236</v>
      </c>
      <c r="H3392" s="33" t="n">
        <f aca="false">IF(D3392="","",D3392-C3392)</f>
        <v>-13</v>
      </c>
      <c r="I3392" s="33" t="n">
        <f aca="false">IF(E3392="","",E3392-C3392)</f>
        <v>-14</v>
      </c>
      <c r="J3392" s="33" t="n">
        <f aca="false">IF(F3392="","",F3392-C3392)</f>
        <v>-11.625</v>
      </c>
      <c r="K3392" s="33" t="n">
        <f aca="false">IF(G3392="","",G3392-C3392)</f>
        <v>-14.3413591825765</v>
      </c>
      <c r="L3392" s="33" t="n">
        <f aca="false">IF(H3392="","",ABS(H3392))</f>
        <v>13</v>
      </c>
      <c r="M3392" s="33" t="n">
        <f aca="false">IF(I3392="","",ABS(I3392))</f>
        <v>14</v>
      </c>
      <c r="N3392" s="33" t="n">
        <f aca="false">IF(J3392="","",ABS(J3392))</f>
        <v>11.625</v>
      </c>
      <c r="O3392" s="33" t="n">
        <f aca="false">IF(K3392="","",ABS(K3392))</f>
        <v>14.3413591825765</v>
      </c>
      <c r="P3392" s="34" t="str">
        <f aca="false">IF(B3392&gt;=Eval_Start_Week,"YES","")</f>
        <v>YES</v>
      </c>
      <c r="Q3392" s="34" t="str">
        <f aca="false">IF(AND(B3392&gt;=Cal_Start_Week,B3392&lt;=Cal_End_Week),"YES","")</f>
        <v>YES</v>
      </c>
    </row>
    <row r="3393" customFormat="false" ht="15" hidden="false" customHeight="false" outlineLevel="0" collapsed="false">
      <c r="A3393" s="31" t="str">
        <f aca="false">Demand_History!C3393</f>
        <v>ELE-004</v>
      </c>
      <c r="B3393" s="31" t="n">
        <f aca="false">Demand_History!A3393</f>
        <v>64</v>
      </c>
      <c r="C3393" s="32" t="n">
        <f aca="false">Demand_History!D3393</f>
        <v>103</v>
      </c>
      <c r="D3393" s="33" t="n">
        <f aca="false">IF(B3393&gt;=2,C3392,"")</f>
        <v>110</v>
      </c>
      <c r="E3393" s="33" t="n">
        <f aca="false">IF(B3393&gt;=5,AVERAGE(C3389:C3392),"")</f>
        <v>98.5</v>
      </c>
      <c r="F3393" s="33" t="n">
        <f aca="false">IF(B3393&gt;=9,AVERAGE(C3385:C3392),"")</f>
        <v>100.5</v>
      </c>
      <c r="G3393" s="33" t="n">
        <f aca="false">IF(B3393=1,"",IF(B3393=2,C3392,SES_Alpha*C3392+(1-SES_Alpha)*G3392))</f>
        <v>99.9610485721965</v>
      </c>
      <c r="H3393" s="33" t="n">
        <f aca="false">IF(D3393="","",D3393-C3393)</f>
        <v>7</v>
      </c>
      <c r="I3393" s="33" t="n">
        <f aca="false">IF(E3393="","",E3393-C3393)</f>
        <v>-4.5</v>
      </c>
      <c r="J3393" s="33" t="n">
        <f aca="false">IF(F3393="","",F3393-C3393)</f>
        <v>-2.5</v>
      </c>
      <c r="K3393" s="33" t="n">
        <f aca="false">IF(G3393="","",G3393-C3393)</f>
        <v>-3.03895142780353</v>
      </c>
      <c r="L3393" s="33" t="n">
        <f aca="false">IF(H3393="","",ABS(H3393))</f>
        <v>7</v>
      </c>
      <c r="M3393" s="33" t="n">
        <f aca="false">IF(I3393="","",ABS(I3393))</f>
        <v>4.5</v>
      </c>
      <c r="N3393" s="33" t="n">
        <f aca="false">IF(J3393="","",ABS(J3393))</f>
        <v>2.5</v>
      </c>
      <c r="O3393" s="33" t="n">
        <f aca="false">IF(K3393="","",ABS(K3393))</f>
        <v>3.03895142780353</v>
      </c>
      <c r="P3393" s="34" t="str">
        <f aca="false">IF(B3393&gt;=Eval_Start_Week,"YES","")</f>
        <v>YES</v>
      </c>
      <c r="Q3393" s="34" t="str">
        <f aca="false">IF(AND(B3393&gt;=Cal_Start_Week,B3393&lt;=Cal_End_Week),"YES","")</f>
        <v>YES</v>
      </c>
    </row>
    <row r="3394" customFormat="false" ht="15" hidden="false" customHeight="false" outlineLevel="0" collapsed="false">
      <c r="A3394" s="31" t="str">
        <f aca="false">Demand_History!C3394</f>
        <v>ELE-004</v>
      </c>
      <c r="B3394" s="31" t="n">
        <f aca="false">Demand_History!A3394</f>
        <v>65</v>
      </c>
      <c r="C3394" s="32" t="n">
        <f aca="false">Demand_History!D3394</f>
        <v>84</v>
      </c>
      <c r="D3394" s="33" t="n">
        <f aca="false">IF(B3394&gt;=2,C3393,"")</f>
        <v>103</v>
      </c>
      <c r="E3394" s="33" t="n">
        <f aca="false">IF(B3394&gt;=5,AVERAGE(C3390:C3393),"")</f>
        <v>101</v>
      </c>
      <c r="F3394" s="33" t="n">
        <f aca="false">IF(B3394&gt;=9,AVERAGE(C3386:C3393),"")</f>
        <v>96.5</v>
      </c>
      <c r="G3394" s="33" t="n">
        <f aca="false">IF(B3394=1,"",IF(B3394=2,C3393,SES_Alpha*C3393+(1-SES_Alpha)*G3393))</f>
        <v>100.872734000538</v>
      </c>
      <c r="H3394" s="33" t="n">
        <f aca="false">IF(D3394="","",D3394-C3394)</f>
        <v>19</v>
      </c>
      <c r="I3394" s="33" t="n">
        <f aca="false">IF(E3394="","",E3394-C3394)</f>
        <v>17</v>
      </c>
      <c r="J3394" s="33" t="n">
        <f aca="false">IF(F3394="","",F3394-C3394)</f>
        <v>12.5</v>
      </c>
      <c r="K3394" s="33" t="n">
        <f aca="false">IF(G3394="","",G3394-C3394)</f>
        <v>16.8727340005375</v>
      </c>
      <c r="L3394" s="33" t="n">
        <f aca="false">IF(H3394="","",ABS(H3394))</f>
        <v>19</v>
      </c>
      <c r="M3394" s="33" t="n">
        <f aca="false">IF(I3394="","",ABS(I3394))</f>
        <v>17</v>
      </c>
      <c r="N3394" s="33" t="n">
        <f aca="false">IF(J3394="","",ABS(J3394))</f>
        <v>12.5</v>
      </c>
      <c r="O3394" s="33" t="n">
        <f aca="false">IF(K3394="","",ABS(K3394))</f>
        <v>16.8727340005375</v>
      </c>
      <c r="P3394" s="34" t="str">
        <f aca="false">IF(B3394&gt;=Eval_Start_Week,"YES","")</f>
        <v>YES</v>
      </c>
      <c r="Q3394" s="34" t="str">
        <f aca="false">IF(AND(B3394&gt;=Cal_Start_Week,B3394&lt;=Cal_End_Week),"YES","")</f>
        <v>YES</v>
      </c>
    </row>
    <row r="3395" customFormat="false" ht="15" hidden="false" customHeight="false" outlineLevel="0" collapsed="false">
      <c r="A3395" s="31" t="str">
        <f aca="false">Demand_History!C3395</f>
        <v>ELE-004</v>
      </c>
      <c r="B3395" s="31" t="n">
        <f aca="false">Demand_History!A3395</f>
        <v>66</v>
      </c>
      <c r="C3395" s="32" t="n">
        <f aca="false">Demand_History!D3395</f>
        <v>99</v>
      </c>
      <c r="D3395" s="33" t="n">
        <f aca="false">IF(B3395&gt;=2,C3394,"")</f>
        <v>84</v>
      </c>
      <c r="E3395" s="33" t="n">
        <f aca="false">IF(B3395&gt;=5,AVERAGE(C3391:C3394),"")</f>
        <v>98.5</v>
      </c>
      <c r="F3395" s="33" t="n">
        <f aca="false">IF(B3395&gt;=9,AVERAGE(C3387:C3394),"")</f>
        <v>95.5</v>
      </c>
      <c r="G3395" s="33" t="n">
        <f aca="false">IF(B3395=1,"",IF(B3395=2,C3394,SES_Alpha*C3394+(1-SES_Alpha)*G3394))</f>
        <v>95.8109138003763</v>
      </c>
      <c r="H3395" s="33" t="n">
        <f aca="false">IF(D3395="","",D3395-C3395)</f>
        <v>-15</v>
      </c>
      <c r="I3395" s="33" t="n">
        <f aca="false">IF(E3395="","",E3395-C3395)</f>
        <v>-0.5</v>
      </c>
      <c r="J3395" s="33" t="n">
        <f aca="false">IF(F3395="","",F3395-C3395)</f>
        <v>-3.5</v>
      </c>
      <c r="K3395" s="33" t="n">
        <f aca="false">IF(G3395="","",G3395-C3395)</f>
        <v>-3.18908619962374</v>
      </c>
      <c r="L3395" s="33" t="n">
        <f aca="false">IF(H3395="","",ABS(H3395))</f>
        <v>15</v>
      </c>
      <c r="M3395" s="33" t="n">
        <f aca="false">IF(I3395="","",ABS(I3395))</f>
        <v>0.5</v>
      </c>
      <c r="N3395" s="33" t="n">
        <f aca="false">IF(J3395="","",ABS(J3395))</f>
        <v>3.5</v>
      </c>
      <c r="O3395" s="33" t="n">
        <f aca="false">IF(K3395="","",ABS(K3395))</f>
        <v>3.18908619962374</v>
      </c>
      <c r="P3395" s="34" t="str">
        <f aca="false">IF(B3395&gt;=Eval_Start_Week,"YES","")</f>
        <v>YES</v>
      </c>
      <c r="Q3395" s="34" t="str">
        <f aca="false">IF(AND(B3395&gt;=Cal_Start_Week,B3395&lt;=Cal_End_Week),"YES","")</f>
        <v>YES</v>
      </c>
    </row>
    <row r="3396" customFormat="false" ht="15" hidden="false" customHeight="false" outlineLevel="0" collapsed="false">
      <c r="A3396" s="31" t="str">
        <f aca="false">Demand_History!C3396</f>
        <v>ELE-004</v>
      </c>
      <c r="B3396" s="31" t="n">
        <f aca="false">Demand_History!A3396</f>
        <v>67</v>
      </c>
      <c r="C3396" s="32" t="n">
        <f aca="false">Demand_History!D3396</f>
        <v>109</v>
      </c>
      <c r="D3396" s="33" t="n">
        <f aca="false">IF(B3396&gt;=2,C3395,"")</f>
        <v>99</v>
      </c>
      <c r="E3396" s="33" t="n">
        <f aca="false">IF(B3396&gt;=5,AVERAGE(C3392:C3395),"")</f>
        <v>99</v>
      </c>
      <c r="F3396" s="33" t="n">
        <f aca="false">IF(B3396&gt;=9,AVERAGE(C3388:C3395),"")</f>
        <v>97.5</v>
      </c>
      <c r="G3396" s="33" t="n">
        <f aca="false">IF(B3396=1,"",IF(B3396=2,C3395,SES_Alpha*C3395+(1-SES_Alpha)*G3395))</f>
        <v>96.7676396602634</v>
      </c>
      <c r="H3396" s="33" t="n">
        <f aca="false">IF(D3396="","",D3396-C3396)</f>
        <v>-10</v>
      </c>
      <c r="I3396" s="33" t="n">
        <f aca="false">IF(E3396="","",E3396-C3396)</f>
        <v>-10</v>
      </c>
      <c r="J3396" s="33" t="n">
        <f aca="false">IF(F3396="","",F3396-C3396)</f>
        <v>-11.5</v>
      </c>
      <c r="K3396" s="33" t="n">
        <f aca="false">IF(G3396="","",G3396-C3396)</f>
        <v>-12.2323603397366</v>
      </c>
      <c r="L3396" s="33" t="n">
        <f aca="false">IF(H3396="","",ABS(H3396))</f>
        <v>10</v>
      </c>
      <c r="M3396" s="33" t="n">
        <f aca="false">IF(I3396="","",ABS(I3396))</f>
        <v>10</v>
      </c>
      <c r="N3396" s="33" t="n">
        <f aca="false">IF(J3396="","",ABS(J3396))</f>
        <v>11.5</v>
      </c>
      <c r="O3396" s="33" t="n">
        <f aca="false">IF(K3396="","",ABS(K3396))</f>
        <v>12.2323603397366</v>
      </c>
      <c r="P3396" s="34" t="str">
        <f aca="false">IF(B3396&gt;=Eval_Start_Week,"YES","")</f>
        <v>YES</v>
      </c>
      <c r="Q3396" s="34" t="str">
        <f aca="false">IF(AND(B3396&gt;=Cal_Start_Week,B3396&lt;=Cal_End_Week),"YES","")</f>
        <v>YES</v>
      </c>
    </row>
    <row r="3397" customFormat="false" ht="15" hidden="false" customHeight="false" outlineLevel="0" collapsed="false">
      <c r="A3397" s="31" t="str">
        <f aca="false">Demand_History!C3397</f>
        <v>ELE-004</v>
      </c>
      <c r="B3397" s="31" t="n">
        <f aca="false">Demand_History!A3397</f>
        <v>68</v>
      </c>
      <c r="C3397" s="32" t="n">
        <f aca="false">Demand_History!D3397</f>
        <v>96</v>
      </c>
      <c r="D3397" s="33" t="n">
        <f aca="false">IF(B3397&gt;=2,C3396,"")</f>
        <v>109</v>
      </c>
      <c r="E3397" s="33" t="n">
        <f aca="false">IF(B3397&gt;=5,AVERAGE(C3393:C3396),"")</f>
        <v>98.75</v>
      </c>
      <c r="F3397" s="33" t="n">
        <f aca="false">IF(B3397&gt;=9,AVERAGE(C3389:C3396),"")</f>
        <v>98.625</v>
      </c>
      <c r="G3397" s="33" t="n">
        <f aca="false">IF(B3397=1,"",IF(B3397=2,C3396,SES_Alpha*C3396+(1-SES_Alpha)*G3396))</f>
        <v>100.437347762184</v>
      </c>
      <c r="H3397" s="33" t="n">
        <f aca="false">IF(D3397="","",D3397-C3397)</f>
        <v>13</v>
      </c>
      <c r="I3397" s="33" t="n">
        <f aca="false">IF(E3397="","",E3397-C3397)</f>
        <v>2.75</v>
      </c>
      <c r="J3397" s="33" t="n">
        <f aca="false">IF(F3397="","",F3397-C3397)</f>
        <v>2.625</v>
      </c>
      <c r="K3397" s="33" t="n">
        <f aca="false">IF(G3397="","",G3397-C3397)</f>
        <v>4.43734776218437</v>
      </c>
      <c r="L3397" s="33" t="n">
        <f aca="false">IF(H3397="","",ABS(H3397))</f>
        <v>13</v>
      </c>
      <c r="M3397" s="33" t="n">
        <f aca="false">IF(I3397="","",ABS(I3397))</f>
        <v>2.75</v>
      </c>
      <c r="N3397" s="33" t="n">
        <f aca="false">IF(J3397="","",ABS(J3397))</f>
        <v>2.625</v>
      </c>
      <c r="O3397" s="33" t="n">
        <f aca="false">IF(K3397="","",ABS(K3397))</f>
        <v>4.43734776218437</v>
      </c>
      <c r="P3397" s="34" t="str">
        <f aca="false">IF(B3397&gt;=Eval_Start_Week,"YES","")</f>
        <v>YES</v>
      </c>
      <c r="Q3397" s="34" t="str">
        <f aca="false">IF(AND(B3397&gt;=Cal_Start_Week,B3397&lt;=Cal_End_Week),"YES","")</f>
        <v>YES</v>
      </c>
    </row>
    <row r="3398" customFormat="false" ht="15" hidden="false" customHeight="false" outlineLevel="0" collapsed="false">
      <c r="A3398" s="31" t="str">
        <f aca="false">Demand_History!C3398</f>
        <v>ELE-004</v>
      </c>
      <c r="B3398" s="31" t="n">
        <f aca="false">Demand_History!A3398</f>
        <v>69</v>
      </c>
      <c r="C3398" s="32" t="n">
        <f aca="false">Demand_History!D3398</f>
        <v>120</v>
      </c>
      <c r="D3398" s="33" t="n">
        <f aca="false">IF(B3398&gt;=2,C3397,"")</f>
        <v>96</v>
      </c>
      <c r="E3398" s="33" t="n">
        <f aca="false">IF(B3398&gt;=5,AVERAGE(C3394:C3397),"")</f>
        <v>97</v>
      </c>
      <c r="F3398" s="33" t="n">
        <f aca="false">IF(B3398&gt;=9,AVERAGE(C3390:C3397),"")</f>
        <v>99</v>
      </c>
      <c r="G3398" s="33" t="n">
        <f aca="false">IF(B3398=1,"",IF(B3398=2,C3397,SES_Alpha*C3397+(1-SES_Alpha)*G3397))</f>
        <v>99.1061434335291</v>
      </c>
      <c r="H3398" s="33" t="n">
        <f aca="false">IF(D3398="","",D3398-C3398)</f>
        <v>-24</v>
      </c>
      <c r="I3398" s="33" t="n">
        <f aca="false">IF(E3398="","",E3398-C3398)</f>
        <v>-23</v>
      </c>
      <c r="J3398" s="33" t="n">
        <f aca="false">IF(F3398="","",F3398-C3398)</f>
        <v>-21</v>
      </c>
      <c r="K3398" s="33" t="n">
        <f aca="false">IF(G3398="","",G3398-C3398)</f>
        <v>-20.8938565664709</v>
      </c>
      <c r="L3398" s="33" t="n">
        <f aca="false">IF(H3398="","",ABS(H3398))</f>
        <v>24</v>
      </c>
      <c r="M3398" s="33" t="n">
        <f aca="false">IF(I3398="","",ABS(I3398))</f>
        <v>23</v>
      </c>
      <c r="N3398" s="33" t="n">
        <f aca="false">IF(J3398="","",ABS(J3398))</f>
        <v>21</v>
      </c>
      <c r="O3398" s="33" t="n">
        <f aca="false">IF(K3398="","",ABS(K3398))</f>
        <v>20.8938565664709</v>
      </c>
      <c r="P3398" s="34" t="str">
        <f aca="false">IF(B3398&gt;=Eval_Start_Week,"YES","")</f>
        <v>YES</v>
      </c>
      <c r="Q3398" s="34" t="str">
        <f aca="false">IF(AND(B3398&gt;=Cal_Start_Week,B3398&lt;=Cal_End_Week),"YES","")</f>
        <v>YES</v>
      </c>
    </row>
    <row r="3399" customFormat="false" ht="15" hidden="false" customHeight="false" outlineLevel="0" collapsed="false">
      <c r="A3399" s="31" t="str">
        <f aca="false">Demand_History!C3399</f>
        <v>ELE-004</v>
      </c>
      <c r="B3399" s="31" t="n">
        <f aca="false">Demand_History!A3399</f>
        <v>70</v>
      </c>
      <c r="C3399" s="32" t="n">
        <f aca="false">Demand_History!D3399</f>
        <v>115</v>
      </c>
      <c r="D3399" s="33" t="n">
        <f aca="false">IF(B3399&gt;=2,C3398,"")</f>
        <v>120</v>
      </c>
      <c r="E3399" s="33" t="n">
        <f aca="false">IF(B3399&gt;=5,AVERAGE(C3395:C3398),"")</f>
        <v>106</v>
      </c>
      <c r="F3399" s="33" t="n">
        <f aca="false">IF(B3399&gt;=9,AVERAGE(C3391:C3398),"")</f>
        <v>102.25</v>
      </c>
      <c r="G3399" s="33" t="n">
        <f aca="false">IF(B3399=1,"",IF(B3399=2,C3398,SES_Alpha*C3398+(1-SES_Alpha)*G3398))</f>
        <v>105.37430040347</v>
      </c>
      <c r="H3399" s="33" t="n">
        <f aca="false">IF(D3399="","",D3399-C3399)</f>
        <v>5</v>
      </c>
      <c r="I3399" s="33" t="n">
        <f aca="false">IF(E3399="","",E3399-C3399)</f>
        <v>-9</v>
      </c>
      <c r="J3399" s="33" t="n">
        <f aca="false">IF(F3399="","",F3399-C3399)</f>
        <v>-12.75</v>
      </c>
      <c r="K3399" s="33" t="n">
        <f aca="false">IF(G3399="","",G3399-C3399)</f>
        <v>-9.62569959652967</v>
      </c>
      <c r="L3399" s="33" t="n">
        <f aca="false">IF(H3399="","",ABS(H3399))</f>
        <v>5</v>
      </c>
      <c r="M3399" s="33" t="n">
        <f aca="false">IF(I3399="","",ABS(I3399))</f>
        <v>9</v>
      </c>
      <c r="N3399" s="33" t="n">
        <f aca="false">IF(J3399="","",ABS(J3399))</f>
        <v>12.75</v>
      </c>
      <c r="O3399" s="33" t="n">
        <f aca="false">IF(K3399="","",ABS(K3399))</f>
        <v>9.62569959652967</v>
      </c>
      <c r="P3399" s="34" t="str">
        <f aca="false">IF(B3399&gt;=Eval_Start_Week,"YES","")</f>
        <v>YES</v>
      </c>
      <c r="Q3399" s="34" t="str">
        <f aca="false">IF(AND(B3399&gt;=Cal_Start_Week,B3399&lt;=Cal_End_Week),"YES","")</f>
        <v>YES</v>
      </c>
    </row>
    <row r="3400" customFormat="false" ht="15" hidden="false" customHeight="false" outlineLevel="0" collapsed="false">
      <c r="A3400" s="31" t="str">
        <f aca="false">Demand_History!C3400</f>
        <v>ELE-004</v>
      </c>
      <c r="B3400" s="31" t="n">
        <f aca="false">Demand_History!A3400</f>
        <v>71</v>
      </c>
      <c r="C3400" s="32" t="n">
        <f aca="false">Demand_History!D3400</f>
        <v>90</v>
      </c>
      <c r="D3400" s="33" t="n">
        <f aca="false">IF(B3400&gt;=2,C3399,"")</f>
        <v>115</v>
      </c>
      <c r="E3400" s="33" t="n">
        <f aca="false">IF(B3400&gt;=5,AVERAGE(C3396:C3399),"")</f>
        <v>110</v>
      </c>
      <c r="F3400" s="33" t="n">
        <f aca="false">IF(B3400&gt;=9,AVERAGE(C3392:C3399),"")</f>
        <v>104.5</v>
      </c>
      <c r="G3400" s="33" t="n">
        <f aca="false">IF(B3400=1,"",IF(B3400=2,C3399,SES_Alpha*C3399+(1-SES_Alpha)*G3399))</f>
        <v>108.262010282429</v>
      </c>
      <c r="H3400" s="33" t="n">
        <f aca="false">IF(D3400="","",D3400-C3400)</f>
        <v>25</v>
      </c>
      <c r="I3400" s="33" t="n">
        <f aca="false">IF(E3400="","",E3400-C3400)</f>
        <v>20</v>
      </c>
      <c r="J3400" s="33" t="n">
        <f aca="false">IF(F3400="","",F3400-C3400)</f>
        <v>14.5</v>
      </c>
      <c r="K3400" s="33" t="n">
        <f aca="false">IF(G3400="","",G3400-C3400)</f>
        <v>18.2620102824292</v>
      </c>
      <c r="L3400" s="33" t="n">
        <f aca="false">IF(H3400="","",ABS(H3400))</f>
        <v>25</v>
      </c>
      <c r="M3400" s="33" t="n">
        <f aca="false">IF(I3400="","",ABS(I3400))</f>
        <v>20</v>
      </c>
      <c r="N3400" s="33" t="n">
        <f aca="false">IF(J3400="","",ABS(J3400))</f>
        <v>14.5</v>
      </c>
      <c r="O3400" s="33" t="n">
        <f aca="false">IF(K3400="","",ABS(K3400))</f>
        <v>18.2620102824292</v>
      </c>
      <c r="P3400" s="34" t="str">
        <f aca="false">IF(B3400&gt;=Eval_Start_Week,"YES","")</f>
        <v>YES</v>
      </c>
      <c r="Q3400" s="34" t="str">
        <f aca="false">IF(AND(B3400&gt;=Cal_Start_Week,B3400&lt;=Cal_End_Week),"YES","")</f>
        <v>YES</v>
      </c>
    </row>
    <row r="3401" customFormat="false" ht="15" hidden="false" customHeight="false" outlineLevel="0" collapsed="false">
      <c r="A3401" s="31" t="str">
        <f aca="false">Demand_History!C3401</f>
        <v>ELE-004</v>
      </c>
      <c r="B3401" s="31" t="n">
        <f aca="false">Demand_History!A3401</f>
        <v>72</v>
      </c>
      <c r="C3401" s="32" t="n">
        <f aca="false">Demand_History!D3401</f>
        <v>110</v>
      </c>
      <c r="D3401" s="33" t="n">
        <f aca="false">IF(B3401&gt;=2,C3400,"")</f>
        <v>90</v>
      </c>
      <c r="E3401" s="33" t="n">
        <f aca="false">IF(B3401&gt;=5,AVERAGE(C3397:C3400),"")</f>
        <v>105.25</v>
      </c>
      <c r="F3401" s="33" t="n">
        <f aca="false">IF(B3401&gt;=9,AVERAGE(C3393:C3400),"")</f>
        <v>102</v>
      </c>
      <c r="G3401" s="33" t="n">
        <f aca="false">IF(B3401=1,"",IF(B3401=2,C3400,SES_Alpha*C3400+(1-SES_Alpha)*G3400))</f>
        <v>102.7834071977</v>
      </c>
      <c r="H3401" s="33" t="n">
        <f aca="false">IF(D3401="","",D3401-C3401)</f>
        <v>-20</v>
      </c>
      <c r="I3401" s="33" t="n">
        <f aca="false">IF(E3401="","",E3401-C3401)</f>
        <v>-4.75</v>
      </c>
      <c r="J3401" s="33" t="n">
        <f aca="false">IF(F3401="","",F3401-C3401)</f>
        <v>-8</v>
      </c>
      <c r="K3401" s="33" t="n">
        <f aca="false">IF(G3401="","",G3401-C3401)</f>
        <v>-7.21659280229954</v>
      </c>
      <c r="L3401" s="33" t="n">
        <f aca="false">IF(H3401="","",ABS(H3401))</f>
        <v>20</v>
      </c>
      <c r="M3401" s="33" t="n">
        <f aca="false">IF(I3401="","",ABS(I3401))</f>
        <v>4.75</v>
      </c>
      <c r="N3401" s="33" t="n">
        <f aca="false">IF(J3401="","",ABS(J3401))</f>
        <v>8</v>
      </c>
      <c r="O3401" s="33" t="n">
        <f aca="false">IF(K3401="","",ABS(K3401))</f>
        <v>7.21659280229954</v>
      </c>
      <c r="P3401" s="34" t="str">
        <f aca="false">IF(B3401&gt;=Eval_Start_Week,"YES","")</f>
        <v>YES</v>
      </c>
      <c r="Q3401" s="34" t="str">
        <f aca="false">IF(AND(B3401&gt;=Cal_Start_Week,B3401&lt;=Cal_End_Week),"YES","")</f>
        <v>YES</v>
      </c>
    </row>
    <row r="3402" customFormat="false" ht="15" hidden="false" customHeight="false" outlineLevel="0" collapsed="false">
      <c r="A3402" s="31" t="str">
        <f aca="false">Demand_History!C3402</f>
        <v>ELE-004</v>
      </c>
      <c r="B3402" s="31" t="n">
        <f aca="false">Demand_History!A3402</f>
        <v>73</v>
      </c>
      <c r="C3402" s="32" t="n">
        <f aca="false">Demand_History!D3402</f>
        <v>135</v>
      </c>
      <c r="D3402" s="33" t="n">
        <f aca="false">IF(B3402&gt;=2,C3401,"")</f>
        <v>110</v>
      </c>
      <c r="E3402" s="33" t="n">
        <f aca="false">IF(B3402&gt;=5,AVERAGE(C3398:C3401),"")</f>
        <v>108.75</v>
      </c>
      <c r="F3402" s="33" t="n">
        <f aca="false">IF(B3402&gt;=9,AVERAGE(C3394:C3401),"")</f>
        <v>102.875</v>
      </c>
      <c r="G3402" s="33" t="n">
        <f aca="false">IF(B3402=1,"",IF(B3402=2,C3401,SES_Alpha*C3401+(1-SES_Alpha)*G3401))</f>
        <v>104.94838503839</v>
      </c>
      <c r="H3402" s="33" t="n">
        <f aca="false">IF(D3402="","",D3402-C3402)</f>
        <v>-25</v>
      </c>
      <c r="I3402" s="33" t="n">
        <f aca="false">IF(E3402="","",E3402-C3402)</f>
        <v>-26.25</v>
      </c>
      <c r="J3402" s="33" t="n">
        <f aca="false">IF(F3402="","",F3402-C3402)</f>
        <v>-32.125</v>
      </c>
      <c r="K3402" s="33" t="n">
        <f aca="false">IF(G3402="","",G3402-C3402)</f>
        <v>-30.0516149616097</v>
      </c>
      <c r="L3402" s="33" t="n">
        <f aca="false">IF(H3402="","",ABS(H3402))</f>
        <v>25</v>
      </c>
      <c r="M3402" s="33" t="n">
        <f aca="false">IF(I3402="","",ABS(I3402))</f>
        <v>26.25</v>
      </c>
      <c r="N3402" s="33" t="n">
        <f aca="false">IF(J3402="","",ABS(J3402))</f>
        <v>32.125</v>
      </c>
      <c r="O3402" s="33" t="n">
        <f aca="false">IF(K3402="","",ABS(K3402))</f>
        <v>30.0516149616097</v>
      </c>
      <c r="P3402" s="34" t="str">
        <f aca="false">IF(B3402&gt;=Eval_Start_Week,"YES","")</f>
        <v>YES</v>
      </c>
      <c r="Q3402" s="34" t="str">
        <f aca="false">IF(AND(B3402&gt;=Cal_Start_Week,B3402&lt;=Cal_End_Week),"YES","")</f>
        <v>YES</v>
      </c>
    </row>
    <row r="3403" customFormat="false" ht="15" hidden="false" customHeight="false" outlineLevel="0" collapsed="false">
      <c r="A3403" s="31" t="str">
        <f aca="false">Demand_History!C3403</f>
        <v>ELE-004</v>
      </c>
      <c r="B3403" s="31" t="n">
        <f aca="false">Demand_History!A3403</f>
        <v>74</v>
      </c>
      <c r="C3403" s="32" t="n">
        <f aca="false">Demand_History!D3403</f>
        <v>130</v>
      </c>
      <c r="D3403" s="33" t="n">
        <f aca="false">IF(B3403&gt;=2,C3402,"")</f>
        <v>135</v>
      </c>
      <c r="E3403" s="33" t="n">
        <f aca="false">IF(B3403&gt;=5,AVERAGE(C3399:C3402),"")</f>
        <v>112.5</v>
      </c>
      <c r="F3403" s="33" t="n">
        <f aca="false">IF(B3403&gt;=9,AVERAGE(C3395:C3402),"")</f>
        <v>109.25</v>
      </c>
      <c r="G3403" s="33" t="n">
        <f aca="false">IF(B3403=1,"",IF(B3403=2,C3402,SES_Alpha*C3402+(1-SES_Alpha)*G3402))</f>
        <v>113.963869526873</v>
      </c>
      <c r="H3403" s="33" t="n">
        <f aca="false">IF(D3403="","",D3403-C3403)</f>
        <v>5</v>
      </c>
      <c r="I3403" s="33" t="n">
        <f aca="false">IF(E3403="","",E3403-C3403)</f>
        <v>-17.5</v>
      </c>
      <c r="J3403" s="33" t="n">
        <f aca="false">IF(F3403="","",F3403-C3403)</f>
        <v>-20.75</v>
      </c>
      <c r="K3403" s="33" t="n">
        <f aca="false">IF(G3403="","",G3403-C3403)</f>
        <v>-16.0361304731268</v>
      </c>
      <c r="L3403" s="33" t="n">
        <f aca="false">IF(H3403="","",ABS(H3403))</f>
        <v>5</v>
      </c>
      <c r="M3403" s="33" t="n">
        <f aca="false">IF(I3403="","",ABS(I3403))</f>
        <v>17.5</v>
      </c>
      <c r="N3403" s="33" t="n">
        <f aca="false">IF(J3403="","",ABS(J3403))</f>
        <v>20.75</v>
      </c>
      <c r="O3403" s="33" t="n">
        <f aca="false">IF(K3403="","",ABS(K3403))</f>
        <v>16.0361304731268</v>
      </c>
      <c r="P3403" s="34" t="str">
        <f aca="false">IF(B3403&gt;=Eval_Start_Week,"YES","")</f>
        <v>YES</v>
      </c>
      <c r="Q3403" s="34" t="str">
        <f aca="false">IF(AND(B3403&gt;=Cal_Start_Week,B3403&lt;=Cal_End_Week),"YES","")</f>
        <v>YES</v>
      </c>
    </row>
    <row r="3404" customFormat="false" ht="15" hidden="false" customHeight="false" outlineLevel="0" collapsed="false">
      <c r="A3404" s="31" t="str">
        <f aca="false">Demand_History!C3404</f>
        <v>ELE-004</v>
      </c>
      <c r="B3404" s="31" t="n">
        <f aca="false">Demand_History!A3404</f>
        <v>75</v>
      </c>
      <c r="C3404" s="32" t="n">
        <f aca="false">Demand_History!D3404</f>
        <v>106</v>
      </c>
      <c r="D3404" s="33" t="n">
        <f aca="false">IF(B3404&gt;=2,C3403,"")</f>
        <v>130</v>
      </c>
      <c r="E3404" s="33" t="n">
        <f aca="false">IF(B3404&gt;=5,AVERAGE(C3400:C3403),"")</f>
        <v>116.25</v>
      </c>
      <c r="F3404" s="33" t="n">
        <f aca="false">IF(B3404&gt;=9,AVERAGE(C3396:C3403),"")</f>
        <v>113.125</v>
      </c>
      <c r="G3404" s="33" t="n">
        <f aca="false">IF(B3404=1,"",IF(B3404=2,C3403,SES_Alpha*C3403+(1-SES_Alpha)*G3403))</f>
        <v>118.774708668811</v>
      </c>
      <c r="H3404" s="33" t="n">
        <f aca="false">IF(D3404="","",D3404-C3404)</f>
        <v>24</v>
      </c>
      <c r="I3404" s="33" t="n">
        <f aca="false">IF(E3404="","",E3404-C3404)</f>
        <v>10.25</v>
      </c>
      <c r="J3404" s="33" t="n">
        <f aca="false">IF(F3404="","",F3404-C3404)</f>
        <v>7.125</v>
      </c>
      <c r="K3404" s="33" t="n">
        <f aca="false">IF(G3404="","",G3404-C3404)</f>
        <v>12.7747086688112</v>
      </c>
      <c r="L3404" s="33" t="n">
        <f aca="false">IF(H3404="","",ABS(H3404))</f>
        <v>24</v>
      </c>
      <c r="M3404" s="33" t="n">
        <f aca="false">IF(I3404="","",ABS(I3404))</f>
        <v>10.25</v>
      </c>
      <c r="N3404" s="33" t="n">
        <f aca="false">IF(J3404="","",ABS(J3404))</f>
        <v>7.125</v>
      </c>
      <c r="O3404" s="33" t="n">
        <f aca="false">IF(K3404="","",ABS(K3404))</f>
        <v>12.7747086688112</v>
      </c>
      <c r="P3404" s="34" t="str">
        <f aca="false">IF(B3404&gt;=Eval_Start_Week,"YES","")</f>
        <v>YES</v>
      </c>
      <c r="Q3404" s="34" t="str">
        <f aca="false">IF(AND(B3404&gt;=Cal_Start_Week,B3404&lt;=Cal_End_Week),"YES","")</f>
        <v>YES</v>
      </c>
    </row>
    <row r="3405" customFormat="false" ht="15" hidden="false" customHeight="false" outlineLevel="0" collapsed="false">
      <c r="A3405" s="31" t="str">
        <f aca="false">Demand_History!C3405</f>
        <v>ELE-004</v>
      </c>
      <c r="B3405" s="31" t="n">
        <f aca="false">Demand_History!A3405</f>
        <v>76</v>
      </c>
      <c r="C3405" s="32" t="n">
        <f aca="false">Demand_History!D3405</f>
        <v>121</v>
      </c>
      <c r="D3405" s="33" t="n">
        <f aca="false">IF(B3405&gt;=2,C3404,"")</f>
        <v>106</v>
      </c>
      <c r="E3405" s="33" t="n">
        <f aca="false">IF(B3405&gt;=5,AVERAGE(C3401:C3404),"")</f>
        <v>120.25</v>
      </c>
      <c r="F3405" s="33" t="n">
        <f aca="false">IF(B3405&gt;=9,AVERAGE(C3397:C3404),"")</f>
        <v>112.75</v>
      </c>
      <c r="G3405" s="33" t="n">
        <f aca="false">IF(B3405=1,"",IF(B3405=2,C3404,SES_Alpha*C3404+(1-SES_Alpha)*G3404))</f>
        <v>114.942296068168</v>
      </c>
      <c r="H3405" s="33" t="n">
        <f aca="false">IF(D3405="","",D3405-C3405)</f>
        <v>-15</v>
      </c>
      <c r="I3405" s="33" t="n">
        <f aca="false">IF(E3405="","",E3405-C3405)</f>
        <v>-0.75</v>
      </c>
      <c r="J3405" s="33" t="n">
        <f aca="false">IF(F3405="","",F3405-C3405)</f>
        <v>-8.25</v>
      </c>
      <c r="K3405" s="33" t="n">
        <f aca="false">IF(G3405="","",G3405-C3405)</f>
        <v>-6.05770393183214</v>
      </c>
      <c r="L3405" s="33" t="n">
        <f aca="false">IF(H3405="","",ABS(H3405))</f>
        <v>15</v>
      </c>
      <c r="M3405" s="33" t="n">
        <f aca="false">IF(I3405="","",ABS(I3405))</f>
        <v>0.75</v>
      </c>
      <c r="N3405" s="33" t="n">
        <f aca="false">IF(J3405="","",ABS(J3405))</f>
        <v>8.25</v>
      </c>
      <c r="O3405" s="33" t="n">
        <f aca="false">IF(K3405="","",ABS(K3405))</f>
        <v>6.05770393183214</v>
      </c>
      <c r="P3405" s="34" t="str">
        <f aca="false">IF(B3405&gt;=Eval_Start_Week,"YES","")</f>
        <v>YES</v>
      </c>
      <c r="Q3405" s="34" t="str">
        <f aca="false">IF(AND(B3405&gt;=Cal_Start_Week,B3405&lt;=Cal_End_Week),"YES","")</f>
        <v>YES</v>
      </c>
    </row>
    <row r="3406" customFormat="false" ht="15" hidden="false" customHeight="false" outlineLevel="0" collapsed="false">
      <c r="A3406" s="31" t="str">
        <f aca="false">Demand_History!C3406</f>
        <v>ELE-004</v>
      </c>
      <c r="B3406" s="31" t="n">
        <f aca="false">Demand_History!A3406</f>
        <v>77</v>
      </c>
      <c r="C3406" s="32" t="n">
        <f aca="false">Demand_History!D3406</f>
        <v>98</v>
      </c>
      <c r="D3406" s="33" t="n">
        <f aca="false">IF(B3406&gt;=2,C3405,"")</f>
        <v>121</v>
      </c>
      <c r="E3406" s="33" t="n">
        <f aca="false">IF(B3406&gt;=5,AVERAGE(C3402:C3405),"")</f>
        <v>123</v>
      </c>
      <c r="F3406" s="33" t="n">
        <f aca="false">IF(B3406&gt;=9,AVERAGE(C3398:C3405),"")</f>
        <v>115.875</v>
      </c>
      <c r="G3406" s="33" t="n">
        <f aca="false">IF(B3406=1,"",IF(B3406=2,C3405,SES_Alpha*C3405+(1-SES_Alpha)*G3405))</f>
        <v>116.759607247718</v>
      </c>
      <c r="H3406" s="33" t="n">
        <f aca="false">IF(D3406="","",D3406-C3406)</f>
        <v>23</v>
      </c>
      <c r="I3406" s="33" t="n">
        <f aca="false">IF(E3406="","",E3406-C3406)</f>
        <v>25</v>
      </c>
      <c r="J3406" s="33" t="n">
        <f aca="false">IF(F3406="","",F3406-C3406)</f>
        <v>17.875</v>
      </c>
      <c r="K3406" s="33" t="n">
        <f aca="false">IF(G3406="","",G3406-C3406)</f>
        <v>18.7596072477175</v>
      </c>
      <c r="L3406" s="33" t="n">
        <f aca="false">IF(H3406="","",ABS(H3406))</f>
        <v>23</v>
      </c>
      <c r="M3406" s="33" t="n">
        <f aca="false">IF(I3406="","",ABS(I3406))</f>
        <v>25</v>
      </c>
      <c r="N3406" s="33" t="n">
        <f aca="false">IF(J3406="","",ABS(J3406))</f>
        <v>17.875</v>
      </c>
      <c r="O3406" s="33" t="n">
        <f aca="false">IF(K3406="","",ABS(K3406))</f>
        <v>18.7596072477175</v>
      </c>
      <c r="P3406" s="34" t="str">
        <f aca="false">IF(B3406&gt;=Eval_Start_Week,"YES","")</f>
        <v>YES</v>
      </c>
      <c r="Q3406" s="34" t="str">
        <f aca="false">IF(AND(B3406&gt;=Cal_Start_Week,B3406&lt;=Cal_End_Week),"YES","")</f>
        <v>YES</v>
      </c>
    </row>
    <row r="3407" customFormat="false" ht="15" hidden="false" customHeight="false" outlineLevel="0" collapsed="false">
      <c r="A3407" s="31" t="str">
        <f aca="false">Demand_History!C3407</f>
        <v>ELE-004</v>
      </c>
      <c r="B3407" s="31" t="n">
        <f aca="false">Demand_History!A3407</f>
        <v>78</v>
      </c>
      <c r="C3407" s="32" t="n">
        <f aca="false">Demand_History!D3407</f>
        <v>87</v>
      </c>
      <c r="D3407" s="33" t="n">
        <f aca="false">IF(B3407&gt;=2,C3406,"")</f>
        <v>98</v>
      </c>
      <c r="E3407" s="33" t="n">
        <f aca="false">IF(B3407&gt;=5,AVERAGE(C3403:C3406),"")</f>
        <v>113.75</v>
      </c>
      <c r="F3407" s="33" t="n">
        <f aca="false">IF(B3407&gt;=9,AVERAGE(C3399:C3406),"")</f>
        <v>113.125</v>
      </c>
      <c r="G3407" s="33" t="n">
        <f aca="false">IF(B3407=1,"",IF(B3407=2,C3406,SES_Alpha*C3406+(1-SES_Alpha)*G3406))</f>
        <v>111.131725073402</v>
      </c>
      <c r="H3407" s="33" t="n">
        <f aca="false">IF(D3407="","",D3407-C3407)</f>
        <v>11</v>
      </c>
      <c r="I3407" s="33" t="n">
        <f aca="false">IF(E3407="","",E3407-C3407)</f>
        <v>26.75</v>
      </c>
      <c r="J3407" s="33" t="n">
        <f aca="false">IF(F3407="","",F3407-C3407)</f>
        <v>26.125</v>
      </c>
      <c r="K3407" s="33" t="n">
        <f aca="false">IF(G3407="","",G3407-C3407)</f>
        <v>24.1317250734022</v>
      </c>
      <c r="L3407" s="33" t="n">
        <f aca="false">IF(H3407="","",ABS(H3407))</f>
        <v>11</v>
      </c>
      <c r="M3407" s="33" t="n">
        <f aca="false">IF(I3407="","",ABS(I3407))</f>
        <v>26.75</v>
      </c>
      <c r="N3407" s="33" t="n">
        <f aca="false">IF(J3407="","",ABS(J3407))</f>
        <v>26.125</v>
      </c>
      <c r="O3407" s="33" t="n">
        <f aca="false">IF(K3407="","",ABS(K3407))</f>
        <v>24.1317250734022</v>
      </c>
      <c r="P3407" s="34" t="str">
        <f aca="false">IF(B3407&gt;=Eval_Start_Week,"YES","")</f>
        <v>YES</v>
      </c>
      <c r="Q3407" s="34" t="str">
        <f aca="false">IF(AND(B3407&gt;=Cal_Start_Week,B3407&lt;=Cal_End_Week),"YES","")</f>
        <v>YES</v>
      </c>
    </row>
    <row r="3408" customFormat="false" ht="15" hidden="false" customHeight="false" outlineLevel="0" collapsed="false">
      <c r="A3408" s="31" t="str">
        <f aca="false">Demand_History!C3408</f>
        <v>ELE-004</v>
      </c>
      <c r="B3408" s="31" t="n">
        <f aca="false">Demand_History!A3408</f>
        <v>79</v>
      </c>
      <c r="C3408" s="32" t="n">
        <f aca="false">Demand_History!D3408</f>
        <v>118</v>
      </c>
      <c r="D3408" s="33" t="n">
        <f aca="false">IF(B3408&gt;=2,C3407,"")</f>
        <v>87</v>
      </c>
      <c r="E3408" s="33" t="n">
        <f aca="false">IF(B3408&gt;=5,AVERAGE(C3404:C3407),"")</f>
        <v>103</v>
      </c>
      <c r="F3408" s="33" t="n">
        <f aca="false">IF(B3408&gt;=9,AVERAGE(C3400:C3407),"")</f>
        <v>109.625</v>
      </c>
      <c r="G3408" s="33" t="n">
        <f aca="false">IF(B3408=1,"",IF(B3408=2,C3407,SES_Alpha*C3407+(1-SES_Alpha)*G3407))</f>
        <v>103.892207551382</v>
      </c>
      <c r="H3408" s="33" t="n">
        <f aca="false">IF(D3408="","",D3408-C3408)</f>
        <v>-31</v>
      </c>
      <c r="I3408" s="33" t="n">
        <f aca="false">IF(E3408="","",E3408-C3408)</f>
        <v>-15</v>
      </c>
      <c r="J3408" s="33" t="n">
        <f aca="false">IF(F3408="","",F3408-C3408)</f>
        <v>-8.375</v>
      </c>
      <c r="K3408" s="33" t="n">
        <f aca="false">IF(G3408="","",G3408-C3408)</f>
        <v>-14.1077924486184</v>
      </c>
      <c r="L3408" s="33" t="n">
        <f aca="false">IF(H3408="","",ABS(H3408))</f>
        <v>31</v>
      </c>
      <c r="M3408" s="33" t="n">
        <f aca="false">IF(I3408="","",ABS(I3408))</f>
        <v>15</v>
      </c>
      <c r="N3408" s="33" t="n">
        <f aca="false">IF(J3408="","",ABS(J3408))</f>
        <v>8.375</v>
      </c>
      <c r="O3408" s="33" t="n">
        <f aca="false">IF(K3408="","",ABS(K3408))</f>
        <v>14.1077924486184</v>
      </c>
      <c r="P3408" s="34" t="str">
        <f aca="false">IF(B3408&gt;=Eval_Start_Week,"YES","")</f>
        <v>YES</v>
      </c>
      <c r="Q3408" s="34" t="str">
        <f aca="false">IF(AND(B3408&gt;=Cal_Start_Week,B3408&lt;=Cal_End_Week),"YES","")</f>
        <v>YES</v>
      </c>
    </row>
    <row r="3409" customFormat="false" ht="15" hidden="false" customHeight="false" outlineLevel="0" collapsed="false">
      <c r="A3409" s="31" t="str">
        <f aca="false">Demand_History!C3409</f>
        <v>ELE-004</v>
      </c>
      <c r="B3409" s="31" t="n">
        <f aca="false">Demand_History!A3409</f>
        <v>80</v>
      </c>
      <c r="C3409" s="32" t="n">
        <f aca="false">Demand_History!D3409</f>
        <v>114</v>
      </c>
      <c r="D3409" s="33" t="n">
        <f aca="false">IF(B3409&gt;=2,C3408,"")</f>
        <v>118</v>
      </c>
      <c r="E3409" s="33" t="n">
        <f aca="false">IF(B3409&gt;=5,AVERAGE(C3405:C3408),"")</f>
        <v>106</v>
      </c>
      <c r="F3409" s="33" t="n">
        <f aca="false">IF(B3409&gt;=9,AVERAGE(C3401:C3408),"")</f>
        <v>113.125</v>
      </c>
      <c r="G3409" s="33" t="n">
        <f aca="false">IF(B3409=1,"",IF(B3409=2,C3408,SES_Alpha*C3408+(1-SES_Alpha)*G3408))</f>
        <v>108.124545285967</v>
      </c>
      <c r="H3409" s="33" t="n">
        <f aca="false">IF(D3409="","",D3409-C3409)</f>
        <v>4</v>
      </c>
      <c r="I3409" s="33" t="n">
        <f aca="false">IF(E3409="","",E3409-C3409)</f>
        <v>-8</v>
      </c>
      <c r="J3409" s="33" t="n">
        <f aca="false">IF(F3409="","",F3409-C3409)</f>
        <v>-0.875</v>
      </c>
      <c r="K3409" s="33" t="n">
        <f aca="false">IF(G3409="","",G3409-C3409)</f>
        <v>-5.87545471403291</v>
      </c>
      <c r="L3409" s="33" t="n">
        <f aca="false">IF(H3409="","",ABS(H3409))</f>
        <v>4</v>
      </c>
      <c r="M3409" s="33" t="n">
        <f aca="false">IF(I3409="","",ABS(I3409))</f>
        <v>8</v>
      </c>
      <c r="N3409" s="33" t="n">
        <f aca="false">IF(J3409="","",ABS(J3409))</f>
        <v>0.875</v>
      </c>
      <c r="O3409" s="33" t="n">
        <f aca="false">IF(K3409="","",ABS(K3409))</f>
        <v>5.87545471403291</v>
      </c>
      <c r="P3409" s="34" t="str">
        <f aca="false">IF(B3409&gt;=Eval_Start_Week,"YES","")</f>
        <v>YES</v>
      </c>
      <c r="Q3409" s="34" t="str">
        <f aca="false">IF(AND(B3409&gt;=Cal_Start_Week,B3409&lt;=Cal_End_Week),"YES","")</f>
        <v>YES</v>
      </c>
    </row>
    <row r="3410" customFormat="false" ht="15" hidden="false" customHeight="false" outlineLevel="0" collapsed="false">
      <c r="A3410" s="31" t="str">
        <f aca="false">Demand_History!C3410</f>
        <v>ELE-004</v>
      </c>
      <c r="B3410" s="31" t="n">
        <f aca="false">Demand_History!A3410</f>
        <v>81</v>
      </c>
      <c r="C3410" s="32" t="n">
        <f aca="false">Demand_History!D3410</f>
        <v>119</v>
      </c>
      <c r="D3410" s="33" t="n">
        <f aca="false">IF(B3410&gt;=2,C3409,"")</f>
        <v>114</v>
      </c>
      <c r="E3410" s="33" t="n">
        <f aca="false">IF(B3410&gt;=5,AVERAGE(C3406:C3409),"")</f>
        <v>104.25</v>
      </c>
      <c r="F3410" s="33" t="n">
        <f aca="false">IF(B3410&gt;=9,AVERAGE(C3402:C3409),"")</f>
        <v>113.625</v>
      </c>
      <c r="G3410" s="33" t="n">
        <f aca="false">IF(B3410=1,"",IF(B3410=2,C3409,SES_Alpha*C3409+(1-SES_Alpha)*G3409))</f>
        <v>109.887181700177</v>
      </c>
      <c r="H3410" s="33" t="n">
        <f aca="false">IF(D3410="","",D3410-C3410)</f>
        <v>-5</v>
      </c>
      <c r="I3410" s="33" t="n">
        <f aca="false">IF(E3410="","",E3410-C3410)</f>
        <v>-14.75</v>
      </c>
      <c r="J3410" s="33" t="n">
        <f aca="false">IF(F3410="","",F3410-C3410)</f>
        <v>-5.375</v>
      </c>
      <c r="K3410" s="33" t="n">
        <f aca="false">IF(G3410="","",G3410-C3410)</f>
        <v>-9.11281829982306</v>
      </c>
      <c r="L3410" s="33" t="n">
        <f aca="false">IF(H3410="","",ABS(H3410))</f>
        <v>5</v>
      </c>
      <c r="M3410" s="33" t="n">
        <f aca="false">IF(I3410="","",ABS(I3410))</f>
        <v>14.75</v>
      </c>
      <c r="N3410" s="33" t="n">
        <f aca="false">IF(J3410="","",ABS(J3410))</f>
        <v>5.375</v>
      </c>
      <c r="O3410" s="33" t="n">
        <f aca="false">IF(K3410="","",ABS(K3410))</f>
        <v>9.11281829982306</v>
      </c>
      <c r="P3410" s="34" t="str">
        <f aca="false">IF(B3410&gt;=Eval_Start_Week,"YES","")</f>
        <v>YES</v>
      </c>
      <c r="Q3410" s="34" t="str">
        <f aca="false">IF(AND(B3410&gt;=Cal_Start_Week,B3410&lt;=Cal_End_Week),"YES","")</f>
        <v>YES</v>
      </c>
    </row>
    <row r="3411" customFormat="false" ht="15" hidden="false" customHeight="false" outlineLevel="0" collapsed="false">
      <c r="A3411" s="31" t="str">
        <f aca="false">Demand_History!C3411</f>
        <v>ELE-004</v>
      </c>
      <c r="B3411" s="31" t="n">
        <f aca="false">Demand_History!A3411</f>
        <v>82</v>
      </c>
      <c r="C3411" s="32" t="n">
        <f aca="false">Demand_History!D3411</f>
        <v>111</v>
      </c>
      <c r="D3411" s="33" t="n">
        <f aca="false">IF(B3411&gt;=2,C3410,"")</f>
        <v>119</v>
      </c>
      <c r="E3411" s="33" t="n">
        <f aca="false">IF(B3411&gt;=5,AVERAGE(C3407:C3410),"")</f>
        <v>109.5</v>
      </c>
      <c r="F3411" s="33" t="n">
        <f aca="false">IF(B3411&gt;=9,AVERAGE(C3403:C3410),"")</f>
        <v>111.625</v>
      </c>
      <c r="G3411" s="33" t="n">
        <f aca="false">IF(B3411=1,"",IF(B3411=2,C3410,SES_Alpha*C3410+(1-SES_Alpha)*G3410))</f>
        <v>112.621027190124</v>
      </c>
      <c r="H3411" s="33" t="n">
        <f aca="false">IF(D3411="","",D3411-C3411)</f>
        <v>8</v>
      </c>
      <c r="I3411" s="33" t="n">
        <f aca="false">IF(E3411="","",E3411-C3411)</f>
        <v>-1.5</v>
      </c>
      <c r="J3411" s="33" t="n">
        <f aca="false">IF(F3411="","",F3411-C3411)</f>
        <v>0.625</v>
      </c>
      <c r="K3411" s="33" t="n">
        <f aca="false">IF(G3411="","",G3411-C3411)</f>
        <v>1.62102719012384</v>
      </c>
      <c r="L3411" s="33" t="n">
        <f aca="false">IF(H3411="","",ABS(H3411))</f>
        <v>8</v>
      </c>
      <c r="M3411" s="33" t="n">
        <f aca="false">IF(I3411="","",ABS(I3411))</f>
        <v>1.5</v>
      </c>
      <c r="N3411" s="33" t="n">
        <f aca="false">IF(J3411="","",ABS(J3411))</f>
        <v>0.625</v>
      </c>
      <c r="O3411" s="33" t="n">
        <f aca="false">IF(K3411="","",ABS(K3411))</f>
        <v>1.62102719012384</v>
      </c>
      <c r="P3411" s="34" t="str">
        <f aca="false">IF(B3411&gt;=Eval_Start_Week,"YES","")</f>
        <v>YES</v>
      </c>
      <c r="Q3411" s="34" t="str">
        <f aca="false">IF(AND(B3411&gt;=Cal_Start_Week,B3411&lt;=Cal_End_Week),"YES","")</f>
        <v>YES</v>
      </c>
    </row>
    <row r="3412" customFormat="false" ht="15" hidden="false" customHeight="false" outlineLevel="0" collapsed="false">
      <c r="A3412" s="31" t="str">
        <f aca="false">Demand_History!C3412</f>
        <v>ELE-004</v>
      </c>
      <c r="B3412" s="31" t="n">
        <f aca="false">Demand_History!A3412</f>
        <v>83</v>
      </c>
      <c r="C3412" s="32" t="n">
        <f aca="false">Demand_History!D3412</f>
        <v>117</v>
      </c>
      <c r="D3412" s="33" t="n">
        <f aca="false">IF(B3412&gt;=2,C3411,"")</f>
        <v>111</v>
      </c>
      <c r="E3412" s="33" t="n">
        <f aca="false">IF(B3412&gt;=5,AVERAGE(C3408:C3411),"")</f>
        <v>115.5</v>
      </c>
      <c r="F3412" s="33" t="n">
        <f aca="false">IF(B3412&gt;=9,AVERAGE(C3404:C3411),"")</f>
        <v>109.25</v>
      </c>
      <c r="G3412" s="33" t="n">
        <f aca="false">IF(B3412=1,"",IF(B3412=2,C3411,SES_Alpha*C3411+(1-SES_Alpha)*G3411))</f>
        <v>112.134719033087</v>
      </c>
      <c r="H3412" s="33" t="n">
        <f aca="false">IF(D3412="","",D3412-C3412)</f>
        <v>-6</v>
      </c>
      <c r="I3412" s="33" t="n">
        <f aca="false">IF(E3412="","",E3412-C3412)</f>
        <v>-1.5</v>
      </c>
      <c r="J3412" s="33" t="n">
        <f aca="false">IF(F3412="","",F3412-C3412)</f>
        <v>-7.75</v>
      </c>
      <c r="K3412" s="33" t="n">
        <f aca="false">IF(G3412="","",G3412-C3412)</f>
        <v>-4.86528096691332</v>
      </c>
      <c r="L3412" s="33" t="n">
        <f aca="false">IF(H3412="","",ABS(H3412))</f>
        <v>6</v>
      </c>
      <c r="M3412" s="33" t="n">
        <f aca="false">IF(I3412="","",ABS(I3412))</f>
        <v>1.5</v>
      </c>
      <c r="N3412" s="33" t="n">
        <f aca="false">IF(J3412="","",ABS(J3412))</f>
        <v>7.75</v>
      </c>
      <c r="O3412" s="33" t="n">
        <f aca="false">IF(K3412="","",ABS(K3412))</f>
        <v>4.86528096691332</v>
      </c>
      <c r="P3412" s="34" t="str">
        <f aca="false">IF(B3412&gt;=Eval_Start_Week,"YES","")</f>
        <v>YES</v>
      </c>
      <c r="Q3412" s="34" t="str">
        <f aca="false">IF(AND(B3412&gt;=Cal_Start_Week,B3412&lt;=Cal_End_Week),"YES","")</f>
        <v>YES</v>
      </c>
    </row>
    <row r="3413" customFormat="false" ht="15" hidden="false" customHeight="false" outlineLevel="0" collapsed="false">
      <c r="A3413" s="31" t="str">
        <f aca="false">Demand_History!C3413</f>
        <v>ELE-004</v>
      </c>
      <c r="B3413" s="31" t="n">
        <f aca="false">Demand_History!A3413</f>
        <v>84</v>
      </c>
      <c r="C3413" s="32" t="n">
        <f aca="false">Demand_History!D3413</f>
        <v>105</v>
      </c>
      <c r="D3413" s="33" t="n">
        <f aca="false">IF(B3413&gt;=2,C3412,"")</f>
        <v>117</v>
      </c>
      <c r="E3413" s="33" t="n">
        <f aca="false">IF(B3413&gt;=5,AVERAGE(C3409:C3412),"")</f>
        <v>115.25</v>
      </c>
      <c r="F3413" s="33" t="n">
        <f aca="false">IF(B3413&gt;=9,AVERAGE(C3405:C3412),"")</f>
        <v>110.625</v>
      </c>
      <c r="G3413" s="33" t="n">
        <f aca="false">IF(B3413=1,"",IF(B3413=2,C3412,SES_Alpha*C3412+(1-SES_Alpha)*G3412))</f>
        <v>113.594303323161</v>
      </c>
      <c r="H3413" s="33" t="n">
        <f aca="false">IF(D3413="","",D3413-C3413)</f>
        <v>12</v>
      </c>
      <c r="I3413" s="33" t="n">
        <f aca="false">IF(E3413="","",E3413-C3413)</f>
        <v>10.25</v>
      </c>
      <c r="J3413" s="33" t="n">
        <f aca="false">IF(F3413="","",F3413-C3413)</f>
        <v>5.625</v>
      </c>
      <c r="K3413" s="33" t="n">
        <f aca="false">IF(G3413="","",G3413-C3413)</f>
        <v>8.59430332316069</v>
      </c>
      <c r="L3413" s="33" t="n">
        <f aca="false">IF(H3413="","",ABS(H3413))</f>
        <v>12</v>
      </c>
      <c r="M3413" s="33" t="n">
        <f aca="false">IF(I3413="","",ABS(I3413))</f>
        <v>10.25</v>
      </c>
      <c r="N3413" s="33" t="n">
        <f aca="false">IF(J3413="","",ABS(J3413))</f>
        <v>5.625</v>
      </c>
      <c r="O3413" s="33" t="n">
        <f aca="false">IF(K3413="","",ABS(K3413))</f>
        <v>8.59430332316069</v>
      </c>
      <c r="P3413" s="34" t="str">
        <f aca="false">IF(B3413&gt;=Eval_Start_Week,"YES","")</f>
        <v>YES</v>
      </c>
      <c r="Q3413" s="34" t="str">
        <f aca="false">IF(AND(B3413&gt;=Cal_Start_Week,B3413&lt;=Cal_End_Week),"YES","")</f>
        <v>YES</v>
      </c>
    </row>
    <row r="3414" customFormat="false" ht="15" hidden="false" customHeight="false" outlineLevel="0" collapsed="false">
      <c r="A3414" s="31" t="str">
        <f aca="false">Demand_History!C3414</f>
        <v>ELE-004</v>
      </c>
      <c r="B3414" s="31" t="n">
        <f aca="false">Demand_History!A3414</f>
        <v>85</v>
      </c>
      <c r="C3414" s="32" t="n">
        <f aca="false">Demand_History!D3414</f>
        <v>121</v>
      </c>
      <c r="D3414" s="33" t="n">
        <f aca="false">IF(B3414&gt;=2,C3413,"")</f>
        <v>105</v>
      </c>
      <c r="E3414" s="33" t="n">
        <f aca="false">IF(B3414&gt;=5,AVERAGE(C3410:C3413),"")</f>
        <v>113</v>
      </c>
      <c r="F3414" s="33" t="n">
        <f aca="false">IF(B3414&gt;=9,AVERAGE(C3406:C3413),"")</f>
        <v>108.625</v>
      </c>
      <c r="G3414" s="33" t="n">
        <f aca="false">IF(B3414=1,"",IF(B3414=2,C3413,SES_Alpha*C3413+(1-SES_Alpha)*G3413))</f>
        <v>111.016012326212</v>
      </c>
      <c r="H3414" s="33" t="n">
        <f aca="false">IF(D3414="","",D3414-C3414)</f>
        <v>-16</v>
      </c>
      <c r="I3414" s="33" t="n">
        <f aca="false">IF(E3414="","",E3414-C3414)</f>
        <v>-8</v>
      </c>
      <c r="J3414" s="33" t="n">
        <f aca="false">IF(F3414="","",F3414-C3414)</f>
        <v>-12.375</v>
      </c>
      <c r="K3414" s="33" t="n">
        <f aca="false">IF(G3414="","",G3414-C3414)</f>
        <v>-9.98398767378752</v>
      </c>
      <c r="L3414" s="33" t="n">
        <f aca="false">IF(H3414="","",ABS(H3414))</f>
        <v>16</v>
      </c>
      <c r="M3414" s="33" t="n">
        <f aca="false">IF(I3414="","",ABS(I3414))</f>
        <v>8</v>
      </c>
      <c r="N3414" s="33" t="n">
        <f aca="false">IF(J3414="","",ABS(J3414))</f>
        <v>12.375</v>
      </c>
      <c r="O3414" s="33" t="n">
        <f aca="false">IF(K3414="","",ABS(K3414))</f>
        <v>9.98398767378752</v>
      </c>
      <c r="P3414" s="34" t="str">
        <f aca="false">IF(B3414&gt;=Eval_Start_Week,"YES","")</f>
        <v>YES</v>
      </c>
      <c r="Q3414" s="34" t="str">
        <f aca="false">IF(AND(B3414&gt;=Cal_Start_Week,B3414&lt;=Cal_End_Week),"YES","")</f>
        <v>YES</v>
      </c>
    </row>
    <row r="3415" customFormat="false" ht="15" hidden="false" customHeight="false" outlineLevel="0" collapsed="false">
      <c r="A3415" s="31" t="str">
        <f aca="false">Demand_History!C3415</f>
        <v>ELE-004</v>
      </c>
      <c r="B3415" s="31" t="n">
        <f aca="false">Demand_History!A3415</f>
        <v>86</v>
      </c>
      <c r="C3415" s="32" t="n">
        <f aca="false">Demand_History!D3415</f>
        <v>128</v>
      </c>
      <c r="D3415" s="33" t="n">
        <f aca="false">IF(B3415&gt;=2,C3414,"")</f>
        <v>121</v>
      </c>
      <c r="E3415" s="33" t="n">
        <f aca="false">IF(B3415&gt;=5,AVERAGE(C3411:C3414),"")</f>
        <v>113.5</v>
      </c>
      <c r="F3415" s="33" t="n">
        <f aca="false">IF(B3415&gt;=9,AVERAGE(C3407:C3414),"")</f>
        <v>111.5</v>
      </c>
      <c r="G3415" s="33" t="n">
        <f aca="false">IF(B3415=1,"",IF(B3415=2,C3414,SES_Alpha*C3414+(1-SES_Alpha)*G3414))</f>
        <v>114.011208628349</v>
      </c>
      <c r="H3415" s="33" t="n">
        <f aca="false">IF(D3415="","",D3415-C3415)</f>
        <v>-7</v>
      </c>
      <c r="I3415" s="33" t="n">
        <f aca="false">IF(E3415="","",E3415-C3415)</f>
        <v>-14.5</v>
      </c>
      <c r="J3415" s="33" t="n">
        <f aca="false">IF(F3415="","",F3415-C3415)</f>
        <v>-16.5</v>
      </c>
      <c r="K3415" s="33" t="n">
        <f aca="false">IF(G3415="","",G3415-C3415)</f>
        <v>-13.9887913716513</v>
      </c>
      <c r="L3415" s="33" t="n">
        <f aca="false">IF(H3415="","",ABS(H3415))</f>
        <v>7</v>
      </c>
      <c r="M3415" s="33" t="n">
        <f aca="false">IF(I3415="","",ABS(I3415))</f>
        <v>14.5</v>
      </c>
      <c r="N3415" s="33" t="n">
        <f aca="false">IF(J3415="","",ABS(J3415))</f>
        <v>16.5</v>
      </c>
      <c r="O3415" s="33" t="n">
        <f aca="false">IF(K3415="","",ABS(K3415))</f>
        <v>13.9887913716513</v>
      </c>
      <c r="P3415" s="34" t="str">
        <f aca="false">IF(B3415&gt;=Eval_Start_Week,"YES","")</f>
        <v>YES</v>
      </c>
      <c r="Q3415" s="34" t="str">
        <f aca="false">IF(AND(B3415&gt;=Cal_Start_Week,B3415&lt;=Cal_End_Week),"YES","")</f>
        <v>YES</v>
      </c>
    </row>
    <row r="3416" customFormat="false" ht="15" hidden="false" customHeight="false" outlineLevel="0" collapsed="false">
      <c r="A3416" s="31" t="str">
        <f aca="false">Demand_History!C3416</f>
        <v>ELE-004</v>
      </c>
      <c r="B3416" s="31" t="n">
        <f aca="false">Demand_History!A3416</f>
        <v>87</v>
      </c>
      <c r="C3416" s="32" t="n">
        <f aca="false">Demand_History!D3416</f>
        <v>114</v>
      </c>
      <c r="D3416" s="33" t="n">
        <f aca="false">IF(B3416&gt;=2,C3415,"")</f>
        <v>128</v>
      </c>
      <c r="E3416" s="33" t="n">
        <f aca="false">IF(B3416&gt;=5,AVERAGE(C3412:C3415),"")</f>
        <v>117.75</v>
      </c>
      <c r="F3416" s="33" t="n">
        <f aca="false">IF(B3416&gt;=9,AVERAGE(C3408:C3415),"")</f>
        <v>116.625</v>
      </c>
      <c r="G3416" s="33" t="n">
        <f aca="false">IF(B3416=1,"",IF(B3416=2,C3415,SES_Alpha*C3415+(1-SES_Alpha)*G3415))</f>
        <v>118.207846039844</v>
      </c>
      <c r="H3416" s="33" t="n">
        <f aca="false">IF(D3416="","",D3416-C3416)</f>
        <v>14</v>
      </c>
      <c r="I3416" s="33" t="n">
        <f aca="false">IF(E3416="","",E3416-C3416)</f>
        <v>3.75</v>
      </c>
      <c r="J3416" s="33" t="n">
        <f aca="false">IF(F3416="","",F3416-C3416)</f>
        <v>2.625</v>
      </c>
      <c r="K3416" s="33" t="n">
        <f aca="false">IF(G3416="","",G3416-C3416)</f>
        <v>4.2078460398441</v>
      </c>
      <c r="L3416" s="33" t="n">
        <f aca="false">IF(H3416="","",ABS(H3416))</f>
        <v>14</v>
      </c>
      <c r="M3416" s="33" t="n">
        <f aca="false">IF(I3416="","",ABS(I3416))</f>
        <v>3.75</v>
      </c>
      <c r="N3416" s="33" t="n">
        <f aca="false">IF(J3416="","",ABS(J3416))</f>
        <v>2.625</v>
      </c>
      <c r="O3416" s="33" t="n">
        <f aca="false">IF(K3416="","",ABS(K3416))</f>
        <v>4.2078460398441</v>
      </c>
      <c r="P3416" s="34" t="str">
        <f aca="false">IF(B3416&gt;=Eval_Start_Week,"YES","")</f>
        <v>YES</v>
      </c>
      <c r="Q3416" s="34" t="str">
        <f aca="false">IF(AND(B3416&gt;=Cal_Start_Week,B3416&lt;=Cal_End_Week),"YES","")</f>
        <v>YES</v>
      </c>
    </row>
    <row r="3417" customFormat="false" ht="15" hidden="false" customHeight="false" outlineLevel="0" collapsed="false">
      <c r="A3417" s="31" t="str">
        <f aca="false">Demand_History!C3417</f>
        <v>ELE-004</v>
      </c>
      <c r="B3417" s="31" t="n">
        <f aca="false">Demand_History!A3417</f>
        <v>88</v>
      </c>
      <c r="C3417" s="32" t="n">
        <f aca="false">Demand_History!D3417</f>
        <v>129</v>
      </c>
      <c r="D3417" s="33" t="n">
        <f aca="false">IF(B3417&gt;=2,C3416,"")</f>
        <v>114</v>
      </c>
      <c r="E3417" s="33" t="n">
        <f aca="false">IF(B3417&gt;=5,AVERAGE(C3413:C3416),"")</f>
        <v>117</v>
      </c>
      <c r="F3417" s="33" t="n">
        <f aca="false">IF(B3417&gt;=9,AVERAGE(C3409:C3416),"")</f>
        <v>116.125</v>
      </c>
      <c r="G3417" s="33" t="n">
        <f aca="false">IF(B3417=1,"",IF(B3417=2,C3416,SES_Alpha*C3416+(1-SES_Alpha)*G3416))</f>
        <v>116.945492227891</v>
      </c>
      <c r="H3417" s="33" t="n">
        <f aca="false">IF(D3417="","",D3417-C3417)</f>
        <v>-15</v>
      </c>
      <c r="I3417" s="33" t="n">
        <f aca="false">IF(E3417="","",E3417-C3417)</f>
        <v>-12</v>
      </c>
      <c r="J3417" s="33" t="n">
        <f aca="false">IF(F3417="","",F3417-C3417)</f>
        <v>-12.875</v>
      </c>
      <c r="K3417" s="33" t="n">
        <f aca="false">IF(G3417="","",G3417-C3417)</f>
        <v>-12.0545077721091</v>
      </c>
      <c r="L3417" s="33" t="n">
        <f aca="false">IF(H3417="","",ABS(H3417))</f>
        <v>15</v>
      </c>
      <c r="M3417" s="33" t="n">
        <f aca="false">IF(I3417="","",ABS(I3417))</f>
        <v>12</v>
      </c>
      <c r="N3417" s="33" t="n">
        <f aca="false">IF(J3417="","",ABS(J3417))</f>
        <v>12.875</v>
      </c>
      <c r="O3417" s="33" t="n">
        <f aca="false">IF(K3417="","",ABS(K3417))</f>
        <v>12.0545077721091</v>
      </c>
      <c r="P3417" s="34" t="str">
        <f aca="false">IF(B3417&gt;=Eval_Start_Week,"YES","")</f>
        <v>YES</v>
      </c>
      <c r="Q3417" s="34" t="str">
        <f aca="false">IF(AND(B3417&gt;=Cal_Start_Week,B3417&lt;=Cal_End_Week),"YES","")</f>
        <v>YES</v>
      </c>
    </row>
    <row r="3418" customFormat="false" ht="15" hidden="false" customHeight="false" outlineLevel="0" collapsed="false">
      <c r="A3418" s="31" t="str">
        <f aca="false">Demand_History!C3418</f>
        <v>ELE-004</v>
      </c>
      <c r="B3418" s="31" t="n">
        <f aca="false">Demand_History!A3418</f>
        <v>89</v>
      </c>
      <c r="C3418" s="32" t="n">
        <f aca="false">Demand_History!D3418</f>
        <v>87</v>
      </c>
      <c r="D3418" s="33" t="n">
        <f aca="false">IF(B3418&gt;=2,C3417,"")</f>
        <v>129</v>
      </c>
      <c r="E3418" s="33" t="n">
        <f aca="false">IF(B3418&gt;=5,AVERAGE(C3414:C3417),"")</f>
        <v>123</v>
      </c>
      <c r="F3418" s="33" t="n">
        <f aca="false">IF(B3418&gt;=9,AVERAGE(C3410:C3417),"")</f>
        <v>118</v>
      </c>
      <c r="G3418" s="33" t="n">
        <f aca="false">IF(B3418=1,"",IF(B3418=2,C3417,SES_Alpha*C3417+(1-SES_Alpha)*G3417))</f>
        <v>120.561844559524</v>
      </c>
      <c r="H3418" s="33" t="n">
        <f aca="false">IF(D3418="","",D3418-C3418)</f>
        <v>42</v>
      </c>
      <c r="I3418" s="33" t="n">
        <f aca="false">IF(E3418="","",E3418-C3418)</f>
        <v>36</v>
      </c>
      <c r="J3418" s="33" t="n">
        <f aca="false">IF(F3418="","",F3418-C3418)</f>
        <v>31</v>
      </c>
      <c r="K3418" s="33" t="n">
        <f aca="false">IF(G3418="","",G3418-C3418)</f>
        <v>33.5618445595236</v>
      </c>
      <c r="L3418" s="33" t="n">
        <f aca="false">IF(H3418="","",ABS(H3418))</f>
        <v>42</v>
      </c>
      <c r="M3418" s="33" t="n">
        <f aca="false">IF(I3418="","",ABS(I3418))</f>
        <v>36</v>
      </c>
      <c r="N3418" s="33" t="n">
        <f aca="false">IF(J3418="","",ABS(J3418))</f>
        <v>31</v>
      </c>
      <c r="O3418" s="33" t="n">
        <f aca="false">IF(K3418="","",ABS(K3418))</f>
        <v>33.5618445595236</v>
      </c>
      <c r="P3418" s="34" t="str">
        <f aca="false">IF(B3418&gt;=Eval_Start_Week,"YES","")</f>
        <v>YES</v>
      </c>
      <c r="Q3418" s="34" t="str">
        <f aca="false">IF(AND(B3418&gt;=Cal_Start_Week,B3418&lt;=Cal_End_Week),"YES","")</f>
        <v/>
      </c>
    </row>
    <row r="3419" customFormat="false" ht="15" hidden="false" customHeight="false" outlineLevel="0" collapsed="false">
      <c r="A3419" s="31" t="str">
        <f aca="false">Demand_History!C3419</f>
        <v>ELE-004</v>
      </c>
      <c r="B3419" s="31" t="n">
        <f aca="false">Demand_History!A3419</f>
        <v>90</v>
      </c>
      <c r="C3419" s="32" t="n">
        <f aca="false">Demand_History!D3419</f>
        <v>104</v>
      </c>
      <c r="D3419" s="33" t="n">
        <f aca="false">IF(B3419&gt;=2,C3418,"")</f>
        <v>87</v>
      </c>
      <c r="E3419" s="33" t="n">
        <f aca="false">IF(B3419&gt;=5,AVERAGE(C3415:C3418),"")</f>
        <v>114.5</v>
      </c>
      <c r="F3419" s="33" t="n">
        <f aca="false">IF(B3419&gt;=9,AVERAGE(C3411:C3418),"")</f>
        <v>114</v>
      </c>
      <c r="G3419" s="33" t="n">
        <f aca="false">IF(B3419=1,"",IF(B3419=2,C3418,SES_Alpha*C3418+(1-SES_Alpha)*G3418))</f>
        <v>110.493291191667</v>
      </c>
      <c r="H3419" s="33" t="n">
        <f aca="false">IF(D3419="","",D3419-C3419)</f>
        <v>-17</v>
      </c>
      <c r="I3419" s="33" t="n">
        <f aca="false">IF(E3419="","",E3419-C3419)</f>
        <v>10.5</v>
      </c>
      <c r="J3419" s="33" t="n">
        <f aca="false">IF(F3419="","",F3419-C3419)</f>
        <v>10</v>
      </c>
      <c r="K3419" s="33" t="n">
        <f aca="false">IF(G3419="","",G3419-C3419)</f>
        <v>6.4932911916665</v>
      </c>
      <c r="L3419" s="33" t="n">
        <f aca="false">IF(H3419="","",ABS(H3419))</f>
        <v>17</v>
      </c>
      <c r="M3419" s="33" t="n">
        <f aca="false">IF(I3419="","",ABS(I3419))</f>
        <v>10.5</v>
      </c>
      <c r="N3419" s="33" t="n">
        <f aca="false">IF(J3419="","",ABS(J3419))</f>
        <v>10</v>
      </c>
      <c r="O3419" s="33" t="n">
        <f aca="false">IF(K3419="","",ABS(K3419))</f>
        <v>6.4932911916665</v>
      </c>
      <c r="P3419" s="34" t="str">
        <f aca="false">IF(B3419&gt;=Eval_Start_Week,"YES","")</f>
        <v>YES</v>
      </c>
      <c r="Q3419" s="34" t="str">
        <f aca="false">IF(AND(B3419&gt;=Cal_Start_Week,B3419&lt;=Cal_End_Week),"YES","")</f>
        <v/>
      </c>
    </row>
    <row r="3420" customFormat="false" ht="15" hidden="false" customHeight="false" outlineLevel="0" collapsed="false">
      <c r="A3420" s="31" t="str">
        <f aca="false">Demand_History!C3420</f>
        <v>ELE-004</v>
      </c>
      <c r="B3420" s="31" t="n">
        <f aca="false">Demand_History!A3420</f>
        <v>91</v>
      </c>
      <c r="C3420" s="32" t="n">
        <f aca="false">Demand_History!D3420</f>
        <v>141</v>
      </c>
      <c r="D3420" s="33" t="n">
        <f aca="false">IF(B3420&gt;=2,C3419,"")</f>
        <v>104</v>
      </c>
      <c r="E3420" s="33" t="n">
        <f aca="false">IF(B3420&gt;=5,AVERAGE(C3416:C3419),"")</f>
        <v>108.5</v>
      </c>
      <c r="F3420" s="33" t="n">
        <f aca="false">IF(B3420&gt;=9,AVERAGE(C3412:C3419),"")</f>
        <v>113.125</v>
      </c>
      <c r="G3420" s="33" t="n">
        <f aca="false">IF(B3420=1,"",IF(B3420=2,C3419,SES_Alpha*C3419+(1-SES_Alpha)*G3419))</f>
        <v>108.545303834167</v>
      </c>
      <c r="H3420" s="33" t="n">
        <f aca="false">IF(D3420="","",D3420-C3420)</f>
        <v>-37</v>
      </c>
      <c r="I3420" s="33" t="n">
        <f aca="false">IF(E3420="","",E3420-C3420)</f>
        <v>-32.5</v>
      </c>
      <c r="J3420" s="33" t="n">
        <f aca="false">IF(F3420="","",F3420-C3420)</f>
        <v>-27.875</v>
      </c>
      <c r="K3420" s="33" t="n">
        <f aca="false">IF(G3420="","",G3420-C3420)</f>
        <v>-32.4546961658335</v>
      </c>
      <c r="L3420" s="33" t="n">
        <f aca="false">IF(H3420="","",ABS(H3420))</f>
        <v>37</v>
      </c>
      <c r="M3420" s="33" t="n">
        <f aca="false">IF(I3420="","",ABS(I3420))</f>
        <v>32.5</v>
      </c>
      <c r="N3420" s="33" t="n">
        <f aca="false">IF(J3420="","",ABS(J3420))</f>
        <v>27.875</v>
      </c>
      <c r="O3420" s="33" t="n">
        <f aca="false">IF(K3420="","",ABS(K3420))</f>
        <v>32.4546961658335</v>
      </c>
      <c r="P3420" s="34" t="str">
        <f aca="false">IF(B3420&gt;=Eval_Start_Week,"YES","")</f>
        <v>YES</v>
      </c>
      <c r="Q3420" s="34" t="str">
        <f aca="false">IF(AND(B3420&gt;=Cal_Start_Week,B3420&lt;=Cal_End_Week),"YES","")</f>
        <v/>
      </c>
    </row>
    <row r="3421" customFormat="false" ht="15" hidden="false" customHeight="false" outlineLevel="0" collapsed="false">
      <c r="A3421" s="31" t="str">
        <f aca="false">Demand_History!C3421</f>
        <v>ELE-004</v>
      </c>
      <c r="B3421" s="31" t="n">
        <f aca="false">Demand_History!A3421</f>
        <v>92</v>
      </c>
      <c r="C3421" s="32" t="n">
        <f aca="false">Demand_History!D3421</f>
        <v>147</v>
      </c>
      <c r="D3421" s="33" t="n">
        <f aca="false">IF(B3421&gt;=2,C3420,"")</f>
        <v>141</v>
      </c>
      <c r="E3421" s="33" t="n">
        <f aca="false">IF(B3421&gt;=5,AVERAGE(C3417:C3420),"")</f>
        <v>115.25</v>
      </c>
      <c r="F3421" s="33" t="n">
        <f aca="false">IF(B3421&gt;=9,AVERAGE(C3413:C3420),"")</f>
        <v>116.125</v>
      </c>
      <c r="G3421" s="33" t="n">
        <f aca="false">IF(B3421=1,"",IF(B3421=2,C3420,SES_Alpha*C3420+(1-SES_Alpha)*G3420))</f>
        <v>118.281712683917</v>
      </c>
      <c r="H3421" s="33" t="n">
        <f aca="false">IF(D3421="","",D3421-C3421)</f>
        <v>-6</v>
      </c>
      <c r="I3421" s="33" t="n">
        <f aca="false">IF(E3421="","",E3421-C3421)</f>
        <v>-31.75</v>
      </c>
      <c r="J3421" s="33" t="n">
        <f aca="false">IF(F3421="","",F3421-C3421)</f>
        <v>-30.875</v>
      </c>
      <c r="K3421" s="33" t="n">
        <f aca="false">IF(G3421="","",G3421-C3421)</f>
        <v>-28.7182873160834</v>
      </c>
      <c r="L3421" s="33" t="n">
        <f aca="false">IF(H3421="","",ABS(H3421))</f>
        <v>6</v>
      </c>
      <c r="M3421" s="33" t="n">
        <f aca="false">IF(I3421="","",ABS(I3421))</f>
        <v>31.75</v>
      </c>
      <c r="N3421" s="33" t="n">
        <f aca="false">IF(J3421="","",ABS(J3421))</f>
        <v>30.875</v>
      </c>
      <c r="O3421" s="33" t="n">
        <f aca="false">IF(K3421="","",ABS(K3421))</f>
        <v>28.7182873160834</v>
      </c>
      <c r="P3421" s="34" t="str">
        <f aca="false">IF(B3421&gt;=Eval_Start_Week,"YES","")</f>
        <v>YES</v>
      </c>
      <c r="Q3421" s="34" t="str">
        <f aca="false">IF(AND(B3421&gt;=Cal_Start_Week,B3421&lt;=Cal_End_Week),"YES","")</f>
        <v/>
      </c>
    </row>
    <row r="3422" customFormat="false" ht="15" hidden="false" customHeight="false" outlineLevel="0" collapsed="false">
      <c r="A3422" s="31" t="str">
        <f aca="false">Demand_History!C3422</f>
        <v>ELE-004</v>
      </c>
      <c r="B3422" s="31" t="n">
        <f aca="false">Demand_History!A3422</f>
        <v>93</v>
      </c>
      <c r="C3422" s="32" t="n">
        <f aca="false">Demand_History!D3422</f>
        <v>123</v>
      </c>
      <c r="D3422" s="33" t="n">
        <f aca="false">IF(B3422&gt;=2,C3421,"")</f>
        <v>147</v>
      </c>
      <c r="E3422" s="33" t="n">
        <f aca="false">IF(B3422&gt;=5,AVERAGE(C3418:C3421),"")</f>
        <v>119.75</v>
      </c>
      <c r="F3422" s="33" t="n">
        <f aca="false">IF(B3422&gt;=9,AVERAGE(C3414:C3421),"")</f>
        <v>121.375</v>
      </c>
      <c r="G3422" s="33" t="n">
        <f aca="false">IF(B3422=1,"",IF(B3422=2,C3421,SES_Alpha*C3421+(1-SES_Alpha)*G3421))</f>
        <v>126.897198878742</v>
      </c>
      <c r="H3422" s="33" t="n">
        <f aca="false">IF(D3422="","",D3422-C3422)</f>
        <v>24</v>
      </c>
      <c r="I3422" s="33" t="n">
        <f aca="false">IF(E3422="","",E3422-C3422)</f>
        <v>-3.25</v>
      </c>
      <c r="J3422" s="33" t="n">
        <f aca="false">IF(F3422="","",F3422-C3422)</f>
        <v>-1.625</v>
      </c>
      <c r="K3422" s="33" t="n">
        <f aca="false">IF(G3422="","",G3422-C3422)</f>
        <v>3.89719887874159</v>
      </c>
      <c r="L3422" s="33" t="n">
        <f aca="false">IF(H3422="","",ABS(H3422))</f>
        <v>24</v>
      </c>
      <c r="M3422" s="33" t="n">
        <f aca="false">IF(I3422="","",ABS(I3422))</f>
        <v>3.25</v>
      </c>
      <c r="N3422" s="33" t="n">
        <f aca="false">IF(J3422="","",ABS(J3422))</f>
        <v>1.625</v>
      </c>
      <c r="O3422" s="33" t="n">
        <f aca="false">IF(K3422="","",ABS(K3422))</f>
        <v>3.89719887874159</v>
      </c>
      <c r="P3422" s="34" t="str">
        <f aca="false">IF(B3422&gt;=Eval_Start_Week,"YES","")</f>
        <v>YES</v>
      </c>
      <c r="Q3422" s="34" t="str">
        <f aca="false">IF(AND(B3422&gt;=Cal_Start_Week,B3422&lt;=Cal_End_Week),"YES","")</f>
        <v/>
      </c>
    </row>
    <row r="3423" customFormat="false" ht="15" hidden="false" customHeight="false" outlineLevel="0" collapsed="false">
      <c r="A3423" s="31" t="str">
        <f aca="false">Demand_History!C3423</f>
        <v>ELE-004</v>
      </c>
      <c r="B3423" s="31" t="n">
        <f aca="false">Demand_History!A3423</f>
        <v>94</v>
      </c>
      <c r="C3423" s="32" t="n">
        <f aca="false">Demand_History!D3423</f>
        <v>118</v>
      </c>
      <c r="D3423" s="33" t="n">
        <f aca="false">IF(B3423&gt;=2,C3422,"")</f>
        <v>123</v>
      </c>
      <c r="E3423" s="33" t="n">
        <f aca="false">IF(B3423&gt;=5,AVERAGE(C3419:C3422),"")</f>
        <v>128.75</v>
      </c>
      <c r="F3423" s="33" t="n">
        <f aca="false">IF(B3423&gt;=9,AVERAGE(C3415:C3422),"")</f>
        <v>121.625</v>
      </c>
      <c r="G3423" s="33" t="n">
        <f aca="false">IF(B3423=1,"",IF(B3423=2,C3422,SES_Alpha*C3422+(1-SES_Alpha)*G3422))</f>
        <v>125.728039215119</v>
      </c>
      <c r="H3423" s="33" t="n">
        <f aca="false">IF(D3423="","",D3423-C3423)</f>
        <v>5</v>
      </c>
      <c r="I3423" s="33" t="n">
        <f aca="false">IF(E3423="","",E3423-C3423)</f>
        <v>10.75</v>
      </c>
      <c r="J3423" s="33" t="n">
        <f aca="false">IF(F3423="","",F3423-C3423)</f>
        <v>3.625</v>
      </c>
      <c r="K3423" s="33" t="n">
        <f aca="false">IF(G3423="","",G3423-C3423)</f>
        <v>7.72803921511911</v>
      </c>
      <c r="L3423" s="33" t="n">
        <f aca="false">IF(H3423="","",ABS(H3423))</f>
        <v>5</v>
      </c>
      <c r="M3423" s="33" t="n">
        <f aca="false">IF(I3423="","",ABS(I3423))</f>
        <v>10.75</v>
      </c>
      <c r="N3423" s="33" t="n">
        <f aca="false">IF(J3423="","",ABS(J3423))</f>
        <v>3.625</v>
      </c>
      <c r="O3423" s="33" t="n">
        <f aca="false">IF(K3423="","",ABS(K3423))</f>
        <v>7.72803921511911</v>
      </c>
      <c r="P3423" s="34" t="str">
        <f aca="false">IF(B3423&gt;=Eval_Start_Week,"YES","")</f>
        <v>YES</v>
      </c>
      <c r="Q3423" s="34" t="str">
        <f aca="false">IF(AND(B3423&gt;=Cal_Start_Week,B3423&lt;=Cal_End_Week),"YES","")</f>
        <v/>
      </c>
    </row>
    <row r="3424" customFormat="false" ht="15" hidden="false" customHeight="false" outlineLevel="0" collapsed="false">
      <c r="A3424" s="31" t="str">
        <f aca="false">Demand_History!C3424</f>
        <v>ELE-004</v>
      </c>
      <c r="B3424" s="31" t="n">
        <f aca="false">Demand_History!A3424</f>
        <v>95</v>
      </c>
      <c r="C3424" s="32" t="n">
        <f aca="false">Demand_History!D3424</f>
        <v>99</v>
      </c>
      <c r="D3424" s="33" t="n">
        <f aca="false">IF(B3424&gt;=2,C3423,"")</f>
        <v>118</v>
      </c>
      <c r="E3424" s="33" t="n">
        <f aca="false">IF(B3424&gt;=5,AVERAGE(C3420:C3423),"")</f>
        <v>132.25</v>
      </c>
      <c r="F3424" s="33" t="n">
        <f aca="false">IF(B3424&gt;=9,AVERAGE(C3416:C3423),"")</f>
        <v>120.375</v>
      </c>
      <c r="G3424" s="33" t="n">
        <f aca="false">IF(B3424=1,"",IF(B3424=2,C3423,SES_Alpha*C3423+(1-SES_Alpha)*G3423))</f>
        <v>123.409627450583</v>
      </c>
      <c r="H3424" s="33" t="n">
        <f aca="false">IF(D3424="","",D3424-C3424)</f>
        <v>19</v>
      </c>
      <c r="I3424" s="33" t="n">
        <f aca="false">IF(E3424="","",E3424-C3424)</f>
        <v>33.25</v>
      </c>
      <c r="J3424" s="33" t="n">
        <f aca="false">IF(F3424="","",F3424-C3424)</f>
        <v>21.375</v>
      </c>
      <c r="K3424" s="33" t="n">
        <f aca="false">IF(G3424="","",G3424-C3424)</f>
        <v>24.4096274505834</v>
      </c>
      <c r="L3424" s="33" t="n">
        <f aca="false">IF(H3424="","",ABS(H3424))</f>
        <v>19</v>
      </c>
      <c r="M3424" s="33" t="n">
        <f aca="false">IF(I3424="","",ABS(I3424))</f>
        <v>33.25</v>
      </c>
      <c r="N3424" s="33" t="n">
        <f aca="false">IF(J3424="","",ABS(J3424))</f>
        <v>21.375</v>
      </c>
      <c r="O3424" s="33" t="n">
        <f aca="false">IF(K3424="","",ABS(K3424))</f>
        <v>24.4096274505834</v>
      </c>
      <c r="P3424" s="34" t="str">
        <f aca="false">IF(B3424&gt;=Eval_Start_Week,"YES","")</f>
        <v>YES</v>
      </c>
      <c r="Q3424" s="34" t="str">
        <f aca="false">IF(AND(B3424&gt;=Cal_Start_Week,B3424&lt;=Cal_End_Week),"YES","")</f>
        <v/>
      </c>
    </row>
    <row r="3425" customFormat="false" ht="15" hidden="false" customHeight="false" outlineLevel="0" collapsed="false">
      <c r="A3425" s="31" t="str">
        <f aca="false">Demand_History!C3425</f>
        <v>ELE-004</v>
      </c>
      <c r="B3425" s="31" t="n">
        <f aca="false">Demand_History!A3425</f>
        <v>96</v>
      </c>
      <c r="C3425" s="32" t="n">
        <f aca="false">Demand_History!D3425</f>
        <v>127</v>
      </c>
      <c r="D3425" s="33" t="n">
        <f aca="false">IF(B3425&gt;=2,C3424,"")</f>
        <v>99</v>
      </c>
      <c r="E3425" s="33" t="n">
        <f aca="false">IF(B3425&gt;=5,AVERAGE(C3421:C3424),"")</f>
        <v>121.75</v>
      </c>
      <c r="F3425" s="33" t="n">
        <f aca="false">IF(B3425&gt;=9,AVERAGE(C3417:C3424),"")</f>
        <v>118.5</v>
      </c>
      <c r="G3425" s="33" t="n">
        <f aca="false">IF(B3425=1,"",IF(B3425=2,C3424,SES_Alpha*C3424+(1-SES_Alpha)*G3424))</f>
        <v>116.086739215408</v>
      </c>
      <c r="H3425" s="33" t="n">
        <f aca="false">IF(D3425="","",D3425-C3425)</f>
        <v>-28</v>
      </c>
      <c r="I3425" s="33" t="n">
        <f aca="false">IF(E3425="","",E3425-C3425)</f>
        <v>-5.25</v>
      </c>
      <c r="J3425" s="33" t="n">
        <f aca="false">IF(F3425="","",F3425-C3425)</f>
        <v>-8.5</v>
      </c>
      <c r="K3425" s="33" t="n">
        <f aca="false">IF(G3425="","",G3425-C3425)</f>
        <v>-10.9132607845916</v>
      </c>
      <c r="L3425" s="33" t="n">
        <f aca="false">IF(H3425="","",ABS(H3425))</f>
        <v>28</v>
      </c>
      <c r="M3425" s="33" t="n">
        <f aca="false">IF(I3425="","",ABS(I3425))</f>
        <v>5.25</v>
      </c>
      <c r="N3425" s="33" t="n">
        <f aca="false">IF(J3425="","",ABS(J3425))</f>
        <v>8.5</v>
      </c>
      <c r="O3425" s="33" t="n">
        <f aca="false">IF(K3425="","",ABS(K3425))</f>
        <v>10.9132607845916</v>
      </c>
      <c r="P3425" s="34" t="str">
        <f aca="false">IF(B3425&gt;=Eval_Start_Week,"YES","")</f>
        <v>YES</v>
      </c>
      <c r="Q3425" s="34" t="str">
        <f aca="false">IF(AND(B3425&gt;=Cal_Start_Week,B3425&lt;=Cal_End_Week),"YES","")</f>
        <v/>
      </c>
    </row>
    <row r="3426" customFormat="false" ht="15" hidden="false" customHeight="false" outlineLevel="0" collapsed="false">
      <c r="A3426" s="31" t="str">
        <f aca="false">Demand_History!C3426</f>
        <v>ELE-004</v>
      </c>
      <c r="B3426" s="31" t="n">
        <f aca="false">Demand_History!A3426</f>
        <v>97</v>
      </c>
      <c r="C3426" s="32" t="n">
        <f aca="false">Demand_History!D3426</f>
        <v>135</v>
      </c>
      <c r="D3426" s="33" t="n">
        <f aca="false">IF(B3426&gt;=2,C3425,"")</f>
        <v>127</v>
      </c>
      <c r="E3426" s="33" t="n">
        <f aca="false">IF(B3426&gt;=5,AVERAGE(C3422:C3425),"")</f>
        <v>116.75</v>
      </c>
      <c r="F3426" s="33" t="n">
        <f aca="false">IF(B3426&gt;=9,AVERAGE(C3418:C3425),"")</f>
        <v>118.25</v>
      </c>
      <c r="G3426" s="33" t="n">
        <f aca="false">IF(B3426=1,"",IF(B3426=2,C3425,SES_Alpha*C3425+(1-SES_Alpha)*G3425))</f>
        <v>119.360717450786</v>
      </c>
      <c r="H3426" s="33" t="n">
        <f aca="false">IF(D3426="","",D3426-C3426)</f>
        <v>-8</v>
      </c>
      <c r="I3426" s="33" t="n">
        <f aca="false">IF(E3426="","",E3426-C3426)</f>
        <v>-18.25</v>
      </c>
      <c r="J3426" s="33" t="n">
        <f aca="false">IF(F3426="","",F3426-C3426)</f>
        <v>-16.75</v>
      </c>
      <c r="K3426" s="33" t="n">
        <f aca="false">IF(G3426="","",G3426-C3426)</f>
        <v>-15.6392825492142</v>
      </c>
      <c r="L3426" s="33" t="n">
        <f aca="false">IF(H3426="","",ABS(H3426))</f>
        <v>8</v>
      </c>
      <c r="M3426" s="33" t="n">
        <f aca="false">IF(I3426="","",ABS(I3426))</f>
        <v>18.25</v>
      </c>
      <c r="N3426" s="33" t="n">
        <f aca="false">IF(J3426="","",ABS(J3426))</f>
        <v>16.75</v>
      </c>
      <c r="O3426" s="33" t="n">
        <f aca="false">IF(K3426="","",ABS(K3426))</f>
        <v>15.6392825492142</v>
      </c>
      <c r="P3426" s="34" t="str">
        <f aca="false">IF(B3426&gt;=Eval_Start_Week,"YES","")</f>
        <v>YES</v>
      </c>
      <c r="Q3426" s="34" t="str">
        <f aca="false">IF(AND(B3426&gt;=Cal_Start_Week,B3426&lt;=Cal_End_Week),"YES","")</f>
        <v/>
      </c>
    </row>
    <row r="3427" customFormat="false" ht="15" hidden="false" customHeight="false" outlineLevel="0" collapsed="false">
      <c r="A3427" s="31" t="str">
        <f aca="false">Demand_History!C3427</f>
        <v>ELE-004</v>
      </c>
      <c r="B3427" s="31" t="n">
        <f aca="false">Demand_History!A3427</f>
        <v>98</v>
      </c>
      <c r="C3427" s="32" t="n">
        <f aca="false">Demand_History!D3427</f>
        <v>97</v>
      </c>
      <c r="D3427" s="33" t="n">
        <f aca="false">IF(B3427&gt;=2,C3426,"")</f>
        <v>135</v>
      </c>
      <c r="E3427" s="33" t="n">
        <f aca="false">IF(B3427&gt;=5,AVERAGE(C3423:C3426),"")</f>
        <v>119.75</v>
      </c>
      <c r="F3427" s="33" t="n">
        <f aca="false">IF(B3427&gt;=9,AVERAGE(C3419:C3426),"")</f>
        <v>124.25</v>
      </c>
      <c r="G3427" s="33" t="n">
        <f aca="false">IF(B3427=1,"",IF(B3427=2,C3426,SES_Alpha*C3426+(1-SES_Alpha)*G3426))</f>
        <v>124.05250221555</v>
      </c>
      <c r="H3427" s="33" t="n">
        <f aca="false">IF(D3427="","",D3427-C3427)</f>
        <v>38</v>
      </c>
      <c r="I3427" s="33" t="n">
        <f aca="false">IF(E3427="","",E3427-C3427)</f>
        <v>22.75</v>
      </c>
      <c r="J3427" s="33" t="n">
        <f aca="false">IF(F3427="","",F3427-C3427)</f>
        <v>27.25</v>
      </c>
      <c r="K3427" s="33" t="n">
        <f aca="false">IF(G3427="","",G3427-C3427)</f>
        <v>27.0525022155501</v>
      </c>
      <c r="L3427" s="33" t="n">
        <f aca="false">IF(H3427="","",ABS(H3427))</f>
        <v>38</v>
      </c>
      <c r="M3427" s="33" t="n">
        <f aca="false">IF(I3427="","",ABS(I3427))</f>
        <v>22.75</v>
      </c>
      <c r="N3427" s="33" t="n">
        <f aca="false">IF(J3427="","",ABS(J3427))</f>
        <v>27.25</v>
      </c>
      <c r="O3427" s="33" t="n">
        <f aca="false">IF(K3427="","",ABS(K3427))</f>
        <v>27.0525022155501</v>
      </c>
      <c r="P3427" s="34" t="str">
        <f aca="false">IF(B3427&gt;=Eval_Start_Week,"YES","")</f>
        <v>YES</v>
      </c>
      <c r="Q3427" s="34" t="str">
        <f aca="false">IF(AND(B3427&gt;=Cal_Start_Week,B3427&lt;=Cal_End_Week),"YES","")</f>
        <v/>
      </c>
    </row>
    <row r="3428" customFormat="false" ht="15" hidden="false" customHeight="false" outlineLevel="0" collapsed="false">
      <c r="A3428" s="31" t="str">
        <f aca="false">Demand_History!C3428</f>
        <v>ELE-004</v>
      </c>
      <c r="B3428" s="31" t="n">
        <f aca="false">Demand_History!A3428</f>
        <v>99</v>
      </c>
      <c r="C3428" s="32" t="n">
        <f aca="false">Demand_History!D3428</f>
        <v>132</v>
      </c>
      <c r="D3428" s="33" t="n">
        <f aca="false">IF(B3428&gt;=2,C3427,"")</f>
        <v>97</v>
      </c>
      <c r="E3428" s="33" t="n">
        <f aca="false">IF(B3428&gt;=5,AVERAGE(C3424:C3427),"")</f>
        <v>114.5</v>
      </c>
      <c r="F3428" s="33" t="n">
        <f aca="false">IF(B3428&gt;=9,AVERAGE(C3420:C3427),"")</f>
        <v>123.375</v>
      </c>
      <c r="G3428" s="33" t="n">
        <f aca="false">IF(B3428=1,"",IF(B3428=2,C3427,SES_Alpha*C3427+(1-SES_Alpha)*G3427))</f>
        <v>115.936751550885</v>
      </c>
      <c r="H3428" s="33" t="n">
        <f aca="false">IF(D3428="","",D3428-C3428)</f>
        <v>-35</v>
      </c>
      <c r="I3428" s="33" t="n">
        <f aca="false">IF(E3428="","",E3428-C3428)</f>
        <v>-17.5</v>
      </c>
      <c r="J3428" s="33" t="n">
        <f aca="false">IF(F3428="","",F3428-C3428)</f>
        <v>-8.625</v>
      </c>
      <c r="K3428" s="33" t="n">
        <f aca="false">IF(G3428="","",G3428-C3428)</f>
        <v>-16.063248449115</v>
      </c>
      <c r="L3428" s="33" t="n">
        <f aca="false">IF(H3428="","",ABS(H3428))</f>
        <v>35</v>
      </c>
      <c r="M3428" s="33" t="n">
        <f aca="false">IF(I3428="","",ABS(I3428))</f>
        <v>17.5</v>
      </c>
      <c r="N3428" s="33" t="n">
        <f aca="false">IF(J3428="","",ABS(J3428))</f>
        <v>8.625</v>
      </c>
      <c r="O3428" s="33" t="n">
        <f aca="false">IF(K3428="","",ABS(K3428))</f>
        <v>16.063248449115</v>
      </c>
      <c r="P3428" s="34" t="str">
        <f aca="false">IF(B3428&gt;=Eval_Start_Week,"YES","")</f>
        <v>YES</v>
      </c>
      <c r="Q3428" s="34" t="str">
        <f aca="false">IF(AND(B3428&gt;=Cal_Start_Week,B3428&lt;=Cal_End_Week),"YES","")</f>
        <v/>
      </c>
    </row>
    <row r="3429" customFormat="false" ht="15" hidden="false" customHeight="false" outlineLevel="0" collapsed="false">
      <c r="A3429" s="31" t="str">
        <f aca="false">Demand_History!C3429</f>
        <v>ELE-004</v>
      </c>
      <c r="B3429" s="31" t="n">
        <f aca="false">Demand_History!A3429</f>
        <v>100</v>
      </c>
      <c r="C3429" s="32" t="n">
        <f aca="false">Demand_History!D3429</f>
        <v>132</v>
      </c>
      <c r="D3429" s="33" t="n">
        <f aca="false">IF(B3429&gt;=2,C3428,"")</f>
        <v>132</v>
      </c>
      <c r="E3429" s="33" t="n">
        <f aca="false">IF(B3429&gt;=5,AVERAGE(C3425:C3428),"")</f>
        <v>122.75</v>
      </c>
      <c r="F3429" s="33" t="n">
        <f aca="false">IF(B3429&gt;=9,AVERAGE(C3421:C3428),"")</f>
        <v>122.25</v>
      </c>
      <c r="G3429" s="33" t="n">
        <f aca="false">IF(B3429=1,"",IF(B3429=2,C3428,SES_Alpha*C3428+(1-SES_Alpha)*G3428))</f>
        <v>120.75572608562</v>
      </c>
      <c r="H3429" s="33" t="n">
        <f aca="false">IF(D3429="","",D3429-C3429)</f>
        <v>0</v>
      </c>
      <c r="I3429" s="33" t="n">
        <f aca="false">IF(E3429="","",E3429-C3429)</f>
        <v>-9.25</v>
      </c>
      <c r="J3429" s="33" t="n">
        <f aca="false">IF(F3429="","",F3429-C3429)</f>
        <v>-9.75</v>
      </c>
      <c r="K3429" s="33" t="n">
        <f aca="false">IF(G3429="","",G3429-C3429)</f>
        <v>-11.2442739143805</v>
      </c>
      <c r="L3429" s="33" t="n">
        <f aca="false">IF(H3429="","",ABS(H3429))</f>
        <v>0</v>
      </c>
      <c r="M3429" s="33" t="n">
        <f aca="false">IF(I3429="","",ABS(I3429))</f>
        <v>9.25</v>
      </c>
      <c r="N3429" s="33" t="n">
        <f aca="false">IF(J3429="","",ABS(J3429))</f>
        <v>9.75</v>
      </c>
      <c r="O3429" s="33" t="n">
        <f aca="false">IF(K3429="","",ABS(K3429))</f>
        <v>11.2442739143805</v>
      </c>
      <c r="P3429" s="34" t="str">
        <f aca="false">IF(B3429&gt;=Eval_Start_Week,"YES","")</f>
        <v>YES</v>
      </c>
      <c r="Q3429" s="34" t="str">
        <f aca="false">IF(AND(B3429&gt;=Cal_Start_Week,B3429&lt;=Cal_End_Week),"YES","")</f>
        <v/>
      </c>
    </row>
    <row r="3430" customFormat="false" ht="15" hidden="false" customHeight="false" outlineLevel="0" collapsed="false">
      <c r="A3430" s="31" t="str">
        <f aca="false">Demand_History!C3430</f>
        <v>ELE-004</v>
      </c>
      <c r="B3430" s="31" t="n">
        <f aca="false">Demand_History!A3430</f>
        <v>101</v>
      </c>
      <c r="C3430" s="32" t="n">
        <f aca="false">Demand_History!D3430</f>
        <v>132</v>
      </c>
      <c r="D3430" s="33" t="n">
        <f aca="false">IF(B3430&gt;=2,C3429,"")</f>
        <v>132</v>
      </c>
      <c r="E3430" s="33" t="n">
        <f aca="false">IF(B3430&gt;=5,AVERAGE(C3426:C3429),"")</f>
        <v>124</v>
      </c>
      <c r="F3430" s="33" t="n">
        <f aca="false">IF(B3430&gt;=9,AVERAGE(C3422:C3429),"")</f>
        <v>120.375</v>
      </c>
      <c r="G3430" s="33" t="n">
        <f aca="false">IF(B3430=1,"",IF(B3430=2,C3429,SES_Alpha*C3429+(1-SES_Alpha)*G3429))</f>
        <v>124.129008259934</v>
      </c>
      <c r="H3430" s="33" t="n">
        <f aca="false">IF(D3430="","",D3430-C3430)</f>
        <v>0</v>
      </c>
      <c r="I3430" s="33" t="n">
        <f aca="false">IF(E3430="","",E3430-C3430)</f>
        <v>-8</v>
      </c>
      <c r="J3430" s="33" t="n">
        <f aca="false">IF(F3430="","",F3430-C3430)</f>
        <v>-11.625</v>
      </c>
      <c r="K3430" s="33" t="n">
        <f aca="false">IF(G3430="","",G3430-C3430)</f>
        <v>-7.87099174006633</v>
      </c>
      <c r="L3430" s="33" t="n">
        <f aca="false">IF(H3430="","",ABS(H3430))</f>
        <v>0</v>
      </c>
      <c r="M3430" s="33" t="n">
        <f aca="false">IF(I3430="","",ABS(I3430))</f>
        <v>8</v>
      </c>
      <c r="N3430" s="33" t="n">
        <f aca="false">IF(J3430="","",ABS(J3430))</f>
        <v>11.625</v>
      </c>
      <c r="O3430" s="33" t="n">
        <f aca="false">IF(K3430="","",ABS(K3430))</f>
        <v>7.87099174006633</v>
      </c>
      <c r="P3430" s="34" t="str">
        <f aca="false">IF(B3430&gt;=Eval_Start_Week,"YES","")</f>
        <v>YES</v>
      </c>
      <c r="Q3430" s="34" t="str">
        <f aca="false">IF(AND(B3430&gt;=Cal_Start_Week,B3430&lt;=Cal_End_Week),"YES","")</f>
        <v/>
      </c>
    </row>
    <row r="3431" customFormat="false" ht="15" hidden="false" customHeight="false" outlineLevel="0" collapsed="false">
      <c r="A3431" s="31" t="str">
        <f aca="false">Demand_History!C3431</f>
        <v>ELE-004</v>
      </c>
      <c r="B3431" s="31" t="n">
        <f aca="false">Demand_History!A3431</f>
        <v>102</v>
      </c>
      <c r="C3431" s="32" t="n">
        <f aca="false">Demand_History!D3431</f>
        <v>105</v>
      </c>
      <c r="D3431" s="33" t="n">
        <f aca="false">IF(B3431&gt;=2,C3430,"")</f>
        <v>132</v>
      </c>
      <c r="E3431" s="33" t="n">
        <f aca="false">IF(B3431&gt;=5,AVERAGE(C3427:C3430),"")</f>
        <v>123.25</v>
      </c>
      <c r="F3431" s="33" t="n">
        <f aca="false">IF(B3431&gt;=9,AVERAGE(C3423:C3430),"")</f>
        <v>121.5</v>
      </c>
      <c r="G3431" s="33" t="n">
        <f aca="false">IF(B3431=1,"",IF(B3431=2,C3430,SES_Alpha*C3430+(1-SES_Alpha)*G3430))</f>
        <v>126.490305781954</v>
      </c>
      <c r="H3431" s="33" t="n">
        <f aca="false">IF(D3431="","",D3431-C3431)</f>
        <v>27</v>
      </c>
      <c r="I3431" s="33" t="n">
        <f aca="false">IF(E3431="","",E3431-C3431)</f>
        <v>18.25</v>
      </c>
      <c r="J3431" s="33" t="n">
        <f aca="false">IF(F3431="","",F3431-C3431)</f>
        <v>16.5</v>
      </c>
      <c r="K3431" s="33" t="n">
        <f aca="false">IF(G3431="","",G3431-C3431)</f>
        <v>21.4903057819536</v>
      </c>
      <c r="L3431" s="33" t="n">
        <f aca="false">IF(H3431="","",ABS(H3431))</f>
        <v>27</v>
      </c>
      <c r="M3431" s="33" t="n">
        <f aca="false">IF(I3431="","",ABS(I3431))</f>
        <v>18.25</v>
      </c>
      <c r="N3431" s="33" t="n">
        <f aca="false">IF(J3431="","",ABS(J3431))</f>
        <v>16.5</v>
      </c>
      <c r="O3431" s="33" t="n">
        <f aca="false">IF(K3431="","",ABS(K3431))</f>
        <v>21.4903057819536</v>
      </c>
      <c r="P3431" s="34" t="str">
        <f aca="false">IF(B3431&gt;=Eval_Start_Week,"YES","")</f>
        <v>YES</v>
      </c>
      <c r="Q3431" s="34" t="str">
        <f aca="false">IF(AND(B3431&gt;=Cal_Start_Week,B3431&lt;=Cal_End_Week),"YES","")</f>
        <v/>
      </c>
    </row>
    <row r="3432" customFormat="false" ht="15" hidden="false" customHeight="false" outlineLevel="0" collapsed="false">
      <c r="A3432" s="31" t="str">
        <f aca="false">Demand_History!C3432</f>
        <v>ELE-004</v>
      </c>
      <c r="B3432" s="31" t="n">
        <f aca="false">Demand_History!A3432</f>
        <v>103</v>
      </c>
      <c r="C3432" s="32" t="n">
        <f aca="false">Demand_History!D3432</f>
        <v>135</v>
      </c>
      <c r="D3432" s="33" t="n">
        <f aca="false">IF(B3432&gt;=2,C3431,"")</f>
        <v>105</v>
      </c>
      <c r="E3432" s="33" t="n">
        <f aca="false">IF(B3432&gt;=5,AVERAGE(C3428:C3431),"")</f>
        <v>125.25</v>
      </c>
      <c r="F3432" s="33" t="n">
        <f aca="false">IF(B3432&gt;=9,AVERAGE(C3424:C3431),"")</f>
        <v>119.875</v>
      </c>
      <c r="G3432" s="33" t="n">
        <f aca="false">IF(B3432=1,"",IF(B3432=2,C3431,SES_Alpha*C3431+(1-SES_Alpha)*G3431))</f>
        <v>120.043214047367</v>
      </c>
      <c r="H3432" s="33" t="n">
        <f aca="false">IF(D3432="","",D3432-C3432)</f>
        <v>-30</v>
      </c>
      <c r="I3432" s="33" t="n">
        <f aca="false">IF(E3432="","",E3432-C3432)</f>
        <v>-9.75</v>
      </c>
      <c r="J3432" s="33" t="n">
        <f aca="false">IF(F3432="","",F3432-C3432)</f>
        <v>-15.125</v>
      </c>
      <c r="K3432" s="33" t="n">
        <f aca="false">IF(G3432="","",G3432-C3432)</f>
        <v>-14.9567859526325</v>
      </c>
      <c r="L3432" s="33" t="n">
        <f aca="false">IF(H3432="","",ABS(H3432))</f>
        <v>30</v>
      </c>
      <c r="M3432" s="33" t="n">
        <f aca="false">IF(I3432="","",ABS(I3432))</f>
        <v>9.75</v>
      </c>
      <c r="N3432" s="33" t="n">
        <f aca="false">IF(J3432="","",ABS(J3432))</f>
        <v>15.125</v>
      </c>
      <c r="O3432" s="33" t="n">
        <f aca="false">IF(K3432="","",ABS(K3432))</f>
        <v>14.9567859526325</v>
      </c>
      <c r="P3432" s="34" t="str">
        <f aca="false">IF(B3432&gt;=Eval_Start_Week,"YES","")</f>
        <v>YES</v>
      </c>
      <c r="Q3432" s="34" t="str">
        <f aca="false">IF(AND(B3432&gt;=Cal_Start_Week,B3432&lt;=Cal_End_Week),"YES","")</f>
        <v/>
      </c>
    </row>
    <row r="3433" customFormat="false" ht="15" hidden="false" customHeight="false" outlineLevel="0" collapsed="false">
      <c r="A3433" s="31" t="str">
        <f aca="false">Demand_History!C3433</f>
        <v>ELE-004</v>
      </c>
      <c r="B3433" s="31" t="n">
        <f aca="false">Demand_History!A3433</f>
        <v>104</v>
      </c>
      <c r="C3433" s="32" t="n">
        <f aca="false">Demand_History!D3433</f>
        <v>100</v>
      </c>
      <c r="D3433" s="33" t="n">
        <f aca="false">IF(B3433&gt;=2,C3432,"")</f>
        <v>135</v>
      </c>
      <c r="E3433" s="33" t="n">
        <f aca="false">IF(B3433&gt;=5,AVERAGE(C3429:C3432),"")</f>
        <v>126</v>
      </c>
      <c r="F3433" s="33" t="n">
        <f aca="false">IF(B3433&gt;=9,AVERAGE(C3425:C3432),"")</f>
        <v>124.375</v>
      </c>
      <c r="G3433" s="33" t="n">
        <f aca="false">IF(B3433=1,"",IF(B3433=2,C3432,SES_Alpha*C3432+(1-SES_Alpha)*G3432))</f>
        <v>124.530249833157</v>
      </c>
      <c r="H3433" s="33" t="n">
        <f aca="false">IF(D3433="","",D3433-C3433)</f>
        <v>35</v>
      </c>
      <c r="I3433" s="33" t="n">
        <f aca="false">IF(E3433="","",E3433-C3433)</f>
        <v>26</v>
      </c>
      <c r="J3433" s="33" t="n">
        <f aca="false">IF(F3433="","",F3433-C3433)</f>
        <v>24.375</v>
      </c>
      <c r="K3433" s="33" t="n">
        <f aca="false">IF(G3433="","",G3433-C3433)</f>
        <v>24.5302498331572</v>
      </c>
      <c r="L3433" s="33" t="n">
        <f aca="false">IF(H3433="","",ABS(H3433))</f>
        <v>35</v>
      </c>
      <c r="M3433" s="33" t="n">
        <f aca="false">IF(I3433="","",ABS(I3433))</f>
        <v>26</v>
      </c>
      <c r="N3433" s="33" t="n">
        <f aca="false">IF(J3433="","",ABS(J3433))</f>
        <v>24.375</v>
      </c>
      <c r="O3433" s="33" t="n">
        <f aca="false">IF(K3433="","",ABS(K3433))</f>
        <v>24.5302498331572</v>
      </c>
      <c r="P3433" s="34" t="str">
        <f aca="false">IF(B3433&gt;=Eval_Start_Week,"YES","")</f>
        <v>YES</v>
      </c>
      <c r="Q3433" s="34" t="str">
        <f aca="false">IF(AND(B3433&gt;=Cal_Start_Week,B3433&lt;=Cal_End_Week),"YES","")</f>
        <v/>
      </c>
    </row>
    <row r="3434" customFormat="false" ht="15" hidden="false" customHeight="false" outlineLevel="0" collapsed="false">
      <c r="A3434" s="31" t="str">
        <f aca="false">Demand_History!C3434</f>
        <v>ELE-005</v>
      </c>
      <c r="B3434" s="31" t="n">
        <f aca="false">Demand_History!A3434</f>
        <v>1</v>
      </c>
      <c r="C3434" s="32" t="n">
        <f aca="false">Demand_History!D3434</f>
        <v>73</v>
      </c>
      <c r="D3434" s="33" t="str">
        <f aca="false">IF(B3434&gt;=2,C3433,"")</f>
        <v/>
      </c>
      <c r="E3434" s="33" t="str">
        <f aca="false">IF(B3434&gt;=5,AVERAGE(C3430:C3433),"")</f>
        <v/>
      </c>
      <c r="F3434" s="33" t="str">
        <f aca="false">IF(B3434&gt;=9,AVERAGE(C3426:C3433),"")</f>
        <v/>
      </c>
      <c r="G3434" s="33" t="str">
        <f aca="false">IF(B3434=1,"",IF(B3434=2,C3433,SES_Alpha*C3433+(1-SES_Alpha)*G3433))</f>
        <v/>
      </c>
      <c r="H3434" s="33" t="str">
        <f aca="false">IF(D3434="","",D3434-C3434)</f>
        <v/>
      </c>
      <c r="I3434" s="33" t="str">
        <f aca="false">IF(E3434="","",E3434-C3434)</f>
        <v/>
      </c>
      <c r="J3434" s="33" t="str">
        <f aca="false">IF(F3434="","",F3434-C3434)</f>
        <v/>
      </c>
      <c r="K3434" s="33" t="str">
        <f aca="false">IF(G3434="","",G3434-C3434)</f>
        <v/>
      </c>
      <c r="L3434" s="33" t="str">
        <f aca="false">IF(H3434="","",ABS(H3434))</f>
        <v/>
      </c>
      <c r="M3434" s="33" t="str">
        <f aca="false">IF(I3434="","",ABS(I3434))</f>
        <v/>
      </c>
      <c r="N3434" s="33" t="str">
        <f aca="false">IF(J3434="","",ABS(J3434))</f>
        <v/>
      </c>
      <c r="O3434" s="33" t="str">
        <f aca="false">IF(K3434="","",ABS(K3434))</f>
        <v/>
      </c>
      <c r="P3434" s="34" t="str">
        <f aca="false">IF(B3434&gt;=Eval_Start_Week,"YES","")</f>
        <v/>
      </c>
      <c r="Q3434" s="34" t="str">
        <f aca="false">IF(AND(B3434&gt;=Cal_Start_Week,B3434&lt;=Cal_End_Week),"YES","")</f>
        <v/>
      </c>
    </row>
    <row r="3435" customFormat="false" ht="15" hidden="false" customHeight="false" outlineLevel="0" collapsed="false">
      <c r="A3435" s="31" t="str">
        <f aca="false">Demand_History!C3435</f>
        <v>ELE-005</v>
      </c>
      <c r="B3435" s="31" t="n">
        <f aca="false">Demand_History!A3435</f>
        <v>2</v>
      </c>
      <c r="C3435" s="32" t="n">
        <f aca="false">Demand_History!D3435</f>
        <v>62</v>
      </c>
      <c r="D3435" s="33" t="n">
        <f aca="false">IF(B3435&gt;=2,C3434,"")</f>
        <v>73</v>
      </c>
      <c r="E3435" s="33" t="str">
        <f aca="false">IF(B3435&gt;=5,AVERAGE(C3431:C3434),"")</f>
        <v/>
      </c>
      <c r="F3435" s="33" t="str">
        <f aca="false">IF(B3435&gt;=9,AVERAGE(C3427:C3434),"")</f>
        <v/>
      </c>
      <c r="G3435" s="33" t="n">
        <f aca="false">IF(B3435=1,"",IF(B3435=2,C3434,SES_Alpha*C3434+(1-SES_Alpha)*G3434))</f>
        <v>73</v>
      </c>
      <c r="H3435" s="33" t="n">
        <f aca="false">IF(D3435="","",D3435-C3435)</f>
        <v>11</v>
      </c>
      <c r="I3435" s="33" t="str">
        <f aca="false">IF(E3435="","",E3435-C3435)</f>
        <v/>
      </c>
      <c r="J3435" s="33" t="str">
        <f aca="false">IF(F3435="","",F3435-C3435)</f>
        <v/>
      </c>
      <c r="K3435" s="33" t="n">
        <f aca="false">IF(G3435="","",G3435-C3435)</f>
        <v>11</v>
      </c>
      <c r="L3435" s="33" t="n">
        <f aca="false">IF(H3435="","",ABS(H3435))</f>
        <v>11</v>
      </c>
      <c r="M3435" s="33" t="str">
        <f aca="false">IF(I3435="","",ABS(I3435))</f>
        <v/>
      </c>
      <c r="N3435" s="33" t="str">
        <f aca="false">IF(J3435="","",ABS(J3435))</f>
        <v/>
      </c>
      <c r="O3435" s="33" t="n">
        <f aca="false">IF(K3435="","",ABS(K3435))</f>
        <v>11</v>
      </c>
      <c r="P3435" s="34" t="str">
        <f aca="false">IF(B3435&gt;=Eval_Start_Week,"YES","")</f>
        <v/>
      </c>
      <c r="Q3435" s="34" t="str">
        <f aca="false">IF(AND(B3435&gt;=Cal_Start_Week,B3435&lt;=Cal_End_Week),"YES","")</f>
        <v/>
      </c>
    </row>
    <row r="3436" customFormat="false" ht="15" hidden="false" customHeight="false" outlineLevel="0" collapsed="false">
      <c r="A3436" s="31" t="str">
        <f aca="false">Demand_History!C3436</f>
        <v>ELE-005</v>
      </c>
      <c r="B3436" s="31" t="n">
        <f aca="false">Demand_History!A3436</f>
        <v>3</v>
      </c>
      <c r="C3436" s="32" t="n">
        <f aca="false">Demand_History!D3436</f>
        <v>50</v>
      </c>
      <c r="D3436" s="33" t="n">
        <f aca="false">IF(B3436&gt;=2,C3435,"")</f>
        <v>62</v>
      </c>
      <c r="E3436" s="33" t="str">
        <f aca="false">IF(B3436&gt;=5,AVERAGE(C3432:C3435),"")</f>
        <v/>
      </c>
      <c r="F3436" s="33" t="str">
        <f aca="false">IF(B3436&gt;=9,AVERAGE(C3428:C3435),"")</f>
        <v/>
      </c>
      <c r="G3436" s="33" t="n">
        <f aca="false">IF(B3436=1,"",IF(B3436=2,C3435,SES_Alpha*C3435+(1-SES_Alpha)*G3435))</f>
        <v>69.7</v>
      </c>
      <c r="H3436" s="33" t="n">
        <f aca="false">IF(D3436="","",D3436-C3436)</f>
        <v>12</v>
      </c>
      <c r="I3436" s="33" t="str">
        <f aca="false">IF(E3436="","",E3436-C3436)</f>
        <v/>
      </c>
      <c r="J3436" s="33" t="str">
        <f aca="false">IF(F3436="","",F3436-C3436)</f>
        <v/>
      </c>
      <c r="K3436" s="33" t="n">
        <f aca="false">IF(G3436="","",G3436-C3436)</f>
        <v>19.7</v>
      </c>
      <c r="L3436" s="33" t="n">
        <f aca="false">IF(H3436="","",ABS(H3436))</f>
        <v>12</v>
      </c>
      <c r="M3436" s="33" t="str">
        <f aca="false">IF(I3436="","",ABS(I3436))</f>
        <v/>
      </c>
      <c r="N3436" s="33" t="str">
        <f aca="false">IF(J3436="","",ABS(J3436))</f>
        <v/>
      </c>
      <c r="O3436" s="33" t="n">
        <f aca="false">IF(K3436="","",ABS(K3436))</f>
        <v>19.7</v>
      </c>
      <c r="P3436" s="34" t="str">
        <f aca="false">IF(B3436&gt;=Eval_Start_Week,"YES","")</f>
        <v/>
      </c>
      <c r="Q3436" s="34" t="str">
        <f aca="false">IF(AND(B3436&gt;=Cal_Start_Week,B3436&lt;=Cal_End_Week),"YES","")</f>
        <v/>
      </c>
    </row>
    <row r="3437" customFormat="false" ht="15" hidden="false" customHeight="false" outlineLevel="0" collapsed="false">
      <c r="A3437" s="31" t="str">
        <f aca="false">Demand_History!C3437</f>
        <v>ELE-005</v>
      </c>
      <c r="B3437" s="31" t="n">
        <f aca="false">Demand_History!A3437</f>
        <v>4</v>
      </c>
      <c r="C3437" s="32" t="n">
        <f aca="false">Demand_History!D3437</f>
        <v>71</v>
      </c>
      <c r="D3437" s="33" t="n">
        <f aca="false">IF(B3437&gt;=2,C3436,"")</f>
        <v>50</v>
      </c>
      <c r="E3437" s="33" t="str">
        <f aca="false">IF(B3437&gt;=5,AVERAGE(C3433:C3436),"")</f>
        <v/>
      </c>
      <c r="F3437" s="33" t="str">
        <f aca="false">IF(B3437&gt;=9,AVERAGE(C3429:C3436),"")</f>
        <v/>
      </c>
      <c r="G3437" s="33" t="n">
        <f aca="false">IF(B3437=1,"",IF(B3437=2,C3436,SES_Alpha*C3436+(1-SES_Alpha)*G3436))</f>
        <v>63.79</v>
      </c>
      <c r="H3437" s="33" t="n">
        <f aca="false">IF(D3437="","",D3437-C3437)</f>
        <v>-21</v>
      </c>
      <c r="I3437" s="33" t="str">
        <f aca="false">IF(E3437="","",E3437-C3437)</f>
        <v/>
      </c>
      <c r="J3437" s="33" t="str">
        <f aca="false">IF(F3437="","",F3437-C3437)</f>
        <v/>
      </c>
      <c r="K3437" s="33" t="n">
        <f aca="false">IF(G3437="","",G3437-C3437)</f>
        <v>-7.21000000000001</v>
      </c>
      <c r="L3437" s="33" t="n">
        <f aca="false">IF(H3437="","",ABS(H3437))</f>
        <v>21</v>
      </c>
      <c r="M3437" s="33" t="str">
        <f aca="false">IF(I3437="","",ABS(I3437))</f>
        <v/>
      </c>
      <c r="N3437" s="33" t="str">
        <f aca="false">IF(J3437="","",ABS(J3437))</f>
        <v/>
      </c>
      <c r="O3437" s="33" t="n">
        <f aca="false">IF(K3437="","",ABS(K3437))</f>
        <v>7.21000000000001</v>
      </c>
      <c r="P3437" s="34" t="str">
        <f aca="false">IF(B3437&gt;=Eval_Start_Week,"YES","")</f>
        <v/>
      </c>
      <c r="Q3437" s="34" t="str">
        <f aca="false">IF(AND(B3437&gt;=Cal_Start_Week,B3437&lt;=Cal_End_Week),"YES","")</f>
        <v/>
      </c>
    </row>
    <row r="3438" customFormat="false" ht="15" hidden="false" customHeight="false" outlineLevel="0" collapsed="false">
      <c r="A3438" s="31" t="str">
        <f aca="false">Demand_History!C3438</f>
        <v>ELE-005</v>
      </c>
      <c r="B3438" s="31" t="n">
        <f aca="false">Demand_History!A3438</f>
        <v>5</v>
      </c>
      <c r="C3438" s="32" t="n">
        <f aca="false">Demand_History!D3438</f>
        <v>69</v>
      </c>
      <c r="D3438" s="33" t="n">
        <f aca="false">IF(B3438&gt;=2,C3437,"")</f>
        <v>71</v>
      </c>
      <c r="E3438" s="33" t="n">
        <f aca="false">IF(B3438&gt;=5,AVERAGE(C3434:C3437),"")</f>
        <v>64</v>
      </c>
      <c r="F3438" s="33" t="str">
        <f aca="false">IF(B3438&gt;=9,AVERAGE(C3430:C3437),"")</f>
        <v/>
      </c>
      <c r="G3438" s="33" t="n">
        <f aca="false">IF(B3438=1,"",IF(B3438=2,C3437,SES_Alpha*C3437+(1-SES_Alpha)*G3437))</f>
        <v>65.953</v>
      </c>
      <c r="H3438" s="33" t="n">
        <f aca="false">IF(D3438="","",D3438-C3438)</f>
        <v>2</v>
      </c>
      <c r="I3438" s="33" t="n">
        <f aca="false">IF(E3438="","",E3438-C3438)</f>
        <v>-5</v>
      </c>
      <c r="J3438" s="33" t="str">
        <f aca="false">IF(F3438="","",F3438-C3438)</f>
        <v/>
      </c>
      <c r="K3438" s="33" t="n">
        <f aca="false">IF(G3438="","",G3438-C3438)</f>
        <v>-3.04700000000001</v>
      </c>
      <c r="L3438" s="33" t="n">
        <f aca="false">IF(H3438="","",ABS(H3438))</f>
        <v>2</v>
      </c>
      <c r="M3438" s="33" t="n">
        <f aca="false">IF(I3438="","",ABS(I3438))</f>
        <v>5</v>
      </c>
      <c r="N3438" s="33" t="str">
        <f aca="false">IF(J3438="","",ABS(J3438))</f>
        <v/>
      </c>
      <c r="O3438" s="33" t="n">
        <f aca="false">IF(K3438="","",ABS(K3438))</f>
        <v>3.04700000000001</v>
      </c>
      <c r="P3438" s="34" t="str">
        <f aca="false">IF(B3438&gt;=Eval_Start_Week,"YES","")</f>
        <v/>
      </c>
      <c r="Q3438" s="34" t="str">
        <f aca="false">IF(AND(B3438&gt;=Cal_Start_Week,B3438&lt;=Cal_End_Week),"YES","")</f>
        <v/>
      </c>
    </row>
    <row r="3439" customFormat="false" ht="15" hidden="false" customHeight="false" outlineLevel="0" collapsed="false">
      <c r="A3439" s="31" t="str">
        <f aca="false">Demand_History!C3439</f>
        <v>ELE-005</v>
      </c>
      <c r="B3439" s="31" t="n">
        <f aca="false">Demand_History!A3439</f>
        <v>6</v>
      </c>
      <c r="C3439" s="32" t="n">
        <f aca="false">Demand_History!D3439</f>
        <v>54</v>
      </c>
      <c r="D3439" s="33" t="n">
        <f aca="false">IF(B3439&gt;=2,C3438,"")</f>
        <v>69</v>
      </c>
      <c r="E3439" s="33" t="n">
        <f aca="false">IF(B3439&gt;=5,AVERAGE(C3435:C3438),"")</f>
        <v>63</v>
      </c>
      <c r="F3439" s="33" t="str">
        <f aca="false">IF(B3439&gt;=9,AVERAGE(C3431:C3438),"")</f>
        <v/>
      </c>
      <c r="G3439" s="33" t="n">
        <f aca="false">IF(B3439=1,"",IF(B3439=2,C3438,SES_Alpha*C3438+(1-SES_Alpha)*G3438))</f>
        <v>66.8671</v>
      </c>
      <c r="H3439" s="33" t="n">
        <f aca="false">IF(D3439="","",D3439-C3439)</f>
        <v>15</v>
      </c>
      <c r="I3439" s="33" t="n">
        <f aca="false">IF(E3439="","",E3439-C3439)</f>
        <v>9</v>
      </c>
      <c r="J3439" s="33" t="str">
        <f aca="false">IF(F3439="","",F3439-C3439)</f>
        <v/>
      </c>
      <c r="K3439" s="33" t="n">
        <f aca="false">IF(G3439="","",G3439-C3439)</f>
        <v>12.8671</v>
      </c>
      <c r="L3439" s="33" t="n">
        <f aca="false">IF(H3439="","",ABS(H3439))</f>
        <v>15</v>
      </c>
      <c r="M3439" s="33" t="n">
        <f aca="false">IF(I3439="","",ABS(I3439))</f>
        <v>9</v>
      </c>
      <c r="N3439" s="33" t="str">
        <f aca="false">IF(J3439="","",ABS(J3439))</f>
        <v/>
      </c>
      <c r="O3439" s="33" t="n">
        <f aca="false">IF(K3439="","",ABS(K3439))</f>
        <v>12.8671</v>
      </c>
      <c r="P3439" s="34" t="str">
        <f aca="false">IF(B3439&gt;=Eval_Start_Week,"YES","")</f>
        <v/>
      </c>
      <c r="Q3439" s="34" t="str">
        <f aca="false">IF(AND(B3439&gt;=Cal_Start_Week,B3439&lt;=Cal_End_Week),"YES","")</f>
        <v/>
      </c>
    </row>
    <row r="3440" customFormat="false" ht="15" hidden="false" customHeight="false" outlineLevel="0" collapsed="false">
      <c r="A3440" s="31" t="str">
        <f aca="false">Demand_History!C3440</f>
        <v>ELE-005</v>
      </c>
      <c r="B3440" s="31" t="n">
        <f aca="false">Demand_History!A3440</f>
        <v>7</v>
      </c>
      <c r="C3440" s="32" t="n">
        <f aca="false">Demand_History!D3440</f>
        <v>77</v>
      </c>
      <c r="D3440" s="33" t="n">
        <f aca="false">IF(B3440&gt;=2,C3439,"")</f>
        <v>54</v>
      </c>
      <c r="E3440" s="33" t="n">
        <f aca="false">IF(B3440&gt;=5,AVERAGE(C3436:C3439),"")</f>
        <v>61</v>
      </c>
      <c r="F3440" s="33" t="str">
        <f aca="false">IF(B3440&gt;=9,AVERAGE(C3432:C3439),"")</f>
        <v/>
      </c>
      <c r="G3440" s="33" t="n">
        <f aca="false">IF(B3440=1,"",IF(B3440=2,C3439,SES_Alpha*C3439+(1-SES_Alpha)*G3439))</f>
        <v>63.00697</v>
      </c>
      <c r="H3440" s="33" t="n">
        <f aca="false">IF(D3440="","",D3440-C3440)</f>
        <v>-23</v>
      </c>
      <c r="I3440" s="33" t="n">
        <f aca="false">IF(E3440="","",E3440-C3440)</f>
        <v>-16</v>
      </c>
      <c r="J3440" s="33" t="str">
        <f aca="false">IF(F3440="","",F3440-C3440)</f>
        <v/>
      </c>
      <c r="K3440" s="33" t="n">
        <f aca="false">IF(G3440="","",G3440-C3440)</f>
        <v>-13.99303</v>
      </c>
      <c r="L3440" s="33" t="n">
        <f aca="false">IF(H3440="","",ABS(H3440))</f>
        <v>23</v>
      </c>
      <c r="M3440" s="33" t="n">
        <f aca="false">IF(I3440="","",ABS(I3440))</f>
        <v>16</v>
      </c>
      <c r="N3440" s="33" t="str">
        <f aca="false">IF(J3440="","",ABS(J3440))</f>
        <v/>
      </c>
      <c r="O3440" s="33" t="n">
        <f aca="false">IF(K3440="","",ABS(K3440))</f>
        <v>13.99303</v>
      </c>
      <c r="P3440" s="34" t="str">
        <f aca="false">IF(B3440&gt;=Eval_Start_Week,"YES","")</f>
        <v/>
      </c>
      <c r="Q3440" s="34" t="str">
        <f aca="false">IF(AND(B3440&gt;=Cal_Start_Week,B3440&lt;=Cal_End_Week),"YES","")</f>
        <v/>
      </c>
    </row>
    <row r="3441" customFormat="false" ht="15" hidden="false" customHeight="false" outlineLevel="0" collapsed="false">
      <c r="A3441" s="31" t="str">
        <f aca="false">Demand_History!C3441</f>
        <v>ELE-005</v>
      </c>
      <c r="B3441" s="31" t="n">
        <f aca="false">Demand_History!A3441</f>
        <v>8</v>
      </c>
      <c r="C3441" s="32" t="n">
        <f aca="false">Demand_History!D3441</f>
        <v>50</v>
      </c>
      <c r="D3441" s="33" t="n">
        <f aca="false">IF(B3441&gt;=2,C3440,"")</f>
        <v>77</v>
      </c>
      <c r="E3441" s="33" t="n">
        <f aca="false">IF(B3441&gt;=5,AVERAGE(C3437:C3440),"")</f>
        <v>67.75</v>
      </c>
      <c r="F3441" s="33" t="str">
        <f aca="false">IF(B3441&gt;=9,AVERAGE(C3433:C3440),"")</f>
        <v/>
      </c>
      <c r="G3441" s="33" t="n">
        <f aca="false">IF(B3441=1,"",IF(B3441=2,C3440,SES_Alpha*C3440+(1-SES_Alpha)*G3440))</f>
        <v>67.204879</v>
      </c>
      <c r="H3441" s="33" t="n">
        <f aca="false">IF(D3441="","",D3441-C3441)</f>
        <v>27</v>
      </c>
      <c r="I3441" s="33" t="n">
        <f aca="false">IF(E3441="","",E3441-C3441)</f>
        <v>17.75</v>
      </c>
      <c r="J3441" s="33" t="str">
        <f aca="false">IF(F3441="","",F3441-C3441)</f>
        <v/>
      </c>
      <c r="K3441" s="33" t="n">
        <f aca="false">IF(G3441="","",G3441-C3441)</f>
        <v>17.204879</v>
      </c>
      <c r="L3441" s="33" t="n">
        <f aca="false">IF(H3441="","",ABS(H3441))</f>
        <v>27</v>
      </c>
      <c r="M3441" s="33" t="n">
        <f aca="false">IF(I3441="","",ABS(I3441))</f>
        <v>17.75</v>
      </c>
      <c r="N3441" s="33" t="str">
        <f aca="false">IF(J3441="","",ABS(J3441))</f>
        <v/>
      </c>
      <c r="O3441" s="33" t="n">
        <f aca="false">IF(K3441="","",ABS(K3441))</f>
        <v>17.204879</v>
      </c>
      <c r="P3441" s="34" t="str">
        <f aca="false">IF(B3441&gt;=Eval_Start_Week,"YES","")</f>
        <v/>
      </c>
      <c r="Q3441" s="34" t="str">
        <f aca="false">IF(AND(B3441&gt;=Cal_Start_Week,B3441&lt;=Cal_End_Week),"YES","")</f>
        <v/>
      </c>
    </row>
    <row r="3442" customFormat="false" ht="15" hidden="false" customHeight="false" outlineLevel="0" collapsed="false">
      <c r="A3442" s="31" t="str">
        <f aca="false">Demand_History!C3442</f>
        <v>ELE-005</v>
      </c>
      <c r="B3442" s="31" t="n">
        <f aca="false">Demand_History!A3442</f>
        <v>9</v>
      </c>
      <c r="C3442" s="32" t="n">
        <f aca="false">Demand_History!D3442</f>
        <v>61</v>
      </c>
      <c r="D3442" s="33" t="n">
        <f aca="false">IF(B3442&gt;=2,C3441,"")</f>
        <v>50</v>
      </c>
      <c r="E3442" s="33" t="n">
        <f aca="false">IF(B3442&gt;=5,AVERAGE(C3438:C3441),"")</f>
        <v>62.5</v>
      </c>
      <c r="F3442" s="33" t="n">
        <f aca="false">IF(B3442&gt;=9,AVERAGE(C3434:C3441),"")</f>
        <v>63.25</v>
      </c>
      <c r="G3442" s="33" t="n">
        <f aca="false">IF(B3442=1,"",IF(B3442=2,C3441,SES_Alpha*C3441+(1-SES_Alpha)*G3441))</f>
        <v>62.0434153</v>
      </c>
      <c r="H3442" s="33" t="n">
        <f aca="false">IF(D3442="","",D3442-C3442)</f>
        <v>-11</v>
      </c>
      <c r="I3442" s="33" t="n">
        <f aca="false">IF(E3442="","",E3442-C3442)</f>
        <v>1.5</v>
      </c>
      <c r="J3442" s="33" t="n">
        <f aca="false">IF(F3442="","",F3442-C3442)</f>
        <v>2.25</v>
      </c>
      <c r="K3442" s="33" t="n">
        <f aca="false">IF(G3442="","",G3442-C3442)</f>
        <v>1.04341529999999</v>
      </c>
      <c r="L3442" s="33" t="n">
        <f aca="false">IF(H3442="","",ABS(H3442))</f>
        <v>11</v>
      </c>
      <c r="M3442" s="33" t="n">
        <f aca="false">IF(I3442="","",ABS(I3442))</f>
        <v>1.5</v>
      </c>
      <c r="N3442" s="33" t="n">
        <f aca="false">IF(J3442="","",ABS(J3442))</f>
        <v>2.25</v>
      </c>
      <c r="O3442" s="33" t="n">
        <f aca="false">IF(K3442="","",ABS(K3442))</f>
        <v>1.04341529999999</v>
      </c>
      <c r="P3442" s="34" t="str">
        <f aca="false">IF(B3442&gt;=Eval_Start_Week,"YES","")</f>
        <v/>
      </c>
      <c r="Q3442" s="34" t="str">
        <f aca="false">IF(AND(B3442&gt;=Cal_Start_Week,B3442&lt;=Cal_End_Week),"YES","")</f>
        <v/>
      </c>
    </row>
    <row r="3443" customFormat="false" ht="15" hidden="false" customHeight="false" outlineLevel="0" collapsed="false">
      <c r="A3443" s="31" t="str">
        <f aca="false">Demand_History!C3443</f>
        <v>ELE-005</v>
      </c>
      <c r="B3443" s="31" t="n">
        <f aca="false">Demand_History!A3443</f>
        <v>10</v>
      </c>
      <c r="C3443" s="32" t="n">
        <f aca="false">Demand_History!D3443</f>
        <v>68</v>
      </c>
      <c r="D3443" s="33" t="n">
        <f aca="false">IF(B3443&gt;=2,C3442,"")</f>
        <v>61</v>
      </c>
      <c r="E3443" s="33" t="n">
        <f aca="false">IF(B3443&gt;=5,AVERAGE(C3439:C3442),"")</f>
        <v>60.5</v>
      </c>
      <c r="F3443" s="33" t="n">
        <f aca="false">IF(B3443&gt;=9,AVERAGE(C3435:C3442),"")</f>
        <v>61.75</v>
      </c>
      <c r="G3443" s="33" t="n">
        <f aca="false">IF(B3443=1,"",IF(B3443=2,C3442,SES_Alpha*C3442+(1-SES_Alpha)*G3442))</f>
        <v>61.73039071</v>
      </c>
      <c r="H3443" s="33" t="n">
        <f aca="false">IF(D3443="","",D3443-C3443)</f>
        <v>-7</v>
      </c>
      <c r="I3443" s="33" t="n">
        <f aca="false">IF(E3443="","",E3443-C3443)</f>
        <v>-7.5</v>
      </c>
      <c r="J3443" s="33" t="n">
        <f aca="false">IF(F3443="","",F3443-C3443)</f>
        <v>-6.25</v>
      </c>
      <c r="K3443" s="33" t="n">
        <f aca="false">IF(G3443="","",G3443-C3443)</f>
        <v>-6.26960929000001</v>
      </c>
      <c r="L3443" s="33" t="n">
        <f aca="false">IF(H3443="","",ABS(H3443))</f>
        <v>7</v>
      </c>
      <c r="M3443" s="33" t="n">
        <f aca="false">IF(I3443="","",ABS(I3443))</f>
        <v>7.5</v>
      </c>
      <c r="N3443" s="33" t="n">
        <f aca="false">IF(J3443="","",ABS(J3443))</f>
        <v>6.25</v>
      </c>
      <c r="O3443" s="33" t="n">
        <f aca="false">IF(K3443="","",ABS(K3443))</f>
        <v>6.26960929000001</v>
      </c>
      <c r="P3443" s="34" t="str">
        <f aca="false">IF(B3443&gt;=Eval_Start_Week,"YES","")</f>
        <v/>
      </c>
      <c r="Q3443" s="34" t="str">
        <f aca="false">IF(AND(B3443&gt;=Cal_Start_Week,B3443&lt;=Cal_End_Week),"YES","")</f>
        <v/>
      </c>
    </row>
    <row r="3444" customFormat="false" ht="15" hidden="false" customHeight="false" outlineLevel="0" collapsed="false">
      <c r="A3444" s="31" t="str">
        <f aca="false">Demand_History!C3444</f>
        <v>ELE-005</v>
      </c>
      <c r="B3444" s="31" t="n">
        <f aca="false">Demand_History!A3444</f>
        <v>11</v>
      </c>
      <c r="C3444" s="32" t="n">
        <f aca="false">Demand_History!D3444</f>
        <v>39</v>
      </c>
      <c r="D3444" s="33" t="n">
        <f aca="false">IF(B3444&gt;=2,C3443,"")</f>
        <v>68</v>
      </c>
      <c r="E3444" s="33" t="n">
        <f aca="false">IF(B3444&gt;=5,AVERAGE(C3440:C3443),"")</f>
        <v>64</v>
      </c>
      <c r="F3444" s="33" t="n">
        <f aca="false">IF(B3444&gt;=9,AVERAGE(C3436:C3443),"")</f>
        <v>62.5</v>
      </c>
      <c r="G3444" s="33" t="n">
        <f aca="false">IF(B3444=1,"",IF(B3444=2,C3443,SES_Alpha*C3443+(1-SES_Alpha)*G3443))</f>
        <v>63.611273497</v>
      </c>
      <c r="H3444" s="33" t="n">
        <f aca="false">IF(D3444="","",D3444-C3444)</f>
        <v>29</v>
      </c>
      <c r="I3444" s="33" t="n">
        <f aca="false">IF(E3444="","",E3444-C3444)</f>
        <v>25</v>
      </c>
      <c r="J3444" s="33" t="n">
        <f aca="false">IF(F3444="","",F3444-C3444)</f>
        <v>23.5</v>
      </c>
      <c r="K3444" s="33" t="n">
        <f aca="false">IF(G3444="","",G3444-C3444)</f>
        <v>24.611273497</v>
      </c>
      <c r="L3444" s="33" t="n">
        <f aca="false">IF(H3444="","",ABS(H3444))</f>
        <v>29</v>
      </c>
      <c r="M3444" s="33" t="n">
        <f aca="false">IF(I3444="","",ABS(I3444))</f>
        <v>25</v>
      </c>
      <c r="N3444" s="33" t="n">
        <f aca="false">IF(J3444="","",ABS(J3444))</f>
        <v>23.5</v>
      </c>
      <c r="O3444" s="33" t="n">
        <f aca="false">IF(K3444="","",ABS(K3444))</f>
        <v>24.611273497</v>
      </c>
      <c r="P3444" s="34" t="str">
        <f aca="false">IF(B3444&gt;=Eval_Start_Week,"YES","")</f>
        <v/>
      </c>
      <c r="Q3444" s="34" t="str">
        <f aca="false">IF(AND(B3444&gt;=Cal_Start_Week,B3444&lt;=Cal_End_Week),"YES","")</f>
        <v/>
      </c>
    </row>
    <row r="3445" customFormat="false" ht="15" hidden="false" customHeight="false" outlineLevel="0" collapsed="false">
      <c r="A3445" s="31" t="str">
        <f aca="false">Demand_History!C3445</f>
        <v>ELE-005</v>
      </c>
      <c r="B3445" s="31" t="n">
        <f aca="false">Demand_History!A3445</f>
        <v>12</v>
      </c>
      <c r="C3445" s="32" t="n">
        <f aca="false">Demand_History!D3445</f>
        <v>65</v>
      </c>
      <c r="D3445" s="33" t="n">
        <f aca="false">IF(B3445&gt;=2,C3444,"")</f>
        <v>39</v>
      </c>
      <c r="E3445" s="33" t="n">
        <f aca="false">IF(B3445&gt;=5,AVERAGE(C3441:C3444),"")</f>
        <v>54.5</v>
      </c>
      <c r="F3445" s="33" t="n">
        <f aca="false">IF(B3445&gt;=9,AVERAGE(C3437:C3444),"")</f>
        <v>61.125</v>
      </c>
      <c r="G3445" s="33" t="n">
        <f aca="false">IF(B3445=1,"",IF(B3445=2,C3444,SES_Alpha*C3444+(1-SES_Alpha)*G3444))</f>
        <v>56.2278914479</v>
      </c>
      <c r="H3445" s="33" t="n">
        <f aca="false">IF(D3445="","",D3445-C3445)</f>
        <v>-26</v>
      </c>
      <c r="I3445" s="33" t="n">
        <f aca="false">IF(E3445="","",E3445-C3445)</f>
        <v>-10.5</v>
      </c>
      <c r="J3445" s="33" t="n">
        <f aca="false">IF(F3445="","",F3445-C3445)</f>
        <v>-3.875</v>
      </c>
      <c r="K3445" s="33" t="n">
        <f aca="false">IF(G3445="","",G3445-C3445)</f>
        <v>-8.77210855210001</v>
      </c>
      <c r="L3445" s="33" t="n">
        <f aca="false">IF(H3445="","",ABS(H3445))</f>
        <v>26</v>
      </c>
      <c r="M3445" s="33" t="n">
        <f aca="false">IF(I3445="","",ABS(I3445))</f>
        <v>10.5</v>
      </c>
      <c r="N3445" s="33" t="n">
        <f aca="false">IF(J3445="","",ABS(J3445))</f>
        <v>3.875</v>
      </c>
      <c r="O3445" s="33" t="n">
        <f aca="false">IF(K3445="","",ABS(K3445))</f>
        <v>8.77210855210001</v>
      </c>
      <c r="P3445" s="34" t="str">
        <f aca="false">IF(B3445&gt;=Eval_Start_Week,"YES","")</f>
        <v/>
      </c>
      <c r="Q3445" s="34" t="str">
        <f aca="false">IF(AND(B3445&gt;=Cal_Start_Week,B3445&lt;=Cal_End_Week),"YES","")</f>
        <v/>
      </c>
    </row>
    <row r="3446" customFormat="false" ht="15" hidden="false" customHeight="false" outlineLevel="0" collapsed="false">
      <c r="A3446" s="31" t="str">
        <f aca="false">Demand_History!C3446</f>
        <v>ELE-005</v>
      </c>
      <c r="B3446" s="31" t="n">
        <f aca="false">Demand_History!A3446</f>
        <v>13</v>
      </c>
      <c r="C3446" s="32" t="n">
        <f aca="false">Demand_History!D3446</f>
        <v>57</v>
      </c>
      <c r="D3446" s="33" t="n">
        <f aca="false">IF(B3446&gt;=2,C3445,"")</f>
        <v>65</v>
      </c>
      <c r="E3446" s="33" t="n">
        <f aca="false">IF(B3446&gt;=5,AVERAGE(C3442:C3445),"")</f>
        <v>58.25</v>
      </c>
      <c r="F3446" s="33" t="n">
        <f aca="false">IF(B3446&gt;=9,AVERAGE(C3438:C3445),"")</f>
        <v>60.375</v>
      </c>
      <c r="G3446" s="33" t="n">
        <f aca="false">IF(B3446=1,"",IF(B3446=2,C3445,SES_Alpha*C3445+(1-SES_Alpha)*G3445))</f>
        <v>58.85952401353</v>
      </c>
      <c r="H3446" s="33" t="n">
        <f aca="false">IF(D3446="","",D3446-C3446)</f>
        <v>8</v>
      </c>
      <c r="I3446" s="33" t="n">
        <f aca="false">IF(E3446="","",E3446-C3446)</f>
        <v>1.25</v>
      </c>
      <c r="J3446" s="33" t="n">
        <f aca="false">IF(F3446="","",F3446-C3446)</f>
        <v>3.375</v>
      </c>
      <c r="K3446" s="33" t="n">
        <f aca="false">IF(G3446="","",G3446-C3446)</f>
        <v>1.85952401352999</v>
      </c>
      <c r="L3446" s="33" t="n">
        <f aca="false">IF(H3446="","",ABS(H3446))</f>
        <v>8</v>
      </c>
      <c r="M3446" s="33" t="n">
        <f aca="false">IF(I3446="","",ABS(I3446))</f>
        <v>1.25</v>
      </c>
      <c r="N3446" s="33" t="n">
        <f aca="false">IF(J3446="","",ABS(J3446))</f>
        <v>3.375</v>
      </c>
      <c r="O3446" s="33" t="n">
        <f aca="false">IF(K3446="","",ABS(K3446))</f>
        <v>1.85952401352999</v>
      </c>
      <c r="P3446" s="34" t="str">
        <f aca="false">IF(B3446&gt;=Eval_Start_Week,"YES","")</f>
        <v/>
      </c>
      <c r="Q3446" s="34" t="str">
        <f aca="false">IF(AND(B3446&gt;=Cal_Start_Week,B3446&lt;=Cal_End_Week),"YES","")</f>
        <v/>
      </c>
    </row>
    <row r="3447" customFormat="false" ht="15" hidden="false" customHeight="false" outlineLevel="0" collapsed="false">
      <c r="A3447" s="31" t="str">
        <f aca="false">Demand_History!C3447</f>
        <v>ELE-005</v>
      </c>
      <c r="B3447" s="31" t="n">
        <f aca="false">Demand_History!A3447</f>
        <v>14</v>
      </c>
      <c r="C3447" s="32" t="n">
        <f aca="false">Demand_History!D3447</f>
        <v>57</v>
      </c>
      <c r="D3447" s="33" t="n">
        <f aca="false">IF(B3447&gt;=2,C3446,"")</f>
        <v>57</v>
      </c>
      <c r="E3447" s="33" t="n">
        <f aca="false">IF(B3447&gt;=5,AVERAGE(C3443:C3446),"")</f>
        <v>57.25</v>
      </c>
      <c r="F3447" s="33" t="n">
        <f aca="false">IF(B3447&gt;=9,AVERAGE(C3439:C3446),"")</f>
        <v>58.875</v>
      </c>
      <c r="G3447" s="33" t="n">
        <f aca="false">IF(B3447=1,"",IF(B3447=2,C3446,SES_Alpha*C3446+(1-SES_Alpha)*G3446))</f>
        <v>58.301666809471</v>
      </c>
      <c r="H3447" s="33" t="n">
        <f aca="false">IF(D3447="","",D3447-C3447)</f>
        <v>0</v>
      </c>
      <c r="I3447" s="33" t="n">
        <f aca="false">IF(E3447="","",E3447-C3447)</f>
        <v>0.25</v>
      </c>
      <c r="J3447" s="33" t="n">
        <f aca="false">IF(F3447="","",F3447-C3447)</f>
        <v>1.875</v>
      </c>
      <c r="K3447" s="33" t="n">
        <f aca="false">IF(G3447="","",G3447-C3447)</f>
        <v>1.30166680947099</v>
      </c>
      <c r="L3447" s="33" t="n">
        <f aca="false">IF(H3447="","",ABS(H3447))</f>
        <v>0</v>
      </c>
      <c r="M3447" s="33" t="n">
        <f aca="false">IF(I3447="","",ABS(I3447))</f>
        <v>0.25</v>
      </c>
      <c r="N3447" s="33" t="n">
        <f aca="false">IF(J3447="","",ABS(J3447))</f>
        <v>1.875</v>
      </c>
      <c r="O3447" s="33" t="n">
        <f aca="false">IF(K3447="","",ABS(K3447))</f>
        <v>1.30166680947099</v>
      </c>
      <c r="P3447" s="34" t="str">
        <f aca="false">IF(B3447&gt;=Eval_Start_Week,"YES","")</f>
        <v/>
      </c>
      <c r="Q3447" s="34" t="str">
        <f aca="false">IF(AND(B3447&gt;=Cal_Start_Week,B3447&lt;=Cal_End_Week),"YES","")</f>
        <v/>
      </c>
    </row>
    <row r="3448" customFormat="false" ht="15" hidden="false" customHeight="false" outlineLevel="0" collapsed="false">
      <c r="A3448" s="31" t="str">
        <f aca="false">Demand_History!C3448</f>
        <v>ELE-005</v>
      </c>
      <c r="B3448" s="31" t="n">
        <f aca="false">Demand_History!A3448</f>
        <v>15</v>
      </c>
      <c r="C3448" s="32" t="n">
        <f aca="false">Demand_History!D3448</f>
        <v>48</v>
      </c>
      <c r="D3448" s="33" t="n">
        <f aca="false">IF(B3448&gt;=2,C3447,"")</f>
        <v>57</v>
      </c>
      <c r="E3448" s="33" t="n">
        <f aca="false">IF(B3448&gt;=5,AVERAGE(C3444:C3447),"")</f>
        <v>54.5</v>
      </c>
      <c r="F3448" s="33" t="n">
        <f aca="false">IF(B3448&gt;=9,AVERAGE(C3440:C3447),"")</f>
        <v>59.25</v>
      </c>
      <c r="G3448" s="33" t="n">
        <f aca="false">IF(B3448=1,"",IF(B3448=2,C3447,SES_Alpha*C3447+(1-SES_Alpha)*G3447))</f>
        <v>57.9111667666297</v>
      </c>
      <c r="H3448" s="33" t="n">
        <f aca="false">IF(D3448="","",D3448-C3448)</f>
        <v>9</v>
      </c>
      <c r="I3448" s="33" t="n">
        <f aca="false">IF(E3448="","",E3448-C3448)</f>
        <v>6.5</v>
      </c>
      <c r="J3448" s="33" t="n">
        <f aca="false">IF(F3448="","",F3448-C3448)</f>
        <v>11.25</v>
      </c>
      <c r="K3448" s="33" t="n">
        <f aca="false">IF(G3448="","",G3448-C3448)</f>
        <v>9.91116676662969</v>
      </c>
      <c r="L3448" s="33" t="n">
        <f aca="false">IF(H3448="","",ABS(H3448))</f>
        <v>9</v>
      </c>
      <c r="M3448" s="33" t="n">
        <f aca="false">IF(I3448="","",ABS(I3448))</f>
        <v>6.5</v>
      </c>
      <c r="N3448" s="33" t="n">
        <f aca="false">IF(J3448="","",ABS(J3448))</f>
        <v>11.25</v>
      </c>
      <c r="O3448" s="33" t="n">
        <f aca="false">IF(K3448="","",ABS(K3448))</f>
        <v>9.91116676662969</v>
      </c>
      <c r="P3448" s="34" t="str">
        <f aca="false">IF(B3448&gt;=Eval_Start_Week,"YES","")</f>
        <v/>
      </c>
      <c r="Q3448" s="34" t="str">
        <f aca="false">IF(AND(B3448&gt;=Cal_Start_Week,B3448&lt;=Cal_End_Week),"YES","")</f>
        <v/>
      </c>
    </row>
    <row r="3449" customFormat="false" ht="15" hidden="false" customHeight="false" outlineLevel="0" collapsed="false">
      <c r="A3449" s="31" t="str">
        <f aca="false">Demand_History!C3449</f>
        <v>ELE-005</v>
      </c>
      <c r="B3449" s="31" t="n">
        <f aca="false">Demand_History!A3449</f>
        <v>16</v>
      </c>
      <c r="C3449" s="32" t="n">
        <f aca="false">Demand_History!D3449</f>
        <v>59</v>
      </c>
      <c r="D3449" s="33" t="n">
        <f aca="false">IF(B3449&gt;=2,C3448,"")</f>
        <v>48</v>
      </c>
      <c r="E3449" s="33" t="n">
        <f aca="false">IF(B3449&gt;=5,AVERAGE(C3445:C3448),"")</f>
        <v>56.75</v>
      </c>
      <c r="F3449" s="33" t="n">
        <f aca="false">IF(B3449&gt;=9,AVERAGE(C3441:C3448),"")</f>
        <v>55.625</v>
      </c>
      <c r="G3449" s="33" t="n">
        <f aca="false">IF(B3449=1,"",IF(B3449=2,C3448,SES_Alpha*C3448+(1-SES_Alpha)*G3448))</f>
        <v>54.9378167366408</v>
      </c>
      <c r="H3449" s="33" t="n">
        <f aca="false">IF(D3449="","",D3449-C3449)</f>
        <v>-11</v>
      </c>
      <c r="I3449" s="33" t="n">
        <f aca="false">IF(E3449="","",E3449-C3449)</f>
        <v>-2.25</v>
      </c>
      <c r="J3449" s="33" t="n">
        <f aca="false">IF(F3449="","",F3449-C3449)</f>
        <v>-3.375</v>
      </c>
      <c r="K3449" s="33" t="n">
        <f aca="false">IF(G3449="","",G3449-C3449)</f>
        <v>-4.06218326335922</v>
      </c>
      <c r="L3449" s="33" t="n">
        <f aca="false">IF(H3449="","",ABS(H3449))</f>
        <v>11</v>
      </c>
      <c r="M3449" s="33" t="n">
        <f aca="false">IF(I3449="","",ABS(I3449))</f>
        <v>2.25</v>
      </c>
      <c r="N3449" s="33" t="n">
        <f aca="false">IF(J3449="","",ABS(J3449))</f>
        <v>3.375</v>
      </c>
      <c r="O3449" s="33" t="n">
        <f aca="false">IF(K3449="","",ABS(K3449))</f>
        <v>4.06218326335922</v>
      </c>
      <c r="P3449" s="34" t="str">
        <f aca="false">IF(B3449&gt;=Eval_Start_Week,"YES","")</f>
        <v/>
      </c>
      <c r="Q3449" s="34" t="str">
        <f aca="false">IF(AND(B3449&gt;=Cal_Start_Week,B3449&lt;=Cal_End_Week),"YES","")</f>
        <v/>
      </c>
    </row>
    <row r="3450" customFormat="false" ht="15" hidden="false" customHeight="false" outlineLevel="0" collapsed="false">
      <c r="A3450" s="31" t="str">
        <f aca="false">Demand_History!C3450</f>
        <v>ELE-005</v>
      </c>
      <c r="B3450" s="31" t="n">
        <f aca="false">Demand_History!A3450</f>
        <v>17</v>
      </c>
      <c r="C3450" s="32" t="n">
        <f aca="false">Demand_History!D3450</f>
        <v>47</v>
      </c>
      <c r="D3450" s="33" t="n">
        <f aca="false">IF(B3450&gt;=2,C3449,"")</f>
        <v>59</v>
      </c>
      <c r="E3450" s="33" t="n">
        <f aca="false">IF(B3450&gt;=5,AVERAGE(C3446:C3449),"")</f>
        <v>55.25</v>
      </c>
      <c r="F3450" s="33" t="n">
        <f aca="false">IF(B3450&gt;=9,AVERAGE(C3442:C3449),"")</f>
        <v>56.75</v>
      </c>
      <c r="G3450" s="33" t="n">
        <f aca="false">IF(B3450=1,"",IF(B3450=2,C3449,SES_Alpha*C3449+(1-SES_Alpha)*G3449))</f>
        <v>56.1564717156485</v>
      </c>
      <c r="H3450" s="33" t="n">
        <f aca="false">IF(D3450="","",D3450-C3450)</f>
        <v>12</v>
      </c>
      <c r="I3450" s="33" t="n">
        <f aca="false">IF(E3450="","",E3450-C3450)</f>
        <v>8.25</v>
      </c>
      <c r="J3450" s="33" t="n">
        <f aca="false">IF(F3450="","",F3450-C3450)</f>
        <v>9.75</v>
      </c>
      <c r="K3450" s="33" t="n">
        <f aca="false">IF(G3450="","",G3450-C3450)</f>
        <v>9.15647171564854</v>
      </c>
      <c r="L3450" s="33" t="n">
        <f aca="false">IF(H3450="","",ABS(H3450))</f>
        <v>12</v>
      </c>
      <c r="M3450" s="33" t="n">
        <f aca="false">IF(I3450="","",ABS(I3450))</f>
        <v>8.25</v>
      </c>
      <c r="N3450" s="33" t="n">
        <f aca="false">IF(J3450="","",ABS(J3450))</f>
        <v>9.75</v>
      </c>
      <c r="O3450" s="33" t="n">
        <f aca="false">IF(K3450="","",ABS(K3450))</f>
        <v>9.15647171564854</v>
      </c>
      <c r="P3450" s="34" t="str">
        <f aca="false">IF(B3450&gt;=Eval_Start_Week,"YES","")</f>
        <v/>
      </c>
      <c r="Q3450" s="34" t="str">
        <f aca="false">IF(AND(B3450&gt;=Cal_Start_Week,B3450&lt;=Cal_End_Week),"YES","")</f>
        <v/>
      </c>
    </row>
    <row r="3451" customFormat="false" ht="15" hidden="false" customHeight="false" outlineLevel="0" collapsed="false">
      <c r="A3451" s="31" t="str">
        <f aca="false">Demand_History!C3451</f>
        <v>ELE-005</v>
      </c>
      <c r="B3451" s="31" t="n">
        <f aca="false">Demand_History!A3451</f>
        <v>18</v>
      </c>
      <c r="C3451" s="32" t="n">
        <f aca="false">Demand_History!D3451</f>
        <v>48</v>
      </c>
      <c r="D3451" s="33" t="n">
        <f aca="false">IF(B3451&gt;=2,C3450,"")</f>
        <v>47</v>
      </c>
      <c r="E3451" s="33" t="n">
        <f aca="false">IF(B3451&gt;=5,AVERAGE(C3447:C3450),"")</f>
        <v>52.75</v>
      </c>
      <c r="F3451" s="33" t="n">
        <f aca="false">IF(B3451&gt;=9,AVERAGE(C3443:C3450),"")</f>
        <v>55</v>
      </c>
      <c r="G3451" s="33" t="n">
        <f aca="false">IF(B3451=1,"",IF(B3451=2,C3450,SES_Alpha*C3450+(1-SES_Alpha)*G3450))</f>
        <v>53.409530200954</v>
      </c>
      <c r="H3451" s="33" t="n">
        <f aca="false">IF(D3451="","",D3451-C3451)</f>
        <v>-1</v>
      </c>
      <c r="I3451" s="33" t="n">
        <f aca="false">IF(E3451="","",E3451-C3451)</f>
        <v>4.75</v>
      </c>
      <c r="J3451" s="33" t="n">
        <f aca="false">IF(F3451="","",F3451-C3451)</f>
        <v>7</v>
      </c>
      <c r="K3451" s="33" t="n">
        <f aca="false">IF(G3451="","",G3451-C3451)</f>
        <v>5.40953020095397</v>
      </c>
      <c r="L3451" s="33" t="n">
        <f aca="false">IF(H3451="","",ABS(H3451))</f>
        <v>1</v>
      </c>
      <c r="M3451" s="33" t="n">
        <f aca="false">IF(I3451="","",ABS(I3451))</f>
        <v>4.75</v>
      </c>
      <c r="N3451" s="33" t="n">
        <f aca="false">IF(J3451="","",ABS(J3451))</f>
        <v>7</v>
      </c>
      <c r="O3451" s="33" t="n">
        <f aca="false">IF(K3451="","",ABS(K3451))</f>
        <v>5.40953020095397</v>
      </c>
      <c r="P3451" s="34" t="str">
        <f aca="false">IF(B3451&gt;=Eval_Start_Week,"YES","")</f>
        <v/>
      </c>
      <c r="Q3451" s="34" t="str">
        <f aca="false">IF(AND(B3451&gt;=Cal_Start_Week,B3451&lt;=Cal_End_Week),"YES","")</f>
        <v/>
      </c>
    </row>
    <row r="3452" customFormat="false" ht="15" hidden="false" customHeight="false" outlineLevel="0" collapsed="false">
      <c r="A3452" s="31" t="str">
        <f aca="false">Demand_History!C3452</f>
        <v>ELE-005</v>
      </c>
      <c r="B3452" s="31" t="n">
        <f aca="false">Demand_History!A3452</f>
        <v>19</v>
      </c>
      <c r="C3452" s="32" t="n">
        <f aca="false">Demand_History!D3452</f>
        <v>52</v>
      </c>
      <c r="D3452" s="33" t="n">
        <f aca="false">IF(B3452&gt;=2,C3451,"")</f>
        <v>48</v>
      </c>
      <c r="E3452" s="33" t="n">
        <f aca="false">IF(B3452&gt;=5,AVERAGE(C3448:C3451),"")</f>
        <v>50.5</v>
      </c>
      <c r="F3452" s="33" t="n">
        <f aca="false">IF(B3452&gt;=9,AVERAGE(C3444:C3451),"")</f>
        <v>52.5</v>
      </c>
      <c r="G3452" s="33" t="n">
        <f aca="false">IF(B3452=1,"",IF(B3452=2,C3451,SES_Alpha*C3451+(1-SES_Alpha)*G3451))</f>
        <v>51.7866711406678</v>
      </c>
      <c r="H3452" s="33" t="n">
        <f aca="false">IF(D3452="","",D3452-C3452)</f>
        <v>-4</v>
      </c>
      <c r="I3452" s="33" t="n">
        <f aca="false">IF(E3452="","",E3452-C3452)</f>
        <v>-1.5</v>
      </c>
      <c r="J3452" s="33" t="n">
        <f aca="false">IF(F3452="","",F3452-C3452)</f>
        <v>0.5</v>
      </c>
      <c r="K3452" s="33" t="n">
        <f aca="false">IF(G3452="","",G3452-C3452)</f>
        <v>-0.213328859332222</v>
      </c>
      <c r="L3452" s="33" t="n">
        <f aca="false">IF(H3452="","",ABS(H3452))</f>
        <v>4</v>
      </c>
      <c r="M3452" s="33" t="n">
        <f aca="false">IF(I3452="","",ABS(I3452))</f>
        <v>1.5</v>
      </c>
      <c r="N3452" s="33" t="n">
        <f aca="false">IF(J3452="","",ABS(J3452))</f>
        <v>0.5</v>
      </c>
      <c r="O3452" s="33" t="n">
        <f aca="false">IF(K3452="","",ABS(K3452))</f>
        <v>0.213328859332222</v>
      </c>
      <c r="P3452" s="34" t="str">
        <f aca="false">IF(B3452&gt;=Eval_Start_Week,"YES","")</f>
        <v/>
      </c>
      <c r="Q3452" s="34" t="str">
        <f aca="false">IF(AND(B3452&gt;=Cal_Start_Week,B3452&lt;=Cal_End_Week),"YES","")</f>
        <v/>
      </c>
    </row>
    <row r="3453" customFormat="false" ht="15" hidden="false" customHeight="false" outlineLevel="0" collapsed="false">
      <c r="A3453" s="31" t="str">
        <f aca="false">Demand_History!C3453</f>
        <v>ELE-005</v>
      </c>
      <c r="B3453" s="31" t="n">
        <f aca="false">Demand_History!A3453</f>
        <v>20</v>
      </c>
      <c r="C3453" s="32" t="n">
        <f aca="false">Demand_History!D3453</f>
        <v>45</v>
      </c>
      <c r="D3453" s="33" t="n">
        <f aca="false">IF(B3453&gt;=2,C3452,"")</f>
        <v>52</v>
      </c>
      <c r="E3453" s="33" t="n">
        <f aca="false">IF(B3453&gt;=5,AVERAGE(C3449:C3452),"")</f>
        <v>51.5</v>
      </c>
      <c r="F3453" s="33" t="n">
        <f aca="false">IF(B3453&gt;=9,AVERAGE(C3445:C3452),"")</f>
        <v>54.125</v>
      </c>
      <c r="G3453" s="33" t="n">
        <f aca="false">IF(B3453=1,"",IF(B3453=2,C3452,SES_Alpha*C3452+(1-SES_Alpha)*G3452))</f>
        <v>51.8506697984674</v>
      </c>
      <c r="H3453" s="33" t="n">
        <f aca="false">IF(D3453="","",D3453-C3453)</f>
        <v>7</v>
      </c>
      <c r="I3453" s="33" t="n">
        <f aca="false">IF(E3453="","",E3453-C3453)</f>
        <v>6.5</v>
      </c>
      <c r="J3453" s="33" t="n">
        <f aca="false">IF(F3453="","",F3453-C3453)</f>
        <v>9.125</v>
      </c>
      <c r="K3453" s="33" t="n">
        <f aca="false">IF(G3453="","",G3453-C3453)</f>
        <v>6.85066979846744</v>
      </c>
      <c r="L3453" s="33" t="n">
        <f aca="false">IF(H3453="","",ABS(H3453))</f>
        <v>7</v>
      </c>
      <c r="M3453" s="33" t="n">
        <f aca="false">IF(I3453="","",ABS(I3453))</f>
        <v>6.5</v>
      </c>
      <c r="N3453" s="33" t="n">
        <f aca="false">IF(J3453="","",ABS(J3453))</f>
        <v>9.125</v>
      </c>
      <c r="O3453" s="33" t="n">
        <f aca="false">IF(K3453="","",ABS(K3453))</f>
        <v>6.85066979846744</v>
      </c>
      <c r="P3453" s="34" t="str">
        <f aca="false">IF(B3453&gt;=Eval_Start_Week,"YES","")</f>
        <v/>
      </c>
      <c r="Q3453" s="34" t="str">
        <f aca="false">IF(AND(B3453&gt;=Cal_Start_Week,B3453&lt;=Cal_End_Week),"YES","")</f>
        <v/>
      </c>
    </row>
    <row r="3454" customFormat="false" ht="15" hidden="false" customHeight="false" outlineLevel="0" collapsed="false">
      <c r="A3454" s="31" t="str">
        <f aca="false">Demand_History!C3454</f>
        <v>ELE-005</v>
      </c>
      <c r="B3454" s="31" t="n">
        <f aca="false">Demand_History!A3454</f>
        <v>21</v>
      </c>
      <c r="C3454" s="32" t="n">
        <f aca="false">Demand_History!D3454</f>
        <v>67</v>
      </c>
      <c r="D3454" s="33" t="n">
        <f aca="false">IF(B3454&gt;=2,C3453,"")</f>
        <v>45</v>
      </c>
      <c r="E3454" s="33" t="n">
        <f aca="false">IF(B3454&gt;=5,AVERAGE(C3450:C3453),"")</f>
        <v>48</v>
      </c>
      <c r="F3454" s="33" t="n">
        <f aca="false">IF(B3454&gt;=9,AVERAGE(C3446:C3453),"")</f>
        <v>51.625</v>
      </c>
      <c r="G3454" s="33" t="n">
        <f aca="false">IF(B3454=1,"",IF(B3454=2,C3453,SES_Alpha*C3453+(1-SES_Alpha)*G3453))</f>
        <v>49.7954688589272</v>
      </c>
      <c r="H3454" s="33" t="n">
        <f aca="false">IF(D3454="","",D3454-C3454)</f>
        <v>-22</v>
      </c>
      <c r="I3454" s="33" t="n">
        <f aca="false">IF(E3454="","",E3454-C3454)</f>
        <v>-19</v>
      </c>
      <c r="J3454" s="33" t="n">
        <f aca="false">IF(F3454="","",F3454-C3454)</f>
        <v>-15.375</v>
      </c>
      <c r="K3454" s="33" t="n">
        <f aca="false">IF(G3454="","",G3454-C3454)</f>
        <v>-17.2045311410728</v>
      </c>
      <c r="L3454" s="33" t="n">
        <f aca="false">IF(H3454="","",ABS(H3454))</f>
        <v>22</v>
      </c>
      <c r="M3454" s="33" t="n">
        <f aca="false">IF(I3454="","",ABS(I3454))</f>
        <v>19</v>
      </c>
      <c r="N3454" s="33" t="n">
        <f aca="false">IF(J3454="","",ABS(J3454))</f>
        <v>15.375</v>
      </c>
      <c r="O3454" s="33" t="n">
        <f aca="false">IF(K3454="","",ABS(K3454))</f>
        <v>17.2045311410728</v>
      </c>
      <c r="P3454" s="34" t="str">
        <f aca="false">IF(B3454&gt;=Eval_Start_Week,"YES","")</f>
        <v/>
      </c>
      <c r="Q3454" s="34" t="str">
        <f aca="false">IF(AND(B3454&gt;=Cal_Start_Week,B3454&lt;=Cal_End_Week),"YES","")</f>
        <v/>
      </c>
    </row>
    <row r="3455" customFormat="false" ht="15" hidden="false" customHeight="false" outlineLevel="0" collapsed="false">
      <c r="A3455" s="31" t="str">
        <f aca="false">Demand_History!C3455</f>
        <v>ELE-005</v>
      </c>
      <c r="B3455" s="31" t="n">
        <f aca="false">Demand_History!A3455</f>
        <v>22</v>
      </c>
      <c r="C3455" s="32" t="n">
        <f aca="false">Demand_History!D3455</f>
        <v>44</v>
      </c>
      <c r="D3455" s="33" t="n">
        <f aca="false">IF(B3455&gt;=2,C3454,"")</f>
        <v>67</v>
      </c>
      <c r="E3455" s="33" t="n">
        <f aca="false">IF(B3455&gt;=5,AVERAGE(C3451:C3454),"")</f>
        <v>53</v>
      </c>
      <c r="F3455" s="33" t="n">
        <f aca="false">IF(B3455&gt;=9,AVERAGE(C3447:C3454),"")</f>
        <v>52.875</v>
      </c>
      <c r="G3455" s="33" t="n">
        <f aca="false">IF(B3455=1,"",IF(B3455=2,C3454,SES_Alpha*C3454+(1-SES_Alpha)*G3454))</f>
        <v>54.956828201249</v>
      </c>
      <c r="H3455" s="33" t="n">
        <f aca="false">IF(D3455="","",D3455-C3455)</f>
        <v>23</v>
      </c>
      <c r="I3455" s="33" t="n">
        <f aca="false">IF(E3455="","",E3455-C3455)</f>
        <v>9</v>
      </c>
      <c r="J3455" s="33" t="n">
        <f aca="false">IF(F3455="","",F3455-C3455)</f>
        <v>8.875</v>
      </c>
      <c r="K3455" s="33" t="n">
        <f aca="false">IF(G3455="","",G3455-C3455)</f>
        <v>10.956828201249</v>
      </c>
      <c r="L3455" s="33" t="n">
        <f aca="false">IF(H3455="","",ABS(H3455))</f>
        <v>23</v>
      </c>
      <c r="M3455" s="33" t="n">
        <f aca="false">IF(I3455="","",ABS(I3455))</f>
        <v>9</v>
      </c>
      <c r="N3455" s="33" t="n">
        <f aca="false">IF(J3455="","",ABS(J3455))</f>
        <v>8.875</v>
      </c>
      <c r="O3455" s="33" t="n">
        <f aca="false">IF(K3455="","",ABS(K3455))</f>
        <v>10.956828201249</v>
      </c>
      <c r="P3455" s="34" t="str">
        <f aca="false">IF(B3455&gt;=Eval_Start_Week,"YES","")</f>
        <v/>
      </c>
      <c r="Q3455" s="34" t="str">
        <f aca="false">IF(AND(B3455&gt;=Cal_Start_Week,B3455&lt;=Cal_End_Week),"YES","")</f>
        <v/>
      </c>
    </row>
    <row r="3456" customFormat="false" ht="15" hidden="false" customHeight="false" outlineLevel="0" collapsed="false">
      <c r="A3456" s="31" t="str">
        <f aca="false">Demand_History!C3456</f>
        <v>ELE-005</v>
      </c>
      <c r="B3456" s="31" t="n">
        <f aca="false">Demand_History!A3456</f>
        <v>23</v>
      </c>
      <c r="C3456" s="32" t="n">
        <f aca="false">Demand_History!D3456</f>
        <v>48</v>
      </c>
      <c r="D3456" s="33" t="n">
        <f aca="false">IF(B3456&gt;=2,C3455,"")</f>
        <v>44</v>
      </c>
      <c r="E3456" s="33" t="n">
        <f aca="false">IF(B3456&gt;=5,AVERAGE(C3452:C3455),"")</f>
        <v>52</v>
      </c>
      <c r="F3456" s="33" t="n">
        <f aca="false">IF(B3456&gt;=9,AVERAGE(C3448:C3455),"")</f>
        <v>51.25</v>
      </c>
      <c r="G3456" s="33" t="n">
        <f aca="false">IF(B3456=1,"",IF(B3456=2,C3455,SES_Alpha*C3455+(1-SES_Alpha)*G3455))</f>
        <v>51.6697797408743</v>
      </c>
      <c r="H3456" s="33" t="n">
        <f aca="false">IF(D3456="","",D3456-C3456)</f>
        <v>-4</v>
      </c>
      <c r="I3456" s="33" t="n">
        <f aca="false">IF(E3456="","",E3456-C3456)</f>
        <v>4</v>
      </c>
      <c r="J3456" s="33" t="n">
        <f aca="false">IF(F3456="","",F3456-C3456)</f>
        <v>3.25</v>
      </c>
      <c r="K3456" s="33" t="n">
        <f aca="false">IF(G3456="","",G3456-C3456)</f>
        <v>3.66977974087432</v>
      </c>
      <c r="L3456" s="33" t="n">
        <f aca="false">IF(H3456="","",ABS(H3456))</f>
        <v>4</v>
      </c>
      <c r="M3456" s="33" t="n">
        <f aca="false">IF(I3456="","",ABS(I3456))</f>
        <v>4</v>
      </c>
      <c r="N3456" s="33" t="n">
        <f aca="false">IF(J3456="","",ABS(J3456))</f>
        <v>3.25</v>
      </c>
      <c r="O3456" s="33" t="n">
        <f aca="false">IF(K3456="","",ABS(K3456))</f>
        <v>3.66977974087432</v>
      </c>
      <c r="P3456" s="34" t="str">
        <f aca="false">IF(B3456&gt;=Eval_Start_Week,"YES","")</f>
        <v/>
      </c>
      <c r="Q3456" s="34" t="str">
        <f aca="false">IF(AND(B3456&gt;=Cal_Start_Week,B3456&lt;=Cal_End_Week),"YES","")</f>
        <v/>
      </c>
    </row>
    <row r="3457" customFormat="false" ht="15" hidden="false" customHeight="false" outlineLevel="0" collapsed="false">
      <c r="A3457" s="31" t="str">
        <f aca="false">Demand_History!C3457</f>
        <v>ELE-005</v>
      </c>
      <c r="B3457" s="31" t="n">
        <f aca="false">Demand_History!A3457</f>
        <v>24</v>
      </c>
      <c r="C3457" s="32" t="n">
        <f aca="false">Demand_History!D3457</f>
        <v>51</v>
      </c>
      <c r="D3457" s="33" t="n">
        <f aca="false">IF(B3457&gt;=2,C3456,"")</f>
        <v>48</v>
      </c>
      <c r="E3457" s="33" t="n">
        <f aca="false">IF(B3457&gt;=5,AVERAGE(C3453:C3456),"")</f>
        <v>51</v>
      </c>
      <c r="F3457" s="33" t="n">
        <f aca="false">IF(B3457&gt;=9,AVERAGE(C3449:C3456),"")</f>
        <v>51.25</v>
      </c>
      <c r="G3457" s="33" t="n">
        <f aca="false">IF(B3457=1,"",IF(B3457=2,C3456,SES_Alpha*C3456+(1-SES_Alpha)*G3456))</f>
        <v>50.568845818612</v>
      </c>
      <c r="H3457" s="33" t="n">
        <f aca="false">IF(D3457="","",D3457-C3457)</f>
        <v>-3</v>
      </c>
      <c r="I3457" s="33" t="n">
        <f aca="false">IF(E3457="","",E3457-C3457)</f>
        <v>0</v>
      </c>
      <c r="J3457" s="33" t="n">
        <f aca="false">IF(F3457="","",F3457-C3457)</f>
        <v>0.25</v>
      </c>
      <c r="K3457" s="33" t="n">
        <f aca="false">IF(G3457="","",G3457-C3457)</f>
        <v>-0.431154181387981</v>
      </c>
      <c r="L3457" s="33" t="n">
        <f aca="false">IF(H3457="","",ABS(H3457))</f>
        <v>3</v>
      </c>
      <c r="M3457" s="33" t="n">
        <f aca="false">IF(I3457="","",ABS(I3457))</f>
        <v>0</v>
      </c>
      <c r="N3457" s="33" t="n">
        <f aca="false">IF(J3457="","",ABS(J3457))</f>
        <v>0.25</v>
      </c>
      <c r="O3457" s="33" t="n">
        <f aca="false">IF(K3457="","",ABS(K3457))</f>
        <v>0.431154181387981</v>
      </c>
      <c r="P3457" s="34" t="str">
        <f aca="false">IF(B3457&gt;=Eval_Start_Week,"YES","")</f>
        <v/>
      </c>
      <c r="Q3457" s="34" t="str">
        <f aca="false">IF(AND(B3457&gt;=Cal_Start_Week,B3457&lt;=Cal_End_Week),"YES","")</f>
        <v/>
      </c>
    </row>
    <row r="3458" customFormat="false" ht="15" hidden="false" customHeight="false" outlineLevel="0" collapsed="false">
      <c r="A3458" s="31" t="str">
        <f aca="false">Demand_History!C3458</f>
        <v>ELE-005</v>
      </c>
      <c r="B3458" s="31" t="n">
        <f aca="false">Demand_History!A3458</f>
        <v>25</v>
      </c>
      <c r="C3458" s="32" t="n">
        <f aca="false">Demand_History!D3458</f>
        <v>53</v>
      </c>
      <c r="D3458" s="33" t="n">
        <f aca="false">IF(B3458&gt;=2,C3457,"")</f>
        <v>51</v>
      </c>
      <c r="E3458" s="33" t="n">
        <f aca="false">IF(B3458&gt;=5,AVERAGE(C3454:C3457),"")</f>
        <v>52.5</v>
      </c>
      <c r="F3458" s="33" t="n">
        <f aca="false">IF(B3458&gt;=9,AVERAGE(C3450:C3457),"")</f>
        <v>50.25</v>
      </c>
      <c r="G3458" s="33" t="n">
        <f aca="false">IF(B3458=1,"",IF(B3458=2,C3457,SES_Alpha*C3457+(1-SES_Alpha)*G3457))</f>
        <v>50.6981920730284</v>
      </c>
      <c r="H3458" s="33" t="n">
        <f aca="false">IF(D3458="","",D3458-C3458)</f>
        <v>-2</v>
      </c>
      <c r="I3458" s="33" t="n">
        <f aca="false">IF(E3458="","",E3458-C3458)</f>
        <v>-0.5</v>
      </c>
      <c r="J3458" s="33" t="n">
        <f aca="false">IF(F3458="","",F3458-C3458)</f>
        <v>-2.75</v>
      </c>
      <c r="K3458" s="33" t="n">
        <f aca="false">IF(G3458="","",G3458-C3458)</f>
        <v>-2.30180792697159</v>
      </c>
      <c r="L3458" s="33" t="n">
        <f aca="false">IF(H3458="","",ABS(H3458))</f>
        <v>2</v>
      </c>
      <c r="M3458" s="33" t="n">
        <f aca="false">IF(I3458="","",ABS(I3458))</f>
        <v>0.5</v>
      </c>
      <c r="N3458" s="33" t="n">
        <f aca="false">IF(J3458="","",ABS(J3458))</f>
        <v>2.75</v>
      </c>
      <c r="O3458" s="33" t="n">
        <f aca="false">IF(K3458="","",ABS(K3458))</f>
        <v>2.30180792697159</v>
      </c>
      <c r="P3458" s="34" t="str">
        <f aca="false">IF(B3458&gt;=Eval_Start_Week,"YES","")</f>
        <v/>
      </c>
      <c r="Q3458" s="34" t="str">
        <f aca="false">IF(AND(B3458&gt;=Cal_Start_Week,B3458&lt;=Cal_End_Week),"YES","")</f>
        <v/>
      </c>
    </row>
    <row r="3459" customFormat="false" ht="15" hidden="false" customHeight="false" outlineLevel="0" collapsed="false">
      <c r="A3459" s="31" t="str">
        <f aca="false">Demand_History!C3459</f>
        <v>ELE-005</v>
      </c>
      <c r="B3459" s="31" t="n">
        <f aca="false">Demand_History!A3459</f>
        <v>26</v>
      </c>
      <c r="C3459" s="32" t="n">
        <f aca="false">Demand_History!D3459</f>
        <v>59</v>
      </c>
      <c r="D3459" s="33" t="n">
        <f aca="false">IF(B3459&gt;=2,C3458,"")</f>
        <v>53</v>
      </c>
      <c r="E3459" s="33" t="n">
        <f aca="false">IF(B3459&gt;=5,AVERAGE(C3455:C3458),"")</f>
        <v>49</v>
      </c>
      <c r="F3459" s="33" t="n">
        <f aca="false">IF(B3459&gt;=9,AVERAGE(C3451:C3458),"")</f>
        <v>51</v>
      </c>
      <c r="G3459" s="33" t="n">
        <f aca="false">IF(B3459=1,"",IF(B3459=2,C3458,SES_Alpha*C3458+(1-SES_Alpha)*G3458))</f>
        <v>51.3887344511199</v>
      </c>
      <c r="H3459" s="33" t="n">
        <f aca="false">IF(D3459="","",D3459-C3459)</f>
        <v>-6</v>
      </c>
      <c r="I3459" s="33" t="n">
        <f aca="false">IF(E3459="","",E3459-C3459)</f>
        <v>-10</v>
      </c>
      <c r="J3459" s="33" t="n">
        <f aca="false">IF(F3459="","",F3459-C3459)</f>
        <v>-8</v>
      </c>
      <c r="K3459" s="33" t="n">
        <f aca="false">IF(G3459="","",G3459-C3459)</f>
        <v>-7.61126554888012</v>
      </c>
      <c r="L3459" s="33" t="n">
        <f aca="false">IF(H3459="","",ABS(H3459))</f>
        <v>6</v>
      </c>
      <c r="M3459" s="33" t="n">
        <f aca="false">IF(I3459="","",ABS(I3459))</f>
        <v>10</v>
      </c>
      <c r="N3459" s="33" t="n">
        <f aca="false">IF(J3459="","",ABS(J3459))</f>
        <v>8</v>
      </c>
      <c r="O3459" s="33" t="n">
        <f aca="false">IF(K3459="","",ABS(K3459))</f>
        <v>7.61126554888012</v>
      </c>
      <c r="P3459" s="34" t="str">
        <f aca="false">IF(B3459&gt;=Eval_Start_Week,"YES","")</f>
        <v/>
      </c>
      <c r="Q3459" s="34" t="str">
        <f aca="false">IF(AND(B3459&gt;=Cal_Start_Week,B3459&lt;=Cal_End_Week),"YES","")</f>
        <v/>
      </c>
    </row>
    <row r="3460" customFormat="false" ht="15" hidden="false" customHeight="false" outlineLevel="0" collapsed="false">
      <c r="A3460" s="31" t="str">
        <f aca="false">Demand_History!C3460</f>
        <v>ELE-005</v>
      </c>
      <c r="B3460" s="31" t="n">
        <f aca="false">Demand_History!A3460</f>
        <v>27</v>
      </c>
      <c r="C3460" s="32" t="n">
        <f aca="false">Demand_History!D3460</f>
        <v>59</v>
      </c>
      <c r="D3460" s="33" t="n">
        <f aca="false">IF(B3460&gt;=2,C3459,"")</f>
        <v>59</v>
      </c>
      <c r="E3460" s="33" t="n">
        <f aca="false">IF(B3460&gt;=5,AVERAGE(C3456:C3459),"")</f>
        <v>52.75</v>
      </c>
      <c r="F3460" s="33" t="n">
        <f aca="false">IF(B3460&gt;=9,AVERAGE(C3452:C3459),"")</f>
        <v>52.375</v>
      </c>
      <c r="G3460" s="33" t="n">
        <f aca="false">IF(B3460=1,"",IF(B3460=2,C3459,SES_Alpha*C3459+(1-SES_Alpha)*G3459))</f>
        <v>53.6721141157839</v>
      </c>
      <c r="H3460" s="33" t="n">
        <f aca="false">IF(D3460="","",D3460-C3460)</f>
        <v>0</v>
      </c>
      <c r="I3460" s="33" t="n">
        <f aca="false">IF(E3460="","",E3460-C3460)</f>
        <v>-6.25</v>
      </c>
      <c r="J3460" s="33" t="n">
        <f aca="false">IF(F3460="","",F3460-C3460)</f>
        <v>-6.625</v>
      </c>
      <c r="K3460" s="33" t="n">
        <f aca="false">IF(G3460="","",G3460-C3460)</f>
        <v>-5.32788588421609</v>
      </c>
      <c r="L3460" s="33" t="n">
        <f aca="false">IF(H3460="","",ABS(H3460))</f>
        <v>0</v>
      </c>
      <c r="M3460" s="33" t="n">
        <f aca="false">IF(I3460="","",ABS(I3460))</f>
        <v>6.25</v>
      </c>
      <c r="N3460" s="33" t="n">
        <f aca="false">IF(J3460="","",ABS(J3460))</f>
        <v>6.625</v>
      </c>
      <c r="O3460" s="33" t="n">
        <f aca="false">IF(K3460="","",ABS(K3460))</f>
        <v>5.32788588421609</v>
      </c>
      <c r="P3460" s="34" t="str">
        <f aca="false">IF(B3460&gt;=Eval_Start_Week,"YES","")</f>
        <v/>
      </c>
      <c r="Q3460" s="34" t="str">
        <f aca="false">IF(AND(B3460&gt;=Cal_Start_Week,B3460&lt;=Cal_End_Week),"YES","")</f>
        <v/>
      </c>
    </row>
    <row r="3461" customFormat="false" ht="15" hidden="false" customHeight="false" outlineLevel="0" collapsed="false">
      <c r="A3461" s="31" t="str">
        <f aca="false">Demand_History!C3461</f>
        <v>ELE-005</v>
      </c>
      <c r="B3461" s="31" t="n">
        <f aca="false">Demand_History!A3461</f>
        <v>28</v>
      </c>
      <c r="C3461" s="32" t="n">
        <f aca="false">Demand_History!D3461</f>
        <v>50</v>
      </c>
      <c r="D3461" s="33" t="n">
        <f aca="false">IF(B3461&gt;=2,C3460,"")</f>
        <v>59</v>
      </c>
      <c r="E3461" s="33" t="n">
        <f aca="false">IF(B3461&gt;=5,AVERAGE(C3457:C3460),"")</f>
        <v>55.5</v>
      </c>
      <c r="F3461" s="33" t="n">
        <f aca="false">IF(B3461&gt;=9,AVERAGE(C3453:C3460),"")</f>
        <v>53.25</v>
      </c>
      <c r="G3461" s="33" t="n">
        <f aca="false">IF(B3461=1,"",IF(B3461=2,C3460,SES_Alpha*C3460+(1-SES_Alpha)*G3460))</f>
        <v>55.2704798810487</v>
      </c>
      <c r="H3461" s="33" t="n">
        <f aca="false">IF(D3461="","",D3461-C3461)</f>
        <v>9</v>
      </c>
      <c r="I3461" s="33" t="n">
        <f aca="false">IF(E3461="","",E3461-C3461)</f>
        <v>5.5</v>
      </c>
      <c r="J3461" s="33" t="n">
        <f aca="false">IF(F3461="","",F3461-C3461)</f>
        <v>3.25</v>
      </c>
      <c r="K3461" s="33" t="n">
        <f aca="false">IF(G3461="","",G3461-C3461)</f>
        <v>5.27047988104873</v>
      </c>
      <c r="L3461" s="33" t="n">
        <f aca="false">IF(H3461="","",ABS(H3461))</f>
        <v>9</v>
      </c>
      <c r="M3461" s="33" t="n">
        <f aca="false">IF(I3461="","",ABS(I3461))</f>
        <v>5.5</v>
      </c>
      <c r="N3461" s="33" t="n">
        <f aca="false">IF(J3461="","",ABS(J3461))</f>
        <v>3.25</v>
      </c>
      <c r="O3461" s="33" t="n">
        <f aca="false">IF(K3461="","",ABS(K3461))</f>
        <v>5.27047988104873</v>
      </c>
      <c r="P3461" s="34" t="str">
        <f aca="false">IF(B3461&gt;=Eval_Start_Week,"YES","")</f>
        <v/>
      </c>
      <c r="Q3461" s="34" t="str">
        <f aca="false">IF(AND(B3461&gt;=Cal_Start_Week,B3461&lt;=Cal_End_Week),"YES","")</f>
        <v/>
      </c>
    </row>
    <row r="3462" customFormat="false" ht="15" hidden="false" customHeight="false" outlineLevel="0" collapsed="false">
      <c r="A3462" s="31" t="str">
        <f aca="false">Demand_History!C3462</f>
        <v>ELE-005</v>
      </c>
      <c r="B3462" s="31" t="n">
        <f aca="false">Demand_History!A3462</f>
        <v>29</v>
      </c>
      <c r="C3462" s="32" t="n">
        <f aca="false">Demand_History!D3462</f>
        <v>49</v>
      </c>
      <c r="D3462" s="33" t="n">
        <f aca="false">IF(B3462&gt;=2,C3461,"")</f>
        <v>50</v>
      </c>
      <c r="E3462" s="33" t="n">
        <f aca="false">IF(B3462&gt;=5,AVERAGE(C3458:C3461),"")</f>
        <v>55.25</v>
      </c>
      <c r="F3462" s="33" t="n">
        <f aca="false">IF(B3462&gt;=9,AVERAGE(C3454:C3461),"")</f>
        <v>53.875</v>
      </c>
      <c r="G3462" s="33" t="n">
        <f aca="false">IF(B3462=1,"",IF(B3462=2,C3461,SES_Alpha*C3461+(1-SES_Alpha)*G3461))</f>
        <v>53.6893359167341</v>
      </c>
      <c r="H3462" s="33" t="n">
        <f aca="false">IF(D3462="","",D3462-C3462)</f>
        <v>1</v>
      </c>
      <c r="I3462" s="33" t="n">
        <f aca="false">IF(E3462="","",E3462-C3462)</f>
        <v>6.25</v>
      </c>
      <c r="J3462" s="33" t="n">
        <f aca="false">IF(F3462="","",F3462-C3462)</f>
        <v>4.875</v>
      </c>
      <c r="K3462" s="33" t="n">
        <f aca="false">IF(G3462="","",G3462-C3462)</f>
        <v>4.68933591673411</v>
      </c>
      <c r="L3462" s="33" t="n">
        <f aca="false">IF(H3462="","",ABS(H3462))</f>
        <v>1</v>
      </c>
      <c r="M3462" s="33" t="n">
        <f aca="false">IF(I3462="","",ABS(I3462))</f>
        <v>6.25</v>
      </c>
      <c r="N3462" s="33" t="n">
        <f aca="false">IF(J3462="","",ABS(J3462))</f>
        <v>4.875</v>
      </c>
      <c r="O3462" s="33" t="n">
        <f aca="false">IF(K3462="","",ABS(K3462))</f>
        <v>4.68933591673411</v>
      </c>
      <c r="P3462" s="34" t="str">
        <f aca="false">IF(B3462&gt;=Eval_Start_Week,"YES","")</f>
        <v/>
      </c>
      <c r="Q3462" s="34" t="str">
        <f aca="false">IF(AND(B3462&gt;=Cal_Start_Week,B3462&lt;=Cal_End_Week),"YES","")</f>
        <v/>
      </c>
    </row>
    <row r="3463" customFormat="false" ht="15" hidden="false" customHeight="false" outlineLevel="0" collapsed="false">
      <c r="A3463" s="31" t="str">
        <f aca="false">Demand_History!C3463</f>
        <v>ELE-005</v>
      </c>
      <c r="B3463" s="31" t="n">
        <f aca="false">Demand_History!A3463</f>
        <v>30</v>
      </c>
      <c r="C3463" s="32" t="n">
        <f aca="false">Demand_History!D3463</f>
        <v>52</v>
      </c>
      <c r="D3463" s="33" t="n">
        <f aca="false">IF(B3463&gt;=2,C3462,"")</f>
        <v>49</v>
      </c>
      <c r="E3463" s="33" t="n">
        <f aca="false">IF(B3463&gt;=5,AVERAGE(C3459:C3462),"")</f>
        <v>54.25</v>
      </c>
      <c r="F3463" s="33" t="n">
        <f aca="false">IF(B3463&gt;=9,AVERAGE(C3455:C3462),"")</f>
        <v>51.625</v>
      </c>
      <c r="G3463" s="33" t="n">
        <f aca="false">IF(B3463=1,"",IF(B3463=2,C3462,SES_Alpha*C3462+(1-SES_Alpha)*G3462))</f>
        <v>52.2825351417139</v>
      </c>
      <c r="H3463" s="33" t="n">
        <f aca="false">IF(D3463="","",D3463-C3463)</f>
        <v>-3</v>
      </c>
      <c r="I3463" s="33" t="n">
        <f aca="false">IF(E3463="","",E3463-C3463)</f>
        <v>2.25</v>
      </c>
      <c r="J3463" s="33" t="n">
        <f aca="false">IF(F3463="","",F3463-C3463)</f>
        <v>-0.375</v>
      </c>
      <c r="K3463" s="33" t="n">
        <f aca="false">IF(G3463="","",G3463-C3463)</f>
        <v>0.282535141713879</v>
      </c>
      <c r="L3463" s="33" t="n">
        <f aca="false">IF(H3463="","",ABS(H3463))</f>
        <v>3</v>
      </c>
      <c r="M3463" s="33" t="n">
        <f aca="false">IF(I3463="","",ABS(I3463))</f>
        <v>2.25</v>
      </c>
      <c r="N3463" s="33" t="n">
        <f aca="false">IF(J3463="","",ABS(J3463))</f>
        <v>0.375</v>
      </c>
      <c r="O3463" s="33" t="n">
        <f aca="false">IF(K3463="","",ABS(K3463))</f>
        <v>0.282535141713879</v>
      </c>
      <c r="P3463" s="34" t="str">
        <f aca="false">IF(B3463&gt;=Eval_Start_Week,"YES","")</f>
        <v/>
      </c>
      <c r="Q3463" s="34" t="str">
        <f aca="false">IF(AND(B3463&gt;=Cal_Start_Week,B3463&lt;=Cal_End_Week),"YES","")</f>
        <v/>
      </c>
    </row>
    <row r="3464" customFormat="false" ht="15" hidden="false" customHeight="false" outlineLevel="0" collapsed="false">
      <c r="A3464" s="31" t="str">
        <f aca="false">Demand_History!C3464</f>
        <v>ELE-005</v>
      </c>
      <c r="B3464" s="31" t="n">
        <f aca="false">Demand_History!A3464</f>
        <v>31</v>
      </c>
      <c r="C3464" s="32" t="n">
        <f aca="false">Demand_History!D3464</f>
        <v>58</v>
      </c>
      <c r="D3464" s="33" t="n">
        <f aca="false">IF(B3464&gt;=2,C3463,"")</f>
        <v>52</v>
      </c>
      <c r="E3464" s="33" t="n">
        <f aca="false">IF(B3464&gt;=5,AVERAGE(C3460:C3463),"")</f>
        <v>52.5</v>
      </c>
      <c r="F3464" s="33" t="n">
        <f aca="false">IF(B3464&gt;=9,AVERAGE(C3456:C3463),"")</f>
        <v>52.625</v>
      </c>
      <c r="G3464" s="33" t="n">
        <f aca="false">IF(B3464=1,"",IF(B3464=2,C3463,SES_Alpha*C3463+(1-SES_Alpha)*G3463))</f>
        <v>52.1977745991997</v>
      </c>
      <c r="H3464" s="33" t="n">
        <f aca="false">IF(D3464="","",D3464-C3464)</f>
        <v>-6</v>
      </c>
      <c r="I3464" s="33" t="n">
        <f aca="false">IF(E3464="","",E3464-C3464)</f>
        <v>-5.5</v>
      </c>
      <c r="J3464" s="33" t="n">
        <f aca="false">IF(F3464="","",F3464-C3464)</f>
        <v>-5.375</v>
      </c>
      <c r="K3464" s="33" t="n">
        <f aca="false">IF(G3464="","",G3464-C3464)</f>
        <v>-5.80222540080029</v>
      </c>
      <c r="L3464" s="33" t="n">
        <f aca="false">IF(H3464="","",ABS(H3464))</f>
        <v>6</v>
      </c>
      <c r="M3464" s="33" t="n">
        <f aca="false">IF(I3464="","",ABS(I3464))</f>
        <v>5.5</v>
      </c>
      <c r="N3464" s="33" t="n">
        <f aca="false">IF(J3464="","",ABS(J3464))</f>
        <v>5.375</v>
      </c>
      <c r="O3464" s="33" t="n">
        <f aca="false">IF(K3464="","",ABS(K3464))</f>
        <v>5.80222540080029</v>
      </c>
      <c r="P3464" s="34" t="str">
        <f aca="false">IF(B3464&gt;=Eval_Start_Week,"YES","")</f>
        <v/>
      </c>
      <c r="Q3464" s="34" t="str">
        <f aca="false">IF(AND(B3464&gt;=Cal_Start_Week,B3464&lt;=Cal_End_Week),"YES","")</f>
        <v/>
      </c>
    </row>
    <row r="3465" customFormat="false" ht="15" hidden="false" customHeight="false" outlineLevel="0" collapsed="false">
      <c r="A3465" s="31" t="str">
        <f aca="false">Demand_History!C3465</f>
        <v>ELE-005</v>
      </c>
      <c r="B3465" s="31" t="n">
        <f aca="false">Demand_History!A3465</f>
        <v>32</v>
      </c>
      <c r="C3465" s="32" t="n">
        <f aca="false">Demand_History!D3465</f>
        <v>56</v>
      </c>
      <c r="D3465" s="33" t="n">
        <f aca="false">IF(B3465&gt;=2,C3464,"")</f>
        <v>58</v>
      </c>
      <c r="E3465" s="33" t="n">
        <f aca="false">IF(B3465&gt;=5,AVERAGE(C3461:C3464),"")</f>
        <v>52.25</v>
      </c>
      <c r="F3465" s="33" t="n">
        <f aca="false">IF(B3465&gt;=9,AVERAGE(C3457:C3464),"")</f>
        <v>53.875</v>
      </c>
      <c r="G3465" s="33" t="n">
        <f aca="false">IF(B3465=1,"",IF(B3465=2,C3464,SES_Alpha*C3464+(1-SES_Alpha)*G3464))</f>
        <v>53.9384422194398</v>
      </c>
      <c r="H3465" s="33" t="n">
        <f aca="false">IF(D3465="","",D3465-C3465)</f>
        <v>2</v>
      </c>
      <c r="I3465" s="33" t="n">
        <f aca="false">IF(E3465="","",E3465-C3465)</f>
        <v>-3.75</v>
      </c>
      <c r="J3465" s="33" t="n">
        <f aca="false">IF(F3465="","",F3465-C3465)</f>
        <v>-2.125</v>
      </c>
      <c r="K3465" s="33" t="n">
        <f aca="false">IF(G3465="","",G3465-C3465)</f>
        <v>-2.06155778056021</v>
      </c>
      <c r="L3465" s="33" t="n">
        <f aca="false">IF(H3465="","",ABS(H3465))</f>
        <v>2</v>
      </c>
      <c r="M3465" s="33" t="n">
        <f aca="false">IF(I3465="","",ABS(I3465))</f>
        <v>3.75</v>
      </c>
      <c r="N3465" s="33" t="n">
        <f aca="false">IF(J3465="","",ABS(J3465))</f>
        <v>2.125</v>
      </c>
      <c r="O3465" s="33" t="n">
        <f aca="false">IF(K3465="","",ABS(K3465))</f>
        <v>2.06155778056021</v>
      </c>
      <c r="P3465" s="34" t="str">
        <f aca="false">IF(B3465&gt;=Eval_Start_Week,"YES","")</f>
        <v/>
      </c>
      <c r="Q3465" s="34" t="str">
        <f aca="false">IF(AND(B3465&gt;=Cal_Start_Week,B3465&lt;=Cal_End_Week),"YES","")</f>
        <v/>
      </c>
    </row>
    <row r="3466" customFormat="false" ht="15" hidden="false" customHeight="false" outlineLevel="0" collapsed="false">
      <c r="A3466" s="31" t="str">
        <f aca="false">Demand_History!C3466</f>
        <v>ELE-005</v>
      </c>
      <c r="B3466" s="31" t="n">
        <f aca="false">Demand_History!A3466</f>
        <v>33</v>
      </c>
      <c r="C3466" s="32" t="n">
        <f aca="false">Demand_History!D3466</f>
        <v>47</v>
      </c>
      <c r="D3466" s="33" t="n">
        <f aca="false">IF(B3466&gt;=2,C3465,"")</f>
        <v>56</v>
      </c>
      <c r="E3466" s="33" t="n">
        <f aca="false">IF(B3466&gt;=5,AVERAGE(C3462:C3465),"")</f>
        <v>53.75</v>
      </c>
      <c r="F3466" s="33" t="n">
        <f aca="false">IF(B3466&gt;=9,AVERAGE(C3458:C3465),"")</f>
        <v>54.5</v>
      </c>
      <c r="G3466" s="33" t="n">
        <f aca="false">IF(B3466=1,"",IF(B3466=2,C3465,SES_Alpha*C3465+(1-SES_Alpha)*G3465))</f>
        <v>54.5569095536079</v>
      </c>
      <c r="H3466" s="33" t="n">
        <f aca="false">IF(D3466="","",D3466-C3466)</f>
        <v>9</v>
      </c>
      <c r="I3466" s="33" t="n">
        <f aca="false">IF(E3466="","",E3466-C3466)</f>
        <v>6.75</v>
      </c>
      <c r="J3466" s="33" t="n">
        <f aca="false">IF(F3466="","",F3466-C3466)</f>
        <v>7.5</v>
      </c>
      <c r="K3466" s="33" t="n">
        <f aca="false">IF(G3466="","",G3466-C3466)</f>
        <v>7.55690955360785</v>
      </c>
      <c r="L3466" s="33" t="n">
        <f aca="false">IF(H3466="","",ABS(H3466))</f>
        <v>9</v>
      </c>
      <c r="M3466" s="33" t="n">
        <f aca="false">IF(I3466="","",ABS(I3466))</f>
        <v>6.75</v>
      </c>
      <c r="N3466" s="33" t="n">
        <f aca="false">IF(J3466="","",ABS(J3466))</f>
        <v>7.5</v>
      </c>
      <c r="O3466" s="33" t="n">
        <f aca="false">IF(K3466="","",ABS(K3466))</f>
        <v>7.55690955360785</v>
      </c>
      <c r="P3466" s="34" t="str">
        <f aca="false">IF(B3466&gt;=Eval_Start_Week,"YES","")</f>
        <v/>
      </c>
      <c r="Q3466" s="34" t="str">
        <f aca="false">IF(AND(B3466&gt;=Cal_Start_Week,B3466&lt;=Cal_End_Week),"YES","")</f>
        <v/>
      </c>
    </row>
    <row r="3467" customFormat="false" ht="15" hidden="false" customHeight="false" outlineLevel="0" collapsed="false">
      <c r="A3467" s="31" t="str">
        <f aca="false">Demand_History!C3467</f>
        <v>ELE-005</v>
      </c>
      <c r="B3467" s="31" t="n">
        <f aca="false">Demand_History!A3467</f>
        <v>34</v>
      </c>
      <c r="C3467" s="32" t="n">
        <f aca="false">Demand_History!D3467</f>
        <v>36</v>
      </c>
      <c r="D3467" s="33" t="n">
        <f aca="false">IF(B3467&gt;=2,C3466,"")</f>
        <v>47</v>
      </c>
      <c r="E3467" s="33" t="n">
        <f aca="false">IF(B3467&gt;=5,AVERAGE(C3463:C3466),"")</f>
        <v>53.25</v>
      </c>
      <c r="F3467" s="33" t="n">
        <f aca="false">IF(B3467&gt;=9,AVERAGE(C3459:C3466),"")</f>
        <v>53.75</v>
      </c>
      <c r="G3467" s="33" t="n">
        <f aca="false">IF(B3467=1,"",IF(B3467=2,C3466,SES_Alpha*C3466+(1-SES_Alpha)*G3466))</f>
        <v>52.2898366875255</v>
      </c>
      <c r="H3467" s="33" t="n">
        <f aca="false">IF(D3467="","",D3467-C3467)</f>
        <v>11</v>
      </c>
      <c r="I3467" s="33" t="n">
        <f aca="false">IF(E3467="","",E3467-C3467)</f>
        <v>17.25</v>
      </c>
      <c r="J3467" s="33" t="n">
        <f aca="false">IF(F3467="","",F3467-C3467)</f>
        <v>17.75</v>
      </c>
      <c r="K3467" s="33" t="n">
        <f aca="false">IF(G3467="","",G3467-C3467)</f>
        <v>16.2898366875255</v>
      </c>
      <c r="L3467" s="33" t="n">
        <f aca="false">IF(H3467="","",ABS(H3467))</f>
        <v>11</v>
      </c>
      <c r="M3467" s="33" t="n">
        <f aca="false">IF(I3467="","",ABS(I3467))</f>
        <v>17.25</v>
      </c>
      <c r="N3467" s="33" t="n">
        <f aca="false">IF(J3467="","",ABS(J3467))</f>
        <v>17.75</v>
      </c>
      <c r="O3467" s="33" t="n">
        <f aca="false">IF(K3467="","",ABS(K3467))</f>
        <v>16.2898366875255</v>
      </c>
      <c r="P3467" s="34" t="str">
        <f aca="false">IF(B3467&gt;=Eval_Start_Week,"YES","")</f>
        <v/>
      </c>
      <c r="Q3467" s="34" t="str">
        <f aca="false">IF(AND(B3467&gt;=Cal_Start_Week,B3467&lt;=Cal_End_Week),"YES","")</f>
        <v/>
      </c>
    </row>
    <row r="3468" customFormat="false" ht="15" hidden="false" customHeight="false" outlineLevel="0" collapsed="false">
      <c r="A3468" s="31" t="str">
        <f aca="false">Demand_History!C3468</f>
        <v>ELE-005</v>
      </c>
      <c r="B3468" s="31" t="n">
        <f aca="false">Demand_History!A3468</f>
        <v>35</v>
      </c>
      <c r="C3468" s="32" t="n">
        <f aca="false">Demand_History!D3468</f>
        <v>65</v>
      </c>
      <c r="D3468" s="33" t="n">
        <f aca="false">IF(B3468&gt;=2,C3467,"")</f>
        <v>36</v>
      </c>
      <c r="E3468" s="33" t="n">
        <f aca="false">IF(B3468&gt;=5,AVERAGE(C3464:C3467),"")</f>
        <v>49.25</v>
      </c>
      <c r="F3468" s="33" t="n">
        <f aca="false">IF(B3468&gt;=9,AVERAGE(C3460:C3467),"")</f>
        <v>50.875</v>
      </c>
      <c r="G3468" s="33" t="n">
        <f aca="false">IF(B3468=1,"",IF(B3468=2,C3467,SES_Alpha*C3467+(1-SES_Alpha)*G3467))</f>
        <v>47.4028856812678</v>
      </c>
      <c r="H3468" s="33" t="n">
        <f aca="false">IF(D3468="","",D3468-C3468)</f>
        <v>-29</v>
      </c>
      <c r="I3468" s="33" t="n">
        <f aca="false">IF(E3468="","",E3468-C3468)</f>
        <v>-15.75</v>
      </c>
      <c r="J3468" s="33" t="n">
        <f aca="false">IF(F3468="","",F3468-C3468)</f>
        <v>-14.125</v>
      </c>
      <c r="K3468" s="33" t="n">
        <f aca="false">IF(G3468="","",G3468-C3468)</f>
        <v>-17.5971143187322</v>
      </c>
      <c r="L3468" s="33" t="n">
        <f aca="false">IF(H3468="","",ABS(H3468))</f>
        <v>29</v>
      </c>
      <c r="M3468" s="33" t="n">
        <f aca="false">IF(I3468="","",ABS(I3468))</f>
        <v>15.75</v>
      </c>
      <c r="N3468" s="33" t="n">
        <f aca="false">IF(J3468="","",ABS(J3468))</f>
        <v>14.125</v>
      </c>
      <c r="O3468" s="33" t="n">
        <f aca="false">IF(K3468="","",ABS(K3468))</f>
        <v>17.5971143187322</v>
      </c>
      <c r="P3468" s="34" t="str">
        <f aca="false">IF(B3468&gt;=Eval_Start_Week,"YES","")</f>
        <v/>
      </c>
      <c r="Q3468" s="34" t="str">
        <f aca="false">IF(AND(B3468&gt;=Cal_Start_Week,B3468&lt;=Cal_End_Week),"YES","")</f>
        <v/>
      </c>
    </row>
    <row r="3469" customFormat="false" ht="15" hidden="false" customHeight="false" outlineLevel="0" collapsed="false">
      <c r="A3469" s="31" t="str">
        <f aca="false">Demand_History!C3469</f>
        <v>ELE-005</v>
      </c>
      <c r="B3469" s="31" t="n">
        <f aca="false">Demand_History!A3469</f>
        <v>36</v>
      </c>
      <c r="C3469" s="32" t="n">
        <f aca="false">Demand_History!D3469</f>
        <v>57</v>
      </c>
      <c r="D3469" s="33" t="n">
        <f aca="false">IF(B3469&gt;=2,C3468,"")</f>
        <v>65</v>
      </c>
      <c r="E3469" s="33" t="n">
        <f aca="false">IF(B3469&gt;=5,AVERAGE(C3465:C3468),"")</f>
        <v>51</v>
      </c>
      <c r="F3469" s="33" t="n">
        <f aca="false">IF(B3469&gt;=9,AVERAGE(C3461:C3468),"")</f>
        <v>51.625</v>
      </c>
      <c r="G3469" s="33" t="n">
        <f aca="false">IF(B3469=1,"",IF(B3469=2,C3468,SES_Alpha*C3468+(1-SES_Alpha)*G3468))</f>
        <v>52.6820199768875</v>
      </c>
      <c r="H3469" s="33" t="n">
        <f aca="false">IF(D3469="","",D3469-C3469)</f>
        <v>8</v>
      </c>
      <c r="I3469" s="33" t="n">
        <f aca="false">IF(E3469="","",E3469-C3469)</f>
        <v>-6</v>
      </c>
      <c r="J3469" s="33" t="n">
        <f aca="false">IF(F3469="","",F3469-C3469)</f>
        <v>-5.375</v>
      </c>
      <c r="K3469" s="33" t="n">
        <f aca="false">IF(G3469="","",G3469-C3469)</f>
        <v>-4.31798002311251</v>
      </c>
      <c r="L3469" s="33" t="n">
        <f aca="false">IF(H3469="","",ABS(H3469))</f>
        <v>8</v>
      </c>
      <c r="M3469" s="33" t="n">
        <f aca="false">IF(I3469="","",ABS(I3469))</f>
        <v>6</v>
      </c>
      <c r="N3469" s="33" t="n">
        <f aca="false">IF(J3469="","",ABS(J3469))</f>
        <v>5.375</v>
      </c>
      <c r="O3469" s="33" t="n">
        <f aca="false">IF(K3469="","",ABS(K3469))</f>
        <v>4.31798002311251</v>
      </c>
      <c r="P3469" s="34" t="str">
        <f aca="false">IF(B3469&gt;=Eval_Start_Week,"YES","")</f>
        <v/>
      </c>
      <c r="Q3469" s="34" t="str">
        <f aca="false">IF(AND(B3469&gt;=Cal_Start_Week,B3469&lt;=Cal_End_Week),"YES","")</f>
        <v/>
      </c>
    </row>
    <row r="3470" customFormat="false" ht="15" hidden="false" customHeight="false" outlineLevel="0" collapsed="false">
      <c r="A3470" s="31" t="str">
        <f aca="false">Demand_History!C3470</f>
        <v>ELE-005</v>
      </c>
      <c r="B3470" s="31" t="n">
        <f aca="false">Demand_History!A3470</f>
        <v>37</v>
      </c>
      <c r="C3470" s="32" t="n">
        <f aca="false">Demand_History!D3470</f>
        <v>52</v>
      </c>
      <c r="D3470" s="33" t="n">
        <f aca="false">IF(B3470&gt;=2,C3469,"")</f>
        <v>57</v>
      </c>
      <c r="E3470" s="33" t="n">
        <f aca="false">IF(B3470&gt;=5,AVERAGE(C3466:C3469),"")</f>
        <v>51.25</v>
      </c>
      <c r="F3470" s="33" t="n">
        <f aca="false">IF(B3470&gt;=9,AVERAGE(C3462:C3469),"")</f>
        <v>52.5</v>
      </c>
      <c r="G3470" s="33" t="n">
        <f aca="false">IF(B3470=1,"",IF(B3470=2,C3469,SES_Alpha*C3469+(1-SES_Alpha)*G3469))</f>
        <v>53.9774139838212</v>
      </c>
      <c r="H3470" s="33" t="n">
        <f aca="false">IF(D3470="","",D3470-C3470)</f>
        <v>5</v>
      </c>
      <c r="I3470" s="33" t="n">
        <f aca="false">IF(E3470="","",E3470-C3470)</f>
        <v>-0.75</v>
      </c>
      <c r="J3470" s="33" t="n">
        <f aca="false">IF(F3470="","",F3470-C3470)</f>
        <v>0.5</v>
      </c>
      <c r="K3470" s="33" t="n">
        <f aca="false">IF(G3470="","",G3470-C3470)</f>
        <v>1.97741398382124</v>
      </c>
      <c r="L3470" s="33" t="n">
        <f aca="false">IF(H3470="","",ABS(H3470))</f>
        <v>5</v>
      </c>
      <c r="M3470" s="33" t="n">
        <f aca="false">IF(I3470="","",ABS(I3470))</f>
        <v>0.75</v>
      </c>
      <c r="N3470" s="33" t="n">
        <f aca="false">IF(J3470="","",ABS(J3470))</f>
        <v>0.5</v>
      </c>
      <c r="O3470" s="33" t="n">
        <f aca="false">IF(K3470="","",ABS(K3470))</f>
        <v>1.97741398382124</v>
      </c>
      <c r="P3470" s="34" t="str">
        <f aca="false">IF(B3470&gt;=Eval_Start_Week,"YES","")</f>
        <v/>
      </c>
      <c r="Q3470" s="34" t="str">
        <f aca="false">IF(AND(B3470&gt;=Cal_Start_Week,B3470&lt;=Cal_End_Week),"YES","")</f>
        <v>YES</v>
      </c>
    </row>
    <row r="3471" customFormat="false" ht="15" hidden="false" customHeight="false" outlineLevel="0" collapsed="false">
      <c r="A3471" s="31" t="str">
        <f aca="false">Demand_History!C3471</f>
        <v>ELE-005</v>
      </c>
      <c r="B3471" s="31" t="n">
        <f aca="false">Demand_History!A3471</f>
        <v>38</v>
      </c>
      <c r="C3471" s="32" t="n">
        <f aca="false">Demand_History!D3471</f>
        <v>52</v>
      </c>
      <c r="D3471" s="33" t="n">
        <f aca="false">IF(B3471&gt;=2,C3470,"")</f>
        <v>52</v>
      </c>
      <c r="E3471" s="33" t="n">
        <f aca="false">IF(B3471&gt;=5,AVERAGE(C3467:C3470),"")</f>
        <v>52.5</v>
      </c>
      <c r="F3471" s="33" t="n">
        <f aca="false">IF(B3471&gt;=9,AVERAGE(C3463:C3470),"")</f>
        <v>52.875</v>
      </c>
      <c r="G3471" s="33" t="n">
        <f aca="false">IF(B3471=1,"",IF(B3471=2,C3470,SES_Alpha*C3470+(1-SES_Alpha)*G3470))</f>
        <v>53.3841897886749</v>
      </c>
      <c r="H3471" s="33" t="n">
        <f aca="false">IF(D3471="","",D3471-C3471)</f>
        <v>0</v>
      </c>
      <c r="I3471" s="33" t="n">
        <f aca="false">IF(E3471="","",E3471-C3471)</f>
        <v>0.5</v>
      </c>
      <c r="J3471" s="33" t="n">
        <f aca="false">IF(F3471="","",F3471-C3471)</f>
        <v>0.875</v>
      </c>
      <c r="K3471" s="33" t="n">
        <f aca="false">IF(G3471="","",G3471-C3471)</f>
        <v>1.38418978867487</v>
      </c>
      <c r="L3471" s="33" t="n">
        <f aca="false">IF(H3471="","",ABS(H3471))</f>
        <v>0</v>
      </c>
      <c r="M3471" s="33" t="n">
        <f aca="false">IF(I3471="","",ABS(I3471))</f>
        <v>0.5</v>
      </c>
      <c r="N3471" s="33" t="n">
        <f aca="false">IF(J3471="","",ABS(J3471))</f>
        <v>0.875</v>
      </c>
      <c r="O3471" s="33" t="n">
        <f aca="false">IF(K3471="","",ABS(K3471))</f>
        <v>1.38418978867487</v>
      </c>
      <c r="P3471" s="34" t="str">
        <f aca="false">IF(B3471&gt;=Eval_Start_Week,"YES","")</f>
        <v/>
      </c>
      <c r="Q3471" s="34" t="str">
        <f aca="false">IF(AND(B3471&gt;=Cal_Start_Week,B3471&lt;=Cal_End_Week),"YES","")</f>
        <v>YES</v>
      </c>
    </row>
    <row r="3472" customFormat="false" ht="15" hidden="false" customHeight="false" outlineLevel="0" collapsed="false">
      <c r="A3472" s="31" t="str">
        <f aca="false">Demand_History!C3472</f>
        <v>ELE-005</v>
      </c>
      <c r="B3472" s="31" t="n">
        <f aca="false">Demand_History!A3472</f>
        <v>39</v>
      </c>
      <c r="C3472" s="32" t="n">
        <f aca="false">Demand_History!D3472</f>
        <v>46</v>
      </c>
      <c r="D3472" s="33" t="n">
        <f aca="false">IF(B3472&gt;=2,C3471,"")</f>
        <v>52</v>
      </c>
      <c r="E3472" s="33" t="n">
        <f aca="false">IF(B3472&gt;=5,AVERAGE(C3468:C3471),"")</f>
        <v>56.5</v>
      </c>
      <c r="F3472" s="33" t="n">
        <f aca="false">IF(B3472&gt;=9,AVERAGE(C3464:C3471),"")</f>
        <v>52.875</v>
      </c>
      <c r="G3472" s="33" t="n">
        <f aca="false">IF(B3472=1,"",IF(B3472=2,C3471,SES_Alpha*C3471+(1-SES_Alpha)*G3471))</f>
        <v>52.9689328520724</v>
      </c>
      <c r="H3472" s="33" t="n">
        <f aca="false">IF(D3472="","",D3472-C3472)</f>
        <v>6</v>
      </c>
      <c r="I3472" s="33" t="n">
        <f aca="false">IF(E3472="","",E3472-C3472)</f>
        <v>10.5</v>
      </c>
      <c r="J3472" s="33" t="n">
        <f aca="false">IF(F3472="","",F3472-C3472)</f>
        <v>6.875</v>
      </c>
      <c r="K3472" s="33" t="n">
        <f aca="false">IF(G3472="","",G3472-C3472)</f>
        <v>6.96893285207241</v>
      </c>
      <c r="L3472" s="33" t="n">
        <f aca="false">IF(H3472="","",ABS(H3472))</f>
        <v>6</v>
      </c>
      <c r="M3472" s="33" t="n">
        <f aca="false">IF(I3472="","",ABS(I3472))</f>
        <v>10.5</v>
      </c>
      <c r="N3472" s="33" t="n">
        <f aca="false">IF(J3472="","",ABS(J3472))</f>
        <v>6.875</v>
      </c>
      <c r="O3472" s="33" t="n">
        <f aca="false">IF(K3472="","",ABS(K3472))</f>
        <v>6.96893285207241</v>
      </c>
      <c r="P3472" s="34" t="str">
        <f aca="false">IF(B3472&gt;=Eval_Start_Week,"YES","")</f>
        <v/>
      </c>
      <c r="Q3472" s="34" t="str">
        <f aca="false">IF(AND(B3472&gt;=Cal_Start_Week,B3472&lt;=Cal_End_Week),"YES","")</f>
        <v>YES</v>
      </c>
    </row>
    <row r="3473" customFormat="false" ht="15" hidden="false" customHeight="false" outlineLevel="0" collapsed="false">
      <c r="A3473" s="31" t="str">
        <f aca="false">Demand_History!C3473</f>
        <v>ELE-005</v>
      </c>
      <c r="B3473" s="31" t="n">
        <f aca="false">Demand_History!A3473</f>
        <v>40</v>
      </c>
      <c r="C3473" s="32" t="n">
        <f aca="false">Demand_History!D3473</f>
        <v>42</v>
      </c>
      <c r="D3473" s="33" t="n">
        <f aca="false">IF(B3473&gt;=2,C3472,"")</f>
        <v>46</v>
      </c>
      <c r="E3473" s="33" t="n">
        <f aca="false">IF(B3473&gt;=5,AVERAGE(C3469:C3472),"")</f>
        <v>51.75</v>
      </c>
      <c r="F3473" s="33" t="n">
        <f aca="false">IF(B3473&gt;=9,AVERAGE(C3465:C3472),"")</f>
        <v>51.375</v>
      </c>
      <c r="G3473" s="33" t="n">
        <f aca="false">IF(B3473=1,"",IF(B3473=2,C3472,SES_Alpha*C3472+(1-SES_Alpha)*G3472))</f>
        <v>50.8782529964507</v>
      </c>
      <c r="H3473" s="33" t="n">
        <f aca="false">IF(D3473="","",D3473-C3473)</f>
        <v>4</v>
      </c>
      <c r="I3473" s="33" t="n">
        <f aca="false">IF(E3473="","",E3473-C3473)</f>
        <v>9.75</v>
      </c>
      <c r="J3473" s="33" t="n">
        <f aca="false">IF(F3473="","",F3473-C3473)</f>
        <v>9.375</v>
      </c>
      <c r="K3473" s="33" t="n">
        <f aca="false">IF(G3473="","",G3473-C3473)</f>
        <v>8.87825299645068</v>
      </c>
      <c r="L3473" s="33" t="n">
        <f aca="false">IF(H3473="","",ABS(H3473))</f>
        <v>4</v>
      </c>
      <c r="M3473" s="33" t="n">
        <f aca="false">IF(I3473="","",ABS(I3473))</f>
        <v>9.75</v>
      </c>
      <c r="N3473" s="33" t="n">
        <f aca="false">IF(J3473="","",ABS(J3473))</f>
        <v>9.375</v>
      </c>
      <c r="O3473" s="33" t="n">
        <f aca="false">IF(K3473="","",ABS(K3473))</f>
        <v>8.87825299645068</v>
      </c>
      <c r="P3473" s="34" t="str">
        <f aca="false">IF(B3473&gt;=Eval_Start_Week,"YES","")</f>
        <v/>
      </c>
      <c r="Q3473" s="34" t="str">
        <f aca="false">IF(AND(B3473&gt;=Cal_Start_Week,B3473&lt;=Cal_End_Week),"YES","")</f>
        <v>YES</v>
      </c>
    </row>
    <row r="3474" customFormat="false" ht="15" hidden="false" customHeight="false" outlineLevel="0" collapsed="false">
      <c r="A3474" s="31" t="str">
        <f aca="false">Demand_History!C3474</f>
        <v>ELE-005</v>
      </c>
      <c r="B3474" s="31" t="n">
        <f aca="false">Demand_History!A3474</f>
        <v>41</v>
      </c>
      <c r="C3474" s="32" t="n">
        <f aca="false">Demand_History!D3474</f>
        <v>46</v>
      </c>
      <c r="D3474" s="33" t="n">
        <f aca="false">IF(B3474&gt;=2,C3473,"")</f>
        <v>42</v>
      </c>
      <c r="E3474" s="33" t="n">
        <f aca="false">IF(B3474&gt;=5,AVERAGE(C3470:C3473),"")</f>
        <v>48</v>
      </c>
      <c r="F3474" s="33" t="n">
        <f aca="false">IF(B3474&gt;=9,AVERAGE(C3466:C3473),"")</f>
        <v>49.625</v>
      </c>
      <c r="G3474" s="33" t="n">
        <f aca="false">IF(B3474=1,"",IF(B3474=2,C3473,SES_Alpha*C3473+(1-SES_Alpha)*G3473))</f>
        <v>48.2147770975155</v>
      </c>
      <c r="H3474" s="33" t="n">
        <f aca="false">IF(D3474="","",D3474-C3474)</f>
        <v>-4</v>
      </c>
      <c r="I3474" s="33" t="n">
        <f aca="false">IF(E3474="","",E3474-C3474)</f>
        <v>2</v>
      </c>
      <c r="J3474" s="33" t="n">
        <f aca="false">IF(F3474="","",F3474-C3474)</f>
        <v>3.625</v>
      </c>
      <c r="K3474" s="33" t="n">
        <f aca="false">IF(G3474="","",G3474-C3474)</f>
        <v>2.21477709751547</v>
      </c>
      <c r="L3474" s="33" t="n">
        <f aca="false">IF(H3474="","",ABS(H3474))</f>
        <v>4</v>
      </c>
      <c r="M3474" s="33" t="n">
        <f aca="false">IF(I3474="","",ABS(I3474))</f>
        <v>2</v>
      </c>
      <c r="N3474" s="33" t="n">
        <f aca="false">IF(J3474="","",ABS(J3474))</f>
        <v>3.625</v>
      </c>
      <c r="O3474" s="33" t="n">
        <f aca="false">IF(K3474="","",ABS(K3474))</f>
        <v>2.21477709751547</v>
      </c>
      <c r="P3474" s="34" t="str">
        <f aca="false">IF(B3474&gt;=Eval_Start_Week,"YES","")</f>
        <v/>
      </c>
      <c r="Q3474" s="34" t="str">
        <f aca="false">IF(AND(B3474&gt;=Cal_Start_Week,B3474&lt;=Cal_End_Week),"YES","")</f>
        <v>YES</v>
      </c>
    </row>
    <row r="3475" customFormat="false" ht="15" hidden="false" customHeight="false" outlineLevel="0" collapsed="false">
      <c r="A3475" s="31" t="str">
        <f aca="false">Demand_History!C3475</f>
        <v>ELE-005</v>
      </c>
      <c r="B3475" s="31" t="n">
        <f aca="false">Demand_History!A3475</f>
        <v>42</v>
      </c>
      <c r="C3475" s="32" t="n">
        <f aca="false">Demand_History!D3475</f>
        <v>47</v>
      </c>
      <c r="D3475" s="33" t="n">
        <f aca="false">IF(B3475&gt;=2,C3474,"")</f>
        <v>46</v>
      </c>
      <c r="E3475" s="33" t="n">
        <f aca="false">IF(B3475&gt;=5,AVERAGE(C3471:C3474),"")</f>
        <v>46.5</v>
      </c>
      <c r="F3475" s="33" t="n">
        <f aca="false">IF(B3475&gt;=9,AVERAGE(C3467:C3474),"")</f>
        <v>49.5</v>
      </c>
      <c r="G3475" s="33" t="n">
        <f aca="false">IF(B3475=1,"",IF(B3475=2,C3474,SES_Alpha*C3474+(1-SES_Alpha)*G3474))</f>
        <v>47.5503439682608</v>
      </c>
      <c r="H3475" s="33" t="n">
        <f aca="false">IF(D3475="","",D3475-C3475)</f>
        <v>-1</v>
      </c>
      <c r="I3475" s="33" t="n">
        <f aca="false">IF(E3475="","",E3475-C3475)</f>
        <v>-0.5</v>
      </c>
      <c r="J3475" s="33" t="n">
        <f aca="false">IF(F3475="","",F3475-C3475)</f>
        <v>2.5</v>
      </c>
      <c r="K3475" s="33" t="n">
        <f aca="false">IF(G3475="","",G3475-C3475)</f>
        <v>0.550343968260826</v>
      </c>
      <c r="L3475" s="33" t="n">
        <f aca="false">IF(H3475="","",ABS(H3475))</f>
        <v>1</v>
      </c>
      <c r="M3475" s="33" t="n">
        <f aca="false">IF(I3475="","",ABS(I3475))</f>
        <v>0.5</v>
      </c>
      <c r="N3475" s="33" t="n">
        <f aca="false">IF(J3475="","",ABS(J3475))</f>
        <v>2.5</v>
      </c>
      <c r="O3475" s="33" t="n">
        <f aca="false">IF(K3475="","",ABS(K3475))</f>
        <v>0.550343968260826</v>
      </c>
      <c r="P3475" s="34" t="str">
        <f aca="false">IF(B3475&gt;=Eval_Start_Week,"YES","")</f>
        <v/>
      </c>
      <c r="Q3475" s="34" t="str">
        <f aca="false">IF(AND(B3475&gt;=Cal_Start_Week,B3475&lt;=Cal_End_Week),"YES","")</f>
        <v>YES</v>
      </c>
    </row>
    <row r="3476" customFormat="false" ht="15" hidden="false" customHeight="false" outlineLevel="0" collapsed="false">
      <c r="A3476" s="31" t="str">
        <f aca="false">Demand_History!C3476</f>
        <v>ELE-005</v>
      </c>
      <c r="B3476" s="31" t="n">
        <f aca="false">Demand_History!A3476</f>
        <v>43</v>
      </c>
      <c r="C3476" s="32" t="n">
        <f aca="false">Demand_History!D3476</f>
        <v>44</v>
      </c>
      <c r="D3476" s="33" t="n">
        <f aca="false">IF(B3476&gt;=2,C3475,"")</f>
        <v>47</v>
      </c>
      <c r="E3476" s="33" t="n">
        <f aca="false">IF(B3476&gt;=5,AVERAGE(C3472:C3475),"")</f>
        <v>45.25</v>
      </c>
      <c r="F3476" s="33" t="n">
        <f aca="false">IF(B3476&gt;=9,AVERAGE(C3468:C3475),"")</f>
        <v>50.875</v>
      </c>
      <c r="G3476" s="33" t="n">
        <f aca="false">IF(B3476=1,"",IF(B3476=2,C3475,SES_Alpha*C3475+(1-SES_Alpha)*G3475))</f>
        <v>47.3852407777826</v>
      </c>
      <c r="H3476" s="33" t="n">
        <f aca="false">IF(D3476="","",D3476-C3476)</f>
        <v>3</v>
      </c>
      <c r="I3476" s="33" t="n">
        <f aca="false">IF(E3476="","",E3476-C3476)</f>
        <v>1.25</v>
      </c>
      <c r="J3476" s="33" t="n">
        <f aca="false">IF(F3476="","",F3476-C3476)</f>
        <v>6.875</v>
      </c>
      <c r="K3476" s="33" t="n">
        <f aca="false">IF(G3476="","",G3476-C3476)</f>
        <v>3.38524077778258</v>
      </c>
      <c r="L3476" s="33" t="n">
        <f aca="false">IF(H3476="","",ABS(H3476))</f>
        <v>3</v>
      </c>
      <c r="M3476" s="33" t="n">
        <f aca="false">IF(I3476="","",ABS(I3476))</f>
        <v>1.25</v>
      </c>
      <c r="N3476" s="33" t="n">
        <f aca="false">IF(J3476="","",ABS(J3476))</f>
        <v>6.875</v>
      </c>
      <c r="O3476" s="33" t="n">
        <f aca="false">IF(K3476="","",ABS(K3476))</f>
        <v>3.38524077778258</v>
      </c>
      <c r="P3476" s="34" t="str">
        <f aca="false">IF(B3476&gt;=Eval_Start_Week,"YES","")</f>
        <v/>
      </c>
      <c r="Q3476" s="34" t="str">
        <f aca="false">IF(AND(B3476&gt;=Cal_Start_Week,B3476&lt;=Cal_End_Week),"YES","")</f>
        <v>YES</v>
      </c>
    </row>
    <row r="3477" customFormat="false" ht="15" hidden="false" customHeight="false" outlineLevel="0" collapsed="false">
      <c r="A3477" s="31" t="str">
        <f aca="false">Demand_History!C3477</f>
        <v>ELE-005</v>
      </c>
      <c r="B3477" s="31" t="n">
        <f aca="false">Demand_History!A3477</f>
        <v>44</v>
      </c>
      <c r="C3477" s="32" t="n">
        <f aca="false">Demand_History!D3477</f>
        <v>38</v>
      </c>
      <c r="D3477" s="33" t="n">
        <f aca="false">IF(B3477&gt;=2,C3476,"")</f>
        <v>44</v>
      </c>
      <c r="E3477" s="33" t="n">
        <f aca="false">IF(B3477&gt;=5,AVERAGE(C3473:C3476),"")</f>
        <v>44.75</v>
      </c>
      <c r="F3477" s="33" t="n">
        <f aca="false">IF(B3477&gt;=9,AVERAGE(C3469:C3476),"")</f>
        <v>48.25</v>
      </c>
      <c r="G3477" s="33" t="n">
        <f aca="false">IF(B3477=1,"",IF(B3477=2,C3476,SES_Alpha*C3476+(1-SES_Alpha)*G3476))</f>
        <v>46.3696685444478</v>
      </c>
      <c r="H3477" s="33" t="n">
        <f aca="false">IF(D3477="","",D3477-C3477)</f>
        <v>6</v>
      </c>
      <c r="I3477" s="33" t="n">
        <f aca="false">IF(E3477="","",E3477-C3477)</f>
        <v>6.75</v>
      </c>
      <c r="J3477" s="33" t="n">
        <f aca="false">IF(F3477="","",F3477-C3477)</f>
        <v>10.25</v>
      </c>
      <c r="K3477" s="33" t="n">
        <f aca="false">IF(G3477="","",G3477-C3477)</f>
        <v>8.36966854444781</v>
      </c>
      <c r="L3477" s="33" t="n">
        <f aca="false">IF(H3477="","",ABS(H3477))</f>
        <v>6</v>
      </c>
      <c r="M3477" s="33" t="n">
        <f aca="false">IF(I3477="","",ABS(I3477))</f>
        <v>6.75</v>
      </c>
      <c r="N3477" s="33" t="n">
        <f aca="false">IF(J3477="","",ABS(J3477))</f>
        <v>10.25</v>
      </c>
      <c r="O3477" s="33" t="n">
        <f aca="false">IF(K3477="","",ABS(K3477))</f>
        <v>8.36966854444781</v>
      </c>
      <c r="P3477" s="34" t="str">
        <f aca="false">IF(B3477&gt;=Eval_Start_Week,"YES","")</f>
        <v/>
      </c>
      <c r="Q3477" s="34" t="str">
        <f aca="false">IF(AND(B3477&gt;=Cal_Start_Week,B3477&lt;=Cal_End_Week),"YES","")</f>
        <v>YES</v>
      </c>
    </row>
    <row r="3478" customFormat="false" ht="15" hidden="false" customHeight="false" outlineLevel="0" collapsed="false">
      <c r="A3478" s="31" t="str">
        <f aca="false">Demand_History!C3478</f>
        <v>ELE-005</v>
      </c>
      <c r="B3478" s="31" t="n">
        <f aca="false">Demand_History!A3478</f>
        <v>45</v>
      </c>
      <c r="C3478" s="32" t="n">
        <f aca="false">Demand_History!D3478</f>
        <v>45</v>
      </c>
      <c r="D3478" s="33" t="n">
        <f aca="false">IF(B3478&gt;=2,C3477,"")</f>
        <v>38</v>
      </c>
      <c r="E3478" s="33" t="n">
        <f aca="false">IF(B3478&gt;=5,AVERAGE(C3474:C3477),"")</f>
        <v>43.75</v>
      </c>
      <c r="F3478" s="33" t="n">
        <f aca="false">IF(B3478&gt;=9,AVERAGE(C3470:C3477),"")</f>
        <v>45.875</v>
      </c>
      <c r="G3478" s="33" t="n">
        <f aca="false">IF(B3478=1,"",IF(B3478=2,C3477,SES_Alpha*C3477+(1-SES_Alpha)*G3477))</f>
        <v>43.8587679811135</v>
      </c>
      <c r="H3478" s="33" t="n">
        <f aca="false">IF(D3478="","",D3478-C3478)</f>
        <v>-7</v>
      </c>
      <c r="I3478" s="33" t="n">
        <f aca="false">IF(E3478="","",E3478-C3478)</f>
        <v>-1.25</v>
      </c>
      <c r="J3478" s="33" t="n">
        <f aca="false">IF(F3478="","",F3478-C3478)</f>
        <v>0.875</v>
      </c>
      <c r="K3478" s="33" t="n">
        <f aca="false">IF(G3478="","",G3478-C3478)</f>
        <v>-1.14123201888654</v>
      </c>
      <c r="L3478" s="33" t="n">
        <f aca="false">IF(H3478="","",ABS(H3478))</f>
        <v>7</v>
      </c>
      <c r="M3478" s="33" t="n">
        <f aca="false">IF(I3478="","",ABS(I3478))</f>
        <v>1.25</v>
      </c>
      <c r="N3478" s="33" t="n">
        <f aca="false">IF(J3478="","",ABS(J3478))</f>
        <v>0.875</v>
      </c>
      <c r="O3478" s="33" t="n">
        <f aca="false">IF(K3478="","",ABS(K3478))</f>
        <v>1.14123201888654</v>
      </c>
      <c r="P3478" s="34" t="str">
        <f aca="false">IF(B3478&gt;=Eval_Start_Week,"YES","")</f>
        <v/>
      </c>
      <c r="Q3478" s="34" t="str">
        <f aca="false">IF(AND(B3478&gt;=Cal_Start_Week,B3478&lt;=Cal_End_Week),"YES","")</f>
        <v>YES</v>
      </c>
    </row>
    <row r="3479" customFormat="false" ht="15" hidden="false" customHeight="false" outlineLevel="0" collapsed="false">
      <c r="A3479" s="31" t="str">
        <f aca="false">Demand_History!C3479</f>
        <v>ELE-005</v>
      </c>
      <c r="B3479" s="31" t="n">
        <f aca="false">Demand_History!A3479</f>
        <v>46</v>
      </c>
      <c r="C3479" s="32" t="n">
        <f aca="false">Demand_History!D3479</f>
        <v>51</v>
      </c>
      <c r="D3479" s="33" t="n">
        <f aca="false">IF(B3479&gt;=2,C3478,"")</f>
        <v>45</v>
      </c>
      <c r="E3479" s="33" t="n">
        <f aca="false">IF(B3479&gt;=5,AVERAGE(C3475:C3478),"")</f>
        <v>43.5</v>
      </c>
      <c r="F3479" s="33" t="n">
        <f aca="false">IF(B3479&gt;=9,AVERAGE(C3471:C3478),"")</f>
        <v>45</v>
      </c>
      <c r="G3479" s="33" t="n">
        <f aca="false">IF(B3479=1,"",IF(B3479=2,C3478,SES_Alpha*C3478+(1-SES_Alpha)*G3478))</f>
        <v>44.2011375867794</v>
      </c>
      <c r="H3479" s="33" t="n">
        <f aca="false">IF(D3479="","",D3479-C3479)</f>
        <v>-6</v>
      </c>
      <c r="I3479" s="33" t="n">
        <f aca="false">IF(E3479="","",E3479-C3479)</f>
        <v>-7.5</v>
      </c>
      <c r="J3479" s="33" t="n">
        <f aca="false">IF(F3479="","",F3479-C3479)</f>
        <v>-6</v>
      </c>
      <c r="K3479" s="33" t="n">
        <f aca="false">IF(G3479="","",G3479-C3479)</f>
        <v>-6.79886241322058</v>
      </c>
      <c r="L3479" s="33" t="n">
        <f aca="false">IF(H3479="","",ABS(H3479))</f>
        <v>6</v>
      </c>
      <c r="M3479" s="33" t="n">
        <f aca="false">IF(I3479="","",ABS(I3479))</f>
        <v>7.5</v>
      </c>
      <c r="N3479" s="33" t="n">
        <f aca="false">IF(J3479="","",ABS(J3479))</f>
        <v>6</v>
      </c>
      <c r="O3479" s="33" t="n">
        <f aca="false">IF(K3479="","",ABS(K3479))</f>
        <v>6.79886241322058</v>
      </c>
      <c r="P3479" s="34" t="str">
        <f aca="false">IF(B3479&gt;=Eval_Start_Week,"YES","")</f>
        <v/>
      </c>
      <c r="Q3479" s="34" t="str">
        <f aca="false">IF(AND(B3479&gt;=Cal_Start_Week,B3479&lt;=Cal_End_Week),"YES","")</f>
        <v>YES</v>
      </c>
    </row>
    <row r="3480" customFormat="false" ht="15" hidden="false" customHeight="false" outlineLevel="0" collapsed="false">
      <c r="A3480" s="31" t="str">
        <f aca="false">Demand_History!C3480</f>
        <v>ELE-005</v>
      </c>
      <c r="B3480" s="31" t="n">
        <f aca="false">Demand_History!A3480</f>
        <v>47</v>
      </c>
      <c r="C3480" s="32" t="n">
        <f aca="false">Demand_History!D3480</f>
        <v>43</v>
      </c>
      <c r="D3480" s="33" t="n">
        <f aca="false">IF(B3480&gt;=2,C3479,"")</f>
        <v>51</v>
      </c>
      <c r="E3480" s="33" t="n">
        <f aca="false">IF(B3480&gt;=5,AVERAGE(C3476:C3479),"")</f>
        <v>44.5</v>
      </c>
      <c r="F3480" s="33" t="n">
        <f aca="false">IF(B3480&gt;=9,AVERAGE(C3472:C3479),"")</f>
        <v>44.875</v>
      </c>
      <c r="G3480" s="33" t="n">
        <f aca="false">IF(B3480=1,"",IF(B3480=2,C3479,SES_Alpha*C3479+(1-SES_Alpha)*G3479))</f>
        <v>46.2407963107456</v>
      </c>
      <c r="H3480" s="33" t="n">
        <f aca="false">IF(D3480="","",D3480-C3480)</f>
        <v>8</v>
      </c>
      <c r="I3480" s="33" t="n">
        <f aca="false">IF(E3480="","",E3480-C3480)</f>
        <v>1.5</v>
      </c>
      <c r="J3480" s="33" t="n">
        <f aca="false">IF(F3480="","",F3480-C3480)</f>
        <v>1.875</v>
      </c>
      <c r="K3480" s="33" t="n">
        <f aca="false">IF(G3480="","",G3480-C3480)</f>
        <v>3.24079631074559</v>
      </c>
      <c r="L3480" s="33" t="n">
        <f aca="false">IF(H3480="","",ABS(H3480))</f>
        <v>8</v>
      </c>
      <c r="M3480" s="33" t="n">
        <f aca="false">IF(I3480="","",ABS(I3480))</f>
        <v>1.5</v>
      </c>
      <c r="N3480" s="33" t="n">
        <f aca="false">IF(J3480="","",ABS(J3480))</f>
        <v>1.875</v>
      </c>
      <c r="O3480" s="33" t="n">
        <f aca="false">IF(K3480="","",ABS(K3480))</f>
        <v>3.24079631074559</v>
      </c>
      <c r="P3480" s="34" t="str">
        <f aca="false">IF(B3480&gt;=Eval_Start_Week,"YES","")</f>
        <v/>
      </c>
      <c r="Q3480" s="34" t="str">
        <f aca="false">IF(AND(B3480&gt;=Cal_Start_Week,B3480&lt;=Cal_End_Week),"YES","")</f>
        <v>YES</v>
      </c>
    </row>
    <row r="3481" customFormat="false" ht="15" hidden="false" customHeight="false" outlineLevel="0" collapsed="false">
      <c r="A3481" s="31" t="str">
        <f aca="false">Demand_History!C3481</f>
        <v>ELE-005</v>
      </c>
      <c r="B3481" s="31" t="n">
        <f aca="false">Demand_History!A3481</f>
        <v>48</v>
      </c>
      <c r="C3481" s="32" t="n">
        <f aca="false">Demand_History!D3481</f>
        <v>47</v>
      </c>
      <c r="D3481" s="33" t="n">
        <f aca="false">IF(B3481&gt;=2,C3480,"")</f>
        <v>43</v>
      </c>
      <c r="E3481" s="33" t="n">
        <f aca="false">IF(B3481&gt;=5,AVERAGE(C3477:C3480),"")</f>
        <v>44.25</v>
      </c>
      <c r="F3481" s="33" t="n">
        <f aca="false">IF(B3481&gt;=9,AVERAGE(C3473:C3480),"")</f>
        <v>44.5</v>
      </c>
      <c r="G3481" s="33" t="n">
        <f aca="false">IF(B3481=1,"",IF(B3481=2,C3480,SES_Alpha*C3480+(1-SES_Alpha)*G3480))</f>
        <v>45.2685574175219</v>
      </c>
      <c r="H3481" s="33" t="n">
        <f aca="false">IF(D3481="","",D3481-C3481)</f>
        <v>-4</v>
      </c>
      <c r="I3481" s="33" t="n">
        <f aca="false">IF(E3481="","",E3481-C3481)</f>
        <v>-2.75</v>
      </c>
      <c r="J3481" s="33" t="n">
        <f aca="false">IF(F3481="","",F3481-C3481)</f>
        <v>-2.5</v>
      </c>
      <c r="K3481" s="33" t="n">
        <f aca="false">IF(G3481="","",G3481-C3481)</f>
        <v>-1.73144258247809</v>
      </c>
      <c r="L3481" s="33" t="n">
        <f aca="false">IF(H3481="","",ABS(H3481))</f>
        <v>4</v>
      </c>
      <c r="M3481" s="33" t="n">
        <f aca="false">IF(I3481="","",ABS(I3481))</f>
        <v>2.75</v>
      </c>
      <c r="N3481" s="33" t="n">
        <f aca="false">IF(J3481="","",ABS(J3481))</f>
        <v>2.5</v>
      </c>
      <c r="O3481" s="33" t="n">
        <f aca="false">IF(K3481="","",ABS(K3481))</f>
        <v>1.73144258247809</v>
      </c>
      <c r="P3481" s="34" t="str">
        <f aca="false">IF(B3481&gt;=Eval_Start_Week,"YES","")</f>
        <v/>
      </c>
      <c r="Q3481" s="34" t="str">
        <f aca="false">IF(AND(B3481&gt;=Cal_Start_Week,B3481&lt;=Cal_End_Week),"YES","")</f>
        <v>YES</v>
      </c>
    </row>
    <row r="3482" customFormat="false" ht="15" hidden="false" customHeight="false" outlineLevel="0" collapsed="false">
      <c r="A3482" s="31" t="str">
        <f aca="false">Demand_History!C3482</f>
        <v>ELE-005</v>
      </c>
      <c r="B3482" s="31" t="n">
        <f aca="false">Demand_History!A3482</f>
        <v>49</v>
      </c>
      <c r="C3482" s="32" t="n">
        <f aca="false">Demand_History!D3482</f>
        <v>33</v>
      </c>
      <c r="D3482" s="33" t="n">
        <f aca="false">IF(B3482&gt;=2,C3481,"")</f>
        <v>47</v>
      </c>
      <c r="E3482" s="33" t="n">
        <f aca="false">IF(B3482&gt;=5,AVERAGE(C3478:C3481),"")</f>
        <v>46.5</v>
      </c>
      <c r="F3482" s="33" t="n">
        <f aca="false">IF(B3482&gt;=9,AVERAGE(C3474:C3481),"")</f>
        <v>45.125</v>
      </c>
      <c r="G3482" s="33" t="n">
        <f aca="false">IF(B3482=1,"",IF(B3482=2,C3481,SES_Alpha*C3481+(1-SES_Alpha)*G3481))</f>
        <v>45.7879901922653</v>
      </c>
      <c r="H3482" s="33" t="n">
        <f aca="false">IF(D3482="","",D3482-C3482)</f>
        <v>14</v>
      </c>
      <c r="I3482" s="33" t="n">
        <f aca="false">IF(E3482="","",E3482-C3482)</f>
        <v>13.5</v>
      </c>
      <c r="J3482" s="33" t="n">
        <f aca="false">IF(F3482="","",F3482-C3482)</f>
        <v>12.125</v>
      </c>
      <c r="K3482" s="33" t="n">
        <f aca="false">IF(G3482="","",G3482-C3482)</f>
        <v>12.7879901922653</v>
      </c>
      <c r="L3482" s="33" t="n">
        <f aca="false">IF(H3482="","",ABS(H3482))</f>
        <v>14</v>
      </c>
      <c r="M3482" s="33" t="n">
        <f aca="false">IF(I3482="","",ABS(I3482))</f>
        <v>13.5</v>
      </c>
      <c r="N3482" s="33" t="n">
        <f aca="false">IF(J3482="","",ABS(J3482))</f>
        <v>12.125</v>
      </c>
      <c r="O3482" s="33" t="n">
        <f aca="false">IF(K3482="","",ABS(K3482))</f>
        <v>12.7879901922653</v>
      </c>
      <c r="P3482" s="34" t="str">
        <f aca="false">IF(B3482&gt;=Eval_Start_Week,"YES","")</f>
        <v/>
      </c>
      <c r="Q3482" s="34" t="str">
        <f aca="false">IF(AND(B3482&gt;=Cal_Start_Week,B3482&lt;=Cal_End_Week),"YES","")</f>
        <v>YES</v>
      </c>
    </row>
    <row r="3483" customFormat="false" ht="15" hidden="false" customHeight="false" outlineLevel="0" collapsed="false">
      <c r="A3483" s="31" t="str">
        <f aca="false">Demand_History!C3483</f>
        <v>ELE-005</v>
      </c>
      <c r="B3483" s="31" t="n">
        <f aca="false">Demand_History!A3483</f>
        <v>50</v>
      </c>
      <c r="C3483" s="32" t="n">
        <f aca="false">Demand_History!D3483</f>
        <v>44</v>
      </c>
      <c r="D3483" s="33" t="n">
        <f aca="false">IF(B3483&gt;=2,C3482,"")</f>
        <v>33</v>
      </c>
      <c r="E3483" s="33" t="n">
        <f aca="false">IF(B3483&gt;=5,AVERAGE(C3479:C3482),"")</f>
        <v>43.5</v>
      </c>
      <c r="F3483" s="33" t="n">
        <f aca="false">IF(B3483&gt;=9,AVERAGE(C3475:C3482),"")</f>
        <v>43.5</v>
      </c>
      <c r="G3483" s="33" t="n">
        <f aca="false">IF(B3483=1,"",IF(B3483=2,C3482,SES_Alpha*C3482+(1-SES_Alpha)*G3482))</f>
        <v>41.9515931345857</v>
      </c>
      <c r="H3483" s="33" t="n">
        <f aca="false">IF(D3483="","",D3483-C3483)</f>
        <v>-11</v>
      </c>
      <c r="I3483" s="33" t="n">
        <f aca="false">IF(E3483="","",E3483-C3483)</f>
        <v>-0.5</v>
      </c>
      <c r="J3483" s="33" t="n">
        <f aca="false">IF(F3483="","",F3483-C3483)</f>
        <v>-0.5</v>
      </c>
      <c r="K3483" s="33" t="n">
        <f aca="false">IF(G3483="","",G3483-C3483)</f>
        <v>-2.04840686541427</v>
      </c>
      <c r="L3483" s="33" t="n">
        <f aca="false">IF(H3483="","",ABS(H3483))</f>
        <v>11</v>
      </c>
      <c r="M3483" s="33" t="n">
        <f aca="false">IF(I3483="","",ABS(I3483))</f>
        <v>0.5</v>
      </c>
      <c r="N3483" s="33" t="n">
        <f aca="false">IF(J3483="","",ABS(J3483))</f>
        <v>0.5</v>
      </c>
      <c r="O3483" s="33" t="n">
        <f aca="false">IF(K3483="","",ABS(K3483))</f>
        <v>2.04840686541427</v>
      </c>
      <c r="P3483" s="34" t="str">
        <f aca="false">IF(B3483&gt;=Eval_Start_Week,"YES","")</f>
        <v/>
      </c>
      <c r="Q3483" s="34" t="str">
        <f aca="false">IF(AND(B3483&gt;=Cal_Start_Week,B3483&lt;=Cal_End_Week),"YES","")</f>
        <v>YES</v>
      </c>
    </row>
    <row r="3484" customFormat="false" ht="15" hidden="false" customHeight="false" outlineLevel="0" collapsed="false">
      <c r="A3484" s="31" t="str">
        <f aca="false">Demand_History!C3484</f>
        <v>ELE-005</v>
      </c>
      <c r="B3484" s="31" t="n">
        <f aca="false">Demand_History!A3484</f>
        <v>51</v>
      </c>
      <c r="C3484" s="32" t="n">
        <f aca="false">Demand_History!D3484</f>
        <v>45</v>
      </c>
      <c r="D3484" s="33" t="n">
        <f aca="false">IF(B3484&gt;=2,C3483,"")</f>
        <v>44</v>
      </c>
      <c r="E3484" s="33" t="n">
        <f aca="false">IF(B3484&gt;=5,AVERAGE(C3480:C3483),"")</f>
        <v>41.75</v>
      </c>
      <c r="F3484" s="33" t="n">
        <f aca="false">IF(B3484&gt;=9,AVERAGE(C3476:C3483),"")</f>
        <v>43.125</v>
      </c>
      <c r="G3484" s="33" t="n">
        <f aca="false">IF(B3484=1,"",IF(B3484=2,C3483,SES_Alpha*C3483+(1-SES_Alpha)*G3483))</f>
        <v>42.56611519421</v>
      </c>
      <c r="H3484" s="33" t="n">
        <f aca="false">IF(D3484="","",D3484-C3484)</f>
        <v>-1</v>
      </c>
      <c r="I3484" s="33" t="n">
        <f aca="false">IF(E3484="","",E3484-C3484)</f>
        <v>-3.25</v>
      </c>
      <c r="J3484" s="33" t="n">
        <f aca="false">IF(F3484="","",F3484-C3484)</f>
        <v>-1.875</v>
      </c>
      <c r="K3484" s="33" t="n">
        <f aca="false">IF(G3484="","",G3484-C3484)</f>
        <v>-2.43388480578999</v>
      </c>
      <c r="L3484" s="33" t="n">
        <f aca="false">IF(H3484="","",ABS(H3484))</f>
        <v>1</v>
      </c>
      <c r="M3484" s="33" t="n">
        <f aca="false">IF(I3484="","",ABS(I3484))</f>
        <v>3.25</v>
      </c>
      <c r="N3484" s="33" t="n">
        <f aca="false">IF(J3484="","",ABS(J3484))</f>
        <v>1.875</v>
      </c>
      <c r="O3484" s="33" t="n">
        <f aca="false">IF(K3484="","",ABS(K3484))</f>
        <v>2.43388480578999</v>
      </c>
      <c r="P3484" s="34" t="str">
        <f aca="false">IF(B3484&gt;=Eval_Start_Week,"YES","")</f>
        <v/>
      </c>
      <c r="Q3484" s="34" t="str">
        <f aca="false">IF(AND(B3484&gt;=Cal_Start_Week,B3484&lt;=Cal_End_Week),"YES","")</f>
        <v>YES</v>
      </c>
    </row>
    <row r="3485" customFormat="false" ht="15" hidden="false" customHeight="false" outlineLevel="0" collapsed="false">
      <c r="A3485" s="31" t="str">
        <f aca="false">Demand_History!C3485</f>
        <v>ELE-005</v>
      </c>
      <c r="B3485" s="31" t="n">
        <f aca="false">Demand_History!A3485</f>
        <v>52</v>
      </c>
      <c r="C3485" s="32" t="n">
        <f aca="false">Demand_History!D3485</f>
        <v>37</v>
      </c>
      <c r="D3485" s="33" t="n">
        <f aca="false">IF(B3485&gt;=2,C3484,"")</f>
        <v>45</v>
      </c>
      <c r="E3485" s="33" t="n">
        <f aca="false">IF(B3485&gt;=5,AVERAGE(C3481:C3484),"")</f>
        <v>42.25</v>
      </c>
      <c r="F3485" s="33" t="n">
        <f aca="false">IF(B3485&gt;=9,AVERAGE(C3477:C3484),"")</f>
        <v>43.25</v>
      </c>
      <c r="G3485" s="33" t="n">
        <f aca="false">IF(B3485=1,"",IF(B3485=2,C3484,SES_Alpha*C3484+(1-SES_Alpha)*G3484))</f>
        <v>43.296280635947</v>
      </c>
      <c r="H3485" s="33" t="n">
        <f aca="false">IF(D3485="","",D3485-C3485)</f>
        <v>8</v>
      </c>
      <c r="I3485" s="33" t="n">
        <f aca="false">IF(E3485="","",E3485-C3485)</f>
        <v>5.25</v>
      </c>
      <c r="J3485" s="33" t="n">
        <f aca="false">IF(F3485="","",F3485-C3485)</f>
        <v>6.25</v>
      </c>
      <c r="K3485" s="33" t="n">
        <f aca="false">IF(G3485="","",G3485-C3485)</f>
        <v>6.296280635947</v>
      </c>
      <c r="L3485" s="33" t="n">
        <f aca="false">IF(H3485="","",ABS(H3485))</f>
        <v>8</v>
      </c>
      <c r="M3485" s="33" t="n">
        <f aca="false">IF(I3485="","",ABS(I3485))</f>
        <v>5.25</v>
      </c>
      <c r="N3485" s="33" t="n">
        <f aca="false">IF(J3485="","",ABS(J3485))</f>
        <v>6.25</v>
      </c>
      <c r="O3485" s="33" t="n">
        <f aca="false">IF(K3485="","",ABS(K3485))</f>
        <v>6.296280635947</v>
      </c>
      <c r="P3485" s="34" t="str">
        <f aca="false">IF(B3485&gt;=Eval_Start_Week,"YES","")</f>
        <v/>
      </c>
      <c r="Q3485" s="34" t="str">
        <f aca="false">IF(AND(B3485&gt;=Cal_Start_Week,B3485&lt;=Cal_End_Week),"YES","")</f>
        <v>YES</v>
      </c>
    </row>
    <row r="3486" customFormat="false" ht="15" hidden="false" customHeight="false" outlineLevel="0" collapsed="false">
      <c r="A3486" s="31" t="str">
        <f aca="false">Demand_History!C3486</f>
        <v>ELE-005</v>
      </c>
      <c r="B3486" s="31" t="n">
        <f aca="false">Demand_History!A3486</f>
        <v>53</v>
      </c>
      <c r="C3486" s="32" t="n">
        <f aca="false">Demand_History!D3486</f>
        <v>34</v>
      </c>
      <c r="D3486" s="33" t="n">
        <f aca="false">IF(B3486&gt;=2,C3485,"")</f>
        <v>37</v>
      </c>
      <c r="E3486" s="33" t="n">
        <f aca="false">IF(B3486&gt;=5,AVERAGE(C3482:C3485),"")</f>
        <v>39.75</v>
      </c>
      <c r="F3486" s="33" t="n">
        <f aca="false">IF(B3486&gt;=9,AVERAGE(C3478:C3485),"")</f>
        <v>43.125</v>
      </c>
      <c r="G3486" s="33" t="n">
        <f aca="false">IF(B3486=1,"",IF(B3486=2,C3485,SES_Alpha*C3485+(1-SES_Alpha)*G3485))</f>
        <v>41.4073964451629</v>
      </c>
      <c r="H3486" s="33" t="n">
        <f aca="false">IF(D3486="","",D3486-C3486)</f>
        <v>3</v>
      </c>
      <c r="I3486" s="33" t="n">
        <f aca="false">IF(E3486="","",E3486-C3486)</f>
        <v>5.75</v>
      </c>
      <c r="J3486" s="33" t="n">
        <f aca="false">IF(F3486="","",F3486-C3486)</f>
        <v>9.125</v>
      </c>
      <c r="K3486" s="33" t="n">
        <f aca="false">IF(G3486="","",G3486-C3486)</f>
        <v>7.4073964451629</v>
      </c>
      <c r="L3486" s="33" t="n">
        <f aca="false">IF(H3486="","",ABS(H3486))</f>
        <v>3</v>
      </c>
      <c r="M3486" s="33" t="n">
        <f aca="false">IF(I3486="","",ABS(I3486))</f>
        <v>5.75</v>
      </c>
      <c r="N3486" s="33" t="n">
        <f aca="false">IF(J3486="","",ABS(J3486))</f>
        <v>9.125</v>
      </c>
      <c r="O3486" s="33" t="n">
        <f aca="false">IF(K3486="","",ABS(K3486))</f>
        <v>7.4073964451629</v>
      </c>
      <c r="P3486" s="34" t="str">
        <f aca="false">IF(B3486&gt;=Eval_Start_Week,"YES","")</f>
        <v>YES</v>
      </c>
      <c r="Q3486" s="34" t="str">
        <f aca="false">IF(AND(B3486&gt;=Cal_Start_Week,B3486&lt;=Cal_End_Week),"YES","")</f>
        <v>YES</v>
      </c>
    </row>
    <row r="3487" customFormat="false" ht="15" hidden="false" customHeight="false" outlineLevel="0" collapsed="false">
      <c r="A3487" s="31" t="str">
        <f aca="false">Demand_History!C3487</f>
        <v>ELE-005</v>
      </c>
      <c r="B3487" s="31" t="n">
        <f aca="false">Demand_History!A3487</f>
        <v>54</v>
      </c>
      <c r="C3487" s="32" t="n">
        <f aca="false">Demand_History!D3487</f>
        <v>47</v>
      </c>
      <c r="D3487" s="33" t="n">
        <f aca="false">IF(B3487&gt;=2,C3486,"")</f>
        <v>34</v>
      </c>
      <c r="E3487" s="33" t="n">
        <f aca="false">IF(B3487&gt;=5,AVERAGE(C3483:C3486),"")</f>
        <v>40</v>
      </c>
      <c r="F3487" s="33" t="n">
        <f aca="false">IF(B3487&gt;=9,AVERAGE(C3479:C3486),"")</f>
        <v>41.75</v>
      </c>
      <c r="G3487" s="33" t="n">
        <f aca="false">IF(B3487=1,"",IF(B3487=2,C3486,SES_Alpha*C3486+(1-SES_Alpha)*G3486))</f>
        <v>39.185177511614</v>
      </c>
      <c r="H3487" s="33" t="n">
        <f aca="false">IF(D3487="","",D3487-C3487)</f>
        <v>-13</v>
      </c>
      <c r="I3487" s="33" t="n">
        <f aca="false">IF(E3487="","",E3487-C3487)</f>
        <v>-7</v>
      </c>
      <c r="J3487" s="33" t="n">
        <f aca="false">IF(F3487="","",F3487-C3487)</f>
        <v>-5.25</v>
      </c>
      <c r="K3487" s="33" t="n">
        <f aca="false">IF(G3487="","",G3487-C3487)</f>
        <v>-7.81482248838597</v>
      </c>
      <c r="L3487" s="33" t="n">
        <f aca="false">IF(H3487="","",ABS(H3487))</f>
        <v>13</v>
      </c>
      <c r="M3487" s="33" t="n">
        <f aca="false">IF(I3487="","",ABS(I3487))</f>
        <v>7</v>
      </c>
      <c r="N3487" s="33" t="n">
        <f aca="false">IF(J3487="","",ABS(J3487))</f>
        <v>5.25</v>
      </c>
      <c r="O3487" s="33" t="n">
        <f aca="false">IF(K3487="","",ABS(K3487))</f>
        <v>7.81482248838597</v>
      </c>
      <c r="P3487" s="34" t="str">
        <f aca="false">IF(B3487&gt;=Eval_Start_Week,"YES","")</f>
        <v>YES</v>
      </c>
      <c r="Q3487" s="34" t="str">
        <f aca="false">IF(AND(B3487&gt;=Cal_Start_Week,B3487&lt;=Cal_End_Week),"YES","")</f>
        <v>YES</v>
      </c>
    </row>
    <row r="3488" customFormat="false" ht="15" hidden="false" customHeight="false" outlineLevel="0" collapsed="false">
      <c r="A3488" s="31" t="str">
        <f aca="false">Demand_History!C3488</f>
        <v>ELE-005</v>
      </c>
      <c r="B3488" s="31" t="n">
        <f aca="false">Demand_History!A3488</f>
        <v>55</v>
      </c>
      <c r="C3488" s="32" t="n">
        <f aca="false">Demand_History!D3488</f>
        <v>39</v>
      </c>
      <c r="D3488" s="33" t="n">
        <f aca="false">IF(B3488&gt;=2,C3487,"")</f>
        <v>47</v>
      </c>
      <c r="E3488" s="33" t="n">
        <f aca="false">IF(B3488&gt;=5,AVERAGE(C3484:C3487),"")</f>
        <v>40.75</v>
      </c>
      <c r="F3488" s="33" t="n">
        <f aca="false">IF(B3488&gt;=9,AVERAGE(C3480:C3487),"")</f>
        <v>41.25</v>
      </c>
      <c r="G3488" s="33" t="n">
        <f aca="false">IF(B3488=1,"",IF(B3488=2,C3487,SES_Alpha*C3487+(1-SES_Alpha)*G3487))</f>
        <v>41.5296242581298</v>
      </c>
      <c r="H3488" s="33" t="n">
        <f aca="false">IF(D3488="","",D3488-C3488)</f>
        <v>8</v>
      </c>
      <c r="I3488" s="33" t="n">
        <f aca="false">IF(E3488="","",E3488-C3488)</f>
        <v>1.75</v>
      </c>
      <c r="J3488" s="33" t="n">
        <f aca="false">IF(F3488="","",F3488-C3488)</f>
        <v>2.25</v>
      </c>
      <c r="K3488" s="33" t="n">
        <f aca="false">IF(G3488="","",G3488-C3488)</f>
        <v>2.52962425812982</v>
      </c>
      <c r="L3488" s="33" t="n">
        <f aca="false">IF(H3488="","",ABS(H3488))</f>
        <v>8</v>
      </c>
      <c r="M3488" s="33" t="n">
        <f aca="false">IF(I3488="","",ABS(I3488))</f>
        <v>1.75</v>
      </c>
      <c r="N3488" s="33" t="n">
        <f aca="false">IF(J3488="","",ABS(J3488))</f>
        <v>2.25</v>
      </c>
      <c r="O3488" s="33" t="n">
        <f aca="false">IF(K3488="","",ABS(K3488))</f>
        <v>2.52962425812982</v>
      </c>
      <c r="P3488" s="34" t="str">
        <f aca="false">IF(B3488&gt;=Eval_Start_Week,"YES","")</f>
        <v>YES</v>
      </c>
      <c r="Q3488" s="34" t="str">
        <f aca="false">IF(AND(B3488&gt;=Cal_Start_Week,B3488&lt;=Cal_End_Week),"YES","")</f>
        <v>YES</v>
      </c>
    </row>
    <row r="3489" customFormat="false" ht="15" hidden="false" customHeight="false" outlineLevel="0" collapsed="false">
      <c r="A3489" s="31" t="str">
        <f aca="false">Demand_History!C3489</f>
        <v>ELE-005</v>
      </c>
      <c r="B3489" s="31" t="n">
        <f aca="false">Demand_History!A3489</f>
        <v>56</v>
      </c>
      <c r="C3489" s="32" t="n">
        <f aca="false">Demand_History!D3489</f>
        <v>47</v>
      </c>
      <c r="D3489" s="33" t="n">
        <f aca="false">IF(B3489&gt;=2,C3488,"")</f>
        <v>39</v>
      </c>
      <c r="E3489" s="33" t="n">
        <f aca="false">IF(B3489&gt;=5,AVERAGE(C3485:C3488),"")</f>
        <v>39.25</v>
      </c>
      <c r="F3489" s="33" t="n">
        <f aca="false">IF(B3489&gt;=9,AVERAGE(C3481:C3488),"")</f>
        <v>40.75</v>
      </c>
      <c r="G3489" s="33" t="n">
        <f aca="false">IF(B3489=1,"",IF(B3489=2,C3488,SES_Alpha*C3488+(1-SES_Alpha)*G3488))</f>
        <v>40.7707369806909</v>
      </c>
      <c r="H3489" s="33" t="n">
        <f aca="false">IF(D3489="","",D3489-C3489)</f>
        <v>-8</v>
      </c>
      <c r="I3489" s="33" t="n">
        <f aca="false">IF(E3489="","",E3489-C3489)</f>
        <v>-7.75</v>
      </c>
      <c r="J3489" s="33" t="n">
        <f aca="false">IF(F3489="","",F3489-C3489)</f>
        <v>-6.25</v>
      </c>
      <c r="K3489" s="33" t="n">
        <f aca="false">IF(G3489="","",G3489-C3489)</f>
        <v>-6.22926301930913</v>
      </c>
      <c r="L3489" s="33" t="n">
        <f aca="false">IF(H3489="","",ABS(H3489))</f>
        <v>8</v>
      </c>
      <c r="M3489" s="33" t="n">
        <f aca="false">IF(I3489="","",ABS(I3489))</f>
        <v>7.75</v>
      </c>
      <c r="N3489" s="33" t="n">
        <f aca="false">IF(J3489="","",ABS(J3489))</f>
        <v>6.25</v>
      </c>
      <c r="O3489" s="33" t="n">
        <f aca="false">IF(K3489="","",ABS(K3489))</f>
        <v>6.22926301930913</v>
      </c>
      <c r="P3489" s="34" t="str">
        <f aca="false">IF(B3489&gt;=Eval_Start_Week,"YES","")</f>
        <v>YES</v>
      </c>
      <c r="Q3489" s="34" t="str">
        <f aca="false">IF(AND(B3489&gt;=Cal_Start_Week,B3489&lt;=Cal_End_Week),"YES","")</f>
        <v>YES</v>
      </c>
    </row>
    <row r="3490" customFormat="false" ht="15" hidden="false" customHeight="false" outlineLevel="0" collapsed="false">
      <c r="A3490" s="31" t="str">
        <f aca="false">Demand_History!C3490</f>
        <v>ELE-005</v>
      </c>
      <c r="B3490" s="31" t="n">
        <f aca="false">Demand_History!A3490</f>
        <v>57</v>
      </c>
      <c r="C3490" s="32" t="n">
        <f aca="false">Demand_History!D3490</f>
        <v>41</v>
      </c>
      <c r="D3490" s="33" t="n">
        <f aca="false">IF(B3490&gt;=2,C3489,"")</f>
        <v>47</v>
      </c>
      <c r="E3490" s="33" t="n">
        <f aca="false">IF(B3490&gt;=5,AVERAGE(C3486:C3489),"")</f>
        <v>41.75</v>
      </c>
      <c r="F3490" s="33" t="n">
        <f aca="false">IF(B3490&gt;=9,AVERAGE(C3482:C3489),"")</f>
        <v>40.75</v>
      </c>
      <c r="G3490" s="33" t="n">
        <f aca="false">IF(B3490=1,"",IF(B3490=2,C3489,SES_Alpha*C3489+(1-SES_Alpha)*G3489))</f>
        <v>42.6395158864836</v>
      </c>
      <c r="H3490" s="33" t="n">
        <f aca="false">IF(D3490="","",D3490-C3490)</f>
        <v>6</v>
      </c>
      <c r="I3490" s="33" t="n">
        <f aca="false">IF(E3490="","",E3490-C3490)</f>
        <v>0.75</v>
      </c>
      <c r="J3490" s="33" t="n">
        <f aca="false">IF(F3490="","",F3490-C3490)</f>
        <v>-0.25</v>
      </c>
      <c r="K3490" s="33" t="n">
        <f aca="false">IF(G3490="","",G3490-C3490)</f>
        <v>1.63951588648361</v>
      </c>
      <c r="L3490" s="33" t="n">
        <f aca="false">IF(H3490="","",ABS(H3490))</f>
        <v>6</v>
      </c>
      <c r="M3490" s="33" t="n">
        <f aca="false">IF(I3490="","",ABS(I3490))</f>
        <v>0.75</v>
      </c>
      <c r="N3490" s="33" t="n">
        <f aca="false">IF(J3490="","",ABS(J3490))</f>
        <v>0.25</v>
      </c>
      <c r="O3490" s="33" t="n">
        <f aca="false">IF(K3490="","",ABS(K3490))</f>
        <v>1.63951588648361</v>
      </c>
      <c r="P3490" s="34" t="str">
        <f aca="false">IF(B3490&gt;=Eval_Start_Week,"YES","")</f>
        <v>YES</v>
      </c>
      <c r="Q3490" s="34" t="str">
        <f aca="false">IF(AND(B3490&gt;=Cal_Start_Week,B3490&lt;=Cal_End_Week),"YES","")</f>
        <v>YES</v>
      </c>
    </row>
    <row r="3491" customFormat="false" ht="15" hidden="false" customHeight="false" outlineLevel="0" collapsed="false">
      <c r="A3491" s="31" t="str">
        <f aca="false">Demand_History!C3491</f>
        <v>ELE-005</v>
      </c>
      <c r="B3491" s="31" t="n">
        <f aca="false">Demand_History!A3491</f>
        <v>58</v>
      </c>
      <c r="C3491" s="32" t="n">
        <f aca="false">Demand_History!D3491</f>
        <v>47</v>
      </c>
      <c r="D3491" s="33" t="n">
        <f aca="false">IF(B3491&gt;=2,C3490,"")</f>
        <v>41</v>
      </c>
      <c r="E3491" s="33" t="n">
        <f aca="false">IF(B3491&gt;=5,AVERAGE(C3487:C3490),"")</f>
        <v>43.5</v>
      </c>
      <c r="F3491" s="33" t="n">
        <f aca="false">IF(B3491&gt;=9,AVERAGE(C3483:C3490),"")</f>
        <v>41.75</v>
      </c>
      <c r="G3491" s="33" t="n">
        <f aca="false">IF(B3491=1,"",IF(B3491=2,C3490,SES_Alpha*C3490+(1-SES_Alpha)*G3490))</f>
        <v>42.1476611205385</v>
      </c>
      <c r="H3491" s="33" t="n">
        <f aca="false">IF(D3491="","",D3491-C3491)</f>
        <v>-6</v>
      </c>
      <c r="I3491" s="33" t="n">
        <f aca="false">IF(E3491="","",E3491-C3491)</f>
        <v>-3.5</v>
      </c>
      <c r="J3491" s="33" t="n">
        <f aca="false">IF(F3491="","",F3491-C3491)</f>
        <v>-5.25</v>
      </c>
      <c r="K3491" s="33" t="n">
        <f aca="false">IF(G3491="","",G3491-C3491)</f>
        <v>-4.85233887946148</v>
      </c>
      <c r="L3491" s="33" t="n">
        <f aca="false">IF(H3491="","",ABS(H3491))</f>
        <v>6</v>
      </c>
      <c r="M3491" s="33" t="n">
        <f aca="false">IF(I3491="","",ABS(I3491))</f>
        <v>3.5</v>
      </c>
      <c r="N3491" s="33" t="n">
        <f aca="false">IF(J3491="","",ABS(J3491))</f>
        <v>5.25</v>
      </c>
      <c r="O3491" s="33" t="n">
        <f aca="false">IF(K3491="","",ABS(K3491))</f>
        <v>4.85233887946148</v>
      </c>
      <c r="P3491" s="34" t="str">
        <f aca="false">IF(B3491&gt;=Eval_Start_Week,"YES","")</f>
        <v>YES</v>
      </c>
      <c r="Q3491" s="34" t="str">
        <f aca="false">IF(AND(B3491&gt;=Cal_Start_Week,B3491&lt;=Cal_End_Week),"YES","")</f>
        <v>YES</v>
      </c>
    </row>
    <row r="3492" customFormat="false" ht="15" hidden="false" customHeight="false" outlineLevel="0" collapsed="false">
      <c r="A3492" s="31" t="str">
        <f aca="false">Demand_History!C3492</f>
        <v>ELE-005</v>
      </c>
      <c r="B3492" s="31" t="n">
        <f aca="false">Demand_History!A3492</f>
        <v>59</v>
      </c>
      <c r="C3492" s="32" t="n">
        <f aca="false">Demand_History!D3492</f>
        <v>41</v>
      </c>
      <c r="D3492" s="33" t="n">
        <f aca="false">IF(B3492&gt;=2,C3491,"")</f>
        <v>47</v>
      </c>
      <c r="E3492" s="33" t="n">
        <f aca="false">IF(B3492&gt;=5,AVERAGE(C3488:C3491),"")</f>
        <v>43.5</v>
      </c>
      <c r="F3492" s="33" t="n">
        <f aca="false">IF(B3492&gt;=9,AVERAGE(C3484:C3491),"")</f>
        <v>42.125</v>
      </c>
      <c r="G3492" s="33" t="n">
        <f aca="false">IF(B3492=1,"",IF(B3492=2,C3491,SES_Alpha*C3491+(1-SES_Alpha)*G3491))</f>
        <v>43.603362784377</v>
      </c>
      <c r="H3492" s="33" t="n">
        <f aca="false">IF(D3492="","",D3492-C3492)</f>
        <v>6</v>
      </c>
      <c r="I3492" s="33" t="n">
        <f aca="false">IF(E3492="","",E3492-C3492)</f>
        <v>2.5</v>
      </c>
      <c r="J3492" s="33" t="n">
        <f aca="false">IF(F3492="","",F3492-C3492)</f>
        <v>1.125</v>
      </c>
      <c r="K3492" s="33" t="n">
        <f aca="false">IF(G3492="","",G3492-C3492)</f>
        <v>2.60336278437696</v>
      </c>
      <c r="L3492" s="33" t="n">
        <f aca="false">IF(H3492="","",ABS(H3492))</f>
        <v>6</v>
      </c>
      <c r="M3492" s="33" t="n">
        <f aca="false">IF(I3492="","",ABS(I3492))</f>
        <v>2.5</v>
      </c>
      <c r="N3492" s="33" t="n">
        <f aca="false">IF(J3492="","",ABS(J3492))</f>
        <v>1.125</v>
      </c>
      <c r="O3492" s="33" t="n">
        <f aca="false">IF(K3492="","",ABS(K3492))</f>
        <v>2.60336278437696</v>
      </c>
      <c r="P3492" s="34" t="str">
        <f aca="false">IF(B3492&gt;=Eval_Start_Week,"YES","")</f>
        <v>YES</v>
      </c>
      <c r="Q3492" s="34" t="str">
        <f aca="false">IF(AND(B3492&gt;=Cal_Start_Week,B3492&lt;=Cal_End_Week),"YES","")</f>
        <v>YES</v>
      </c>
    </row>
    <row r="3493" customFormat="false" ht="15" hidden="false" customHeight="false" outlineLevel="0" collapsed="false">
      <c r="A3493" s="31" t="str">
        <f aca="false">Demand_History!C3493</f>
        <v>ELE-005</v>
      </c>
      <c r="B3493" s="31" t="n">
        <f aca="false">Demand_History!A3493</f>
        <v>60</v>
      </c>
      <c r="C3493" s="32" t="n">
        <f aca="false">Demand_History!D3493</f>
        <v>34</v>
      </c>
      <c r="D3493" s="33" t="n">
        <f aca="false">IF(B3493&gt;=2,C3492,"")</f>
        <v>41</v>
      </c>
      <c r="E3493" s="33" t="n">
        <f aca="false">IF(B3493&gt;=5,AVERAGE(C3489:C3492),"")</f>
        <v>44</v>
      </c>
      <c r="F3493" s="33" t="n">
        <f aca="false">IF(B3493&gt;=9,AVERAGE(C3485:C3492),"")</f>
        <v>41.625</v>
      </c>
      <c r="G3493" s="33" t="n">
        <f aca="false">IF(B3493=1,"",IF(B3493=2,C3492,SES_Alpha*C3492+(1-SES_Alpha)*G3492))</f>
        <v>42.8223539490639</v>
      </c>
      <c r="H3493" s="33" t="n">
        <f aca="false">IF(D3493="","",D3493-C3493)</f>
        <v>7</v>
      </c>
      <c r="I3493" s="33" t="n">
        <f aca="false">IF(E3493="","",E3493-C3493)</f>
        <v>10</v>
      </c>
      <c r="J3493" s="33" t="n">
        <f aca="false">IF(F3493="","",F3493-C3493)</f>
        <v>7.625</v>
      </c>
      <c r="K3493" s="33" t="n">
        <f aca="false">IF(G3493="","",G3493-C3493)</f>
        <v>8.82235394906387</v>
      </c>
      <c r="L3493" s="33" t="n">
        <f aca="false">IF(H3493="","",ABS(H3493))</f>
        <v>7</v>
      </c>
      <c r="M3493" s="33" t="n">
        <f aca="false">IF(I3493="","",ABS(I3493))</f>
        <v>10</v>
      </c>
      <c r="N3493" s="33" t="n">
        <f aca="false">IF(J3493="","",ABS(J3493))</f>
        <v>7.625</v>
      </c>
      <c r="O3493" s="33" t="n">
        <f aca="false">IF(K3493="","",ABS(K3493))</f>
        <v>8.82235394906387</v>
      </c>
      <c r="P3493" s="34" t="str">
        <f aca="false">IF(B3493&gt;=Eval_Start_Week,"YES","")</f>
        <v>YES</v>
      </c>
      <c r="Q3493" s="34" t="str">
        <f aca="false">IF(AND(B3493&gt;=Cal_Start_Week,B3493&lt;=Cal_End_Week),"YES","")</f>
        <v>YES</v>
      </c>
    </row>
    <row r="3494" customFormat="false" ht="15" hidden="false" customHeight="false" outlineLevel="0" collapsed="false">
      <c r="A3494" s="31" t="str">
        <f aca="false">Demand_History!C3494</f>
        <v>ELE-005</v>
      </c>
      <c r="B3494" s="31" t="n">
        <f aca="false">Demand_History!A3494</f>
        <v>61</v>
      </c>
      <c r="C3494" s="32" t="n">
        <f aca="false">Demand_History!D3494</f>
        <v>42</v>
      </c>
      <c r="D3494" s="33" t="n">
        <f aca="false">IF(B3494&gt;=2,C3493,"")</f>
        <v>34</v>
      </c>
      <c r="E3494" s="33" t="n">
        <f aca="false">IF(B3494&gt;=5,AVERAGE(C3490:C3493),"")</f>
        <v>40.75</v>
      </c>
      <c r="F3494" s="33" t="n">
        <f aca="false">IF(B3494&gt;=9,AVERAGE(C3486:C3493),"")</f>
        <v>41.25</v>
      </c>
      <c r="G3494" s="33" t="n">
        <f aca="false">IF(B3494=1,"",IF(B3494=2,C3493,SES_Alpha*C3493+(1-SES_Alpha)*G3493))</f>
        <v>40.1756477643447</v>
      </c>
      <c r="H3494" s="33" t="n">
        <f aca="false">IF(D3494="","",D3494-C3494)</f>
        <v>-8</v>
      </c>
      <c r="I3494" s="33" t="n">
        <f aca="false">IF(E3494="","",E3494-C3494)</f>
        <v>-1.25</v>
      </c>
      <c r="J3494" s="33" t="n">
        <f aca="false">IF(F3494="","",F3494-C3494)</f>
        <v>-0.75</v>
      </c>
      <c r="K3494" s="33" t="n">
        <f aca="false">IF(G3494="","",G3494-C3494)</f>
        <v>-1.8243522356553</v>
      </c>
      <c r="L3494" s="33" t="n">
        <f aca="false">IF(H3494="","",ABS(H3494))</f>
        <v>8</v>
      </c>
      <c r="M3494" s="33" t="n">
        <f aca="false">IF(I3494="","",ABS(I3494))</f>
        <v>1.25</v>
      </c>
      <c r="N3494" s="33" t="n">
        <f aca="false">IF(J3494="","",ABS(J3494))</f>
        <v>0.75</v>
      </c>
      <c r="O3494" s="33" t="n">
        <f aca="false">IF(K3494="","",ABS(K3494))</f>
        <v>1.8243522356553</v>
      </c>
      <c r="P3494" s="34" t="str">
        <f aca="false">IF(B3494&gt;=Eval_Start_Week,"YES","")</f>
        <v>YES</v>
      </c>
      <c r="Q3494" s="34" t="str">
        <f aca="false">IF(AND(B3494&gt;=Cal_Start_Week,B3494&lt;=Cal_End_Week),"YES","")</f>
        <v>YES</v>
      </c>
    </row>
    <row r="3495" customFormat="false" ht="15" hidden="false" customHeight="false" outlineLevel="0" collapsed="false">
      <c r="A3495" s="31" t="str">
        <f aca="false">Demand_History!C3495</f>
        <v>ELE-005</v>
      </c>
      <c r="B3495" s="31" t="n">
        <f aca="false">Demand_History!A3495</f>
        <v>62</v>
      </c>
      <c r="C3495" s="32" t="n">
        <f aca="false">Demand_History!D3495</f>
        <v>40</v>
      </c>
      <c r="D3495" s="33" t="n">
        <f aca="false">IF(B3495&gt;=2,C3494,"")</f>
        <v>42</v>
      </c>
      <c r="E3495" s="33" t="n">
        <f aca="false">IF(B3495&gt;=5,AVERAGE(C3491:C3494),"")</f>
        <v>41</v>
      </c>
      <c r="F3495" s="33" t="n">
        <f aca="false">IF(B3495&gt;=9,AVERAGE(C3487:C3494),"")</f>
        <v>42.25</v>
      </c>
      <c r="G3495" s="33" t="n">
        <f aca="false">IF(B3495=1,"",IF(B3495=2,C3494,SES_Alpha*C3494+(1-SES_Alpha)*G3494))</f>
        <v>40.7229534350413</v>
      </c>
      <c r="H3495" s="33" t="n">
        <f aca="false">IF(D3495="","",D3495-C3495)</f>
        <v>2</v>
      </c>
      <c r="I3495" s="33" t="n">
        <f aca="false">IF(E3495="","",E3495-C3495)</f>
        <v>1</v>
      </c>
      <c r="J3495" s="33" t="n">
        <f aca="false">IF(F3495="","",F3495-C3495)</f>
        <v>2.25</v>
      </c>
      <c r="K3495" s="33" t="n">
        <f aca="false">IF(G3495="","",G3495-C3495)</f>
        <v>0.722953435041291</v>
      </c>
      <c r="L3495" s="33" t="n">
        <f aca="false">IF(H3495="","",ABS(H3495))</f>
        <v>2</v>
      </c>
      <c r="M3495" s="33" t="n">
        <f aca="false">IF(I3495="","",ABS(I3495))</f>
        <v>1</v>
      </c>
      <c r="N3495" s="33" t="n">
        <f aca="false">IF(J3495="","",ABS(J3495))</f>
        <v>2.25</v>
      </c>
      <c r="O3495" s="33" t="n">
        <f aca="false">IF(K3495="","",ABS(K3495))</f>
        <v>0.722953435041291</v>
      </c>
      <c r="P3495" s="34" t="str">
        <f aca="false">IF(B3495&gt;=Eval_Start_Week,"YES","")</f>
        <v>YES</v>
      </c>
      <c r="Q3495" s="34" t="str">
        <f aca="false">IF(AND(B3495&gt;=Cal_Start_Week,B3495&lt;=Cal_End_Week),"YES","")</f>
        <v>YES</v>
      </c>
    </row>
    <row r="3496" customFormat="false" ht="15" hidden="false" customHeight="false" outlineLevel="0" collapsed="false">
      <c r="A3496" s="31" t="str">
        <f aca="false">Demand_History!C3496</f>
        <v>ELE-005</v>
      </c>
      <c r="B3496" s="31" t="n">
        <f aca="false">Demand_History!A3496</f>
        <v>63</v>
      </c>
      <c r="C3496" s="32" t="n">
        <f aca="false">Demand_History!D3496</f>
        <v>46</v>
      </c>
      <c r="D3496" s="33" t="n">
        <f aca="false">IF(B3496&gt;=2,C3495,"")</f>
        <v>40</v>
      </c>
      <c r="E3496" s="33" t="n">
        <f aca="false">IF(B3496&gt;=5,AVERAGE(C3492:C3495),"")</f>
        <v>39.25</v>
      </c>
      <c r="F3496" s="33" t="n">
        <f aca="false">IF(B3496&gt;=9,AVERAGE(C3488:C3495),"")</f>
        <v>41.375</v>
      </c>
      <c r="G3496" s="33" t="n">
        <f aca="false">IF(B3496=1,"",IF(B3496=2,C3495,SES_Alpha*C3495+(1-SES_Alpha)*G3495))</f>
        <v>40.5060674045289</v>
      </c>
      <c r="H3496" s="33" t="n">
        <f aca="false">IF(D3496="","",D3496-C3496)</f>
        <v>-6</v>
      </c>
      <c r="I3496" s="33" t="n">
        <f aca="false">IF(E3496="","",E3496-C3496)</f>
        <v>-6.75</v>
      </c>
      <c r="J3496" s="33" t="n">
        <f aca="false">IF(F3496="","",F3496-C3496)</f>
        <v>-4.625</v>
      </c>
      <c r="K3496" s="33" t="n">
        <f aca="false">IF(G3496="","",G3496-C3496)</f>
        <v>-5.49393259547109</v>
      </c>
      <c r="L3496" s="33" t="n">
        <f aca="false">IF(H3496="","",ABS(H3496))</f>
        <v>6</v>
      </c>
      <c r="M3496" s="33" t="n">
        <f aca="false">IF(I3496="","",ABS(I3496))</f>
        <v>6.75</v>
      </c>
      <c r="N3496" s="33" t="n">
        <f aca="false">IF(J3496="","",ABS(J3496))</f>
        <v>4.625</v>
      </c>
      <c r="O3496" s="33" t="n">
        <f aca="false">IF(K3496="","",ABS(K3496))</f>
        <v>5.49393259547109</v>
      </c>
      <c r="P3496" s="34" t="str">
        <f aca="false">IF(B3496&gt;=Eval_Start_Week,"YES","")</f>
        <v>YES</v>
      </c>
      <c r="Q3496" s="34" t="str">
        <f aca="false">IF(AND(B3496&gt;=Cal_Start_Week,B3496&lt;=Cal_End_Week),"YES","")</f>
        <v>YES</v>
      </c>
    </row>
    <row r="3497" customFormat="false" ht="15" hidden="false" customHeight="false" outlineLevel="0" collapsed="false">
      <c r="A3497" s="31" t="str">
        <f aca="false">Demand_History!C3497</f>
        <v>ELE-005</v>
      </c>
      <c r="B3497" s="31" t="n">
        <f aca="false">Demand_History!A3497</f>
        <v>64</v>
      </c>
      <c r="C3497" s="32" t="n">
        <f aca="false">Demand_History!D3497</f>
        <v>39</v>
      </c>
      <c r="D3497" s="33" t="n">
        <f aca="false">IF(B3497&gt;=2,C3496,"")</f>
        <v>46</v>
      </c>
      <c r="E3497" s="33" t="n">
        <f aca="false">IF(B3497&gt;=5,AVERAGE(C3493:C3496),"")</f>
        <v>40.5</v>
      </c>
      <c r="F3497" s="33" t="n">
        <f aca="false">IF(B3497&gt;=9,AVERAGE(C3489:C3496),"")</f>
        <v>42.25</v>
      </c>
      <c r="G3497" s="33" t="n">
        <f aca="false">IF(B3497=1,"",IF(B3497=2,C3496,SES_Alpha*C3496+(1-SES_Alpha)*G3496))</f>
        <v>42.1542471831702</v>
      </c>
      <c r="H3497" s="33" t="n">
        <f aca="false">IF(D3497="","",D3497-C3497)</f>
        <v>7</v>
      </c>
      <c r="I3497" s="33" t="n">
        <f aca="false">IF(E3497="","",E3497-C3497)</f>
        <v>1.5</v>
      </c>
      <c r="J3497" s="33" t="n">
        <f aca="false">IF(F3497="","",F3497-C3497)</f>
        <v>3.25</v>
      </c>
      <c r="K3497" s="33" t="n">
        <f aca="false">IF(G3497="","",G3497-C3497)</f>
        <v>3.15424718317023</v>
      </c>
      <c r="L3497" s="33" t="n">
        <f aca="false">IF(H3497="","",ABS(H3497))</f>
        <v>7</v>
      </c>
      <c r="M3497" s="33" t="n">
        <f aca="false">IF(I3497="","",ABS(I3497))</f>
        <v>1.5</v>
      </c>
      <c r="N3497" s="33" t="n">
        <f aca="false">IF(J3497="","",ABS(J3497))</f>
        <v>3.25</v>
      </c>
      <c r="O3497" s="33" t="n">
        <f aca="false">IF(K3497="","",ABS(K3497))</f>
        <v>3.15424718317023</v>
      </c>
      <c r="P3497" s="34" t="str">
        <f aca="false">IF(B3497&gt;=Eval_Start_Week,"YES","")</f>
        <v>YES</v>
      </c>
      <c r="Q3497" s="34" t="str">
        <f aca="false">IF(AND(B3497&gt;=Cal_Start_Week,B3497&lt;=Cal_End_Week),"YES","")</f>
        <v>YES</v>
      </c>
    </row>
    <row r="3498" customFormat="false" ht="15" hidden="false" customHeight="false" outlineLevel="0" collapsed="false">
      <c r="A3498" s="31" t="str">
        <f aca="false">Demand_History!C3498</f>
        <v>ELE-005</v>
      </c>
      <c r="B3498" s="31" t="n">
        <f aca="false">Demand_History!A3498</f>
        <v>65</v>
      </c>
      <c r="C3498" s="32" t="n">
        <f aca="false">Demand_History!D3498</f>
        <v>39</v>
      </c>
      <c r="D3498" s="33" t="n">
        <f aca="false">IF(B3498&gt;=2,C3497,"")</f>
        <v>39</v>
      </c>
      <c r="E3498" s="33" t="n">
        <f aca="false">IF(B3498&gt;=5,AVERAGE(C3494:C3497),"")</f>
        <v>41.75</v>
      </c>
      <c r="F3498" s="33" t="n">
        <f aca="false">IF(B3498&gt;=9,AVERAGE(C3490:C3497),"")</f>
        <v>41.25</v>
      </c>
      <c r="G3498" s="33" t="n">
        <f aca="false">IF(B3498=1,"",IF(B3498=2,C3497,SES_Alpha*C3497+(1-SES_Alpha)*G3497))</f>
        <v>41.2079730282192</v>
      </c>
      <c r="H3498" s="33" t="n">
        <f aca="false">IF(D3498="","",D3498-C3498)</f>
        <v>0</v>
      </c>
      <c r="I3498" s="33" t="n">
        <f aca="false">IF(E3498="","",E3498-C3498)</f>
        <v>2.75</v>
      </c>
      <c r="J3498" s="33" t="n">
        <f aca="false">IF(F3498="","",F3498-C3498)</f>
        <v>2.25</v>
      </c>
      <c r="K3498" s="33" t="n">
        <f aca="false">IF(G3498="","",G3498-C3498)</f>
        <v>2.20797302821916</v>
      </c>
      <c r="L3498" s="33" t="n">
        <f aca="false">IF(H3498="","",ABS(H3498))</f>
        <v>0</v>
      </c>
      <c r="M3498" s="33" t="n">
        <f aca="false">IF(I3498="","",ABS(I3498))</f>
        <v>2.75</v>
      </c>
      <c r="N3498" s="33" t="n">
        <f aca="false">IF(J3498="","",ABS(J3498))</f>
        <v>2.25</v>
      </c>
      <c r="O3498" s="33" t="n">
        <f aca="false">IF(K3498="","",ABS(K3498))</f>
        <v>2.20797302821916</v>
      </c>
      <c r="P3498" s="34" t="str">
        <f aca="false">IF(B3498&gt;=Eval_Start_Week,"YES","")</f>
        <v>YES</v>
      </c>
      <c r="Q3498" s="34" t="str">
        <f aca="false">IF(AND(B3498&gt;=Cal_Start_Week,B3498&lt;=Cal_End_Week),"YES","")</f>
        <v>YES</v>
      </c>
    </row>
    <row r="3499" customFormat="false" ht="15" hidden="false" customHeight="false" outlineLevel="0" collapsed="false">
      <c r="A3499" s="31" t="str">
        <f aca="false">Demand_History!C3499</f>
        <v>ELE-005</v>
      </c>
      <c r="B3499" s="31" t="n">
        <f aca="false">Demand_History!A3499</f>
        <v>66</v>
      </c>
      <c r="C3499" s="32" t="n">
        <f aca="false">Demand_History!D3499</f>
        <v>46</v>
      </c>
      <c r="D3499" s="33" t="n">
        <f aca="false">IF(B3499&gt;=2,C3498,"")</f>
        <v>39</v>
      </c>
      <c r="E3499" s="33" t="n">
        <f aca="false">IF(B3499&gt;=5,AVERAGE(C3495:C3498),"")</f>
        <v>41</v>
      </c>
      <c r="F3499" s="33" t="n">
        <f aca="false">IF(B3499&gt;=9,AVERAGE(C3491:C3498),"")</f>
        <v>41</v>
      </c>
      <c r="G3499" s="33" t="n">
        <f aca="false">IF(B3499=1,"",IF(B3499=2,C3498,SES_Alpha*C3498+(1-SES_Alpha)*G3498))</f>
        <v>40.5455811197534</v>
      </c>
      <c r="H3499" s="33" t="n">
        <f aca="false">IF(D3499="","",D3499-C3499)</f>
        <v>-7</v>
      </c>
      <c r="I3499" s="33" t="n">
        <f aca="false">IF(E3499="","",E3499-C3499)</f>
        <v>-5</v>
      </c>
      <c r="J3499" s="33" t="n">
        <f aca="false">IF(F3499="","",F3499-C3499)</f>
        <v>-5</v>
      </c>
      <c r="K3499" s="33" t="n">
        <f aca="false">IF(G3499="","",G3499-C3499)</f>
        <v>-5.45441888024659</v>
      </c>
      <c r="L3499" s="33" t="n">
        <f aca="false">IF(H3499="","",ABS(H3499))</f>
        <v>7</v>
      </c>
      <c r="M3499" s="33" t="n">
        <f aca="false">IF(I3499="","",ABS(I3499))</f>
        <v>5</v>
      </c>
      <c r="N3499" s="33" t="n">
        <f aca="false">IF(J3499="","",ABS(J3499))</f>
        <v>5</v>
      </c>
      <c r="O3499" s="33" t="n">
        <f aca="false">IF(K3499="","",ABS(K3499))</f>
        <v>5.45441888024659</v>
      </c>
      <c r="P3499" s="34" t="str">
        <f aca="false">IF(B3499&gt;=Eval_Start_Week,"YES","")</f>
        <v>YES</v>
      </c>
      <c r="Q3499" s="34" t="str">
        <f aca="false">IF(AND(B3499&gt;=Cal_Start_Week,B3499&lt;=Cal_End_Week),"YES","")</f>
        <v>YES</v>
      </c>
    </row>
    <row r="3500" customFormat="false" ht="15" hidden="false" customHeight="false" outlineLevel="0" collapsed="false">
      <c r="A3500" s="31" t="str">
        <f aca="false">Demand_History!C3500</f>
        <v>ELE-005</v>
      </c>
      <c r="B3500" s="31" t="n">
        <f aca="false">Demand_History!A3500</f>
        <v>67</v>
      </c>
      <c r="C3500" s="32" t="n">
        <f aca="false">Demand_History!D3500</f>
        <v>47</v>
      </c>
      <c r="D3500" s="33" t="n">
        <f aca="false">IF(B3500&gt;=2,C3499,"")</f>
        <v>46</v>
      </c>
      <c r="E3500" s="33" t="n">
        <f aca="false">IF(B3500&gt;=5,AVERAGE(C3496:C3499),"")</f>
        <v>42.5</v>
      </c>
      <c r="F3500" s="33" t="n">
        <f aca="false">IF(B3500&gt;=9,AVERAGE(C3492:C3499),"")</f>
        <v>40.875</v>
      </c>
      <c r="G3500" s="33" t="n">
        <f aca="false">IF(B3500=1,"",IF(B3500=2,C3499,SES_Alpha*C3499+(1-SES_Alpha)*G3499))</f>
        <v>42.1819067838274</v>
      </c>
      <c r="H3500" s="33" t="n">
        <f aca="false">IF(D3500="","",D3500-C3500)</f>
        <v>-1</v>
      </c>
      <c r="I3500" s="33" t="n">
        <f aca="false">IF(E3500="","",E3500-C3500)</f>
        <v>-4.5</v>
      </c>
      <c r="J3500" s="33" t="n">
        <f aca="false">IF(F3500="","",F3500-C3500)</f>
        <v>-6.125</v>
      </c>
      <c r="K3500" s="33" t="n">
        <f aca="false">IF(G3500="","",G3500-C3500)</f>
        <v>-4.81809321617262</v>
      </c>
      <c r="L3500" s="33" t="n">
        <f aca="false">IF(H3500="","",ABS(H3500))</f>
        <v>1</v>
      </c>
      <c r="M3500" s="33" t="n">
        <f aca="false">IF(I3500="","",ABS(I3500))</f>
        <v>4.5</v>
      </c>
      <c r="N3500" s="33" t="n">
        <f aca="false">IF(J3500="","",ABS(J3500))</f>
        <v>6.125</v>
      </c>
      <c r="O3500" s="33" t="n">
        <f aca="false">IF(K3500="","",ABS(K3500))</f>
        <v>4.81809321617262</v>
      </c>
      <c r="P3500" s="34" t="str">
        <f aca="false">IF(B3500&gt;=Eval_Start_Week,"YES","")</f>
        <v>YES</v>
      </c>
      <c r="Q3500" s="34" t="str">
        <f aca="false">IF(AND(B3500&gt;=Cal_Start_Week,B3500&lt;=Cal_End_Week),"YES","")</f>
        <v>YES</v>
      </c>
    </row>
    <row r="3501" customFormat="false" ht="15" hidden="false" customHeight="false" outlineLevel="0" collapsed="false">
      <c r="A3501" s="31" t="str">
        <f aca="false">Demand_History!C3501</f>
        <v>ELE-005</v>
      </c>
      <c r="B3501" s="31" t="n">
        <f aca="false">Demand_History!A3501</f>
        <v>68</v>
      </c>
      <c r="C3501" s="32" t="n">
        <f aca="false">Demand_History!D3501</f>
        <v>45</v>
      </c>
      <c r="D3501" s="33" t="n">
        <f aca="false">IF(B3501&gt;=2,C3500,"")</f>
        <v>47</v>
      </c>
      <c r="E3501" s="33" t="n">
        <f aca="false">IF(B3501&gt;=5,AVERAGE(C3497:C3500),"")</f>
        <v>42.75</v>
      </c>
      <c r="F3501" s="33" t="n">
        <f aca="false">IF(B3501&gt;=9,AVERAGE(C3493:C3500),"")</f>
        <v>41.625</v>
      </c>
      <c r="G3501" s="33" t="n">
        <f aca="false">IF(B3501=1,"",IF(B3501=2,C3500,SES_Alpha*C3500+(1-SES_Alpha)*G3500))</f>
        <v>43.6273347486792</v>
      </c>
      <c r="H3501" s="33" t="n">
        <f aca="false">IF(D3501="","",D3501-C3501)</f>
        <v>2</v>
      </c>
      <c r="I3501" s="33" t="n">
        <f aca="false">IF(E3501="","",E3501-C3501)</f>
        <v>-2.25</v>
      </c>
      <c r="J3501" s="33" t="n">
        <f aca="false">IF(F3501="","",F3501-C3501)</f>
        <v>-3.375</v>
      </c>
      <c r="K3501" s="33" t="n">
        <f aca="false">IF(G3501="","",G3501-C3501)</f>
        <v>-1.37266525132084</v>
      </c>
      <c r="L3501" s="33" t="n">
        <f aca="false">IF(H3501="","",ABS(H3501))</f>
        <v>2</v>
      </c>
      <c r="M3501" s="33" t="n">
        <f aca="false">IF(I3501="","",ABS(I3501))</f>
        <v>2.25</v>
      </c>
      <c r="N3501" s="33" t="n">
        <f aca="false">IF(J3501="","",ABS(J3501))</f>
        <v>3.375</v>
      </c>
      <c r="O3501" s="33" t="n">
        <f aca="false">IF(K3501="","",ABS(K3501))</f>
        <v>1.37266525132084</v>
      </c>
      <c r="P3501" s="34" t="str">
        <f aca="false">IF(B3501&gt;=Eval_Start_Week,"YES","")</f>
        <v>YES</v>
      </c>
      <c r="Q3501" s="34" t="str">
        <f aca="false">IF(AND(B3501&gt;=Cal_Start_Week,B3501&lt;=Cal_End_Week),"YES","")</f>
        <v>YES</v>
      </c>
    </row>
    <row r="3502" customFormat="false" ht="15" hidden="false" customHeight="false" outlineLevel="0" collapsed="false">
      <c r="A3502" s="31" t="str">
        <f aca="false">Demand_History!C3502</f>
        <v>ELE-005</v>
      </c>
      <c r="B3502" s="31" t="n">
        <f aca="false">Demand_History!A3502</f>
        <v>69</v>
      </c>
      <c r="C3502" s="32" t="n">
        <f aca="false">Demand_History!D3502</f>
        <v>46</v>
      </c>
      <c r="D3502" s="33" t="n">
        <f aca="false">IF(B3502&gt;=2,C3501,"")</f>
        <v>45</v>
      </c>
      <c r="E3502" s="33" t="n">
        <f aca="false">IF(B3502&gt;=5,AVERAGE(C3498:C3501),"")</f>
        <v>44.25</v>
      </c>
      <c r="F3502" s="33" t="n">
        <f aca="false">IF(B3502&gt;=9,AVERAGE(C3494:C3501),"")</f>
        <v>43</v>
      </c>
      <c r="G3502" s="33" t="n">
        <f aca="false">IF(B3502=1,"",IF(B3502=2,C3501,SES_Alpha*C3501+(1-SES_Alpha)*G3501))</f>
        <v>44.0391343240754</v>
      </c>
      <c r="H3502" s="33" t="n">
        <f aca="false">IF(D3502="","",D3502-C3502)</f>
        <v>-1</v>
      </c>
      <c r="I3502" s="33" t="n">
        <f aca="false">IF(E3502="","",E3502-C3502)</f>
        <v>-1.75</v>
      </c>
      <c r="J3502" s="33" t="n">
        <f aca="false">IF(F3502="","",F3502-C3502)</f>
        <v>-3</v>
      </c>
      <c r="K3502" s="33" t="n">
        <f aca="false">IF(G3502="","",G3502-C3502)</f>
        <v>-1.96086567592459</v>
      </c>
      <c r="L3502" s="33" t="n">
        <f aca="false">IF(H3502="","",ABS(H3502))</f>
        <v>1</v>
      </c>
      <c r="M3502" s="33" t="n">
        <f aca="false">IF(I3502="","",ABS(I3502))</f>
        <v>1.75</v>
      </c>
      <c r="N3502" s="33" t="n">
        <f aca="false">IF(J3502="","",ABS(J3502))</f>
        <v>3</v>
      </c>
      <c r="O3502" s="33" t="n">
        <f aca="false">IF(K3502="","",ABS(K3502))</f>
        <v>1.96086567592459</v>
      </c>
      <c r="P3502" s="34" t="str">
        <f aca="false">IF(B3502&gt;=Eval_Start_Week,"YES","")</f>
        <v>YES</v>
      </c>
      <c r="Q3502" s="34" t="str">
        <f aca="false">IF(AND(B3502&gt;=Cal_Start_Week,B3502&lt;=Cal_End_Week),"YES","")</f>
        <v>YES</v>
      </c>
    </row>
    <row r="3503" customFormat="false" ht="15" hidden="false" customHeight="false" outlineLevel="0" collapsed="false">
      <c r="A3503" s="31" t="str">
        <f aca="false">Demand_History!C3503</f>
        <v>ELE-005</v>
      </c>
      <c r="B3503" s="31" t="n">
        <f aca="false">Demand_History!A3503</f>
        <v>70</v>
      </c>
      <c r="C3503" s="32" t="n">
        <f aca="false">Demand_History!D3503</f>
        <v>42</v>
      </c>
      <c r="D3503" s="33" t="n">
        <f aca="false">IF(B3503&gt;=2,C3502,"")</f>
        <v>46</v>
      </c>
      <c r="E3503" s="33" t="n">
        <f aca="false">IF(B3503&gt;=5,AVERAGE(C3499:C3502),"")</f>
        <v>46</v>
      </c>
      <c r="F3503" s="33" t="n">
        <f aca="false">IF(B3503&gt;=9,AVERAGE(C3495:C3502),"")</f>
        <v>43.5</v>
      </c>
      <c r="G3503" s="33" t="n">
        <f aca="false">IF(B3503=1,"",IF(B3503=2,C3502,SES_Alpha*C3502+(1-SES_Alpha)*G3502))</f>
        <v>44.6273940268528</v>
      </c>
      <c r="H3503" s="33" t="n">
        <f aca="false">IF(D3503="","",D3503-C3503)</f>
        <v>4</v>
      </c>
      <c r="I3503" s="33" t="n">
        <f aca="false">IF(E3503="","",E3503-C3503)</f>
        <v>4</v>
      </c>
      <c r="J3503" s="33" t="n">
        <f aca="false">IF(F3503="","",F3503-C3503)</f>
        <v>1.5</v>
      </c>
      <c r="K3503" s="33" t="n">
        <f aca="false">IF(G3503="","",G3503-C3503)</f>
        <v>2.62739402685278</v>
      </c>
      <c r="L3503" s="33" t="n">
        <f aca="false">IF(H3503="","",ABS(H3503))</f>
        <v>4</v>
      </c>
      <c r="M3503" s="33" t="n">
        <f aca="false">IF(I3503="","",ABS(I3503))</f>
        <v>4</v>
      </c>
      <c r="N3503" s="33" t="n">
        <f aca="false">IF(J3503="","",ABS(J3503))</f>
        <v>1.5</v>
      </c>
      <c r="O3503" s="33" t="n">
        <f aca="false">IF(K3503="","",ABS(K3503))</f>
        <v>2.62739402685278</v>
      </c>
      <c r="P3503" s="34" t="str">
        <f aca="false">IF(B3503&gt;=Eval_Start_Week,"YES","")</f>
        <v>YES</v>
      </c>
      <c r="Q3503" s="34" t="str">
        <f aca="false">IF(AND(B3503&gt;=Cal_Start_Week,B3503&lt;=Cal_End_Week),"YES","")</f>
        <v>YES</v>
      </c>
    </row>
    <row r="3504" customFormat="false" ht="15" hidden="false" customHeight="false" outlineLevel="0" collapsed="false">
      <c r="A3504" s="31" t="str">
        <f aca="false">Demand_History!C3504</f>
        <v>ELE-005</v>
      </c>
      <c r="B3504" s="31" t="n">
        <f aca="false">Demand_History!A3504</f>
        <v>71</v>
      </c>
      <c r="C3504" s="32" t="n">
        <f aca="false">Demand_History!D3504</f>
        <v>44</v>
      </c>
      <c r="D3504" s="33" t="n">
        <f aca="false">IF(B3504&gt;=2,C3503,"")</f>
        <v>42</v>
      </c>
      <c r="E3504" s="33" t="n">
        <f aca="false">IF(B3504&gt;=5,AVERAGE(C3500:C3503),"")</f>
        <v>45</v>
      </c>
      <c r="F3504" s="33" t="n">
        <f aca="false">IF(B3504&gt;=9,AVERAGE(C3496:C3503),"")</f>
        <v>43.75</v>
      </c>
      <c r="G3504" s="33" t="n">
        <f aca="false">IF(B3504=1,"",IF(B3504=2,C3503,SES_Alpha*C3503+(1-SES_Alpha)*G3503))</f>
        <v>43.8391758187969</v>
      </c>
      <c r="H3504" s="33" t="n">
        <f aca="false">IF(D3504="","",D3504-C3504)</f>
        <v>-2</v>
      </c>
      <c r="I3504" s="33" t="n">
        <f aca="false">IF(E3504="","",E3504-C3504)</f>
        <v>1</v>
      </c>
      <c r="J3504" s="33" t="n">
        <f aca="false">IF(F3504="","",F3504-C3504)</f>
        <v>-0.25</v>
      </c>
      <c r="K3504" s="33" t="n">
        <f aca="false">IF(G3504="","",G3504-C3504)</f>
        <v>-0.160824181203054</v>
      </c>
      <c r="L3504" s="33" t="n">
        <f aca="false">IF(H3504="","",ABS(H3504))</f>
        <v>2</v>
      </c>
      <c r="M3504" s="33" t="n">
        <f aca="false">IF(I3504="","",ABS(I3504))</f>
        <v>1</v>
      </c>
      <c r="N3504" s="33" t="n">
        <f aca="false">IF(J3504="","",ABS(J3504))</f>
        <v>0.25</v>
      </c>
      <c r="O3504" s="33" t="n">
        <f aca="false">IF(K3504="","",ABS(K3504))</f>
        <v>0.160824181203054</v>
      </c>
      <c r="P3504" s="34" t="str">
        <f aca="false">IF(B3504&gt;=Eval_Start_Week,"YES","")</f>
        <v>YES</v>
      </c>
      <c r="Q3504" s="34" t="str">
        <f aca="false">IF(AND(B3504&gt;=Cal_Start_Week,B3504&lt;=Cal_End_Week),"YES","")</f>
        <v>YES</v>
      </c>
    </row>
    <row r="3505" customFormat="false" ht="15" hidden="false" customHeight="false" outlineLevel="0" collapsed="false">
      <c r="A3505" s="31" t="str">
        <f aca="false">Demand_History!C3505</f>
        <v>ELE-005</v>
      </c>
      <c r="B3505" s="31" t="n">
        <f aca="false">Demand_History!A3505</f>
        <v>72</v>
      </c>
      <c r="C3505" s="32" t="n">
        <f aca="false">Demand_History!D3505</f>
        <v>44</v>
      </c>
      <c r="D3505" s="33" t="n">
        <f aca="false">IF(B3505&gt;=2,C3504,"")</f>
        <v>44</v>
      </c>
      <c r="E3505" s="33" t="n">
        <f aca="false">IF(B3505&gt;=5,AVERAGE(C3501:C3504),"")</f>
        <v>44.25</v>
      </c>
      <c r="F3505" s="33" t="n">
        <f aca="false">IF(B3505&gt;=9,AVERAGE(C3497:C3504),"")</f>
        <v>43.5</v>
      </c>
      <c r="G3505" s="33" t="n">
        <f aca="false">IF(B3505=1,"",IF(B3505=2,C3504,SES_Alpha*C3504+(1-SES_Alpha)*G3504))</f>
        <v>43.8874230731579</v>
      </c>
      <c r="H3505" s="33" t="n">
        <f aca="false">IF(D3505="","",D3505-C3505)</f>
        <v>0</v>
      </c>
      <c r="I3505" s="33" t="n">
        <f aca="false">IF(E3505="","",E3505-C3505)</f>
        <v>0.25</v>
      </c>
      <c r="J3505" s="33" t="n">
        <f aca="false">IF(F3505="","",F3505-C3505)</f>
        <v>-0.5</v>
      </c>
      <c r="K3505" s="33" t="n">
        <f aca="false">IF(G3505="","",G3505-C3505)</f>
        <v>-0.112576926842138</v>
      </c>
      <c r="L3505" s="33" t="n">
        <f aca="false">IF(H3505="","",ABS(H3505))</f>
        <v>0</v>
      </c>
      <c r="M3505" s="33" t="n">
        <f aca="false">IF(I3505="","",ABS(I3505))</f>
        <v>0.25</v>
      </c>
      <c r="N3505" s="33" t="n">
        <f aca="false">IF(J3505="","",ABS(J3505))</f>
        <v>0.5</v>
      </c>
      <c r="O3505" s="33" t="n">
        <f aca="false">IF(K3505="","",ABS(K3505))</f>
        <v>0.112576926842138</v>
      </c>
      <c r="P3505" s="34" t="str">
        <f aca="false">IF(B3505&gt;=Eval_Start_Week,"YES","")</f>
        <v>YES</v>
      </c>
      <c r="Q3505" s="34" t="str">
        <f aca="false">IF(AND(B3505&gt;=Cal_Start_Week,B3505&lt;=Cal_End_Week),"YES","")</f>
        <v>YES</v>
      </c>
    </row>
    <row r="3506" customFormat="false" ht="15" hidden="false" customHeight="false" outlineLevel="0" collapsed="false">
      <c r="A3506" s="31" t="str">
        <f aca="false">Demand_History!C3506</f>
        <v>ELE-005</v>
      </c>
      <c r="B3506" s="31" t="n">
        <f aca="false">Demand_History!A3506</f>
        <v>73</v>
      </c>
      <c r="C3506" s="32" t="n">
        <f aca="false">Demand_History!D3506</f>
        <v>41</v>
      </c>
      <c r="D3506" s="33" t="n">
        <f aca="false">IF(B3506&gt;=2,C3505,"")</f>
        <v>44</v>
      </c>
      <c r="E3506" s="33" t="n">
        <f aca="false">IF(B3506&gt;=5,AVERAGE(C3502:C3505),"")</f>
        <v>44</v>
      </c>
      <c r="F3506" s="33" t="n">
        <f aca="false">IF(B3506&gt;=9,AVERAGE(C3498:C3505),"")</f>
        <v>44.125</v>
      </c>
      <c r="G3506" s="33" t="n">
        <f aca="false">IF(B3506=1,"",IF(B3506=2,C3505,SES_Alpha*C3505+(1-SES_Alpha)*G3505))</f>
        <v>43.9211961512105</v>
      </c>
      <c r="H3506" s="33" t="n">
        <f aca="false">IF(D3506="","",D3506-C3506)</f>
        <v>3</v>
      </c>
      <c r="I3506" s="33" t="n">
        <f aca="false">IF(E3506="","",E3506-C3506)</f>
        <v>3</v>
      </c>
      <c r="J3506" s="33" t="n">
        <f aca="false">IF(F3506="","",F3506-C3506)</f>
        <v>3.125</v>
      </c>
      <c r="K3506" s="33" t="n">
        <f aca="false">IF(G3506="","",G3506-C3506)</f>
        <v>2.9211961512105</v>
      </c>
      <c r="L3506" s="33" t="n">
        <f aca="false">IF(H3506="","",ABS(H3506))</f>
        <v>3</v>
      </c>
      <c r="M3506" s="33" t="n">
        <f aca="false">IF(I3506="","",ABS(I3506))</f>
        <v>3</v>
      </c>
      <c r="N3506" s="33" t="n">
        <f aca="false">IF(J3506="","",ABS(J3506))</f>
        <v>3.125</v>
      </c>
      <c r="O3506" s="33" t="n">
        <f aca="false">IF(K3506="","",ABS(K3506))</f>
        <v>2.9211961512105</v>
      </c>
      <c r="P3506" s="34" t="str">
        <f aca="false">IF(B3506&gt;=Eval_Start_Week,"YES","")</f>
        <v>YES</v>
      </c>
      <c r="Q3506" s="34" t="str">
        <f aca="false">IF(AND(B3506&gt;=Cal_Start_Week,B3506&lt;=Cal_End_Week),"YES","")</f>
        <v>YES</v>
      </c>
    </row>
    <row r="3507" customFormat="false" ht="15" hidden="false" customHeight="false" outlineLevel="0" collapsed="false">
      <c r="A3507" s="31" t="str">
        <f aca="false">Demand_History!C3507</f>
        <v>ELE-005</v>
      </c>
      <c r="B3507" s="31" t="n">
        <f aca="false">Demand_History!A3507</f>
        <v>74</v>
      </c>
      <c r="C3507" s="32" t="n">
        <f aca="false">Demand_History!D3507</f>
        <v>39</v>
      </c>
      <c r="D3507" s="33" t="n">
        <f aca="false">IF(B3507&gt;=2,C3506,"")</f>
        <v>41</v>
      </c>
      <c r="E3507" s="33" t="n">
        <f aca="false">IF(B3507&gt;=5,AVERAGE(C3503:C3506),"")</f>
        <v>42.75</v>
      </c>
      <c r="F3507" s="33" t="n">
        <f aca="false">IF(B3507&gt;=9,AVERAGE(C3499:C3506),"")</f>
        <v>44.375</v>
      </c>
      <c r="G3507" s="33" t="n">
        <f aca="false">IF(B3507=1,"",IF(B3507=2,C3506,SES_Alpha*C3506+(1-SES_Alpha)*G3506))</f>
        <v>43.0448373058473</v>
      </c>
      <c r="H3507" s="33" t="n">
        <f aca="false">IF(D3507="","",D3507-C3507)</f>
        <v>2</v>
      </c>
      <c r="I3507" s="33" t="n">
        <f aca="false">IF(E3507="","",E3507-C3507)</f>
        <v>3.75</v>
      </c>
      <c r="J3507" s="33" t="n">
        <f aca="false">IF(F3507="","",F3507-C3507)</f>
        <v>5.375</v>
      </c>
      <c r="K3507" s="33" t="n">
        <f aca="false">IF(G3507="","",G3507-C3507)</f>
        <v>4.04483730584735</v>
      </c>
      <c r="L3507" s="33" t="n">
        <f aca="false">IF(H3507="","",ABS(H3507))</f>
        <v>2</v>
      </c>
      <c r="M3507" s="33" t="n">
        <f aca="false">IF(I3507="","",ABS(I3507))</f>
        <v>3.75</v>
      </c>
      <c r="N3507" s="33" t="n">
        <f aca="false">IF(J3507="","",ABS(J3507))</f>
        <v>5.375</v>
      </c>
      <c r="O3507" s="33" t="n">
        <f aca="false">IF(K3507="","",ABS(K3507))</f>
        <v>4.04483730584735</v>
      </c>
      <c r="P3507" s="34" t="str">
        <f aca="false">IF(B3507&gt;=Eval_Start_Week,"YES","")</f>
        <v>YES</v>
      </c>
      <c r="Q3507" s="34" t="str">
        <f aca="false">IF(AND(B3507&gt;=Cal_Start_Week,B3507&lt;=Cal_End_Week),"YES","")</f>
        <v>YES</v>
      </c>
    </row>
    <row r="3508" customFormat="false" ht="15" hidden="false" customHeight="false" outlineLevel="0" collapsed="false">
      <c r="A3508" s="31" t="str">
        <f aca="false">Demand_History!C3508</f>
        <v>ELE-005</v>
      </c>
      <c r="B3508" s="31" t="n">
        <f aca="false">Demand_History!A3508</f>
        <v>75</v>
      </c>
      <c r="C3508" s="32" t="n">
        <f aca="false">Demand_History!D3508</f>
        <v>39</v>
      </c>
      <c r="D3508" s="33" t="n">
        <f aca="false">IF(B3508&gt;=2,C3507,"")</f>
        <v>39</v>
      </c>
      <c r="E3508" s="33" t="n">
        <f aca="false">IF(B3508&gt;=5,AVERAGE(C3504:C3507),"")</f>
        <v>42</v>
      </c>
      <c r="F3508" s="33" t="n">
        <f aca="false">IF(B3508&gt;=9,AVERAGE(C3500:C3507),"")</f>
        <v>43.5</v>
      </c>
      <c r="G3508" s="33" t="n">
        <f aca="false">IF(B3508=1,"",IF(B3508=2,C3507,SES_Alpha*C3507+(1-SES_Alpha)*G3507))</f>
        <v>41.8313861140931</v>
      </c>
      <c r="H3508" s="33" t="n">
        <f aca="false">IF(D3508="","",D3508-C3508)</f>
        <v>0</v>
      </c>
      <c r="I3508" s="33" t="n">
        <f aca="false">IF(E3508="","",E3508-C3508)</f>
        <v>3</v>
      </c>
      <c r="J3508" s="33" t="n">
        <f aca="false">IF(F3508="","",F3508-C3508)</f>
        <v>4.5</v>
      </c>
      <c r="K3508" s="33" t="n">
        <f aca="false">IF(G3508="","",G3508-C3508)</f>
        <v>2.83138611409314</v>
      </c>
      <c r="L3508" s="33" t="n">
        <f aca="false">IF(H3508="","",ABS(H3508))</f>
        <v>0</v>
      </c>
      <c r="M3508" s="33" t="n">
        <f aca="false">IF(I3508="","",ABS(I3508))</f>
        <v>3</v>
      </c>
      <c r="N3508" s="33" t="n">
        <f aca="false">IF(J3508="","",ABS(J3508))</f>
        <v>4.5</v>
      </c>
      <c r="O3508" s="33" t="n">
        <f aca="false">IF(K3508="","",ABS(K3508))</f>
        <v>2.83138611409314</v>
      </c>
      <c r="P3508" s="34" t="str">
        <f aca="false">IF(B3508&gt;=Eval_Start_Week,"YES","")</f>
        <v>YES</v>
      </c>
      <c r="Q3508" s="34" t="str">
        <f aca="false">IF(AND(B3508&gt;=Cal_Start_Week,B3508&lt;=Cal_End_Week),"YES","")</f>
        <v>YES</v>
      </c>
    </row>
    <row r="3509" customFormat="false" ht="15" hidden="false" customHeight="false" outlineLevel="0" collapsed="false">
      <c r="A3509" s="31" t="str">
        <f aca="false">Demand_History!C3509</f>
        <v>ELE-005</v>
      </c>
      <c r="B3509" s="31" t="n">
        <f aca="false">Demand_History!A3509</f>
        <v>76</v>
      </c>
      <c r="C3509" s="32" t="n">
        <f aca="false">Demand_History!D3509</f>
        <v>51</v>
      </c>
      <c r="D3509" s="33" t="n">
        <f aca="false">IF(B3509&gt;=2,C3508,"")</f>
        <v>39</v>
      </c>
      <c r="E3509" s="33" t="n">
        <f aca="false">IF(B3509&gt;=5,AVERAGE(C3505:C3508),"")</f>
        <v>40.75</v>
      </c>
      <c r="F3509" s="33" t="n">
        <f aca="false">IF(B3509&gt;=9,AVERAGE(C3501:C3508),"")</f>
        <v>42.5</v>
      </c>
      <c r="G3509" s="33" t="n">
        <f aca="false">IF(B3509=1,"",IF(B3509=2,C3508,SES_Alpha*C3508+(1-SES_Alpha)*G3508))</f>
        <v>40.9819702798652</v>
      </c>
      <c r="H3509" s="33" t="n">
        <f aca="false">IF(D3509="","",D3509-C3509)</f>
        <v>-12</v>
      </c>
      <c r="I3509" s="33" t="n">
        <f aca="false">IF(E3509="","",E3509-C3509)</f>
        <v>-10.25</v>
      </c>
      <c r="J3509" s="33" t="n">
        <f aca="false">IF(F3509="","",F3509-C3509)</f>
        <v>-8.5</v>
      </c>
      <c r="K3509" s="33" t="n">
        <f aca="false">IF(G3509="","",G3509-C3509)</f>
        <v>-10.0180297201348</v>
      </c>
      <c r="L3509" s="33" t="n">
        <f aca="false">IF(H3509="","",ABS(H3509))</f>
        <v>12</v>
      </c>
      <c r="M3509" s="33" t="n">
        <f aca="false">IF(I3509="","",ABS(I3509))</f>
        <v>10.25</v>
      </c>
      <c r="N3509" s="33" t="n">
        <f aca="false">IF(J3509="","",ABS(J3509))</f>
        <v>8.5</v>
      </c>
      <c r="O3509" s="33" t="n">
        <f aca="false">IF(K3509="","",ABS(K3509))</f>
        <v>10.0180297201348</v>
      </c>
      <c r="P3509" s="34" t="str">
        <f aca="false">IF(B3509&gt;=Eval_Start_Week,"YES","")</f>
        <v>YES</v>
      </c>
      <c r="Q3509" s="34" t="str">
        <f aca="false">IF(AND(B3509&gt;=Cal_Start_Week,B3509&lt;=Cal_End_Week),"YES","")</f>
        <v>YES</v>
      </c>
    </row>
    <row r="3510" customFormat="false" ht="15" hidden="false" customHeight="false" outlineLevel="0" collapsed="false">
      <c r="A3510" s="31" t="str">
        <f aca="false">Demand_History!C3510</f>
        <v>ELE-005</v>
      </c>
      <c r="B3510" s="31" t="n">
        <f aca="false">Demand_History!A3510</f>
        <v>77</v>
      </c>
      <c r="C3510" s="32" t="n">
        <f aca="false">Demand_History!D3510</f>
        <v>38</v>
      </c>
      <c r="D3510" s="33" t="n">
        <f aca="false">IF(B3510&gt;=2,C3509,"")</f>
        <v>51</v>
      </c>
      <c r="E3510" s="33" t="n">
        <f aca="false">IF(B3510&gt;=5,AVERAGE(C3506:C3509),"")</f>
        <v>42.5</v>
      </c>
      <c r="F3510" s="33" t="n">
        <f aca="false">IF(B3510&gt;=9,AVERAGE(C3502:C3509),"")</f>
        <v>43.25</v>
      </c>
      <c r="G3510" s="33" t="n">
        <f aca="false">IF(B3510=1,"",IF(B3510=2,C3509,SES_Alpha*C3509+(1-SES_Alpha)*G3509))</f>
        <v>43.9873791959056</v>
      </c>
      <c r="H3510" s="33" t="n">
        <f aca="false">IF(D3510="","",D3510-C3510)</f>
        <v>13</v>
      </c>
      <c r="I3510" s="33" t="n">
        <f aca="false">IF(E3510="","",E3510-C3510)</f>
        <v>4.5</v>
      </c>
      <c r="J3510" s="33" t="n">
        <f aca="false">IF(F3510="","",F3510-C3510)</f>
        <v>5.25</v>
      </c>
      <c r="K3510" s="33" t="n">
        <f aca="false">IF(G3510="","",G3510-C3510)</f>
        <v>5.98737919590563</v>
      </c>
      <c r="L3510" s="33" t="n">
        <f aca="false">IF(H3510="","",ABS(H3510))</f>
        <v>13</v>
      </c>
      <c r="M3510" s="33" t="n">
        <f aca="false">IF(I3510="","",ABS(I3510))</f>
        <v>4.5</v>
      </c>
      <c r="N3510" s="33" t="n">
        <f aca="false">IF(J3510="","",ABS(J3510))</f>
        <v>5.25</v>
      </c>
      <c r="O3510" s="33" t="n">
        <f aca="false">IF(K3510="","",ABS(K3510))</f>
        <v>5.98737919590563</v>
      </c>
      <c r="P3510" s="34" t="str">
        <f aca="false">IF(B3510&gt;=Eval_Start_Week,"YES","")</f>
        <v>YES</v>
      </c>
      <c r="Q3510" s="34" t="str">
        <f aca="false">IF(AND(B3510&gt;=Cal_Start_Week,B3510&lt;=Cal_End_Week),"YES","")</f>
        <v>YES</v>
      </c>
    </row>
    <row r="3511" customFormat="false" ht="15" hidden="false" customHeight="false" outlineLevel="0" collapsed="false">
      <c r="A3511" s="31" t="str">
        <f aca="false">Demand_History!C3511</f>
        <v>ELE-005</v>
      </c>
      <c r="B3511" s="31" t="n">
        <f aca="false">Demand_History!A3511</f>
        <v>78</v>
      </c>
      <c r="C3511" s="32" t="n">
        <f aca="false">Demand_History!D3511</f>
        <v>36</v>
      </c>
      <c r="D3511" s="33" t="n">
        <f aca="false">IF(B3511&gt;=2,C3510,"")</f>
        <v>38</v>
      </c>
      <c r="E3511" s="33" t="n">
        <f aca="false">IF(B3511&gt;=5,AVERAGE(C3507:C3510),"")</f>
        <v>41.75</v>
      </c>
      <c r="F3511" s="33" t="n">
        <f aca="false">IF(B3511&gt;=9,AVERAGE(C3503:C3510),"")</f>
        <v>42.25</v>
      </c>
      <c r="G3511" s="33" t="n">
        <f aca="false">IF(B3511=1,"",IF(B3511=2,C3510,SES_Alpha*C3510+(1-SES_Alpha)*G3510))</f>
        <v>42.1911654371339</v>
      </c>
      <c r="H3511" s="33" t="n">
        <f aca="false">IF(D3511="","",D3511-C3511)</f>
        <v>2</v>
      </c>
      <c r="I3511" s="33" t="n">
        <f aca="false">IF(E3511="","",E3511-C3511)</f>
        <v>5.75</v>
      </c>
      <c r="J3511" s="33" t="n">
        <f aca="false">IF(F3511="","",F3511-C3511)</f>
        <v>6.25</v>
      </c>
      <c r="K3511" s="33" t="n">
        <f aca="false">IF(G3511="","",G3511-C3511)</f>
        <v>6.19116543713394</v>
      </c>
      <c r="L3511" s="33" t="n">
        <f aca="false">IF(H3511="","",ABS(H3511))</f>
        <v>2</v>
      </c>
      <c r="M3511" s="33" t="n">
        <f aca="false">IF(I3511="","",ABS(I3511))</f>
        <v>5.75</v>
      </c>
      <c r="N3511" s="33" t="n">
        <f aca="false">IF(J3511="","",ABS(J3511))</f>
        <v>6.25</v>
      </c>
      <c r="O3511" s="33" t="n">
        <f aca="false">IF(K3511="","",ABS(K3511))</f>
        <v>6.19116543713394</v>
      </c>
      <c r="P3511" s="34" t="str">
        <f aca="false">IF(B3511&gt;=Eval_Start_Week,"YES","")</f>
        <v>YES</v>
      </c>
      <c r="Q3511" s="34" t="str">
        <f aca="false">IF(AND(B3511&gt;=Cal_Start_Week,B3511&lt;=Cal_End_Week),"YES","")</f>
        <v>YES</v>
      </c>
    </row>
    <row r="3512" customFormat="false" ht="15" hidden="false" customHeight="false" outlineLevel="0" collapsed="false">
      <c r="A3512" s="31" t="str">
        <f aca="false">Demand_History!C3512</f>
        <v>ELE-005</v>
      </c>
      <c r="B3512" s="31" t="n">
        <f aca="false">Demand_History!A3512</f>
        <v>79</v>
      </c>
      <c r="C3512" s="32" t="n">
        <f aca="false">Demand_History!D3512</f>
        <v>35</v>
      </c>
      <c r="D3512" s="33" t="n">
        <f aca="false">IF(B3512&gt;=2,C3511,"")</f>
        <v>36</v>
      </c>
      <c r="E3512" s="33" t="n">
        <f aca="false">IF(B3512&gt;=5,AVERAGE(C3508:C3511),"")</f>
        <v>41</v>
      </c>
      <c r="F3512" s="33" t="n">
        <f aca="false">IF(B3512&gt;=9,AVERAGE(C3504:C3511),"")</f>
        <v>41.5</v>
      </c>
      <c r="G3512" s="33" t="n">
        <f aca="false">IF(B3512=1,"",IF(B3512=2,C3511,SES_Alpha*C3511+(1-SES_Alpha)*G3511))</f>
        <v>40.3338158059938</v>
      </c>
      <c r="H3512" s="33" t="n">
        <f aca="false">IF(D3512="","",D3512-C3512)</f>
        <v>1</v>
      </c>
      <c r="I3512" s="33" t="n">
        <f aca="false">IF(E3512="","",E3512-C3512)</f>
        <v>6</v>
      </c>
      <c r="J3512" s="33" t="n">
        <f aca="false">IF(F3512="","",F3512-C3512)</f>
        <v>6.5</v>
      </c>
      <c r="K3512" s="33" t="n">
        <f aca="false">IF(G3512="","",G3512-C3512)</f>
        <v>5.33381580599375</v>
      </c>
      <c r="L3512" s="33" t="n">
        <f aca="false">IF(H3512="","",ABS(H3512))</f>
        <v>1</v>
      </c>
      <c r="M3512" s="33" t="n">
        <f aca="false">IF(I3512="","",ABS(I3512))</f>
        <v>6</v>
      </c>
      <c r="N3512" s="33" t="n">
        <f aca="false">IF(J3512="","",ABS(J3512))</f>
        <v>6.5</v>
      </c>
      <c r="O3512" s="33" t="n">
        <f aca="false">IF(K3512="","",ABS(K3512))</f>
        <v>5.33381580599375</v>
      </c>
      <c r="P3512" s="34" t="str">
        <f aca="false">IF(B3512&gt;=Eval_Start_Week,"YES","")</f>
        <v>YES</v>
      </c>
      <c r="Q3512" s="34" t="str">
        <f aca="false">IF(AND(B3512&gt;=Cal_Start_Week,B3512&lt;=Cal_End_Week),"YES","")</f>
        <v>YES</v>
      </c>
    </row>
    <row r="3513" customFormat="false" ht="15" hidden="false" customHeight="false" outlineLevel="0" collapsed="false">
      <c r="A3513" s="31" t="str">
        <f aca="false">Demand_History!C3513</f>
        <v>ELE-005</v>
      </c>
      <c r="B3513" s="31" t="n">
        <f aca="false">Demand_History!A3513</f>
        <v>80</v>
      </c>
      <c r="C3513" s="32" t="n">
        <f aca="false">Demand_History!D3513</f>
        <v>36</v>
      </c>
      <c r="D3513" s="33" t="n">
        <f aca="false">IF(B3513&gt;=2,C3512,"")</f>
        <v>35</v>
      </c>
      <c r="E3513" s="33" t="n">
        <f aca="false">IF(B3513&gt;=5,AVERAGE(C3509:C3512),"")</f>
        <v>40</v>
      </c>
      <c r="F3513" s="33" t="n">
        <f aca="false">IF(B3513&gt;=9,AVERAGE(C3505:C3512),"")</f>
        <v>40.375</v>
      </c>
      <c r="G3513" s="33" t="n">
        <f aca="false">IF(B3513=1,"",IF(B3513=2,C3512,SES_Alpha*C3512+(1-SES_Alpha)*G3512))</f>
        <v>38.7336710641956</v>
      </c>
      <c r="H3513" s="33" t="n">
        <f aca="false">IF(D3513="","",D3513-C3513)</f>
        <v>-1</v>
      </c>
      <c r="I3513" s="33" t="n">
        <f aca="false">IF(E3513="","",E3513-C3513)</f>
        <v>4</v>
      </c>
      <c r="J3513" s="33" t="n">
        <f aca="false">IF(F3513="","",F3513-C3513)</f>
        <v>4.375</v>
      </c>
      <c r="K3513" s="33" t="n">
        <f aca="false">IF(G3513="","",G3513-C3513)</f>
        <v>2.73367106419562</v>
      </c>
      <c r="L3513" s="33" t="n">
        <f aca="false">IF(H3513="","",ABS(H3513))</f>
        <v>1</v>
      </c>
      <c r="M3513" s="33" t="n">
        <f aca="false">IF(I3513="","",ABS(I3513))</f>
        <v>4</v>
      </c>
      <c r="N3513" s="33" t="n">
        <f aca="false">IF(J3513="","",ABS(J3513))</f>
        <v>4.375</v>
      </c>
      <c r="O3513" s="33" t="n">
        <f aca="false">IF(K3513="","",ABS(K3513))</f>
        <v>2.73367106419562</v>
      </c>
      <c r="P3513" s="34" t="str">
        <f aca="false">IF(B3513&gt;=Eval_Start_Week,"YES","")</f>
        <v>YES</v>
      </c>
      <c r="Q3513" s="34" t="str">
        <f aca="false">IF(AND(B3513&gt;=Cal_Start_Week,B3513&lt;=Cal_End_Week),"YES","")</f>
        <v>YES</v>
      </c>
    </row>
    <row r="3514" customFormat="false" ht="15" hidden="false" customHeight="false" outlineLevel="0" collapsed="false">
      <c r="A3514" s="31" t="str">
        <f aca="false">Demand_History!C3514</f>
        <v>ELE-005</v>
      </c>
      <c r="B3514" s="31" t="n">
        <f aca="false">Demand_History!A3514</f>
        <v>81</v>
      </c>
      <c r="C3514" s="32" t="n">
        <f aca="false">Demand_History!D3514</f>
        <v>38</v>
      </c>
      <c r="D3514" s="33" t="n">
        <f aca="false">IF(B3514&gt;=2,C3513,"")</f>
        <v>36</v>
      </c>
      <c r="E3514" s="33" t="n">
        <f aca="false">IF(B3514&gt;=5,AVERAGE(C3510:C3513),"")</f>
        <v>36.25</v>
      </c>
      <c r="F3514" s="33" t="n">
        <f aca="false">IF(B3514&gt;=9,AVERAGE(C3506:C3513),"")</f>
        <v>39.375</v>
      </c>
      <c r="G3514" s="33" t="n">
        <f aca="false">IF(B3514=1,"",IF(B3514=2,C3513,SES_Alpha*C3513+(1-SES_Alpha)*G3513))</f>
        <v>37.9135697449369</v>
      </c>
      <c r="H3514" s="33" t="n">
        <f aca="false">IF(D3514="","",D3514-C3514)</f>
        <v>-2</v>
      </c>
      <c r="I3514" s="33" t="n">
        <f aca="false">IF(E3514="","",E3514-C3514)</f>
        <v>-1.75</v>
      </c>
      <c r="J3514" s="33" t="n">
        <f aca="false">IF(F3514="","",F3514-C3514)</f>
        <v>1.375</v>
      </c>
      <c r="K3514" s="33" t="n">
        <f aca="false">IF(G3514="","",G3514-C3514)</f>
        <v>-0.0864302550630711</v>
      </c>
      <c r="L3514" s="33" t="n">
        <f aca="false">IF(H3514="","",ABS(H3514))</f>
        <v>2</v>
      </c>
      <c r="M3514" s="33" t="n">
        <f aca="false">IF(I3514="","",ABS(I3514))</f>
        <v>1.75</v>
      </c>
      <c r="N3514" s="33" t="n">
        <f aca="false">IF(J3514="","",ABS(J3514))</f>
        <v>1.375</v>
      </c>
      <c r="O3514" s="33" t="n">
        <f aca="false">IF(K3514="","",ABS(K3514))</f>
        <v>0.0864302550630711</v>
      </c>
      <c r="P3514" s="34" t="str">
        <f aca="false">IF(B3514&gt;=Eval_Start_Week,"YES","")</f>
        <v>YES</v>
      </c>
      <c r="Q3514" s="34" t="str">
        <f aca="false">IF(AND(B3514&gt;=Cal_Start_Week,B3514&lt;=Cal_End_Week),"YES","")</f>
        <v>YES</v>
      </c>
    </row>
    <row r="3515" customFormat="false" ht="15" hidden="false" customHeight="false" outlineLevel="0" collapsed="false">
      <c r="A3515" s="31" t="str">
        <f aca="false">Demand_History!C3515</f>
        <v>ELE-005</v>
      </c>
      <c r="B3515" s="31" t="n">
        <f aca="false">Demand_History!A3515</f>
        <v>82</v>
      </c>
      <c r="C3515" s="32" t="n">
        <f aca="false">Demand_History!D3515</f>
        <v>30</v>
      </c>
      <c r="D3515" s="33" t="n">
        <f aca="false">IF(B3515&gt;=2,C3514,"")</f>
        <v>38</v>
      </c>
      <c r="E3515" s="33" t="n">
        <f aca="false">IF(B3515&gt;=5,AVERAGE(C3511:C3514),"")</f>
        <v>36.25</v>
      </c>
      <c r="F3515" s="33" t="n">
        <f aca="false">IF(B3515&gt;=9,AVERAGE(C3507:C3514),"")</f>
        <v>39</v>
      </c>
      <c r="G3515" s="33" t="n">
        <f aca="false">IF(B3515=1,"",IF(B3515=2,C3514,SES_Alpha*C3514+(1-SES_Alpha)*G3514))</f>
        <v>37.9394988214559</v>
      </c>
      <c r="H3515" s="33" t="n">
        <f aca="false">IF(D3515="","",D3515-C3515)</f>
        <v>8</v>
      </c>
      <c r="I3515" s="33" t="n">
        <f aca="false">IF(E3515="","",E3515-C3515)</f>
        <v>6.25</v>
      </c>
      <c r="J3515" s="33" t="n">
        <f aca="false">IF(F3515="","",F3515-C3515)</f>
        <v>9</v>
      </c>
      <c r="K3515" s="33" t="n">
        <f aca="false">IF(G3515="","",G3515-C3515)</f>
        <v>7.93949882145585</v>
      </c>
      <c r="L3515" s="33" t="n">
        <f aca="false">IF(H3515="","",ABS(H3515))</f>
        <v>8</v>
      </c>
      <c r="M3515" s="33" t="n">
        <f aca="false">IF(I3515="","",ABS(I3515))</f>
        <v>6.25</v>
      </c>
      <c r="N3515" s="33" t="n">
        <f aca="false">IF(J3515="","",ABS(J3515))</f>
        <v>9</v>
      </c>
      <c r="O3515" s="33" t="n">
        <f aca="false">IF(K3515="","",ABS(K3515))</f>
        <v>7.93949882145585</v>
      </c>
      <c r="P3515" s="34" t="str">
        <f aca="false">IF(B3515&gt;=Eval_Start_Week,"YES","")</f>
        <v>YES</v>
      </c>
      <c r="Q3515" s="34" t="str">
        <f aca="false">IF(AND(B3515&gt;=Cal_Start_Week,B3515&lt;=Cal_End_Week),"YES","")</f>
        <v>YES</v>
      </c>
    </row>
    <row r="3516" customFormat="false" ht="15" hidden="false" customHeight="false" outlineLevel="0" collapsed="false">
      <c r="A3516" s="31" t="str">
        <f aca="false">Demand_History!C3516</f>
        <v>ELE-005</v>
      </c>
      <c r="B3516" s="31" t="n">
        <f aca="false">Demand_History!A3516</f>
        <v>83</v>
      </c>
      <c r="C3516" s="32" t="n">
        <f aca="false">Demand_History!D3516</f>
        <v>26</v>
      </c>
      <c r="D3516" s="33" t="n">
        <f aca="false">IF(B3516&gt;=2,C3515,"")</f>
        <v>30</v>
      </c>
      <c r="E3516" s="33" t="n">
        <f aca="false">IF(B3516&gt;=5,AVERAGE(C3512:C3515),"")</f>
        <v>34.75</v>
      </c>
      <c r="F3516" s="33" t="n">
        <f aca="false">IF(B3516&gt;=9,AVERAGE(C3508:C3515),"")</f>
        <v>37.875</v>
      </c>
      <c r="G3516" s="33" t="n">
        <f aca="false">IF(B3516=1,"",IF(B3516=2,C3515,SES_Alpha*C3515+(1-SES_Alpha)*G3515))</f>
        <v>35.5576491750191</v>
      </c>
      <c r="H3516" s="33" t="n">
        <f aca="false">IF(D3516="","",D3516-C3516)</f>
        <v>4</v>
      </c>
      <c r="I3516" s="33" t="n">
        <f aca="false">IF(E3516="","",E3516-C3516)</f>
        <v>8.75</v>
      </c>
      <c r="J3516" s="33" t="n">
        <f aca="false">IF(F3516="","",F3516-C3516)</f>
        <v>11.875</v>
      </c>
      <c r="K3516" s="33" t="n">
        <f aca="false">IF(G3516="","",G3516-C3516)</f>
        <v>9.55764917501909</v>
      </c>
      <c r="L3516" s="33" t="n">
        <f aca="false">IF(H3516="","",ABS(H3516))</f>
        <v>4</v>
      </c>
      <c r="M3516" s="33" t="n">
        <f aca="false">IF(I3516="","",ABS(I3516))</f>
        <v>8.75</v>
      </c>
      <c r="N3516" s="33" t="n">
        <f aca="false">IF(J3516="","",ABS(J3516))</f>
        <v>11.875</v>
      </c>
      <c r="O3516" s="33" t="n">
        <f aca="false">IF(K3516="","",ABS(K3516))</f>
        <v>9.55764917501909</v>
      </c>
      <c r="P3516" s="34" t="str">
        <f aca="false">IF(B3516&gt;=Eval_Start_Week,"YES","")</f>
        <v>YES</v>
      </c>
      <c r="Q3516" s="34" t="str">
        <f aca="false">IF(AND(B3516&gt;=Cal_Start_Week,B3516&lt;=Cal_End_Week),"YES","")</f>
        <v>YES</v>
      </c>
    </row>
    <row r="3517" customFormat="false" ht="15" hidden="false" customHeight="false" outlineLevel="0" collapsed="false">
      <c r="A3517" s="31" t="str">
        <f aca="false">Demand_History!C3517</f>
        <v>ELE-005</v>
      </c>
      <c r="B3517" s="31" t="n">
        <f aca="false">Demand_History!A3517</f>
        <v>84</v>
      </c>
      <c r="C3517" s="32" t="n">
        <f aca="false">Demand_History!D3517</f>
        <v>37</v>
      </c>
      <c r="D3517" s="33" t="n">
        <f aca="false">IF(B3517&gt;=2,C3516,"")</f>
        <v>26</v>
      </c>
      <c r="E3517" s="33" t="n">
        <f aca="false">IF(B3517&gt;=5,AVERAGE(C3513:C3516),"")</f>
        <v>32.5</v>
      </c>
      <c r="F3517" s="33" t="n">
        <f aca="false">IF(B3517&gt;=9,AVERAGE(C3509:C3516),"")</f>
        <v>36.25</v>
      </c>
      <c r="G3517" s="33" t="n">
        <f aca="false">IF(B3517=1,"",IF(B3517=2,C3516,SES_Alpha*C3516+(1-SES_Alpha)*G3516))</f>
        <v>32.6903544225134</v>
      </c>
      <c r="H3517" s="33" t="n">
        <f aca="false">IF(D3517="","",D3517-C3517)</f>
        <v>-11</v>
      </c>
      <c r="I3517" s="33" t="n">
        <f aca="false">IF(E3517="","",E3517-C3517)</f>
        <v>-4.5</v>
      </c>
      <c r="J3517" s="33" t="n">
        <f aca="false">IF(F3517="","",F3517-C3517)</f>
        <v>-0.75</v>
      </c>
      <c r="K3517" s="33" t="n">
        <f aca="false">IF(G3517="","",G3517-C3517)</f>
        <v>-4.30964557748663</v>
      </c>
      <c r="L3517" s="33" t="n">
        <f aca="false">IF(H3517="","",ABS(H3517))</f>
        <v>11</v>
      </c>
      <c r="M3517" s="33" t="n">
        <f aca="false">IF(I3517="","",ABS(I3517))</f>
        <v>4.5</v>
      </c>
      <c r="N3517" s="33" t="n">
        <f aca="false">IF(J3517="","",ABS(J3517))</f>
        <v>0.75</v>
      </c>
      <c r="O3517" s="33" t="n">
        <f aca="false">IF(K3517="","",ABS(K3517))</f>
        <v>4.30964557748663</v>
      </c>
      <c r="P3517" s="34" t="str">
        <f aca="false">IF(B3517&gt;=Eval_Start_Week,"YES","")</f>
        <v>YES</v>
      </c>
      <c r="Q3517" s="34" t="str">
        <f aca="false">IF(AND(B3517&gt;=Cal_Start_Week,B3517&lt;=Cal_End_Week),"YES","")</f>
        <v>YES</v>
      </c>
    </row>
    <row r="3518" customFormat="false" ht="15" hidden="false" customHeight="false" outlineLevel="0" collapsed="false">
      <c r="A3518" s="31" t="str">
        <f aca="false">Demand_History!C3518</f>
        <v>ELE-005</v>
      </c>
      <c r="B3518" s="31" t="n">
        <f aca="false">Demand_History!A3518</f>
        <v>85</v>
      </c>
      <c r="C3518" s="32" t="n">
        <f aca="false">Demand_History!D3518</f>
        <v>27</v>
      </c>
      <c r="D3518" s="33" t="n">
        <f aca="false">IF(B3518&gt;=2,C3517,"")</f>
        <v>37</v>
      </c>
      <c r="E3518" s="33" t="n">
        <f aca="false">IF(B3518&gt;=5,AVERAGE(C3514:C3517),"")</f>
        <v>32.75</v>
      </c>
      <c r="F3518" s="33" t="n">
        <f aca="false">IF(B3518&gt;=9,AVERAGE(C3510:C3517),"")</f>
        <v>34.5</v>
      </c>
      <c r="G3518" s="33" t="n">
        <f aca="false">IF(B3518=1,"",IF(B3518=2,C3517,SES_Alpha*C3517+(1-SES_Alpha)*G3517))</f>
        <v>33.9832480957594</v>
      </c>
      <c r="H3518" s="33" t="n">
        <f aca="false">IF(D3518="","",D3518-C3518)</f>
        <v>10</v>
      </c>
      <c r="I3518" s="33" t="n">
        <f aca="false">IF(E3518="","",E3518-C3518)</f>
        <v>5.75</v>
      </c>
      <c r="J3518" s="33" t="n">
        <f aca="false">IF(F3518="","",F3518-C3518)</f>
        <v>7.5</v>
      </c>
      <c r="K3518" s="33" t="n">
        <f aca="false">IF(G3518="","",G3518-C3518)</f>
        <v>6.98324809575936</v>
      </c>
      <c r="L3518" s="33" t="n">
        <f aca="false">IF(H3518="","",ABS(H3518))</f>
        <v>10</v>
      </c>
      <c r="M3518" s="33" t="n">
        <f aca="false">IF(I3518="","",ABS(I3518))</f>
        <v>5.75</v>
      </c>
      <c r="N3518" s="33" t="n">
        <f aca="false">IF(J3518="","",ABS(J3518))</f>
        <v>7.5</v>
      </c>
      <c r="O3518" s="33" t="n">
        <f aca="false">IF(K3518="","",ABS(K3518))</f>
        <v>6.98324809575936</v>
      </c>
      <c r="P3518" s="34" t="str">
        <f aca="false">IF(B3518&gt;=Eval_Start_Week,"YES","")</f>
        <v>YES</v>
      </c>
      <c r="Q3518" s="34" t="str">
        <f aca="false">IF(AND(B3518&gt;=Cal_Start_Week,B3518&lt;=Cal_End_Week),"YES","")</f>
        <v>YES</v>
      </c>
    </row>
    <row r="3519" customFormat="false" ht="15" hidden="false" customHeight="false" outlineLevel="0" collapsed="false">
      <c r="A3519" s="31" t="str">
        <f aca="false">Demand_History!C3519</f>
        <v>ELE-005</v>
      </c>
      <c r="B3519" s="31" t="n">
        <f aca="false">Demand_History!A3519</f>
        <v>86</v>
      </c>
      <c r="C3519" s="32" t="n">
        <f aca="false">Demand_History!D3519</f>
        <v>36</v>
      </c>
      <c r="D3519" s="33" t="n">
        <f aca="false">IF(B3519&gt;=2,C3518,"")</f>
        <v>27</v>
      </c>
      <c r="E3519" s="33" t="n">
        <f aca="false">IF(B3519&gt;=5,AVERAGE(C3515:C3518),"")</f>
        <v>30</v>
      </c>
      <c r="F3519" s="33" t="n">
        <f aca="false">IF(B3519&gt;=9,AVERAGE(C3511:C3518),"")</f>
        <v>33.125</v>
      </c>
      <c r="G3519" s="33" t="n">
        <f aca="false">IF(B3519=1,"",IF(B3519=2,C3518,SES_Alpha*C3518+(1-SES_Alpha)*G3518))</f>
        <v>31.8882736670315</v>
      </c>
      <c r="H3519" s="33" t="n">
        <f aca="false">IF(D3519="","",D3519-C3519)</f>
        <v>-9</v>
      </c>
      <c r="I3519" s="33" t="n">
        <f aca="false">IF(E3519="","",E3519-C3519)</f>
        <v>-6</v>
      </c>
      <c r="J3519" s="33" t="n">
        <f aca="false">IF(F3519="","",F3519-C3519)</f>
        <v>-2.875</v>
      </c>
      <c r="K3519" s="33" t="n">
        <f aca="false">IF(G3519="","",G3519-C3519)</f>
        <v>-4.11172633296845</v>
      </c>
      <c r="L3519" s="33" t="n">
        <f aca="false">IF(H3519="","",ABS(H3519))</f>
        <v>9</v>
      </c>
      <c r="M3519" s="33" t="n">
        <f aca="false">IF(I3519="","",ABS(I3519))</f>
        <v>6</v>
      </c>
      <c r="N3519" s="33" t="n">
        <f aca="false">IF(J3519="","",ABS(J3519))</f>
        <v>2.875</v>
      </c>
      <c r="O3519" s="33" t="n">
        <f aca="false">IF(K3519="","",ABS(K3519))</f>
        <v>4.11172633296845</v>
      </c>
      <c r="P3519" s="34" t="str">
        <f aca="false">IF(B3519&gt;=Eval_Start_Week,"YES","")</f>
        <v>YES</v>
      </c>
      <c r="Q3519" s="34" t="str">
        <f aca="false">IF(AND(B3519&gt;=Cal_Start_Week,B3519&lt;=Cal_End_Week),"YES","")</f>
        <v>YES</v>
      </c>
    </row>
    <row r="3520" customFormat="false" ht="15" hidden="false" customHeight="false" outlineLevel="0" collapsed="false">
      <c r="A3520" s="31" t="str">
        <f aca="false">Demand_History!C3520</f>
        <v>ELE-005</v>
      </c>
      <c r="B3520" s="31" t="n">
        <f aca="false">Demand_History!A3520</f>
        <v>87</v>
      </c>
      <c r="C3520" s="32" t="n">
        <f aca="false">Demand_History!D3520</f>
        <v>35</v>
      </c>
      <c r="D3520" s="33" t="n">
        <f aca="false">IF(B3520&gt;=2,C3519,"")</f>
        <v>36</v>
      </c>
      <c r="E3520" s="33" t="n">
        <f aca="false">IF(B3520&gt;=5,AVERAGE(C3516:C3519),"")</f>
        <v>31.5</v>
      </c>
      <c r="F3520" s="33" t="n">
        <f aca="false">IF(B3520&gt;=9,AVERAGE(C3512:C3519),"")</f>
        <v>33.125</v>
      </c>
      <c r="G3520" s="33" t="n">
        <f aca="false">IF(B3520=1,"",IF(B3520=2,C3519,SES_Alpha*C3519+(1-SES_Alpha)*G3519))</f>
        <v>33.1217915669221</v>
      </c>
      <c r="H3520" s="33" t="n">
        <f aca="false">IF(D3520="","",D3520-C3520)</f>
        <v>1</v>
      </c>
      <c r="I3520" s="33" t="n">
        <f aca="false">IF(E3520="","",E3520-C3520)</f>
        <v>-3.5</v>
      </c>
      <c r="J3520" s="33" t="n">
        <f aca="false">IF(F3520="","",F3520-C3520)</f>
        <v>-1.875</v>
      </c>
      <c r="K3520" s="33" t="n">
        <f aca="false">IF(G3520="","",G3520-C3520)</f>
        <v>-1.87820843307792</v>
      </c>
      <c r="L3520" s="33" t="n">
        <f aca="false">IF(H3520="","",ABS(H3520))</f>
        <v>1</v>
      </c>
      <c r="M3520" s="33" t="n">
        <f aca="false">IF(I3520="","",ABS(I3520))</f>
        <v>3.5</v>
      </c>
      <c r="N3520" s="33" t="n">
        <f aca="false">IF(J3520="","",ABS(J3520))</f>
        <v>1.875</v>
      </c>
      <c r="O3520" s="33" t="n">
        <f aca="false">IF(K3520="","",ABS(K3520))</f>
        <v>1.87820843307792</v>
      </c>
      <c r="P3520" s="34" t="str">
        <f aca="false">IF(B3520&gt;=Eval_Start_Week,"YES","")</f>
        <v>YES</v>
      </c>
      <c r="Q3520" s="34" t="str">
        <f aca="false">IF(AND(B3520&gt;=Cal_Start_Week,B3520&lt;=Cal_End_Week),"YES","")</f>
        <v>YES</v>
      </c>
    </row>
    <row r="3521" customFormat="false" ht="15" hidden="false" customHeight="false" outlineLevel="0" collapsed="false">
      <c r="A3521" s="31" t="str">
        <f aca="false">Demand_History!C3521</f>
        <v>ELE-005</v>
      </c>
      <c r="B3521" s="31" t="n">
        <f aca="false">Demand_History!A3521</f>
        <v>88</v>
      </c>
      <c r="C3521" s="32" t="n">
        <f aca="false">Demand_History!D3521</f>
        <v>40</v>
      </c>
      <c r="D3521" s="33" t="n">
        <f aca="false">IF(B3521&gt;=2,C3520,"")</f>
        <v>35</v>
      </c>
      <c r="E3521" s="33" t="n">
        <f aca="false">IF(B3521&gt;=5,AVERAGE(C3517:C3520),"")</f>
        <v>33.75</v>
      </c>
      <c r="F3521" s="33" t="n">
        <f aca="false">IF(B3521&gt;=9,AVERAGE(C3513:C3520),"")</f>
        <v>33.125</v>
      </c>
      <c r="G3521" s="33" t="n">
        <f aca="false">IF(B3521=1,"",IF(B3521=2,C3520,SES_Alpha*C3520+(1-SES_Alpha)*G3520))</f>
        <v>33.6852540968455</v>
      </c>
      <c r="H3521" s="33" t="n">
        <f aca="false">IF(D3521="","",D3521-C3521)</f>
        <v>-5</v>
      </c>
      <c r="I3521" s="33" t="n">
        <f aca="false">IF(E3521="","",E3521-C3521)</f>
        <v>-6.25</v>
      </c>
      <c r="J3521" s="33" t="n">
        <f aca="false">IF(F3521="","",F3521-C3521)</f>
        <v>-6.875</v>
      </c>
      <c r="K3521" s="33" t="n">
        <f aca="false">IF(G3521="","",G3521-C3521)</f>
        <v>-6.31474590315455</v>
      </c>
      <c r="L3521" s="33" t="n">
        <f aca="false">IF(H3521="","",ABS(H3521))</f>
        <v>5</v>
      </c>
      <c r="M3521" s="33" t="n">
        <f aca="false">IF(I3521="","",ABS(I3521))</f>
        <v>6.25</v>
      </c>
      <c r="N3521" s="33" t="n">
        <f aca="false">IF(J3521="","",ABS(J3521))</f>
        <v>6.875</v>
      </c>
      <c r="O3521" s="33" t="n">
        <f aca="false">IF(K3521="","",ABS(K3521))</f>
        <v>6.31474590315455</v>
      </c>
      <c r="P3521" s="34" t="str">
        <f aca="false">IF(B3521&gt;=Eval_Start_Week,"YES","")</f>
        <v>YES</v>
      </c>
      <c r="Q3521" s="34" t="str">
        <f aca="false">IF(AND(B3521&gt;=Cal_Start_Week,B3521&lt;=Cal_End_Week),"YES","")</f>
        <v>YES</v>
      </c>
    </row>
    <row r="3522" customFormat="false" ht="15" hidden="false" customHeight="false" outlineLevel="0" collapsed="false">
      <c r="A3522" s="31" t="str">
        <f aca="false">Demand_History!C3522</f>
        <v>ELE-005</v>
      </c>
      <c r="B3522" s="31" t="n">
        <f aca="false">Demand_History!A3522</f>
        <v>89</v>
      </c>
      <c r="C3522" s="32" t="n">
        <f aca="false">Demand_History!D3522</f>
        <v>42</v>
      </c>
      <c r="D3522" s="33" t="n">
        <f aca="false">IF(B3522&gt;=2,C3521,"")</f>
        <v>40</v>
      </c>
      <c r="E3522" s="33" t="n">
        <f aca="false">IF(B3522&gt;=5,AVERAGE(C3518:C3521),"")</f>
        <v>34.5</v>
      </c>
      <c r="F3522" s="33" t="n">
        <f aca="false">IF(B3522&gt;=9,AVERAGE(C3514:C3521),"")</f>
        <v>33.625</v>
      </c>
      <c r="G3522" s="33" t="n">
        <f aca="false">IF(B3522=1,"",IF(B3522=2,C3521,SES_Alpha*C3521+(1-SES_Alpha)*G3521))</f>
        <v>35.5796778677918</v>
      </c>
      <c r="H3522" s="33" t="n">
        <f aca="false">IF(D3522="","",D3522-C3522)</f>
        <v>-2</v>
      </c>
      <c r="I3522" s="33" t="n">
        <f aca="false">IF(E3522="","",E3522-C3522)</f>
        <v>-7.5</v>
      </c>
      <c r="J3522" s="33" t="n">
        <f aca="false">IF(F3522="","",F3522-C3522)</f>
        <v>-8.375</v>
      </c>
      <c r="K3522" s="33" t="n">
        <f aca="false">IF(G3522="","",G3522-C3522)</f>
        <v>-6.42032213220818</v>
      </c>
      <c r="L3522" s="33" t="n">
        <f aca="false">IF(H3522="","",ABS(H3522))</f>
        <v>2</v>
      </c>
      <c r="M3522" s="33" t="n">
        <f aca="false">IF(I3522="","",ABS(I3522))</f>
        <v>7.5</v>
      </c>
      <c r="N3522" s="33" t="n">
        <f aca="false">IF(J3522="","",ABS(J3522))</f>
        <v>8.375</v>
      </c>
      <c r="O3522" s="33" t="n">
        <f aca="false">IF(K3522="","",ABS(K3522))</f>
        <v>6.42032213220818</v>
      </c>
      <c r="P3522" s="34" t="str">
        <f aca="false">IF(B3522&gt;=Eval_Start_Week,"YES","")</f>
        <v>YES</v>
      </c>
      <c r="Q3522" s="34" t="str">
        <f aca="false">IF(AND(B3522&gt;=Cal_Start_Week,B3522&lt;=Cal_End_Week),"YES","")</f>
        <v/>
      </c>
    </row>
    <row r="3523" customFormat="false" ht="15" hidden="false" customHeight="false" outlineLevel="0" collapsed="false">
      <c r="A3523" s="31" t="str">
        <f aca="false">Demand_History!C3523</f>
        <v>ELE-005</v>
      </c>
      <c r="B3523" s="31" t="n">
        <f aca="false">Demand_History!A3523</f>
        <v>90</v>
      </c>
      <c r="C3523" s="32" t="n">
        <f aca="false">Demand_History!D3523</f>
        <v>35</v>
      </c>
      <c r="D3523" s="33" t="n">
        <f aca="false">IF(B3523&gt;=2,C3522,"")</f>
        <v>42</v>
      </c>
      <c r="E3523" s="33" t="n">
        <f aca="false">IF(B3523&gt;=5,AVERAGE(C3519:C3522),"")</f>
        <v>38.25</v>
      </c>
      <c r="F3523" s="33" t="n">
        <f aca="false">IF(B3523&gt;=9,AVERAGE(C3515:C3522),"")</f>
        <v>34.125</v>
      </c>
      <c r="G3523" s="33" t="n">
        <f aca="false">IF(B3523=1,"",IF(B3523=2,C3522,SES_Alpha*C3522+(1-SES_Alpha)*G3522))</f>
        <v>37.5057745074543</v>
      </c>
      <c r="H3523" s="33" t="n">
        <f aca="false">IF(D3523="","",D3523-C3523)</f>
        <v>7</v>
      </c>
      <c r="I3523" s="33" t="n">
        <f aca="false">IF(E3523="","",E3523-C3523)</f>
        <v>3.25</v>
      </c>
      <c r="J3523" s="33" t="n">
        <f aca="false">IF(F3523="","",F3523-C3523)</f>
        <v>-0.875</v>
      </c>
      <c r="K3523" s="33" t="n">
        <f aca="false">IF(G3523="","",G3523-C3523)</f>
        <v>2.50577450745427</v>
      </c>
      <c r="L3523" s="33" t="n">
        <f aca="false">IF(H3523="","",ABS(H3523))</f>
        <v>7</v>
      </c>
      <c r="M3523" s="33" t="n">
        <f aca="false">IF(I3523="","",ABS(I3523))</f>
        <v>3.25</v>
      </c>
      <c r="N3523" s="33" t="n">
        <f aca="false">IF(J3523="","",ABS(J3523))</f>
        <v>0.875</v>
      </c>
      <c r="O3523" s="33" t="n">
        <f aca="false">IF(K3523="","",ABS(K3523))</f>
        <v>2.50577450745427</v>
      </c>
      <c r="P3523" s="34" t="str">
        <f aca="false">IF(B3523&gt;=Eval_Start_Week,"YES","")</f>
        <v>YES</v>
      </c>
      <c r="Q3523" s="34" t="str">
        <f aca="false">IF(AND(B3523&gt;=Cal_Start_Week,B3523&lt;=Cal_End_Week),"YES","")</f>
        <v/>
      </c>
    </row>
    <row r="3524" customFormat="false" ht="15" hidden="false" customHeight="false" outlineLevel="0" collapsed="false">
      <c r="A3524" s="31" t="str">
        <f aca="false">Demand_History!C3524</f>
        <v>ELE-005</v>
      </c>
      <c r="B3524" s="31" t="n">
        <f aca="false">Demand_History!A3524</f>
        <v>91</v>
      </c>
      <c r="C3524" s="32" t="n">
        <f aca="false">Demand_History!D3524</f>
        <v>31</v>
      </c>
      <c r="D3524" s="33" t="n">
        <f aca="false">IF(B3524&gt;=2,C3523,"")</f>
        <v>35</v>
      </c>
      <c r="E3524" s="33" t="n">
        <f aca="false">IF(B3524&gt;=5,AVERAGE(C3520:C3523),"")</f>
        <v>38</v>
      </c>
      <c r="F3524" s="33" t="n">
        <f aca="false">IF(B3524&gt;=9,AVERAGE(C3516:C3523),"")</f>
        <v>34.75</v>
      </c>
      <c r="G3524" s="33" t="n">
        <f aca="false">IF(B3524=1,"",IF(B3524=2,C3523,SES_Alpha*C3523+(1-SES_Alpha)*G3523))</f>
        <v>36.754042155218</v>
      </c>
      <c r="H3524" s="33" t="n">
        <f aca="false">IF(D3524="","",D3524-C3524)</f>
        <v>4</v>
      </c>
      <c r="I3524" s="33" t="n">
        <f aca="false">IF(E3524="","",E3524-C3524)</f>
        <v>7</v>
      </c>
      <c r="J3524" s="33" t="n">
        <f aca="false">IF(F3524="","",F3524-C3524)</f>
        <v>3.75</v>
      </c>
      <c r="K3524" s="33" t="n">
        <f aca="false">IF(G3524="","",G3524-C3524)</f>
        <v>5.75404215521799</v>
      </c>
      <c r="L3524" s="33" t="n">
        <f aca="false">IF(H3524="","",ABS(H3524))</f>
        <v>4</v>
      </c>
      <c r="M3524" s="33" t="n">
        <f aca="false">IF(I3524="","",ABS(I3524))</f>
        <v>7</v>
      </c>
      <c r="N3524" s="33" t="n">
        <f aca="false">IF(J3524="","",ABS(J3524))</f>
        <v>3.75</v>
      </c>
      <c r="O3524" s="33" t="n">
        <f aca="false">IF(K3524="","",ABS(K3524))</f>
        <v>5.75404215521799</v>
      </c>
      <c r="P3524" s="34" t="str">
        <f aca="false">IF(B3524&gt;=Eval_Start_Week,"YES","")</f>
        <v>YES</v>
      </c>
      <c r="Q3524" s="34" t="str">
        <f aca="false">IF(AND(B3524&gt;=Cal_Start_Week,B3524&lt;=Cal_End_Week),"YES","")</f>
        <v/>
      </c>
    </row>
    <row r="3525" customFormat="false" ht="15" hidden="false" customHeight="false" outlineLevel="0" collapsed="false">
      <c r="A3525" s="31" t="str">
        <f aca="false">Demand_History!C3525</f>
        <v>ELE-005</v>
      </c>
      <c r="B3525" s="31" t="n">
        <f aca="false">Demand_History!A3525</f>
        <v>92</v>
      </c>
      <c r="C3525" s="32" t="n">
        <f aca="false">Demand_History!D3525</f>
        <v>28</v>
      </c>
      <c r="D3525" s="33" t="n">
        <f aca="false">IF(B3525&gt;=2,C3524,"")</f>
        <v>31</v>
      </c>
      <c r="E3525" s="33" t="n">
        <f aca="false">IF(B3525&gt;=5,AVERAGE(C3521:C3524),"")</f>
        <v>37</v>
      </c>
      <c r="F3525" s="33" t="n">
        <f aca="false">IF(B3525&gt;=9,AVERAGE(C3517:C3524),"")</f>
        <v>35.375</v>
      </c>
      <c r="G3525" s="33" t="n">
        <f aca="false">IF(B3525=1,"",IF(B3525=2,C3524,SES_Alpha*C3524+(1-SES_Alpha)*G3524))</f>
        <v>35.0278295086526</v>
      </c>
      <c r="H3525" s="33" t="n">
        <f aca="false">IF(D3525="","",D3525-C3525)</f>
        <v>3</v>
      </c>
      <c r="I3525" s="33" t="n">
        <f aca="false">IF(E3525="","",E3525-C3525)</f>
        <v>9</v>
      </c>
      <c r="J3525" s="33" t="n">
        <f aca="false">IF(F3525="","",F3525-C3525)</f>
        <v>7.375</v>
      </c>
      <c r="K3525" s="33" t="n">
        <f aca="false">IF(G3525="","",G3525-C3525)</f>
        <v>7.02782950865259</v>
      </c>
      <c r="L3525" s="33" t="n">
        <f aca="false">IF(H3525="","",ABS(H3525))</f>
        <v>3</v>
      </c>
      <c r="M3525" s="33" t="n">
        <f aca="false">IF(I3525="","",ABS(I3525))</f>
        <v>9</v>
      </c>
      <c r="N3525" s="33" t="n">
        <f aca="false">IF(J3525="","",ABS(J3525))</f>
        <v>7.375</v>
      </c>
      <c r="O3525" s="33" t="n">
        <f aca="false">IF(K3525="","",ABS(K3525))</f>
        <v>7.02782950865259</v>
      </c>
      <c r="P3525" s="34" t="str">
        <f aca="false">IF(B3525&gt;=Eval_Start_Week,"YES","")</f>
        <v>YES</v>
      </c>
      <c r="Q3525" s="34" t="str">
        <f aca="false">IF(AND(B3525&gt;=Cal_Start_Week,B3525&lt;=Cal_End_Week),"YES","")</f>
        <v/>
      </c>
    </row>
    <row r="3526" customFormat="false" ht="15" hidden="false" customHeight="false" outlineLevel="0" collapsed="false">
      <c r="A3526" s="31" t="str">
        <f aca="false">Demand_History!C3526</f>
        <v>ELE-005</v>
      </c>
      <c r="B3526" s="31" t="n">
        <f aca="false">Demand_History!A3526</f>
        <v>93</v>
      </c>
      <c r="C3526" s="32" t="n">
        <f aca="false">Demand_History!D3526</f>
        <v>29</v>
      </c>
      <c r="D3526" s="33" t="n">
        <f aca="false">IF(B3526&gt;=2,C3525,"")</f>
        <v>28</v>
      </c>
      <c r="E3526" s="33" t="n">
        <f aca="false">IF(B3526&gt;=5,AVERAGE(C3522:C3525),"")</f>
        <v>34</v>
      </c>
      <c r="F3526" s="33" t="n">
        <f aca="false">IF(B3526&gt;=9,AVERAGE(C3518:C3525),"")</f>
        <v>34.25</v>
      </c>
      <c r="G3526" s="33" t="n">
        <f aca="false">IF(B3526=1,"",IF(B3526=2,C3525,SES_Alpha*C3525+(1-SES_Alpha)*G3525))</f>
        <v>32.9194806560568</v>
      </c>
      <c r="H3526" s="33" t="n">
        <f aca="false">IF(D3526="","",D3526-C3526)</f>
        <v>-1</v>
      </c>
      <c r="I3526" s="33" t="n">
        <f aca="false">IF(E3526="","",E3526-C3526)</f>
        <v>5</v>
      </c>
      <c r="J3526" s="33" t="n">
        <f aca="false">IF(F3526="","",F3526-C3526)</f>
        <v>5.25</v>
      </c>
      <c r="K3526" s="33" t="n">
        <f aca="false">IF(G3526="","",G3526-C3526)</f>
        <v>3.91948065605681</v>
      </c>
      <c r="L3526" s="33" t="n">
        <f aca="false">IF(H3526="","",ABS(H3526))</f>
        <v>1</v>
      </c>
      <c r="M3526" s="33" t="n">
        <f aca="false">IF(I3526="","",ABS(I3526))</f>
        <v>5</v>
      </c>
      <c r="N3526" s="33" t="n">
        <f aca="false">IF(J3526="","",ABS(J3526))</f>
        <v>5.25</v>
      </c>
      <c r="O3526" s="33" t="n">
        <f aca="false">IF(K3526="","",ABS(K3526))</f>
        <v>3.91948065605681</v>
      </c>
      <c r="P3526" s="34" t="str">
        <f aca="false">IF(B3526&gt;=Eval_Start_Week,"YES","")</f>
        <v>YES</v>
      </c>
      <c r="Q3526" s="34" t="str">
        <f aca="false">IF(AND(B3526&gt;=Cal_Start_Week,B3526&lt;=Cal_End_Week),"YES","")</f>
        <v/>
      </c>
    </row>
    <row r="3527" customFormat="false" ht="15" hidden="false" customHeight="false" outlineLevel="0" collapsed="false">
      <c r="A3527" s="31" t="str">
        <f aca="false">Demand_History!C3527</f>
        <v>ELE-005</v>
      </c>
      <c r="B3527" s="31" t="n">
        <f aca="false">Demand_History!A3527</f>
        <v>94</v>
      </c>
      <c r="C3527" s="32" t="n">
        <f aca="false">Demand_History!D3527</f>
        <v>32</v>
      </c>
      <c r="D3527" s="33" t="n">
        <f aca="false">IF(B3527&gt;=2,C3526,"")</f>
        <v>29</v>
      </c>
      <c r="E3527" s="33" t="n">
        <f aca="false">IF(B3527&gt;=5,AVERAGE(C3523:C3526),"")</f>
        <v>30.75</v>
      </c>
      <c r="F3527" s="33" t="n">
        <f aca="false">IF(B3527&gt;=9,AVERAGE(C3519:C3526),"")</f>
        <v>34.5</v>
      </c>
      <c r="G3527" s="33" t="n">
        <f aca="false">IF(B3527=1,"",IF(B3527=2,C3526,SES_Alpha*C3526+(1-SES_Alpha)*G3526))</f>
        <v>31.7436364592398</v>
      </c>
      <c r="H3527" s="33" t="n">
        <f aca="false">IF(D3527="","",D3527-C3527)</f>
        <v>-3</v>
      </c>
      <c r="I3527" s="33" t="n">
        <f aca="false">IF(E3527="","",E3527-C3527)</f>
        <v>-1.25</v>
      </c>
      <c r="J3527" s="33" t="n">
        <f aca="false">IF(F3527="","",F3527-C3527)</f>
        <v>2.5</v>
      </c>
      <c r="K3527" s="33" t="n">
        <f aca="false">IF(G3527="","",G3527-C3527)</f>
        <v>-0.256363540760233</v>
      </c>
      <c r="L3527" s="33" t="n">
        <f aca="false">IF(H3527="","",ABS(H3527))</f>
        <v>3</v>
      </c>
      <c r="M3527" s="33" t="n">
        <f aca="false">IF(I3527="","",ABS(I3527))</f>
        <v>1.25</v>
      </c>
      <c r="N3527" s="33" t="n">
        <f aca="false">IF(J3527="","",ABS(J3527))</f>
        <v>2.5</v>
      </c>
      <c r="O3527" s="33" t="n">
        <f aca="false">IF(K3527="","",ABS(K3527))</f>
        <v>0.256363540760233</v>
      </c>
      <c r="P3527" s="34" t="str">
        <f aca="false">IF(B3527&gt;=Eval_Start_Week,"YES","")</f>
        <v>YES</v>
      </c>
      <c r="Q3527" s="34" t="str">
        <f aca="false">IF(AND(B3527&gt;=Cal_Start_Week,B3527&lt;=Cal_End_Week),"YES","")</f>
        <v/>
      </c>
    </row>
    <row r="3528" customFormat="false" ht="15" hidden="false" customHeight="false" outlineLevel="0" collapsed="false">
      <c r="A3528" s="31" t="str">
        <f aca="false">Demand_History!C3528</f>
        <v>ELE-005</v>
      </c>
      <c r="B3528" s="31" t="n">
        <f aca="false">Demand_History!A3528</f>
        <v>95</v>
      </c>
      <c r="C3528" s="32" t="n">
        <f aca="false">Demand_History!D3528</f>
        <v>23</v>
      </c>
      <c r="D3528" s="33" t="n">
        <f aca="false">IF(B3528&gt;=2,C3527,"")</f>
        <v>32</v>
      </c>
      <c r="E3528" s="33" t="n">
        <f aca="false">IF(B3528&gt;=5,AVERAGE(C3524:C3527),"")</f>
        <v>30</v>
      </c>
      <c r="F3528" s="33" t="n">
        <f aca="false">IF(B3528&gt;=9,AVERAGE(C3520:C3527),"")</f>
        <v>34</v>
      </c>
      <c r="G3528" s="33" t="n">
        <f aca="false">IF(B3528=1,"",IF(B3528=2,C3527,SES_Alpha*C3527+(1-SES_Alpha)*G3527))</f>
        <v>31.8205455214678</v>
      </c>
      <c r="H3528" s="33" t="n">
        <f aca="false">IF(D3528="","",D3528-C3528)</f>
        <v>9</v>
      </c>
      <c r="I3528" s="33" t="n">
        <f aca="false">IF(E3528="","",E3528-C3528)</f>
        <v>7</v>
      </c>
      <c r="J3528" s="33" t="n">
        <f aca="false">IF(F3528="","",F3528-C3528)</f>
        <v>11</v>
      </c>
      <c r="K3528" s="33" t="n">
        <f aca="false">IF(G3528="","",G3528-C3528)</f>
        <v>8.82054552146784</v>
      </c>
      <c r="L3528" s="33" t="n">
        <f aca="false">IF(H3528="","",ABS(H3528))</f>
        <v>9</v>
      </c>
      <c r="M3528" s="33" t="n">
        <f aca="false">IF(I3528="","",ABS(I3528))</f>
        <v>7</v>
      </c>
      <c r="N3528" s="33" t="n">
        <f aca="false">IF(J3528="","",ABS(J3528))</f>
        <v>11</v>
      </c>
      <c r="O3528" s="33" t="n">
        <f aca="false">IF(K3528="","",ABS(K3528))</f>
        <v>8.82054552146784</v>
      </c>
      <c r="P3528" s="34" t="str">
        <f aca="false">IF(B3528&gt;=Eval_Start_Week,"YES","")</f>
        <v>YES</v>
      </c>
      <c r="Q3528" s="34" t="str">
        <f aca="false">IF(AND(B3528&gt;=Cal_Start_Week,B3528&lt;=Cal_End_Week),"YES","")</f>
        <v/>
      </c>
    </row>
    <row r="3529" customFormat="false" ht="15" hidden="false" customHeight="false" outlineLevel="0" collapsed="false">
      <c r="A3529" s="31" t="str">
        <f aca="false">Demand_History!C3529</f>
        <v>ELE-005</v>
      </c>
      <c r="B3529" s="31" t="n">
        <f aca="false">Demand_History!A3529</f>
        <v>96</v>
      </c>
      <c r="C3529" s="32" t="n">
        <f aca="false">Demand_History!D3529</f>
        <v>32</v>
      </c>
      <c r="D3529" s="33" t="n">
        <f aca="false">IF(B3529&gt;=2,C3528,"")</f>
        <v>23</v>
      </c>
      <c r="E3529" s="33" t="n">
        <f aca="false">IF(B3529&gt;=5,AVERAGE(C3525:C3528),"")</f>
        <v>28</v>
      </c>
      <c r="F3529" s="33" t="n">
        <f aca="false">IF(B3529&gt;=9,AVERAGE(C3521:C3528),"")</f>
        <v>32.5</v>
      </c>
      <c r="G3529" s="33" t="n">
        <f aca="false">IF(B3529=1,"",IF(B3529=2,C3528,SES_Alpha*C3528+(1-SES_Alpha)*G3528))</f>
        <v>29.1743818650275</v>
      </c>
      <c r="H3529" s="33" t="n">
        <f aca="false">IF(D3529="","",D3529-C3529)</f>
        <v>-9</v>
      </c>
      <c r="I3529" s="33" t="n">
        <f aca="false">IF(E3529="","",E3529-C3529)</f>
        <v>-4</v>
      </c>
      <c r="J3529" s="33" t="n">
        <f aca="false">IF(F3529="","",F3529-C3529)</f>
        <v>0.5</v>
      </c>
      <c r="K3529" s="33" t="n">
        <f aca="false">IF(G3529="","",G3529-C3529)</f>
        <v>-2.82561813497252</v>
      </c>
      <c r="L3529" s="33" t="n">
        <f aca="false">IF(H3529="","",ABS(H3529))</f>
        <v>9</v>
      </c>
      <c r="M3529" s="33" t="n">
        <f aca="false">IF(I3529="","",ABS(I3529))</f>
        <v>4</v>
      </c>
      <c r="N3529" s="33" t="n">
        <f aca="false">IF(J3529="","",ABS(J3529))</f>
        <v>0.5</v>
      </c>
      <c r="O3529" s="33" t="n">
        <f aca="false">IF(K3529="","",ABS(K3529))</f>
        <v>2.82561813497252</v>
      </c>
      <c r="P3529" s="34" t="str">
        <f aca="false">IF(B3529&gt;=Eval_Start_Week,"YES","")</f>
        <v>YES</v>
      </c>
      <c r="Q3529" s="34" t="str">
        <f aca="false">IF(AND(B3529&gt;=Cal_Start_Week,B3529&lt;=Cal_End_Week),"YES","")</f>
        <v/>
      </c>
    </row>
    <row r="3530" customFormat="false" ht="15" hidden="false" customHeight="false" outlineLevel="0" collapsed="false">
      <c r="A3530" s="31" t="str">
        <f aca="false">Demand_History!C3530</f>
        <v>ELE-005</v>
      </c>
      <c r="B3530" s="31" t="n">
        <f aca="false">Demand_History!A3530</f>
        <v>97</v>
      </c>
      <c r="C3530" s="32" t="n">
        <f aca="false">Demand_History!D3530</f>
        <v>31</v>
      </c>
      <c r="D3530" s="33" t="n">
        <f aca="false">IF(B3530&gt;=2,C3529,"")</f>
        <v>32</v>
      </c>
      <c r="E3530" s="33" t="n">
        <f aca="false">IF(B3530&gt;=5,AVERAGE(C3526:C3529),"")</f>
        <v>29</v>
      </c>
      <c r="F3530" s="33" t="n">
        <f aca="false">IF(B3530&gt;=9,AVERAGE(C3522:C3529),"")</f>
        <v>31.5</v>
      </c>
      <c r="G3530" s="33" t="n">
        <f aca="false">IF(B3530=1,"",IF(B3530=2,C3529,SES_Alpha*C3529+(1-SES_Alpha)*G3529))</f>
        <v>30.0220673055192</v>
      </c>
      <c r="H3530" s="33" t="n">
        <f aca="false">IF(D3530="","",D3530-C3530)</f>
        <v>1</v>
      </c>
      <c r="I3530" s="33" t="n">
        <f aca="false">IF(E3530="","",E3530-C3530)</f>
        <v>-2</v>
      </c>
      <c r="J3530" s="33" t="n">
        <f aca="false">IF(F3530="","",F3530-C3530)</f>
        <v>0.5</v>
      </c>
      <c r="K3530" s="33" t="n">
        <f aca="false">IF(G3530="","",G3530-C3530)</f>
        <v>-0.977932694480764</v>
      </c>
      <c r="L3530" s="33" t="n">
        <f aca="false">IF(H3530="","",ABS(H3530))</f>
        <v>1</v>
      </c>
      <c r="M3530" s="33" t="n">
        <f aca="false">IF(I3530="","",ABS(I3530))</f>
        <v>2</v>
      </c>
      <c r="N3530" s="33" t="n">
        <f aca="false">IF(J3530="","",ABS(J3530))</f>
        <v>0.5</v>
      </c>
      <c r="O3530" s="33" t="n">
        <f aca="false">IF(K3530="","",ABS(K3530))</f>
        <v>0.977932694480764</v>
      </c>
      <c r="P3530" s="34" t="str">
        <f aca="false">IF(B3530&gt;=Eval_Start_Week,"YES","")</f>
        <v>YES</v>
      </c>
      <c r="Q3530" s="34" t="str">
        <f aca="false">IF(AND(B3530&gt;=Cal_Start_Week,B3530&lt;=Cal_End_Week),"YES","")</f>
        <v/>
      </c>
    </row>
    <row r="3531" customFormat="false" ht="15" hidden="false" customHeight="false" outlineLevel="0" collapsed="false">
      <c r="A3531" s="31" t="str">
        <f aca="false">Demand_History!C3531</f>
        <v>ELE-005</v>
      </c>
      <c r="B3531" s="31" t="n">
        <f aca="false">Demand_History!A3531</f>
        <v>98</v>
      </c>
      <c r="C3531" s="32" t="n">
        <f aca="false">Demand_History!D3531</f>
        <v>34</v>
      </c>
      <c r="D3531" s="33" t="n">
        <f aca="false">IF(B3531&gt;=2,C3530,"")</f>
        <v>31</v>
      </c>
      <c r="E3531" s="33" t="n">
        <f aca="false">IF(B3531&gt;=5,AVERAGE(C3527:C3530),"")</f>
        <v>29.5</v>
      </c>
      <c r="F3531" s="33" t="n">
        <f aca="false">IF(B3531&gt;=9,AVERAGE(C3523:C3530),"")</f>
        <v>30.125</v>
      </c>
      <c r="G3531" s="33" t="n">
        <f aca="false">IF(B3531=1,"",IF(B3531=2,C3530,SES_Alpha*C3530+(1-SES_Alpha)*G3530))</f>
        <v>30.3154471138635</v>
      </c>
      <c r="H3531" s="33" t="n">
        <f aca="false">IF(D3531="","",D3531-C3531)</f>
        <v>-3</v>
      </c>
      <c r="I3531" s="33" t="n">
        <f aca="false">IF(E3531="","",E3531-C3531)</f>
        <v>-4.5</v>
      </c>
      <c r="J3531" s="33" t="n">
        <f aca="false">IF(F3531="","",F3531-C3531)</f>
        <v>-3.875</v>
      </c>
      <c r="K3531" s="33" t="n">
        <f aca="false">IF(G3531="","",G3531-C3531)</f>
        <v>-3.68455288613654</v>
      </c>
      <c r="L3531" s="33" t="n">
        <f aca="false">IF(H3531="","",ABS(H3531))</f>
        <v>3</v>
      </c>
      <c r="M3531" s="33" t="n">
        <f aca="false">IF(I3531="","",ABS(I3531))</f>
        <v>4.5</v>
      </c>
      <c r="N3531" s="33" t="n">
        <f aca="false">IF(J3531="","",ABS(J3531))</f>
        <v>3.875</v>
      </c>
      <c r="O3531" s="33" t="n">
        <f aca="false">IF(K3531="","",ABS(K3531))</f>
        <v>3.68455288613654</v>
      </c>
      <c r="P3531" s="34" t="str">
        <f aca="false">IF(B3531&gt;=Eval_Start_Week,"YES","")</f>
        <v>YES</v>
      </c>
      <c r="Q3531" s="34" t="str">
        <f aca="false">IF(AND(B3531&gt;=Cal_Start_Week,B3531&lt;=Cal_End_Week),"YES","")</f>
        <v/>
      </c>
    </row>
    <row r="3532" customFormat="false" ht="15" hidden="false" customHeight="false" outlineLevel="0" collapsed="false">
      <c r="A3532" s="31" t="str">
        <f aca="false">Demand_History!C3532</f>
        <v>ELE-005</v>
      </c>
      <c r="B3532" s="31" t="n">
        <f aca="false">Demand_History!A3532</f>
        <v>99</v>
      </c>
      <c r="C3532" s="32" t="n">
        <f aca="false">Demand_History!D3532</f>
        <v>29</v>
      </c>
      <c r="D3532" s="33" t="n">
        <f aca="false">IF(B3532&gt;=2,C3531,"")</f>
        <v>34</v>
      </c>
      <c r="E3532" s="33" t="n">
        <f aca="false">IF(B3532&gt;=5,AVERAGE(C3528:C3531),"")</f>
        <v>30</v>
      </c>
      <c r="F3532" s="33" t="n">
        <f aca="false">IF(B3532&gt;=9,AVERAGE(C3524:C3531),"")</f>
        <v>30</v>
      </c>
      <c r="G3532" s="33" t="n">
        <f aca="false">IF(B3532=1,"",IF(B3532=2,C3531,SES_Alpha*C3531+(1-SES_Alpha)*G3531))</f>
        <v>31.4208129797044</v>
      </c>
      <c r="H3532" s="33" t="n">
        <f aca="false">IF(D3532="","",D3532-C3532)</f>
        <v>5</v>
      </c>
      <c r="I3532" s="33" t="n">
        <f aca="false">IF(E3532="","",E3532-C3532)</f>
        <v>1</v>
      </c>
      <c r="J3532" s="33" t="n">
        <f aca="false">IF(F3532="","",F3532-C3532)</f>
        <v>1</v>
      </c>
      <c r="K3532" s="33" t="n">
        <f aca="false">IF(G3532="","",G3532-C3532)</f>
        <v>2.42081297970442</v>
      </c>
      <c r="L3532" s="33" t="n">
        <f aca="false">IF(H3532="","",ABS(H3532))</f>
        <v>5</v>
      </c>
      <c r="M3532" s="33" t="n">
        <f aca="false">IF(I3532="","",ABS(I3532))</f>
        <v>1</v>
      </c>
      <c r="N3532" s="33" t="n">
        <f aca="false">IF(J3532="","",ABS(J3532))</f>
        <v>1</v>
      </c>
      <c r="O3532" s="33" t="n">
        <f aca="false">IF(K3532="","",ABS(K3532))</f>
        <v>2.42081297970442</v>
      </c>
      <c r="P3532" s="34" t="str">
        <f aca="false">IF(B3532&gt;=Eval_Start_Week,"YES","")</f>
        <v>YES</v>
      </c>
      <c r="Q3532" s="34" t="str">
        <f aca="false">IF(AND(B3532&gt;=Cal_Start_Week,B3532&lt;=Cal_End_Week),"YES","")</f>
        <v/>
      </c>
    </row>
    <row r="3533" customFormat="false" ht="15" hidden="false" customHeight="false" outlineLevel="0" collapsed="false">
      <c r="A3533" s="31" t="str">
        <f aca="false">Demand_History!C3533</f>
        <v>ELE-005</v>
      </c>
      <c r="B3533" s="31" t="n">
        <f aca="false">Demand_History!A3533</f>
        <v>100</v>
      </c>
      <c r="C3533" s="32" t="n">
        <f aca="false">Demand_History!D3533</f>
        <v>31</v>
      </c>
      <c r="D3533" s="33" t="n">
        <f aca="false">IF(B3533&gt;=2,C3532,"")</f>
        <v>29</v>
      </c>
      <c r="E3533" s="33" t="n">
        <f aca="false">IF(B3533&gt;=5,AVERAGE(C3529:C3532),"")</f>
        <v>31.5</v>
      </c>
      <c r="F3533" s="33" t="n">
        <f aca="false">IF(B3533&gt;=9,AVERAGE(C3525:C3532),"")</f>
        <v>29.75</v>
      </c>
      <c r="G3533" s="33" t="n">
        <f aca="false">IF(B3533=1,"",IF(B3533=2,C3532,SES_Alpha*C3532+(1-SES_Alpha)*G3532))</f>
        <v>30.6945690857931</v>
      </c>
      <c r="H3533" s="33" t="n">
        <f aca="false">IF(D3533="","",D3533-C3533)</f>
        <v>-2</v>
      </c>
      <c r="I3533" s="33" t="n">
        <f aca="false">IF(E3533="","",E3533-C3533)</f>
        <v>0.5</v>
      </c>
      <c r="J3533" s="33" t="n">
        <f aca="false">IF(F3533="","",F3533-C3533)</f>
        <v>-1.25</v>
      </c>
      <c r="K3533" s="33" t="n">
        <f aca="false">IF(G3533="","",G3533-C3533)</f>
        <v>-0.305430914206905</v>
      </c>
      <c r="L3533" s="33" t="n">
        <f aca="false">IF(H3533="","",ABS(H3533))</f>
        <v>2</v>
      </c>
      <c r="M3533" s="33" t="n">
        <f aca="false">IF(I3533="","",ABS(I3533))</f>
        <v>0.5</v>
      </c>
      <c r="N3533" s="33" t="n">
        <f aca="false">IF(J3533="","",ABS(J3533))</f>
        <v>1.25</v>
      </c>
      <c r="O3533" s="33" t="n">
        <f aca="false">IF(K3533="","",ABS(K3533))</f>
        <v>0.305430914206905</v>
      </c>
      <c r="P3533" s="34" t="str">
        <f aca="false">IF(B3533&gt;=Eval_Start_Week,"YES","")</f>
        <v>YES</v>
      </c>
      <c r="Q3533" s="34" t="str">
        <f aca="false">IF(AND(B3533&gt;=Cal_Start_Week,B3533&lt;=Cal_End_Week),"YES","")</f>
        <v/>
      </c>
    </row>
    <row r="3534" customFormat="false" ht="15" hidden="false" customHeight="false" outlineLevel="0" collapsed="false">
      <c r="A3534" s="31" t="str">
        <f aca="false">Demand_History!C3534</f>
        <v>ELE-005</v>
      </c>
      <c r="B3534" s="31" t="n">
        <f aca="false">Demand_History!A3534</f>
        <v>101</v>
      </c>
      <c r="C3534" s="32" t="n">
        <f aca="false">Demand_History!D3534</f>
        <v>27</v>
      </c>
      <c r="D3534" s="33" t="n">
        <f aca="false">IF(B3534&gt;=2,C3533,"")</f>
        <v>31</v>
      </c>
      <c r="E3534" s="33" t="n">
        <f aca="false">IF(B3534&gt;=5,AVERAGE(C3530:C3533),"")</f>
        <v>31.25</v>
      </c>
      <c r="F3534" s="33" t="n">
        <f aca="false">IF(B3534&gt;=9,AVERAGE(C3526:C3533),"")</f>
        <v>30.125</v>
      </c>
      <c r="G3534" s="33" t="n">
        <f aca="false">IF(B3534=1,"",IF(B3534=2,C3533,SES_Alpha*C3533+(1-SES_Alpha)*G3533))</f>
        <v>30.7861983600552</v>
      </c>
      <c r="H3534" s="33" t="n">
        <f aca="false">IF(D3534="","",D3534-C3534)</f>
        <v>4</v>
      </c>
      <c r="I3534" s="33" t="n">
        <f aca="false">IF(E3534="","",E3534-C3534)</f>
        <v>4.25</v>
      </c>
      <c r="J3534" s="33" t="n">
        <f aca="false">IF(F3534="","",F3534-C3534)</f>
        <v>3.125</v>
      </c>
      <c r="K3534" s="33" t="n">
        <f aca="false">IF(G3534="","",G3534-C3534)</f>
        <v>3.78619836005517</v>
      </c>
      <c r="L3534" s="33" t="n">
        <f aca="false">IF(H3534="","",ABS(H3534))</f>
        <v>4</v>
      </c>
      <c r="M3534" s="33" t="n">
        <f aca="false">IF(I3534="","",ABS(I3534))</f>
        <v>4.25</v>
      </c>
      <c r="N3534" s="33" t="n">
        <f aca="false">IF(J3534="","",ABS(J3534))</f>
        <v>3.125</v>
      </c>
      <c r="O3534" s="33" t="n">
        <f aca="false">IF(K3534="","",ABS(K3534))</f>
        <v>3.78619836005517</v>
      </c>
      <c r="P3534" s="34" t="str">
        <f aca="false">IF(B3534&gt;=Eval_Start_Week,"YES","")</f>
        <v>YES</v>
      </c>
      <c r="Q3534" s="34" t="str">
        <f aca="false">IF(AND(B3534&gt;=Cal_Start_Week,B3534&lt;=Cal_End_Week),"YES","")</f>
        <v/>
      </c>
    </row>
    <row r="3535" customFormat="false" ht="15" hidden="false" customHeight="false" outlineLevel="0" collapsed="false">
      <c r="A3535" s="31" t="str">
        <f aca="false">Demand_History!C3535</f>
        <v>ELE-005</v>
      </c>
      <c r="B3535" s="31" t="n">
        <f aca="false">Demand_History!A3535</f>
        <v>102</v>
      </c>
      <c r="C3535" s="32" t="n">
        <f aca="false">Demand_History!D3535</f>
        <v>28</v>
      </c>
      <c r="D3535" s="33" t="n">
        <f aca="false">IF(B3535&gt;=2,C3534,"")</f>
        <v>27</v>
      </c>
      <c r="E3535" s="33" t="n">
        <f aca="false">IF(B3535&gt;=5,AVERAGE(C3531:C3534),"")</f>
        <v>30.25</v>
      </c>
      <c r="F3535" s="33" t="n">
        <f aca="false">IF(B3535&gt;=9,AVERAGE(C3527:C3534),"")</f>
        <v>29.875</v>
      </c>
      <c r="G3535" s="33" t="n">
        <f aca="false">IF(B3535=1,"",IF(B3535=2,C3534,SES_Alpha*C3534+(1-SES_Alpha)*G3534))</f>
        <v>29.6503388520386</v>
      </c>
      <c r="H3535" s="33" t="n">
        <f aca="false">IF(D3535="","",D3535-C3535)</f>
        <v>-1</v>
      </c>
      <c r="I3535" s="33" t="n">
        <f aca="false">IF(E3535="","",E3535-C3535)</f>
        <v>2.25</v>
      </c>
      <c r="J3535" s="33" t="n">
        <f aca="false">IF(F3535="","",F3535-C3535)</f>
        <v>1.875</v>
      </c>
      <c r="K3535" s="33" t="n">
        <f aca="false">IF(G3535="","",G3535-C3535)</f>
        <v>1.65033885203862</v>
      </c>
      <c r="L3535" s="33" t="n">
        <f aca="false">IF(H3535="","",ABS(H3535))</f>
        <v>1</v>
      </c>
      <c r="M3535" s="33" t="n">
        <f aca="false">IF(I3535="","",ABS(I3535))</f>
        <v>2.25</v>
      </c>
      <c r="N3535" s="33" t="n">
        <f aca="false">IF(J3535="","",ABS(J3535))</f>
        <v>1.875</v>
      </c>
      <c r="O3535" s="33" t="n">
        <f aca="false">IF(K3535="","",ABS(K3535))</f>
        <v>1.65033885203862</v>
      </c>
      <c r="P3535" s="34" t="str">
        <f aca="false">IF(B3535&gt;=Eval_Start_Week,"YES","")</f>
        <v>YES</v>
      </c>
      <c r="Q3535" s="34" t="str">
        <f aca="false">IF(AND(B3535&gt;=Cal_Start_Week,B3535&lt;=Cal_End_Week),"YES","")</f>
        <v/>
      </c>
    </row>
    <row r="3536" customFormat="false" ht="15" hidden="false" customHeight="false" outlineLevel="0" collapsed="false">
      <c r="A3536" s="31" t="str">
        <f aca="false">Demand_History!C3536</f>
        <v>ELE-005</v>
      </c>
      <c r="B3536" s="31" t="n">
        <f aca="false">Demand_History!A3536</f>
        <v>103</v>
      </c>
      <c r="C3536" s="32" t="n">
        <f aca="false">Demand_History!D3536</f>
        <v>22</v>
      </c>
      <c r="D3536" s="33" t="n">
        <f aca="false">IF(B3536&gt;=2,C3535,"")</f>
        <v>28</v>
      </c>
      <c r="E3536" s="33" t="n">
        <f aca="false">IF(B3536&gt;=5,AVERAGE(C3532:C3535),"")</f>
        <v>28.75</v>
      </c>
      <c r="F3536" s="33" t="n">
        <f aca="false">IF(B3536&gt;=9,AVERAGE(C3528:C3535),"")</f>
        <v>29.375</v>
      </c>
      <c r="G3536" s="33" t="n">
        <f aca="false">IF(B3536=1,"",IF(B3536=2,C3535,SES_Alpha*C3535+(1-SES_Alpha)*G3535))</f>
        <v>29.155237196427</v>
      </c>
      <c r="H3536" s="33" t="n">
        <f aca="false">IF(D3536="","",D3536-C3536)</f>
        <v>6</v>
      </c>
      <c r="I3536" s="33" t="n">
        <f aca="false">IF(E3536="","",E3536-C3536)</f>
        <v>6.75</v>
      </c>
      <c r="J3536" s="33" t="n">
        <f aca="false">IF(F3536="","",F3536-C3536)</f>
        <v>7.375</v>
      </c>
      <c r="K3536" s="33" t="n">
        <f aca="false">IF(G3536="","",G3536-C3536)</f>
        <v>7.15523719642703</v>
      </c>
      <c r="L3536" s="33" t="n">
        <f aca="false">IF(H3536="","",ABS(H3536))</f>
        <v>6</v>
      </c>
      <c r="M3536" s="33" t="n">
        <f aca="false">IF(I3536="","",ABS(I3536))</f>
        <v>6.75</v>
      </c>
      <c r="N3536" s="33" t="n">
        <f aca="false">IF(J3536="","",ABS(J3536))</f>
        <v>7.375</v>
      </c>
      <c r="O3536" s="33" t="n">
        <f aca="false">IF(K3536="","",ABS(K3536))</f>
        <v>7.15523719642703</v>
      </c>
      <c r="P3536" s="34" t="str">
        <f aca="false">IF(B3536&gt;=Eval_Start_Week,"YES","")</f>
        <v>YES</v>
      </c>
      <c r="Q3536" s="34" t="str">
        <f aca="false">IF(AND(B3536&gt;=Cal_Start_Week,B3536&lt;=Cal_End_Week),"YES","")</f>
        <v/>
      </c>
    </row>
    <row r="3537" customFormat="false" ht="15" hidden="false" customHeight="false" outlineLevel="0" collapsed="false">
      <c r="A3537" s="31" t="str">
        <f aca="false">Demand_History!C3537</f>
        <v>ELE-005</v>
      </c>
      <c r="B3537" s="31" t="n">
        <f aca="false">Demand_History!A3537</f>
        <v>104</v>
      </c>
      <c r="C3537" s="32" t="n">
        <f aca="false">Demand_History!D3537</f>
        <v>30</v>
      </c>
      <c r="D3537" s="33" t="n">
        <f aca="false">IF(B3537&gt;=2,C3536,"")</f>
        <v>22</v>
      </c>
      <c r="E3537" s="33" t="n">
        <f aca="false">IF(B3537&gt;=5,AVERAGE(C3533:C3536),"")</f>
        <v>27</v>
      </c>
      <c r="F3537" s="33" t="n">
        <f aca="false">IF(B3537&gt;=9,AVERAGE(C3529:C3536),"")</f>
        <v>29.25</v>
      </c>
      <c r="G3537" s="33" t="n">
        <f aca="false">IF(B3537=1,"",IF(B3537=2,C3536,SES_Alpha*C3536+(1-SES_Alpha)*G3536))</f>
        <v>27.0086660374989</v>
      </c>
      <c r="H3537" s="33" t="n">
        <f aca="false">IF(D3537="","",D3537-C3537)</f>
        <v>-8</v>
      </c>
      <c r="I3537" s="33" t="n">
        <f aca="false">IF(E3537="","",E3537-C3537)</f>
        <v>-3</v>
      </c>
      <c r="J3537" s="33" t="n">
        <f aca="false">IF(F3537="","",F3537-C3537)</f>
        <v>-0.75</v>
      </c>
      <c r="K3537" s="33" t="n">
        <f aca="false">IF(G3537="","",G3537-C3537)</f>
        <v>-2.99133396250108</v>
      </c>
      <c r="L3537" s="33" t="n">
        <f aca="false">IF(H3537="","",ABS(H3537))</f>
        <v>8</v>
      </c>
      <c r="M3537" s="33" t="n">
        <f aca="false">IF(I3537="","",ABS(I3537))</f>
        <v>3</v>
      </c>
      <c r="N3537" s="33" t="n">
        <f aca="false">IF(J3537="","",ABS(J3537))</f>
        <v>0.75</v>
      </c>
      <c r="O3537" s="33" t="n">
        <f aca="false">IF(K3537="","",ABS(K3537))</f>
        <v>2.99133396250108</v>
      </c>
      <c r="P3537" s="34" t="str">
        <f aca="false">IF(B3537&gt;=Eval_Start_Week,"YES","")</f>
        <v>YES</v>
      </c>
      <c r="Q3537" s="34" t="str">
        <f aca="false">IF(AND(B3537&gt;=Cal_Start_Week,B3537&lt;=Cal_End_Week),"YES","")</f>
        <v/>
      </c>
    </row>
    <row r="3538" customFormat="false" ht="15" hidden="false" customHeight="false" outlineLevel="0" collapsed="false">
      <c r="A3538" s="31" t="str">
        <f aca="false">Demand_History!C3538</f>
        <v>ELE-006</v>
      </c>
      <c r="B3538" s="31" t="n">
        <f aca="false">Demand_History!A3538</f>
        <v>1</v>
      </c>
      <c r="C3538" s="32" t="n">
        <f aca="false">Demand_History!D3538</f>
        <v>61</v>
      </c>
      <c r="D3538" s="33" t="str">
        <f aca="false">IF(B3538&gt;=2,C3537,"")</f>
        <v/>
      </c>
      <c r="E3538" s="33" t="str">
        <f aca="false">IF(B3538&gt;=5,AVERAGE(C3534:C3537),"")</f>
        <v/>
      </c>
      <c r="F3538" s="33" t="str">
        <f aca="false">IF(B3538&gt;=9,AVERAGE(C3530:C3537),"")</f>
        <v/>
      </c>
      <c r="G3538" s="33" t="str">
        <f aca="false">IF(B3538=1,"",IF(B3538=2,C3537,SES_Alpha*C3537+(1-SES_Alpha)*G3537))</f>
        <v/>
      </c>
      <c r="H3538" s="33" t="str">
        <f aca="false">IF(D3538="","",D3538-C3538)</f>
        <v/>
      </c>
      <c r="I3538" s="33" t="str">
        <f aca="false">IF(E3538="","",E3538-C3538)</f>
        <v/>
      </c>
      <c r="J3538" s="33" t="str">
        <f aca="false">IF(F3538="","",F3538-C3538)</f>
        <v/>
      </c>
      <c r="K3538" s="33" t="str">
        <f aca="false">IF(G3538="","",G3538-C3538)</f>
        <v/>
      </c>
      <c r="L3538" s="33" t="str">
        <f aca="false">IF(H3538="","",ABS(H3538))</f>
        <v/>
      </c>
      <c r="M3538" s="33" t="str">
        <f aca="false">IF(I3538="","",ABS(I3538))</f>
        <v/>
      </c>
      <c r="N3538" s="33" t="str">
        <f aca="false">IF(J3538="","",ABS(J3538))</f>
        <v/>
      </c>
      <c r="O3538" s="33" t="str">
        <f aca="false">IF(K3538="","",ABS(K3538))</f>
        <v/>
      </c>
      <c r="P3538" s="34" t="str">
        <f aca="false">IF(B3538&gt;=Eval_Start_Week,"YES","")</f>
        <v/>
      </c>
      <c r="Q3538" s="34" t="str">
        <f aca="false">IF(AND(B3538&gt;=Cal_Start_Week,B3538&lt;=Cal_End_Week),"YES","")</f>
        <v/>
      </c>
    </row>
    <row r="3539" customFormat="false" ht="15" hidden="false" customHeight="false" outlineLevel="0" collapsed="false">
      <c r="A3539" s="31" t="str">
        <f aca="false">Demand_History!C3539</f>
        <v>ELE-006</v>
      </c>
      <c r="B3539" s="31" t="n">
        <f aca="false">Demand_History!A3539</f>
        <v>2</v>
      </c>
      <c r="C3539" s="32" t="n">
        <f aca="false">Demand_History!D3539</f>
        <v>63</v>
      </c>
      <c r="D3539" s="33" t="n">
        <f aca="false">IF(B3539&gt;=2,C3538,"")</f>
        <v>61</v>
      </c>
      <c r="E3539" s="33" t="str">
        <f aca="false">IF(B3539&gt;=5,AVERAGE(C3535:C3538),"")</f>
        <v/>
      </c>
      <c r="F3539" s="33" t="str">
        <f aca="false">IF(B3539&gt;=9,AVERAGE(C3531:C3538),"")</f>
        <v/>
      </c>
      <c r="G3539" s="33" t="n">
        <f aca="false">IF(B3539=1,"",IF(B3539=2,C3538,SES_Alpha*C3538+(1-SES_Alpha)*G3538))</f>
        <v>61</v>
      </c>
      <c r="H3539" s="33" t="n">
        <f aca="false">IF(D3539="","",D3539-C3539)</f>
        <v>-2</v>
      </c>
      <c r="I3539" s="33" t="str">
        <f aca="false">IF(E3539="","",E3539-C3539)</f>
        <v/>
      </c>
      <c r="J3539" s="33" t="str">
        <f aca="false">IF(F3539="","",F3539-C3539)</f>
        <v/>
      </c>
      <c r="K3539" s="33" t="n">
        <f aca="false">IF(G3539="","",G3539-C3539)</f>
        <v>-2</v>
      </c>
      <c r="L3539" s="33" t="n">
        <f aca="false">IF(H3539="","",ABS(H3539))</f>
        <v>2</v>
      </c>
      <c r="M3539" s="33" t="str">
        <f aca="false">IF(I3539="","",ABS(I3539))</f>
        <v/>
      </c>
      <c r="N3539" s="33" t="str">
        <f aca="false">IF(J3539="","",ABS(J3539))</f>
        <v/>
      </c>
      <c r="O3539" s="33" t="n">
        <f aca="false">IF(K3539="","",ABS(K3539))</f>
        <v>2</v>
      </c>
      <c r="P3539" s="34" t="str">
        <f aca="false">IF(B3539&gt;=Eval_Start_Week,"YES","")</f>
        <v/>
      </c>
      <c r="Q3539" s="34" t="str">
        <f aca="false">IF(AND(B3539&gt;=Cal_Start_Week,B3539&lt;=Cal_End_Week),"YES","")</f>
        <v/>
      </c>
    </row>
    <row r="3540" customFormat="false" ht="15" hidden="false" customHeight="false" outlineLevel="0" collapsed="false">
      <c r="A3540" s="31" t="str">
        <f aca="false">Demand_History!C3540</f>
        <v>ELE-006</v>
      </c>
      <c r="B3540" s="31" t="n">
        <f aca="false">Demand_History!A3540</f>
        <v>3</v>
      </c>
      <c r="C3540" s="32" t="n">
        <f aca="false">Demand_History!D3540</f>
        <v>52</v>
      </c>
      <c r="D3540" s="33" t="n">
        <f aca="false">IF(B3540&gt;=2,C3539,"")</f>
        <v>63</v>
      </c>
      <c r="E3540" s="33" t="str">
        <f aca="false">IF(B3540&gt;=5,AVERAGE(C3536:C3539),"")</f>
        <v/>
      </c>
      <c r="F3540" s="33" t="str">
        <f aca="false">IF(B3540&gt;=9,AVERAGE(C3532:C3539),"")</f>
        <v/>
      </c>
      <c r="G3540" s="33" t="n">
        <f aca="false">IF(B3540=1,"",IF(B3540=2,C3539,SES_Alpha*C3539+(1-SES_Alpha)*G3539))</f>
        <v>61.6</v>
      </c>
      <c r="H3540" s="33" t="n">
        <f aca="false">IF(D3540="","",D3540-C3540)</f>
        <v>11</v>
      </c>
      <c r="I3540" s="33" t="str">
        <f aca="false">IF(E3540="","",E3540-C3540)</f>
        <v/>
      </c>
      <c r="J3540" s="33" t="str">
        <f aca="false">IF(F3540="","",F3540-C3540)</f>
        <v/>
      </c>
      <c r="K3540" s="33" t="n">
        <f aca="false">IF(G3540="","",G3540-C3540)</f>
        <v>9.59999999999999</v>
      </c>
      <c r="L3540" s="33" t="n">
        <f aca="false">IF(H3540="","",ABS(H3540))</f>
        <v>11</v>
      </c>
      <c r="M3540" s="33" t="str">
        <f aca="false">IF(I3540="","",ABS(I3540))</f>
        <v/>
      </c>
      <c r="N3540" s="33" t="str">
        <f aca="false">IF(J3540="","",ABS(J3540))</f>
        <v/>
      </c>
      <c r="O3540" s="33" t="n">
        <f aca="false">IF(K3540="","",ABS(K3540))</f>
        <v>9.59999999999999</v>
      </c>
      <c r="P3540" s="34" t="str">
        <f aca="false">IF(B3540&gt;=Eval_Start_Week,"YES","")</f>
        <v/>
      </c>
      <c r="Q3540" s="34" t="str">
        <f aca="false">IF(AND(B3540&gt;=Cal_Start_Week,B3540&lt;=Cal_End_Week),"YES","")</f>
        <v/>
      </c>
    </row>
    <row r="3541" customFormat="false" ht="15" hidden="false" customHeight="false" outlineLevel="0" collapsed="false">
      <c r="A3541" s="31" t="str">
        <f aca="false">Demand_History!C3541</f>
        <v>ELE-006</v>
      </c>
      <c r="B3541" s="31" t="n">
        <f aca="false">Demand_History!A3541</f>
        <v>4</v>
      </c>
      <c r="C3541" s="32" t="n">
        <f aca="false">Demand_History!D3541</f>
        <v>72</v>
      </c>
      <c r="D3541" s="33" t="n">
        <f aca="false">IF(B3541&gt;=2,C3540,"")</f>
        <v>52</v>
      </c>
      <c r="E3541" s="33" t="str">
        <f aca="false">IF(B3541&gt;=5,AVERAGE(C3537:C3540),"")</f>
        <v/>
      </c>
      <c r="F3541" s="33" t="str">
        <f aca="false">IF(B3541&gt;=9,AVERAGE(C3533:C3540),"")</f>
        <v/>
      </c>
      <c r="G3541" s="33" t="n">
        <f aca="false">IF(B3541=1,"",IF(B3541=2,C3540,SES_Alpha*C3540+(1-SES_Alpha)*G3540))</f>
        <v>58.72</v>
      </c>
      <c r="H3541" s="33" t="n">
        <f aca="false">IF(D3541="","",D3541-C3541)</f>
        <v>-20</v>
      </c>
      <c r="I3541" s="33" t="str">
        <f aca="false">IF(E3541="","",E3541-C3541)</f>
        <v/>
      </c>
      <c r="J3541" s="33" t="str">
        <f aca="false">IF(F3541="","",F3541-C3541)</f>
        <v/>
      </c>
      <c r="K3541" s="33" t="n">
        <f aca="false">IF(G3541="","",G3541-C3541)</f>
        <v>-13.28</v>
      </c>
      <c r="L3541" s="33" t="n">
        <f aca="false">IF(H3541="","",ABS(H3541))</f>
        <v>20</v>
      </c>
      <c r="M3541" s="33" t="str">
        <f aca="false">IF(I3541="","",ABS(I3541))</f>
        <v/>
      </c>
      <c r="N3541" s="33" t="str">
        <f aca="false">IF(J3541="","",ABS(J3541))</f>
        <v/>
      </c>
      <c r="O3541" s="33" t="n">
        <f aca="false">IF(K3541="","",ABS(K3541))</f>
        <v>13.28</v>
      </c>
      <c r="P3541" s="34" t="str">
        <f aca="false">IF(B3541&gt;=Eval_Start_Week,"YES","")</f>
        <v/>
      </c>
      <c r="Q3541" s="34" t="str">
        <f aca="false">IF(AND(B3541&gt;=Cal_Start_Week,B3541&lt;=Cal_End_Week),"YES","")</f>
        <v/>
      </c>
    </row>
    <row r="3542" customFormat="false" ht="15" hidden="false" customHeight="false" outlineLevel="0" collapsed="false">
      <c r="A3542" s="31" t="str">
        <f aca="false">Demand_History!C3542</f>
        <v>ELE-006</v>
      </c>
      <c r="B3542" s="31" t="n">
        <f aca="false">Demand_History!A3542</f>
        <v>5</v>
      </c>
      <c r="C3542" s="32" t="n">
        <f aca="false">Demand_History!D3542</f>
        <v>54</v>
      </c>
      <c r="D3542" s="33" t="n">
        <f aca="false">IF(B3542&gt;=2,C3541,"")</f>
        <v>72</v>
      </c>
      <c r="E3542" s="33" t="n">
        <f aca="false">IF(B3542&gt;=5,AVERAGE(C3538:C3541),"")</f>
        <v>62</v>
      </c>
      <c r="F3542" s="33" t="str">
        <f aca="false">IF(B3542&gt;=9,AVERAGE(C3534:C3541),"")</f>
        <v/>
      </c>
      <c r="G3542" s="33" t="n">
        <f aca="false">IF(B3542=1,"",IF(B3542=2,C3541,SES_Alpha*C3541+(1-SES_Alpha)*G3541))</f>
        <v>62.704</v>
      </c>
      <c r="H3542" s="33" t="n">
        <f aca="false">IF(D3542="","",D3542-C3542)</f>
        <v>18</v>
      </c>
      <c r="I3542" s="33" t="n">
        <f aca="false">IF(E3542="","",E3542-C3542)</f>
        <v>8</v>
      </c>
      <c r="J3542" s="33" t="str">
        <f aca="false">IF(F3542="","",F3542-C3542)</f>
        <v/>
      </c>
      <c r="K3542" s="33" t="n">
        <f aca="false">IF(G3542="","",G3542-C3542)</f>
        <v>8.70399999999999</v>
      </c>
      <c r="L3542" s="33" t="n">
        <f aca="false">IF(H3542="","",ABS(H3542))</f>
        <v>18</v>
      </c>
      <c r="M3542" s="33" t="n">
        <f aca="false">IF(I3542="","",ABS(I3542))</f>
        <v>8</v>
      </c>
      <c r="N3542" s="33" t="str">
        <f aca="false">IF(J3542="","",ABS(J3542))</f>
        <v/>
      </c>
      <c r="O3542" s="33" t="n">
        <f aca="false">IF(K3542="","",ABS(K3542))</f>
        <v>8.70399999999999</v>
      </c>
      <c r="P3542" s="34" t="str">
        <f aca="false">IF(B3542&gt;=Eval_Start_Week,"YES","")</f>
        <v/>
      </c>
      <c r="Q3542" s="34" t="str">
        <f aca="false">IF(AND(B3542&gt;=Cal_Start_Week,B3542&lt;=Cal_End_Week),"YES","")</f>
        <v/>
      </c>
    </row>
    <row r="3543" customFormat="false" ht="15" hidden="false" customHeight="false" outlineLevel="0" collapsed="false">
      <c r="A3543" s="31" t="str">
        <f aca="false">Demand_History!C3543</f>
        <v>ELE-006</v>
      </c>
      <c r="B3543" s="31" t="n">
        <f aca="false">Demand_History!A3543</f>
        <v>6</v>
      </c>
      <c r="C3543" s="32" t="n">
        <f aca="false">Demand_History!D3543</f>
        <v>67</v>
      </c>
      <c r="D3543" s="33" t="n">
        <f aca="false">IF(B3543&gt;=2,C3542,"")</f>
        <v>54</v>
      </c>
      <c r="E3543" s="33" t="n">
        <f aca="false">IF(B3543&gt;=5,AVERAGE(C3539:C3542),"")</f>
        <v>60.25</v>
      </c>
      <c r="F3543" s="33" t="str">
        <f aca="false">IF(B3543&gt;=9,AVERAGE(C3535:C3542),"")</f>
        <v/>
      </c>
      <c r="G3543" s="33" t="n">
        <f aca="false">IF(B3543=1,"",IF(B3543=2,C3542,SES_Alpha*C3542+(1-SES_Alpha)*G3542))</f>
        <v>60.0928</v>
      </c>
      <c r="H3543" s="33" t="n">
        <f aca="false">IF(D3543="","",D3543-C3543)</f>
        <v>-13</v>
      </c>
      <c r="I3543" s="33" t="n">
        <f aca="false">IF(E3543="","",E3543-C3543)</f>
        <v>-6.75</v>
      </c>
      <c r="J3543" s="33" t="str">
        <f aca="false">IF(F3543="","",F3543-C3543)</f>
        <v/>
      </c>
      <c r="K3543" s="33" t="n">
        <f aca="false">IF(G3543="","",G3543-C3543)</f>
        <v>-6.9072</v>
      </c>
      <c r="L3543" s="33" t="n">
        <f aca="false">IF(H3543="","",ABS(H3543))</f>
        <v>13</v>
      </c>
      <c r="M3543" s="33" t="n">
        <f aca="false">IF(I3543="","",ABS(I3543))</f>
        <v>6.75</v>
      </c>
      <c r="N3543" s="33" t="str">
        <f aca="false">IF(J3543="","",ABS(J3543))</f>
        <v/>
      </c>
      <c r="O3543" s="33" t="n">
        <f aca="false">IF(K3543="","",ABS(K3543))</f>
        <v>6.9072</v>
      </c>
      <c r="P3543" s="34" t="str">
        <f aca="false">IF(B3543&gt;=Eval_Start_Week,"YES","")</f>
        <v/>
      </c>
      <c r="Q3543" s="34" t="str">
        <f aca="false">IF(AND(B3543&gt;=Cal_Start_Week,B3543&lt;=Cal_End_Week),"YES","")</f>
        <v/>
      </c>
    </row>
    <row r="3544" customFormat="false" ht="15" hidden="false" customHeight="false" outlineLevel="0" collapsed="false">
      <c r="A3544" s="31" t="str">
        <f aca="false">Demand_History!C3544</f>
        <v>ELE-006</v>
      </c>
      <c r="B3544" s="31" t="n">
        <f aca="false">Demand_History!A3544</f>
        <v>7</v>
      </c>
      <c r="C3544" s="32" t="n">
        <f aca="false">Demand_History!D3544</f>
        <v>61</v>
      </c>
      <c r="D3544" s="33" t="n">
        <f aca="false">IF(B3544&gt;=2,C3543,"")</f>
        <v>67</v>
      </c>
      <c r="E3544" s="33" t="n">
        <f aca="false">IF(B3544&gt;=5,AVERAGE(C3540:C3543),"")</f>
        <v>61.25</v>
      </c>
      <c r="F3544" s="33" t="str">
        <f aca="false">IF(B3544&gt;=9,AVERAGE(C3536:C3543),"")</f>
        <v/>
      </c>
      <c r="G3544" s="33" t="n">
        <f aca="false">IF(B3544=1,"",IF(B3544=2,C3543,SES_Alpha*C3543+(1-SES_Alpha)*G3543))</f>
        <v>62.16496</v>
      </c>
      <c r="H3544" s="33" t="n">
        <f aca="false">IF(D3544="","",D3544-C3544)</f>
        <v>6</v>
      </c>
      <c r="I3544" s="33" t="n">
        <f aca="false">IF(E3544="","",E3544-C3544)</f>
        <v>0.25</v>
      </c>
      <c r="J3544" s="33" t="str">
        <f aca="false">IF(F3544="","",F3544-C3544)</f>
        <v/>
      </c>
      <c r="K3544" s="33" t="n">
        <f aca="false">IF(G3544="","",G3544-C3544)</f>
        <v>1.16495999999999</v>
      </c>
      <c r="L3544" s="33" t="n">
        <f aca="false">IF(H3544="","",ABS(H3544))</f>
        <v>6</v>
      </c>
      <c r="M3544" s="33" t="n">
        <f aca="false">IF(I3544="","",ABS(I3544))</f>
        <v>0.25</v>
      </c>
      <c r="N3544" s="33" t="str">
        <f aca="false">IF(J3544="","",ABS(J3544))</f>
        <v/>
      </c>
      <c r="O3544" s="33" t="n">
        <f aca="false">IF(K3544="","",ABS(K3544))</f>
        <v>1.16495999999999</v>
      </c>
      <c r="P3544" s="34" t="str">
        <f aca="false">IF(B3544&gt;=Eval_Start_Week,"YES","")</f>
        <v/>
      </c>
      <c r="Q3544" s="34" t="str">
        <f aca="false">IF(AND(B3544&gt;=Cal_Start_Week,B3544&lt;=Cal_End_Week),"YES","")</f>
        <v/>
      </c>
    </row>
    <row r="3545" customFormat="false" ht="15" hidden="false" customHeight="false" outlineLevel="0" collapsed="false">
      <c r="A3545" s="31" t="str">
        <f aca="false">Demand_History!C3545</f>
        <v>ELE-006</v>
      </c>
      <c r="B3545" s="31" t="n">
        <f aca="false">Demand_History!A3545</f>
        <v>8</v>
      </c>
      <c r="C3545" s="32" t="n">
        <f aca="false">Demand_History!D3545</f>
        <v>52</v>
      </c>
      <c r="D3545" s="33" t="n">
        <f aca="false">IF(B3545&gt;=2,C3544,"")</f>
        <v>61</v>
      </c>
      <c r="E3545" s="33" t="n">
        <f aca="false">IF(B3545&gt;=5,AVERAGE(C3541:C3544),"")</f>
        <v>63.5</v>
      </c>
      <c r="F3545" s="33" t="str">
        <f aca="false">IF(B3545&gt;=9,AVERAGE(C3537:C3544),"")</f>
        <v/>
      </c>
      <c r="G3545" s="33" t="n">
        <f aca="false">IF(B3545=1,"",IF(B3545=2,C3544,SES_Alpha*C3544+(1-SES_Alpha)*G3544))</f>
        <v>61.815472</v>
      </c>
      <c r="H3545" s="33" t="n">
        <f aca="false">IF(D3545="","",D3545-C3545)</f>
        <v>9</v>
      </c>
      <c r="I3545" s="33" t="n">
        <f aca="false">IF(E3545="","",E3545-C3545)</f>
        <v>11.5</v>
      </c>
      <c r="J3545" s="33" t="str">
        <f aca="false">IF(F3545="","",F3545-C3545)</f>
        <v/>
      </c>
      <c r="K3545" s="33" t="n">
        <f aca="false">IF(G3545="","",G3545-C3545)</f>
        <v>9.815472</v>
      </c>
      <c r="L3545" s="33" t="n">
        <f aca="false">IF(H3545="","",ABS(H3545))</f>
        <v>9</v>
      </c>
      <c r="M3545" s="33" t="n">
        <f aca="false">IF(I3545="","",ABS(I3545))</f>
        <v>11.5</v>
      </c>
      <c r="N3545" s="33" t="str">
        <f aca="false">IF(J3545="","",ABS(J3545))</f>
        <v/>
      </c>
      <c r="O3545" s="33" t="n">
        <f aca="false">IF(K3545="","",ABS(K3545))</f>
        <v>9.815472</v>
      </c>
      <c r="P3545" s="34" t="str">
        <f aca="false">IF(B3545&gt;=Eval_Start_Week,"YES","")</f>
        <v/>
      </c>
      <c r="Q3545" s="34" t="str">
        <f aca="false">IF(AND(B3545&gt;=Cal_Start_Week,B3545&lt;=Cal_End_Week),"YES","")</f>
        <v/>
      </c>
    </row>
    <row r="3546" customFormat="false" ht="15" hidden="false" customHeight="false" outlineLevel="0" collapsed="false">
      <c r="A3546" s="31" t="str">
        <f aca="false">Demand_History!C3546</f>
        <v>ELE-006</v>
      </c>
      <c r="B3546" s="31" t="n">
        <f aca="false">Demand_History!A3546</f>
        <v>9</v>
      </c>
      <c r="C3546" s="32" t="n">
        <f aca="false">Demand_History!D3546</f>
        <v>68</v>
      </c>
      <c r="D3546" s="33" t="n">
        <f aca="false">IF(B3546&gt;=2,C3545,"")</f>
        <v>52</v>
      </c>
      <c r="E3546" s="33" t="n">
        <f aca="false">IF(B3546&gt;=5,AVERAGE(C3542:C3545),"")</f>
        <v>58.5</v>
      </c>
      <c r="F3546" s="33" t="n">
        <f aca="false">IF(B3546&gt;=9,AVERAGE(C3538:C3545),"")</f>
        <v>60.25</v>
      </c>
      <c r="G3546" s="33" t="n">
        <f aca="false">IF(B3546=1,"",IF(B3546=2,C3545,SES_Alpha*C3545+(1-SES_Alpha)*G3545))</f>
        <v>58.8708304</v>
      </c>
      <c r="H3546" s="33" t="n">
        <f aca="false">IF(D3546="","",D3546-C3546)</f>
        <v>-16</v>
      </c>
      <c r="I3546" s="33" t="n">
        <f aca="false">IF(E3546="","",E3546-C3546)</f>
        <v>-9.5</v>
      </c>
      <c r="J3546" s="33" t="n">
        <f aca="false">IF(F3546="","",F3546-C3546)</f>
        <v>-7.75</v>
      </c>
      <c r="K3546" s="33" t="n">
        <f aca="false">IF(G3546="","",G3546-C3546)</f>
        <v>-9.1291696</v>
      </c>
      <c r="L3546" s="33" t="n">
        <f aca="false">IF(H3546="","",ABS(H3546))</f>
        <v>16</v>
      </c>
      <c r="M3546" s="33" t="n">
        <f aca="false">IF(I3546="","",ABS(I3546))</f>
        <v>9.5</v>
      </c>
      <c r="N3546" s="33" t="n">
        <f aca="false">IF(J3546="","",ABS(J3546))</f>
        <v>7.75</v>
      </c>
      <c r="O3546" s="33" t="n">
        <f aca="false">IF(K3546="","",ABS(K3546))</f>
        <v>9.1291696</v>
      </c>
      <c r="P3546" s="34" t="str">
        <f aca="false">IF(B3546&gt;=Eval_Start_Week,"YES","")</f>
        <v/>
      </c>
      <c r="Q3546" s="34" t="str">
        <f aca="false">IF(AND(B3546&gt;=Cal_Start_Week,B3546&lt;=Cal_End_Week),"YES","")</f>
        <v/>
      </c>
    </row>
    <row r="3547" customFormat="false" ht="15" hidden="false" customHeight="false" outlineLevel="0" collapsed="false">
      <c r="A3547" s="31" t="str">
        <f aca="false">Demand_History!C3547</f>
        <v>ELE-006</v>
      </c>
      <c r="B3547" s="31" t="n">
        <f aca="false">Demand_History!A3547</f>
        <v>10</v>
      </c>
      <c r="C3547" s="32" t="n">
        <f aca="false">Demand_History!D3547</f>
        <v>60</v>
      </c>
      <c r="D3547" s="33" t="n">
        <f aca="false">IF(B3547&gt;=2,C3546,"")</f>
        <v>68</v>
      </c>
      <c r="E3547" s="33" t="n">
        <f aca="false">IF(B3547&gt;=5,AVERAGE(C3543:C3546),"")</f>
        <v>62</v>
      </c>
      <c r="F3547" s="33" t="n">
        <f aca="false">IF(B3547&gt;=9,AVERAGE(C3539:C3546),"")</f>
        <v>61.125</v>
      </c>
      <c r="G3547" s="33" t="n">
        <f aca="false">IF(B3547=1,"",IF(B3547=2,C3546,SES_Alpha*C3546+(1-SES_Alpha)*G3546))</f>
        <v>61.60958128</v>
      </c>
      <c r="H3547" s="33" t="n">
        <f aca="false">IF(D3547="","",D3547-C3547)</f>
        <v>8</v>
      </c>
      <c r="I3547" s="33" t="n">
        <f aca="false">IF(E3547="","",E3547-C3547)</f>
        <v>2</v>
      </c>
      <c r="J3547" s="33" t="n">
        <f aca="false">IF(F3547="","",F3547-C3547)</f>
        <v>1.125</v>
      </c>
      <c r="K3547" s="33" t="n">
        <f aca="false">IF(G3547="","",G3547-C3547)</f>
        <v>1.60958127999999</v>
      </c>
      <c r="L3547" s="33" t="n">
        <f aca="false">IF(H3547="","",ABS(H3547))</f>
        <v>8</v>
      </c>
      <c r="M3547" s="33" t="n">
        <f aca="false">IF(I3547="","",ABS(I3547))</f>
        <v>2</v>
      </c>
      <c r="N3547" s="33" t="n">
        <f aca="false">IF(J3547="","",ABS(J3547))</f>
        <v>1.125</v>
      </c>
      <c r="O3547" s="33" t="n">
        <f aca="false">IF(K3547="","",ABS(K3547))</f>
        <v>1.60958127999999</v>
      </c>
      <c r="P3547" s="34" t="str">
        <f aca="false">IF(B3547&gt;=Eval_Start_Week,"YES","")</f>
        <v/>
      </c>
      <c r="Q3547" s="34" t="str">
        <f aca="false">IF(AND(B3547&gt;=Cal_Start_Week,B3547&lt;=Cal_End_Week),"YES","")</f>
        <v/>
      </c>
    </row>
    <row r="3548" customFormat="false" ht="15" hidden="false" customHeight="false" outlineLevel="0" collapsed="false">
      <c r="A3548" s="31" t="str">
        <f aca="false">Demand_History!C3548</f>
        <v>ELE-006</v>
      </c>
      <c r="B3548" s="31" t="n">
        <f aca="false">Demand_History!A3548</f>
        <v>11</v>
      </c>
      <c r="C3548" s="32" t="n">
        <f aca="false">Demand_History!D3548</f>
        <v>61</v>
      </c>
      <c r="D3548" s="33" t="n">
        <f aca="false">IF(B3548&gt;=2,C3547,"")</f>
        <v>60</v>
      </c>
      <c r="E3548" s="33" t="n">
        <f aca="false">IF(B3548&gt;=5,AVERAGE(C3544:C3547),"")</f>
        <v>60.25</v>
      </c>
      <c r="F3548" s="33" t="n">
        <f aca="false">IF(B3548&gt;=9,AVERAGE(C3540:C3547),"")</f>
        <v>60.75</v>
      </c>
      <c r="G3548" s="33" t="n">
        <f aca="false">IF(B3548=1,"",IF(B3548=2,C3547,SES_Alpha*C3547+(1-SES_Alpha)*G3547))</f>
        <v>61.126706896</v>
      </c>
      <c r="H3548" s="33" t="n">
        <f aca="false">IF(D3548="","",D3548-C3548)</f>
        <v>-1</v>
      </c>
      <c r="I3548" s="33" t="n">
        <f aca="false">IF(E3548="","",E3548-C3548)</f>
        <v>-0.75</v>
      </c>
      <c r="J3548" s="33" t="n">
        <f aca="false">IF(F3548="","",F3548-C3548)</f>
        <v>-0.25</v>
      </c>
      <c r="K3548" s="33" t="n">
        <f aca="false">IF(G3548="","",G3548-C3548)</f>
        <v>0.126706895999995</v>
      </c>
      <c r="L3548" s="33" t="n">
        <f aca="false">IF(H3548="","",ABS(H3548))</f>
        <v>1</v>
      </c>
      <c r="M3548" s="33" t="n">
        <f aca="false">IF(I3548="","",ABS(I3548))</f>
        <v>0.75</v>
      </c>
      <c r="N3548" s="33" t="n">
        <f aca="false">IF(J3548="","",ABS(J3548))</f>
        <v>0.25</v>
      </c>
      <c r="O3548" s="33" t="n">
        <f aca="false">IF(K3548="","",ABS(K3548))</f>
        <v>0.126706895999995</v>
      </c>
      <c r="P3548" s="34" t="str">
        <f aca="false">IF(B3548&gt;=Eval_Start_Week,"YES","")</f>
        <v/>
      </c>
      <c r="Q3548" s="34" t="str">
        <f aca="false">IF(AND(B3548&gt;=Cal_Start_Week,B3548&lt;=Cal_End_Week),"YES","")</f>
        <v/>
      </c>
    </row>
    <row r="3549" customFormat="false" ht="15" hidden="false" customHeight="false" outlineLevel="0" collapsed="false">
      <c r="A3549" s="31" t="str">
        <f aca="false">Demand_History!C3549</f>
        <v>ELE-006</v>
      </c>
      <c r="B3549" s="31" t="n">
        <f aca="false">Demand_History!A3549</f>
        <v>12</v>
      </c>
      <c r="C3549" s="32" t="n">
        <f aca="false">Demand_History!D3549</f>
        <v>64</v>
      </c>
      <c r="D3549" s="33" t="n">
        <f aca="false">IF(B3549&gt;=2,C3548,"")</f>
        <v>61</v>
      </c>
      <c r="E3549" s="33" t="n">
        <f aca="false">IF(B3549&gt;=5,AVERAGE(C3545:C3548),"")</f>
        <v>60.25</v>
      </c>
      <c r="F3549" s="33" t="n">
        <f aca="false">IF(B3549&gt;=9,AVERAGE(C3541:C3548),"")</f>
        <v>61.875</v>
      </c>
      <c r="G3549" s="33" t="n">
        <f aca="false">IF(B3549=1,"",IF(B3549=2,C3548,SES_Alpha*C3548+(1-SES_Alpha)*G3548))</f>
        <v>61.0886948272</v>
      </c>
      <c r="H3549" s="33" t="n">
        <f aca="false">IF(D3549="","",D3549-C3549)</f>
        <v>-3</v>
      </c>
      <c r="I3549" s="33" t="n">
        <f aca="false">IF(E3549="","",E3549-C3549)</f>
        <v>-3.75</v>
      </c>
      <c r="J3549" s="33" t="n">
        <f aca="false">IF(F3549="","",F3549-C3549)</f>
        <v>-2.125</v>
      </c>
      <c r="K3549" s="33" t="n">
        <f aca="false">IF(G3549="","",G3549-C3549)</f>
        <v>-2.9113051728</v>
      </c>
      <c r="L3549" s="33" t="n">
        <f aca="false">IF(H3549="","",ABS(H3549))</f>
        <v>3</v>
      </c>
      <c r="M3549" s="33" t="n">
        <f aca="false">IF(I3549="","",ABS(I3549))</f>
        <v>3.75</v>
      </c>
      <c r="N3549" s="33" t="n">
        <f aca="false">IF(J3549="","",ABS(J3549))</f>
        <v>2.125</v>
      </c>
      <c r="O3549" s="33" t="n">
        <f aca="false">IF(K3549="","",ABS(K3549))</f>
        <v>2.9113051728</v>
      </c>
      <c r="P3549" s="34" t="str">
        <f aca="false">IF(B3549&gt;=Eval_Start_Week,"YES","")</f>
        <v/>
      </c>
      <c r="Q3549" s="34" t="str">
        <f aca="false">IF(AND(B3549&gt;=Cal_Start_Week,B3549&lt;=Cal_End_Week),"YES","")</f>
        <v/>
      </c>
    </row>
    <row r="3550" customFormat="false" ht="15" hidden="false" customHeight="false" outlineLevel="0" collapsed="false">
      <c r="A3550" s="31" t="str">
        <f aca="false">Demand_History!C3550</f>
        <v>ELE-006</v>
      </c>
      <c r="B3550" s="31" t="n">
        <f aca="false">Demand_History!A3550</f>
        <v>13</v>
      </c>
      <c r="C3550" s="32" t="n">
        <f aca="false">Demand_History!D3550</f>
        <v>60</v>
      </c>
      <c r="D3550" s="33" t="n">
        <f aca="false">IF(B3550&gt;=2,C3549,"")</f>
        <v>64</v>
      </c>
      <c r="E3550" s="33" t="n">
        <f aca="false">IF(B3550&gt;=5,AVERAGE(C3546:C3549),"")</f>
        <v>63.25</v>
      </c>
      <c r="F3550" s="33" t="n">
        <f aca="false">IF(B3550&gt;=9,AVERAGE(C3542:C3549),"")</f>
        <v>60.875</v>
      </c>
      <c r="G3550" s="33" t="n">
        <f aca="false">IF(B3550=1,"",IF(B3550=2,C3549,SES_Alpha*C3549+(1-SES_Alpha)*G3549))</f>
        <v>61.96208637904</v>
      </c>
      <c r="H3550" s="33" t="n">
        <f aca="false">IF(D3550="","",D3550-C3550)</f>
        <v>4</v>
      </c>
      <c r="I3550" s="33" t="n">
        <f aca="false">IF(E3550="","",E3550-C3550)</f>
        <v>3.25</v>
      </c>
      <c r="J3550" s="33" t="n">
        <f aca="false">IF(F3550="","",F3550-C3550)</f>
        <v>0.875</v>
      </c>
      <c r="K3550" s="33" t="n">
        <f aca="false">IF(G3550="","",G3550-C3550)</f>
        <v>1.96208637904</v>
      </c>
      <c r="L3550" s="33" t="n">
        <f aca="false">IF(H3550="","",ABS(H3550))</f>
        <v>4</v>
      </c>
      <c r="M3550" s="33" t="n">
        <f aca="false">IF(I3550="","",ABS(I3550))</f>
        <v>3.25</v>
      </c>
      <c r="N3550" s="33" t="n">
        <f aca="false">IF(J3550="","",ABS(J3550))</f>
        <v>0.875</v>
      </c>
      <c r="O3550" s="33" t="n">
        <f aca="false">IF(K3550="","",ABS(K3550))</f>
        <v>1.96208637904</v>
      </c>
      <c r="P3550" s="34" t="str">
        <f aca="false">IF(B3550&gt;=Eval_Start_Week,"YES","")</f>
        <v/>
      </c>
      <c r="Q3550" s="34" t="str">
        <f aca="false">IF(AND(B3550&gt;=Cal_Start_Week,B3550&lt;=Cal_End_Week),"YES","")</f>
        <v/>
      </c>
    </row>
    <row r="3551" customFormat="false" ht="15" hidden="false" customHeight="false" outlineLevel="0" collapsed="false">
      <c r="A3551" s="31" t="str">
        <f aca="false">Demand_History!C3551</f>
        <v>ELE-006</v>
      </c>
      <c r="B3551" s="31" t="n">
        <f aca="false">Demand_History!A3551</f>
        <v>14</v>
      </c>
      <c r="C3551" s="32" t="n">
        <f aca="false">Demand_History!D3551</f>
        <v>57</v>
      </c>
      <c r="D3551" s="33" t="n">
        <f aca="false">IF(B3551&gt;=2,C3550,"")</f>
        <v>60</v>
      </c>
      <c r="E3551" s="33" t="n">
        <f aca="false">IF(B3551&gt;=5,AVERAGE(C3547:C3550),"")</f>
        <v>61.25</v>
      </c>
      <c r="F3551" s="33" t="n">
        <f aca="false">IF(B3551&gt;=9,AVERAGE(C3543:C3550),"")</f>
        <v>61.625</v>
      </c>
      <c r="G3551" s="33" t="n">
        <f aca="false">IF(B3551=1,"",IF(B3551=2,C3550,SES_Alpha*C3550+(1-SES_Alpha)*G3550))</f>
        <v>61.373460465328</v>
      </c>
      <c r="H3551" s="33" t="n">
        <f aca="false">IF(D3551="","",D3551-C3551)</f>
        <v>3</v>
      </c>
      <c r="I3551" s="33" t="n">
        <f aca="false">IF(E3551="","",E3551-C3551)</f>
        <v>4.25</v>
      </c>
      <c r="J3551" s="33" t="n">
        <f aca="false">IF(F3551="","",F3551-C3551)</f>
        <v>4.625</v>
      </c>
      <c r="K3551" s="33" t="n">
        <f aca="false">IF(G3551="","",G3551-C3551)</f>
        <v>4.373460465328</v>
      </c>
      <c r="L3551" s="33" t="n">
        <f aca="false">IF(H3551="","",ABS(H3551))</f>
        <v>3</v>
      </c>
      <c r="M3551" s="33" t="n">
        <f aca="false">IF(I3551="","",ABS(I3551))</f>
        <v>4.25</v>
      </c>
      <c r="N3551" s="33" t="n">
        <f aca="false">IF(J3551="","",ABS(J3551))</f>
        <v>4.625</v>
      </c>
      <c r="O3551" s="33" t="n">
        <f aca="false">IF(K3551="","",ABS(K3551))</f>
        <v>4.373460465328</v>
      </c>
      <c r="P3551" s="34" t="str">
        <f aca="false">IF(B3551&gt;=Eval_Start_Week,"YES","")</f>
        <v/>
      </c>
      <c r="Q3551" s="34" t="str">
        <f aca="false">IF(AND(B3551&gt;=Cal_Start_Week,B3551&lt;=Cal_End_Week),"YES","")</f>
        <v/>
      </c>
    </row>
    <row r="3552" customFormat="false" ht="15" hidden="false" customHeight="false" outlineLevel="0" collapsed="false">
      <c r="A3552" s="31" t="str">
        <f aca="false">Demand_History!C3552</f>
        <v>ELE-006</v>
      </c>
      <c r="B3552" s="31" t="n">
        <f aca="false">Demand_History!A3552</f>
        <v>15</v>
      </c>
      <c r="C3552" s="32" t="n">
        <f aca="false">Demand_History!D3552</f>
        <v>64</v>
      </c>
      <c r="D3552" s="33" t="n">
        <f aca="false">IF(B3552&gt;=2,C3551,"")</f>
        <v>57</v>
      </c>
      <c r="E3552" s="33" t="n">
        <f aca="false">IF(B3552&gt;=5,AVERAGE(C3548:C3551),"")</f>
        <v>60.5</v>
      </c>
      <c r="F3552" s="33" t="n">
        <f aca="false">IF(B3552&gt;=9,AVERAGE(C3544:C3551),"")</f>
        <v>60.375</v>
      </c>
      <c r="G3552" s="33" t="n">
        <f aca="false">IF(B3552=1,"",IF(B3552=2,C3551,SES_Alpha*C3551+(1-SES_Alpha)*G3551))</f>
        <v>60.0614223257296</v>
      </c>
      <c r="H3552" s="33" t="n">
        <f aca="false">IF(D3552="","",D3552-C3552)</f>
        <v>-7</v>
      </c>
      <c r="I3552" s="33" t="n">
        <f aca="false">IF(E3552="","",E3552-C3552)</f>
        <v>-3.5</v>
      </c>
      <c r="J3552" s="33" t="n">
        <f aca="false">IF(F3552="","",F3552-C3552)</f>
        <v>-3.625</v>
      </c>
      <c r="K3552" s="33" t="n">
        <f aca="false">IF(G3552="","",G3552-C3552)</f>
        <v>-3.93857767427041</v>
      </c>
      <c r="L3552" s="33" t="n">
        <f aca="false">IF(H3552="","",ABS(H3552))</f>
        <v>7</v>
      </c>
      <c r="M3552" s="33" t="n">
        <f aca="false">IF(I3552="","",ABS(I3552))</f>
        <v>3.5</v>
      </c>
      <c r="N3552" s="33" t="n">
        <f aca="false">IF(J3552="","",ABS(J3552))</f>
        <v>3.625</v>
      </c>
      <c r="O3552" s="33" t="n">
        <f aca="false">IF(K3552="","",ABS(K3552))</f>
        <v>3.93857767427041</v>
      </c>
      <c r="P3552" s="34" t="str">
        <f aca="false">IF(B3552&gt;=Eval_Start_Week,"YES","")</f>
        <v/>
      </c>
      <c r="Q3552" s="34" t="str">
        <f aca="false">IF(AND(B3552&gt;=Cal_Start_Week,B3552&lt;=Cal_End_Week),"YES","")</f>
        <v/>
      </c>
    </row>
    <row r="3553" customFormat="false" ht="15" hidden="false" customHeight="false" outlineLevel="0" collapsed="false">
      <c r="A3553" s="31" t="str">
        <f aca="false">Demand_History!C3553</f>
        <v>ELE-006</v>
      </c>
      <c r="B3553" s="31" t="n">
        <f aca="false">Demand_History!A3553</f>
        <v>16</v>
      </c>
      <c r="C3553" s="32" t="n">
        <f aca="false">Demand_History!D3553</f>
        <v>57</v>
      </c>
      <c r="D3553" s="33" t="n">
        <f aca="false">IF(B3553&gt;=2,C3552,"")</f>
        <v>64</v>
      </c>
      <c r="E3553" s="33" t="n">
        <f aca="false">IF(B3553&gt;=5,AVERAGE(C3549:C3552),"")</f>
        <v>61.25</v>
      </c>
      <c r="F3553" s="33" t="n">
        <f aca="false">IF(B3553&gt;=9,AVERAGE(C3545:C3552),"")</f>
        <v>60.75</v>
      </c>
      <c r="G3553" s="33" t="n">
        <f aca="false">IF(B3553=1,"",IF(B3553=2,C3552,SES_Alpha*C3552+(1-SES_Alpha)*G3552))</f>
        <v>61.2429956280107</v>
      </c>
      <c r="H3553" s="33" t="n">
        <f aca="false">IF(D3553="","",D3553-C3553)</f>
        <v>7</v>
      </c>
      <c r="I3553" s="33" t="n">
        <f aca="false">IF(E3553="","",E3553-C3553)</f>
        <v>4.25</v>
      </c>
      <c r="J3553" s="33" t="n">
        <f aca="false">IF(F3553="","",F3553-C3553)</f>
        <v>3.75</v>
      </c>
      <c r="K3553" s="33" t="n">
        <f aca="false">IF(G3553="","",G3553-C3553)</f>
        <v>4.24299562801072</v>
      </c>
      <c r="L3553" s="33" t="n">
        <f aca="false">IF(H3553="","",ABS(H3553))</f>
        <v>7</v>
      </c>
      <c r="M3553" s="33" t="n">
        <f aca="false">IF(I3553="","",ABS(I3553))</f>
        <v>4.25</v>
      </c>
      <c r="N3553" s="33" t="n">
        <f aca="false">IF(J3553="","",ABS(J3553))</f>
        <v>3.75</v>
      </c>
      <c r="O3553" s="33" t="n">
        <f aca="false">IF(K3553="","",ABS(K3553))</f>
        <v>4.24299562801072</v>
      </c>
      <c r="P3553" s="34" t="str">
        <f aca="false">IF(B3553&gt;=Eval_Start_Week,"YES","")</f>
        <v/>
      </c>
      <c r="Q3553" s="34" t="str">
        <f aca="false">IF(AND(B3553&gt;=Cal_Start_Week,B3553&lt;=Cal_End_Week),"YES","")</f>
        <v/>
      </c>
    </row>
    <row r="3554" customFormat="false" ht="15" hidden="false" customHeight="false" outlineLevel="0" collapsed="false">
      <c r="A3554" s="31" t="str">
        <f aca="false">Demand_History!C3554</f>
        <v>ELE-006</v>
      </c>
      <c r="B3554" s="31" t="n">
        <f aca="false">Demand_History!A3554</f>
        <v>17</v>
      </c>
      <c r="C3554" s="32" t="n">
        <f aca="false">Demand_History!D3554</f>
        <v>61</v>
      </c>
      <c r="D3554" s="33" t="n">
        <f aca="false">IF(B3554&gt;=2,C3553,"")</f>
        <v>57</v>
      </c>
      <c r="E3554" s="33" t="n">
        <f aca="false">IF(B3554&gt;=5,AVERAGE(C3550:C3553),"")</f>
        <v>59.5</v>
      </c>
      <c r="F3554" s="33" t="n">
        <f aca="false">IF(B3554&gt;=9,AVERAGE(C3546:C3553),"")</f>
        <v>61.375</v>
      </c>
      <c r="G3554" s="33" t="n">
        <f aca="false">IF(B3554=1,"",IF(B3554=2,C3553,SES_Alpha*C3553+(1-SES_Alpha)*G3553))</f>
        <v>59.9700969396075</v>
      </c>
      <c r="H3554" s="33" t="n">
        <f aca="false">IF(D3554="","",D3554-C3554)</f>
        <v>-4</v>
      </c>
      <c r="I3554" s="33" t="n">
        <f aca="false">IF(E3554="","",E3554-C3554)</f>
        <v>-1.5</v>
      </c>
      <c r="J3554" s="33" t="n">
        <f aca="false">IF(F3554="","",F3554-C3554)</f>
        <v>0.375</v>
      </c>
      <c r="K3554" s="33" t="n">
        <f aca="false">IF(G3554="","",G3554-C3554)</f>
        <v>-1.0299030603925</v>
      </c>
      <c r="L3554" s="33" t="n">
        <f aca="false">IF(H3554="","",ABS(H3554))</f>
        <v>4</v>
      </c>
      <c r="M3554" s="33" t="n">
        <f aca="false">IF(I3554="","",ABS(I3554))</f>
        <v>1.5</v>
      </c>
      <c r="N3554" s="33" t="n">
        <f aca="false">IF(J3554="","",ABS(J3554))</f>
        <v>0.375</v>
      </c>
      <c r="O3554" s="33" t="n">
        <f aca="false">IF(K3554="","",ABS(K3554))</f>
        <v>1.0299030603925</v>
      </c>
      <c r="P3554" s="34" t="str">
        <f aca="false">IF(B3554&gt;=Eval_Start_Week,"YES","")</f>
        <v/>
      </c>
      <c r="Q3554" s="34" t="str">
        <f aca="false">IF(AND(B3554&gt;=Cal_Start_Week,B3554&lt;=Cal_End_Week),"YES","")</f>
        <v/>
      </c>
    </row>
    <row r="3555" customFormat="false" ht="15" hidden="false" customHeight="false" outlineLevel="0" collapsed="false">
      <c r="A3555" s="31" t="str">
        <f aca="false">Demand_History!C3555</f>
        <v>ELE-006</v>
      </c>
      <c r="B3555" s="31" t="n">
        <f aca="false">Demand_History!A3555</f>
        <v>18</v>
      </c>
      <c r="C3555" s="32" t="n">
        <f aca="false">Demand_History!D3555</f>
        <v>55</v>
      </c>
      <c r="D3555" s="33" t="n">
        <f aca="false">IF(B3555&gt;=2,C3554,"")</f>
        <v>61</v>
      </c>
      <c r="E3555" s="33" t="n">
        <f aca="false">IF(B3555&gt;=5,AVERAGE(C3551:C3554),"")</f>
        <v>59.75</v>
      </c>
      <c r="F3555" s="33" t="n">
        <f aca="false">IF(B3555&gt;=9,AVERAGE(C3547:C3554),"")</f>
        <v>60.5</v>
      </c>
      <c r="G3555" s="33" t="n">
        <f aca="false">IF(B3555=1,"",IF(B3555=2,C3554,SES_Alpha*C3554+(1-SES_Alpha)*G3554))</f>
        <v>60.2790678577253</v>
      </c>
      <c r="H3555" s="33" t="n">
        <f aca="false">IF(D3555="","",D3555-C3555)</f>
        <v>6</v>
      </c>
      <c r="I3555" s="33" t="n">
        <f aca="false">IF(E3555="","",E3555-C3555)</f>
        <v>4.75</v>
      </c>
      <c r="J3555" s="33" t="n">
        <f aca="false">IF(F3555="","",F3555-C3555)</f>
        <v>5.5</v>
      </c>
      <c r="K3555" s="33" t="n">
        <f aca="false">IF(G3555="","",G3555-C3555)</f>
        <v>5.27906785772525</v>
      </c>
      <c r="L3555" s="33" t="n">
        <f aca="false">IF(H3555="","",ABS(H3555))</f>
        <v>6</v>
      </c>
      <c r="M3555" s="33" t="n">
        <f aca="false">IF(I3555="","",ABS(I3555))</f>
        <v>4.75</v>
      </c>
      <c r="N3555" s="33" t="n">
        <f aca="false">IF(J3555="","",ABS(J3555))</f>
        <v>5.5</v>
      </c>
      <c r="O3555" s="33" t="n">
        <f aca="false">IF(K3555="","",ABS(K3555))</f>
        <v>5.27906785772525</v>
      </c>
      <c r="P3555" s="34" t="str">
        <f aca="false">IF(B3555&gt;=Eval_Start_Week,"YES","")</f>
        <v/>
      </c>
      <c r="Q3555" s="34" t="str">
        <f aca="false">IF(AND(B3555&gt;=Cal_Start_Week,B3555&lt;=Cal_End_Week),"YES","")</f>
        <v/>
      </c>
    </row>
    <row r="3556" customFormat="false" ht="15" hidden="false" customHeight="false" outlineLevel="0" collapsed="false">
      <c r="A3556" s="31" t="str">
        <f aca="false">Demand_History!C3556</f>
        <v>ELE-006</v>
      </c>
      <c r="B3556" s="31" t="n">
        <f aca="false">Demand_History!A3556</f>
        <v>19</v>
      </c>
      <c r="C3556" s="32" t="n">
        <f aca="false">Demand_History!D3556</f>
        <v>48</v>
      </c>
      <c r="D3556" s="33" t="n">
        <f aca="false">IF(B3556&gt;=2,C3555,"")</f>
        <v>55</v>
      </c>
      <c r="E3556" s="33" t="n">
        <f aca="false">IF(B3556&gt;=5,AVERAGE(C3552:C3555),"")</f>
        <v>59.25</v>
      </c>
      <c r="F3556" s="33" t="n">
        <f aca="false">IF(B3556&gt;=9,AVERAGE(C3548:C3555),"")</f>
        <v>59.875</v>
      </c>
      <c r="G3556" s="33" t="n">
        <f aca="false">IF(B3556=1,"",IF(B3556=2,C3555,SES_Alpha*C3555+(1-SES_Alpha)*G3555))</f>
        <v>58.6953475004077</v>
      </c>
      <c r="H3556" s="33" t="n">
        <f aca="false">IF(D3556="","",D3556-C3556)</f>
        <v>7</v>
      </c>
      <c r="I3556" s="33" t="n">
        <f aca="false">IF(E3556="","",E3556-C3556)</f>
        <v>11.25</v>
      </c>
      <c r="J3556" s="33" t="n">
        <f aca="false">IF(F3556="","",F3556-C3556)</f>
        <v>11.875</v>
      </c>
      <c r="K3556" s="33" t="n">
        <f aca="false">IF(G3556="","",G3556-C3556)</f>
        <v>10.6953475004077</v>
      </c>
      <c r="L3556" s="33" t="n">
        <f aca="false">IF(H3556="","",ABS(H3556))</f>
        <v>7</v>
      </c>
      <c r="M3556" s="33" t="n">
        <f aca="false">IF(I3556="","",ABS(I3556))</f>
        <v>11.25</v>
      </c>
      <c r="N3556" s="33" t="n">
        <f aca="false">IF(J3556="","",ABS(J3556))</f>
        <v>11.875</v>
      </c>
      <c r="O3556" s="33" t="n">
        <f aca="false">IF(K3556="","",ABS(K3556))</f>
        <v>10.6953475004077</v>
      </c>
      <c r="P3556" s="34" t="str">
        <f aca="false">IF(B3556&gt;=Eval_Start_Week,"YES","")</f>
        <v/>
      </c>
      <c r="Q3556" s="34" t="str">
        <f aca="false">IF(AND(B3556&gt;=Cal_Start_Week,B3556&lt;=Cal_End_Week),"YES","")</f>
        <v/>
      </c>
    </row>
    <row r="3557" customFormat="false" ht="15" hidden="false" customHeight="false" outlineLevel="0" collapsed="false">
      <c r="A3557" s="31" t="str">
        <f aca="false">Demand_History!C3557</f>
        <v>ELE-006</v>
      </c>
      <c r="B3557" s="31" t="n">
        <f aca="false">Demand_History!A3557</f>
        <v>20</v>
      </c>
      <c r="C3557" s="32" t="n">
        <f aca="false">Demand_History!D3557</f>
        <v>55</v>
      </c>
      <c r="D3557" s="33" t="n">
        <f aca="false">IF(B3557&gt;=2,C3556,"")</f>
        <v>48</v>
      </c>
      <c r="E3557" s="33" t="n">
        <f aca="false">IF(B3557&gt;=5,AVERAGE(C3553:C3556),"")</f>
        <v>55.25</v>
      </c>
      <c r="F3557" s="33" t="n">
        <f aca="false">IF(B3557&gt;=9,AVERAGE(C3549:C3556),"")</f>
        <v>58.25</v>
      </c>
      <c r="G3557" s="33" t="n">
        <f aca="false">IF(B3557=1,"",IF(B3557=2,C3556,SES_Alpha*C3556+(1-SES_Alpha)*G3556))</f>
        <v>55.4867432502854</v>
      </c>
      <c r="H3557" s="33" t="n">
        <f aca="false">IF(D3557="","",D3557-C3557)</f>
        <v>-7</v>
      </c>
      <c r="I3557" s="33" t="n">
        <f aca="false">IF(E3557="","",E3557-C3557)</f>
        <v>0.25</v>
      </c>
      <c r="J3557" s="33" t="n">
        <f aca="false">IF(F3557="","",F3557-C3557)</f>
        <v>3.25</v>
      </c>
      <c r="K3557" s="33" t="n">
        <f aca="false">IF(G3557="","",G3557-C3557)</f>
        <v>0.486743250285365</v>
      </c>
      <c r="L3557" s="33" t="n">
        <f aca="false">IF(H3557="","",ABS(H3557))</f>
        <v>7</v>
      </c>
      <c r="M3557" s="33" t="n">
        <f aca="false">IF(I3557="","",ABS(I3557))</f>
        <v>0.25</v>
      </c>
      <c r="N3557" s="33" t="n">
        <f aca="false">IF(J3557="","",ABS(J3557))</f>
        <v>3.25</v>
      </c>
      <c r="O3557" s="33" t="n">
        <f aca="false">IF(K3557="","",ABS(K3557))</f>
        <v>0.486743250285365</v>
      </c>
      <c r="P3557" s="34" t="str">
        <f aca="false">IF(B3557&gt;=Eval_Start_Week,"YES","")</f>
        <v/>
      </c>
      <c r="Q3557" s="34" t="str">
        <f aca="false">IF(AND(B3557&gt;=Cal_Start_Week,B3557&lt;=Cal_End_Week),"YES","")</f>
        <v/>
      </c>
    </row>
    <row r="3558" customFormat="false" ht="15" hidden="false" customHeight="false" outlineLevel="0" collapsed="false">
      <c r="A3558" s="31" t="str">
        <f aca="false">Demand_History!C3558</f>
        <v>ELE-006</v>
      </c>
      <c r="B3558" s="31" t="n">
        <f aca="false">Demand_History!A3558</f>
        <v>21</v>
      </c>
      <c r="C3558" s="32" t="n">
        <f aca="false">Demand_History!D3558</f>
        <v>56</v>
      </c>
      <c r="D3558" s="33" t="n">
        <f aca="false">IF(B3558&gt;=2,C3557,"")</f>
        <v>55</v>
      </c>
      <c r="E3558" s="33" t="n">
        <f aca="false">IF(B3558&gt;=5,AVERAGE(C3554:C3557),"")</f>
        <v>54.75</v>
      </c>
      <c r="F3558" s="33" t="n">
        <f aca="false">IF(B3558&gt;=9,AVERAGE(C3550:C3557),"")</f>
        <v>57.125</v>
      </c>
      <c r="G3558" s="33" t="n">
        <f aca="false">IF(B3558=1,"",IF(B3558=2,C3557,SES_Alpha*C3557+(1-SES_Alpha)*G3557))</f>
        <v>55.3407202751998</v>
      </c>
      <c r="H3558" s="33" t="n">
        <f aca="false">IF(D3558="","",D3558-C3558)</f>
        <v>-1</v>
      </c>
      <c r="I3558" s="33" t="n">
        <f aca="false">IF(E3558="","",E3558-C3558)</f>
        <v>-1.25</v>
      </c>
      <c r="J3558" s="33" t="n">
        <f aca="false">IF(F3558="","",F3558-C3558)</f>
        <v>1.125</v>
      </c>
      <c r="K3558" s="33" t="n">
        <f aca="false">IF(G3558="","",G3558-C3558)</f>
        <v>-0.65927972480025</v>
      </c>
      <c r="L3558" s="33" t="n">
        <f aca="false">IF(H3558="","",ABS(H3558))</f>
        <v>1</v>
      </c>
      <c r="M3558" s="33" t="n">
        <f aca="false">IF(I3558="","",ABS(I3558))</f>
        <v>1.25</v>
      </c>
      <c r="N3558" s="33" t="n">
        <f aca="false">IF(J3558="","",ABS(J3558))</f>
        <v>1.125</v>
      </c>
      <c r="O3558" s="33" t="n">
        <f aca="false">IF(K3558="","",ABS(K3558))</f>
        <v>0.65927972480025</v>
      </c>
      <c r="P3558" s="34" t="str">
        <f aca="false">IF(B3558&gt;=Eval_Start_Week,"YES","")</f>
        <v/>
      </c>
      <c r="Q3558" s="34" t="str">
        <f aca="false">IF(AND(B3558&gt;=Cal_Start_Week,B3558&lt;=Cal_End_Week),"YES","")</f>
        <v/>
      </c>
    </row>
    <row r="3559" customFormat="false" ht="15" hidden="false" customHeight="false" outlineLevel="0" collapsed="false">
      <c r="A3559" s="31" t="str">
        <f aca="false">Demand_History!C3559</f>
        <v>ELE-006</v>
      </c>
      <c r="B3559" s="31" t="n">
        <f aca="false">Demand_History!A3559</f>
        <v>22</v>
      </c>
      <c r="C3559" s="32" t="n">
        <f aca="false">Demand_History!D3559</f>
        <v>60</v>
      </c>
      <c r="D3559" s="33" t="n">
        <f aca="false">IF(B3559&gt;=2,C3558,"")</f>
        <v>56</v>
      </c>
      <c r="E3559" s="33" t="n">
        <f aca="false">IF(B3559&gt;=5,AVERAGE(C3555:C3558),"")</f>
        <v>53.5</v>
      </c>
      <c r="F3559" s="33" t="n">
        <f aca="false">IF(B3559&gt;=9,AVERAGE(C3551:C3558),"")</f>
        <v>56.625</v>
      </c>
      <c r="G3559" s="33" t="n">
        <f aca="false">IF(B3559=1,"",IF(B3559=2,C3558,SES_Alpha*C3558+(1-SES_Alpha)*G3558))</f>
        <v>55.5385041926398</v>
      </c>
      <c r="H3559" s="33" t="n">
        <f aca="false">IF(D3559="","",D3559-C3559)</f>
        <v>-4</v>
      </c>
      <c r="I3559" s="33" t="n">
        <f aca="false">IF(E3559="","",E3559-C3559)</f>
        <v>-6.5</v>
      </c>
      <c r="J3559" s="33" t="n">
        <f aca="false">IF(F3559="","",F3559-C3559)</f>
        <v>-3.375</v>
      </c>
      <c r="K3559" s="33" t="n">
        <f aca="false">IF(G3559="","",G3559-C3559)</f>
        <v>-4.46149580736018</v>
      </c>
      <c r="L3559" s="33" t="n">
        <f aca="false">IF(H3559="","",ABS(H3559))</f>
        <v>4</v>
      </c>
      <c r="M3559" s="33" t="n">
        <f aca="false">IF(I3559="","",ABS(I3559))</f>
        <v>6.5</v>
      </c>
      <c r="N3559" s="33" t="n">
        <f aca="false">IF(J3559="","",ABS(J3559))</f>
        <v>3.375</v>
      </c>
      <c r="O3559" s="33" t="n">
        <f aca="false">IF(K3559="","",ABS(K3559))</f>
        <v>4.46149580736018</v>
      </c>
      <c r="P3559" s="34" t="str">
        <f aca="false">IF(B3559&gt;=Eval_Start_Week,"YES","")</f>
        <v/>
      </c>
      <c r="Q3559" s="34" t="str">
        <f aca="false">IF(AND(B3559&gt;=Cal_Start_Week,B3559&lt;=Cal_End_Week),"YES","")</f>
        <v/>
      </c>
    </row>
    <row r="3560" customFormat="false" ht="15" hidden="false" customHeight="false" outlineLevel="0" collapsed="false">
      <c r="A3560" s="31" t="str">
        <f aca="false">Demand_History!C3560</f>
        <v>ELE-006</v>
      </c>
      <c r="B3560" s="31" t="n">
        <f aca="false">Demand_History!A3560</f>
        <v>23</v>
      </c>
      <c r="C3560" s="32" t="n">
        <f aca="false">Demand_History!D3560</f>
        <v>70</v>
      </c>
      <c r="D3560" s="33" t="n">
        <f aca="false">IF(B3560&gt;=2,C3559,"")</f>
        <v>60</v>
      </c>
      <c r="E3560" s="33" t="n">
        <f aca="false">IF(B3560&gt;=5,AVERAGE(C3556:C3559),"")</f>
        <v>54.75</v>
      </c>
      <c r="F3560" s="33" t="n">
        <f aca="false">IF(B3560&gt;=9,AVERAGE(C3552:C3559),"")</f>
        <v>57</v>
      </c>
      <c r="G3560" s="33" t="n">
        <f aca="false">IF(B3560=1,"",IF(B3560=2,C3559,SES_Alpha*C3559+(1-SES_Alpha)*G3559))</f>
        <v>56.8769529348479</v>
      </c>
      <c r="H3560" s="33" t="n">
        <f aca="false">IF(D3560="","",D3560-C3560)</f>
        <v>-10</v>
      </c>
      <c r="I3560" s="33" t="n">
        <f aca="false">IF(E3560="","",E3560-C3560)</f>
        <v>-15.25</v>
      </c>
      <c r="J3560" s="33" t="n">
        <f aca="false">IF(F3560="","",F3560-C3560)</f>
        <v>-13</v>
      </c>
      <c r="K3560" s="33" t="n">
        <f aca="false">IF(G3560="","",G3560-C3560)</f>
        <v>-13.1230470651521</v>
      </c>
      <c r="L3560" s="33" t="n">
        <f aca="false">IF(H3560="","",ABS(H3560))</f>
        <v>10</v>
      </c>
      <c r="M3560" s="33" t="n">
        <f aca="false">IF(I3560="","",ABS(I3560))</f>
        <v>15.25</v>
      </c>
      <c r="N3560" s="33" t="n">
        <f aca="false">IF(J3560="","",ABS(J3560))</f>
        <v>13</v>
      </c>
      <c r="O3560" s="33" t="n">
        <f aca="false">IF(K3560="","",ABS(K3560))</f>
        <v>13.1230470651521</v>
      </c>
      <c r="P3560" s="34" t="str">
        <f aca="false">IF(B3560&gt;=Eval_Start_Week,"YES","")</f>
        <v/>
      </c>
      <c r="Q3560" s="34" t="str">
        <f aca="false">IF(AND(B3560&gt;=Cal_Start_Week,B3560&lt;=Cal_End_Week),"YES","")</f>
        <v/>
      </c>
    </row>
    <row r="3561" customFormat="false" ht="15" hidden="false" customHeight="false" outlineLevel="0" collapsed="false">
      <c r="A3561" s="31" t="str">
        <f aca="false">Demand_History!C3561</f>
        <v>ELE-006</v>
      </c>
      <c r="B3561" s="31" t="n">
        <f aca="false">Demand_History!A3561</f>
        <v>24</v>
      </c>
      <c r="C3561" s="32" t="n">
        <f aca="false">Demand_History!D3561</f>
        <v>46</v>
      </c>
      <c r="D3561" s="33" t="n">
        <f aca="false">IF(B3561&gt;=2,C3560,"")</f>
        <v>70</v>
      </c>
      <c r="E3561" s="33" t="n">
        <f aca="false">IF(B3561&gt;=5,AVERAGE(C3557:C3560),"")</f>
        <v>60.25</v>
      </c>
      <c r="F3561" s="33" t="n">
        <f aca="false">IF(B3561&gt;=9,AVERAGE(C3553:C3560),"")</f>
        <v>57.75</v>
      </c>
      <c r="G3561" s="33" t="n">
        <f aca="false">IF(B3561=1,"",IF(B3561=2,C3560,SES_Alpha*C3560+(1-SES_Alpha)*G3560))</f>
        <v>60.8138670543935</v>
      </c>
      <c r="H3561" s="33" t="n">
        <f aca="false">IF(D3561="","",D3561-C3561)</f>
        <v>24</v>
      </c>
      <c r="I3561" s="33" t="n">
        <f aca="false">IF(E3561="","",E3561-C3561)</f>
        <v>14.25</v>
      </c>
      <c r="J3561" s="33" t="n">
        <f aca="false">IF(F3561="","",F3561-C3561)</f>
        <v>11.75</v>
      </c>
      <c r="K3561" s="33" t="n">
        <f aca="false">IF(G3561="","",G3561-C3561)</f>
        <v>14.8138670543935</v>
      </c>
      <c r="L3561" s="33" t="n">
        <f aca="false">IF(H3561="","",ABS(H3561))</f>
        <v>24</v>
      </c>
      <c r="M3561" s="33" t="n">
        <f aca="false">IF(I3561="","",ABS(I3561))</f>
        <v>14.25</v>
      </c>
      <c r="N3561" s="33" t="n">
        <f aca="false">IF(J3561="","",ABS(J3561))</f>
        <v>11.75</v>
      </c>
      <c r="O3561" s="33" t="n">
        <f aca="false">IF(K3561="","",ABS(K3561))</f>
        <v>14.8138670543935</v>
      </c>
      <c r="P3561" s="34" t="str">
        <f aca="false">IF(B3561&gt;=Eval_Start_Week,"YES","")</f>
        <v/>
      </c>
      <c r="Q3561" s="34" t="str">
        <f aca="false">IF(AND(B3561&gt;=Cal_Start_Week,B3561&lt;=Cal_End_Week),"YES","")</f>
        <v/>
      </c>
    </row>
    <row r="3562" customFormat="false" ht="15" hidden="false" customHeight="false" outlineLevel="0" collapsed="false">
      <c r="A3562" s="31" t="str">
        <f aca="false">Demand_History!C3562</f>
        <v>ELE-006</v>
      </c>
      <c r="B3562" s="31" t="n">
        <f aca="false">Demand_History!A3562</f>
        <v>25</v>
      </c>
      <c r="C3562" s="32" t="n">
        <f aca="false">Demand_History!D3562</f>
        <v>61</v>
      </c>
      <c r="D3562" s="33" t="n">
        <f aca="false">IF(B3562&gt;=2,C3561,"")</f>
        <v>46</v>
      </c>
      <c r="E3562" s="33" t="n">
        <f aca="false">IF(B3562&gt;=5,AVERAGE(C3558:C3561),"")</f>
        <v>58</v>
      </c>
      <c r="F3562" s="33" t="n">
        <f aca="false">IF(B3562&gt;=9,AVERAGE(C3554:C3561),"")</f>
        <v>56.375</v>
      </c>
      <c r="G3562" s="33" t="n">
        <f aca="false">IF(B3562=1,"",IF(B3562=2,C3561,SES_Alpha*C3561+(1-SES_Alpha)*G3561))</f>
        <v>56.3697069380754</v>
      </c>
      <c r="H3562" s="33" t="n">
        <f aca="false">IF(D3562="","",D3562-C3562)</f>
        <v>-15</v>
      </c>
      <c r="I3562" s="33" t="n">
        <f aca="false">IF(E3562="","",E3562-C3562)</f>
        <v>-3</v>
      </c>
      <c r="J3562" s="33" t="n">
        <f aca="false">IF(F3562="","",F3562-C3562)</f>
        <v>-4.625</v>
      </c>
      <c r="K3562" s="33" t="n">
        <f aca="false">IF(G3562="","",G3562-C3562)</f>
        <v>-4.63029306192455</v>
      </c>
      <c r="L3562" s="33" t="n">
        <f aca="false">IF(H3562="","",ABS(H3562))</f>
        <v>15</v>
      </c>
      <c r="M3562" s="33" t="n">
        <f aca="false">IF(I3562="","",ABS(I3562))</f>
        <v>3</v>
      </c>
      <c r="N3562" s="33" t="n">
        <f aca="false">IF(J3562="","",ABS(J3562))</f>
        <v>4.625</v>
      </c>
      <c r="O3562" s="33" t="n">
        <f aca="false">IF(K3562="","",ABS(K3562))</f>
        <v>4.63029306192455</v>
      </c>
      <c r="P3562" s="34" t="str">
        <f aca="false">IF(B3562&gt;=Eval_Start_Week,"YES","")</f>
        <v/>
      </c>
      <c r="Q3562" s="34" t="str">
        <f aca="false">IF(AND(B3562&gt;=Cal_Start_Week,B3562&lt;=Cal_End_Week),"YES","")</f>
        <v/>
      </c>
    </row>
    <row r="3563" customFormat="false" ht="15" hidden="false" customHeight="false" outlineLevel="0" collapsed="false">
      <c r="A3563" s="31" t="str">
        <f aca="false">Demand_History!C3563</f>
        <v>ELE-006</v>
      </c>
      <c r="B3563" s="31" t="n">
        <f aca="false">Demand_History!A3563</f>
        <v>26</v>
      </c>
      <c r="C3563" s="32" t="n">
        <f aca="false">Demand_History!D3563</f>
        <v>42</v>
      </c>
      <c r="D3563" s="33" t="n">
        <f aca="false">IF(B3563&gt;=2,C3562,"")</f>
        <v>61</v>
      </c>
      <c r="E3563" s="33" t="n">
        <f aca="false">IF(B3563&gt;=5,AVERAGE(C3559:C3562),"")</f>
        <v>59.25</v>
      </c>
      <c r="F3563" s="33" t="n">
        <f aca="false">IF(B3563&gt;=9,AVERAGE(C3555:C3562),"")</f>
        <v>56.375</v>
      </c>
      <c r="G3563" s="33" t="n">
        <f aca="false">IF(B3563=1,"",IF(B3563=2,C3562,SES_Alpha*C3562+(1-SES_Alpha)*G3562))</f>
        <v>57.7587948566528</v>
      </c>
      <c r="H3563" s="33" t="n">
        <f aca="false">IF(D3563="","",D3563-C3563)</f>
        <v>19</v>
      </c>
      <c r="I3563" s="33" t="n">
        <f aca="false">IF(E3563="","",E3563-C3563)</f>
        <v>17.25</v>
      </c>
      <c r="J3563" s="33" t="n">
        <f aca="false">IF(F3563="","",F3563-C3563)</f>
        <v>14.375</v>
      </c>
      <c r="K3563" s="33" t="n">
        <f aca="false">IF(G3563="","",G3563-C3563)</f>
        <v>15.7587948566528</v>
      </c>
      <c r="L3563" s="33" t="n">
        <f aca="false">IF(H3563="","",ABS(H3563))</f>
        <v>19</v>
      </c>
      <c r="M3563" s="33" t="n">
        <f aca="false">IF(I3563="","",ABS(I3563))</f>
        <v>17.25</v>
      </c>
      <c r="N3563" s="33" t="n">
        <f aca="false">IF(J3563="","",ABS(J3563))</f>
        <v>14.375</v>
      </c>
      <c r="O3563" s="33" t="n">
        <f aca="false">IF(K3563="","",ABS(K3563))</f>
        <v>15.7587948566528</v>
      </c>
      <c r="P3563" s="34" t="str">
        <f aca="false">IF(B3563&gt;=Eval_Start_Week,"YES","")</f>
        <v/>
      </c>
      <c r="Q3563" s="34" t="str">
        <f aca="false">IF(AND(B3563&gt;=Cal_Start_Week,B3563&lt;=Cal_End_Week),"YES","")</f>
        <v/>
      </c>
    </row>
    <row r="3564" customFormat="false" ht="15" hidden="false" customHeight="false" outlineLevel="0" collapsed="false">
      <c r="A3564" s="31" t="str">
        <f aca="false">Demand_History!C3564</f>
        <v>ELE-006</v>
      </c>
      <c r="B3564" s="31" t="n">
        <f aca="false">Demand_History!A3564</f>
        <v>27</v>
      </c>
      <c r="C3564" s="32" t="n">
        <f aca="false">Demand_History!D3564</f>
        <v>51</v>
      </c>
      <c r="D3564" s="33" t="n">
        <f aca="false">IF(B3564&gt;=2,C3563,"")</f>
        <v>42</v>
      </c>
      <c r="E3564" s="33" t="n">
        <f aca="false">IF(B3564&gt;=5,AVERAGE(C3560:C3563),"")</f>
        <v>54.75</v>
      </c>
      <c r="F3564" s="33" t="n">
        <f aca="false">IF(B3564&gt;=9,AVERAGE(C3556:C3563),"")</f>
        <v>54.75</v>
      </c>
      <c r="G3564" s="33" t="n">
        <f aca="false">IF(B3564=1,"",IF(B3564=2,C3563,SES_Alpha*C3563+(1-SES_Alpha)*G3563))</f>
        <v>53.031156399657</v>
      </c>
      <c r="H3564" s="33" t="n">
        <f aca="false">IF(D3564="","",D3564-C3564)</f>
        <v>-9</v>
      </c>
      <c r="I3564" s="33" t="n">
        <f aca="false">IF(E3564="","",E3564-C3564)</f>
        <v>3.75</v>
      </c>
      <c r="J3564" s="33" t="n">
        <f aca="false">IF(F3564="","",F3564-C3564)</f>
        <v>3.75</v>
      </c>
      <c r="K3564" s="33" t="n">
        <f aca="false">IF(G3564="","",G3564-C3564)</f>
        <v>2.03115639965696</v>
      </c>
      <c r="L3564" s="33" t="n">
        <f aca="false">IF(H3564="","",ABS(H3564))</f>
        <v>9</v>
      </c>
      <c r="M3564" s="33" t="n">
        <f aca="false">IF(I3564="","",ABS(I3564))</f>
        <v>3.75</v>
      </c>
      <c r="N3564" s="33" t="n">
        <f aca="false">IF(J3564="","",ABS(J3564))</f>
        <v>3.75</v>
      </c>
      <c r="O3564" s="33" t="n">
        <f aca="false">IF(K3564="","",ABS(K3564))</f>
        <v>2.03115639965696</v>
      </c>
      <c r="P3564" s="34" t="str">
        <f aca="false">IF(B3564&gt;=Eval_Start_Week,"YES","")</f>
        <v/>
      </c>
      <c r="Q3564" s="34" t="str">
        <f aca="false">IF(AND(B3564&gt;=Cal_Start_Week,B3564&lt;=Cal_End_Week),"YES","")</f>
        <v/>
      </c>
    </row>
    <row r="3565" customFormat="false" ht="15" hidden="false" customHeight="false" outlineLevel="0" collapsed="false">
      <c r="A3565" s="31" t="str">
        <f aca="false">Demand_History!C3565</f>
        <v>ELE-006</v>
      </c>
      <c r="B3565" s="31" t="n">
        <f aca="false">Demand_History!A3565</f>
        <v>28</v>
      </c>
      <c r="C3565" s="32" t="n">
        <f aca="false">Demand_History!D3565</f>
        <v>56</v>
      </c>
      <c r="D3565" s="33" t="n">
        <f aca="false">IF(B3565&gt;=2,C3564,"")</f>
        <v>51</v>
      </c>
      <c r="E3565" s="33" t="n">
        <f aca="false">IF(B3565&gt;=5,AVERAGE(C3561:C3564),"")</f>
        <v>50</v>
      </c>
      <c r="F3565" s="33" t="n">
        <f aca="false">IF(B3565&gt;=9,AVERAGE(C3557:C3564),"")</f>
        <v>55.125</v>
      </c>
      <c r="G3565" s="33" t="n">
        <f aca="false">IF(B3565=1,"",IF(B3565=2,C3564,SES_Alpha*C3564+(1-SES_Alpha)*G3564))</f>
        <v>52.4218094797599</v>
      </c>
      <c r="H3565" s="33" t="n">
        <f aca="false">IF(D3565="","",D3565-C3565)</f>
        <v>-5</v>
      </c>
      <c r="I3565" s="33" t="n">
        <f aca="false">IF(E3565="","",E3565-C3565)</f>
        <v>-6</v>
      </c>
      <c r="J3565" s="33" t="n">
        <f aca="false">IF(F3565="","",F3565-C3565)</f>
        <v>-0.875</v>
      </c>
      <c r="K3565" s="33" t="n">
        <f aca="false">IF(G3565="","",G3565-C3565)</f>
        <v>-3.57819052024013</v>
      </c>
      <c r="L3565" s="33" t="n">
        <f aca="false">IF(H3565="","",ABS(H3565))</f>
        <v>5</v>
      </c>
      <c r="M3565" s="33" t="n">
        <f aca="false">IF(I3565="","",ABS(I3565))</f>
        <v>6</v>
      </c>
      <c r="N3565" s="33" t="n">
        <f aca="false">IF(J3565="","",ABS(J3565))</f>
        <v>0.875</v>
      </c>
      <c r="O3565" s="33" t="n">
        <f aca="false">IF(K3565="","",ABS(K3565))</f>
        <v>3.57819052024013</v>
      </c>
      <c r="P3565" s="34" t="str">
        <f aca="false">IF(B3565&gt;=Eval_Start_Week,"YES","")</f>
        <v/>
      </c>
      <c r="Q3565" s="34" t="str">
        <f aca="false">IF(AND(B3565&gt;=Cal_Start_Week,B3565&lt;=Cal_End_Week),"YES","")</f>
        <v/>
      </c>
    </row>
    <row r="3566" customFormat="false" ht="15" hidden="false" customHeight="false" outlineLevel="0" collapsed="false">
      <c r="A3566" s="31" t="str">
        <f aca="false">Demand_History!C3566</f>
        <v>ELE-006</v>
      </c>
      <c r="B3566" s="31" t="n">
        <f aca="false">Demand_History!A3566</f>
        <v>29</v>
      </c>
      <c r="C3566" s="32" t="n">
        <f aca="false">Demand_History!D3566</f>
        <v>42</v>
      </c>
      <c r="D3566" s="33" t="n">
        <f aca="false">IF(B3566&gt;=2,C3565,"")</f>
        <v>56</v>
      </c>
      <c r="E3566" s="33" t="n">
        <f aca="false">IF(B3566&gt;=5,AVERAGE(C3562:C3565),"")</f>
        <v>52.5</v>
      </c>
      <c r="F3566" s="33" t="n">
        <f aca="false">IF(B3566&gt;=9,AVERAGE(C3558:C3565),"")</f>
        <v>55.25</v>
      </c>
      <c r="G3566" s="33" t="n">
        <f aca="false">IF(B3566=1,"",IF(B3566=2,C3565,SES_Alpha*C3565+(1-SES_Alpha)*G3565))</f>
        <v>53.4952666358319</v>
      </c>
      <c r="H3566" s="33" t="n">
        <f aca="false">IF(D3566="","",D3566-C3566)</f>
        <v>14</v>
      </c>
      <c r="I3566" s="33" t="n">
        <f aca="false">IF(E3566="","",E3566-C3566)</f>
        <v>10.5</v>
      </c>
      <c r="J3566" s="33" t="n">
        <f aca="false">IF(F3566="","",F3566-C3566)</f>
        <v>13.25</v>
      </c>
      <c r="K3566" s="33" t="n">
        <f aca="false">IF(G3566="","",G3566-C3566)</f>
        <v>11.4952666358319</v>
      </c>
      <c r="L3566" s="33" t="n">
        <f aca="false">IF(H3566="","",ABS(H3566))</f>
        <v>14</v>
      </c>
      <c r="M3566" s="33" t="n">
        <f aca="false">IF(I3566="","",ABS(I3566))</f>
        <v>10.5</v>
      </c>
      <c r="N3566" s="33" t="n">
        <f aca="false">IF(J3566="","",ABS(J3566))</f>
        <v>13.25</v>
      </c>
      <c r="O3566" s="33" t="n">
        <f aca="false">IF(K3566="","",ABS(K3566))</f>
        <v>11.4952666358319</v>
      </c>
      <c r="P3566" s="34" t="str">
        <f aca="false">IF(B3566&gt;=Eval_Start_Week,"YES","")</f>
        <v/>
      </c>
      <c r="Q3566" s="34" t="str">
        <f aca="false">IF(AND(B3566&gt;=Cal_Start_Week,B3566&lt;=Cal_End_Week),"YES","")</f>
        <v/>
      </c>
    </row>
    <row r="3567" customFormat="false" ht="15" hidden="false" customHeight="false" outlineLevel="0" collapsed="false">
      <c r="A3567" s="31" t="str">
        <f aca="false">Demand_History!C3567</f>
        <v>ELE-006</v>
      </c>
      <c r="B3567" s="31" t="n">
        <f aca="false">Demand_History!A3567</f>
        <v>30</v>
      </c>
      <c r="C3567" s="32" t="n">
        <f aca="false">Demand_History!D3567</f>
        <v>45</v>
      </c>
      <c r="D3567" s="33" t="n">
        <f aca="false">IF(B3567&gt;=2,C3566,"")</f>
        <v>42</v>
      </c>
      <c r="E3567" s="33" t="n">
        <f aca="false">IF(B3567&gt;=5,AVERAGE(C3563:C3566),"")</f>
        <v>47.75</v>
      </c>
      <c r="F3567" s="33" t="n">
        <f aca="false">IF(B3567&gt;=9,AVERAGE(C3559:C3566),"")</f>
        <v>53.5</v>
      </c>
      <c r="G3567" s="33" t="n">
        <f aca="false">IF(B3567=1,"",IF(B3567=2,C3566,SES_Alpha*C3566+(1-SES_Alpha)*G3566))</f>
        <v>50.0466866450823</v>
      </c>
      <c r="H3567" s="33" t="n">
        <f aca="false">IF(D3567="","",D3567-C3567)</f>
        <v>-3</v>
      </c>
      <c r="I3567" s="33" t="n">
        <f aca="false">IF(E3567="","",E3567-C3567)</f>
        <v>2.75</v>
      </c>
      <c r="J3567" s="33" t="n">
        <f aca="false">IF(F3567="","",F3567-C3567)</f>
        <v>8.5</v>
      </c>
      <c r="K3567" s="33" t="n">
        <f aca="false">IF(G3567="","",G3567-C3567)</f>
        <v>5.04668664508234</v>
      </c>
      <c r="L3567" s="33" t="n">
        <f aca="false">IF(H3567="","",ABS(H3567))</f>
        <v>3</v>
      </c>
      <c r="M3567" s="33" t="n">
        <f aca="false">IF(I3567="","",ABS(I3567))</f>
        <v>2.75</v>
      </c>
      <c r="N3567" s="33" t="n">
        <f aca="false">IF(J3567="","",ABS(J3567))</f>
        <v>8.5</v>
      </c>
      <c r="O3567" s="33" t="n">
        <f aca="false">IF(K3567="","",ABS(K3567))</f>
        <v>5.04668664508234</v>
      </c>
      <c r="P3567" s="34" t="str">
        <f aca="false">IF(B3567&gt;=Eval_Start_Week,"YES","")</f>
        <v/>
      </c>
      <c r="Q3567" s="34" t="str">
        <f aca="false">IF(AND(B3567&gt;=Cal_Start_Week,B3567&lt;=Cal_End_Week),"YES","")</f>
        <v/>
      </c>
    </row>
    <row r="3568" customFormat="false" ht="15" hidden="false" customHeight="false" outlineLevel="0" collapsed="false">
      <c r="A3568" s="31" t="str">
        <f aca="false">Demand_History!C3568</f>
        <v>ELE-006</v>
      </c>
      <c r="B3568" s="31" t="n">
        <f aca="false">Demand_History!A3568</f>
        <v>31</v>
      </c>
      <c r="C3568" s="32" t="n">
        <f aca="false">Demand_History!D3568</f>
        <v>61</v>
      </c>
      <c r="D3568" s="33" t="n">
        <f aca="false">IF(B3568&gt;=2,C3567,"")</f>
        <v>45</v>
      </c>
      <c r="E3568" s="33" t="n">
        <f aca="false">IF(B3568&gt;=5,AVERAGE(C3564:C3567),"")</f>
        <v>48.5</v>
      </c>
      <c r="F3568" s="33" t="n">
        <f aca="false">IF(B3568&gt;=9,AVERAGE(C3560:C3567),"")</f>
        <v>51.625</v>
      </c>
      <c r="G3568" s="33" t="n">
        <f aca="false">IF(B3568=1,"",IF(B3568=2,C3567,SES_Alpha*C3567+(1-SES_Alpha)*G3567))</f>
        <v>48.5326806515576</v>
      </c>
      <c r="H3568" s="33" t="n">
        <f aca="false">IF(D3568="","",D3568-C3568)</f>
        <v>-16</v>
      </c>
      <c r="I3568" s="33" t="n">
        <f aca="false">IF(E3568="","",E3568-C3568)</f>
        <v>-12.5</v>
      </c>
      <c r="J3568" s="33" t="n">
        <f aca="false">IF(F3568="","",F3568-C3568)</f>
        <v>-9.375</v>
      </c>
      <c r="K3568" s="33" t="n">
        <f aca="false">IF(G3568="","",G3568-C3568)</f>
        <v>-12.4673193484424</v>
      </c>
      <c r="L3568" s="33" t="n">
        <f aca="false">IF(H3568="","",ABS(H3568))</f>
        <v>16</v>
      </c>
      <c r="M3568" s="33" t="n">
        <f aca="false">IF(I3568="","",ABS(I3568))</f>
        <v>12.5</v>
      </c>
      <c r="N3568" s="33" t="n">
        <f aca="false">IF(J3568="","",ABS(J3568))</f>
        <v>9.375</v>
      </c>
      <c r="O3568" s="33" t="n">
        <f aca="false">IF(K3568="","",ABS(K3568))</f>
        <v>12.4673193484424</v>
      </c>
      <c r="P3568" s="34" t="str">
        <f aca="false">IF(B3568&gt;=Eval_Start_Week,"YES","")</f>
        <v/>
      </c>
      <c r="Q3568" s="34" t="str">
        <f aca="false">IF(AND(B3568&gt;=Cal_Start_Week,B3568&lt;=Cal_End_Week),"YES","")</f>
        <v/>
      </c>
    </row>
    <row r="3569" customFormat="false" ht="15" hidden="false" customHeight="false" outlineLevel="0" collapsed="false">
      <c r="A3569" s="31" t="str">
        <f aca="false">Demand_History!C3569</f>
        <v>ELE-006</v>
      </c>
      <c r="B3569" s="31" t="n">
        <f aca="false">Demand_History!A3569</f>
        <v>32</v>
      </c>
      <c r="C3569" s="32" t="n">
        <f aca="false">Demand_History!D3569</f>
        <v>61</v>
      </c>
      <c r="D3569" s="33" t="n">
        <f aca="false">IF(B3569&gt;=2,C3568,"")</f>
        <v>61</v>
      </c>
      <c r="E3569" s="33" t="n">
        <f aca="false">IF(B3569&gt;=5,AVERAGE(C3565:C3568),"")</f>
        <v>51</v>
      </c>
      <c r="F3569" s="33" t="n">
        <f aca="false">IF(B3569&gt;=9,AVERAGE(C3561:C3568),"")</f>
        <v>50.5</v>
      </c>
      <c r="G3569" s="33" t="n">
        <f aca="false">IF(B3569=1,"",IF(B3569=2,C3568,SES_Alpha*C3568+(1-SES_Alpha)*G3568))</f>
        <v>52.2728764560903</v>
      </c>
      <c r="H3569" s="33" t="n">
        <f aca="false">IF(D3569="","",D3569-C3569)</f>
        <v>0</v>
      </c>
      <c r="I3569" s="33" t="n">
        <f aca="false">IF(E3569="","",E3569-C3569)</f>
        <v>-10</v>
      </c>
      <c r="J3569" s="33" t="n">
        <f aca="false">IF(F3569="","",F3569-C3569)</f>
        <v>-10.5</v>
      </c>
      <c r="K3569" s="33" t="n">
        <f aca="false">IF(G3569="","",G3569-C3569)</f>
        <v>-8.72712354390966</v>
      </c>
      <c r="L3569" s="33" t="n">
        <f aca="false">IF(H3569="","",ABS(H3569))</f>
        <v>0</v>
      </c>
      <c r="M3569" s="33" t="n">
        <f aca="false">IF(I3569="","",ABS(I3569))</f>
        <v>10</v>
      </c>
      <c r="N3569" s="33" t="n">
        <f aca="false">IF(J3569="","",ABS(J3569))</f>
        <v>10.5</v>
      </c>
      <c r="O3569" s="33" t="n">
        <f aca="false">IF(K3569="","",ABS(K3569))</f>
        <v>8.72712354390966</v>
      </c>
      <c r="P3569" s="34" t="str">
        <f aca="false">IF(B3569&gt;=Eval_Start_Week,"YES","")</f>
        <v/>
      </c>
      <c r="Q3569" s="34" t="str">
        <f aca="false">IF(AND(B3569&gt;=Cal_Start_Week,B3569&lt;=Cal_End_Week),"YES","")</f>
        <v/>
      </c>
    </row>
    <row r="3570" customFormat="false" ht="15" hidden="false" customHeight="false" outlineLevel="0" collapsed="false">
      <c r="A3570" s="31" t="str">
        <f aca="false">Demand_History!C3570</f>
        <v>ELE-006</v>
      </c>
      <c r="B3570" s="31" t="n">
        <f aca="false">Demand_History!A3570</f>
        <v>33</v>
      </c>
      <c r="C3570" s="32" t="n">
        <f aca="false">Demand_History!D3570</f>
        <v>59</v>
      </c>
      <c r="D3570" s="33" t="n">
        <f aca="false">IF(B3570&gt;=2,C3569,"")</f>
        <v>61</v>
      </c>
      <c r="E3570" s="33" t="n">
        <f aca="false">IF(B3570&gt;=5,AVERAGE(C3566:C3569),"")</f>
        <v>52.25</v>
      </c>
      <c r="F3570" s="33" t="n">
        <f aca="false">IF(B3570&gt;=9,AVERAGE(C3562:C3569),"")</f>
        <v>52.375</v>
      </c>
      <c r="G3570" s="33" t="n">
        <f aca="false">IF(B3570=1,"",IF(B3570=2,C3569,SES_Alpha*C3569+(1-SES_Alpha)*G3569))</f>
        <v>54.8910135192632</v>
      </c>
      <c r="H3570" s="33" t="n">
        <f aca="false">IF(D3570="","",D3570-C3570)</f>
        <v>2</v>
      </c>
      <c r="I3570" s="33" t="n">
        <f aca="false">IF(E3570="","",E3570-C3570)</f>
        <v>-6.75</v>
      </c>
      <c r="J3570" s="33" t="n">
        <f aca="false">IF(F3570="","",F3570-C3570)</f>
        <v>-6.625</v>
      </c>
      <c r="K3570" s="33" t="n">
        <f aca="false">IF(G3570="","",G3570-C3570)</f>
        <v>-4.10898648073676</v>
      </c>
      <c r="L3570" s="33" t="n">
        <f aca="false">IF(H3570="","",ABS(H3570))</f>
        <v>2</v>
      </c>
      <c r="M3570" s="33" t="n">
        <f aca="false">IF(I3570="","",ABS(I3570))</f>
        <v>6.75</v>
      </c>
      <c r="N3570" s="33" t="n">
        <f aca="false">IF(J3570="","",ABS(J3570))</f>
        <v>6.625</v>
      </c>
      <c r="O3570" s="33" t="n">
        <f aca="false">IF(K3570="","",ABS(K3570))</f>
        <v>4.10898648073676</v>
      </c>
      <c r="P3570" s="34" t="str">
        <f aca="false">IF(B3570&gt;=Eval_Start_Week,"YES","")</f>
        <v/>
      </c>
      <c r="Q3570" s="34" t="str">
        <f aca="false">IF(AND(B3570&gt;=Cal_Start_Week,B3570&lt;=Cal_End_Week),"YES","")</f>
        <v/>
      </c>
    </row>
    <row r="3571" customFormat="false" ht="15" hidden="false" customHeight="false" outlineLevel="0" collapsed="false">
      <c r="A3571" s="31" t="str">
        <f aca="false">Demand_History!C3571</f>
        <v>ELE-006</v>
      </c>
      <c r="B3571" s="31" t="n">
        <f aca="false">Demand_History!A3571</f>
        <v>34</v>
      </c>
      <c r="C3571" s="32" t="n">
        <f aca="false">Demand_History!D3571</f>
        <v>53</v>
      </c>
      <c r="D3571" s="33" t="n">
        <f aca="false">IF(B3571&gt;=2,C3570,"")</f>
        <v>59</v>
      </c>
      <c r="E3571" s="33" t="n">
        <f aca="false">IF(B3571&gt;=5,AVERAGE(C3567:C3570),"")</f>
        <v>56.5</v>
      </c>
      <c r="F3571" s="33" t="n">
        <f aca="false">IF(B3571&gt;=9,AVERAGE(C3563:C3570),"")</f>
        <v>52.125</v>
      </c>
      <c r="G3571" s="33" t="n">
        <f aca="false">IF(B3571=1,"",IF(B3571=2,C3570,SES_Alpha*C3570+(1-SES_Alpha)*G3570))</f>
        <v>56.1237094634843</v>
      </c>
      <c r="H3571" s="33" t="n">
        <f aca="false">IF(D3571="","",D3571-C3571)</f>
        <v>6</v>
      </c>
      <c r="I3571" s="33" t="n">
        <f aca="false">IF(E3571="","",E3571-C3571)</f>
        <v>3.5</v>
      </c>
      <c r="J3571" s="33" t="n">
        <f aca="false">IF(F3571="","",F3571-C3571)</f>
        <v>-0.875</v>
      </c>
      <c r="K3571" s="33" t="n">
        <f aca="false">IF(G3571="","",G3571-C3571)</f>
        <v>3.12370946348426</v>
      </c>
      <c r="L3571" s="33" t="n">
        <f aca="false">IF(H3571="","",ABS(H3571))</f>
        <v>6</v>
      </c>
      <c r="M3571" s="33" t="n">
        <f aca="false">IF(I3571="","",ABS(I3571))</f>
        <v>3.5</v>
      </c>
      <c r="N3571" s="33" t="n">
        <f aca="false">IF(J3571="","",ABS(J3571))</f>
        <v>0.875</v>
      </c>
      <c r="O3571" s="33" t="n">
        <f aca="false">IF(K3571="","",ABS(K3571))</f>
        <v>3.12370946348426</v>
      </c>
      <c r="P3571" s="34" t="str">
        <f aca="false">IF(B3571&gt;=Eval_Start_Week,"YES","")</f>
        <v/>
      </c>
      <c r="Q3571" s="34" t="str">
        <f aca="false">IF(AND(B3571&gt;=Cal_Start_Week,B3571&lt;=Cal_End_Week),"YES","")</f>
        <v/>
      </c>
    </row>
    <row r="3572" customFormat="false" ht="15" hidden="false" customHeight="false" outlineLevel="0" collapsed="false">
      <c r="A3572" s="31" t="str">
        <f aca="false">Demand_History!C3572</f>
        <v>ELE-006</v>
      </c>
      <c r="B3572" s="31" t="n">
        <f aca="false">Demand_History!A3572</f>
        <v>35</v>
      </c>
      <c r="C3572" s="32" t="n">
        <f aca="false">Demand_History!D3572</f>
        <v>78</v>
      </c>
      <c r="D3572" s="33" t="n">
        <f aca="false">IF(B3572&gt;=2,C3571,"")</f>
        <v>53</v>
      </c>
      <c r="E3572" s="33" t="n">
        <f aca="false">IF(B3572&gt;=5,AVERAGE(C3568:C3571),"")</f>
        <v>58.5</v>
      </c>
      <c r="F3572" s="33" t="n">
        <f aca="false">IF(B3572&gt;=9,AVERAGE(C3564:C3571),"")</f>
        <v>53.5</v>
      </c>
      <c r="G3572" s="33" t="n">
        <f aca="false">IF(B3572=1,"",IF(B3572=2,C3571,SES_Alpha*C3571+(1-SES_Alpha)*G3571))</f>
        <v>55.186596624439</v>
      </c>
      <c r="H3572" s="33" t="n">
        <f aca="false">IF(D3572="","",D3572-C3572)</f>
        <v>-25</v>
      </c>
      <c r="I3572" s="33" t="n">
        <f aca="false">IF(E3572="","",E3572-C3572)</f>
        <v>-19.5</v>
      </c>
      <c r="J3572" s="33" t="n">
        <f aca="false">IF(F3572="","",F3572-C3572)</f>
        <v>-24.5</v>
      </c>
      <c r="K3572" s="33" t="n">
        <f aca="false">IF(G3572="","",G3572-C3572)</f>
        <v>-22.813403375561</v>
      </c>
      <c r="L3572" s="33" t="n">
        <f aca="false">IF(H3572="","",ABS(H3572))</f>
        <v>25</v>
      </c>
      <c r="M3572" s="33" t="n">
        <f aca="false">IF(I3572="","",ABS(I3572))</f>
        <v>19.5</v>
      </c>
      <c r="N3572" s="33" t="n">
        <f aca="false">IF(J3572="","",ABS(J3572))</f>
        <v>24.5</v>
      </c>
      <c r="O3572" s="33" t="n">
        <f aca="false">IF(K3572="","",ABS(K3572))</f>
        <v>22.813403375561</v>
      </c>
      <c r="P3572" s="34" t="str">
        <f aca="false">IF(B3572&gt;=Eval_Start_Week,"YES","")</f>
        <v/>
      </c>
      <c r="Q3572" s="34" t="str">
        <f aca="false">IF(AND(B3572&gt;=Cal_Start_Week,B3572&lt;=Cal_End_Week),"YES","")</f>
        <v/>
      </c>
    </row>
    <row r="3573" customFormat="false" ht="15" hidden="false" customHeight="false" outlineLevel="0" collapsed="false">
      <c r="A3573" s="31" t="str">
        <f aca="false">Demand_History!C3573</f>
        <v>ELE-006</v>
      </c>
      <c r="B3573" s="31" t="n">
        <f aca="false">Demand_History!A3573</f>
        <v>36</v>
      </c>
      <c r="C3573" s="32" t="n">
        <f aca="false">Demand_History!D3573</f>
        <v>59</v>
      </c>
      <c r="D3573" s="33" t="n">
        <f aca="false">IF(B3573&gt;=2,C3572,"")</f>
        <v>78</v>
      </c>
      <c r="E3573" s="33" t="n">
        <f aca="false">IF(B3573&gt;=5,AVERAGE(C3569:C3572),"")</f>
        <v>62.75</v>
      </c>
      <c r="F3573" s="33" t="n">
        <f aca="false">IF(B3573&gt;=9,AVERAGE(C3565:C3572),"")</f>
        <v>56.875</v>
      </c>
      <c r="G3573" s="33" t="n">
        <f aca="false">IF(B3573=1,"",IF(B3573=2,C3572,SES_Alpha*C3572+(1-SES_Alpha)*G3572))</f>
        <v>62.0306176371073</v>
      </c>
      <c r="H3573" s="33" t="n">
        <f aca="false">IF(D3573="","",D3573-C3573)</f>
        <v>19</v>
      </c>
      <c r="I3573" s="33" t="n">
        <f aca="false">IF(E3573="","",E3573-C3573)</f>
        <v>3.75</v>
      </c>
      <c r="J3573" s="33" t="n">
        <f aca="false">IF(F3573="","",F3573-C3573)</f>
        <v>-2.125</v>
      </c>
      <c r="K3573" s="33" t="n">
        <f aca="false">IF(G3573="","",G3573-C3573)</f>
        <v>3.03061763710728</v>
      </c>
      <c r="L3573" s="33" t="n">
        <f aca="false">IF(H3573="","",ABS(H3573))</f>
        <v>19</v>
      </c>
      <c r="M3573" s="33" t="n">
        <f aca="false">IF(I3573="","",ABS(I3573))</f>
        <v>3.75</v>
      </c>
      <c r="N3573" s="33" t="n">
        <f aca="false">IF(J3573="","",ABS(J3573))</f>
        <v>2.125</v>
      </c>
      <c r="O3573" s="33" t="n">
        <f aca="false">IF(K3573="","",ABS(K3573))</f>
        <v>3.03061763710728</v>
      </c>
      <c r="P3573" s="34" t="str">
        <f aca="false">IF(B3573&gt;=Eval_Start_Week,"YES","")</f>
        <v/>
      </c>
      <c r="Q3573" s="34" t="str">
        <f aca="false">IF(AND(B3573&gt;=Cal_Start_Week,B3573&lt;=Cal_End_Week),"YES","")</f>
        <v/>
      </c>
    </row>
    <row r="3574" customFormat="false" ht="15" hidden="false" customHeight="false" outlineLevel="0" collapsed="false">
      <c r="A3574" s="31" t="str">
        <f aca="false">Demand_History!C3574</f>
        <v>ELE-006</v>
      </c>
      <c r="B3574" s="31" t="n">
        <f aca="false">Demand_History!A3574</f>
        <v>37</v>
      </c>
      <c r="C3574" s="32" t="n">
        <f aca="false">Demand_History!D3574</f>
        <v>53</v>
      </c>
      <c r="D3574" s="33" t="n">
        <f aca="false">IF(B3574&gt;=2,C3573,"")</f>
        <v>59</v>
      </c>
      <c r="E3574" s="33" t="n">
        <f aca="false">IF(B3574&gt;=5,AVERAGE(C3570:C3573),"")</f>
        <v>62.25</v>
      </c>
      <c r="F3574" s="33" t="n">
        <f aca="false">IF(B3574&gt;=9,AVERAGE(C3566:C3573),"")</f>
        <v>57.25</v>
      </c>
      <c r="G3574" s="33" t="n">
        <f aca="false">IF(B3574=1,"",IF(B3574=2,C3573,SES_Alpha*C3573+(1-SES_Alpha)*G3573))</f>
        <v>61.1214323459751</v>
      </c>
      <c r="H3574" s="33" t="n">
        <f aca="false">IF(D3574="","",D3574-C3574)</f>
        <v>6</v>
      </c>
      <c r="I3574" s="33" t="n">
        <f aca="false">IF(E3574="","",E3574-C3574)</f>
        <v>9.25</v>
      </c>
      <c r="J3574" s="33" t="n">
        <f aca="false">IF(F3574="","",F3574-C3574)</f>
        <v>4.25</v>
      </c>
      <c r="K3574" s="33" t="n">
        <f aca="false">IF(G3574="","",G3574-C3574)</f>
        <v>8.12143234597509</v>
      </c>
      <c r="L3574" s="33" t="n">
        <f aca="false">IF(H3574="","",ABS(H3574))</f>
        <v>6</v>
      </c>
      <c r="M3574" s="33" t="n">
        <f aca="false">IF(I3574="","",ABS(I3574))</f>
        <v>9.25</v>
      </c>
      <c r="N3574" s="33" t="n">
        <f aca="false">IF(J3574="","",ABS(J3574))</f>
        <v>4.25</v>
      </c>
      <c r="O3574" s="33" t="n">
        <f aca="false">IF(K3574="","",ABS(K3574))</f>
        <v>8.12143234597509</v>
      </c>
      <c r="P3574" s="34" t="str">
        <f aca="false">IF(B3574&gt;=Eval_Start_Week,"YES","")</f>
        <v/>
      </c>
      <c r="Q3574" s="34" t="str">
        <f aca="false">IF(AND(B3574&gt;=Cal_Start_Week,B3574&lt;=Cal_End_Week),"YES","")</f>
        <v>YES</v>
      </c>
    </row>
    <row r="3575" customFormat="false" ht="15" hidden="false" customHeight="false" outlineLevel="0" collapsed="false">
      <c r="A3575" s="31" t="str">
        <f aca="false">Demand_History!C3575</f>
        <v>ELE-006</v>
      </c>
      <c r="B3575" s="31" t="n">
        <f aca="false">Demand_History!A3575</f>
        <v>38</v>
      </c>
      <c r="C3575" s="32" t="n">
        <f aca="false">Demand_History!D3575</f>
        <v>74</v>
      </c>
      <c r="D3575" s="33" t="n">
        <f aca="false">IF(B3575&gt;=2,C3574,"")</f>
        <v>53</v>
      </c>
      <c r="E3575" s="33" t="n">
        <f aca="false">IF(B3575&gt;=5,AVERAGE(C3571:C3574),"")</f>
        <v>60.75</v>
      </c>
      <c r="F3575" s="33" t="n">
        <f aca="false">IF(B3575&gt;=9,AVERAGE(C3567:C3574),"")</f>
        <v>58.625</v>
      </c>
      <c r="G3575" s="33" t="n">
        <f aca="false">IF(B3575=1,"",IF(B3575=2,C3574,SES_Alpha*C3574+(1-SES_Alpha)*G3574))</f>
        <v>58.6850026421826</v>
      </c>
      <c r="H3575" s="33" t="n">
        <f aca="false">IF(D3575="","",D3575-C3575)</f>
        <v>-21</v>
      </c>
      <c r="I3575" s="33" t="n">
        <f aca="false">IF(E3575="","",E3575-C3575)</f>
        <v>-13.25</v>
      </c>
      <c r="J3575" s="33" t="n">
        <f aca="false">IF(F3575="","",F3575-C3575)</f>
        <v>-15.375</v>
      </c>
      <c r="K3575" s="33" t="n">
        <f aca="false">IF(G3575="","",G3575-C3575)</f>
        <v>-15.3149973578174</v>
      </c>
      <c r="L3575" s="33" t="n">
        <f aca="false">IF(H3575="","",ABS(H3575))</f>
        <v>21</v>
      </c>
      <c r="M3575" s="33" t="n">
        <f aca="false">IF(I3575="","",ABS(I3575))</f>
        <v>13.25</v>
      </c>
      <c r="N3575" s="33" t="n">
        <f aca="false">IF(J3575="","",ABS(J3575))</f>
        <v>15.375</v>
      </c>
      <c r="O3575" s="33" t="n">
        <f aca="false">IF(K3575="","",ABS(K3575))</f>
        <v>15.3149973578174</v>
      </c>
      <c r="P3575" s="34" t="str">
        <f aca="false">IF(B3575&gt;=Eval_Start_Week,"YES","")</f>
        <v/>
      </c>
      <c r="Q3575" s="34" t="str">
        <f aca="false">IF(AND(B3575&gt;=Cal_Start_Week,B3575&lt;=Cal_End_Week),"YES","")</f>
        <v>YES</v>
      </c>
    </row>
    <row r="3576" customFormat="false" ht="15" hidden="false" customHeight="false" outlineLevel="0" collapsed="false">
      <c r="A3576" s="31" t="str">
        <f aca="false">Demand_History!C3576</f>
        <v>ELE-006</v>
      </c>
      <c r="B3576" s="31" t="n">
        <f aca="false">Demand_History!A3576</f>
        <v>39</v>
      </c>
      <c r="C3576" s="32" t="n">
        <f aca="false">Demand_History!D3576</f>
        <v>65</v>
      </c>
      <c r="D3576" s="33" t="n">
        <f aca="false">IF(B3576&gt;=2,C3575,"")</f>
        <v>74</v>
      </c>
      <c r="E3576" s="33" t="n">
        <f aca="false">IF(B3576&gt;=5,AVERAGE(C3572:C3575),"")</f>
        <v>66</v>
      </c>
      <c r="F3576" s="33" t="n">
        <f aca="false">IF(B3576&gt;=9,AVERAGE(C3568:C3575),"")</f>
        <v>62.25</v>
      </c>
      <c r="G3576" s="33" t="n">
        <f aca="false">IF(B3576=1,"",IF(B3576=2,C3575,SES_Alpha*C3575+(1-SES_Alpha)*G3575))</f>
        <v>63.2795018495278</v>
      </c>
      <c r="H3576" s="33" t="n">
        <f aca="false">IF(D3576="","",D3576-C3576)</f>
        <v>9</v>
      </c>
      <c r="I3576" s="33" t="n">
        <f aca="false">IF(E3576="","",E3576-C3576)</f>
        <v>1</v>
      </c>
      <c r="J3576" s="33" t="n">
        <f aca="false">IF(F3576="","",F3576-C3576)</f>
        <v>-2.75</v>
      </c>
      <c r="K3576" s="33" t="n">
        <f aca="false">IF(G3576="","",G3576-C3576)</f>
        <v>-1.72049815047221</v>
      </c>
      <c r="L3576" s="33" t="n">
        <f aca="false">IF(H3576="","",ABS(H3576))</f>
        <v>9</v>
      </c>
      <c r="M3576" s="33" t="n">
        <f aca="false">IF(I3576="","",ABS(I3576))</f>
        <v>1</v>
      </c>
      <c r="N3576" s="33" t="n">
        <f aca="false">IF(J3576="","",ABS(J3576))</f>
        <v>2.75</v>
      </c>
      <c r="O3576" s="33" t="n">
        <f aca="false">IF(K3576="","",ABS(K3576))</f>
        <v>1.72049815047221</v>
      </c>
      <c r="P3576" s="34" t="str">
        <f aca="false">IF(B3576&gt;=Eval_Start_Week,"YES","")</f>
        <v/>
      </c>
      <c r="Q3576" s="34" t="str">
        <f aca="false">IF(AND(B3576&gt;=Cal_Start_Week,B3576&lt;=Cal_End_Week),"YES","")</f>
        <v>YES</v>
      </c>
    </row>
    <row r="3577" customFormat="false" ht="15" hidden="false" customHeight="false" outlineLevel="0" collapsed="false">
      <c r="A3577" s="31" t="str">
        <f aca="false">Demand_History!C3577</f>
        <v>ELE-006</v>
      </c>
      <c r="B3577" s="31" t="n">
        <f aca="false">Demand_History!A3577</f>
        <v>40</v>
      </c>
      <c r="C3577" s="32" t="n">
        <f aca="false">Demand_History!D3577</f>
        <v>57</v>
      </c>
      <c r="D3577" s="33" t="n">
        <f aca="false">IF(B3577&gt;=2,C3576,"")</f>
        <v>65</v>
      </c>
      <c r="E3577" s="33" t="n">
        <f aca="false">IF(B3577&gt;=5,AVERAGE(C3573:C3576),"")</f>
        <v>62.75</v>
      </c>
      <c r="F3577" s="33" t="n">
        <f aca="false">IF(B3577&gt;=9,AVERAGE(C3569:C3576),"")</f>
        <v>62.75</v>
      </c>
      <c r="G3577" s="33" t="n">
        <f aca="false">IF(B3577=1,"",IF(B3577=2,C3576,SES_Alpha*C3576+(1-SES_Alpha)*G3576))</f>
        <v>63.7956512946695</v>
      </c>
      <c r="H3577" s="33" t="n">
        <f aca="false">IF(D3577="","",D3577-C3577)</f>
        <v>8</v>
      </c>
      <c r="I3577" s="33" t="n">
        <f aca="false">IF(E3577="","",E3577-C3577)</f>
        <v>5.75</v>
      </c>
      <c r="J3577" s="33" t="n">
        <f aca="false">IF(F3577="","",F3577-C3577)</f>
        <v>5.75</v>
      </c>
      <c r="K3577" s="33" t="n">
        <f aca="false">IF(G3577="","",G3577-C3577)</f>
        <v>6.79565129466945</v>
      </c>
      <c r="L3577" s="33" t="n">
        <f aca="false">IF(H3577="","",ABS(H3577))</f>
        <v>8</v>
      </c>
      <c r="M3577" s="33" t="n">
        <f aca="false">IF(I3577="","",ABS(I3577))</f>
        <v>5.75</v>
      </c>
      <c r="N3577" s="33" t="n">
        <f aca="false">IF(J3577="","",ABS(J3577))</f>
        <v>5.75</v>
      </c>
      <c r="O3577" s="33" t="n">
        <f aca="false">IF(K3577="","",ABS(K3577))</f>
        <v>6.79565129466945</v>
      </c>
      <c r="P3577" s="34" t="str">
        <f aca="false">IF(B3577&gt;=Eval_Start_Week,"YES","")</f>
        <v/>
      </c>
      <c r="Q3577" s="34" t="str">
        <f aca="false">IF(AND(B3577&gt;=Cal_Start_Week,B3577&lt;=Cal_End_Week),"YES","")</f>
        <v>YES</v>
      </c>
    </row>
    <row r="3578" customFormat="false" ht="15" hidden="false" customHeight="false" outlineLevel="0" collapsed="false">
      <c r="A3578" s="31" t="str">
        <f aca="false">Demand_History!C3578</f>
        <v>ELE-006</v>
      </c>
      <c r="B3578" s="31" t="n">
        <f aca="false">Demand_History!A3578</f>
        <v>41</v>
      </c>
      <c r="C3578" s="32" t="n">
        <f aca="false">Demand_History!D3578</f>
        <v>70</v>
      </c>
      <c r="D3578" s="33" t="n">
        <f aca="false">IF(B3578&gt;=2,C3577,"")</f>
        <v>57</v>
      </c>
      <c r="E3578" s="33" t="n">
        <f aca="false">IF(B3578&gt;=5,AVERAGE(C3574:C3577),"")</f>
        <v>62.25</v>
      </c>
      <c r="F3578" s="33" t="n">
        <f aca="false">IF(B3578&gt;=9,AVERAGE(C3570:C3577),"")</f>
        <v>62.25</v>
      </c>
      <c r="G3578" s="33" t="n">
        <f aca="false">IF(B3578=1,"",IF(B3578=2,C3577,SES_Alpha*C3577+(1-SES_Alpha)*G3577))</f>
        <v>61.7569559062686</v>
      </c>
      <c r="H3578" s="33" t="n">
        <f aca="false">IF(D3578="","",D3578-C3578)</f>
        <v>-13</v>
      </c>
      <c r="I3578" s="33" t="n">
        <f aca="false">IF(E3578="","",E3578-C3578)</f>
        <v>-7.75</v>
      </c>
      <c r="J3578" s="33" t="n">
        <f aca="false">IF(F3578="","",F3578-C3578)</f>
        <v>-7.75</v>
      </c>
      <c r="K3578" s="33" t="n">
        <f aca="false">IF(G3578="","",G3578-C3578)</f>
        <v>-8.24304409373139</v>
      </c>
      <c r="L3578" s="33" t="n">
        <f aca="false">IF(H3578="","",ABS(H3578))</f>
        <v>13</v>
      </c>
      <c r="M3578" s="33" t="n">
        <f aca="false">IF(I3578="","",ABS(I3578))</f>
        <v>7.75</v>
      </c>
      <c r="N3578" s="33" t="n">
        <f aca="false">IF(J3578="","",ABS(J3578))</f>
        <v>7.75</v>
      </c>
      <c r="O3578" s="33" t="n">
        <f aca="false">IF(K3578="","",ABS(K3578))</f>
        <v>8.24304409373139</v>
      </c>
      <c r="P3578" s="34" t="str">
        <f aca="false">IF(B3578&gt;=Eval_Start_Week,"YES","")</f>
        <v/>
      </c>
      <c r="Q3578" s="34" t="str">
        <f aca="false">IF(AND(B3578&gt;=Cal_Start_Week,B3578&lt;=Cal_End_Week),"YES","")</f>
        <v>YES</v>
      </c>
    </row>
    <row r="3579" customFormat="false" ht="15" hidden="false" customHeight="false" outlineLevel="0" collapsed="false">
      <c r="A3579" s="31" t="str">
        <f aca="false">Demand_History!C3579</f>
        <v>ELE-006</v>
      </c>
      <c r="B3579" s="31" t="n">
        <f aca="false">Demand_History!A3579</f>
        <v>42</v>
      </c>
      <c r="C3579" s="32" t="n">
        <f aca="false">Demand_History!D3579</f>
        <v>61</v>
      </c>
      <c r="D3579" s="33" t="n">
        <f aca="false">IF(B3579&gt;=2,C3578,"")</f>
        <v>70</v>
      </c>
      <c r="E3579" s="33" t="n">
        <f aca="false">IF(B3579&gt;=5,AVERAGE(C3575:C3578),"")</f>
        <v>66.5</v>
      </c>
      <c r="F3579" s="33" t="n">
        <f aca="false">IF(B3579&gt;=9,AVERAGE(C3571:C3578),"")</f>
        <v>63.625</v>
      </c>
      <c r="G3579" s="33" t="n">
        <f aca="false">IF(B3579=1,"",IF(B3579=2,C3578,SES_Alpha*C3578+(1-SES_Alpha)*G3578))</f>
        <v>64.229869134388</v>
      </c>
      <c r="H3579" s="33" t="n">
        <f aca="false">IF(D3579="","",D3579-C3579)</f>
        <v>9</v>
      </c>
      <c r="I3579" s="33" t="n">
        <f aca="false">IF(E3579="","",E3579-C3579)</f>
        <v>5.5</v>
      </c>
      <c r="J3579" s="33" t="n">
        <f aca="false">IF(F3579="","",F3579-C3579)</f>
        <v>2.625</v>
      </c>
      <c r="K3579" s="33" t="n">
        <f aca="false">IF(G3579="","",G3579-C3579)</f>
        <v>3.22986913438803</v>
      </c>
      <c r="L3579" s="33" t="n">
        <f aca="false">IF(H3579="","",ABS(H3579))</f>
        <v>9</v>
      </c>
      <c r="M3579" s="33" t="n">
        <f aca="false">IF(I3579="","",ABS(I3579))</f>
        <v>5.5</v>
      </c>
      <c r="N3579" s="33" t="n">
        <f aca="false">IF(J3579="","",ABS(J3579))</f>
        <v>2.625</v>
      </c>
      <c r="O3579" s="33" t="n">
        <f aca="false">IF(K3579="","",ABS(K3579))</f>
        <v>3.22986913438803</v>
      </c>
      <c r="P3579" s="34" t="str">
        <f aca="false">IF(B3579&gt;=Eval_Start_Week,"YES","")</f>
        <v/>
      </c>
      <c r="Q3579" s="34" t="str">
        <f aca="false">IF(AND(B3579&gt;=Cal_Start_Week,B3579&lt;=Cal_End_Week),"YES","")</f>
        <v>YES</v>
      </c>
    </row>
    <row r="3580" customFormat="false" ht="15" hidden="false" customHeight="false" outlineLevel="0" collapsed="false">
      <c r="A3580" s="31" t="str">
        <f aca="false">Demand_History!C3580</f>
        <v>ELE-006</v>
      </c>
      <c r="B3580" s="31" t="n">
        <f aca="false">Demand_History!A3580</f>
        <v>43</v>
      </c>
      <c r="C3580" s="32" t="n">
        <f aca="false">Demand_History!D3580</f>
        <v>65</v>
      </c>
      <c r="D3580" s="33" t="n">
        <f aca="false">IF(B3580&gt;=2,C3579,"")</f>
        <v>61</v>
      </c>
      <c r="E3580" s="33" t="n">
        <f aca="false">IF(B3580&gt;=5,AVERAGE(C3576:C3579),"")</f>
        <v>63.25</v>
      </c>
      <c r="F3580" s="33" t="n">
        <f aca="false">IF(B3580&gt;=9,AVERAGE(C3572:C3579),"")</f>
        <v>64.625</v>
      </c>
      <c r="G3580" s="33" t="n">
        <f aca="false">IF(B3580=1,"",IF(B3580=2,C3579,SES_Alpha*C3579+(1-SES_Alpha)*G3579))</f>
        <v>63.2609083940716</v>
      </c>
      <c r="H3580" s="33" t="n">
        <f aca="false">IF(D3580="","",D3580-C3580)</f>
        <v>-4</v>
      </c>
      <c r="I3580" s="33" t="n">
        <f aca="false">IF(E3580="","",E3580-C3580)</f>
        <v>-1.75</v>
      </c>
      <c r="J3580" s="33" t="n">
        <f aca="false">IF(F3580="","",F3580-C3580)</f>
        <v>-0.375</v>
      </c>
      <c r="K3580" s="33" t="n">
        <f aca="false">IF(G3580="","",G3580-C3580)</f>
        <v>-1.73909160592838</v>
      </c>
      <c r="L3580" s="33" t="n">
        <f aca="false">IF(H3580="","",ABS(H3580))</f>
        <v>4</v>
      </c>
      <c r="M3580" s="33" t="n">
        <f aca="false">IF(I3580="","",ABS(I3580))</f>
        <v>1.75</v>
      </c>
      <c r="N3580" s="33" t="n">
        <f aca="false">IF(J3580="","",ABS(J3580))</f>
        <v>0.375</v>
      </c>
      <c r="O3580" s="33" t="n">
        <f aca="false">IF(K3580="","",ABS(K3580))</f>
        <v>1.73909160592838</v>
      </c>
      <c r="P3580" s="34" t="str">
        <f aca="false">IF(B3580&gt;=Eval_Start_Week,"YES","")</f>
        <v/>
      </c>
      <c r="Q3580" s="34" t="str">
        <f aca="false">IF(AND(B3580&gt;=Cal_Start_Week,B3580&lt;=Cal_End_Week),"YES","")</f>
        <v>YES</v>
      </c>
    </row>
    <row r="3581" customFormat="false" ht="15" hidden="false" customHeight="false" outlineLevel="0" collapsed="false">
      <c r="A3581" s="31" t="str">
        <f aca="false">Demand_History!C3581</f>
        <v>ELE-006</v>
      </c>
      <c r="B3581" s="31" t="n">
        <f aca="false">Demand_History!A3581</f>
        <v>44</v>
      </c>
      <c r="C3581" s="32" t="n">
        <f aca="false">Demand_History!D3581</f>
        <v>62</v>
      </c>
      <c r="D3581" s="33" t="n">
        <f aca="false">IF(B3581&gt;=2,C3580,"")</f>
        <v>65</v>
      </c>
      <c r="E3581" s="33" t="n">
        <f aca="false">IF(B3581&gt;=5,AVERAGE(C3577:C3580),"")</f>
        <v>63.25</v>
      </c>
      <c r="F3581" s="33" t="n">
        <f aca="false">IF(B3581&gt;=9,AVERAGE(C3573:C3580),"")</f>
        <v>63</v>
      </c>
      <c r="G3581" s="33" t="n">
        <f aca="false">IF(B3581=1,"",IF(B3581=2,C3580,SES_Alpha*C3580+(1-SES_Alpha)*G3580))</f>
        <v>63.7826358758501</v>
      </c>
      <c r="H3581" s="33" t="n">
        <f aca="false">IF(D3581="","",D3581-C3581)</f>
        <v>3</v>
      </c>
      <c r="I3581" s="33" t="n">
        <f aca="false">IF(E3581="","",E3581-C3581)</f>
        <v>1.25</v>
      </c>
      <c r="J3581" s="33" t="n">
        <f aca="false">IF(F3581="","",F3581-C3581)</f>
        <v>1</v>
      </c>
      <c r="K3581" s="33" t="n">
        <f aca="false">IF(G3581="","",G3581-C3581)</f>
        <v>1.78263587585013</v>
      </c>
      <c r="L3581" s="33" t="n">
        <f aca="false">IF(H3581="","",ABS(H3581))</f>
        <v>3</v>
      </c>
      <c r="M3581" s="33" t="n">
        <f aca="false">IF(I3581="","",ABS(I3581))</f>
        <v>1.25</v>
      </c>
      <c r="N3581" s="33" t="n">
        <f aca="false">IF(J3581="","",ABS(J3581))</f>
        <v>1</v>
      </c>
      <c r="O3581" s="33" t="n">
        <f aca="false">IF(K3581="","",ABS(K3581))</f>
        <v>1.78263587585013</v>
      </c>
      <c r="P3581" s="34" t="str">
        <f aca="false">IF(B3581&gt;=Eval_Start_Week,"YES","")</f>
        <v/>
      </c>
      <c r="Q3581" s="34" t="str">
        <f aca="false">IF(AND(B3581&gt;=Cal_Start_Week,B3581&lt;=Cal_End_Week),"YES","")</f>
        <v>YES</v>
      </c>
    </row>
    <row r="3582" customFormat="false" ht="15" hidden="false" customHeight="false" outlineLevel="0" collapsed="false">
      <c r="A3582" s="31" t="str">
        <f aca="false">Demand_History!C3582</f>
        <v>ELE-006</v>
      </c>
      <c r="B3582" s="31" t="n">
        <f aca="false">Demand_History!A3582</f>
        <v>45</v>
      </c>
      <c r="C3582" s="32" t="n">
        <f aca="false">Demand_History!D3582</f>
        <v>52</v>
      </c>
      <c r="D3582" s="33" t="n">
        <f aca="false">IF(B3582&gt;=2,C3581,"")</f>
        <v>62</v>
      </c>
      <c r="E3582" s="33" t="n">
        <f aca="false">IF(B3582&gt;=5,AVERAGE(C3578:C3581),"")</f>
        <v>64.5</v>
      </c>
      <c r="F3582" s="33" t="n">
        <f aca="false">IF(B3582&gt;=9,AVERAGE(C3574:C3581),"")</f>
        <v>63.375</v>
      </c>
      <c r="G3582" s="33" t="n">
        <f aca="false">IF(B3582=1,"",IF(B3582=2,C3581,SES_Alpha*C3581+(1-SES_Alpha)*G3581))</f>
        <v>63.2478451130951</v>
      </c>
      <c r="H3582" s="33" t="n">
        <f aca="false">IF(D3582="","",D3582-C3582)</f>
        <v>10</v>
      </c>
      <c r="I3582" s="33" t="n">
        <f aca="false">IF(E3582="","",E3582-C3582)</f>
        <v>12.5</v>
      </c>
      <c r="J3582" s="33" t="n">
        <f aca="false">IF(F3582="","",F3582-C3582)</f>
        <v>11.375</v>
      </c>
      <c r="K3582" s="33" t="n">
        <f aca="false">IF(G3582="","",G3582-C3582)</f>
        <v>11.2478451130951</v>
      </c>
      <c r="L3582" s="33" t="n">
        <f aca="false">IF(H3582="","",ABS(H3582))</f>
        <v>10</v>
      </c>
      <c r="M3582" s="33" t="n">
        <f aca="false">IF(I3582="","",ABS(I3582))</f>
        <v>12.5</v>
      </c>
      <c r="N3582" s="33" t="n">
        <f aca="false">IF(J3582="","",ABS(J3582))</f>
        <v>11.375</v>
      </c>
      <c r="O3582" s="33" t="n">
        <f aca="false">IF(K3582="","",ABS(K3582))</f>
        <v>11.2478451130951</v>
      </c>
      <c r="P3582" s="34" t="str">
        <f aca="false">IF(B3582&gt;=Eval_Start_Week,"YES","")</f>
        <v/>
      </c>
      <c r="Q3582" s="34" t="str">
        <f aca="false">IF(AND(B3582&gt;=Cal_Start_Week,B3582&lt;=Cal_End_Week),"YES","")</f>
        <v>YES</v>
      </c>
    </row>
    <row r="3583" customFormat="false" ht="15" hidden="false" customHeight="false" outlineLevel="0" collapsed="false">
      <c r="A3583" s="31" t="str">
        <f aca="false">Demand_History!C3583</f>
        <v>ELE-006</v>
      </c>
      <c r="B3583" s="31" t="n">
        <f aca="false">Demand_History!A3583</f>
        <v>46</v>
      </c>
      <c r="C3583" s="32" t="n">
        <f aca="false">Demand_History!D3583</f>
        <v>68</v>
      </c>
      <c r="D3583" s="33" t="n">
        <f aca="false">IF(B3583&gt;=2,C3582,"")</f>
        <v>52</v>
      </c>
      <c r="E3583" s="33" t="n">
        <f aca="false">IF(B3583&gt;=5,AVERAGE(C3579:C3582),"")</f>
        <v>60</v>
      </c>
      <c r="F3583" s="33" t="n">
        <f aca="false">IF(B3583&gt;=9,AVERAGE(C3575:C3582),"")</f>
        <v>63.25</v>
      </c>
      <c r="G3583" s="33" t="n">
        <f aca="false">IF(B3583=1,"",IF(B3583=2,C3582,SES_Alpha*C3582+(1-SES_Alpha)*G3582))</f>
        <v>59.8734915791666</v>
      </c>
      <c r="H3583" s="33" t="n">
        <f aca="false">IF(D3583="","",D3583-C3583)</f>
        <v>-16</v>
      </c>
      <c r="I3583" s="33" t="n">
        <f aca="false">IF(E3583="","",E3583-C3583)</f>
        <v>-8</v>
      </c>
      <c r="J3583" s="33" t="n">
        <f aca="false">IF(F3583="","",F3583-C3583)</f>
        <v>-4.75</v>
      </c>
      <c r="K3583" s="33" t="n">
        <f aca="false">IF(G3583="","",G3583-C3583)</f>
        <v>-8.12650842083345</v>
      </c>
      <c r="L3583" s="33" t="n">
        <f aca="false">IF(H3583="","",ABS(H3583))</f>
        <v>16</v>
      </c>
      <c r="M3583" s="33" t="n">
        <f aca="false">IF(I3583="","",ABS(I3583))</f>
        <v>8</v>
      </c>
      <c r="N3583" s="33" t="n">
        <f aca="false">IF(J3583="","",ABS(J3583))</f>
        <v>4.75</v>
      </c>
      <c r="O3583" s="33" t="n">
        <f aca="false">IF(K3583="","",ABS(K3583))</f>
        <v>8.12650842083345</v>
      </c>
      <c r="P3583" s="34" t="str">
        <f aca="false">IF(B3583&gt;=Eval_Start_Week,"YES","")</f>
        <v/>
      </c>
      <c r="Q3583" s="34" t="str">
        <f aca="false">IF(AND(B3583&gt;=Cal_Start_Week,B3583&lt;=Cal_End_Week),"YES","")</f>
        <v>YES</v>
      </c>
    </row>
    <row r="3584" customFormat="false" ht="15" hidden="false" customHeight="false" outlineLevel="0" collapsed="false">
      <c r="A3584" s="31" t="str">
        <f aca="false">Demand_History!C3584</f>
        <v>ELE-006</v>
      </c>
      <c r="B3584" s="31" t="n">
        <f aca="false">Demand_History!A3584</f>
        <v>47</v>
      </c>
      <c r="C3584" s="32" t="n">
        <f aca="false">Demand_History!D3584</f>
        <v>61</v>
      </c>
      <c r="D3584" s="33" t="n">
        <f aca="false">IF(B3584&gt;=2,C3583,"")</f>
        <v>68</v>
      </c>
      <c r="E3584" s="33" t="n">
        <f aca="false">IF(B3584&gt;=5,AVERAGE(C3580:C3583),"")</f>
        <v>61.75</v>
      </c>
      <c r="F3584" s="33" t="n">
        <f aca="false">IF(B3584&gt;=9,AVERAGE(C3576:C3583),"")</f>
        <v>62.5</v>
      </c>
      <c r="G3584" s="33" t="n">
        <f aca="false">IF(B3584=1,"",IF(B3584=2,C3583,SES_Alpha*C3583+(1-SES_Alpha)*G3583))</f>
        <v>62.3114441054166</v>
      </c>
      <c r="H3584" s="33" t="n">
        <f aca="false">IF(D3584="","",D3584-C3584)</f>
        <v>7</v>
      </c>
      <c r="I3584" s="33" t="n">
        <f aca="false">IF(E3584="","",E3584-C3584)</f>
        <v>0.75</v>
      </c>
      <c r="J3584" s="33" t="n">
        <f aca="false">IF(F3584="","",F3584-C3584)</f>
        <v>1.5</v>
      </c>
      <c r="K3584" s="33" t="n">
        <f aca="false">IF(G3584="","",G3584-C3584)</f>
        <v>1.31144410541658</v>
      </c>
      <c r="L3584" s="33" t="n">
        <f aca="false">IF(H3584="","",ABS(H3584))</f>
        <v>7</v>
      </c>
      <c r="M3584" s="33" t="n">
        <f aca="false">IF(I3584="","",ABS(I3584))</f>
        <v>0.75</v>
      </c>
      <c r="N3584" s="33" t="n">
        <f aca="false">IF(J3584="","",ABS(J3584))</f>
        <v>1.5</v>
      </c>
      <c r="O3584" s="33" t="n">
        <f aca="false">IF(K3584="","",ABS(K3584))</f>
        <v>1.31144410541658</v>
      </c>
      <c r="P3584" s="34" t="str">
        <f aca="false">IF(B3584&gt;=Eval_Start_Week,"YES","")</f>
        <v/>
      </c>
      <c r="Q3584" s="34" t="str">
        <f aca="false">IF(AND(B3584&gt;=Cal_Start_Week,B3584&lt;=Cal_End_Week),"YES","")</f>
        <v>YES</v>
      </c>
    </row>
    <row r="3585" customFormat="false" ht="15" hidden="false" customHeight="false" outlineLevel="0" collapsed="false">
      <c r="A3585" s="31" t="str">
        <f aca="false">Demand_History!C3585</f>
        <v>ELE-006</v>
      </c>
      <c r="B3585" s="31" t="n">
        <f aca="false">Demand_History!A3585</f>
        <v>48</v>
      </c>
      <c r="C3585" s="32" t="n">
        <f aca="false">Demand_History!D3585</f>
        <v>52</v>
      </c>
      <c r="D3585" s="33" t="n">
        <f aca="false">IF(B3585&gt;=2,C3584,"")</f>
        <v>61</v>
      </c>
      <c r="E3585" s="33" t="n">
        <f aca="false">IF(B3585&gt;=5,AVERAGE(C3581:C3584),"")</f>
        <v>60.75</v>
      </c>
      <c r="F3585" s="33" t="n">
        <f aca="false">IF(B3585&gt;=9,AVERAGE(C3577:C3584),"")</f>
        <v>62</v>
      </c>
      <c r="G3585" s="33" t="n">
        <f aca="false">IF(B3585=1,"",IF(B3585=2,C3584,SES_Alpha*C3584+(1-SES_Alpha)*G3584))</f>
        <v>61.9180108737916</v>
      </c>
      <c r="H3585" s="33" t="n">
        <f aca="false">IF(D3585="","",D3585-C3585)</f>
        <v>9</v>
      </c>
      <c r="I3585" s="33" t="n">
        <f aca="false">IF(E3585="","",E3585-C3585)</f>
        <v>8.75</v>
      </c>
      <c r="J3585" s="33" t="n">
        <f aca="false">IF(F3585="","",F3585-C3585)</f>
        <v>10</v>
      </c>
      <c r="K3585" s="33" t="n">
        <f aca="false">IF(G3585="","",G3585-C3585)</f>
        <v>9.9180108737916</v>
      </c>
      <c r="L3585" s="33" t="n">
        <f aca="false">IF(H3585="","",ABS(H3585))</f>
        <v>9</v>
      </c>
      <c r="M3585" s="33" t="n">
        <f aca="false">IF(I3585="","",ABS(I3585))</f>
        <v>8.75</v>
      </c>
      <c r="N3585" s="33" t="n">
        <f aca="false">IF(J3585="","",ABS(J3585))</f>
        <v>10</v>
      </c>
      <c r="O3585" s="33" t="n">
        <f aca="false">IF(K3585="","",ABS(K3585))</f>
        <v>9.9180108737916</v>
      </c>
      <c r="P3585" s="34" t="str">
        <f aca="false">IF(B3585&gt;=Eval_Start_Week,"YES","")</f>
        <v/>
      </c>
      <c r="Q3585" s="34" t="str">
        <f aca="false">IF(AND(B3585&gt;=Cal_Start_Week,B3585&lt;=Cal_End_Week),"YES","")</f>
        <v>YES</v>
      </c>
    </row>
    <row r="3586" customFormat="false" ht="15" hidden="false" customHeight="false" outlineLevel="0" collapsed="false">
      <c r="A3586" s="31" t="str">
        <f aca="false">Demand_History!C3586</f>
        <v>ELE-006</v>
      </c>
      <c r="B3586" s="31" t="n">
        <f aca="false">Demand_History!A3586</f>
        <v>49</v>
      </c>
      <c r="C3586" s="32" t="n">
        <f aca="false">Demand_History!D3586</f>
        <v>54</v>
      </c>
      <c r="D3586" s="33" t="n">
        <f aca="false">IF(B3586&gt;=2,C3585,"")</f>
        <v>52</v>
      </c>
      <c r="E3586" s="33" t="n">
        <f aca="false">IF(B3586&gt;=5,AVERAGE(C3582:C3585),"")</f>
        <v>58.25</v>
      </c>
      <c r="F3586" s="33" t="n">
        <f aca="false">IF(B3586&gt;=9,AVERAGE(C3578:C3585),"")</f>
        <v>61.375</v>
      </c>
      <c r="G3586" s="33" t="n">
        <f aca="false">IF(B3586=1,"",IF(B3586=2,C3585,SES_Alpha*C3585+(1-SES_Alpha)*G3585))</f>
        <v>58.9426076116541</v>
      </c>
      <c r="H3586" s="33" t="n">
        <f aca="false">IF(D3586="","",D3586-C3586)</f>
        <v>-2</v>
      </c>
      <c r="I3586" s="33" t="n">
        <f aca="false">IF(E3586="","",E3586-C3586)</f>
        <v>4.25</v>
      </c>
      <c r="J3586" s="33" t="n">
        <f aca="false">IF(F3586="","",F3586-C3586)</f>
        <v>7.375</v>
      </c>
      <c r="K3586" s="33" t="n">
        <f aca="false">IF(G3586="","",G3586-C3586)</f>
        <v>4.94260761165412</v>
      </c>
      <c r="L3586" s="33" t="n">
        <f aca="false">IF(H3586="","",ABS(H3586))</f>
        <v>2</v>
      </c>
      <c r="M3586" s="33" t="n">
        <f aca="false">IF(I3586="","",ABS(I3586))</f>
        <v>4.25</v>
      </c>
      <c r="N3586" s="33" t="n">
        <f aca="false">IF(J3586="","",ABS(J3586))</f>
        <v>7.375</v>
      </c>
      <c r="O3586" s="33" t="n">
        <f aca="false">IF(K3586="","",ABS(K3586))</f>
        <v>4.94260761165412</v>
      </c>
      <c r="P3586" s="34" t="str">
        <f aca="false">IF(B3586&gt;=Eval_Start_Week,"YES","")</f>
        <v/>
      </c>
      <c r="Q3586" s="34" t="str">
        <f aca="false">IF(AND(B3586&gt;=Cal_Start_Week,B3586&lt;=Cal_End_Week),"YES","")</f>
        <v>YES</v>
      </c>
    </row>
    <row r="3587" customFormat="false" ht="15" hidden="false" customHeight="false" outlineLevel="0" collapsed="false">
      <c r="A3587" s="31" t="str">
        <f aca="false">Demand_History!C3587</f>
        <v>ELE-006</v>
      </c>
      <c r="B3587" s="31" t="n">
        <f aca="false">Demand_History!A3587</f>
        <v>50</v>
      </c>
      <c r="C3587" s="32" t="n">
        <f aca="false">Demand_History!D3587</f>
        <v>68</v>
      </c>
      <c r="D3587" s="33" t="n">
        <f aca="false">IF(B3587&gt;=2,C3586,"")</f>
        <v>54</v>
      </c>
      <c r="E3587" s="33" t="n">
        <f aca="false">IF(B3587&gt;=5,AVERAGE(C3583:C3586),"")</f>
        <v>58.75</v>
      </c>
      <c r="F3587" s="33" t="n">
        <f aca="false">IF(B3587&gt;=9,AVERAGE(C3579:C3586),"")</f>
        <v>59.375</v>
      </c>
      <c r="G3587" s="33" t="n">
        <f aca="false">IF(B3587=1,"",IF(B3587=2,C3586,SES_Alpha*C3586+(1-SES_Alpha)*G3586))</f>
        <v>57.4598253281579</v>
      </c>
      <c r="H3587" s="33" t="n">
        <f aca="false">IF(D3587="","",D3587-C3587)</f>
        <v>-14</v>
      </c>
      <c r="I3587" s="33" t="n">
        <f aca="false">IF(E3587="","",E3587-C3587)</f>
        <v>-9.25</v>
      </c>
      <c r="J3587" s="33" t="n">
        <f aca="false">IF(F3587="","",F3587-C3587)</f>
        <v>-8.625</v>
      </c>
      <c r="K3587" s="33" t="n">
        <f aca="false">IF(G3587="","",G3587-C3587)</f>
        <v>-10.5401746718421</v>
      </c>
      <c r="L3587" s="33" t="n">
        <f aca="false">IF(H3587="","",ABS(H3587))</f>
        <v>14</v>
      </c>
      <c r="M3587" s="33" t="n">
        <f aca="false">IF(I3587="","",ABS(I3587))</f>
        <v>9.25</v>
      </c>
      <c r="N3587" s="33" t="n">
        <f aca="false">IF(J3587="","",ABS(J3587))</f>
        <v>8.625</v>
      </c>
      <c r="O3587" s="33" t="n">
        <f aca="false">IF(K3587="","",ABS(K3587))</f>
        <v>10.5401746718421</v>
      </c>
      <c r="P3587" s="34" t="str">
        <f aca="false">IF(B3587&gt;=Eval_Start_Week,"YES","")</f>
        <v/>
      </c>
      <c r="Q3587" s="34" t="str">
        <f aca="false">IF(AND(B3587&gt;=Cal_Start_Week,B3587&lt;=Cal_End_Week),"YES","")</f>
        <v>YES</v>
      </c>
    </row>
    <row r="3588" customFormat="false" ht="15" hidden="false" customHeight="false" outlineLevel="0" collapsed="false">
      <c r="A3588" s="31" t="str">
        <f aca="false">Demand_History!C3588</f>
        <v>ELE-006</v>
      </c>
      <c r="B3588" s="31" t="n">
        <f aca="false">Demand_History!A3588</f>
        <v>51</v>
      </c>
      <c r="C3588" s="32" t="n">
        <f aca="false">Demand_History!D3588</f>
        <v>57</v>
      </c>
      <c r="D3588" s="33" t="n">
        <f aca="false">IF(B3588&gt;=2,C3587,"")</f>
        <v>68</v>
      </c>
      <c r="E3588" s="33" t="n">
        <f aca="false">IF(B3588&gt;=5,AVERAGE(C3584:C3587),"")</f>
        <v>58.75</v>
      </c>
      <c r="F3588" s="33" t="n">
        <f aca="false">IF(B3588&gt;=9,AVERAGE(C3580:C3587),"")</f>
        <v>60.25</v>
      </c>
      <c r="G3588" s="33" t="n">
        <f aca="false">IF(B3588=1,"",IF(B3588=2,C3587,SES_Alpha*C3587+(1-SES_Alpha)*G3587))</f>
        <v>60.6218777297105</v>
      </c>
      <c r="H3588" s="33" t="n">
        <f aca="false">IF(D3588="","",D3588-C3588)</f>
        <v>11</v>
      </c>
      <c r="I3588" s="33" t="n">
        <f aca="false">IF(E3588="","",E3588-C3588)</f>
        <v>1.75</v>
      </c>
      <c r="J3588" s="33" t="n">
        <f aca="false">IF(F3588="","",F3588-C3588)</f>
        <v>3.25</v>
      </c>
      <c r="K3588" s="33" t="n">
        <f aca="false">IF(G3588="","",G3588-C3588)</f>
        <v>3.62187772971051</v>
      </c>
      <c r="L3588" s="33" t="n">
        <f aca="false">IF(H3588="","",ABS(H3588))</f>
        <v>11</v>
      </c>
      <c r="M3588" s="33" t="n">
        <f aca="false">IF(I3588="","",ABS(I3588))</f>
        <v>1.75</v>
      </c>
      <c r="N3588" s="33" t="n">
        <f aca="false">IF(J3588="","",ABS(J3588))</f>
        <v>3.25</v>
      </c>
      <c r="O3588" s="33" t="n">
        <f aca="false">IF(K3588="","",ABS(K3588))</f>
        <v>3.62187772971051</v>
      </c>
      <c r="P3588" s="34" t="str">
        <f aca="false">IF(B3588&gt;=Eval_Start_Week,"YES","")</f>
        <v/>
      </c>
      <c r="Q3588" s="34" t="str">
        <f aca="false">IF(AND(B3588&gt;=Cal_Start_Week,B3588&lt;=Cal_End_Week),"YES","")</f>
        <v>YES</v>
      </c>
    </row>
    <row r="3589" customFormat="false" ht="15" hidden="false" customHeight="false" outlineLevel="0" collapsed="false">
      <c r="A3589" s="31" t="str">
        <f aca="false">Demand_History!C3589</f>
        <v>ELE-006</v>
      </c>
      <c r="B3589" s="31" t="n">
        <f aca="false">Demand_History!A3589</f>
        <v>52</v>
      </c>
      <c r="C3589" s="32" t="n">
        <f aca="false">Demand_History!D3589</f>
        <v>60</v>
      </c>
      <c r="D3589" s="33" t="n">
        <f aca="false">IF(B3589&gt;=2,C3588,"")</f>
        <v>57</v>
      </c>
      <c r="E3589" s="33" t="n">
        <f aca="false">IF(B3589&gt;=5,AVERAGE(C3585:C3588),"")</f>
        <v>57.75</v>
      </c>
      <c r="F3589" s="33" t="n">
        <f aca="false">IF(B3589&gt;=9,AVERAGE(C3581:C3588),"")</f>
        <v>59.25</v>
      </c>
      <c r="G3589" s="33" t="n">
        <f aca="false">IF(B3589=1,"",IF(B3589=2,C3588,SES_Alpha*C3588+(1-SES_Alpha)*G3588))</f>
        <v>59.5353144107974</v>
      </c>
      <c r="H3589" s="33" t="n">
        <f aca="false">IF(D3589="","",D3589-C3589)</f>
        <v>-3</v>
      </c>
      <c r="I3589" s="33" t="n">
        <f aca="false">IF(E3589="","",E3589-C3589)</f>
        <v>-2.25</v>
      </c>
      <c r="J3589" s="33" t="n">
        <f aca="false">IF(F3589="","",F3589-C3589)</f>
        <v>-0.75</v>
      </c>
      <c r="K3589" s="33" t="n">
        <f aca="false">IF(G3589="","",G3589-C3589)</f>
        <v>-0.464685589202645</v>
      </c>
      <c r="L3589" s="33" t="n">
        <f aca="false">IF(H3589="","",ABS(H3589))</f>
        <v>3</v>
      </c>
      <c r="M3589" s="33" t="n">
        <f aca="false">IF(I3589="","",ABS(I3589))</f>
        <v>2.25</v>
      </c>
      <c r="N3589" s="33" t="n">
        <f aca="false">IF(J3589="","",ABS(J3589))</f>
        <v>0.75</v>
      </c>
      <c r="O3589" s="33" t="n">
        <f aca="false">IF(K3589="","",ABS(K3589))</f>
        <v>0.464685589202645</v>
      </c>
      <c r="P3589" s="34" t="str">
        <f aca="false">IF(B3589&gt;=Eval_Start_Week,"YES","")</f>
        <v/>
      </c>
      <c r="Q3589" s="34" t="str">
        <f aca="false">IF(AND(B3589&gt;=Cal_Start_Week,B3589&lt;=Cal_End_Week),"YES","")</f>
        <v>YES</v>
      </c>
    </row>
    <row r="3590" customFormat="false" ht="15" hidden="false" customHeight="false" outlineLevel="0" collapsed="false">
      <c r="A3590" s="31" t="str">
        <f aca="false">Demand_History!C3590</f>
        <v>ELE-006</v>
      </c>
      <c r="B3590" s="31" t="n">
        <f aca="false">Demand_History!A3590</f>
        <v>53</v>
      </c>
      <c r="C3590" s="32" t="n">
        <f aca="false">Demand_History!D3590</f>
        <v>65</v>
      </c>
      <c r="D3590" s="33" t="n">
        <f aca="false">IF(B3590&gt;=2,C3589,"")</f>
        <v>60</v>
      </c>
      <c r="E3590" s="33" t="n">
        <f aca="false">IF(B3590&gt;=5,AVERAGE(C3586:C3589),"")</f>
        <v>59.75</v>
      </c>
      <c r="F3590" s="33" t="n">
        <f aca="false">IF(B3590&gt;=9,AVERAGE(C3582:C3589),"")</f>
        <v>59</v>
      </c>
      <c r="G3590" s="33" t="n">
        <f aca="false">IF(B3590=1,"",IF(B3590=2,C3589,SES_Alpha*C3589+(1-SES_Alpha)*G3589))</f>
        <v>59.6747200875581</v>
      </c>
      <c r="H3590" s="33" t="n">
        <f aca="false">IF(D3590="","",D3590-C3590)</f>
        <v>-5</v>
      </c>
      <c r="I3590" s="33" t="n">
        <f aca="false">IF(E3590="","",E3590-C3590)</f>
        <v>-5.25</v>
      </c>
      <c r="J3590" s="33" t="n">
        <f aca="false">IF(F3590="","",F3590-C3590)</f>
        <v>-6</v>
      </c>
      <c r="K3590" s="33" t="n">
        <f aca="false">IF(G3590="","",G3590-C3590)</f>
        <v>-5.32527991244186</v>
      </c>
      <c r="L3590" s="33" t="n">
        <f aca="false">IF(H3590="","",ABS(H3590))</f>
        <v>5</v>
      </c>
      <c r="M3590" s="33" t="n">
        <f aca="false">IF(I3590="","",ABS(I3590))</f>
        <v>5.25</v>
      </c>
      <c r="N3590" s="33" t="n">
        <f aca="false">IF(J3590="","",ABS(J3590))</f>
        <v>6</v>
      </c>
      <c r="O3590" s="33" t="n">
        <f aca="false">IF(K3590="","",ABS(K3590))</f>
        <v>5.32527991244186</v>
      </c>
      <c r="P3590" s="34" t="str">
        <f aca="false">IF(B3590&gt;=Eval_Start_Week,"YES","")</f>
        <v>YES</v>
      </c>
      <c r="Q3590" s="34" t="str">
        <f aca="false">IF(AND(B3590&gt;=Cal_Start_Week,B3590&lt;=Cal_End_Week),"YES","")</f>
        <v>YES</v>
      </c>
    </row>
    <row r="3591" customFormat="false" ht="15" hidden="false" customHeight="false" outlineLevel="0" collapsed="false">
      <c r="A3591" s="31" t="str">
        <f aca="false">Demand_History!C3591</f>
        <v>ELE-006</v>
      </c>
      <c r="B3591" s="31" t="n">
        <f aca="false">Demand_History!A3591</f>
        <v>54</v>
      </c>
      <c r="C3591" s="32" t="n">
        <f aca="false">Demand_History!D3591</f>
        <v>61</v>
      </c>
      <c r="D3591" s="33" t="n">
        <f aca="false">IF(B3591&gt;=2,C3590,"")</f>
        <v>65</v>
      </c>
      <c r="E3591" s="33" t="n">
        <f aca="false">IF(B3591&gt;=5,AVERAGE(C3587:C3590),"")</f>
        <v>62.5</v>
      </c>
      <c r="F3591" s="33" t="n">
        <f aca="false">IF(B3591&gt;=9,AVERAGE(C3583:C3590),"")</f>
        <v>60.625</v>
      </c>
      <c r="G3591" s="33" t="n">
        <f aca="false">IF(B3591=1,"",IF(B3591=2,C3590,SES_Alpha*C3590+(1-SES_Alpha)*G3590))</f>
        <v>61.2723040612907</v>
      </c>
      <c r="H3591" s="33" t="n">
        <f aca="false">IF(D3591="","",D3591-C3591)</f>
        <v>4</v>
      </c>
      <c r="I3591" s="33" t="n">
        <f aca="false">IF(E3591="","",E3591-C3591)</f>
        <v>1.5</v>
      </c>
      <c r="J3591" s="33" t="n">
        <f aca="false">IF(F3591="","",F3591-C3591)</f>
        <v>-0.375</v>
      </c>
      <c r="K3591" s="33" t="n">
        <f aca="false">IF(G3591="","",G3591-C3591)</f>
        <v>0.272304061290697</v>
      </c>
      <c r="L3591" s="33" t="n">
        <f aca="false">IF(H3591="","",ABS(H3591))</f>
        <v>4</v>
      </c>
      <c r="M3591" s="33" t="n">
        <f aca="false">IF(I3591="","",ABS(I3591))</f>
        <v>1.5</v>
      </c>
      <c r="N3591" s="33" t="n">
        <f aca="false">IF(J3591="","",ABS(J3591))</f>
        <v>0.375</v>
      </c>
      <c r="O3591" s="33" t="n">
        <f aca="false">IF(K3591="","",ABS(K3591))</f>
        <v>0.272304061290697</v>
      </c>
      <c r="P3591" s="34" t="str">
        <f aca="false">IF(B3591&gt;=Eval_Start_Week,"YES","")</f>
        <v>YES</v>
      </c>
      <c r="Q3591" s="34" t="str">
        <f aca="false">IF(AND(B3591&gt;=Cal_Start_Week,B3591&lt;=Cal_End_Week),"YES","")</f>
        <v>YES</v>
      </c>
    </row>
    <row r="3592" customFormat="false" ht="15" hidden="false" customHeight="false" outlineLevel="0" collapsed="false">
      <c r="A3592" s="31" t="str">
        <f aca="false">Demand_History!C3592</f>
        <v>ELE-006</v>
      </c>
      <c r="B3592" s="31" t="n">
        <f aca="false">Demand_History!A3592</f>
        <v>55</v>
      </c>
      <c r="C3592" s="32" t="n">
        <f aca="false">Demand_History!D3592</f>
        <v>48</v>
      </c>
      <c r="D3592" s="33" t="n">
        <f aca="false">IF(B3592&gt;=2,C3591,"")</f>
        <v>61</v>
      </c>
      <c r="E3592" s="33" t="n">
        <f aca="false">IF(B3592&gt;=5,AVERAGE(C3588:C3591),"")</f>
        <v>60.75</v>
      </c>
      <c r="F3592" s="33" t="n">
        <f aca="false">IF(B3592&gt;=9,AVERAGE(C3584:C3591),"")</f>
        <v>59.75</v>
      </c>
      <c r="G3592" s="33" t="n">
        <f aca="false">IF(B3592=1,"",IF(B3592=2,C3591,SES_Alpha*C3591+(1-SES_Alpha)*G3591))</f>
        <v>61.1906128429035</v>
      </c>
      <c r="H3592" s="33" t="n">
        <f aca="false">IF(D3592="","",D3592-C3592)</f>
        <v>13</v>
      </c>
      <c r="I3592" s="33" t="n">
        <f aca="false">IF(E3592="","",E3592-C3592)</f>
        <v>12.75</v>
      </c>
      <c r="J3592" s="33" t="n">
        <f aca="false">IF(F3592="","",F3592-C3592)</f>
        <v>11.75</v>
      </c>
      <c r="K3592" s="33" t="n">
        <f aca="false">IF(G3592="","",G3592-C3592)</f>
        <v>13.1906128429035</v>
      </c>
      <c r="L3592" s="33" t="n">
        <f aca="false">IF(H3592="","",ABS(H3592))</f>
        <v>13</v>
      </c>
      <c r="M3592" s="33" t="n">
        <f aca="false">IF(I3592="","",ABS(I3592))</f>
        <v>12.75</v>
      </c>
      <c r="N3592" s="33" t="n">
        <f aca="false">IF(J3592="","",ABS(J3592))</f>
        <v>11.75</v>
      </c>
      <c r="O3592" s="33" t="n">
        <f aca="false">IF(K3592="","",ABS(K3592))</f>
        <v>13.1906128429035</v>
      </c>
      <c r="P3592" s="34" t="str">
        <f aca="false">IF(B3592&gt;=Eval_Start_Week,"YES","")</f>
        <v>YES</v>
      </c>
      <c r="Q3592" s="34" t="str">
        <f aca="false">IF(AND(B3592&gt;=Cal_Start_Week,B3592&lt;=Cal_End_Week),"YES","")</f>
        <v>YES</v>
      </c>
    </row>
    <row r="3593" customFormat="false" ht="15" hidden="false" customHeight="false" outlineLevel="0" collapsed="false">
      <c r="A3593" s="31" t="str">
        <f aca="false">Demand_History!C3593</f>
        <v>ELE-006</v>
      </c>
      <c r="B3593" s="31" t="n">
        <f aca="false">Demand_History!A3593</f>
        <v>56</v>
      </c>
      <c r="C3593" s="32" t="n">
        <f aca="false">Demand_History!D3593</f>
        <v>65</v>
      </c>
      <c r="D3593" s="33" t="n">
        <f aca="false">IF(B3593&gt;=2,C3592,"")</f>
        <v>48</v>
      </c>
      <c r="E3593" s="33" t="n">
        <f aca="false">IF(B3593&gt;=5,AVERAGE(C3589:C3592),"")</f>
        <v>58.5</v>
      </c>
      <c r="F3593" s="33" t="n">
        <f aca="false">IF(B3593&gt;=9,AVERAGE(C3585:C3592),"")</f>
        <v>58.125</v>
      </c>
      <c r="G3593" s="33" t="n">
        <f aca="false">IF(B3593=1,"",IF(B3593=2,C3592,SES_Alpha*C3592+(1-SES_Alpha)*G3592))</f>
        <v>57.2334289900324</v>
      </c>
      <c r="H3593" s="33" t="n">
        <f aca="false">IF(D3593="","",D3593-C3593)</f>
        <v>-17</v>
      </c>
      <c r="I3593" s="33" t="n">
        <f aca="false">IF(E3593="","",E3593-C3593)</f>
        <v>-6.5</v>
      </c>
      <c r="J3593" s="33" t="n">
        <f aca="false">IF(F3593="","",F3593-C3593)</f>
        <v>-6.875</v>
      </c>
      <c r="K3593" s="33" t="n">
        <f aca="false">IF(G3593="","",G3593-C3593)</f>
        <v>-7.76657100996756</v>
      </c>
      <c r="L3593" s="33" t="n">
        <f aca="false">IF(H3593="","",ABS(H3593))</f>
        <v>17</v>
      </c>
      <c r="M3593" s="33" t="n">
        <f aca="false">IF(I3593="","",ABS(I3593))</f>
        <v>6.5</v>
      </c>
      <c r="N3593" s="33" t="n">
        <f aca="false">IF(J3593="","",ABS(J3593))</f>
        <v>6.875</v>
      </c>
      <c r="O3593" s="33" t="n">
        <f aca="false">IF(K3593="","",ABS(K3593))</f>
        <v>7.76657100996756</v>
      </c>
      <c r="P3593" s="34" t="str">
        <f aca="false">IF(B3593&gt;=Eval_Start_Week,"YES","")</f>
        <v>YES</v>
      </c>
      <c r="Q3593" s="34" t="str">
        <f aca="false">IF(AND(B3593&gt;=Cal_Start_Week,B3593&lt;=Cal_End_Week),"YES","")</f>
        <v>YES</v>
      </c>
    </row>
    <row r="3594" customFormat="false" ht="15" hidden="false" customHeight="false" outlineLevel="0" collapsed="false">
      <c r="A3594" s="31" t="str">
        <f aca="false">Demand_History!C3594</f>
        <v>ELE-006</v>
      </c>
      <c r="B3594" s="31" t="n">
        <f aca="false">Demand_History!A3594</f>
        <v>57</v>
      </c>
      <c r="C3594" s="32" t="n">
        <f aca="false">Demand_History!D3594</f>
        <v>68</v>
      </c>
      <c r="D3594" s="33" t="n">
        <f aca="false">IF(B3594&gt;=2,C3593,"")</f>
        <v>65</v>
      </c>
      <c r="E3594" s="33" t="n">
        <f aca="false">IF(B3594&gt;=5,AVERAGE(C3590:C3593),"")</f>
        <v>59.75</v>
      </c>
      <c r="F3594" s="33" t="n">
        <f aca="false">IF(B3594&gt;=9,AVERAGE(C3586:C3593),"")</f>
        <v>59.75</v>
      </c>
      <c r="G3594" s="33" t="n">
        <f aca="false">IF(B3594=1,"",IF(B3594=2,C3593,SES_Alpha*C3593+(1-SES_Alpha)*G3593))</f>
        <v>59.5634002930227</v>
      </c>
      <c r="H3594" s="33" t="n">
        <f aca="false">IF(D3594="","",D3594-C3594)</f>
        <v>-3</v>
      </c>
      <c r="I3594" s="33" t="n">
        <f aca="false">IF(E3594="","",E3594-C3594)</f>
        <v>-8.25</v>
      </c>
      <c r="J3594" s="33" t="n">
        <f aca="false">IF(F3594="","",F3594-C3594)</f>
        <v>-8.25</v>
      </c>
      <c r="K3594" s="33" t="n">
        <f aca="false">IF(G3594="","",G3594-C3594)</f>
        <v>-8.4365997069773</v>
      </c>
      <c r="L3594" s="33" t="n">
        <f aca="false">IF(H3594="","",ABS(H3594))</f>
        <v>3</v>
      </c>
      <c r="M3594" s="33" t="n">
        <f aca="false">IF(I3594="","",ABS(I3594))</f>
        <v>8.25</v>
      </c>
      <c r="N3594" s="33" t="n">
        <f aca="false">IF(J3594="","",ABS(J3594))</f>
        <v>8.25</v>
      </c>
      <c r="O3594" s="33" t="n">
        <f aca="false">IF(K3594="","",ABS(K3594))</f>
        <v>8.4365997069773</v>
      </c>
      <c r="P3594" s="34" t="str">
        <f aca="false">IF(B3594&gt;=Eval_Start_Week,"YES","")</f>
        <v>YES</v>
      </c>
      <c r="Q3594" s="34" t="str">
        <f aca="false">IF(AND(B3594&gt;=Cal_Start_Week,B3594&lt;=Cal_End_Week),"YES","")</f>
        <v>YES</v>
      </c>
    </row>
    <row r="3595" customFormat="false" ht="15" hidden="false" customHeight="false" outlineLevel="0" collapsed="false">
      <c r="A3595" s="31" t="str">
        <f aca="false">Demand_History!C3595</f>
        <v>ELE-006</v>
      </c>
      <c r="B3595" s="31" t="n">
        <f aca="false">Demand_History!A3595</f>
        <v>58</v>
      </c>
      <c r="C3595" s="32" t="n">
        <f aca="false">Demand_History!D3595</f>
        <v>67</v>
      </c>
      <c r="D3595" s="33" t="n">
        <f aca="false">IF(B3595&gt;=2,C3594,"")</f>
        <v>68</v>
      </c>
      <c r="E3595" s="33" t="n">
        <f aca="false">IF(B3595&gt;=5,AVERAGE(C3591:C3594),"")</f>
        <v>60.5</v>
      </c>
      <c r="F3595" s="33" t="n">
        <f aca="false">IF(B3595&gt;=9,AVERAGE(C3587:C3594),"")</f>
        <v>61.5</v>
      </c>
      <c r="G3595" s="33" t="n">
        <f aca="false">IF(B3595=1,"",IF(B3595=2,C3594,SES_Alpha*C3594+(1-SES_Alpha)*G3594))</f>
        <v>62.0943802051159</v>
      </c>
      <c r="H3595" s="33" t="n">
        <f aca="false">IF(D3595="","",D3595-C3595)</f>
        <v>1</v>
      </c>
      <c r="I3595" s="33" t="n">
        <f aca="false">IF(E3595="","",E3595-C3595)</f>
        <v>-6.5</v>
      </c>
      <c r="J3595" s="33" t="n">
        <f aca="false">IF(F3595="","",F3595-C3595)</f>
        <v>-5.5</v>
      </c>
      <c r="K3595" s="33" t="n">
        <f aca="false">IF(G3595="","",G3595-C3595)</f>
        <v>-4.90561979488411</v>
      </c>
      <c r="L3595" s="33" t="n">
        <f aca="false">IF(H3595="","",ABS(H3595))</f>
        <v>1</v>
      </c>
      <c r="M3595" s="33" t="n">
        <f aca="false">IF(I3595="","",ABS(I3595))</f>
        <v>6.5</v>
      </c>
      <c r="N3595" s="33" t="n">
        <f aca="false">IF(J3595="","",ABS(J3595))</f>
        <v>5.5</v>
      </c>
      <c r="O3595" s="33" t="n">
        <f aca="false">IF(K3595="","",ABS(K3595))</f>
        <v>4.90561979488411</v>
      </c>
      <c r="P3595" s="34" t="str">
        <f aca="false">IF(B3595&gt;=Eval_Start_Week,"YES","")</f>
        <v>YES</v>
      </c>
      <c r="Q3595" s="34" t="str">
        <f aca="false">IF(AND(B3595&gt;=Cal_Start_Week,B3595&lt;=Cal_End_Week),"YES","")</f>
        <v>YES</v>
      </c>
    </row>
    <row r="3596" customFormat="false" ht="15" hidden="false" customHeight="false" outlineLevel="0" collapsed="false">
      <c r="A3596" s="31" t="str">
        <f aca="false">Demand_History!C3596</f>
        <v>ELE-006</v>
      </c>
      <c r="B3596" s="31" t="n">
        <f aca="false">Demand_History!A3596</f>
        <v>59</v>
      </c>
      <c r="C3596" s="32" t="n">
        <f aca="false">Demand_History!D3596</f>
        <v>73</v>
      </c>
      <c r="D3596" s="33" t="n">
        <f aca="false">IF(B3596&gt;=2,C3595,"")</f>
        <v>67</v>
      </c>
      <c r="E3596" s="33" t="n">
        <f aca="false">IF(B3596&gt;=5,AVERAGE(C3592:C3595),"")</f>
        <v>62</v>
      </c>
      <c r="F3596" s="33" t="n">
        <f aca="false">IF(B3596&gt;=9,AVERAGE(C3588:C3595),"")</f>
        <v>61.375</v>
      </c>
      <c r="G3596" s="33" t="n">
        <f aca="false">IF(B3596=1,"",IF(B3596=2,C3595,SES_Alpha*C3595+(1-SES_Alpha)*G3595))</f>
        <v>63.5660661435811</v>
      </c>
      <c r="H3596" s="33" t="n">
        <f aca="false">IF(D3596="","",D3596-C3596)</f>
        <v>-6</v>
      </c>
      <c r="I3596" s="33" t="n">
        <f aca="false">IF(E3596="","",E3596-C3596)</f>
        <v>-11</v>
      </c>
      <c r="J3596" s="33" t="n">
        <f aca="false">IF(F3596="","",F3596-C3596)</f>
        <v>-11.625</v>
      </c>
      <c r="K3596" s="33" t="n">
        <f aca="false">IF(G3596="","",G3596-C3596)</f>
        <v>-9.43393385641888</v>
      </c>
      <c r="L3596" s="33" t="n">
        <f aca="false">IF(H3596="","",ABS(H3596))</f>
        <v>6</v>
      </c>
      <c r="M3596" s="33" t="n">
        <f aca="false">IF(I3596="","",ABS(I3596))</f>
        <v>11</v>
      </c>
      <c r="N3596" s="33" t="n">
        <f aca="false">IF(J3596="","",ABS(J3596))</f>
        <v>11.625</v>
      </c>
      <c r="O3596" s="33" t="n">
        <f aca="false">IF(K3596="","",ABS(K3596))</f>
        <v>9.43393385641888</v>
      </c>
      <c r="P3596" s="34" t="str">
        <f aca="false">IF(B3596&gt;=Eval_Start_Week,"YES","")</f>
        <v>YES</v>
      </c>
      <c r="Q3596" s="34" t="str">
        <f aca="false">IF(AND(B3596&gt;=Cal_Start_Week,B3596&lt;=Cal_End_Week),"YES","")</f>
        <v>YES</v>
      </c>
    </row>
    <row r="3597" customFormat="false" ht="15" hidden="false" customHeight="false" outlineLevel="0" collapsed="false">
      <c r="A3597" s="31" t="str">
        <f aca="false">Demand_History!C3597</f>
        <v>ELE-006</v>
      </c>
      <c r="B3597" s="31" t="n">
        <f aca="false">Demand_History!A3597</f>
        <v>60</v>
      </c>
      <c r="C3597" s="32" t="n">
        <f aca="false">Demand_History!D3597</f>
        <v>63</v>
      </c>
      <c r="D3597" s="33" t="n">
        <f aca="false">IF(B3597&gt;=2,C3596,"")</f>
        <v>73</v>
      </c>
      <c r="E3597" s="33" t="n">
        <f aca="false">IF(B3597&gt;=5,AVERAGE(C3593:C3596),"")</f>
        <v>68.25</v>
      </c>
      <c r="F3597" s="33" t="n">
        <f aca="false">IF(B3597&gt;=9,AVERAGE(C3589:C3596),"")</f>
        <v>63.375</v>
      </c>
      <c r="G3597" s="33" t="n">
        <f aca="false">IF(B3597=1,"",IF(B3597=2,C3596,SES_Alpha*C3596+(1-SES_Alpha)*G3596))</f>
        <v>66.3962463005068</v>
      </c>
      <c r="H3597" s="33" t="n">
        <f aca="false">IF(D3597="","",D3597-C3597)</f>
        <v>10</v>
      </c>
      <c r="I3597" s="33" t="n">
        <f aca="false">IF(E3597="","",E3597-C3597)</f>
        <v>5.25</v>
      </c>
      <c r="J3597" s="33" t="n">
        <f aca="false">IF(F3597="","",F3597-C3597)</f>
        <v>0.375</v>
      </c>
      <c r="K3597" s="33" t="n">
        <f aca="false">IF(G3597="","",G3597-C3597)</f>
        <v>3.39624630050679</v>
      </c>
      <c r="L3597" s="33" t="n">
        <f aca="false">IF(H3597="","",ABS(H3597))</f>
        <v>10</v>
      </c>
      <c r="M3597" s="33" t="n">
        <f aca="false">IF(I3597="","",ABS(I3597))</f>
        <v>5.25</v>
      </c>
      <c r="N3597" s="33" t="n">
        <f aca="false">IF(J3597="","",ABS(J3597))</f>
        <v>0.375</v>
      </c>
      <c r="O3597" s="33" t="n">
        <f aca="false">IF(K3597="","",ABS(K3597))</f>
        <v>3.39624630050679</v>
      </c>
      <c r="P3597" s="34" t="str">
        <f aca="false">IF(B3597&gt;=Eval_Start_Week,"YES","")</f>
        <v>YES</v>
      </c>
      <c r="Q3597" s="34" t="str">
        <f aca="false">IF(AND(B3597&gt;=Cal_Start_Week,B3597&lt;=Cal_End_Week),"YES","")</f>
        <v>YES</v>
      </c>
    </row>
    <row r="3598" customFormat="false" ht="15" hidden="false" customHeight="false" outlineLevel="0" collapsed="false">
      <c r="A3598" s="31" t="str">
        <f aca="false">Demand_History!C3598</f>
        <v>ELE-006</v>
      </c>
      <c r="B3598" s="31" t="n">
        <f aca="false">Demand_History!A3598</f>
        <v>61</v>
      </c>
      <c r="C3598" s="32" t="n">
        <f aca="false">Demand_History!D3598</f>
        <v>66</v>
      </c>
      <c r="D3598" s="33" t="n">
        <f aca="false">IF(B3598&gt;=2,C3597,"")</f>
        <v>63</v>
      </c>
      <c r="E3598" s="33" t="n">
        <f aca="false">IF(B3598&gt;=5,AVERAGE(C3594:C3597),"")</f>
        <v>67.75</v>
      </c>
      <c r="F3598" s="33" t="n">
        <f aca="false">IF(B3598&gt;=9,AVERAGE(C3590:C3597),"")</f>
        <v>63.75</v>
      </c>
      <c r="G3598" s="33" t="n">
        <f aca="false">IF(B3598=1,"",IF(B3598=2,C3597,SES_Alpha*C3597+(1-SES_Alpha)*G3597))</f>
        <v>65.3773724103548</v>
      </c>
      <c r="H3598" s="33" t="n">
        <f aca="false">IF(D3598="","",D3598-C3598)</f>
        <v>-3</v>
      </c>
      <c r="I3598" s="33" t="n">
        <f aca="false">IF(E3598="","",E3598-C3598)</f>
        <v>1.75</v>
      </c>
      <c r="J3598" s="33" t="n">
        <f aca="false">IF(F3598="","",F3598-C3598)</f>
        <v>-2.25</v>
      </c>
      <c r="K3598" s="33" t="n">
        <f aca="false">IF(G3598="","",G3598-C3598)</f>
        <v>-0.622627589645248</v>
      </c>
      <c r="L3598" s="33" t="n">
        <f aca="false">IF(H3598="","",ABS(H3598))</f>
        <v>3</v>
      </c>
      <c r="M3598" s="33" t="n">
        <f aca="false">IF(I3598="","",ABS(I3598))</f>
        <v>1.75</v>
      </c>
      <c r="N3598" s="33" t="n">
        <f aca="false">IF(J3598="","",ABS(J3598))</f>
        <v>2.25</v>
      </c>
      <c r="O3598" s="33" t="n">
        <f aca="false">IF(K3598="","",ABS(K3598))</f>
        <v>0.622627589645248</v>
      </c>
      <c r="P3598" s="34" t="str">
        <f aca="false">IF(B3598&gt;=Eval_Start_Week,"YES","")</f>
        <v>YES</v>
      </c>
      <c r="Q3598" s="34" t="str">
        <f aca="false">IF(AND(B3598&gt;=Cal_Start_Week,B3598&lt;=Cal_End_Week),"YES","")</f>
        <v>YES</v>
      </c>
    </row>
    <row r="3599" customFormat="false" ht="15" hidden="false" customHeight="false" outlineLevel="0" collapsed="false">
      <c r="A3599" s="31" t="str">
        <f aca="false">Demand_History!C3599</f>
        <v>ELE-006</v>
      </c>
      <c r="B3599" s="31" t="n">
        <f aca="false">Demand_History!A3599</f>
        <v>62</v>
      </c>
      <c r="C3599" s="32" t="n">
        <f aca="false">Demand_History!D3599</f>
        <v>73</v>
      </c>
      <c r="D3599" s="33" t="n">
        <f aca="false">IF(B3599&gt;=2,C3598,"")</f>
        <v>66</v>
      </c>
      <c r="E3599" s="33" t="n">
        <f aca="false">IF(B3599&gt;=5,AVERAGE(C3595:C3598),"")</f>
        <v>67.25</v>
      </c>
      <c r="F3599" s="33" t="n">
        <f aca="false">IF(B3599&gt;=9,AVERAGE(C3591:C3598),"")</f>
        <v>63.875</v>
      </c>
      <c r="G3599" s="33" t="n">
        <f aca="false">IF(B3599=1,"",IF(B3599=2,C3598,SES_Alpha*C3598+(1-SES_Alpha)*G3598))</f>
        <v>65.5641606872483</v>
      </c>
      <c r="H3599" s="33" t="n">
        <f aca="false">IF(D3599="","",D3599-C3599)</f>
        <v>-7</v>
      </c>
      <c r="I3599" s="33" t="n">
        <f aca="false">IF(E3599="","",E3599-C3599)</f>
        <v>-5.75</v>
      </c>
      <c r="J3599" s="33" t="n">
        <f aca="false">IF(F3599="","",F3599-C3599)</f>
        <v>-9.125</v>
      </c>
      <c r="K3599" s="33" t="n">
        <f aca="false">IF(G3599="","",G3599-C3599)</f>
        <v>-7.43583931275168</v>
      </c>
      <c r="L3599" s="33" t="n">
        <f aca="false">IF(H3599="","",ABS(H3599))</f>
        <v>7</v>
      </c>
      <c r="M3599" s="33" t="n">
        <f aca="false">IF(I3599="","",ABS(I3599))</f>
        <v>5.75</v>
      </c>
      <c r="N3599" s="33" t="n">
        <f aca="false">IF(J3599="","",ABS(J3599))</f>
        <v>9.125</v>
      </c>
      <c r="O3599" s="33" t="n">
        <f aca="false">IF(K3599="","",ABS(K3599))</f>
        <v>7.43583931275168</v>
      </c>
      <c r="P3599" s="34" t="str">
        <f aca="false">IF(B3599&gt;=Eval_Start_Week,"YES","")</f>
        <v>YES</v>
      </c>
      <c r="Q3599" s="34" t="str">
        <f aca="false">IF(AND(B3599&gt;=Cal_Start_Week,B3599&lt;=Cal_End_Week),"YES","")</f>
        <v>YES</v>
      </c>
    </row>
    <row r="3600" customFormat="false" ht="15" hidden="false" customHeight="false" outlineLevel="0" collapsed="false">
      <c r="A3600" s="31" t="str">
        <f aca="false">Demand_History!C3600</f>
        <v>ELE-006</v>
      </c>
      <c r="B3600" s="31" t="n">
        <f aca="false">Demand_History!A3600</f>
        <v>63</v>
      </c>
      <c r="C3600" s="32" t="n">
        <f aca="false">Demand_History!D3600</f>
        <v>58</v>
      </c>
      <c r="D3600" s="33" t="n">
        <f aca="false">IF(B3600&gt;=2,C3599,"")</f>
        <v>73</v>
      </c>
      <c r="E3600" s="33" t="n">
        <f aca="false">IF(B3600&gt;=5,AVERAGE(C3596:C3599),"")</f>
        <v>68.75</v>
      </c>
      <c r="F3600" s="33" t="n">
        <f aca="false">IF(B3600&gt;=9,AVERAGE(C3592:C3599),"")</f>
        <v>65.375</v>
      </c>
      <c r="G3600" s="33" t="n">
        <f aca="false">IF(B3600=1,"",IF(B3600=2,C3599,SES_Alpha*C3599+(1-SES_Alpha)*G3599))</f>
        <v>67.7949124810738</v>
      </c>
      <c r="H3600" s="33" t="n">
        <f aca="false">IF(D3600="","",D3600-C3600)</f>
        <v>15</v>
      </c>
      <c r="I3600" s="33" t="n">
        <f aca="false">IF(E3600="","",E3600-C3600)</f>
        <v>10.75</v>
      </c>
      <c r="J3600" s="33" t="n">
        <f aca="false">IF(F3600="","",F3600-C3600)</f>
        <v>7.375</v>
      </c>
      <c r="K3600" s="33" t="n">
        <f aca="false">IF(G3600="","",G3600-C3600)</f>
        <v>9.79491248107382</v>
      </c>
      <c r="L3600" s="33" t="n">
        <f aca="false">IF(H3600="","",ABS(H3600))</f>
        <v>15</v>
      </c>
      <c r="M3600" s="33" t="n">
        <f aca="false">IF(I3600="","",ABS(I3600))</f>
        <v>10.75</v>
      </c>
      <c r="N3600" s="33" t="n">
        <f aca="false">IF(J3600="","",ABS(J3600))</f>
        <v>7.375</v>
      </c>
      <c r="O3600" s="33" t="n">
        <f aca="false">IF(K3600="","",ABS(K3600))</f>
        <v>9.79491248107382</v>
      </c>
      <c r="P3600" s="34" t="str">
        <f aca="false">IF(B3600&gt;=Eval_Start_Week,"YES","")</f>
        <v>YES</v>
      </c>
      <c r="Q3600" s="34" t="str">
        <f aca="false">IF(AND(B3600&gt;=Cal_Start_Week,B3600&lt;=Cal_End_Week),"YES","")</f>
        <v>YES</v>
      </c>
    </row>
    <row r="3601" customFormat="false" ht="15" hidden="false" customHeight="false" outlineLevel="0" collapsed="false">
      <c r="A3601" s="31" t="str">
        <f aca="false">Demand_History!C3601</f>
        <v>ELE-006</v>
      </c>
      <c r="B3601" s="31" t="n">
        <f aca="false">Demand_History!A3601</f>
        <v>64</v>
      </c>
      <c r="C3601" s="32" t="n">
        <f aca="false">Demand_History!D3601</f>
        <v>74</v>
      </c>
      <c r="D3601" s="33" t="n">
        <f aca="false">IF(B3601&gt;=2,C3600,"")</f>
        <v>58</v>
      </c>
      <c r="E3601" s="33" t="n">
        <f aca="false">IF(B3601&gt;=5,AVERAGE(C3597:C3600),"")</f>
        <v>65</v>
      </c>
      <c r="F3601" s="33" t="n">
        <f aca="false">IF(B3601&gt;=9,AVERAGE(C3593:C3600),"")</f>
        <v>66.625</v>
      </c>
      <c r="G3601" s="33" t="n">
        <f aca="false">IF(B3601=1,"",IF(B3601=2,C3600,SES_Alpha*C3600+(1-SES_Alpha)*G3600))</f>
        <v>64.8564387367517</v>
      </c>
      <c r="H3601" s="33" t="n">
        <f aca="false">IF(D3601="","",D3601-C3601)</f>
        <v>-16</v>
      </c>
      <c r="I3601" s="33" t="n">
        <f aca="false">IF(E3601="","",E3601-C3601)</f>
        <v>-9</v>
      </c>
      <c r="J3601" s="33" t="n">
        <f aca="false">IF(F3601="","",F3601-C3601)</f>
        <v>-7.375</v>
      </c>
      <c r="K3601" s="33" t="n">
        <f aca="false">IF(G3601="","",G3601-C3601)</f>
        <v>-9.14356126324833</v>
      </c>
      <c r="L3601" s="33" t="n">
        <f aca="false">IF(H3601="","",ABS(H3601))</f>
        <v>16</v>
      </c>
      <c r="M3601" s="33" t="n">
        <f aca="false">IF(I3601="","",ABS(I3601))</f>
        <v>9</v>
      </c>
      <c r="N3601" s="33" t="n">
        <f aca="false">IF(J3601="","",ABS(J3601))</f>
        <v>7.375</v>
      </c>
      <c r="O3601" s="33" t="n">
        <f aca="false">IF(K3601="","",ABS(K3601))</f>
        <v>9.14356126324833</v>
      </c>
      <c r="P3601" s="34" t="str">
        <f aca="false">IF(B3601&gt;=Eval_Start_Week,"YES","")</f>
        <v>YES</v>
      </c>
      <c r="Q3601" s="34" t="str">
        <f aca="false">IF(AND(B3601&gt;=Cal_Start_Week,B3601&lt;=Cal_End_Week),"YES","")</f>
        <v>YES</v>
      </c>
    </row>
    <row r="3602" customFormat="false" ht="15" hidden="false" customHeight="false" outlineLevel="0" collapsed="false">
      <c r="A3602" s="31" t="str">
        <f aca="false">Demand_History!C3602</f>
        <v>ELE-006</v>
      </c>
      <c r="B3602" s="31" t="n">
        <f aca="false">Demand_History!A3602</f>
        <v>65</v>
      </c>
      <c r="C3602" s="32" t="n">
        <f aca="false">Demand_History!D3602</f>
        <v>74</v>
      </c>
      <c r="D3602" s="33" t="n">
        <f aca="false">IF(B3602&gt;=2,C3601,"")</f>
        <v>74</v>
      </c>
      <c r="E3602" s="33" t="n">
        <f aca="false">IF(B3602&gt;=5,AVERAGE(C3598:C3601),"")</f>
        <v>67.75</v>
      </c>
      <c r="F3602" s="33" t="n">
        <f aca="false">IF(B3602&gt;=9,AVERAGE(C3594:C3601),"")</f>
        <v>67.75</v>
      </c>
      <c r="G3602" s="33" t="n">
        <f aca="false">IF(B3602=1,"",IF(B3602=2,C3601,SES_Alpha*C3601+(1-SES_Alpha)*G3601))</f>
        <v>67.5995071157262</v>
      </c>
      <c r="H3602" s="33" t="n">
        <f aca="false">IF(D3602="","",D3602-C3602)</f>
        <v>0</v>
      </c>
      <c r="I3602" s="33" t="n">
        <f aca="false">IF(E3602="","",E3602-C3602)</f>
        <v>-6.25</v>
      </c>
      <c r="J3602" s="33" t="n">
        <f aca="false">IF(F3602="","",F3602-C3602)</f>
        <v>-6.25</v>
      </c>
      <c r="K3602" s="33" t="n">
        <f aca="false">IF(G3602="","",G3602-C3602)</f>
        <v>-6.40049288427383</v>
      </c>
      <c r="L3602" s="33" t="n">
        <f aca="false">IF(H3602="","",ABS(H3602))</f>
        <v>0</v>
      </c>
      <c r="M3602" s="33" t="n">
        <f aca="false">IF(I3602="","",ABS(I3602))</f>
        <v>6.25</v>
      </c>
      <c r="N3602" s="33" t="n">
        <f aca="false">IF(J3602="","",ABS(J3602))</f>
        <v>6.25</v>
      </c>
      <c r="O3602" s="33" t="n">
        <f aca="false">IF(K3602="","",ABS(K3602))</f>
        <v>6.40049288427383</v>
      </c>
      <c r="P3602" s="34" t="str">
        <f aca="false">IF(B3602&gt;=Eval_Start_Week,"YES","")</f>
        <v>YES</v>
      </c>
      <c r="Q3602" s="34" t="str">
        <f aca="false">IF(AND(B3602&gt;=Cal_Start_Week,B3602&lt;=Cal_End_Week),"YES","")</f>
        <v>YES</v>
      </c>
    </row>
    <row r="3603" customFormat="false" ht="15" hidden="false" customHeight="false" outlineLevel="0" collapsed="false">
      <c r="A3603" s="31" t="str">
        <f aca="false">Demand_History!C3603</f>
        <v>ELE-006</v>
      </c>
      <c r="B3603" s="31" t="n">
        <f aca="false">Demand_History!A3603</f>
        <v>66</v>
      </c>
      <c r="C3603" s="32" t="n">
        <f aca="false">Demand_History!D3603</f>
        <v>66</v>
      </c>
      <c r="D3603" s="33" t="n">
        <f aca="false">IF(B3603&gt;=2,C3602,"")</f>
        <v>74</v>
      </c>
      <c r="E3603" s="33" t="n">
        <f aca="false">IF(B3603&gt;=5,AVERAGE(C3599:C3602),"")</f>
        <v>69.75</v>
      </c>
      <c r="F3603" s="33" t="n">
        <f aca="false">IF(B3603&gt;=9,AVERAGE(C3595:C3602),"")</f>
        <v>68.5</v>
      </c>
      <c r="G3603" s="33" t="n">
        <f aca="false">IF(B3603=1,"",IF(B3603=2,C3602,SES_Alpha*C3602+(1-SES_Alpha)*G3602))</f>
        <v>69.5196549810083</v>
      </c>
      <c r="H3603" s="33" t="n">
        <f aca="false">IF(D3603="","",D3603-C3603)</f>
        <v>8</v>
      </c>
      <c r="I3603" s="33" t="n">
        <f aca="false">IF(E3603="","",E3603-C3603)</f>
        <v>3.75</v>
      </c>
      <c r="J3603" s="33" t="n">
        <f aca="false">IF(F3603="","",F3603-C3603)</f>
        <v>2.5</v>
      </c>
      <c r="K3603" s="33" t="n">
        <f aca="false">IF(G3603="","",G3603-C3603)</f>
        <v>3.51965498100832</v>
      </c>
      <c r="L3603" s="33" t="n">
        <f aca="false">IF(H3603="","",ABS(H3603))</f>
        <v>8</v>
      </c>
      <c r="M3603" s="33" t="n">
        <f aca="false">IF(I3603="","",ABS(I3603))</f>
        <v>3.75</v>
      </c>
      <c r="N3603" s="33" t="n">
        <f aca="false">IF(J3603="","",ABS(J3603))</f>
        <v>2.5</v>
      </c>
      <c r="O3603" s="33" t="n">
        <f aca="false">IF(K3603="","",ABS(K3603))</f>
        <v>3.51965498100832</v>
      </c>
      <c r="P3603" s="34" t="str">
        <f aca="false">IF(B3603&gt;=Eval_Start_Week,"YES","")</f>
        <v>YES</v>
      </c>
      <c r="Q3603" s="34" t="str">
        <f aca="false">IF(AND(B3603&gt;=Cal_Start_Week,B3603&lt;=Cal_End_Week),"YES","")</f>
        <v>YES</v>
      </c>
    </row>
    <row r="3604" customFormat="false" ht="15" hidden="false" customHeight="false" outlineLevel="0" collapsed="false">
      <c r="A3604" s="31" t="str">
        <f aca="false">Demand_History!C3604</f>
        <v>ELE-006</v>
      </c>
      <c r="B3604" s="31" t="n">
        <f aca="false">Demand_History!A3604</f>
        <v>67</v>
      </c>
      <c r="C3604" s="32" t="n">
        <f aca="false">Demand_History!D3604</f>
        <v>75</v>
      </c>
      <c r="D3604" s="33" t="n">
        <f aca="false">IF(B3604&gt;=2,C3603,"")</f>
        <v>66</v>
      </c>
      <c r="E3604" s="33" t="n">
        <f aca="false">IF(B3604&gt;=5,AVERAGE(C3600:C3603),"")</f>
        <v>68</v>
      </c>
      <c r="F3604" s="33" t="n">
        <f aca="false">IF(B3604&gt;=9,AVERAGE(C3596:C3603),"")</f>
        <v>68.375</v>
      </c>
      <c r="G3604" s="33" t="n">
        <f aca="false">IF(B3604=1,"",IF(B3604=2,C3603,SES_Alpha*C3603+(1-SES_Alpha)*G3603))</f>
        <v>68.4637584867058</v>
      </c>
      <c r="H3604" s="33" t="n">
        <f aca="false">IF(D3604="","",D3604-C3604)</f>
        <v>-9</v>
      </c>
      <c r="I3604" s="33" t="n">
        <f aca="false">IF(E3604="","",E3604-C3604)</f>
        <v>-7</v>
      </c>
      <c r="J3604" s="33" t="n">
        <f aca="false">IF(F3604="","",F3604-C3604)</f>
        <v>-6.625</v>
      </c>
      <c r="K3604" s="33" t="n">
        <f aca="false">IF(G3604="","",G3604-C3604)</f>
        <v>-6.53624151329419</v>
      </c>
      <c r="L3604" s="33" t="n">
        <f aca="false">IF(H3604="","",ABS(H3604))</f>
        <v>9</v>
      </c>
      <c r="M3604" s="33" t="n">
        <f aca="false">IF(I3604="","",ABS(I3604))</f>
        <v>7</v>
      </c>
      <c r="N3604" s="33" t="n">
        <f aca="false">IF(J3604="","",ABS(J3604))</f>
        <v>6.625</v>
      </c>
      <c r="O3604" s="33" t="n">
        <f aca="false">IF(K3604="","",ABS(K3604))</f>
        <v>6.53624151329419</v>
      </c>
      <c r="P3604" s="34" t="str">
        <f aca="false">IF(B3604&gt;=Eval_Start_Week,"YES","")</f>
        <v>YES</v>
      </c>
      <c r="Q3604" s="34" t="str">
        <f aca="false">IF(AND(B3604&gt;=Cal_Start_Week,B3604&lt;=Cal_End_Week),"YES","")</f>
        <v>YES</v>
      </c>
    </row>
    <row r="3605" customFormat="false" ht="15" hidden="false" customHeight="false" outlineLevel="0" collapsed="false">
      <c r="A3605" s="31" t="str">
        <f aca="false">Demand_History!C3605</f>
        <v>ELE-006</v>
      </c>
      <c r="B3605" s="31" t="n">
        <f aca="false">Demand_History!A3605</f>
        <v>68</v>
      </c>
      <c r="C3605" s="32" t="n">
        <f aca="false">Demand_History!D3605</f>
        <v>67</v>
      </c>
      <c r="D3605" s="33" t="n">
        <f aca="false">IF(B3605&gt;=2,C3604,"")</f>
        <v>75</v>
      </c>
      <c r="E3605" s="33" t="n">
        <f aca="false">IF(B3605&gt;=5,AVERAGE(C3601:C3604),"")</f>
        <v>72.25</v>
      </c>
      <c r="F3605" s="33" t="n">
        <f aca="false">IF(B3605&gt;=9,AVERAGE(C3597:C3604),"")</f>
        <v>68.625</v>
      </c>
      <c r="G3605" s="33" t="n">
        <f aca="false">IF(B3605=1,"",IF(B3605=2,C3604,SES_Alpha*C3604+(1-SES_Alpha)*G3604))</f>
        <v>70.4246309406941</v>
      </c>
      <c r="H3605" s="33" t="n">
        <f aca="false">IF(D3605="","",D3605-C3605)</f>
        <v>8</v>
      </c>
      <c r="I3605" s="33" t="n">
        <f aca="false">IF(E3605="","",E3605-C3605)</f>
        <v>5.25</v>
      </c>
      <c r="J3605" s="33" t="n">
        <f aca="false">IF(F3605="","",F3605-C3605)</f>
        <v>1.625</v>
      </c>
      <c r="K3605" s="33" t="n">
        <f aca="false">IF(G3605="","",G3605-C3605)</f>
        <v>3.42463094069407</v>
      </c>
      <c r="L3605" s="33" t="n">
        <f aca="false">IF(H3605="","",ABS(H3605))</f>
        <v>8</v>
      </c>
      <c r="M3605" s="33" t="n">
        <f aca="false">IF(I3605="","",ABS(I3605))</f>
        <v>5.25</v>
      </c>
      <c r="N3605" s="33" t="n">
        <f aca="false">IF(J3605="","",ABS(J3605))</f>
        <v>1.625</v>
      </c>
      <c r="O3605" s="33" t="n">
        <f aca="false">IF(K3605="","",ABS(K3605))</f>
        <v>3.42463094069407</v>
      </c>
      <c r="P3605" s="34" t="str">
        <f aca="false">IF(B3605&gt;=Eval_Start_Week,"YES","")</f>
        <v>YES</v>
      </c>
      <c r="Q3605" s="34" t="str">
        <f aca="false">IF(AND(B3605&gt;=Cal_Start_Week,B3605&lt;=Cal_End_Week),"YES","")</f>
        <v>YES</v>
      </c>
    </row>
    <row r="3606" customFormat="false" ht="15" hidden="false" customHeight="false" outlineLevel="0" collapsed="false">
      <c r="A3606" s="31" t="str">
        <f aca="false">Demand_History!C3606</f>
        <v>ELE-006</v>
      </c>
      <c r="B3606" s="31" t="n">
        <f aca="false">Demand_History!A3606</f>
        <v>69</v>
      </c>
      <c r="C3606" s="32" t="n">
        <f aca="false">Demand_History!D3606</f>
        <v>53</v>
      </c>
      <c r="D3606" s="33" t="n">
        <f aca="false">IF(B3606&gt;=2,C3605,"")</f>
        <v>67</v>
      </c>
      <c r="E3606" s="33" t="n">
        <f aca="false">IF(B3606&gt;=5,AVERAGE(C3602:C3605),"")</f>
        <v>70.5</v>
      </c>
      <c r="F3606" s="33" t="n">
        <f aca="false">IF(B3606&gt;=9,AVERAGE(C3598:C3605),"")</f>
        <v>69.125</v>
      </c>
      <c r="G3606" s="33" t="n">
        <f aca="false">IF(B3606=1,"",IF(B3606=2,C3605,SES_Alpha*C3605+(1-SES_Alpha)*G3605))</f>
        <v>69.3972416584858</v>
      </c>
      <c r="H3606" s="33" t="n">
        <f aca="false">IF(D3606="","",D3606-C3606)</f>
        <v>14</v>
      </c>
      <c r="I3606" s="33" t="n">
        <f aca="false">IF(E3606="","",E3606-C3606)</f>
        <v>17.5</v>
      </c>
      <c r="J3606" s="33" t="n">
        <f aca="false">IF(F3606="","",F3606-C3606)</f>
        <v>16.125</v>
      </c>
      <c r="K3606" s="33" t="n">
        <f aca="false">IF(G3606="","",G3606-C3606)</f>
        <v>16.3972416584858</v>
      </c>
      <c r="L3606" s="33" t="n">
        <f aca="false">IF(H3606="","",ABS(H3606))</f>
        <v>14</v>
      </c>
      <c r="M3606" s="33" t="n">
        <f aca="false">IF(I3606="","",ABS(I3606))</f>
        <v>17.5</v>
      </c>
      <c r="N3606" s="33" t="n">
        <f aca="false">IF(J3606="","",ABS(J3606))</f>
        <v>16.125</v>
      </c>
      <c r="O3606" s="33" t="n">
        <f aca="false">IF(K3606="","",ABS(K3606))</f>
        <v>16.3972416584858</v>
      </c>
      <c r="P3606" s="34" t="str">
        <f aca="false">IF(B3606&gt;=Eval_Start_Week,"YES","")</f>
        <v>YES</v>
      </c>
      <c r="Q3606" s="34" t="str">
        <f aca="false">IF(AND(B3606&gt;=Cal_Start_Week,B3606&lt;=Cal_End_Week),"YES","")</f>
        <v>YES</v>
      </c>
    </row>
    <row r="3607" customFormat="false" ht="15" hidden="false" customHeight="false" outlineLevel="0" collapsed="false">
      <c r="A3607" s="31" t="str">
        <f aca="false">Demand_History!C3607</f>
        <v>ELE-006</v>
      </c>
      <c r="B3607" s="31" t="n">
        <f aca="false">Demand_History!A3607</f>
        <v>70</v>
      </c>
      <c r="C3607" s="32" t="n">
        <f aca="false">Demand_History!D3607</f>
        <v>69</v>
      </c>
      <c r="D3607" s="33" t="n">
        <f aca="false">IF(B3607&gt;=2,C3606,"")</f>
        <v>53</v>
      </c>
      <c r="E3607" s="33" t="n">
        <f aca="false">IF(B3607&gt;=5,AVERAGE(C3603:C3606),"")</f>
        <v>65.25</v>
      </c>
      <c r="F3607" s="33" t="n">
        <f aca="false">IF(B3607&gt;=9,AVERAGE(C3599:C3606),"")</f>
        <v>67.5</v>
      </c>
      <c r="G3607" s="33" t="n">
        <f aca="false">IF(B3607=1,"",IF(B3607=2,C3606,SES_Alpha*C3606+(1-SES_Alpha)*G3606))</f>
        <v>64.4780691609401</v>
      </c>
      <c r="H3607" s="33" t="n">
        <f aca="false">IF(D3607="","",D3607-C3607)</f>
        <v>-16</v>
      </c>
      <c r="I3607" s="33" t="n">
        <f aca="false">IF(E3607="","",E3607-C3607)</f>
        <v>-3.75</v>
      </c>
      <c r="J3607" s="33" t="n">
        <f aca="false">IF(F3607="","",F3607-C3607)</f>
        <v>-1.5</v>
      </c>
      <c r="K3607" s="33" t="n">
        <f aca="false">IF(G3607="","",G3607-C3607)</f>
        <v>-4.52193083905992</v>
      </c>
      <c r="L3607" s="33" t="n">
        <f aca="false">IF(H3607="","",ABS(H3607))</f>
        <v>16</v>
      </c>
      <c r="M3607" s="33" t="n">
        <f aca="false">IF(I3607="","",ABS(I3607))</f>
        <v>3.75</v>
      </c>
      <c r="N3607" s="33" t="n">
        <f aca="false">IF(J3607="","",ABS(J3607))</f>
        <v>1.5</v>
      </c>
      <c r="O3607" s="33" t="n">
        <f aca="false">IF(K3607="","",ABS(K3607))</f>
        <v>4.52193083905992</v>
      </c>
      <c r="P3607" s="34" t="str">
        <f aca="false">IF(B3607&gt;=Eval_Start_Week,"YES","")</f>
        <v>YES</v>
      </c>
      <c r="Q3607" s="34" t="str">
        <f aca="false">IF(AND(B3607&gt;=Cal_Start_Week,B3607&lt;=Cal_End_Week),"YES","")</f>
        <v>YES</v>
      </c>
    </row>
    <row r="3608" customFormat="false" ht="15" hidden="false" customHeight="false" outlineLevel="0" collapsed="false">
      <c r="A3608" s="31" t="str">
        <f aca="false">Demand_History!C3608</f>
        <v>ELE-006</v>
      </c>
      <c r="B3608" s="31" t="n">
        <f aca="false">Demand_History!A3608</f>
        <v>71</v>
      </c>
      <c r="C3608" s="32" t="n">
        <f aca="false">Demand_History!D3608</f>
        <v>63</v>
      </c>
      <c r="D3608" s="33" t="n">
        <f aca="false">IF(B3608&gt;=2,C3607,"")</f>
        <v>69</v>
      </c>
      <c r="E3608" s="33" t="n">
        <f aca="false">IF(B3608&gt;=5,AVERAGE(C3604:C3607),"")</f>
        <v>66</v>
      </c>
      <c r="F3608" s="33" t="n">
        <f aca="false">IF(B3608&gt;=9,AVERAGE(C3600:C3607),"")</f>
        <v>67</v>
      </c>
      <c r="G3608" s="33" t="n">
        <f aca="false">IF(B3608=1,"",IF(B3608=2,C3607,SES_Alpha*C3607+(1-SES_Alpha)*G3607))</f>
        <v>65.8346484126581</v>
      </c>
      <c r="H3608" s="33" t="n">
        <f aca="false">IF(D3608="","",D3608-C3608)</f>
        <v>6</v>
      </c>
      <c r="I3608" s="33" t="n">
        <f aca="false">IF(E3608="","",E3608-C3608)</f>
        <v>3</v>
      </c>
      <c r="J3608" s="33" t="n">
        <f aca="false">IF(F3608="","",F3608-C3608)</f>
        <v>4</v>
      </c>
      <c r="K3608" s="33" t="n">
        <f aca="false">IF(G3608="","",G3608-C3608)</f>
        <v>2.83464841265806</v>
      </c>
      <c r="L3608" s="33" t="n">
        <f aca="false">IF(H3608="","",ABS(H3608))</f>
        <v>6</v>
      </c>
      <c r="M3608" s="33" t="n">
        <f aca="false">IF(I3608="","",ABS(I3608))</f>
        <v>3</v>
      </c>
      <c r="N3608" s="33" t="n">
        <f aca="false">IF(J3608="","",ABS(J3608))</f>
        <v>4</v>
      </c>
      <c r="O3608" s="33" t="n">
        <f aca="false">IF(K3608="","",ABS(K3608))</f>
        <v>2.83464841265806</v>
      </c>
      <c r="P3608" s="34" t="str">
        <f aca="false">IF(B3608&gt;=Eval_Start_Week,"YES","")</f>
        <v>YES</v>
      </c>
      <c r="Q3608" s="34" t="str">
        <f aca="false">IF(AND(B3608&gt;=Cal_Start_Week,B3608&lt;=Cal_End_Week),"YES","")</f>
        <v>YES</v>
      </c>
    </row>
    <row r="3609" customFormat="false" ht="15" hidden="false" customHeight="false" outlineLevel="0" collapsed="false">
      <c r="A3609" s="31" t="str">
        <f aca="false">Demand_History!C3609</f>
        <v>ELE-006</v>
      </c>
      <c r="B3609" s="31" t="n">
        <f aca="false">Demand_History!A3609</f>
        <v>72</v>
      </c>
      <c r="C3609" s="32" t="n">
        <f aca="false">Demand_History!D3609</f>
        <v>63</v>
      </c>
      <c r="D3609" s="33" t="n">
        <f aca="false">IF(B3609&gt;=2,C3608,"")</f>
        <v>63</v>
      </c>
      <c r="E3609" s="33" t="n">
        <f aca="false">IF(B3609&gt;=5,AVERAGE(C3605:C3608),"")</f>
        <v>63</v>
      </c>
      <c r="F3609" s="33" t="n">
        <f aca="false">IF(B3609&gt;=9,AVERAGE(C3601:C3608),"")</f>
        <v>67.625</v>
      </c>
      <c r="G3609" s="33" t="n">
        <f aca="false">IF(B3609=1,"",IF(B3609=2,C3608,SES_Alpha*C3608+(1-SES_Alpha)*G3608))</f>
        <v>64.9842538888606</v>
      </c>
      <c r="H3609" s="33" t="n">
        <f aca="false">IF(D3609="","",D3609-C3609)</f>
        <v>0</v>
      </c>
      <c r="I3609" s="33" t="n">
        <f aca="false">IF(E3609="","",E3609-C3609)</f>
        <v>0</v>
      </c>
      <c r="J3609" s="33" t="n">
        <f aca="false">IF(F3609="","",F3609-C3609)</f>
        <v>4.625</v>
      </c>
      <c r="K3609" s="33" t="n">
        <f aca="false">IF(G3609="","",G3609-C3609)</f>
        <v>1.98425388886064</v>
      </c>
      <c r="L3609" s="33" t="n">
        <f aca="false">IF(H3609="","",ABS(H3609))</f>
        <v>0</v>
      </c>
      <c r="M3609" s="33" t="n">
        <f aca="false">IF(I3609="","",ABS(I3609))</f>
        <v>0</v>
      </c>
      <c r="N3609" s="33" t="n">
        <f aca="false">IF(J3609="","",ABS(J3609))</f>
        <v>4.625</v>
      </c>
      <c r="O3609" s="33" t="n">
        <f aca="false">IF(K3609="","",ABS(K3609))</f>
        <v>1.98425388886064</v>
      </c>
      <c r="P3609" s="34" t="str">
        <f aca="false">IF(B3609&gt;=Eval_Start_Week,"YES","")</f>
        <v>YES</v>
      </c>
      <c r="Q3609" s="34" t="str">
        <f aca="false">IF(AND(B3609&gt;=Cal_Start_Week,B3609&lt;=Cal_End_Week),"YES","")</f>
        <v>YES</v>
      </c>
    </row>
    <row r="3610" customFormat="false" ht="15" hidden="false" customHeight="false" outlineLevel="0" collapsed="false">
      <c r="A3610" s="31" t="str">
        <f aca="false">Demand_History!C3610</f>
        <v>ELE-006</v>
      </c>
      <c r="B3610" s="31" t="n">
        <f aca="false">Demand_History!A3610</f>
        <v>73</v>
      </c>
      <c r="C3610" s="32" t="n">
        <f aca="false">Demand_History!D3610</f>
        <v>61</v>
      </c>
      <c r="D3610" s="33" t="n">
        <f aca="false">IF(B3610&gt;=2,C3609,"")</f>
        <v>63</v>
      </c>
      <c r="E3610" s="33" t="n">
        <f aca="false">IF(B3610&gt;=5,AVERAGE(C3606:C3609),"")</f>
        <v>62</v>
      </c>
      <c r="F3610" s="33" t="n">
        <f aca="false">IF(B3610&gt;=9,AVERAGE(C3602:C3609),"")</f>
        <v>66.25</v>
      </c>
      <c r="G3610" s="33" t="n">
        <f aca="false">IF(B3610=1,"",IF(B3610=2,C3609,SES_Alpha*C3609+(1-SES_Alpha)*G3609))</f>
        <v>64.3889777222024</v>
      </c>
      <c r="H3610" s="33" t="n">
        <f aca="false">IF(D3610="","",D3610-C3610)</f>
        <v>2</v>
      </c>
      <c r="I3610" s="33" t="n">
        <f aca="false">IF(E3610="","",E3610-C3610)</f>
        <v>1</v>
      </c>
      <c r="J3610" s="33" t="n">
        <f aca="false">IF(F3610="","",F3610-C3610)</f>
        <v>5.25</v>
      </c>
      <c r="K3610" s="33" t="n">
        <f aca="false">IF(G3610="","",G3610-C3610)</f>
        <v>3.38897772220244</v>
      </c>
      <c r="L3610" s="33" t="n">
        <f aca="false">IF(H3610="","",ABS(H3610))</f>
        <v>2</v>
      </c>
      <c r="M3610" s="33" t="n">
        <f aca="false">IF(I3610="","",ABS(I3610))</f>
        <v>1</v>
      </c>
      <c r="N3610" s="33" t="n">
        <f aca="false">IF(J3610="","",ABS(J3610))</f>
        <v>5.25</v>
      </c>
      <c r="O3610" s="33" t="n">
        <f aca="false">IF(K3610="","",ABS(K3610))</f>
        <v>3.38897772220244</v>
      </c>
      <c r="P3610" s="34" t="str">
        <f aca="false">IF(B3610&gt;=Eval_Start_Week,"YES","")</f>
        <v>YES</v>
      </c>
      <c r="Q3610" s="34" t="str">
        <f aca="false">IF(AND(B3610&gt;=Cal_Start_Week,B3610&lt;=Cal_End_Week),"YES","")</f>
        <v>YES</v>
      </c>
    </row>
    <row r="3611" customFormat="false" ht="15" hidden="false" customHeight="false" outlineLevel="0" collapsed="false">
      <c r="A3611" s="31" t="str">
        <f aca="false">Demand_History!C3611</f>
        <v>ELE-006</v>
      </c>
      <c r="B3611" s="31" t="n">
        <f aca="false">Demand_History!A3611</f>
        <v>74</v>
      </c>
      <c r="C3611" s="32" t="n">
        <f aca="false">Demand_History!D3611</f>
        <v>71</v>
      </c>
      <c r="D3611" s="33" t="n">
        <f aca="false">IF(B3611&gt;=2,C3610,"")</f>
        <v>61</v>
      </c>
      <c r="E3611" s="33" t="n">
        <f aca="false">IF(B3611&gt;=5,AVERAGE(C3607:C3610),"")</f>
        <v>64</v>
      </c>
      <c r="F3611" s="33" t="n">
        <f aca="false">IF(B3611&gt;=9,AVERAGE(C3603:C3610),"")</f>
        <v>64.625</v>
      </c>
      <c r="G3611" s="33" t="n">
        <f aca="false">IF(B3611=1,"",IF(B3611=2,C3610,SES_Alpha*C3610+(1-SES_Alpha)*G3610))</f>
        <v>63.3722844055417</v>
      </c>
      <c r="H3611" s="33" t="n">
        <f aca="false">IF(D3611="","",D3611-C3611)</f>
        <v>-10</v>
      </c>
      <c r="I3611" s="33" t="n">
        <f aca="false">IF(E3611="","",E3611-C3611)</f>
        <v>-7</v>
      </c>
      <c r="J3611" s="33" t="n">
        <f aca="false">IF(F3611="","",F3611-C3611)</f>
        <v>-6.375</v>
      </c>
      <c r="K3611" s="33" t="n">
        <f aca="false">IF(G3611="","",G3611-C3611)</f>
        <v>-7.62771559445829</v>
      </c>
      <c r="L3611" s="33" t="n">
        <f aca="false">IF(H3611="","",ABS(H3611))</f>
        <v>10</v>
      </c>
      <c r="M3611" s="33" t="n">
        <f aca="false">IF(I3611="","",ABS(I3611))</f>
        <v>7</v>
      </c>
      <c r="N3611" s="33" t="n">
        <f aca="false">IF(J3611="","",ABS(J3611))</f>
        <v>6.375</v>
      </c>
      <c r="O3611" s="33" t="n">
        <f aca="false">IF(K3611="","",ABS(K3611))</f>
        <v>7.62771559445829</v>
      </c>
      <c r="P3611" s="34" t="str">
        <f aca="false">IF(B3611&gt;=Eval_Start_Week,"YES","")</f>
        <v>YES</v>
      </c>
      <c r="Q3611" s="34" t="str">
        <f aca="false">IF(AND(B3611&gt;=Cal_Start_Week,B3611&lt;=Cal_End_Week),"YES","")</f>
        <v>YES</v>
      </c>
    </row>
    <row r="3612" customFormat="false" ht="15" hidden="false" customHeight="false" outlineLevel="0" collapsed="false">
      <c r="A3612" s="31" t="str">
        <f aca="false">Demand_History!C3612</f>
        <v>ELE-006</v>
      </c>
      <c r="B3612" s="31" t="n">
        <f aca="false">Demand_History!A3612</f>
        <v>75</v>
      </c>
      <c r="C3612" s="32" t="n">
        <f aca="false">Demand_History!D3612</f>
        <v>64</v>
      </c>
      <c r="D3612" s="33" t="n">
        <f aca="false">IF(B3612&gt;=2,C3611,"")</f>
        <v>71</v>
      </c>
      <c r="E3612" s="33" t="n">
        <f aca="false">IF(B3612&gt;=5,AVERAGE(C3608:C3611),"")</f>
        <v>64.5</v>
      </c>
      <c r="F3612" s="33" t="n">
        <f aca="false">IF(B3612&gt;=9,AVERAGE(C3604:C3611),"")</f>
        <v>65.25</v>
      </c>
      <c r="G3612" s="33" t="n">
        <f aca="false">IF(B3612=1,"",IF(B3612=2,C3611,SES_Alpha*C3611+(1-SES_Alpha)*G3611))</f>
        <v>65.6605990838792</v>
      </c>
      <c r="H3612" s="33" t="n">
        <f aca="false">IF(D3612="","",D3612-C3612)</f>
        <v>7</v>
      </c>
      <c r="I3612" s="33" t="n">
        <f aca="false">IF(E3612="","",E3612-C3612)</f>
        <v>0.5</v>
      </c>
      <c r="J3612" s="33" t="n">
        <f aca="false">IF(F3612="","",F3612-C3612)</f>
        <v>1.25</v>
      </c>
      <c r="K3612" s="33" t="n">
        <f aca="false">IF(G3612="","",G3612-C3612)</f>
        <v>1.66059908387919</v>
      </c>
      <c r="L3612" s="33" t="n">
        <f aca="false">IF(H3612="","",ABS(H3612))</f>
        <v>7</v>
      </c>
      <c r="M3612" s="33" t="n">
        <f aca="false">IF(I3612="","",ABS(I3612))</f>
        <v>0.5</v>
      </c>
      <c r="N3612" s="33" t="n">
        <f aca="false">IF(J3612="","",ABS(J3612))</f>
        <v>1.25</v>
      </c>
      <c r="O3612" s="33" t="n">
        <f aca="false">IF(K3612="","",ABS(K3612))</f>
        <v>1.66059908387919</v>
      </c>
      <c r="P3612" s="34" t="str">
        <f aca="false">IF(B3612&gt;=Eval_Start_Week,"YES","")</f>
        <v>YES</v>
      </c>
      <c r="Q3612" s="34" t="str">
        <f aca="false">IF(AND(B3612&gt;=Cal_Start_Week,B3612&lt;=Cal_End_Week),"YES","")</f>
        <v>YES</v>
      </c>
    </row>
    <row r="3613" customFormat="false" ht="15" hidden="false" customHeight="false" outlineLevel="0" collapsed="false">
      <c r="A3613" s="31" t="str">
        <f aca="false">Demand_History!C3613</f>
        <v>ELE-006</v>
      </c>
      <c r="B3613" s="31" t="n">
        <f aca="false">Demand_History!A3613</f>
        <v>76</v>
      </c>
      <c r="C3613" s="32" t="n">
        <f aca="false">Demand_History!D3613</f>
        <v>54</v>
      </c>
      <c r="D3613" s="33" t="n">
        <f aca="false">IF(B3613&gt;=2,C3612,"")</f>
        <v>64</v>
      </c>
      <c r="E3613" s="33" t="n">
        <f aca="false">IF(B3613&gt;=5,AVERAGE(C3609:C3612),"")</f>
        <v>64.75</v>
      </c>
      <c r="F3613" s="33" t="n">
        <f aca="false">IF(B3613&gt;=9,AVERAGE(C3605:C3612),"")</f>
        <v>63.875</v>
      </c>
      <c r="G3613" s="33" t="n">
        <f aca="false">IF(B3613=1,"",IF(B3613=2,C3612,SES_Alpha*C3612+(1-SES_Alpha)*G3612))</f>
        <v>65.1624193587154</v>
      </c>
      <c r="H3613" s="33" t="n">
        <f aca="false">IF(D3613="","",D3613-C3613)</f>
        <v>10</v>
      </c>
      <c r="I3613" s="33" t="n">
        <f aca="false">IF(E3613="","",E3613-C3613)</f>
        <v>10.75</v>
      </c>
      <c r="J3613" s="33" t="n">
        <f aca="false">IF(F3613="","",F3613-C3613)</f>
        <v>9.875</v>
      </c>
      <c r="K3613" s="33" t="n">
        <f aca="false">IF(G3613="","",G3613-C3613)</f>
        <v>11.1624193587154</v>
      </c>
      <c r="L3613" s="33" t="n">
        <f aca="false">IF(H3613="","",ABS(H3613))</f>
        <v>10</v>
      </c>
      <c r="M3613" s="33" t="n">
        <f aca="false">IF(I3613="","",ABS(I3613))</f>
        <v>10.75</v>
      </c>
      <c r="N3613" s="33" t="n">
        <f aca="false">IF(J3613="","",ABS(J3613))</f>
        <v>9.875</v>
      </c>
      <c r="O3613" s="33" t="n">
        <f aca="false">IF(K3613="","",ABS(K3613))</f>
        <v>11.1624193587154</v>
      </c>
      <c r="P3613" s="34" t="str">
        <f aca="false">IF(B3613&gt;=Eval_Start_Week,"YES","")</f>
        <v>YES</v>
      </c>
      <c r="Q3613" s="34" t="str">
        <f aca="false">IF(AND(B3613&gt;=Cal_Start_Week,B3613&lt;=Cal_End_Week),"YES","")</f>
        <v>YES</v>
      </c>
    </row>
    <row r="3614" customFormat="false" ht="15" hidden="false" customHeight="false" outlineLevel="0" collapsed="false">
      <c r="A3614" s="31" t="str">
        <f aca="false">Demand_History!C3614</f>
        <v>ELE-006</v>
      </c>
      <c r="B3614" s="31" t="n">
        <f aca="false">Demand_History!A3614</f>
        <v>77</v>
      </c>
      <c r="C3614" s="32" t="n">
        <f aca="false">Demand_History!D3614</f>
        <v>64</v>
      </c>
      <c r="D3614" s="33" t="n">
        <f aca="false">IF(B3614&gt;=2,C3613,"")</f>
        <v>54</v>
      </c>
      <c r="E3614" s="33" t="n">
        <f aca="false">IF(B3614&gt;=5,AVERAGE(C3610:C3613),"")</f>
        <v>62.5</v>
      </c>
      <c r="F3614" s="33" t="n">
        <f aca="false">IF(B3614&gt;=9,AVERAGE(C3606:C3613),"")</f>
        <v>62.25</v>
      </c>
      <c r="G3614" s="33" t="n">
        <f aca="false">IF(B3614=1,"",IF(B3614=2,C3613,SES_Alpha*C3613+(1-SES_Alpha)*G3613))</f>
        <v>61.8136935511008</v>
      </c>
      <c r="H3614" s="33" t="n">
        <f aca="false">IF(D3614="","",D3614-C3614)</f>
        <v>-10</v>
      </c>
      <c r="I3614" s="33" t="n">
        <f aca="false">IF(E3614="","",E3614-C3614)</f>
        <v>-1.5</v>
      </c>
      <c r="J3614" s="33" t="n">
        <f aca="false">IF(F3614="","",F3614-C3614)</f>
        <v>-1.75</v>
      </c>
      <c r="K3614" s="33" t="n">
        <f aca="false">IF(G3614="","",G3614-C3614)</f>
        <v>-2.1863064488992</v>
      </c>
      <c r="L3614" s="33" t="n">
        <f aca="false">IF(H3614="","",ABS(H3614))</f>
        <v>10</v>
      </c>
      <c r="M3614" s="33" t="n">
        <f aca="false">IF(I3614="","",ABS(I3614))</f>
        <v>1.5</v>
      </c>
      <c r="N3614" s="33" t="n">
        <f aca="false">IF(J3614="","",ABS(J3614))</f>
        <v>1.75</v>
      </c>
      <c r="O3614" s="33" t="n">
        <f aca="false">IF(K3614="","",ABS(K3614))</f>
        <v>2.1863064488992</v>
      </c>
      <c r="P3614" s="34" t="str">
        <f aca="false">IF(B3614&gt;=Eval_Start_Week,"YES","")</f>
        <v>YES</v>
      </c>
      <c r="Q3614" s="34" t="str">
        <f aca="false">IF(AND(B3614&gt;=Cal_Start_Week,B3614&lt;=Cal_End_Week),"YES","")</f>
        <v>YES</v>
      </c>
    </row>
    <row r="3615" customFormat="false" ht="15" hidden="false" customHeight="false" outlineLevel="0" collapsed="false">
      <c r="A3615" s="31" t="str">
        <f aca="false">Demand_History!C3615</f>
        <v>ELE-006</v>
      </c>
      <c r="B3615" s="31" t="n">
        <f aca="false">Demand_History!A3615</f>
        <v>78</v>
      </c>
      <c r="C3615" s="32" t="n">
        <f aca="false">Demand_History!D3615</f>
        <v>66</v>
      </c>
      <c r="D3615" s="33" t="n">
        <f aca="false">IF(B3615&gt;=2,C3614,"")</f>
        <v>64</v>
      </c>
      <c r="E3615" s="33" t="n">
        <f aca="false">IF(B3615&gt;=5,AVERAGE(C3611:C3614),"")</f>
        <v>63.25</v>
      </c>
      <c r="F3615" s="33" t="n">
        <f aca="false">IF(B3615&gt;=9,AVERAGE(C3607:C3614),"")</f>
        <v>63.625</v>
      </c>
      <c r="G3615" s="33" t="n">
        <f aca="false">IF(B3615=1,"",IF(B3615=2,C3614,SES_Alpha*C3614+(1-SES_Alpha)*G3614))</f>
        <v>62.4695854857706</v>
      </c>
      <c r="H3615" s="33" t="n">
        <f aca="false">IF(D3615="","",D3615-C3615)</f>
        <v>-2</v>
      </c>
      <c r="I3615" s="33" t="n">
        <f aca="false">IF(E3615="","",E3615-C3615)</f>
        <v>-2.75</v>
      </c>
      <c r="J3615" s="33" t="n">
        <f aca="false">IF(F3615="","",F3615-C3615)</f>
        <v>-2.375</v>
      </c>
      <c r="K3615" s="33" t="n">
        <f aca="false">IF(G3615="","",G3615-C3615)</f>
        <v>-3.53041451422945</v>
      </c>
      <c r="L3615" s="33" t="n">
        <f aca="false">IF(H3615="","",ABS(H3615))</f>
        <v>2</v>
      </c>
      <c r="M3615" s="33" t="n">
        <f aca="false">IF(I3615="","",ABS(I3615))</f>
        <v>2.75</v>
      </c>
      <c r="N3615" s="33" t="n">
        <f aca="false">IF(J3615="","",ABS(J3615))</f>
        <v>2.375</v>
      </c>
      <c r="O3615" s="33" t="n">
        <f aca="false">IF(K3615="","",ABS(K3615))</f>
        <v>3.53041451422945</v>
      </c>
      <c r="P3615" s="34" t="str">
        <f aca="false">IF(B3615&gt;=Eval_Start_Week,"YES","")</f>
        <v>YES</v>
      </c>
      <c r="Q3615" s="34" t="str">
        <f aca="false">IF(AND(B3615&gt;=Cal_Start_Week,B3615&lt;=Cal_End_Week),"YES","")</f>
        <v>YES</v>
      </c>
    </row>
    <row r="3616" customFormat="false" ht="15" hidden="false" customHeight="false" outlineLevel="0" collapsed="false">
      <c r="A3616" s="31" t="str">
        <f aca="false">Demand_History!C3616</f>
        <v>ELE-006</v>
      </c>
      <c r="B3616" s="31" t="n">
        <f aca="false">Demand_History!A3616</f>
        <v>79</v>
      </c>
      <c r="C3616" s="32" t="n">
        <f aca="false">Demand_History!D3616</f>
        <v>54</v>
      </c>
      <c r="D3616" s="33" t="n">
        <f aca="false">IF(B3616&gt;=2,C3615,"")</f>
        <v>66</v>
      </c>
      <c r="E3616" s="33" t="n">
        <f aca="false">IF(B3616&gt;=5,AVERAGE(C3612:C3615),"")</f>
        <v>62</v>
      </c>
      <c r="F3616" s="33" t="n">
        <f aca="false">IF(B3616&gt;=9,AVERAGE(C3608:C3615),"")</f>
        <v>63.25</v>
      </c>
      <c r="G3616" s="33" t="n">
        <f aca="false">IF(B3616=1,"",IF(B3616=2,C3615,SES_Alpha*C3615+(1-SES_Alpha)*G3615))</f>
        <v>63.5287098400394</v>
      </c>
      <c r="H3616" s="33" t="n">
        <f aca="false">IF(D3616="","",D3616-C3616)</f>
        <v>12</v>
      </c>
      <c r="I3616" s="33" t="n">
        <f aca="false">IF(E3616="","",E3616-C3616)</f>
        <v>8</v>
      </c>
      <c r="J3616" s="33" t="n">
        <f aca="false">IF(F3616="","",F3616-C3616)</f>
        <v>9.25</v>
      </c>
      <c r="K3616" s="33" t="n">
        <f aca="false">IF(G3616="","",G3616-C3616)</f>
        <v>9.52870984003938</v>
      </c>
      <c r="L3616" s="33" t="n">
        <f aca="false">IF(H3616="","",ABS(H3616))</f>
        <v>12</v>
      </c>
      <c r="M3616" s="33" t="n">
        <f aca="false">IF(I3616="","",ABS(I3616))</f>
        <v>8</v>
      </c>
      <c r="N3616" s="33" t="n">
        <f aca="false">IF(J3616="","",ABS(J3616))</f>
        <v>9.25</v>
      </c>
      <c r="O3616" s="33" t="n">
        <f aca="false">IF(K3616="","",ABS(K3616))</f>
        <v>9.52870984003938</v>
      </c>
      <c r="P3616" s="34" t="str">
        <f aca="false">IF(B3616&gt;=Eval_Start_Week,"YES","")</f>
        <v>YES</v>
      </c>
      <c r="Q3616" s="34" t="str">
        <f aca="false">IF(AND(B3616&gt;=Cal_Start_Week,B3616&lt;=Cal_End_Week),"YES","")</f>
        <v>YES</v>
      </c>
    </row>
    <row r="3617" customFormat="false" ht="15" hidden="false" customHeight="false" outlineLevel="0" collapsed="false">
      <c r="A3617" s="31" t="str">
        <f aca="false">Demand_History!C3617</f>
        <v>ELE-006</v>
      </c>
      <c r="B3617" s="31" t="n">
        <f aca="false">Demand_History!A3617</f>
        <v>80</v>
      </c>
      <c r="C3617" s="32" t="n">
        <f aca="false">Demand_History!D3617</f>
        <v>56</v>
      </c>
      <c r="D3617" s="33" t="n">
        <f aca="false">IF(B3617&gt;=2,C3616,"")</f>
        <v>54</v>
      </c>
      <c r="E3617" s="33" t="n">
        <f aca="false">IF(B3617&gt;=5,AVERAGE(C3613:C3616),"")</f>
        <v>59.5</v>
      </c>
      <c r="F3617" s="33" t="n">
        <f aca="false">IF(B3617&gt;=9,AVERAGE(C3609:C3616),"")</f>
        <v>62.125</v>
      </c>
      <c r="G3617" s="33" t="n">
        <f aca="false">IF(B3617=1,"",IF(B3617=2,C3616,SES_Alpha*C3616+(1-SES_Alpha)*G3616))</f>
        <v>60.6700968880276</v>
      </c>
      <c r="H3617" s="33" t="n">
        <f aca="false">IF(D3617="","",D3617-C3617)</f>
        <v>-2</v>
      </c>
      <c r="I3617" s="33" t="n">
        <f aca="false">IF(E3617="","",E3617-C3617)</f>
        <v>3.5</v>
      </c>
      <c r="J3617" s="33" t="n">
        <f aca="false">IF(F3617="","",F3617-C3617)</f>
        <v>6.125</v>
      </c>
      <c r="K3617" s="33" t="n">
        <f aca="false">IF(G3617="","",G3617-C3617)</f>
        <v>4.67009688802756</v>
      </c>
      <c r="L3617" s="33" t="n">
        <f aca="false">IF(H3617="","",ABS(H3617))</f>
        <v>2</v>
      </c>
      <c r="M3617" s="33" t="n">
        <f aca="false">IF(I3617="","",ABS(I3617))</f>
        <v>3.5</v>
      </c>
      <c r="N3617" s="33" t="n">
        <f aca="false">IF(J3617="","",ABS(J3617))</f>
        <v>6.125</v>
      </c>
      <c r="O3617" s="33" t="n">
        <f aca="false">IF(K3617="","",ABS(K3617))</f>
        <v>4.67009688802756</v>
      </c>
      <c r="P3617" s="34" t="str">
        <f aca="false">IF(B3617&gt;=Eval_Start_Week,"YES","")</f>
        <v>YES</v>
      </c>
      <c r="Q3617" s="34" t="str">
        <f aca="false">IF(AND(B3617&gt;=Cal_Start_Week,B3617&lt;=Cal_End_Week),"YES","")</f>
        <v>YES</v>
      </c>
    </row>
    <row r="3618" customFormat="false" ht="15" hidden="false" customHeight="false" outlineLevel="0" collapsed="false">
      <c r="A3618" s="31" t="str">
        <f aca="false">Demand_History!C3618</f>
        <v>ELE-006</v>
      </c>
      <c r="B3618" s="31" t="n">
        <f aca="false">Demand_History!A3618</f>
        <v>81</v>
      </c>
      <c r="C3618" s="32" t="n">
        <f aca="false">Demand_History!D3618</f>
        <v>57</v>
      </c>
      <c r="D3618" s="33" t="n">
        <f aca="false">IF(B3618&gt;=2,C3617,"")</f>
        <v>56</v>
      </c>
      <c r="E3618" s="33" t="n">
        <f aca="false">IF(B3618&gt;=5,AVERAGE(C3614:C3617),"")</f>
        <v>60</v>
      </c>
      <c r="F3618" s="33" t="n">
        <f aca="false">IF(B3618&gt;=9,AVERAGE(C3610:C3617),"")</f>
        <v>61.25</v>
      </c>
      <c r="G3618" s="33" t="n">
        <f aca="false">IF(B3618=1,"",IF(B3618=2,C3617,SES_Alpha*C3617+(1-SES_Alpha)*G3617))</f>
        <v>59.2690678216193</v>
      </c>
      <c r="H3618" s="33" t="n">
        <f aca="false">IF(D3618="","",D3618-C3618)</f>
        <v>-1</v>
      </c>
      <c r="I3618" s="33" t="n">
        <f aca="false">IF(E3618="","",E3618-C3618)</f>
        <v>3</v>
      </c>
      <c r="J3618" s="33" t="n">
        <f aca="false">IF(F3618="","",F3618-C3618)</f>
        <v>4.25</v>
      </c>
      <c r="K3618" s="33" t="n">
        <f aca="false">IF(G3618="","",G3618-C3618)</f>
        <v>2.26906782161929</v>
      </c>
      <c r="L3618" s="33" t="n">
        <f aca="false">IF(H3618="","",ABS(H3618))</f>
        <v>1</v>
      </c>
      <c r="M3618" s="33" t="n">
        <f aca="false">IF(I3618="","",ABS(I3618))</f>
        <v>3</v>
      </c>
      <c r="N3618" s="33" t="n">
        <f aca="false">IF(J3618="","",ABS(J3618))</f>
        <v>4.25</v>
      </c>
      <c r="O3618" s="33" t="n">
        <f aca="false">IF(K3618="","",ABS(K3618))</f>
        <v>2.26906782161929</v>
      </c>
      <c r="P3618" s="34" t="str">
        <f aca="false">IF(B3618&gt;=Eval_Start_Week,"YES","")</f>
        <v>YES</v>
      </c>
      <c r="Q3618" s="34" t="str">
        <f aca="false">IF(AND(B3618&gt;=Cal_Start_Week,B3618&lt;=Cal_End_Week),"YES","")</f>
        <v>YES</v>
      </c>
    </row>
    <row r="3619" customFormat="false" ht="15" hidden="false" customHeight="false" outlineLevel="0" collapsed="false">
      <c r="A3619" s="31" t="str">
        <f aca="false">Demand_History!C3619</f>
        <v>ELE-006</v>
      </c>
      <c r="B3619" s="31" t="n">
        <f aca="false">Demand_History!A3619</f>
        <v>82</v>
      </c>
      <c r="C3619" s="32" t="n">
        <f aca="false">Demand_History!D3619</f>
        <v>55</v>
      </c>
      <c r="D3619" s="33" t="n">
        <f aca="false">IF(B3619&gt;=2,C3618,"")</f>
        <v>57</v>
      </c>
      <c r="E3619" s="33" t="n">
        <f aca="false">IF(B3619&gt;=5,AVERAGE(C3615:C3618),"")</f>
        <v>58.25</v>
      </c>
      <c r="F3619" s="33" t="n">
        <f aca="false">IF(B3619&gt;=9,AVERAGE(C3611:C3618),"")</f>
        <v>60.75</v>
      </c>
      <c r="G3619" s="33" t="n">
        <f aca="false">IF(B3619=1,"",IF(B3619=2,C3618,SES_Alpha*C3618+(1-SES_Alpha)*G3618))</f>
        <v>58.5883474751335</v>
      </c>
      <c r="H3619" s="33" t="n">
        <f aca="false">IF(D3619="","",D3619-C3619)</f>
        <v>2</v>
      </c>
      <c r="I3619" s="33" t="n">
        <f aca="false">IF(E3619="","",E3619-C3619)</f>
        <v>3.25</v>
      </c>
      <c r="J3619" s="33" t="n">
        <f aca="false">IF(F3619="","",F3619-C3619)</f>
        <v>5.75</v>
      </c>
      <c r="K3619" s="33" t="n">
        <f aca="false">IF(G3619="","",G3619-C3619)</f>
        <v>3.5883474751335</v>
      </c>
      <c r="L3619" s="33" t="n">
        <f aca="false">IF(H3619="","",ABS(H3619))</f>
        <v>2</v>
      </c>
      <c r="M3619" s="33" t="n">
        <f aca="false">IF(I3619="","",ABS(I3619))</f>
        <v>3.25</v>
      </c>
      <c r="N3619" s="33" t="n">
        <f aca="false">IF(J3619="","",ABS(J3619))</f>
        <v>5.75</v>
      </c>
      <c r="O3619" s="33" t="n">
        <f aca="false">IF(K3619="","",ABS(K3619))</f>
        <v>3.5883474751335</v>
      </c>
      <c r="P3619" s="34" t="str">
        <f aca="false">IF(B3619&gt;=Eval_Start_Week,"YES","")</f>
        <v>YES</v>
      </c>
      <c r="Q3619" s="34" t="str">
        <f aca="false">IF(AND(B3619&gt;=Cal_Start_Week,B3619&lt;=Cal_End_Week),"YES","")</f>
        <v>YES</v>
      </c>
    </row>
    <row r="3620" customFormat="false" ht="15" hidden="false" customHeight="false" outlineLevel="0" collapsed="false">
      <c r="A3620" s="31" t="str">
        <f aca="false">Demand_History!C3620</f>
        <v>ELE-006</v>
      </c>
      <c r="B3620" s="31" t="n">
        <f aca="false">Demand_History!A3620</f>
        <v>83</v>
      </c>
      <c r="C3620" s="32" t="n">
        <f aca="false">Demand_History!D3620</f>
        <v>63</v>
      </c>
      <c r="D3620" s="33" t="n">
        <f aca="false">IF(B3620&gt;=2,C3619,"")</f>
        <v>55</v>
      </c>
      <c r="E3620" s="33" t="n">
        <f aca="false">IF(B3620&gt;=5,AVERAGE(C3616:C3619),"")</f>
        <v>55.5</v>
      </c>
      <c r="F3620" s="33" t="n">
        <f aca="false">IF(B3620&gt;=9,AVERAGE(C3612:C3619),"")</f>
        <v>58.75</v>
      </c>
      <c r="G3620" s="33" t="n">
        <f aca="false">IF(B3620=1,"",IF(B3620=2,C3619,SES_Alpha*C3619+(1-SES_Alpha)*G3619))</f>
        <v>57.5118432325935</v>
      </c>
      <c r="H3620" s="33" t="n">
        <f aca="false">IF(D3620="","",D3620-C3620)</f>
        <v>-8</v>
      </c>
      <c r="I3620" s="33" t="n">
        <f aca="false">IF(E3620="","",E3620-C3620)</f>
        <v>-7.5</v>
      </c>
      <c r="J3620" s="33" t="n">
        <f aca="false">IF(F3620="","",F3620-C3620)</f>
        <v>-4.25</v>
      </c>
      <c r="K3620" s="33" t="n">
        <f aca="false">IF(G3620="","",G3620-C3620)</f>
        <v>-5.48815676740655</v>
      </c>
      <c r="L3620" s="33" t="n">
        <f aca="false">IF(H3620="","",ABS(H3620))</f>
        <v>8</v>
      </c>
      <c r="M3620" s="33" t="n">
        <f aca="false">IF(I3620="","",ABS(I3620))</f>
        <v>7.5</v>
      </c>
      <c r="N3620" s="33" t="n">
        <f aca="false">IF(J3620="","",ABS(J3620))</f>
        <v>4.25</v>
      </c>
      <c r="O3620" s="33" t="n">
        <f aca="false">IF(K3620="","",ABS(K3620))</f>
        <v>5.48815676740655</v>
      </c>
      <c r="P3620" s="34" t="str">
        <f aca="false">IF(B3620&gt;=Eval_Start_Week,"YES","")</f>
        <v>YES</v>
      </c>
      <c r="Q3620" s="34" t="str">
        <f aca="false">IF(AND(B3620&gt;=Cal_Start_Week,B3620&lt;=Cal_End_Week),"YES","")</f>
        <v>YES</v>
      </c>
    </row>
    <row r="3621" customFormat="false" ht="15" hidden="false" customHeight="false" outlineLevel="0" collapsed="false">
      <c r="A3621" s="31" t="str">
        <f aca="false">Demand_History!C3621</f>
        <v>ELE-006</v>
      </c>
      <c r="B3621" s="31" t="n">
        <f aca="false">Demand_History!A3621</f>
        <v>84</v>
      </c>
      <c r="C3621" s="32" t="n">
        <f aca="false">Demand_History!D3621</f>
        <v>68</v>
      </c>
      <c r="D3621" s="33" t="n">
        <f aca="false">IF(B3621&gt;=2,C3620,"")</f>
        <v>63</v>
      </c>
      <c r="E3621" s="33" t="n">
        <f aca="false">IF(B3621&gt;=5,AVERAGE(C3617:C3620),"")</f>
        <v>57.75</v>
      </c>
      <c r="F3621" s="33" t="n">
        <f aca="false">IF(B3621&gt;=9,AVERAGE(C3613:C3620),"")</f>
        <v>58.625</v>
      </c>
      <c r="G3621" s="33" t="n">
        <f aca="false">IF(B3621=1,"",IF(B3621=2,C3620,SES_Alpha*C3620+(1-SES_Alpha)*G3620))</f>
        <v>59.1582902628154</v>
      </c>
      <c r="H3621" s="33" t="n">
        <f aca="false">IF(D3621="","",D3621-C3621)</f>
        <v>-5</v>
      </c>
      <c r="I3621" s="33" t="n">
        <f aca="false">IF(E3621="","",E3621-C3621)</f>
        <v>-10.25</v>
      </c>
      <c r="J3621" s="33" t="n">
        <f aca="false">IF(F3621="","",F3621-C3621)</f>
        <v>-9.375</v>
      </c>
      <c r="K3621" s="33" t="n">
        <f aca="false">IF(G3621="","",G3621-C3621)</f>
        <v>-8.84170973718459</v>
      </c>
      <c r="L3621" s="33" t="n">
        <f aca="false">IF(H3621="","",ABS(H3621))</f>
        <v>5</v>
      </c>
      <c r="M3621" s="33" t="n">
        <f aca="false">IF(I3621="","",ABS(I3621))</f>
        <v>10.25</v>
      </c>
      <c r="N3621" s="33" t="n">
        <f aca="false">IF(J3621="","",ABS(J3621))</f>
        <v>9.375</v>
      </c>
      <c r="O3621" s="33" t="n">
        <f aca="false">IF(K3621="","",ABS(K3621))</f>
        <v>8.84170973718459</v>
      </c>
      <c r="P3621" s="34" t="str">
        <f aca="false">IF(B3621&gt;=Eval_Start_Week,"YES","")</f>
        <v>YES</v>
      </c>
      <c r="Q3621" s="34" t="str">
        <f aca="false">IF(AND(B3621&gt;=Cal_Start_Week,B3621&lt;=Cal_End_Week),"YES","")</f>
        <v>YES</v>
      </c>
    </row>
    <row r="3622" customFormat="false" ht="15" hidden="false" customHeight="false" outlineLevel="0" collapsed="false">
      <c r="A3622" s="31" t="str">
        <f aca="false">Demand_History!C3622</f>
        <v>ELE-006</v>
      </c>
      <c r="B3622" s="31" t="n">
        <f aca="false">Demand_History!A3622</f>
        <v>85</v>
      </c>
      <c r="C3622" s="32" t="n">
        <f aca="false">Demand_History!D3622</f>
        <v>75</v>
      </c>
      <c r="D3622" s="33" t="n">
        <f aca="false">IF(B3622&gt;=2,C3621,"")</f>
        <v>68</v>
      </c>
      <c r="E3622" s="33" t="n">
        <f aca="false">IF(B3622&gt;=5,AVERAGE(C3618:C3621),"")</f>
        <v>60.75</v>
      </c>
      <c r="F3622" s="33" t="n">
        <f aca="false">IF(B3622&gt;=9,AVERAGE(C3614:C3621),"")</f>
        <v>60.375</v>
      </c>
      <c r="G3622" s="33" t="n">
        <f aca="false">IF(B3622=1,"",IF(B3622=2,C3621,SES_Alpha*C3621+(1-SES_Alpha)*G3621))</f>
        <v>61.8108031839708</v>
      </c>
      <c r="H3622" s="33" t="n">
        <f aca="false">IF(D3622="","",D3622-C3622)</f>
        <v>-7</v>
      </c>
      <c r="I3622" s="33" t="n">
        <f aca="false">IF(E3622="","",E3622-C3622)</f>
        <v>-14.25</v>
      </c>
      <c r="J3622" s="33" t="n">
        <f aca="false">IF(F3622="","",F3622-C3622)</f>
        <v>-14.625</v>
      </c>
      <c r="K3622" s="33" t="n">
        <f aca="false">IF(G3622="","",G3622-C3622)</f>
        <v>-13.1891968160292</v>
      </c>
      <c r="L3622" s="33" t="n">
        <f aca="false">IF(H3622="","",ABS(H3622))</f>
        <v>7</v>
      </c>
      <c r="M3622" s="33" t="n">
        <f aca="false">IF(I3622="","",ABS(I3622))</f>
        <v>14.25</v>
      </c>
      <c r="N3622" s="33" t="n">
        <f aca="false">IF(J3622="","",ABS(J3622))</f>
        <v>14.625</v>
      </c>
      <c r="O3622" s="33" t="n">
        <f aca="false">IF(K3622="","",ABS(K3622))</f>
        <v>13.1891968160292</v>
      </c>
      <c r="P3622" s="34" t="str">
        <f aca="false">IF(B3622&gt;=Eval_Start_Week,"YES","")</f>
        <v>YES</v>
      </c>
      <c r="Q3622" s="34" t="str">
        <f aca="false">IF(AND(B3622&gt;=Cal_Start_Week,B3622&lt;=Cal_End_Week),"YES","")</f>
        <v>YES</v>
      </c>
    </row>
    <row r="3623" customFormat="false" ht="15" hidden="false" customHeight="false" outlineLevel="0" collapsed="false">
      <c r="A3623" s="31" t="str">
        <f aca="false">Demand_History!C3623</f>
        <v>ELE-006</v>
      </c>
      <c r="B3623" s="31" t="n">
        <f aca="false">Demand_History!A3623</f>
        <v>86</v>
      </c>
      <c r="C3623" s="32" t="n">
        <f aca="false">Demand_History!D3623</f>
        <v>70</v>
      </c>
      <c r="D3623" s="33" t="n">
        <f aca="false">IF(B3623&gt;=2,C3622,"")</f>
        <v>75</v>
      </c>
      <c r="E3623" s="33" t="n">
        <f aca="false">IF(B3623&gt;=5,AVERAGE(C3619:C3622),"")</f>
        <v>65.25</v>
      </c>
      <c r="F3623" s="33" t="n">
        <f aca="false">IF(B3623&gt;=9,AVERAGE(C3615:C3622),"")</f>
        <v>61.75</v>
      </c>
      <c r="G3623" s="33" t="n">
        <f aca="false">IF(B3623=1,"",IF(B3623=2,C3622,SES_Alpha*C3622+(1-SES_Alpha)*G3622))</f>
        <v>65.7675622287796</v>
      </c>
      <c r="H3623" s="33" t="n">
        <f aca="false">IF(D3623="","",D3623-C3623)</f>
        <v>5</v>
      </c>
      <c r="I3623" s="33" t="n">
        <f aca="false">IF(E3623="","",E3623-C3623)</f>
        <v>-4.75</v>
      </c>
      <c r="J3623" s="33" t="n">
        <f aca="false">IF(F3623="","",F3623-C3623)</f>
        <v>-8.25</v>
      </c>
      <c r="K3623" s="33" t="n">
        <f aca="false">IF(G3623="","",G3623-C3623)</f>
        <v>-4.23243777122045</v>
      </c>
      <c r="L3623" s="33" t="n">
        <f aca="false">IF(H3623="","",ABS(H3623))</f>
        <v>5</v>
      </c>
      <c r="M3623" s="33" t="n">
        <f aca="false">IF(I3623="","",ABS(I3623))</f>
        <v>4.75</v>
      </c>
      <c r="N3623" s="33" t="n">
        <f aca="false">IF(J3623="","",ABS(J3623))</f>
        <v>8.25</v>
      </c>
      <c r="O3623" s="33" t="n">
        <f aca="false">IF(K3623="","",ABS(K3623))</f>
        <v>4.23243777122045</v>
      </c>
      <c r="P3623" s="34" t="str">
        <f aca="false">IF(B3623&gt;=Eval_Start_Week,"YES","")</f>
        <v>YES</v>
      </c>
      <c r="Q3623" s="34" t="str">
        <f aca="false">IF(AND(B3623&gt;=Cal_Start_Week,B3623&lt;=Cal_End_Week),"YES","")</f>
        <v>YES</v>
      </c>
    </row>
    <row r="3624" customFormat="false" ht="15" hidden="false" customHeight="false" outlineLevel="0" collapsed="false">
      <c r="A3624" s="31" t="str">
        <f aca="false">Demand_History!C3624</f>
        <v>ELE-006</v>
      </c>
      <c r="B3624" s="31" t="n">
        <f aca="false">Demand_History!A3624</f>
        <v>87</v>
      </c>
      <c r="C3624" s="32" t="n">
        <f aca="false">Demand_History!D3624</f>
        <v>68</v>
      </c>
      <c r="D3624" s="33" t="n">
        <f aca="false">IF(B3624&gt;=2,C3623,"")</f>
        <v>70</v>
      </c>
      <c r="E3624" s="33" t="n">
        <f aca="false">IF(B3624&gt;=5,AVERAGE(C3620:C3623),"")</f>
        <v>69</v>
      </c>
      <c r="F3624" s="33" t="n">
        <f aca="false">IF(B3624&gt;=9,AVERAGE(C3616:C3623),"")</f>
        <v>62.25</v>
      </c>
      <c r="G3624" s="33" t="n">
        <f aca="false">IF(B3624=1,"",IF(B3624=2,C3623,SES_Alpha*C3623+(1-SES_Alpha)*G3623))</f>
        <v>67.0372935601457</v>
      </c>
      <c r="H3624" s="33" t="n">
        <f aca="false">IF(D3624="","",D3624-C3624)</f>
        <v>2</v>
      </c>
      <c r="I3624" s="33" t="n">
        <f aca="false">IF(E3624="","",E3624-C3624)</f>
        <v>1</v>
      </c>
      <c r="J3624" s="33" t="n">
        <f aca="false">IF(F3624="","",F3624-C3624)</f>
        <v>-5.75</v>
      </c>
      <c r="K3624" s="33" t="n">
        <f aca="false">IF(G3624="","",G3624-C3624)</f>
        <v>-0.962706439854316</v>
      </c>
      <c r="L3624" s="33" t="n">
        <f aca="false">IF(H3624="","",ABS(H3624))</f>
        <v>2</v>
      </c>
      <c r="M3624" s="33" t="n">
        <f aca="false">IF(I3624="","",ABS(I3624))</f>
        <v>1</v>
      </c>
      <c r="N3624" s="33" t="n">
        <f aca="false">IF(J3624="","",ABS(J3624))</f>
        <v>5.75</v>
      </c>
      <c r="O3624" s="33" t="n">
        <f aca="false">IF(K3624="","",ABS(K3624))</f>
        <v>0.962706439854316</v>
      </c>
      <c r="P3624" s="34" t="str">
        <f aca="false">IF(B3624&gt;=Eval_Start_Week,"YES","")</f>
        <v>YES</v>
      </c>
      <c r="Q3624" s="34" t="str">
        <f aca="false">IF(AND(B3624&gt;=Cal_Start_Week,B3624&lt;=Cal_End_Week),"YES","")</f>
        <v>YES</v>
      </c>
    </row>
    <row r="3625" customFormat="false" ht="15" hidden="false" customHeight="false" outlineLevel="0" collapsed="false">
      <c r="A3625" s="31" t="str">
        <f aca="false">Demand_History!C3625</f>
        <v>ELE-006</v>
      </c>
      <c r="B3625" s="31" t="n">
        <f aca="false">Demand_History!A3625</f>
        <v>88</v>
      </c>
      <c r="C3625" s="32" t="n">
        <f aca="false">Demand_History!D3625</f>
        <v>69</v>
      </c>
      <c r="D3625" s="33" t="n">
        <f aca="false">IF(B3625&gt;=2,C3624,"")</f>
        <v>68</v>
      </c>
      <c r="E3625" s="33" t="n">
        <f aca="false">IF(B3625&gt;=5,AVERAGE(C3621:C3624),"")</f>
        <v>70.25</v>
      </c>
      <c r="F3625" s="33" t="n">
        <f aca="false">IF(B3625&gt;=9,AVERAGE(C3617:C3624),"")</f>
        <v>64</v>
      </c>
      <c r="G3625" s="33" t="n">
        <f aca="false">IF(B3625=1,"",IF(B3625=2,C3624,SES_Alpha*C3624+(1-SES_Alpha)*G3624))</f>
        <v>67.326105492102</v>
      </c>
      <c r="H3625" s="33" t="n">
        <f aca="false">IF(D3625="","",D3625-C3625)</f>
        <v>-1</v>
      </c>
      <c r="I3625" s="33" t="n">
        <f aca="false">IF(E3625="","",E3625-C3625)</f>
        <v>1.25</v>
      </c>
      <c r="J3625" s="33" t="n">
        <f aca="false">IF(F3625="","",F3625-C3625)</f>
        <v>-5</v>
      </c>
      <c r="K3625" s="33" t="n">
        <f aca="false">IF(G3625="","",G3625-C3625)</f>
        <v>-1.67389450789803</v>
      </c>
      <c r="L3625" s="33" t="n">
        <f aca="false">IF(H3625="","",ABS(H3625))</f>
        <v>1</v>
      </c>
      <c r="M3625" s="33" t="n">
        <f aca="false">IF(I3625="","",ABS(I3625))</f>
        <v>1.25</v>
      </c>
      <c r="N3625" s="33" t="n">
        <f aca="false">IF(J3625="","",ABS(J3625))</f>
        <v>5</v>
      </c>
      <c r="O3625" s="33" t="n">
        <f aca="false">IF(K3625="","",ABS(K3625))</f>
        <v>1.67389450789803</v>
      </c>
      <c r="P3625" s="34" t="str">
        <f aca="false">IF(B3625&gt;=Eval_Start_Week,"YES","")</f>
        <v>YES</v>
      </c>
      <c r="Q3625" s="34" t="str">
        <f aca="false">IF(AND(B3625&gt;=Cal_Start_Week,B3625&lt;=Cal_End_Week),"YES","")</f>
        <v>YES</v>
      </c>
    </row>
    <row r="3626" customFormat="false" ht="15" hidden="false" customHeight="false" outlineLevel="0" collapsed="false">
      <c r="A3626" s="31" t="str">
        <f aca="false">Demand_History!C3626</f>
        <v>ELE-006</v>
      </c>
      <c r="B3626" s="31" t="n">
        <f aca="false">Demand_History!A3626</f>
        <v>89</v>
      </c>
      <c r="C3626" s="32" t="n">
        <f aca="false">Demand_History!D3626</f>
        <v>71</v>
      </c>
      <c r="D3626" s="33" t="n">
        <f aca="false">IF(B3626&gt;=2,C3625,"")</f>
        <v>69</v>
      </c>
      <c r="E3626" s="33" t="n">
        <f aca="false">IF(B3626&gt;=5,AVERAGE(C3622:C3625),"")</f>
        <v>70.5</v>
      </c>
      <c r="F3626" s="33" t="n">
        <f aca="false">IF(B3626&gt;=9,AVERAGE(C3618:C3625),"")</f>
        <v>65.625</v>
      </c>
      <c r="G3626" s="33" t="n">
        <f aca="false">IF(B3626=1,"",IF(B3626=2,C3625,SES_Alpha*C3625+(1-SES_Alpha)*G3625))</f>
        <v>67.8282738444714</v>
      </c>
      <c r="H3626" s="33" t="n">
        <f aca="false">IF(D3626="","",D3626-C3626)</f>
        <v>-2</v>
      </c>
      <c r="I3626" s="33" t="n">
        <f aca="false">IF(E3626="","",E3626-C3626)</f>
        <v>-0.5</v>
      </c>
      <c r="J3626" s="33" t="n">
        <f aca="false">IF(F3626="","",F3626-C3626)</f>
        <v>-5.375</v>
      </c>
      <c r="K3626" s="33" t="n">
        <f aca="false">IF(G3626="","",G3626-C3626)</f>
        <v>-3.17172615552862</v>
      </c>
      <c r="L3626" s="33" t="n">
        <f aca="false">IF(H3626="","",ABS(H3626))</f>
        <v>2</v>
      </c>
      <c r="M3626" s="33" t="n">
        <f aca="false">IF(I3626="","",ABS(I3626))</f>
        <v>0.5</v>
      </c>
      <c r="N3626" s="33" t="n">
        <f aca="false">IF(J3626="","",ABS(J3626))</f>
        <v>5.375</v>
      </c>
      <c r="O3626" s="33" t="n">
        <f aca="false">IF(K3626="","",ABS(K3626))</f>
        <v>3.17172615552862</v>
      </c>
      <c r="P3626" s="34" t="str">
        <f aca="false">IF(B3626&gt;=Eval_Start_Week,"YES","")</f>
        <v>YES</v>
      </c>
      <c r="Q3626" s="34" t="str">
        <f aca="false">IF(AND(B3626&gt;=Cal_Start_Week,B3626&lt;=Cal_End_Week),"YES","")</f>
        <v/>
      </c>
    </row>
    <row r="3627" customFormat="false" ht="15" hidden="false" customHeight="false" outlineLevel="0" collapsed="false">
      <c r="A3627" s="31" t="str">
        <f aca="false">Demand_History!C3627</f>
        <v>ELE-006</v>
      </c>
      <c r="B3627" s="31" t="n">
        <f aca="false">Demand_History!A3627</f>
        <v>90</v>
      </c>
      <c r="C3627" s="32" t="n">
        <f aca="false">Demand_History!D3627</f>
        <v>57</v>
      </c>
      <c r="D3627" s="33" t="n">
        <f aca="false">IF(B3627&gt;=2,C3626,"")</f>
        <v>71</v>
      </c>
      <c r="E3627" s="33" t="n">
        <f aca="false">IF(B3627&gt;=5,AVERAGE(C3623:C3626),"")</f>
        <v>69.5</v>
      </c>
      <c r="F3627" s="33" t="n">
        <f aca="false">IF(B3627&gt;=9,AVERAGE(C3619:C3626),"")</f>
        <v>67.375</v>
      </c>
      <c r="G3627" s="33" t="n">
        <f aca="false">IF(B3627=1,"",IF(B3627=2,C3626,SES_Alpha*C3626+(1-SES_Alpha)*G3626))</f>
        <v>68.77979169113</v>
      </c>
      <c r="H3627" s="33" t="n">
        <f aca="false">IF(D3627="","",D3627-C3627)</f>
        <v>14</v>
      </c>
      <c r="I3627" s="33" t="n">
        <f aca="false">IF(E3627="","",E3627-C3627)</f>
        <v>12.5</v>
      </c>
      <c r="J3627" s="33" t="n">
        <f aca="false">IF(F3627="","",F3627-C3627)</f>
        <v>10.375</v>
      </c>
      <c r="K3627" s="33" t="n">
        <f aca="false">IF(G3627="","",G3627-C3627)</f>
        <v>11.77979169113</v>
      </c>
      <c r="L3627" s="33" t="n">
        <f aca="false">IF(H3627="","",ABS(H3627))</f>
        <v>14</v>
      </c>
      <c r="M3627" s="33" t="n">
        <f aca="false">IF(I3627="","",ABS(I3627))</f>
        <v>12.5</v>
      </c>
      <c r="N3627" s="33" t="n">
        <f aca="false">IF(J3627="","",ABS(J3627))</f>
        <v>10.375</v>
      </c>
      <c r="O3627" s="33" t="n">
        <f aca="false">IF(K3627="","",ABS(K3627))</f>
        <v>11.77979169113</v>
      </c>
      <c r="P3627" s="34" t="str">
        <f aca="false">IF(B3627&gt;=Eval_Start_Week,"YES","")</f>
        <v>YES</v>
      </c>
      <c r="Q3627" s="34" t="str">
        <f aca="false">IF(AND(B3627&gt;=Cal_Start_Week,B3627&lt;=Cal_End_Week),"YES","")</f>
        <v/>
      </c>
    </row>
    <row r="3628" customFormat="false" ht="15" hidden="false" customHeight="false" outlineLevel="0" collapsed="false">
      <c r="A3628" s="31" t="str">
        <f aca="false">Demand_History!C3628</f>
        <v>ELE-006</v>
      </c>
      <c r="B3628" s="31" t="n">
        <f aca="false">Demand_History!A3628</f>
        <v>91</v>
      </c>
      <c r="C3628" s="32" t="n">
        <f aca="false">Demand_History!D3628</f>
        <v>66</v>
      </c>
      <c r="D3628" s="33" t="n">
        <f aca="false">IF(B3628&gt;=2,C3627,"")</f>
        <v>57</v>
      </c>
      <c r="E3628" s="33" t="n">
        <f aca="false">IF(B3628&gt;=5,AVERAGE(C3624:C3627),"")</f>
        <v>66.25</v>
      </c>
      <c r="F3628" s="33" t="n">
        <f aca="false">IF(B3628&gt;=9,AVERAGE(C3620:C3627),"")</f>
        <v>67.625</v>
      </c>
      <c r="G3628" s="33" t="n">
        <f aca="false">IF(B3628=1,"",IF(B3628=2,C3627,SES_Alpha*C3627+(1-SES_Alpha)*G3627))</f>
        <v>65.245854183791</v>
      </c>
      <c r="H3628" s="33" t="n">
        <f aca="false">IF(D3628="","",D3628-C3628)</f>
        <v>-9</v>
      </c>
      <c r="I3628" s="33" t="n">
        <f aca="false">IF(E3628="","",E3628-C3628)</f>
        <v>0.25</v>
      </c>
      <c r="J3628" s="33" t="n">
        <f aca="false">IF(F3628="","",F3628-C3628)</f>
        <v>1.625</v>
      </c>
      <c r="K3628" s="33" t="n">
        <f aca="false">IF(G3628="","",G3628-C3628)</f>
        <v>-0.754145816209018</v>
      </c>
      <c r="L3628" s="33" t="n">
        <f aca="false">IF(H3628="","",ABS(H3628))</f>
        <v>9</v>
      </c>
      <c r="M3628" s="33" t="n">
        <f aca="false">IF(I3628="","",ABS(I3628))</f>
        <v>0.25</v>
      </c>
      <c r="N3628" s="33" t="n">
        <f aca="false">IF(J3628="","",ABS(J3628))</f>
        <v>1.625</v>
      </c>
      <c r="O3628" s="33" t="n">
        <f aca="false">IF(K3628="","",ABS(K3628))</f>
        <v>0.754145816209018</v>
      </c>
      <c r="P3628" s="34" t="str">
        <f aca="false">IF(B3628&gt;=Eval_Start_Week,"YES","")</f>
        <v>YES</v>
      </c>
      <c r="Q3628" s="34" t="str">
        <f aca="false">IF(AND(B3628&gt;=Cal_Start_Week,B3628&lt;=Cal_End_Week),"YES","")</f>
        <v/>
      </c>
    </row>
    <row r="3629" customFormat="false" ht="15" hidden="false" customHeight="false" outlineLevel="0" collapsed="false">
      <c r="A3629" s="31" t="str">
        <f aca="false">Demand_History!C3629</f>
        <v>ELE-006</v>
      </c>
      <c r="B3629" s="31" t="n">
        <f aca="false">Demand_History!A3629</f>
        <v>92</v>
      </c>
      <c r="C3629" s="32" t="n">
        <f aca="false">Demand_History!D3629</f>
        <v>63</v>
      </c>
      <c r="D3629" s="33" t="n">
        <f aca="false">IF(B3629&gt;=2,C3628,"")</f>
        <v>66</v>
      </c>
      <c r="E3629" s="33" t="n">
        <f aca="false">IF(B3629&gt;=5,AVERAGE(C3625:C3628),"")</f>
        <v>65.75</v>
      </c>
      <c r="F3629" s="33" t="n">
        <f aca="false">IF(B3629&gt;=9,AVERAGE(C3621:C3628),"")</f>
        <v>68</v>
      </c>
      <c r="G3629" s="33" t="n">
        <f aca="false">IF(B3629=1,"",IF(B3629=2,C3628,SES_Alpha*C3628+(1-SES_Alpha)*G3628))</f>
        <v>65.4720979286537</v>
      </c>
      <c r="H3629" s="33" t="n">
        <f aca="false">IF(D3629="","",D3629-C3629)</f>
        <v>3</v>
      </c>
      <c r="I3629" s="33" t="n">
        <f aca="false">IF(E3629="","",E3629-C3629)</f>
        <v>2.75</v>
      </c>
      <c r="J3629" s="33" t="n">
        <f aca="false">IF(F3629="","",F3629-C3629)</f>
        <v>5</v>
      </c>
      <c r="K3629" s="33" t="n">
        <f aca="false">IF(G3629="","",G3629-C3629)</f>
        <v>2.47209792865368</v>
      </c>
      <c r="L3629" s="33" t="n">
        <f aca="false">IF(H3629="","",ABS(H3629))</f>
        <v>3</v>
      </c>
      <c r="M3629" s="33" t="n">
        <f aca="false">IF(I3629="","",ABS(I3629))</f>
        <v>2.75</v>
      </c>
      <c r="N3629" s="33" t="n">
        <f aca="false">IF(J3629="","",ABS(J3629))</f>
        <v>5</v>
      </c>
      <c r="O3629" s="33" t="n">
        <f aca="false">IF(K3629="","",ABS(K3629))</f>
        <v>2.47209792865368</v>
      </c>
      <c r="P3629" s="34" t="str">
        <f aca="false">IF(B3629&gt;=Eval_Start_Week,"YES","")</f>
        <v>YES</v>
      </c>
      <c r="Q3629" s="34" t="str">
        <f aca="false">IF(AND(B3629&gt;=Cal_Start_Week,B3629&lt;=Cal_End_Week),"YES","")</f>
        <v/>
      </c>
    </row>
    <row r="3630" customFormat="false" ht="15" hidden="false" customHeight="false" outlineLevel="0" collapsed="false">
      <c r="A3630" s="31" t="str">
        <f aca="false">Demand_History!C3630</f>
        <v>ELE-006</v>
      </c>
      <c r="B3630" s="31" t="n">
        <f aca="false">Demand_History!A3630</f>
        <v>93</v>
      </c>
      <c r="C3630" s="32" t="n">
        <f aca="false">Demand_History!D3630</f>
        <v>59</v>
      </c>
      <c r="D3630" s="33" t="n">
        <f aca="false">IF(B3630&gt;=2,C3629,"")</f>
        <v>63</v>
      </c>
      <c r="E3630" s="33" t="n">
        <f aca="false">IF(B3630&gt;=5,AVERAGE(C3626:C3629),"")</f>
        <v>64.25</v>
      </c>
      <c r="F3630" s="33" t="n">
        <f aca="false">IF(B3630&gt;=9,AVERAGE(C3622:C3629),"")</f>
        <v>67.375</v>
      </c>
      <c r="G3630" s="33" t="n">
        <f aca="false">IF(B3630=1,"",IF(B3630=2,C3629,SES_Alpha*C3629+(1-SES_Alpha)*G3629))</f>
        <v>64.7304685500576</v>
      </c>
      <c r="H3630" s="33" t="n">
        <f aca="false">IF(D3630="","",D3630-C3630)</f>
        <v>4</v>
      </c>
      <c r="I3630" s="33" t="n">
        <f aca="false">IF(E3630="","",E3630-C3630)</f>
        <v>5.25</v>
      </c>
      <c r="J3630" s="33" t="n">
        <f aca="false">IF(F3630="","",F3630-C3630)</f>
        <v>8.375</v>
      </c>
      <c r="K3630" s="33" t="n">
        <f aca="false">IF(G3630="","",G3630-C3630)</f>
        <v>5.73046855005757</v>
      </c>
      <c r="L3630" s="33" t="n">
        <f aca="false">IF(H3630="","",ABS(H3630))</f>
        <v>4</v>
      </c>
      <c r="M3630" s="33" t="n">
        <f aca="false">IF(I3630="","",ABS(I3630))</f>
        <v>5.25</v>
      </c>
      <c r="N3630" s="33" t="n">
        <f aca="false">IF(J3630="","",ABS(J3630))</f>
        <v>8.375</v>
      </c>
      <c r="O3630" s="33" t="n">
        <f aca="false">IF(K3630="","",ABS(K3630))</f>
        <v>5.73046855005757</v>
      </c>
      <c r="P3630" s="34" t="str">
        <f aca="false">IF(B3630&gt;=Eval_Start_Week,"YES","")</f>
        <v>YES</v>
      </c>
      <c r="Q3630" s="34" t="str">
        <f aca="false">IF(AND(B3630&gt;=Cal_Start_Week,B3630&lt;=Cal_End_Week),"YES","")</f>
        <v/>
      </c>
    </row>
    <row r="3631" customFormat="false" ht="15" hidden="false" customHeight="false" outlineLevel="0" collapsed="false">
      <c r="A3631" s="31" t="str">
        <f aca="false">Demand_History!C3631</f>
        <v>ELE-006</v>
      </c>
      <c r="B3631" s="31" t="n">
        <f aca="false">Demand_History!A3631</f>
        <v>94</v>
      </c>
      <c r="C3631" s="32" t="n">
        <f aca="false">Demand_History!D3631</f>
        <v>56</v>
      </c>
      <c r="D3631" s="33" t="n">
        <f aca="false">IF(B3631&gt;=2,C3630,"")</f>
        <v>59</v>
      </c>
      <c r="E3631" s="33" t="n">
        <f aca="false">IF(B3631&gt;=5,AVERAGE(C3627:C3630),"")</f>
        <v>61.25</v>
      </c>
      <c r="F3631" s="33" t="n">
        <f aca="false">IF(B3631&gt;=9,AVERAGE(C3623:C3630),"")</f>
        <v>65.375</v>
      </c>
      <c r="G3631" s="33" t="n">
        <f aca="false">IF(B3631=1,"",IF(B3631=2,C3630,SES_Alpha*C3630+(1-SES_Alpha)*G3630))</f>
        <v>63.0113279850403</v>
      </c>
      <c r="H3631" s="33" t="n">
        <f aca="false">IF(D3631="","",D3631-C3631)</f>
        <v>3</v>
      </c>
      <c r="I3631" s="33" t="n">
        <f aca="false">IF(E3631="","",E3631-C3631)</f>
        <v>5.25</v>
      </c>
      <c r="J3631" s="33" t="n">
        <f aca="false">IF(F3631="","",F3631-C3631)</f>
        <v>9.375</v>
      </c>
      <c r="K3631" s="33" t="n">
        <f aca="false">IF(G3631="","",G3631-C3631)</f>
        <v>7.0113279850403</v>
      </c>
      <c r="L3631" s="33" t="n">
        <f aca="false">IF(H3631="","",ABS(H3631))</f>
        <v>3</v>
      </c>
      <c r="M3631" s="33" t="n">
        <f aca="false">IF(I3631="","",ABS(I3631))</f>
        <v>5.25</v>
      </c>
      <c r="N3631" s="33" t="n">
        <f aca="false">IF(J3631="","",ABS(J3631))</f>
        <v>9.375</v>
      </c>
      <c r="O3631" s="33" t="n">
        <f aca="false">IF(K3631="","",ABS(K3631))</f>
        <v>7.0113279850403</v>
      </c>
      <c r="P3631" s="34" t="str">
        <f aca="false">IF(B3631&gt;=Eval_Start_Week,"YES","")</f>
        <v>YES</v>
      </c>
      <c r="Q3631" s="34" t="str">
        <f aca="false">IF(AND(B3631&gt;=Cal_Start_Week,B3631&lt;=Cal_End_Week),"YES","")</f>
        <v/>
      </c>
    </row>
    <row r="3632" customFormat="false" ht="15" hidden="false" customHeight="false" outlineLevel="0" collapsed="false">
      <c r="A3632" s="31" t="str">
        <f aca="false">Demand_History!C3632</f>
        <v>ELE-006</v>
      </c>
      <c r="B3632" s="31" t="n">
        <f aca="false">Demand_History!A3632</f>
        <v>95</v>
      </c>
      <c r="C3632" s="32" t="n">
        <f aca="false">Demand_History!D3632</f>
        <v>56</v>
      </c>
      <c r="D3632" s="33" t="n">
        <f aca="false">IF(B3632&gt;=2,C3631,"")</f>
        <v>56</v>
      </c>
      <c r="E3632" s="33" t="n">
        <f aca="false">IF(B3632&gt;=5,AVERAGE(C3628:C3631),"")</f>
        <v>61</v>
      </c>
      <c r="F3632" s="33" t="n">
        <f aca="false">IF(B3632&gt;=9,AVERAGE(C3624:C3631),"")</f>
        <v>63.625</v>
      </c>
      <c r="G3632" s="33" t="n">
        <f aca="false">IF(B3632=1,"",IF(B3632=2,C3631,SES_Alpha*C3631+(1-SES_Alpha)*G3631))</f>
        <v>60.9079295895282</v>
      </c>
      <c r="H3632" s="33" t="n">
        <f aca="false">IF(D3632="","",D3632-C3632)</f>
        <v>0</v>
      </c>
      <c r="I3632" s="33" t="n">
        <f aca="false">IF(E3632="","",E3632-C3632)</f>
        <v>5</v>
      </c>
      <c r="J3632" s="33" t="n">
        <f aca="false">IF(F3632="","",F3632-C3632)</f>
        <v>7.625</v>
      </c>
      <c r="K3632" s="33" t="n">
        <f aca="false">IF(G3632="","",G3632-C3632)</f>
        <v>4.90792958952821</v>
      </c>
      <c r="L3632" s="33" t="n">
        <f aca="false">IF(H3632="","",ABS(H3632))</f>
        <v>0</v>
      </c>
      <c r="M3632" s="33" t="n">
        <f aca="false">IF(I3632="","",ABS(I3632))</f>
        <v>5</v>
      </c>
      <c r="N3632" s="33" t="n">
        <f aca="false">IF(J3632="","",ABS(J3632))</f>
        <v>7.625</v>
      </c>
      <c r="O3632" s="33" t="n">
        <f aca="false">IF(K3632="","",ABS(K3632))</f>
        <v>4.90792958952821</v>
      </c>
      <c r="P3632" s="34" t="str">
        <f aca="false">IF(B3632&gt;=Eval_Start_Week,"YES","")</f>
        <v>YES</v>
      </c>
      <c r="Q3632" s="34" t="str">
        <f aca="false">IF(AND(B3632&gt;=Cal_Start_Week,B3632&lt;=Cal_End_Week),"YES","")</f>
        <v/>
      </c>
    </row>
    <row r="3633" customFormat="false" ht="15" hidden="false" customHeight="false" outlineLevel="0" collapsed="false">
      <c r="A3633" s="31" t="str">
        <f aca="false">Demand_History!C3633</f>
        <v>ELE-006</v>
      </c>
      <c r="B3633" s="31" t="n">
        <f aca="false">Demand_History!A3633</f>
        <v>96</v>
      </c>
      <c r="C3633" s="32" t="n">
        <f aca="false">Demand_History!D3633</f>
        <v>58</v>
      </c>
      <c r="D3633" s="33" t="n">
        <f aca="false">IF(B3633&gt;=2,C3632,"")</f>
        <v>56</v>
      </c>
      <c r="E3633" s="33" t="n">
        <f aca="false">IF(B3633&gt;=5,AVERAGE(C3629:C3632),"")</f>
        <v>58.5</v>
      </c>
      <c r="F3633" s="33" t="n">
        <f aca="false">IF(B3633&gt;=9,AVERAGE(C3625:C3632),"")</f>
        <v>62.125</v>
      </c>
      <c r="G3633" s="33" t="n">
        <f aca="false">IF(B3633=1,"",IF(B3633=2,C3632,SES_Alpha*C3632+(1-SES_Alpha)*G3632))</f>
        <v>59.4355507126697</v>
      </c>
      <c r="H3633" s="33" t="n">
        <f aca="false">IF(D3633="","",D3633-C3633)</f>
        <v>-2</v>
      </c>
      <c r="I3633" s="33" t="n">
        <f aca="false">IF(E3633="","",E3633-C3633)</f>
        <v>0.5</v>
      </c>
      <c r="J3633" s="33" t="n">
        <f aca="false">IF(F3633="","",F3633-C3633)</f>
        <v>4.125</v>
      </c>
      <c r="K3633" s="33" t="n">
        <f aca="false">IF(G3633="","",G3633-C3633)</f>
        <v>1.43555071266974</v>
      </c>
      <c r="L3633" s="33" t="n">
        <f aca="false">IF(H3633="","",ABS(H3633))</f>
        <v>2</v>
      </c>
      <c r="M3633" s="33" t="n">
        <f aca="false">IF(I3633="","",ABS(I3633))</f>
        <v>0.5</v>
      </c>
      <c r="N3633" s="33" t="n">
        <f aca="false">IF(J3633="","",ABS(J3633))</f>
        <v>4.125</v>
      </c>
      <c r="O3633" s="33" t="n">
        <f aca="false">IF(K3633="","",ABS(K3633))</f>
        <v>1.43555071266974</v>
      </c>
      <c r="P3633" s="34" t="str">
        <f aca="false">IF(B3633&gt;=Eval_Start_Week,"YES","")</f>
        <v>YES</v>
      </c>
      <c r="Q3633" s="34" t="str">
        <f aca="false">IF(AND(B3633&gt;=Cal_Start_Week,B3633&lt;=Cal_End_Week),"YES","")</f>
        <v/>
      </c>
    </row>
    <row r="3634" customFormat="false" ht="15" hidden="false" customHeight="false" outlineLevel="0" collapsed="false">
      <c r="A3634" s="31" t="str">
        <f aca="false">Demand_History!C3634</f>
        <v>ELE-006</v>
      </c>
      <c r="B3634" s="31" t="n">
        <f aca="false">Demand_History!A3634</f>
        <v>97</v>
      </c>
      <c r="C3634" s="32" t="n">
        <f aca="false">Demand_History!D3634</f>
        <v>50</v>
      </c>
      <c r="D3634" s="33" t="n">
        <f aca="false">IF(B3634&gt;=2,C3633,"")</f>
        <v>58</v>
      </c>
      <c r="E3634" s="33" t="n">
        <f aca="false">IF(B3634&gt;=5,AVERAGE(C3630:C3633),"")</f>
        <v>57.25</v>
      </c>
      <c r="F3634" s="33" t="n">
        <f aca="false">IF(B3634&gt;=9,AVERAGE(C3626:C3633),"")</f>
        <v>60.75</v>
      </c>
      <c r="G3634" s="33" t="n">
        <f aca="false">IF(B3634=1,"",IF(B3634=2,C3633,SES_Alpha*C3633+(1-SES_Alpha)*G3633))</f>
        <v>59.0048854988688</v>
      </c>
      <c r="H3634" s="33" t="n">
        <f aca="false">IF(D3634="","",D3634-C3634)</f>
        <v>8</v>
      </c>
      <c r="I3634" s="33" t="n">
        <f aca="false">IF(E3634="","",E3634-C3634)</f>
        <v>7.25</v>
      </c>
      <c r="J3634" s="33" t="n">
        <f aca="false">IF(F3634="","",F3634-C3634)</f>
        <v>10.75</v>
      </c>
      <c r="K3634" s="33" t="n">
        <f aca="false">IF(G3634="","",G3634-C3634)</f>
        <v>9.00488549886881</v>
      </c>
      <c r="L3634" s="33" t="n">
        <f aca="false">IF(H3634="","",ABS(H3634))</f>
        <v>8</v>
      </c>
      <c r="M3634" s="33" t="n">
        <f aca="false">IF(I3634="","",ABS(I3634))</f>
        <v>7.25</v>
      </c>
      <c r="N3634" s="33" t="n">
        <f aca="false">IF(J3634="","",ABS(J3634))</f>
        <v>10.75</v>
      </c>
      <c r="O3634" s="33" t="n">
        <f aca="false">IF(K3634="","",ABS(K3634))</f>
        <v>9.00488549886881</v>
      </c>
      <c r="P3634" s="34" t="str">
        <f aca="false">IF(B3634&gt;=Eval_Start_Week,"YES","")</f>
        <v>YES</v>
      </c>
      <c r="Q3634" s="34" t="str">
        <f aca="false">IF(AND(B3634&gt;=Cal_Start_Week,B3634&lt;=Cal_End_Week),"YES","")</f>
        <v/>
      </c>
    </row>
    <row r="3635" customFormat="false" ht="15" hidden="false" customHeight="false" outlineLevel="0" collapsed="false">
      <c r="A3635" s="31" t="str">
        <f aca="false">Demand_History!C3635</f>
        <v>ELE-006</v>
      </c>
      <c r="B3635" s="31" t="n">
        <f aca="false">Demand_History!A3635</f>
        <v>98</v>
      </c>
      <c r="C3635" s="32" t="n">
        <f aca="false">Demand_History!D3635</f>
        <v>64</v>
      </c>
      <c r="D3635" s="33" t="n">
        <f aca="false">IF(B3635&gt;=2,C3634,"")</f>
        <v>50</v>
      </c>
      <c r="E3635" s="33" t="n">
        <f aca="false">IF(B3635&gt;=5,AVERAGE(C3631:C3634),"")</f>
        <v>55</v>
      </c>
      <c r="F3635" s="33" t="n">
        <f aca="false">IF(B3635&gt;=9,AVERAGE(C3627:C3634),"")</f>
        <v>58.125</v>
      </c>
      <c r="G3635" s="33" t="n">
        <f aca="false">IF(B3635=1,"",IF(B3635=2,C3634,SES_Alpha*C3634+(1-SES_Alpha)*G3634))</f>
        <v>56.3034198492082</v>
      </c>
      <c r="H3635" s="33" t="n">
        <f aca="false">IF(D3635="","",D3635-C3635)</f>
        <v>-14</v>
      </c>
      <c r="I3635" s="33" t="n">
        <f aca="false">IF(E3635="","",E3635-C3635)</f>
        <v>-9</v>
      </c>
      <c r="J3635" s="33" t="n">
        <f aca="false">IF(F3635="","",F3635-C3635)</f>
        <v>-5.875</v>
      </c>
      <c r="K3635" s="33" t="n">
        <f aca="false">IF(G3635="","",G3635-C3635)</f>
        <v>-7.69658015079184</v>
      </c>
      <c r="L3635" s="33" t="n">
        <f aca="false">IF(H3635="","",ABS(H3635))</f>
        <v>14</v>
      </c>
      <c r="M3635" s="33" t="n">
        <f aca="false">IF(I3635="","",ABS(I3635))</f>
        <v>9</v>
      </c>
      <c r="N3635" s="33" t="n">
        <f aca="false">IF(J3635="","",ABS(J3635))</f>
        <v>5.875</v>
      </c>
      <c r="O3635" s="33" t="n">
        <f aca="false">IF(K3635="","",ABS(K3635))</f>
        <v>7.69658015079184</v>
      </c>
      <c r="P3635" s="34" t="str">
        <f aca="false">IF(B3635&gt;=Eval_Start_Week,"YES","")</f>
        <v>YES</v>
      </c>
      <c r="Q3635" s="34" t="str">
        <f aca="false">IF(AND(B3635&gt;=Cal_Start_Week,B3635&lt;=Cal_End_Week),"YES","")</f>
        <v/>
      </c>
    </row>
    <row r="3636" customFormat="false" ht="15" hidden="false" customHeight="false" outlineLevel="0" collapsed="false">
      <c r="A3636" s="31" t="str">
        <f aca="false">Demand_History!C3636</f>
        <v>ELE-006</v>
      </c>
      <c r="B3636" s="31" t="n">
        <f aca="false">Demand_History!A3636</f>
        <v>99</v>
      </c>
      <c r="C3636" s="32" t="n">
        <f aca="false">Demand_History!D3636</f>
        <v>60</v>
      </c>
      <c r="D3636" s="33" t="n">
        <f aca="false">IF(B3636&gt;=2,C3635,"")</f>
        <v>64</v>
      </c>
      <c r="E3636" s="33" t="n">
        <f aca="false">IF(B3636&gt;=5,AVERAGE(C3632:C3635),"")</f>
        <v>57</v>
      </c>
      <c r="F3636" s="33" t="n">
        <f aca="false">IF(B3636&gt;=9,AVERAGE(C3628:C3635),"")</f>
        <v>59</v>
      </c>
      <c r="G3636" s="33" t="n">
        <f aca="false">IF(B3636=1,"",IF(B3636=2,C3635,SES_Alpha*C3635+(1-SES_Alpha)*G3635))</f>
        <v>58.6123938944457</v>
      </c>
      <c r="H3636" s="33" t="n">
        <f aca="false">IF(D3636="","",D3636-C3636)</f>
        <v>4</v>
      </c>
      <c r="I3636" s="33" t="n">
        <f aca="false">IF(E3636="","",E3636-C3636)</f>
        <v>-3</v>
      </c>
      <c r="J3636" s="33" t="n">
        <f aca="false">IF(F3636="","",F3636-C3636)</f>
        <v>-1</v>
      </c>
      <c r="K3636" s="33" t="n">
        <f aca="false">IF(G3636="","",G3636-C3636)</f>
        <v>-1.38760610555428</v>
      </c>
      <c r="L3636" s="33" t="n">
        <f aca="false">IF(H3636="","",ABS(H3636))</f>
        <v>4</v>
      </c>
      <c r="M3636" s="33" t="n">
        <f aca="false">IF(I3636="","",ABS(I3636))</f>
        <v>3</v>
      </c>
      <c r="N3636" s="33" t="n">
        <f aca="false">IF(J3636="","",ABS(J3636))</f>
        <v>1</v>
      </c>
      <c r="O3636" s="33" t="n">
        <f aca="false">IF(K3636="","",ABS(K3636))</f>
        <v>1.38760610555428</v>
      </c>
      <c r="P3636" s="34" t="str">
        <f aca="false">IF(B3636&gt;=Eval_Start_Week,"YES","")</f>
        <v>YES</v>
      </c>
      <c r="Q3636" s="34" t="str">
        <f aca="false">IF(AND(B3636&gt;=Cal_Start_Week,B3636&lt;=Cal_End_Week),"YES","")</f>
        <v/>
      </c>
    </row>
    <row r="3637" customFormat="false" ht="15" hidden="false" customHeight="false" outlineLevel="0" collapsed="false">
      <c r="A3637" s="31" t="str">
        <f aca="false">Demand_History!C3637</f>
        <v>ELE-006</v>
      </c>
      <c r="B3637" s="31" t="n">
        <f aca="false">Demand_History!A3637</f>
        <v>100</v>
      </c>
      <c r="C3637" s="32" t="n">
        <f aca="false">Demand_History!D3637</f>
        <v>61</v>
      </c>
      <c r="D3637" s="33" t="n">
        <f aca="false">IF(B3637&gt;=2,C3636,"")</f>
        <v>60</v>
      </c>
      <c r="E3637" s="33" t="n">
        <f aca="false">IF(B3637&gt;=5,AVERAGE(C3633:C3636),"")</f>
        <v>58</v>
      </c>
      <c r="F3637" s="33" t="n">
        <f aca="false">IF(B3637&gt;=9,AVERAGE(C3629:C3636),"")</f>
        <v>58.25</v>
      </c>
      <c r="G3637" s="33" t="n">
        <f aca="false">IF(B3637=1,"",IF(B3637=2,C3636,SES_Alpha*C3636+(1-SES_Alpha)*G3636))</f>
        <v>59.028675726112</v>
      </c>
      <c r="H3637" s="33" t="n">
        <f aca="false">IF(D3637="","",D3637-C3637)</f>
        <v>-1</v>
      </c>
      <c r="I3637" s="33" t="n">
        <f aca="false">IF(E3637="","",E3637-C3637)</f>
        <v>-3</v>
      </c>
      <c r="J3637" s="33" t="n">
        <f aca="false">IF(F3637="","",F3637-C3637)</f>
        <v>-2.75</v>
      </c>
      <c r="K3637" s="33" t="n">
        <f aca="false">IF(G3637="","",G3637-C3637)</f>
        <v>-1.971324273888</v>
      </c>
      <c r="L3637" s="33" t="n">
        <f aca="false">IF(H3637="","",ABS(H3637))</f>
        <v>1</v>
      </c>
      <c r="M3637" s="33" t="n">
        <f aca="false">IF(I3637="","",ABS(I3637))</f>
        <v>3</v>
      </c>
      <c r="N3637" s="33" t="n">
        <f aca="false">IF(J3637="","",ABS(J3637))</f>
        <v>2.75</v>
      </c>
      <c r="O3637" s="33" t="n">
        <f aca="false">IF(K3637="","",ABS(K3637))</f>
        <v>1.971324273888</v>
      </c>
      <c r="P3637" s="34" t="str">
        <f aca="false">IF(B3637&gt;=Eval_Start_Week,"YES","")</f>
        <v>YES</v>
      </c>
      <c r="Q3637" s="34" t="str">
        <f aca="false">IF(AND(B3637&gt;=Cal_Start_Week,B3637&lt;=Cal_End_Week),"YES","")</f>
        <v/>
      </c>
    </row>
    <row r="3638" customFormat="false" ht="15" hidden="false" customHeight="false" outlineLevel="0" collapsed="false">
      <c r="A3638" s="31" t="str">
        <f aca="false">Demand_History!C3638</f>
        <v>ELE-006</v>
      </c>
      <c r="B3638" s="31" t="n">
        <f aca="false">Demand_History!A3638</f>
        <v>101</v>
      </c>
      <c r="C3638" s="32" t="n">
        <f aca="false">Demand_History!D3638</f>
        <v>63</v>
      </c>
      <c r="D3638" s="33" t="n">
        <f aca="false">IF(B3638&gt;=2,C3637,"")</f>
        <v>61</v>
      </c>
      <c r="E3638" s="33" t="n">
        <f aca="false">IF(B3638&gt;=5,AVERAGE(C3634:C3637),"")</f>
        <v>58.75</v>
      </c>
      <c r="F3638" s="33" t="n">
        <f aca="false">IF(B3638&gt;=9,AVERAGE(C3630:C3637),"")</f>
        <v>58</v>
      </c>
      <c r="G3638" s="33" t="n">
        <f aca="false">IF(B3638=1,"",IF(B3638=2,C3637,SES_Alpha*C3637+(1-SES_Alpha)*G3637))</f>
        <v>59.6200730082784</v>
      </c>
      <c r="H3638" s="33" t="n">
        <f aca="false">IF(D3638="","",D3638-C3638)</f>
        <v>-2</v>
      </c>
      <c r="I3638" s="33" t="n">
        <f aca="false">IF(E3638="","",E3638-C3638)</f>
        <v>-4.25</v>
      </c>
      <c r="J3638" s="33" t="n">
        <f aca="false">IF(F3638="","",F3638-C3638)</f>
        <v>-5</v>
      </c>
      <c r="K3638" s="33" t="n">
        <f aca="false">IF(G3638="","",G3638-C3638)</f>
        <v>-3.3799269917216</v>
      </c>
      <c r="L3638" s="33" t="n">
        <f aca="false">IF(H3638="","",ABS(H3638))</f>
        <v>2</v>
      </c>
      <c r="M3638" s="33" t="n">
        <f aca="false">IF(I3638="","",ABS(I3638))</f>
        <v>4.25</v>
      </c>
      <c r="N3638" s="33" t="n">
        <f aca="false">IF(J3638="","",ABS(J3638))</f>
        <v>5</v>
      </c>
      <c r="O3638" s="33" t="n">
        <f aca="false">IF(K3638="","",ABS(K3638))</f>
        <v>3.3799269917216</v>
      </c>
      <c r="P3638" s="34" t="str">
        <f aca="false">IF(B3638&gt;=Eval_Start_Week,"YES","")</f>
        <v>YES</v>
      </c>
      <c r="Q3638" s="34" t="str">
        <f aca="false">IF(AND(B3638&gt;=Cal_Start_Week,B3638&lt;=Cal_End_Week),"YES","")</f>
        <v/>
      </c>
    </row>
    <row r="3639" customFormat="false" ht="15" hidden="false" customHeight="false" outlineLevel="0" collapsed="false">
      <c r="A3639" s="31" t="str">
        <f aca="false">Demand_History!C3639</f>
        <v>ELE-006</v>
      </c>
      <c r="B3639" s="31" t="n">
        <f aca="false">Demand_History!A3639</f>
        <v>102</v>
      </c>
      <c r="C3639" s="32" t="n">
        <f aca="false">Demand_History!D3639</f>
        <v>66</v>
      </c>
      <c r="D3639" s="33" t="n">
        <f aca="false">IF(B3639&gt;=2,C3638,"")</f>
        <v>63</v>
      </c>
      <c r="E3639" s="33" t="n">
        <f aca="false">IF(B3639&gt;=5,AVERAGE(C3635:C3638),"")</f>
        <v>62</v>
      </c>
      <c r="F3639" s="33" t="n">
        <f aca="false">IF(B3639&gt;=9,AVERAGE(C3631:C3638),"")</f>
        <v>58.5</v>
      </c>
      <c r="G3639" s="33" t="n">
        <f aca="false">IF(B3639=1,"",IF(B3639=2,C3638,SES_Alpha*C3638+(1-SES_Alpha)*G3638))</f>
        <v>60.6340511057949</v>
      </c>
      <c r="H3639" s="33" t="n">
        <f aca="false">IF(D3639="","",D3639-C3639)</f>
        <v>-3</v>
      </c>
      <c r="I3639" s="33" t="n">
        <f aca="false">IF(E3639="","",E3639-C3639)</f>
        <v>-4</v>
      </c>
      <c r="J3639" s="33" t="n">
        <f aca="false">IF(F3639="","",F3639-C3639)</f>
        <v>-7.5</v>
      </c>
      <c r="K3639" s="33" t="n">
        <f aca="false">IF(G3639="","",G3639-C3639)</f>
        <v>-5.36594889420513</v>
      </c>
      <c r="L3639" s="33" t="n">
        <f aca="false">IF(H3639="","",ABS(H3639))</f>
        <v>3</v>
      </c>
      <c r="M3639" s="33" t="n">
        <f aca="false">IF(I3639="","",ABS(I3639))</f>
        <v>4</v>
      </c>
      <c r="N3639" s="33" t="n">
        <f aca="false">IF(J3639="","",ABS(J3639))</f>
        <v>7.5</v>
      </c>
      <c r="O3639" s="33" t="n">
        <f aca="false">IF(K3639="","",ABS(K3639))</f>
        <v>5.36594889420513</v>
      </c>
      <c r="P3639" s="34" t="str">
        <f aca="false">IF(B3639&gt;=Eval_Start_Week,"YES","")</f>
        <v>YES</v>
      </c>
      <c r="Q3639" s="34" t="str">
        <f aca="false">IF(AND(B3639&gt;=Cal_Start_Week,B3639&lt;=Cal_End_Week),"YES","")</f>
        <v/>
      </c>
    </row>
    <row r="3640" customFormat="false" ht="15" hidden="false" customHeight="false" outlineLevel="0" collapsed="false">
      <c r="A3640" s="31" t="str">
        <f aca="false">Demand_History!C3640</f>
        <v>ELE-006</v>
      </c>
      <c r="B3640" s="31" t="n">
        <f aca="false">Demand_History!A3640</f>
        <v>103</v>
      </c>
      <c r="C3640" s="32" t="n">
        <f aca="false">Demand_History!D3640</f>
        <v>55</v>
      </c>
      <c r="D3640" s="33" t="n">
        <f aca="false">IF(B3640&gt;=2,C3639,"")</f>
        <v>66</v>
      </c>
      <c r="E3640" s="33" t="n">
        <f aca="false">IF(B3640&gt;=5,AVERAGE(C3636:C3639),"")</f>
        <v>62.5</v>
      </c>
      <c r="F3640" s="33" t="n">
        <f aca="false">IF(B3640&gt;=9,AVERAGE(C3632:C3639),"")</f>
        <v>59.75</v>
      </c>
      <c r="G3640" s="33" t="n">
        <f aca="false">IF(B3640=1,"",IF(B3640=2,C3639,SES_Alpha*C3639+(1-SES_Alpha)*G3639))</f>
        <v>62.2438357740564</v>
      </c>
      <c r="H3640" s="33" t="n">
        <f aca="false">IF(D3640="","",D3640-C3640)</f>
        <v>11</v>
      </c>
      <c r="I3640" s="33" t="n">
        <f aca="false">IF(E3640="","",E3640-C3640)</f>
        <v>7.5</v>
      </c>
      <c r="J3640" s="33" t="n">
        <f aca="false">IF(F3640="","",F3640-C3640)</f>
        <v>4.75</v>
      </c>
      <c r="K3640" s="33" t="n">
        <f aca="false">IF(G3640="","",G3640-C3640)</f>
        <v>7.24383577405641</v>
      </c>
      <c r="L3640" s="33" t="n">
        <f aca="false">IF(H3640="","",ABS(H3640))</f>
        <v>11</v>
      </c>
      <c r="M3640" s="33" t="n">
        <f aca="false">IF(I3640="","",ABS(I3640))</f>
        <v>7.5</v>
      </c>
      <c r="N3640" s="33" t="n">
        <f aca="false">IF(J3640="","",ABS(J3640))</f>
        <v>4.75</v>
      </c>
      <c r="O3640" s="33" t="n">
        <f aca="false">IF(K3640="","",ABS(K3640))</f>
        <v>7.24383577405641</v>
      </c>
      <c r="P3640" s="34" t="str">
        <f aca="false">IF(B3640&gt;=Eval_Start_Week,"YES","")</f>
        <v>YES</v>
      </c>
      <c r="Q3640" s="34" t="str">
        <f aca="false">IF(AND(B3640&gt;=Cal_Start_Week,B3640&lt;=Cal_End_Week),"YES","")</f>
        <v/>
      </c>
    </row>
    <row r="3641" customFormat="false" ht="15" hidden="false" customHeight="false" outlineLevel="0" collapsed="false">
      <c r="A3641" s="31" t="str">
        <f aca="false">Demand_History!C3641</f>
        <v>ELE-006</v>
      </c>
      <c r="B3641" s="31" t="n">
        <f aca="false">Demand_History!A3641</f>
        <v>104</v>
      </c>
      <c r="C3641" s="32" t="n">
        <f aca="false">Demand_History!D3641</f>
        <v>59</v>
      </c>
      <c r="D3641" s="33" t="n">
        <f aca="false">IF(B3641&gt;=2,C3640,"")</f>
        <v>55</v>
      </c>
      <c r="E3641" s="33" t="n">
        <f aca="false">IF(B3641&gt;=5,AVERAGE(C3637:C3640),"")</f>
        <v>61.25</v>
      </c>
      <c r="F3641" s="33" t="n">
        <f aca="false">IF(B3641&gt;=9,AVERAGE(C3633:C3640),"")</f>
        <v>59.625</v>
      </c>
      <c r="G3641" s="33" t="n">
        <f aca="false">IF(B3641=1,"",IF(B3641=2,C3640,SES_Alpha*C3640+(1-SES_Alpha)*G3640))</f>
        <v>60.0706850418395</v>
      </c>
      <c r="H3641" s="33" t="n">
        <f aca="false">IF(D3641="","",D3641-C3641)</f>
        <v>-4</v>
      </c>
      <c r="I3641" s="33" t="n">
        <f aca="false">IF(E3641="","",E3641-C3641)</f>
        <v>2.25</v>
      </c>
      <c r="J3641" s="33" t="n">
        <f aca="false">IF(F3641="","",F3641-C3641)</f>
        <v>0.625</v>
      </c>
      <c r="K3641" s="33" t="n">
        <f aca="false">IF(G3641="","",G3641-C3641)</f>
        <v>1.07068504183948</v>
      </c>
      <c r="L3641" s="33" t="n">
        <f aca="false">IF(H3641="","",ABS(H3641))</f>
        <v>4</v>
      </c>
      <c r="M3641" s="33" t="n">
        <f aca="false">IF(I3641="","",ABS(I3641))</f>
        <v>2.25</v>
      </c>
      <c r="N3641" s="33" t="n">
        <f aca="false">IF(J3641="","",ABS(J3641))</f>
        <v>0.625</v>
      </c>
      <c r="O3641" s="33" t="n">
        <f aca="false">IF(K3641="","",ABS(K3641))</f>
        <v>1.07068504183948</v>
      </c>
      <c r="P3641" s="34" t="str">
        <f aca="false">IF(B3641&gt;=Eval_Start_Week,"YES","")</f>
        <v>YES</v>
      </c>
      <c r="Q3641" s="34" t="str">
        <f aca="false">IF(AND(B3641&gt;=Cal_Start_Week,B3641&lt;=Cal_End_Week),"YES","")</f>
        <v/>
      </c>
    </row>
    <row r="3642" customFormat="false" ht="15" hidden="false" customHeight="false" outlineLevel="0" collapsed="false">
      <c r="A3642" s="31" t="str">
        <f aca="false">Demand_History!C3642</f>
        <v>ELE-007</v>
      </c>
      <c r="B3642" s="31" t="n">
        <f aca="false">Demand_History!A3642</f>
        <v>1</v>
      </c>
      <c r="C3642" s="32" t="n">
        <f aca="false">Demand_History!D3642</f>
        <v>6</v>
      </c>
      <c r="D3642" s="33" t="str">
        <f aca="false">IF(B3642&gt;=2,C3641,"")</f>
        <v/>
      </c>
      <c r="E3642" s="33" t="str">
        <f aca="false">IF(B3642&gt;=5,AVERAGE(C3638:C3641),"")</f>
        <v/>
      </c>
      <c r="F3642" s="33" t="str">
        <f aca="false">IF(B3642&gt;=9,AVERAGE(C3634:C3641),"")</f>
        <v/>
      </c>
      <c r="G3642" s="33" t="str">
        <f aca="false">IF(B3642=1,"",IF(B3642=2,C3641,SES_Alpha*C3641+(1-SES_Alpha)*G3641))</f>
        <v/>
      </c>
      <c r="H3642" s="33" t="str">
        <f aca="false">IF(D3642="","",D3642-C3642)</f>
        <v/>
      </c>
      <c r="I3642" s="33" t="str">
        <f aca="false">IF(E3642="","",E3642-C3642)</f>
        <v/>
      </c>
      <c r="J3642" s="33" t="str">
        <f aca="false">IF(F3642="","",F3642-C3642)</f>
        <v/>
      </c>
      <c r="K3642" s="33" t="str">
        <f aca="false">IF(G3642="","",G3642-C3642)</f>
        <v/>
      </c>
      <c r="L3642" s="33" t="str">
        <f aca="false">IF(H3642="","",ABS(H3642))</f>
        <v/>
      </c>
      <c r="M3642" s="33" t="str">
        <f aca="false">IF(I3642="","",ABS(I3642))</f>
        <v/>
      </c>
      <c r="N3642" s="33" t="str">
        <f aca="false">IF(J3642="","",ABS(J3642))</f>
        <v/>
      </c>
      <c r="O3642" s="33" t="str">
        <f aca="false">IF(K3642="","",ABS(K3642))</f>
        <v/>
      </c>
      <c r="P3642" s="34" t="str">
        <f aca="false">IF(B3642&gt;=Eval_Start_Week,"YES","")</f>
        <v/>
      </c>
      <c r="Q3642" s="34" t="str">
        <f aca="false">IF(AND(B3642&gt;=Cal_Start_Week,B3642&lt;=Cal_End_Week),"YES","")</f>
        <v/>
      </c>
    </row>
    <row r="3643" customFormat="false" ht="15" hidden="false" customHeight="false" outlineLevel="0" collapsed="false">
      <c r="A3643" s="31" t="str">
        <f aca="false">Demand_History!C3643</f>
        <v>ELE-007</v>
      </c>
      <c r="B3643" s="31" t="n">
        <f aca="false">Demand_History!A3643</f>
        <v>2</v>
      </c>
      <c r="C3643" s="32" t="n">
        <f aca="false">Demand_History!D3643</f>
        <v>8</v>
      </c>
      <c r="D3643" s="33" t="n">
        <f aca="false">IF(B3643&gt;=2,C3642,"")</f>
        <v>6</v>
      </c>
      <c r="E3643" s="33" t="str">
        <f aca="false">IF(B3643&gt;=5,AVERAGE(C3639:C3642),"")</f>
        <v/>
      </c>
      <c r="F3643" s="33" t="str">
        <f aca="false">IF(B3643&gt;=9,AVERAGE(C3635:C3642),"")</f>
        <v/>
      </c>
      <c r="G3643" s="33" t="n">
        <f aca="false">IF(B3643=1,"",IF(B3643=2,C3642,SES_Alpha*C3642+(1-SES_Alpha)*G3642))</f>
        <v>6</v>
      </c>
      <c r="H3643" s="33" t="n">
        <f aca="false">IF(D3643="","",D3643-C3643)</f>
        <v>-2</v>
      </c>
      <c r="I3643" s="33" t="str">
        <f aca="false">IF(E3643="","",E3643-C3643)</f>
        <v/>
      </c>
      <c r="J3643" s="33" t="str">
        <f aca="false">IF(F3643="","",F3643-C3643)</f>
        <v/>
      </c>
      <c r="K3643" s="33" t="n">
        <f aca="false">IF(G3643="","",G3643-C3643)</f>
        <v>-2</v>
      </c>
      <c r="L3643" s="33" t="n">
        <f aca="false">IF(H3643="","",ABS(H3643))</f>
        <v>2</v>
      </c>
      <c r="M3643" s="33" t="str">
        <f aca="false">IF(I3643="","",ABS(I3643))</f>
        <v/>
      </c>
      <c r="N3643" s="33" t="str">
        <f aca="false">IF(J3643="","",ABS(J3643))</f>
        <v/>
      </c>
      <c r="O3643" s="33" t="n">
        <f aca="false">IF(K3643="","",ABS(K3643))</f>
        <v>2</v>
      </c>
      <c r="P3643" s="34" t="str">
        <f aca="false">IF(B3643&gt;=Eval_Start_Week,"YES","")</f>
        <v/>
      </c>
      <c r="Q3643" s="34" t="str">
        <f aca="false">IF(AND(B3643&gt;=Cal_Start_Week,B3643&lt;=Cal_End_Week),"YES","")</f>
        <v/>
      </c>
    </row>
    <row r="3644" customFormat="false" ht="15" hidden="false" customHeight="false" outlineLevel="0" collapsed="false">
      <c r="A3644" s="31" t="str">
        <f aca="false">Demand_History!C3644</f>
        <v>ELE-007</v>
      </c>
      <c r="B3644" s="31" t="n">
        <f aca="false">Demand_History!A3644</f>
        <v>3</v>
      </c>
      <c r="C3644" s="32" t="n">
        <f aca="false">Demand_History!D3644</f>
        <v>4</v>
      </c>
      <c r="D3644" s="33" t="n">
        <f aca="false">IF(B3644&gt;=2,C3643,"")</f>
        <v>8</v>
      </c>
      <c r="E3644" s="33" t="str">
        <f aca="false">IF(B3644&gt;=5,AVERAGE(C3640:C3643),"")</f>
        <v/>
      </c>
      <c r="F3644" s="33" t="str">
        <f aca="false">IF(B3644&gt;=9,AVERAGE(C3636:C3643),"")</f>
        <v/>
      </c>
      <c r="G3644" s="33" t="n">
        <f aca="false">IF(B3644=1,"",IF(B3644=2,C3643,SES_Alpha*C3643+(1-SES_Alpha)*G3643))</f>
        <v>6.6</v>
      </c>
      <c r="H3644" s="33" t="n">
        <f aca="false">IF(D3644="","",D3644-C3644)</f>
        <v>4</v>
      </c>
      <c r="I3644" s="33" t="str">
        <f aca="false">IF(E3644="","",E3644-C3644)</f>
        <v/>
      </c>
      <c r="J3644" s="33" t="str">
        <f aca="false">IF(F3644="","",F3644-C3644)</f>
        <v/>
      </c>
      <c r="K3644" s="33" t="n">
        <f aca="false">IF(G3644="","",G3644-C3644)</f>
        <v>2.6</v>
      </c>
      <c r="L3644" s="33" t="n">
        <f aca="false">IF(H3644="","",ABS(H3644))</f>
        <v>4</v>
      </c>
      <c r="M3644" s="33" t="str">
        <f aca="false">IF(I3644="","",ABS(I3644))</f>
        <v/>
      </c>
      <c r="N3644" s="33" t="str">
        <f aca="false">IF(J3644="","",ABS(J3644))</f>
        <v/>
      </c>
      <c r="O3644" s="33" t="n">
        <f aca="false">IF(K3644="","",ABS(K3644))</f>
        <v>2.6</v>
      </c>
      <c r="P3644" s="34" t="str">
        <f aca="false">IF(B3644&gt;=Eval_Start_Week,"YES","")</f>
        <v/>
      </c>
      <c r="Q3644" s="34" t="str">
        <f aca="false">IF(AND(B3644&gt;=Cal_Start_Week,B3644&lt;=Cal_End_Week),"YES","")</f>
        <v/>
      </c>
    </row>
    <row r="3645" customFormat="false" ht="15" hidden="false" customHeight="false" outlineLevel="0" collapsed="false">
      <c r="A3645" s="31" t="str">
        <f aca="false">Demand_History!C3645</f>
        <v>ELE-007</v>
      </c>
      <c r="B3645" s="31" t="n">
        <f aca="false">Demand_History!A3645</f>
        <v>4</v>
      </c>
      <c r="C3645" s="32" t="n">
        <f aca="false">Demand_History!D3645</f>
        <v>4</v>
      </c>
      <c r="D3645" s="33" t="n">
        <f aca="false">IF(B3645&gt;=2,C3644,"")</f>
        <v>4</v>
      </c>
      <c r="E3645" s="33" t="str">
        <f aca="false">IF(B3645&gt;=5,AVERAGE(C3641:C3644),"")</f>
        <v/>
      </c>
      <c r="F3645" s="33" t="str">
        <f aca="false">IF(B3645&gt;=9,AVERAGE(C3637:C3644),"")</f>
        <v/>
      </c>
      <c r="G3645" s="33" t="n">
        <f aca="false">IF(B3645=1,"",IF(B3645=2,C3644,SES_Alpha*C3644+(1-SES_Alpha)*G3644))</f>
        <v>5.82</v>
      </c>
      <c r="H3645" s="33" t="n">
        <f aca="false">IF(D3645="","",D3645-C3645)</f>
        <v>0</v>
      </c>
      <c r="I3645" s="33" t="str">
        <f aca="false">IF(E3645="","",E3645-C3645)</f>
        <v/>
      </c>
      <c r="J3645" s="33" t="str">
        <f aca="false">IF(F3645="","",F3645-C3645)</f>
        <v/>
      </c>
      <c r="K3645" s="33" t="n">
        <f aca="false">IF(G3645="","",G3645-C3645)</f>
        <v>1.82</v>
      </c>
      <c r="L3645" s="33" t="n">
        <f aca="false">IF(H3645="","",ABS(H3645))</f>
        <v>0</v>
      </c>
      <c r="M3645" s="33" t="str">
        <f aca="false">IF(I3645="","",ABS(I3645))</f>
        <v/>
      </c>
      <c r="N3645" s="33" t="str">
        <f aca="false">IF(J3645="","",ABS(J3645))</f>
        <v/>
      </c>
      <c r="O3645" s="33" t="n">
        <f aca="false">IF(K3645="","",ABS(K3645))</f>
        <v>1.82</v>
      </c>
      <c r="P3645" s="34" t="str">
        <f aca="false">IF(B3645&gt;=Eval_Start_Week,"YES","")</f>
        <v/>
      </c>
      <c r="Q3645" s="34" t="str">
        <f aca="false">IF(AND(B3645&gt;=Cal_Start_Week,B3645&lt;=Cal_End_Week),"YES","")</f>
        <v/>
      </c>
    </row>
    <row r="3646" customFormat="false" ht="15" hidden="false" customHeight="false" outlineLevel="0" collapsed="false">
      <c r="A3646" s="31" t="str">
        <f aca="false">Demand_History!C3646</f>
        <v>ELE-007</v>
      </c>
      <c r="B3646" s="31" t="n">
        <f aca="false">Demand_History!A3646</f>
        <v>5</v>
      </c>
      <c r="C3646" s="32" t="n">
        <f aca="false">Demand_History!D3646</f>
        <v>8</v>
      </c>
      <c r="D3646" s="33" t="n">
        <f aca="false">IF(B3646&gt;=2,C3645,"")</f>
        <v>4</v>
      </c>
      <c r="E3646" s="33" t="n">
        <f aca="false">IF(B3646&gt;=5,AVERAGE(C3642:C3645),"")</f>
        <v>5.5</v>
      </c>
      <c r="F3646" s="33" t="str">
        <f aca="false">IF(B3646&gt;=9,AVERAGE(C3638:C3645),"")</f>
        <v/>
      </c>
      <c r="G3646" s="33" t="n">
        <f aca="false">IF(B3646=1,"",IF(B3646=2,C3645,SES_Alpha*C3645+(1-SES_Alpha)*G3645))</f>
        <v>5.274</v>
      </c>
      <c r="H3646" s="33" t="n">
        <f aca="false">IF(D3646="","",D3646-C3646)</f>
        <v>-4</v>
      </c>
      <c r="I3646" s="33" t="n">
        <f aca="false">IF(E3646="","",E3646-C3646)</f>
        <v>-2.5</v>
      </c>
      <c r="J3646" s="33" t="str">
        <f aca="false">IF(F3646="","",F3646-C3646)</f>
        <v/>
      </c>
      <c r="K3646" s="33" t="n">
        <f aca="false">IF(G3646="","",G3646-C3646)</f>
        <v>-2.726</v>
      </c>
      <c r="L3646" s="33" t="n">
        <f aca="false">IF(H3646="","",ABS(H3646))</f>
        <v>4</v>
      </c>
      <c r="M3646" s="33" t="n">
        <f aca="false">IF(I3646="","",ABS(I3646))</f>
        <v>2.5</v>
      </c>
      <c r="N3646" s="33" t="str">
        <f aca="false">IF(J3646="","",ABS(J3646))</f>
        <v/>
      </c>
      <c r="O3646" s="33" t="n">
        <f aca="false">IF(K3646="","",ABS(K3646))</f>
        <v>2.726</v>
      </c>
      <c r="P3646" s="34" t="str">
        <f aca="false">IF(B3646&gt;=Eval_Start_Week,"YES","")</f>
        <v/>
      </c>
      <c r="Q3646" s="34" t="str">
        <f aca="false">IF(AND(B3646&gt;=Cal_Start_Week,B3646&lt;=Cal_End_Week),"YES","")</f>
        <v/>
      </c>
    </row>
    <row r="3647" customFormat="false" ht="15" hidden="false" customHeight="false" outlineLevel="0" collapsed="false">
      <c r="A3647" s="31" t="str">
        <f aca="false">Demand_History!C3647</f>
        <v>ELE-007</v>
      </c>
      <c r="B3647" s="31" t="n">
        <f aca="false">Demand_History!A3647</f>
        <v>6</v>
      </c>
      <c r="C3647" s="32" t="n">
        <f aca="false">Demand_History!D3647</f>
        <v>7</v>
      </c>
      <c r="D3647" s="33" t="n">
        <f aca="false">IF(B3647&gt;=2,C3646,"")</f>
        <v>8</v>
      </c>
      <c r="E3647" s="33" t="n">
        <f aca="false">IF(B3647&gt;=5,AVERAGE(C3643:C3646),"")</f>
        <v>6</v>
      </c>
      <c r="F3647" s="33" t="str">
        <f aca="false">IF(B3647&gt;=9,AVERAGE(C3639:C3646),"")</f>
        <v/>
      </c>
      <c r="G3647" s="33" t="n">
        <f aca="false">IF(B3647=1,"",IF(B3647=2,C3646,SES_Alpha*C3646+(1-SES_Alpha)*G3646))</f>
        <v>6.0918</v>
      </c>
      <c r="H3647" s="33" t="n">
        <f aca="false">IF(D3647="","",D3647-C3647)</f>
        <v>1</v>
      </c>
      <c r="I3647" s="33" t="n">
        <f aca="false">IF(E3647="","",E3647-C3647)</f>
        <v>-1</v>
      </c>
      <c r="J3647" s="33" t="str">
        <f aca="false">IF(F3647="","",F3647-C3647)</f>
        <v/>
      </c>
      <c r="K3647" s="33" t="n">
        <f aca="false">IF(G3647="","",G3647-C3647)</f>
        <v>-0.908200000000001</v>
      </c>
      <c r="L3647" s="33" t="n">
        <f aca="false">IF(H3647="","",ABS(H3647))</f>
        <v>1</v>
      </c>
      <c r="M3647" s="33" t="n">
        <f aca="false">IF(I3647="","",ABS(I3647))</f>
        <v>1</v>
      </c>
      <c r="N3647" s="33" t="str">
        <f aca="false">IF(J3647="","",ABS(J3647))</f>
        <v/>
      </c>
      <c r="O3647" s="33" t="n">
        <f aca="false">IF(K3647="","",ABS(K3647))</f>
        <v>0.908200000000001</v>
      </c>
      <c r="P3647" s="34" t="str">
        <f aca="false">IF(B3647&gt;=Eval_Start_Week,"YES","")</f>
        <v/>
      </c>
      <c r="Q3647" s="34" t="str">
        <f aca="false">IF(AND(B3647&gt;=Cal_Start_Week,B3647&lt;=Cal_End_Week),"YES","")</f>
        <v/>
      </c>
    </row>
    <row r="3648" customFormat="false" ht="15" hidden="false" customHeight="false" outlineLevel="0" collapsed="false">
      <c r="A3648" s="31" t="str">
        <f aca="false">Demand_History!C3648</f>
        <v>ELE-007</v>
      </c>
      <c r="B3648" s="31" t="n">
        <f aca="false">Demand_History!A3648</f>
        <v>7</v>
      </c>
      <c r="C3648" s="32" t="n">
        <f aca="false">Demand_History!D3648</f>
        <v>6</v>
      </c>
      <c r="D3648" s="33" t="n">
        <f aca="false">IF(B3648&gt;=2,C3647,"")</f>
        <v>7</v>
      </c>
      <c r="E3648" s="33" t="n">
        <f aca="false">IF(B3648&gt;=5,AVERAGE(C3644:C3647),"")</f>
        <v>5.75</v>
      </c>
      <c r="F3648" s="33" t="str">
        <f aca="false">IF(B3648&gt;=9,AVERAGE(C3640:C3647),"")</f>
        <v/>
      </c>
      <c r="G3648" s="33" t="n">
        <f aca="false">IF(B3648=1,"",IF(B3648=2,C3647,SES_Alpha*C3647+(1-SES_Alpha)*G3647))</f>
        <v>6.36426</v>
      </c>
      <c r="H3648" s="33" t="n">
        <f aca="false">IF(D3648="","",D3648-C3648)</f>
        <v>1</v>
      </c>
      <c r="I3648" s="33" t="n">
        <f aca="false">IF(E3648="","",E3648-C3648)</f>
        <v>-0.25</v>
      </c>
      <c r="J3648" s="33" t="str">
        <f aca="false">IF(F3648="","",F3648-C3648)</f>
        <v/>
      </c>
      <c r="K3648" s="33" t="n">
        <f aca="false">IF(G3648="","",G3648-C3648)</f>
        <v>0.36426</v>
      </c>
      <c r="L3648" s="33" t="n">
        <f aca="false">IF(H3648="","",ABS(H3648))</f>
        <v>1</v>
      </c>
      <c r="M3648" s="33" t="n">
        <f aca="false">IF(I3648="","",ABS(I3648))</f>
        <v>0.25</v>
      </c>
      <c r="N3648" s="33" t="str">
        <f aca="false">IF(J3648="","",ABS(J3648))</f>
        <v/>
      </c>
      <c r="O3648" s="33" t="n">
        <f aca="false">IF(K3648="","",ABS(K3648))</f>
        <v>0.36426</v>
      </c>
      <c r="P3648" s="34" t="str">
        <f aca="false">IF(B3648&gt;=Eval_Start_Week,"YES","")</f>
        <v/>
      </c>
      <c r="Q3648" s="34" t="str">
        <f aca="false">IF(AND(B3648&gt;=Cal_Start_Week,B3648&lt;=Cal_End_Week),"YES","")</f>
        <v/>
      </c>
    </row>
    <row r="3649" customFormat="false" ht="15" hidden="false" customHeight="false" outlineLevel="0" collapsed="false">
      <c r="A3649" s="31" t="str">
        <f aca="false">Demand_History!C3649</f>
        <v>ELE-007</v>
      </c>
      <c r="B3649" s="31" t="n">
        <f aca="false">Demand_History!A3649</f>
        <v>8</v>
      </c>
      <c r="C3649" s="32" t="n">
        <f aca="false">Demand_History!D3649</f>
        <v>6</v>
      </c>
      <c r="D3649" s="33" t="n">
        <f aca="false">IF(B3649&gt;=2,C3648,"")</f>
        <v>6</v>
      </c>
      <c r="E3649" s="33" t="n">
        <f aca="false">IF(B3649&gt;=5,AVERAGE(C3645:C3648),"")</f>
        <v>6.25</v>
      </c>
      <c r="F3649" s="33" t="str">
        <f aca="false">IF(B3649&gt;=9,AVERAGE(C3641:C3648),"")</f>
        <v/>
      </c>
      <c r="G3649" s="33" t="n">
        <f aca="false">IF(B3649=1,"",IF(B3649=2,C3648,SES_Alpha*C3648+(1-SES_Alpha)*G3648))</f>
        <v>6.254982</v>
      </c>
      <c r="H3649" s="33" t="n">
        <f aca="false">IF(D3649="","",D3649-C3649)</f>
        <v>0</v>
      </c>
      <c r="I3649" s="33" t="n">
        <f aca="false">IF(E3649="","",E3649-C3649)</f>
        <v>0.25</v>
      </c>
      <c r="J3649" s="33" t="str">
        <f aca="false">IF(F3649="","",F3649-C3649)</f>
        <v/>
      </c>
      <c r="K3649" s="33" t="n">
        <f aca="false">IF(G3649="","",G3649-C3649)</f>
        <v>0.254981999999999</v>
      </c>
      <c r="L3649" s="33" t="n">
        <f aca="false">IF(H3649="","",ABS(H3649))</f>
        <v>0</v>
      </c>
      <c r="M3649" s="33" t="n">
        <f aca="false">IF(I3649="","",ABS(I3649))</f>
        <v>0.25</v>
      </c>
      <c r="N3649" s="33" t="str">
        <f aca="false">IF(J3649="","",ABS(J3649))</f>
        <v/>
      </c>
      <c r="O3649" s="33" t="n">
        <f aca="false">IF(K3649="","",ABS(K3649))</f>
        <v>0.254981999999999</v>
      </c>
      <c r="P3649" s="34" t="str">
        <f aca="false">IF(B3649&gt;=Eval_Start_Week,"YES","")</f>
        <v/>
      </c>
      <c r="Q3649" s="34" t="str">
        <f aca="false">IF(AND(B3649&gt;=Cal_Start_Week,B3649&lt;=Cal_End_Week),"YES","")</f>
        <v/>
      </c>
    </row>
    <row r="3650" customFormat="false" ht="15" hidden="false" customHeight="false" outlineLevel="0" collapsed="false">
      <c r="A3650" s="31" t="str">
        <f aca="false">Demand_History!C3650</f>
        <v>ELE-007</v>
      </c>
      <c r="B3650" s="31" t="n">
        <f aca="false">Demand_History!A3650</f>
        <v>9</v>
      </c>
      <c r="C3650" s="32" t="n">
        <f aca="false">Demand_History!D3650</f>
        <v>12</v>
      </c>
      <c r="D3650" s="33" t="n">
        <f aca="false">IF(B3650&gt;=2,C3649,"")</f>
        <v>6</v>
      </c>
      <c r="E3650" s="33" t="n">
        <f aca="false">IF(B3650&gt;=5,AVERAGE(C3646:C3649),"")</f>
        <v>6.75</v>
      </c>
      <c r="F3650" s="33" t="n">
        <f aca="false">IF(B3650&gt;=9,AVERAGE(C3642:C3649),"")</f>
        <v>6.125</v>
      </c>
      <c r="G3650" s="33" t="n">
        <f aca="false">IF(B3650=1,"",IF(B3650=2,C3649,SES_Alpha*C3649+(1-SES_Alpha)*G3649))</f>
        <v>6.1784874</v>
      </c>
      <c r="H3650" s="33" t="n">
        <f aca="false">IF(D3650="","",D3650-C3650)</f>
        <v>-6</v>
      </c>
      <c r="I3650" s="33" t="n">
        <f aca="false">IF(E3650="","",E3650-C3650)</f>
        <v>-5.25</v>
      </c>
      <c r="J3650" s="33" t="n">
        <f aca="false">IF(F3650="","",F3650-C3650)</f>
        <v>-5.875</v>
      </c>
      <c r="K3650" s="33" t="n">
        <f aca="false">IF(G3650="","",G3650-C3650)</f>
        <v>-5.8215126</v>
      </c>
      <c r="L3650" s="33" t="n">
        <f aca="false">IF(H3650="","",ABS(H3650))</f>
        <v>6</v>
      </c>
      <c r="M3650" s="33" t="n">
        <f aca="false">IF(I3650="","",ABS(I3650))</f>
        <v>5.25</v>
      </c>
      <c r="N3650" s="33" t="n">
        <f aca="false">IF(J3650="","",ABS(J3650))</f>
        <v>5.875</v>
      </c>
      <c r="O3650" s="33" t="n">
        <f aca="false">IF(K3650="","",ABS(K3650))</f>
        <v>5.8215126</v>
      </c>
      <c r="P3650" s="34" t="str">
        <f aca="false">IF(B3650&gt;=Eval_Start_Week,"YES","")</f>
        <v/>
      </c>
      <c r="Q3650" s="34" t="str">
        <f aca="false">IF(AND(B3650&gt;=Cal_Start_Week,B3650&lt;=Cal_End_Week),"YES","")</f>
        <v/>
      </c>
    </row>
    <row r="3651" customFormat="false" ht="15" hidden="false" customHeight="false" outlineLevel="0" collapsed="false">
      <c r="A3651" s="31" t="str">
        <f aca="false">Demand_History!C3651</f>
        <v>ELE-007</v>
      </c>
      <c r="B3651" s="31" t="n">
        <f aca="false">Demand_History!A3651</f>
        <v>10</v>
      </c>
      <c r="C3651" s="32" t="n">
        <f aca="false">Demand_History!D3651</f>
        <v>3</v>
      </c>
      <c r="D3651" s="33" t="n">
        <f aca="false">IF(B3651&gt;=2,C3650,"")</f>
        <v>12</v>
      </c>
      <c r="E3651" s="33" t="n">
        <f aca="false">IF(B3651&gt;=5,AVERAGE(C3647:C3650),"")</f>
        <v>7.75</v>
      </c>
      <c r="F3651" s="33" t="n">
        <f aca="false">IF(B3651&gt;=9,AVERAGE(C3643:C3650),"")</f>
        <v>6.875</v>
      </c>
      <c r="G3651" s="33" t="n">
        <f aca="false">IF(B3651=1,"",IF(B3651=2,C3650,SES_Alpha*C3650+(1-SES_Alpha)*G3650))</f>
        <v>7.92494118</v>
      </c>
      <c r="H3651" s="33" t="n">
        <f aca="false">IF(D3651="","",D3651-C3651)</f>
        <v>9</v>
      </c>
      <c r="I3651" s="33" t="n">
        <f aca="false">IF(E3651="","",E3651-C3651)</f>
        <v>4.75</v>
      </c>
      <c r="J3651" s="33" t="n">
        <f aca="false">IF(F3651="","",F3651-C3651)</f>
        <v>3.875</v>
      </c>
      <c r="K3651" s="33" t="n">
        <f aca="false">IF(G3651="","",G3651-C3651)</f>
        <v>4.92494118</v>
      </c>
      <c r="L3651" s="33" t="n">
        <f aca="false">IF(H3651="","",ABS(H3651))</f>
        <v>9</v>
      </c>
      <c r="M3651" s="33" t="n">
        <f aca="false">IF(I3651="","",ABS(I3651))</f>
        <v>4.75</v>
      </c>
      <c r="N3651" s="33" t="n">
        <f aca="false">IF(J3651="","",ABS(J3651))</f>
        <v>3.875</v>
      </c>
      <c r="O3651" s="33" t="n">
        <f aca="false">IF(K3651="","",ABS(K3651))</f>
        <v>4.92494118</v>
      </c>
      <c r="P3651" s="34" t="str">
        <f aca="false">IF(B3651&gt;=Eval_Start_Week,"YES","")</f>
        <v/>
      </c>
      <c r="Q3651" s="34" t="str">
        <f aca="false">IF(AND(B3651&gt;=Cal_Start_Week,B3651&lt;=Cal_End_Week),"YES","")</f>
        <v/>
      </c>
    </row>
    <row r="3652" customFormat="false" ht="15" hidden="false" customHeight="false" outlineLevel="0" collapsed="false">
      <c r="A3652" s="31" t="str">
        <f aca="false">Demand_History!C3652</f>
        <v>ELE-007</v>
      </c>
      <c r="B3652" s="31" t="n">
        <f aca="false">Demand_History!A3652</f>
        <v>11</v>
      </c>
      <c r="C3652" s="32" t="n">
        <f aca="false">Demand_History!D3652</f>
        <v>6</v>
      </c>
      <c r="D3652" s="33" t="n">
        <f aca="false">IF(B3652&gt;=2,C3651,"")</f>
        <v>3</v>
      </c>
      <c r="E3652" s="33" t="n">
        <f aca="false">IF(B3652&gt;=5,AVERAGE(C3648:C3651),"")</f>
        <v>6.75</v>
      </c>
      <c r="F3652" s="33" t="n">
        <f aca="false">IF(B3652&gt;=9,AVERAGE(C3644:C3651),"")</f>
        <v>6.25</v>
      </c>
      <c r="G3652" s="33" t="n">
        <f aca="false">IF(B3652=1,"",IF(B3652=2,C3651,SES_Alpha*C3651+(1-SES_Alpha)*G3651))</f>
        <v>6.447458826</v>
      </c>
      <c r="H3652" s="33" t="n">
        <f aca="false">IF(D3652="","",D3652-C3652)</f>
        <v>-3</v>
      </c>
      <c r="I3652" s="33" t="n">
        <f aca="false">IF(E3652="","",E3652-C3652)</f>
        <v>0.75</v>
      </c>
      <c r="J3652" s="33" t="n">
        <f aca="false">IF(F3652="","",F3652-C3652)</f>
        <v>0.25</v>
      </c>
      <c r="K3652" s="33" t="n">
        <f aca="false">IF(G3652="","",G3652-C3652)</f>
        <v>0.447458825999998</v>
      </c>
      <c r="L3652" s="33" t="n">
        <f aca="false">IF(H3652="","",ABS(H3652))</f>
        <v>3</v>
      </c>
      <c r="M3652" s="33" t="n">
        <f aca="false">IF(I3652="","",ABS(I3652))</f>
        <v>0.75</v>
      </c>
      <c r="N3652" s="33" t="n">
        <f aca="false">IF(J3652="","",ABS(J3652))</f>
        <v>0.25</v>
      </c>
      <c r="O3652" s="33" t="n">
        <f aca="false">IF(K3652="","",ABS(K3652))</f>
        <v>0.447458825999998</v>
      </c>
      <c r="P3652" s="34" t="str">
        <f aca="false">IF(B3652&gt;=Eval_Start_Week,"YES","")</f>
        <v/>
      </c>
      <c r="Q3652" s="34" t="str">
        <f aca="false">IF(AND(B3652&gt;=Cal_Start_Week,B3652&lt;=Cal_End_Week),"YES","")</f>
        <v/>
      </c>
    </row>
    <row r="3653" customFormat="false" ht="15" hidden="false" customHeight="false" outlineLevel="0" collapsed="false">
      <c r="A3653" s="31" t="str">
        <f aca="false">Demand_History!C3653</f>
        <v>ELE-007</v>
      </c>
      <c r="B3653" s="31" t="n">
        <f aca="false">Demand_History!A3653</f>
        <v>12</v>
      </c>
      <c r="C3653" s="32" t="n">
        <f aca="false">Demand_History!D3653</f>
        <v>9</v>
      </c>
      <c r="D3653" s="33" t="n">
        <f aca="false">IF(B3653&gt;=2,C3652,"")</f>
        <v>6</v>
      </c>
      <c r="E3653" s="33" t="n">
        <f aca="false">IF(B3653&gt;=5,AVERAGE(C3649:C3652),"")</f>
        <v>6.75</v>
      </c>
      <c r="F3653" s="33" t="n">
        <f aca="false">IF(B3653&gt;=9,AVERAGE(C3645:C3652),"")</f>
        <v>6.5</v>
      </c>
      <c r="G3653" s="33" t="n">
        <f aca="false">IF(B3653=1,"",IF(B3653=2,C3652,SES_Alpha*C3652+(1-SES_Alpha)*G3652))</f>
        <v>6.3132211782</v>
      </c>
      <c r="H3653" s="33" t="n">
        <f aca="false">IF(D3653="","",D3653-C3653)</f>
        <v>-3</v>
      </c>
      <c r="I3653" s="33" t="n">
        <f aca="false">IF(E3653="","",E3653-C3653)</f>
        <v>-2.25</v>
      </c>
      <c r="J3653" s="33" t="n">
        <f aca="false">IF(F3653="","",F3653-C3653)</f>
        <v>-2.5</v>
      </c>
      <c r="K3653" s="33" t="n">
        <f aca="false">IF(G3653="","",G3653-C3653)</f>
        <v>-2.6867788218</v>
      </c>
      <c r="L3653" s="33" t="n">
        <f aca="false">IF(H3653="","",ABS(H3653))</f>
        <v>3</v>
      </c>
      <c r="M3653" s="33" t="n">
        <f aca="false">IF(I3653="","",ABS(I3653))</f>
        <v>2.25</v>
      </c>
      <c r="N3653" s="33" t="n">
        <f aca="false">IF(J3653="","",ABS(J3653))</f>
        <v>2.5</v>
      </c>
      <c r="O3653" s="33" t="n">
        <f aca="false">IF(K3653="","",ABS(K3653))</f>
        <v>2.6867788218</v>
      </c>
      <c r="P3653" s="34" t="str">
        <f aca="false">IF(B3653&gt;=Eval_Start_Week,"YES","")</f>
        <v/>
      </c>
      <c r="Q3653" s="34" t="str">
        <f aca="false">IF(AND(B3653&gt;=Cal_Start_Week,B3653&lt;=Cal_End_Week),"YES","")</f>
        <v/>
      </c>
    </row>
    <row r="3654" customFormat="false" ht="15" hidden="false" customHeight="false" outlineLevel="0" collapsed="false">
      <c r="A3654" s="31" t="str">
        <f aca="false">Demand_History!C3654</f>
        <v>ELE-007</v>
      </c>
      <c r="B3654" s="31" t="n">
        <f aca="false">Demand_History!A3654</f>
        <v>13</v>
      </c>
      <c r="C3654" s="32" t="n">
        <f aca="false">Demand_History!D3654</f>
        <v>8</v>
      </c>
      <c r="D3654" s="33" t="n">
        <f aca="false">IF(B3654&gt;=2,C3653,"")</f>
        <v>9</v>
      </c>
      <c r="E3654" s="33" t="n">
        <f aca="false">IF(B3654&gt;=5,AVERAGE(C3650:C3653),"")</f>
        <v>7.5</v>
      </c>
      <c r="F3654" s="33" t="n">
        <f aca="false">IF(B3654&gt;=9,AVERAGE(C3646:C3653),"")</f>
        <v>7.125</v>
      </c>
      <c r="G3654" s="33" t="n">
        <f aca="false">IF(B3654=1,"",IF(B3654=2,C3653,SES_Alpha*C3653+(1-SES_Alpha)*G3653))</f>
        <v>7.11925482474</v>
      </c>
      <c r="H3654" s="33" t="n">
        <f aca="false">IF(D3654="","",D3654-C3654)</f>
        <v>1</v>
      </c>
      <c r="I3654" s="33" t="n">
        <f aca="false">IF(E3654="","",E3654-C3654)</f>
        <v>-0.5</v>
      </c>
      <c r="J3654" s="33" t="n">
        <f aca="false">IF(F3654="","",F3654-C3654)</f>
        <v>-0.875</v>
      </c>
      <c r="K3654" s="33" t="n">
        <f aca="false">IF(G3654="","",G3654-C3654)</f>
        <v>-0.880745175260001</v>
      </c>
      <c r="L3654" s="33" t="n">
        <f aca="false">IF(H3654="","",ABS(H3654))</f>
        <v>1</v>
      </c>
      <c r="M3654" s="33" t="n">
        <f aca="false">IF(I3654="","",ABS(I3654))</f>
        <v>0.5</v>
      </c>
      <c r="N3654" s="33" t="n">
        <f aca="false">IF(J3654="","",ABS(J3654))</f>
        <v>0.875</v>
      </c>
      <c r="O3654" s="33" t="n">
        <f aca="false">IF(K3654="","",ABS(K3654))</f>
        <v>0.880745175260001</v>
      </c>
      <c r="P3654" s="34" t="str">
        <f aca="false">IF(B3654&gt;=Eval_Start_Week,"YES","")</f>
        <v/>
      </c>
      <c r="Q3654" s="34" t="str">
        <f aca="false">IF(AND(B3654&gt;=Cal_Start_Week,B3654&lt;=Cal_End_Week),"YES","")</f>
        <v/>
      </c>
    </row>
    <row r="3655" customFormat="false" ht="15" hidden="false" customHeight="false" outlineLevel="0" collapsed="false">
      <c r="A3655" s="31" t="str">
        <f aca="false">Demand_History!C3655</f>
        <v>ELE-007</v>
      </c>
      <c r="B3655" s="31" t="n">
        <f aca="false">Demand_History!A3655</f>
        <v>14</v>
      </c>
      <c r="C3655" s="32" t="n">
        <f aca="false">Demand_History!D3655</f>
        <v>7</v>
      </c>
      <c r="D3655" s="33" t="n">
        <f aca="false">IF(B3655&gt;=2,C3654,"")</f>
        <v>8</v>
      </c>
      <c r="E3655" s="33" t="n">
        <f aca="false">IF(B3655&gt;=5,AVERAGE(C3651:C3654),"")</f>
        <v>6.5</v>
      </c>
      <c r="F3655" s="33" t="n">
        <f aca="false">IF(B3655&gt;=9,AVERAGE(C3647:C3654),"")</f>
        <v>7.125</v>
      </c>
      <c r="G3655" s="33" t="n">
        <f aca="false">IF(B3655=1,"",IF(B3655=2,C3654,SES_Alpha*C3654+(1-SES_Alpha)*G3654))</f>
        <v>7.383478377318</v>
      </c>
      <c r="H3655" s="33" t="n">
        <f aca="false">IF(D3655="","",D3655-C3655)</f>
        <v>1</v>
      </c>
      <c r="I3655" s="33" t="n">
        <f aca="false">IF(E3655="","",E3655-C3655)</f>
        <v>-0.5</v>
      </c>
      <c r="J3655" s="33" t="n">
        <f aca="false">IF(F3655="","",F3655-C3655)</f>
        <v>0.125</v>
      </c>
      <c r="K3655" s="33" t="n">
        <f aca="false">IF(G3655="","",G3655-C3655)</f>
        <v>0.383478377317999</v>
      </c>
      <c r="L3655" s="33" t="n">
        <f aca="false">IF(H3655="","",ABS(H3655))</f>
        <v>1</v>
      </c>
      <c r="M3655" s="33" t="n">
        <f aca="false">IF(I3655="","",ABS(I3655))</f>
        <v>0.5</v>
      </c>
      <c r="N3655" s="33" t="n">
        <f aca="false">IF(J3655="","",ABS(J3655))</f>
        <v>0.125</v>
      </c>
      <c r="O3655" s="33" t="n">
        <f aca="false">IF(K3655="","",ABS(K3655))</f>
        <v>0.383478377317999</v>
      </c>
      <c r="P3655" s="34" t="str">
        <f aca="false">IF(B3655&gt;=Eval_Start_Week,"YES","")</f>
        <v/>
      </c>
      <c r="Q3655" s="34" t="str">
        <f aca="false">IF(AND(B3655&gt;=Cal_Start_Week,B3655&lt;=Cal_End_Week),"YES","")</f>
        <v/>
      </c>
    </row>
    <row r="3656" customFormat="false" ht="15" hidden="false" customHeight="false" outlineLevel="0" collapsed="false">
      <c r="A3656" s="31" t="str">
        <f aca="false">Demand_History!C3656</f>
        <v>ELE-007</v>
      </c>
      <c r="B3656" s="31" t="n">
        <f aca="false">Demand_History!A3656</f>
        <v>15</v>
      </c>
      <c r="C3656" s="32" t="n">
        <f aca="false">Demand_History!D3656</f>
        <v>9</v>
      </c>
      <c r="D3656" s="33" t="n">
        <f aca="false">IF(B3656&gt;=2,C3655,"")</f>
        <v>7</v>
      </c>
      <c r="E3656" s="33" t="n">
        <f aca="false">IF(B3656&gt;=5,AVERAGE(C3652:C3655),"")</f>
        <v>7.5</v>
      </c>
      <c r="F3656" s="33" t="n">
        <f aca="false">IF(B3656&gt;=9,AVERAGE(C3648:C3655),"")</f>
        <v>7.125</v>
      </c>
      <c r="G3656" s="33" t="n">
        <f aca="false">IF(B3656=1,"",IF(B3656=2,C3655,SES_Alpha*C3655+(1-SES_Alpha)*G3655))</f>
        <v>7.2684348641226</v>
      </c>
      <c r="H3656" s="33" t="n">
        <f aca="false">IF(D3656="","",D3656-C3656)</f>
        <v>-2</v>
      </c>
      <c r="I3656" s="33" t="n">
        <f aca="false">IF(E3656="","",E3656-C3656)</f>
        <v>-1.5</v>
      </c>
      <c r="J3656" s="33" t="n">
        <f aca="false">IF(F3656="","",F3656-C3656)</f>
        <v>-1.875</v>
      </c>
      <c r="K3656" s="33" t="n">
        <f aca="false">IF(G3656="","",G3656-C3656)</f>
        <v>-1.7315651358774</v>
      </c>
      <c r="L3656" s="33" t="n">
        <f aca="false">IF(H3656="","",ABS(H3656))</f>
        <v>2</v>
      </c>
      <c r="M3656" s="33" t="n">
        <f aca="false">IF(I3656="","",ABS(I3656))</f>
        <v>1.5</v>
      </c>
      <c r="N3656" s="33" t="n">
        <f aca="false">IF(J3656="","",ABS(J3656))</f>
        <v>1.875</v>
      </c>
      <c r="O3656" s="33" t="n">
        <f aca="false">IF(K3656="","",ABS(K3656))</f>
        <v>1.7315651358774</v>
      </c>
      <c r="P3656" s="34" t="str">
        <f aca="false">IF(B3656&gt;=Eval_Start_Week,"YES","")</f>
        <v/>
      </c>
      <c r="Q3656" s="34" t="str">
        <f aca="false">IF(AND(B3656&gt;=Cal_Start_Week,B3656&lt;=Cal_End_Week),"YES","")</f>
        <v/>
      </c>
    </row>
    <row r="3657" customFormat="false" ht="15" hidden="false" customHeight="false" outlineLevel="0" collapsed="false">
      <c r="A3657" s="31" t="str">
        <f aca="false">Demand_History!C3657</f>
        <v>ELE-007</v>
      </c>
      <c r="B3657" s="31" t="n">
        <f aca="false">Demand_History!A3657</f>
        <v>16</v>
      </c>
      <c r="C3657" s="32" t="n">
        <f aca="false">Demand_History!D3657</f>
        <v>10</v>
      </c>
      <c r="D3657" s="33" t="n">
        <f aca="false">IF(B3657&gt;=2,C3656,"")</f>
        <v>9</v>
      </c>
      <c r="E3657" s="33" t="n">
        <f aca="false">IF(B3657&gt;=5,AVERAGE(C3653:C3656),"")</f>
        <v>8.25</v>
      </c>
      <c r="F3657" s="33" t="n">
        <f aca="false">IF(B3657&gt;=9,AVERAGE(C3649:C3656),"")</f>
        <v>7.5</v>
      </c>
      <c r="G3657" s="33" t="n">
        <f aca="false">IF(B3657=1,"",IF(B3657=2,C3656,SES_Alpha*C3656+(1-SES_Alpha)*G3656))</f>
        <v>7.78790440488582</v>
      </c>
      <c r="H3657" s="33" t="n">
        <f aca="false">IF(D3657="","",D3657-C3657)</f>
        <v>-1</v>
      </c>
      <c r="I3657" s="33" t="n">
        <f aca="false">IF(E3657="","",E3657-C3657)</f>
        <v>-1.75</v>
      </c>
      <c r="J3657" s="33" t="n">
        <f aca="false">IF(F3657="","",F3657-C3657)</f>
        <v>-2.5</v>
      </c>
      <c r="K3657" s="33" t="n">
        <f aca="false">IF(G3657="","",G3657-C3657)</f>
        <v>-2.21209559511418</v>
      </c>
      <c r="L3657" s="33" t="n">
        <f aca="false">IF(H3657="","",ABS(H3657))</f>
        <v>1</v>
      </c>
      <c r="M3657" s="33" t="n">
        <f aca="false">IF(I3657="","",ABS(I3657))</f>
        <v>1.75</v>
      </c>
      <c r="N3657" s="33" t="n">
        <f aca="false">IF(J3657="","",ABS(J3657))</f>
        <v>2.5</v>
      </c>
      <c r="O3657" s="33" t="n">
        <f aca="false">IF(K3657="","",ABS(K3657))</f>
        <v>2.21209559511418</v>
      </c>
      <c r="P3657" s="34" t="str">
        <f aca="false">IF(B3657&gt;=Eval_Start_Week,"YES","")</f>
        <v/>
      </c>
      <c r="Q3657" s="34" t="str">
        <f aca="false">IF(AND(B3657&gt;=Cal_Start_Week,B3657&lt;=Cal_End_Week),"YES","")</f>
        <v/>
      </c>
    </row>
    <row r="3658" customFormat="false" ht="15" hidden="false" customHeight="false" outlineLevel="0" collapsed="false">
      <c r="A3658" s="31" t="str">
        <f aca="false">Demand_History!C3658</f>
        <v>ELE-007</v>
      </c>
      <c r="B3658" s="31" t="n">
        <f aca="false">Demand_History!A3658</f>
        <v>17</v>
      </c>
      <c r="C3658" s="32" t="n">
        <f aca="false">Demand_History!D3658</f>
        <v>6</v>
      </c>
      <c r="D3658" s="33" t="n">
        <f aca="false">IF(B3658&gt;=2,C3657,"")</f>
        <v>10</v>
      </c>
      <c r="E3658" s="33" t="n">
        <f aca="false">IF(B3658&gt;=5,AVERAGE(C3654:C3657),"")</f>
        <v>8.5</v>
      </c>
      <c r="F3658" s="33" t="n">
        <f aca="false">IF(B3658&gt;=9,AVERAGE(C3650:C3657),"")</f>
        <v>8</v>
      </c>
      <c r="G3658" s="33" t="n">
        <f aca="false">IF(B3658=1,"",IF(B3658=2,C3657,SES_Alpha*C3657+(1-SES_Alpha)*G3657))</f>
        <v>8.45153308342007</v>
      </c>
      <c r="H3658" s="33" t="n">
        <f aca="false">IF(D3658="","",D3658-C3658)</f>
        <v>4</v>
      </c>
      <c r="I3658" s="33" t="n">
        <f aca="false">IF(E3658="","",E3658-C3658)</f>
        <v>2.5</v>
      </c>
      <c r="J3658" s="33" t="n">
        <f aca="false">IF(F3658="","",F3658-C3658)</f>
        <v>2</v>
      </c>
      <c r="K3658" s="33" t="n">
        <f aca="false">IF(G3658="","",G3658-C3658)</f>
        <v>2.45153308342007</v>
      </c>
      <c r="L3658" s="33" t="n">
        <f aca="false">IF(H3658="","",ABS(H3658))</f>
        <v>4</v>
      </c>
      <c r="M3658" s="33" t="n">
        <f aca="false">IF(I3658="","",ABS(I3658))</f>
        <v>2.5</v>
      </c>
      <c r="N3658" s="33" t="n">
        <f aca="false">IF(J3658="","",ABS(J3658))</f>
        <v>2</v>
      </c>
      <c r="O3658" s="33" t="n">
        <f aca="false">IF(K3658="","",ABS(K3658))</f>
        <v>2.45153308342007</v>
      </c>
      <c r="P3658" s="34" t="str">
        <f aca="false">IF(B3658&gt;=Eval_Start_Week,"YES","")</f>
        <v/>
      </c>
      <c r="Q3658" s="34" t="str">
        <f aca="false">IF(AND(B3658&gt;=Cal_Start_Week,B3658&lt;=Cal_End_Week),"YES","")</f>
        <v/>
      </c>
    </row>
    <row r="3659" customFormat="false" ht="15" hidden="false" customHeight="false" outlineLevel="0" collapsed="false">
      <c r="A3659" s="31" t="str">
        <f aca="false">Demand_History!C3659</f>
        <v>ELE-007</v>
      </c>
      <c r="B3659" s="31" t="n">
        <f aca="false">Demand_History!A3659</f>
        <v>18</v>
      </c>
      <c r="C3659" s="32" t="n">
        <f aca="false">Demand_History!D3659</f>
        <v>14</v>
      </c>
      <c r="D3659" s="33" t="n">
        <f aca="false">IF(B3659&gt;=2,C3658,"")</f>
        <v>6</v>
      </c>
      <c r="E3659" s="33" t="n">
        <f aca="false">IF(B3659&gt;=5,AVERAGE(C3655:C3658),"")</f>
        <v>8</v>
      </c>
      <c r="F3659" s="33" t="n">
        <f aca="false">IF(B3659&gt;=9,AVERAGE(C3651:C3658),"")</f>
        <v>7.25</v>
      </c>
      <c r="G3659" s="33" t="n">
        <f aca="false">IF(B3659=1,"",IF(B3659=2,C3658,SES_Alpha*C3658+(1-SES_Alpha)*G3658))</f>
        <v>7.71607315839405</v>
      </c>
      <c r="H3659" s="33" t="n">
        <f aca="false">IF(D3659="","",D3659-C3659)</f>
        <v>-8</v>
      </c>
      <c r="I3659" s="33" t="n">
        <f aca="false">IF(E3659="","",E3659-C3659)</f>
        <v>-6</v>
      </c>
      <c r="J3659" s="33" t="n">
        <f aca="false">IF(F3659="","",F3659-C3659)</f>
        <v>-6.75</v>
      </c>
      <c r="K3659" s="33" t="n">
        <f aca="false">IF(G3659="","",G3659-C3659)</f>
        <v>-6.28392684160595</v>
      </c>
      <c r="L3659" s="33" t="n">
        <f aca="false">IF(H3659="","",ABS(H3659))</f>
        <v>8</v>
      </c>
      <c r="M3659" s="33" t="n">
        <f aca="false">IF(I3659="","",ABS(I3659))</f>
        <v>6</v>
      </c>
      <c r="N3659" s="33" t="n">
        <f aca="false">IF(J3659="","",ABS(J3659))</f>
        <v>6.75</v>
      </c>
      <c r="O3659" s="33" t="n">
        <f aca="false">IF(K3659="","",ABS(K3659))</f>
        <v>6.28392684160595</v>
      </c>
      <c r="P3659" s="34" t="str">
        <f aca="false">IF(B3659&gt;=Eval_Start_Week,"YES","")</f>
        <v/>
      </c>
      <c r="Q3659" s="34" t="str">
        <f aca="false">IF(AND(B3659&gt;=Cal_Start_Week,B3659&lt;=Cal_End_Week),"YES","")</f>
        <v/>
      </c>
    </row>
    <row r="3660" customFormat="false" ht="15" hidden="false" customHeight="false" outlineLevel="0" collapsed="false">
      <c r="A3660" s="31" t="str">
        <f aca="false">Demand_History!C3660</f>
        <v>ELE-007</v>
      </c>
      <c r="B3660" s="31" t="n">
        <f aca="false">Demand_History!A3660</f>
        <v>19</v>
      </c>
      <c r="C3660" s="32" t="n">
        <f aca="false">Demand_History!D3660</f>
        <v>16</v>
      </c>
      <c r="D3660" s="33" t="n">
        <f aca="false">IF(B3660&gt;=2,C3659,"")</f>
        <v>14</v>
      </c>
      <c r="E3660" s="33" t="n">
        <f aca="false">IF(B3660&gt;=5,AVERAGE(C3656:C3659),"")</f>
        <v>9.75</v>
      </c>
      <c r="F3660" s="33" t="n">
        <f aca="false">IF(B3660&gt;=9,AVERAGE(C3652:C3659),"")</f>
        <v>8.625</v>
      </c>
      <c r="G3660" s="33" t="n">
        <f aca="false">IF(B3660=1,"",IF(B3660=2,C3659,SES_Alpha*C3659+(1-SES_Alpha)*G3659))</f>
        <v>9.60125121087583</v>
      </c>
      <c r="H3660" s="33" t="n">
        <f aca="false">IF(D3660="","",D3660-C3660)</f>
        <v>-2</v>
      </c>
      <c r="I3660" s="33" t="n">
        <f aca="false">IF(E3660="","",E3660-C3660)</f>
        <v>-6.25</v>
      </c>
      <c r="J3660" s="33" t="n">
        <f aca="false">IF(F3660="","",F3660-C3660)</f>
        <v>-7.375</v>
      </c>
      <c r="K3660" s="33" t="n">
        <f aca="false">IF(G3660="","",G3660-C3660)</f>
        <v>-6.39874878912417</v>
      </c>
      <c r="L3660" s="33" t="n">
        <f aca="false">IF(H3660="","",ABS(H3660))</f>
        <v>2</v>
      </c>
      <c r="M3660" s="33" t="n">
        <f aca="false">IF(I3660="","",ABS(I3660))</f>
        <v>6.25</v>
      </c>
      <c r="N3660" s="33" t="n">
        <f aca="false">IF(J3660="","",ABS(J3660))</f>
        <v>7.375</v>
      </c>
      <c r="O3660" s="33" t="n">
        <f aca="false">IF(K3660="","",ABS(K3660))</f>
        <v>6.39874878912417</v>
      </c>
      <c r="P3660" s="34" t="str">
        <f aca="false">IF(B3660&gt;=Eval_Start_Week,"YES","")</f>
        <v/>
      </c>
      <c r="Q3660" s="34" t="str">
        <f aca="false">IF(AND(B3660&gt;=Cal_Start_Week,B3660&lt;=Cal_End_Week),"YES","")</f>
        <v/>
      </c>
    </row>
    <row r="3661" customFormat="false" ht="15" hidden="false" customHeight="false" outlineLevel="0" collapsed="false">
      <c r="A3661" s="31" t="str">
        <f aca="false">Demand_History!C3661</f>
        <v>ELE-007</v>
      </c>
      <c r="B3661" s="31" t="n">
        <f aca="false">Demand_History!A3661</f>
        <v>20</v>
      </c>
      <c r="C3661" s="32" t="n">
        <f aca="false">Demand_History!D3661</f>
        <v>8</v>
      </c>
      <c r="D3661" s="33" t="n">
        <f aca="false">IF(B3661&gt;=2,C3660,"")</f>
        <v>16</v>
      </c>
      <c r="E3661" s="33" t="n">
        <f aca="false">IF(B3661&gt;=5,AVERAGE(C3657:C3660),"")</f>
        <v>11.5</v>
      </c>
      <c r="F3661" s="33" t="n">
        <f aca="false">IF(B3661&gt;=9,AVERAGE(C3653:C3660),"")</f>
        <v>9.875</v>
      </c>
      <c r="G3661" s="33" t="n">
        <f aca="false">IF(B3661=1,"",IF(B3661=2,C3660,SES_Alpha*C3660+(1-SES_Alpha)*G3660))</f>
        <v>11.5208758476131</v>
      </c>
      <c r="H3661" s="33" t="n">
        <f aca="false">IF(D3661="","",D3661-C3661)</f>
        <v>8</v>
      </c>
      <c r="I3661" s="33" t="n">
        <f aca="false">IF(E3661="","",E3661-C3661)</f>
        <v>3.5</v>
      </c>
      <c r="J3661" s="33" t="n">
        <f aca="false">IF(F3661="","",F3661-C3661)</f>
        <v>1.875</v>
      </c>
      <c r="K3661" s="33" t="n">
        <f aca="false">IF(G3661="","",G3661-C3661)</f>
        <v>3.52087584761308</v>
      </c>
      <c r="L3661" s="33" t="n">
        <f aca="false">IF(H3661="","",ABS(H3661))</f>
        <v>8</v>
      </c>
      <c r="M3661" s="33" t="n">
        <f aca="false">IF(I3661="","",ABS(I3661))</f>
        <v>3.5</v>
      </c>
      <c r="N3661" s="33" t="n">
        <f aca="false">IF(J3661="","",ABS(J3661))</f>
        <v>1.875</v>
      </c>
      <c r="O3661" s="33" t="n">
        <f aca="false">IF(K3661="","",ABS(K3661))</f>
        <v>3.52087584761308</v>
      </c>
      <c r="P3661" s="34" t="str">
        <f aca="false">IF(B3661&gt;=Eval_Start_Week,"YES","")</f>
        <v/>
      </c>
      <c r="Q3661" s="34" t="str">
        <f aca="false">IF(AND(B3661&gt;=Cal_Start_Week,B3661&lt;=Cal_End_Week),"YES","")</f>
        <v/>
      </c>
    </row>
    <row r="3662" customFormat="false" ht="15" hidden="false" customHeight="false" outlineLevel="0" collapsed="false">
      <c r="A3662" s="31" t="str">
        <f aca="false">Demand_History!C3662</f>
        <v>ELE-007</v>
      </c>
      <c r="B3662" s="31" t="n">
        <f aca="false">Demand_History!A3662</f>
        <v>21</v>
      </c>
      <c r="C3662" s="32" t="n">
        <f aca="false">Demand_History!D3662</f>
        <v>7</v>
      </c>
      <c r="D3662" s="33" t="n">
        <f aca="false">IF(B3662&gt;=2,C3661,"")</f>
        <v>8</v>
      </c>
      <c r="E3662" s="33" t="n">
        <f aca="false">IF(B3662&gt;=5,AVERAGE(C3658:C3661),"")</f>
        <v>11</v>
      </c>
      <c r="F3662" s="33" t="n">
        <f aca="false">IF(B3662&gt;=9,AVERAGE(C3654:C3661),"")</f>
        <v>9.75</v>
      </c>
      <c r="G3662" s="33" t="n">
        <f aca="false">IF(B3662=1,"",IF(B3662=2,C3661,SES_Alpha*C3661+(1-SES_Alpha)*G3661))</f>
        <v>10.4646130933292</v>
      </c>
      <c r="H3662" s="33" t="n">
        <f aca="false">IF(D3662="","",D3662-C3662)</f>
        <v>1</v>
      </c>
      <c r="I3662" s="33" t="n">
        <f aca="false">IF(E3662="","",E3662-C3662)</f>
        <v>4</v>
      </c>
      <c r="J3662" s="33" t="n">
        <f aca="false">IF(F3662="","",F3662-C3662)</f>
        <v>2.75</v>
      </c>
      <c r="K3662" s="33" t="n">
        <f aca="false">IF(G3662="","",G3662-C3662)</f>
        <v>3.46461309332916</v>
      </c>
      <c r="L3662" s="33" t="n">
        <f aca="false">IF(H3662="","",ABS(H3662))</f>
        <v>1</v>
      </c>
      <c r="M3662" s="33" t="n">
        <f aca="false">IF(I3662="","",ABS(I3662))</f>
        <v>4</v>
      </c>
      <c r="N3662" s="33" t="n">
        <f aca="false">IF(J3662="","",ABS(J3662))</f>
        <v>2.75</v>
      </c>
      <c r="O3662" s="33" t="n">
        <f aca="false">IF(K3662="","",ABS(K3662))</f>
        <v>3.46461309332916</v>
      </c>
      <c r="P3662" s="34" t="str">
        <f aca="false">IF(B3662&gt;=Eval_Start_Week,"YES","")</f>
        <v/>
      </c>
      <c r="Q3662" s="34" t="str">
        <f aca="false">IF(AND(B3662&gt;=Cal_Start_Week,B3662&lt;=Cal_End_Week),"YES","")</f>
        <v/>
      </c>
    </row>
    <row r="3663" customFormat="false" ht="15" hidden="false" customHeight="false" outlineLevel="0" collapsed="false">
      <c r="A3663" s="31" t="str">
        <f aca="false">Demand_History!C3663</f>
        <v>ELE-007</v>
      </c>
      <c r="B3663" s="31" t="n">
        <f aca="false">Demand_History!A3663</f>
        <v>22</v>
      </c>
      <c r="C3663" s="32" t="n">
        <f aca="false">Demand_History!D3663</f>
        <v>7</v>
      </c>
      <c r="D3663" s="33" t="n">
        <f aca="false">IF(B3663&gt;=2,C3662,"")</f>
        <v>7</v>
      </c>
      <c r="E3663" s="33" t="n">
        <f aca="false">IF(B3663&gt;=5,AVERAGE(C3659:C3662),"")</f>
        <v>11.25</v>
      </c>
      <c r="F3663" s="33" t="n">
        <f aca="false">IF(B3663&gt;=9,AVERAGE(C3655:C3662),"")</f>
        <v>9.625</v>
      </c>
      <c r="G3663" s="33" t="n">
        <f aca="false">IF(B3663=1,"",IF(B3663=2,C3662,SES_Alpha*C3662+(1-SES_Alpha)*G3662))</f>
        <v>9.42522916533041</v>
      </c>
      <c r="H3663" s="33" t="n">
        <f aca="false">IF(D3663="","",D3663-C3663)</f>
        <v>0</v>
      </c>
      <c r="I3663" s="33" t="n">
        <f aca="false">IF(E3663="","",E3663-C3663)</f>
        <v>4.25</v>
      </c>
      <c r="J3663" s="33" t="n">
        <f aca="false">IF(F3663="","",F3663-C3663)</f>
        <v>2.625</v>
      </c>
      <c r="K3663" s="33" t="n">
        <f aca="false">IF(G3663="","",G3663-C3663)</f>
        <v>2.42522916533041</v>
      </c>
      <c r="L3663" s="33" t="n">
        <f aca="false">IF(H3663="","",ABS(H3663))</f>
        <v>0</v>
      </c>
      <c r="M3663" s="33" t="n">
        <f aca="false">IF(I3663="","",ABS(I3663))</f>
        <v>4.25</v>
      </c>
      <c r="N3663" s="33" t="n">
        <f aca="false">IF(J3663="","",ABS(J3663))</f>
        <v>2.625</v>
      </c>
      <c r="O3663" s="33" t="n">
        <f aca="false">IF(K3663="","",ABS(K3663))</f>
        <v>2.42522916533041</v>
      </c>
      <c r="P3663" s="34" t="str">
        <f aca="false">IF(B3663&gt;=Eval_Start_Week,"YES","")</f>
        <v/>
      </c>
      <c r="Q3663" s="34" t="str">
        <f aca="false">IF(AND(B3663&gt;=Cal_Start_Week,B3663&lt;=Cal_End_Week),"YES","")</f>
        <v/>
      </c>
    </row>
    <row r="3664" customFormat="false" ht="15" hidden="false" customHeight="false" outlineLevel="0" collapsed="false">
      <c r="A3664" s="31" t="str">
        <f aca="false">Demand_History!C3664</f>
        <v>ELE-007</v>
      </c>
      <c r="B3664" s="31" t="n">
        <f aca="false">Demand_History!A3664</f>
        <v>23</v>
      </c>
      <c r="C3664" s="32" t="n">
        <f aca="false">Demand_History!D3664</f>
        <v>8</v>
      </c>
      <c r="D3664" s="33" t="n">
        <f aca="false">IF(B3664&gt;=2,C3663,"")</f>
        <v>7</v>
      </c>
      <c r="E3664" s="33" t="n">
        <f aca="false">IF(B3664&gt;=5,AVERAGE(C3660:C3663),"")</f>
        <v>9.5</v>
      </c>
      <c r="F3664" s="33" t="n">
        <f aca="false">IF(B3664&gt;=9,AVERAGE(C3656:C3663),"")</f>
        <v>9.625</v>
      </c>
      <c r="G3664" s="33" t="n">
        <f aca="false">IF(B3664=1,"",IF(B3664=2,C3663,SES_Alpha*C3663+(1-SES_Alpha)*G3663))</f>
        <v>8.69766041573129</v>
      </c>
      <c r="H3664" s="33" t="n">
        <f aca="false">IF(D3664="","",D3664-C3664)</f>
        <v>-1</v>
      </c>
      <c r="I3664" s="33" t="n">
        <f aca="false">IF(E3664="","",E3664-C3664)</f>
        <v>1.5</v>
      </c>
      <c r="J3664" s="33" t="n">
        <f aca="false">IF(F3664="","",F3664-C3664)</f>
        <v>1.625</v>
      </c>
      <c r="K3664" s="33" t="n">
        <f aca="false">IF(G3664="","",G3664-C3664)</f>
        <v>0.697660415731287</v>
      </c>
      <c r="L3664" s="33" t="n">
        <f aca="false">IF(H3664="","",ABS(H3664))</f>
        <v>1</v>
      </c>
      <c r="M3664" s="33" t="n">
        <f aca="false">IF(I3664="","",ABS(I3664))</f>
        <v>1.5</v>
      </c>
      <c r="N3664" s="33" t="n">
        <f aca="false">IF(J3664="","",ABS(J3664))</f>
        <v>1.625</v>
      </c>
      <c r="O3664" s="33" t="n">
        <f aca="false">IF(K3664="","",ABS(K3664))</f>
        <v>0.697660415731287</v>
      </c>
      <c r="P3664" s="34" t="str">
        <f aca="false">IF(B3664&gt;=Eval_Start_Week,"YES","")</f>
        <v/>
      </c>
      <c r="Q3664" s="34" t="str">
        <f aca="false">IF(AND(B3664&gt;=Cal_Start_Week,B3664&lt;=Cal_End_Week),"YES","")</f>
        <v/>
      </c>
    </row>
    <row r="3665" customFormat="false" ht="15" hidden="false" customHeight="false" outlineLevel="0" collapsed="false">
      <c r="A3665" s="31" t="str">
        <f aca="false">Demand_History!C3665</f>
        <v>ELE-007</v>
      </c>
      <c r="B3665" s="31" t="n">
        <f aca="false">Demand_History!A3665</f>
        <v>24</v>
      </c>
      <c r="C3665" s="32" t="n">
        <f aca="false">Demand_History!D3665</f>
        <v>8</v>
      </c>
      <c r="D3665" s="33" t="n">
        <f aca="false">IF(B3665&gt;=2,C3664,"")</f>
        <v>8</v>
      </c>
      <c r="E3665" s="33" t="n">
        <f aca="false">IF(B3665&gt;=5,AVERAGE(C3661:C3664),"")</f>
        <v>7.5</v>
      </c>
      <c r="F3665" s="33" t="n">
        <f aca="false">IF(B3665&gt;=9,AVERAGE(C3657:C3664),"")</f>
        <v>9.5</v>
      </c>
      <c r="G3665" s="33" t="n">
        <f aca="false">IF(B3665=1,"",IF(B3665=2,C3664,SES_Alpha*C3664+(1-SES_Alpha)*G3664))</f>
        <v>8.4883622910119</v>
      </c>
      <c r="H3665" s="33" t="n">
        <f aca="false">IF(D3665="","",D3665-C3665)</f>
        <v>0</v>
      </c>
      <c r="I3665" s="33" t="n">
        <f aca="false">IF(E3665="","",E3665-C3665)</f>
        <v>-0.5</v>
      </c>
      <c r="J3665" s="33" t="n">
        <f aca="false">IF(F3665="","",F3665-C3665)</f>
        <v>1.5</v>
      </c>
      <c r="K3665" s="33" t="n">
        <f aca="false">IF(G3665="","",G3665-C3665)</f>
        <v>0.488362291011899</v>
      </c>
      <c r="L3665" s="33" t="n">
        <f aca="false">IF(H3665="","",ABS(H3665))</f>
        <v>0</v>
      </c>
      <c r="M3665" s="33" t="n">
        <f aca="false">IF(I3665="","",ABS(I3665))</f>
        <v>0.5</v>
      </c>
      <c r="N3665" s="33" t="n">
        <f aca="false">IF(J3665="","",ABS(J3665))</f>
        <v>1.5</v>
      </c>
      <c r="O3665" s="33" t="n">
        <f aca="false">IF(K3665="","",ABS(K3665))</f>
        <v>0.488362291011899</v>
      </c>
      <c r="P3665" s="34" t="str">
        <f aca="false">IF(B3665&gt;=Eval_Start_Week,"YES","")</f>
        <v/>
      </c>
      <c r="Q3665" s="34" t="str">
        <f aca="false">IF(AND(B3665&gt;=Cal_Start_Week,B3665&lt;=Cal_End_Week),"YES","")</f>
        <v/>
      </c>
    </row>
    <row r="3666" customFormat="false" ht="15" hidden="false" customHeight="false" outlineLevel="0" collapsed="false">
      <c r="A3666" s="31" t="str">
        <f aca="false">Demand_History!C3666</f>
        <v>ELE-007</v>
      </c>
      <c r="B3666" s="31" t="n">
        <f aca="false">Demand_History!A3666</f>
        <v>25</v>
      </c>
      <c r="C3666" s="32" t="n">
        <f aca="false">Demand_History!D3666</f>
        <v>4</v>
      </c>
      <c r="D3666" s="33" t="n">
        <f aca="false">IF(B3666&gt;=2,C3665,"")</f>
        <v>8</v>
      </c>
      <c r="E3666" s="33" t="n">
        <f aca="false">IF(B3666&gt;=5,AVERAGE(C3662:C3665),"")</f>
        <v>7.5</v>
      </c>
      <c r="F3666" s="33" t="n">
        <f aca="false">IF(B3666&gt;=9,AVERAGE(C3658:C3665),"")</f>
        <v>9.25</v>
      </c>
      <c r="G3666" s="33" t="n">
        <f aca="false">IF(B3666=1,"",IF(B3666=2,C3665,SES_Alpha*C3665+(1-SES_Alpha)*G3665))</f>
        <v>8.34185360370833</v>
      </c>
      <c r="H3666" s="33" t="n">
        <f aca="false">IF(D3666="","",D3666-C3666)</f>
        <v>4</v>
      </c>
      <c r="I3666" s="33" t="n">
        <f aca="false">IF(E3666="","",E3666-C3666)</f>
        <v>3.5</v>
      </c>
      <c r="J3666" s="33" t="n">
        <f aca="false">IF(F3666="","",F3666-C3666)</f>
        <v>5.25</v>
      </c>
      <c r="K3666" s="33" t="n">
        <f aca="false">IF(G3666="","",G3666-C3666)</f>
        <v>4.34185360370833</v>
      </c>
      <c r="L3666" s="33" t="n">
        <f aca="false">IF(H3666="","",ABS(H3666))</f>
        <v>4</v>
      </c>
      <c r="M3666" s="33" t="n">
        <f aca="false">IF(I3666="","",ABS(I3666))</f>
        <v>3.5</v>
      </c>
      <c r="N3666" s="33" t="n">
        <f aca="false">IF(J3666="","",ABS(J3666))</f>
        <v>5.25</v>
      </c>
      <c r="O3666" s="33" t="n">
        <f aca="false">IF(K3666="","",ABS(K3666))</f>
        <v>4.34185360370833</v>
      </c>
      <c r="P3666" s="34" t="str">
        <f aca="false">IF(B3666&gt;=Eval_Start_Week,"YES","")</f>
        <v/>
      </c>
      <c r="Q3666" s="34" t="str">
        <f aca="false">IF(AND(B3666&gt;=Cal_Start_Week,B3666&lt;=Cal_End_Week),"YES","")</f>
        <v/>
      </c>
    </row>
    <row r="3667" customFormat="false" ht="15" hidden="false" customHeight="false" outlineLevel="0" collapsed="false">
      <c r="A3667" s="31" t="str">
        <f aca="false">Demand_History!C3667</f>
        <v>ELE-007</v>
      </c>
      <c r="B3667" s="31" t="n">
        <f aca="false">Demand_History!A3667</f>
        <v>26</v>
      </c>
      <c r="C3667" s="32" t="n">
        <f aca="false">Demand_History!D3667</f>
        <v>8</v>
      </c>
      <c r="D3667" s="33" t="n">
        <f aca="false">IF(B3667&gt;=2,C3666,"")</f>
        <v>4</v>
      </c>
      <c r="E3667" s="33" t="n">
        <f aca="false">IF(B3667&gt;=5,AVERAGE(C3663:C3666),"")</f>
        <v>6.75</v>
      </c>
      <c r="F3667" s="33" t="n">
        <f aca="false">IF(B3667&gt;=9,AVERAGE(C3659:C3666),"")</f>
        <v>9</v>
      </c>
      <c r="G3667" s="33" t="n">
        <f aca="false">IF(B3667=1,"",IF(B3667=2,C3666,SES_Alpha*C3666+(1-SES_Alpha)*G3666))</f>
        <v>7.03929752259583</v>
      </c>
      <c r="H3667" s="33" t="n">
        <f aca="false">IF(D3667="","",D3667-C3667)</f>
        <v>-4</v>
      </c>
      <c r="I3667" s="33" t="n">
        <f aca="false">IF(E3667="","",E3667-C3667)</f>
        <v>-1.25</v>
      </c>
      <c r="J3667" s="33" t="n">
        <f aca="false">IF(F3667="","",F3667-C3667)</f>
        <v>1</v>
      </c>
      <c r="K3667" s="33" t="n">
        <f aca="false">IF(G3667="","",G3667-C3667)</f>
        <v>-0.960702477404169</v>
      </c>
      <c r="L3667" s="33" t="n">
        <f aca="false">IF(H3667="","",ABS(H3667))</f>
        <v>4</v>
      </c>
      <c r="M3667" s="33" t="n">
        <f aca="false">IF(I3667="","",ABS(I3667))</f>
        <v>1.25</v>
      </c>
      <c r="N3667" s="33" t="n">
        <f aca="false">IF(J3667="","",ABS(J3667))</f>
        <v>1</v>
      </c>
      <c r="O3667" s="33" t="n">
        <f aca="false">IF(K3667="","",ABS(K3667))</f>
        <v>0.960702477404169</v>
      </c>
      <c r="P3667" s="34" t="str">
        <f aca="false">IF(B3667&gt;=Eval_Start_Week,"YES","")</f>
        <v/>
      </c>
      <c r="Q3667" s="34" t="str">
        <f aca="false">IF(AND(B3667&gt;=Cal_Start_Week,B3667&lt;=Cal_End_Week),"YES","")</f>
        <v/>
      </c>
    </row>
    <row r="3668" customFormat="false" ht="15" hidden="false" customHeight="false" outlineLevel="0" collapsed="false">
      <c r="A3668" s="31" t="str">
        <f aca="false">Demand_History!C3668</f>
        <v>ELE-007</v>
      </c>
      <c r="B3668" s="31" t="n">
        <f aca="false">Demand_History!A3668</f>
        <v>27</v>
      </c>
      <c r="C3668" s="32" t="n">
        <f aca="false">Demand_History!D3668</f>
        <v>4</v>
      </c>
      <c r="D3668" s="33" t="n">
        <f aca="false">IF(B3668&gt;=2,C3667,"")</f>
        <v>8</v>
      </c>
      <c r="E3668" s="33" t="n">
        <f aca="false">IF(B3668&gt;=5,AVERAGE(C3664:C3667),"")</f>
        <v>7</v>
      </c>
      <c r="F3668" s="33" t="n">
        <f aca="false">IF(B3668&gt;=9,AVERAGE(C3660:C3667),"")</f>
        <v>8.25</v>
      </c>
      <c r="G3668" s="33" t="n">
        <f aca="false">IF(B3668=1,"",IF(B3668=2,C3667,SES_Alpha*C3667+(1-SES_Alpha)*G3667))</f>
        <v>7.32750826581708</v>
      </c>
      <c r="H3668" s="33" t="n">
        <f aca="false">IF(D3668="","",D3668-C3668)</f>
        <v>4</v>
      </c>
      <c r="I3668" s="33" t="n">
        <f aca="false">IF(E3668="","",E3668-C3668)</f>
        <v>3</v>
      </c>
      <c r="J3668" s="33" t="n">
        <f aca="false">IF(F3668="","",F3668-C3668)</f>
        <v>4.25</v>
      </c>
      <c r="K3668" s="33" t="n">
        <f aca="false">IF(G3668="","",G3668-C3668)</f>
        <v>3.32750826581708</v>
      </c>
      <c r="L3668" s="33" t="n">
        <f aca="false">IF(H3668="","",ABS(H3668))</f>
        <v>4</v>
      </c>
      <c r="M3668" s="33" t="n">
        <f aca="false">IF(I3668="","",ABS(I3668))</f>
        <v>3</v>
      </c>
      <c r="N3668" s="33" t="n">
        <f aca="false">IF(J3668="","",ABS(J3668))</f>
        <v>4.25</v>
      </c>
      <c r="O3668" s="33" t="n">
        <f aca="false">IF(K3668="","",ABS(K3668))</f>
        <v>3.32750826581708</v>
      </c>
      <c r="P3668" s="34" t="str">
        <f aca="false">IF(B3668&gt;=Eval_Start_Week,"YES","")</f>
        <v/>
      </c>
      <c r="Q3668" s="34" t="str">
        <f aca="false">IF(AND(B3668&gt;=Cal_Start_Week,B3668&lt;=Cal_End_Week),"YES","")</f>
        <v/>
      </c>
    </row>
    <row r="3669" customFormat="false" ht="15" hidden="false" customHeight="false" outlineLevel="0" collapsed="false">
      <c r="A3669" s="31" t="str">
        <f aca="false">Demand_History!C3669</f>
        <v>ELE-007</v>
      </c>
      <c r="B3669" s="31" t="n">
        <f aca="false">Demand_History!A3669</f>
        <v>28</v>
      </c>
      <c r="C3669" s="32" t="n">
        <f aca="false">Demand_History!D3669</f>
        <v>4</v>
      </c>
      <c r="D3669" s="33" t="n">
        <f aca="false">IF(B3669&gt;=2,C3668,"")</f>
        <v>4</v>
      </c>
      <c r="E3669" s="33" t="n">
        <f aca="false">IF(B3669&gt;=5,AVERAGE(C3665:C3668),"")</f>
        <v>6</v>
      </c>
      <c r="F3669" s="33" t="n">
        <f aca="false">IF(B3669&gt;=9,AVERAGE(C3661:C3668),"")</f>
        <v>6.75</v>
      </c>
      <c r="G3669" s="33" t="n">
        <f aca="false">IF(B3669=1,"",IF(B3669=2,C3668,SES_Alpha*C3668+(1-SES_Alpha)*G3668))</f>
        <v>6.32925578607196</v>
      </c>
      <c r="H3669" s="33" t="n">
        <f aca="false">IF(D3669="","",D3669-C3669)</f>
        <v>0</v>
      </c>
      <c r="I3669" s="33" t="n">
        <f aca="false">IF(E3669="","",E3669-C3669)</f>
        <v>2</v>
      </c>
      <c r="J3669" s="33" t="n">
        <f aca="false">IF(F3669="","",F3669-C3669)</f>
        <v>2.75</v>
      </c>
      <c r="K3669" s="33" t="n">
        <f aca="false">IF(G3669="","",G3669-C3669)</f>
        <v>2.32925578607196</v>
      </c>
      <c r="L3669" s="33" t="n">
        <f aca="false">IF(H3669="","",ABS(H3669))</f>
        <v>0</v>
      </c>
      <c r="M3669" s="33" t="n">
        <f aca="false">IF(I3669="","",ABS(I3669))</f>
        <v>2</v>
      </c>
      <c r="N3669" s="33" t="n">
        <f aca="false">IF(J3669="","",ABS(J3669))</f>
        <v>2.75</v>
      </c>
      <c r="O3669" s="33" t="n">
        <f aca="false">IF(K3669="","",ABS(K3669))</f>
        <v>2.32925578607196</v>
      </c>
      <c r="P3669" s="34" t="str">
        <f aca="false">IF(B3669&gt;=Eval_Start_Week,"YES","")</f>
        <v/>
      </c>
      <c r="Q3669" s="34" t="str">
        <f aca="false">IF(AND(B3669&gt;=Cal_Start_Week,B3669&lt;=Cal_End_Week),"YES","")</f>
        <v/>
      </c>
    </row>
    <row r="3670" customFormat="false" ht="15" hidden="false" customHeight="false" outlineLevel="0" collapsed="false">
      <c r="A3670" s="31" t="str">
        <f aca="false">Demand_History!C3670</f>
        <v>ELE-007</v>
      </c>
      <c r="B3670" s="31" t="n">
        <f aca="false">Demand_History!A3670</f>
        <v>29</v>
      </c>
      <c r="C3670" s="32" t="n">
        <f aca="false">Demand_History!D3670</f>
        <v>9</v>
      </c>
      <c r="D3670" s="33" t="n">
        <f aca="false">IF(B3670&gt;=2,C3669,"")</f>
        <v>4</v>
      </c>
      <c r="E3670" s="33" t="n">
        <f aca="false">IF(B3670&gt;=5,AVERAGE(C3666:C3669),"")</f>
        <v>5</v>
      </c>
      <c r="F3670" s="33" t="n">
        <f aca="false">IF(B3670&gt;=9,AVERAGE(C3662:C3669),"")</f>
        <v>6.25</v>
      </c>
      <c r="G3670" s="33" t="n">
        <f aca="false">IF(B3670=1,"",IF(B3670=2,C3669,SES_Alpha*C3669+(1-SES_Alpha)*G3669))</f>
        <v>5.63047905025037</v>
      </c>
      <c r="H3670" s="33" t="n">
        <f aca="false">IF(D3670="","",D3670-C3670)</f>
        <v>-5</v>
      </c>
      <c r="I3670" s="33" t="n">
        <f aca="false">IF(E3670="","",E3670-C3670)</f>
        <v>-4</v>
      </c>
      <c r="J3670" s="33" t="n">
        <f aca="false">IF(F3670="","",F3670-C3670)</f>
        <v>-2.75</v>
      </c>
      <c r="K3670" s="33" t="n">
        <f aca="false">IF(G3670="","",G3670-C3670)</f>
        <v>-3.36952094974963</v>
      </c>
      <c r="L3670" s="33" t="n">
        <f aca="false">IF(H3670="","",ABS(H3670))</f>
        <v>5</v>
      </c>
      <c r="M3670" s="33" t="n">
        <f aca="false">IF(I3670="","",ABS(I3670))</f>
        <v>4</v>
      </c>
      <c r="N3670" s="33" t="n">
        <f aca="false">IF(J3670="","",ABS(J3670))</f>
        <v>2.75</v>
      </c>
      <c r="O3670" s="33" t="n">
        <f aca="false">IF(K3670="","",ABS(K3670))</f>
        <v>3.36952094974963</v>
      </c>
      <c r="P3670" s="34" t="str">
        <f aca="false">IF(B3670&gt;=Eval_Start_Week,"YES","")</f>
        <v/>
      </c>
      <c r="Q3670" s="34" t="str">
        <f aca="false">IF(AND(B3670&gt;=Cal_Start_Week,B3670&lt;=Cal_End_Week),"YES","")</f>
        <v/>
      </c>
    </row>
    <row r="3671" customFormat="false" ht="15" hidden="false" customHeight="false" outlineLevel="0" collapsed="false">
      <c r="A3671" s="31" t="str">
        <f aca="false">Demand_History!C3671</f>
        <v>ELE-007</v>
      </c>
      <c r="B3671" s="31" t="n">
        <f aca="false">Demand_History!A3671</f>
        <v>30</v>
      </c>
      <c r="C3671" s="32" t="n">
        <f aca="false">Demand_History!D3671</f>
        <v>8</v>
      </c>
      <c r="D3671" s="33" t="n">
        <f aca="false">IF(B3671&gt;=2,C3670,"")</f>
        <v>9</v>
      </c>
      <c r="E3671" s="33" t="n">
        <f aca="false">IF(B3671&gt;=5,AVERAGE(C3667:C3670),"")</f>
        <v>6.25</v>
      </c>
      <c r="F3671" s="33" t="n">
        <f aca="false">IF(B3671&gt;=9,AVERAGE(C3663:C3670),"")</f>
        <v>6.5</v>
      </c>
      <c r="G3671" s="33" t="n">
        <f aca="false">IF(B3671=1,"",IF(B3671=2,C3670,SES_Alpha*C3670+(1-SES_Alpha)*G3670))</f>
        <v>6.64133533517526</v>
      </c>
      <c r="H3671" s="33" t="n">
        <f aca="false">IF(D3671="","",D3671-C3671)</f>
        <v>1</v>
      </c>
      <c r="I3671" s="33" t="n">
        <f aca="false">IF(E3671="","",E3671-C3671)</f>
        <v>-1.75</v>
      </c>
      <c r="J3671" s="33" t="n">
        <f aca="false">IF(F3671="","",F3671-C3671)</f>
        <v>-1.5</v>
      </c>
      <c r="K3671" s="33" t="n">
        <f aca="false">IF(G3671="","",G3671-C3671)</f>
        <v>-1.35866466482474</v>
      </c>
      <c r="L3671" s="33" t="n">
        <f aca="false">IF(H3671="","",ABS(H3671))</f>
        <v>1</v>
      </c>
      <c r="M3671" s="33" t="n">
        <f aca="false">IF(I3671="","",ABS(I3671))</f>
        <v>1.75</v>
      </c>
      <c r="N3671" s="33" t="n">
        <f aca="false">IF(J3671="","",ABS(J3671))</f>
        <v>1.5</v>
      </c>
      <c r="O3671" s="33" t="n">
        <f aca="false">IF(K3671="","",ABS(K3671))</f>
        <v>1.35866466482474</v>
      </c>
      <c r="P3671" s="34" t="str">
        <f aca="false">IF(B3671&gt;=Eval_Start_Week,"YES","")</f>
        <v/>
      </c>
      <c r="Q3671" s="34" t="str">
        <f aca="false">IF(AND(B3671&gt;=Cal_Start_Week,B3671&lt;=Cal_End_Week),"YES","")</f>
        <v/>
      </c>
    </row>
    <row r="3672" customFormat="false" ht="15" hidden="false" customHeight="false" outlineLevel="0" collapsed="false">
      <c r="A3672" s="31" t="str">
        <f aca="false">Demand_History!C3672</f>
        <v>ELE-007</v>
      </c>
      <c r="B3672" s="31" t="n">
        <f aca="false">Demand_History!A3672</f>
        <v>31</v>
      </c>
      <c r="C3672" s="32" t="n">
        <f aca="false">Demand_History!D3672</f>
        <v>4</v>
      </c>
      <c r="D3672" s="33" t="n">
        <f aca="false">IF(B3672&gt;=2,C3671,"")</f>
        <v>8</v>
      </c>
      <c r="E3672" s="33" t="n">
        <f aca="false">IF(B3672&gt;=5,AVERAGE(C3668:C3671),"")</f>
        <v>6.25</v>
      </c>
      <c r="F3672" s="33" t="n">
        <f aca="false">IF(B3672&gt;=9,AVERAGE(C3664:C3671),"")</f>
        <v>6.625</v>
      </c>
      <c r="G3672" s="33" t="n">
        <f aca="false">IF(B3672=1,"",IF(B3672=2,C3671,SES_Alpha*C3671+(1-SES_Alpha)*G3671))</f>
        <v>7.04893473462268</v>
      </c>
      <c r="H3672" s="33" t="n">
        <f aca="false">IF(D3672="","",D3672-C3672)</f>
        <v>4</v>
      </c>
      <c r="I3672" s="33" t="n">
        <f aca="false">IF(E3672="","",E3672-C3672)</f>
        <v>2.25</v>
      </c>
      <c r="J3672" s="33" t="n">
        <f aca="false">IF(F3672="","",F3672-C3672)</f>
        <v>2.625</v>
      </c>
      <c r="K3672" s="33" t="n">
        <f aca="false">IF(G3672="","",G3672-C3672)</f>
        <v>3.04893473462268</v>
      </c>
      <c r="L3672" s="33" t="n">
        <f aca="false">IF(H3672="","",ABS(H3672))</f>
        <v>4</v>
      </c>
      <c r="M3672" s="33" t="n">
        <f aca="false">IF(I3672="","",ABS(I3672))</f>
        <v>2.25</v>
      </c>
      <c r="N3672" s="33" t="n">
        <f aca="false">IF(J3672="","",ABS(J3672))</f>
        <v>2.625</v>
      </c>
      <c r="O3672" s="33" t="n">
        <f aca="false">IF(K3672="","",ABS(K3672))</f>
        <v>3.04893473462268</v>
      </c>
      <c r="P3672" s="34" t="str">
        <f aca="false">IF(B3672&gt;=Eval_Start_Week,"YES","")</f>
        <v/>
      </c>
      <c r="Q3672" s="34" t="str">
        <f aca="false">IF(AND(B3672&gt;=Cal_Start_Week,B3672&lt;=Cal_End_Week),"YES","")</f>
        <v/>
      </c>
    </row>
    <row r="3673" customFormat="false" ht="15" hidden="false" customHeight="false" outlineLevel="0" collapsed="false">
      <c r="A3673" s="31" t="str">
        <f aca="false">Demand_History!C3673</f>
        <v>ELE-007</v>
      </c>
      <c r="B3673" s="31" t="n">
        <f aca="false">Demand_History!A3673</f>
        <v>32</v>
      </c>
      <c r="C3673" s="32" t="n">
        <f aca="false">Demand_History!D3673</f>
        <v>4</v>
      </c>
      <c r="D3673" s="33" t="n">
        <f aca="false">IF(B3673&gt;=2,C3672,"")</f>
        <v>4</v>
      </c>
      <c r="E3673" s="33" t="n">
        <f aca="false">IF(B3673&gt;=5,AVERAGE(C3669:C3672),"")</f>
        <v>6.25</v>
      </c>
      <c r="F3673" s="33" t="n">
        <f aca="false">IF(B3673&gt;=9,AVERAGE(C3665:C3672),"")</f>
        <v>6.125</v>
      </c>
      <c r="G3673" s="33" t="n">
        <f aca="false">IF(B3673=1,"",IF(B3673=2,C3672,SES_Alpha*C3672+(1-SES_Alpha)*G3672))</f>
        <v>6.13425431423588</v>
      </c>
      <c r="H3673" s="33" t="n">
        <f aca="false">IF(D3673="","",D3673-C3673)</f>
        <v>0</v>
      </c>
      <c r="I3673" s="33" t="n">
        <f aca="false">IF(E3673="","",E3673-C3673)</f>
        <v>2.25</v>
      </c>
      <c r="J3673" s="33" t="n">
        <f aca="false">IF(F3673="","",F3673-C3673)</f>
        <v>2.125</v>
      </c>
      <c r="K3673" s="33" t="n">
        <f aca="false">IF(G3673="","",G3673-C3673)</f>
        <v>2.13425431423588</v>
      </c>
      <c r="L3673" s="33" t="n">
        <f aca="false">IF(H3673="","",ABS(H3673))</f>
        <v>0</v>
      </c>
      <c r="M3673" s="33" t="n">
        <f aca="false">IF(I3673="","",ABS(I3673))</f>
        <v>2.25</v>
      </c>
      <c r="N3673" s="33" t="n">
        <f aca="false">IF(J3673="","",ABS(J3673))</f>
        <v>2.125</v>
      </c>
      <c r="O3673" s="33" t="n">
        <f aca="false">IF(K3673="","",ABS(K3673))</f>
        <v>2.13425431423588</v>
      </c>
      <c r="P3673" s="34" t="str">
        <f aca="false">IF(B3673&gt;=Eval_Start_Week,"YES","")</f>
        <v/>
      </c>
      <c r="Q3673" s="34" t="str">
        <f aca="false">IF(AND(B3673&gt;=Cal_Start_Week,B3673&lt;=Cal_End_Week),"YES","")</f>
        <v/>
      </c>
    </row>
    <row r="3674" customFormat="false" ht="15" hidden="false" customHeight="false" outlineLevel="0" collapsed="false">
      <c r="A3674" s="31" t="str">
        <f aca="false">Demand_History!C3674</f>
        <v>ELE-007</v>
      </c>
      <c r="B3674" s="31" t="n">
        <f aca="false">Demand_History!A3674</f>
        <v>33</v>
      </c>
      <c r="C3674" s="32" t="n">
        <f aca="false">Demand_History!D3674</f>
        <v>9</v>
      </c>
      <c r="D3674" s="33" t="n">
        <f aca="false">IF(B3674&gt;=2,C3673,"")</f>
        <v>4</v>
      </c>
      <c r="E3674" s="33" t="n">
        <f aca="false">IF(B3674&gt;=5,AVERAGE(C3670:C3673),"")</f>
        <v>6.25</v>
      </c>
      <c r="F3674" s="33" t="n">
        <f aca="false">IF(B3674&gt;=9,AVERAGE(C3666:C3673),"")</f>
        <v>5.625</v>
      </c>
      <c r="G3674" s="33" t="n">
        <f aca="false">IF(B3674=1,"",IF(B3674=2,C3673,SES_Alpha*C3673+(1-SES_Alpha)*G3673))</f>
        <v>5.49397801996511</v>
      </c>
      <c r="H3674" s="33" t="n">
        <f aca="false">IF(D3674="","",D3674-C3674)</f>
        <v>-5</v>
      </c>
      <c r="I3674" s="33" t="n">
        <f aca="false">IF(E3674="","",E3674-C3674)</f>
        <v>-2.75</v>
      </c>
      <c r="J3674" s="33" t="n">
        <f aca="false">IF(F3674="","",F3674-C3674)</f>
        <v>-3.375</v>
      </c>
      <c r="K3674" s="33" t="n">
        <f aca="false">IF(G3674="","",G3674-C3674)</f>
        <v>-3.50602198003489</v>
      </c>
      <c r="L3674" s="33" t="n">
        <f aca="false">IF(H3674="","",ABS(H3674))</f>
        <v>5</v>
      </c>
      <c r="M3674" s="33" t="n">
        <f aca="false">IF(I3674="","",ABS(I3674))</f>
        <v>2.75</v>
      </c>
      <c r="N3674" s="33" t="n">
        <f aca="false">IF(J3674="","",ABS(J3674))</f>
        <v>3.375</v>
      </c>
      <c r="O3674" s="33" t="n">
        <f aca="false">IF(K3674="","",ABS(K3674))</f>
        <v>3.50602198003489</v>
      </c>
      <c r="P3674" s="34" t="str">
        <f aca="false">IF(B3674&gt;=Eval_Start_Week,"YES","")</f>
        <v/>
      </c>
      <c r="Q3674" s="34" t="str">
        <f aca="false">IF(AND(B3674&gt;=Cal_Start_Week,B3674&lt;=Cal_End_Week),"YES","")</f>
        <v/>
      </c>
    </row>
    <row r="3675" customFormat="false" ht="15" hidden="false" customHeight="false" outlineLevel="0" collapsed="false">
      <c r="A3675" s="31" t="str">
        <f aca="false">Demand_History!C3675</f>
        <v>ELE-007</v>
      </c>
      <c r="B3675" s="31" t="n">
        <f aca="false">Demand_History!A3675</f>
        <v>34</v>
      </c>
      <c r="C3675" s="32" t="n">
        <f aca="false">Demand_History!D3675</f>
        <v>5</v>
      </c>
      <c r="D3675" s="33" t="n">
        <f aca="false">IF(B3675&gt;=2,C3674,"")</f>
        <v>9</v>
      </c>
      <c r="E3675" s="33" t="n">
        <f aca="false">IF(B3675&gt;=5,AVERAGE(C3671:C3674),"")</f>
        <v>6.25</v>
      </c>
      <c r="F3675" s="33" t="n">
        <f aca="false">IF(B3675&gt;=9,AVERAGE(C3667:C3674),"")</f>
        <v>6.25</v>
      </c>
      <c r="G3675" s="33" t="n">
        <f aca="false">IF(B3675=1,"",IF(B3675=2,C3674,SES_Alpha*C3674+(1-SES_Alpha)*G3674))</f>
        <v>6.54578461397558</v>
      </c>
      <c r="H3675" s="33" t="n">
        <f aca="false">IF(D3675="","",D3675-C3675)</f>
        <v>4</v>
      </c>
      <c r="I3675" s="33" t="n">
        <f aca="false">IF(E3675="","",E3675-C3675)</f>
        <v>1.25</v>
      </c>
      <c r="J3675" s="33" t="n">
        <f aca="false">IF(F3675="","",F3675-C3675)</f>
        <v>1.25</v>
      </c>
      <c r="K3675" s="33" t="n">
        <f aca="false">IF(G3675="","",G3675-C3675)</f>
        <v>1.54578461397558</v>
      </c>
      <c r="L3675" s="33" t="n">
        <f aca="false">IF(H3675="","",ABS(H3675))</f>
        <v>4</v>
      </c>
      <c r="M3675" s="33" t="n">
        <f aca="false">IF(I3675="","",ABS(I3675))</f>
        <v>1.25</v>
      </c>
      <c r="N3675" s="33" t="n">
        <f aca="false">IF(J3675="","",ABS(J3675))</f>
        <v>1.25</v>
      </c>
      <c r="O3675" s="33" t="n">
        <f aca="false">IF(K3675="","",ABS(K3675))</f>
        <v>1.54578461397558</v>
      </c>
      <c r="P3675" s="34" t="str">
        <f aca="false">IF(B3675&gt;=Eval_Start_Week,"YES","")</f>
        <v/>
      </c>
      <c r="Q3675" s="34" t="str">
        <f aca="false">IF(AND(B3675&gt;=Cal_Start_Week,B3675&lt;=Cal_End_Week),"YES","")</f>
        <v/>
      </c>
    </row>
    <row r="3676" customFormat="false" ht="15" hidden="false" customHeight="false" outlineLevel="0" collapsed="false">
      <c r="A3676" s="31" t="str">
        <f aca="false">Demand_History!C3676</f>
        <v>ELE-007</v>
      </c>
      <c r="B3676" s="31" t="n">
        <f aca="false">Demand_History!A3676</f>
        <v>35</v>
      </c>
      <c r="C3676" s="32" t="n">
        <f aca="false">Demand_History!D3676</f>
        <v>13</v>
      </c>
      <c r="D3676" s="33" t="n">
        <f aca="false">IF(B3676&gt;=2,C3675,"")</f>
        <v>5</v>
      </c>
      <c r="E3676" s="33" t="n">
        <f aca="false">IF(B3676&gt;=5,AVERAGE(C3672:C3675),"")</f>
        <v>5.5</v>
      </c>
      <c r="F3676" s="33" t="n">
        <f aca="false">IF(B3676&gt;=9,AVERAGE(C3668:C3675),"")</f>
        <v>5.875</v>
      </c>
      <c r="G3676" s="33" t="n">
        <f aca="false">IF(B3676=1,"",IF(B3676=2,C3675,SES_Alpha*C3675+(1-SES_Alpha)*G3675))</f>
        <v>6.08204922978291</v>
      </c>
      <c r="H3676" s="33" t="n">
        <f aca="false">IF(D3676="","",D3676-C3676)</f>
        <v>-8</v>
      </c>
      <c r="I3676" s="33" t="n">
        <f aca="false">IF(E3676="","",E3676-C3676)</f>
        <v>-7.5</v>
      </c>
      <c r="J3676" s="33" t="n">
        <f aca="false">IF(F3676="","",F3676-C3676)</f>
        <v>-7.125</v>
      </c>
      <c r="K3676" s="33" t="n">
        <f aca="false">IF(G3676="","",G3676-C3676)</f>
        <v>-6.9179507702171</v>
      </c>
      <c r="L3676" s="33" t="n">
        <f aca="false">IF(H3676="","",ABS(H3676))</f>
        <v>8</v>
      </c>
      <c r="M3676" s="33" t="n">
        <f aca="false">IF(I3676="","",ABS(I3676))</f>
        <v>7.5</v>
      </c>
      <c r="N3676" s="33" t="n">
        <f aca="false">IF(J3676="","",ABS(J3676))</f>
        <v>7.125</v>
      </c>
      <c r="O3676" s="33" t="n">
        <f aca="false">IF(K3676="","",ABS(K3676))</f>
        <v>6.9179507702171</v>
      </c>
      <c r="P3676" s="34" t="str">
        <f aca="false">IF(B3676&gt;=Eval_Start_Week,"YES","")</f>
        <v/>
      </c>
      <c r="Q3676" s="34" t="str">
        <f aca="false">IF(AND(B3676&gt;=Cal_Start_Week,B3676&lt;=Cal_End_Week),"YES","")</f>
        <v/>
      </c>
    </row>
    <row r="3677" customFormat="false" ht="15" hidden="false" customHeight="false" outlineLevel="0" collapsed="false">
      <c r="A3677" s="31" t="str">
        <f aca="false">Demand_History!C3677</f>
        <v>ELE-007</v>
      </c>
      <c r="B3677" s="31" t="n">
        <f aca="false">Demand_History!A3677</f>
        <v>36</v>
      </c>
      <c r="C3677" s="32" t="n">
        <f aca="false">Demand_History!D3677</f>
        <v>8</v>
      </c>
      <c r="D3677" s="33" t="n">
        <f aca="false">IF(B3677&gt;=2,C3676,"")</f>
        <v>13</v>
      </c>
      <c r="E3677" s="33" t="n">
        <f aca="false">IF(B3677&gt;=5,AVERAGE(C3673:C3676),"")</f>
        <v>7.75</v>
      </c>
      <c r="F3677" s="33" t="n">
        <f aca="false">IF(B3677&gt;=9,AVERAGE(C3669:C3676),"")</f>
        <v>7</v>
      </c>
      <c r="G3677" s="33" t="n">
        <f aca="false">IF(B3677=1,"",IF(B3677=2,C3676,SES_Alpha*C3676+(1-SES_Alpha)*G3676))</f>
        <v>8.15743446084803</v>
      </c>
      <c r="H3677" s="33" t="n">
        <f aca="false">IF(D3677="","",D3677-C3677)</f>
        <v>5</v>
      </c>
      <c r="I3677" s="33" t="n">
        <f aca="false">IF(E3677="","",E3677-C3677)</f>
        <v>-0.25</v>
      </c>
      <c r="J3677" s="33" t="n">
        <f aca="false">IF(F3677="","",F3677-C3677)</f>
        <v>-1</v>
      </c>
      <c r="K3677" s="33" t="n">
        <f aca="false">IF(G3677="","",G3677-C3677)</f>
        <v>0.157434460848034</v>
      </c>
      <c r="L3677" s="33" t="n">
        <f aca="false">IF(H3677="","",ABS(H3677))</f>
        <v>5</v>
      </c>
      <c r="M3677" s="33" t="n">
        <f aca="false">IF(I3677="","",ABS(I3677))</f>
        <v>0.25</v>
      </c>
      <c r="N3677" s="33" t="n">
        <f aca="false">IF(J3677="","",ABS(J3677))</f>
        <v>1</v>
      </c>
      <c r="O3677" s="33" t="n">
        <f aca="false">IF(K3677="","",ABS(K3677))</f>
        <v>0.157434460848034</v>
      </c>
      <c r="P3677" s="34" t="str">
        <f aca="false">IF(B3677&gt;=Eval_Start_Week,"YES","")</f>
        <v/>
      </c>
      <c r="Q3677" s="34" t="str">
        <f aca="false">IF(AND(B3677&gt;=Cal_Start_Week,B3677&lt;=Cal_End_Week),"YES","")</f>
        <v/>
      </c>
    </row>
    <row r="3678" customFormat="false" ht="15" hidden="false" customHeight="false" outlineLevel="0" collapsed="false">
      <c r="A3678" s="31" t="str">
        <f aca="false">Demand_History!C3678</f>
        <v>ELE-007</v>
      </c>
      <c r="B3678" s="31" t="n">
        <f aca="false">Demand_History!A3678</f>
        <v>37</v>
      </c>
      <c r="C3678" s="32" t="n">
        <f aca="false">Demand_History!D3678</f>
        <v>4</v>
      </c>
      <c r="D3678" s="33" t="n">
        <f aca="false">IF(B3678&gt;=2,C3677,"")</f>
        <v>8</v>
      </c>
      <c r="E3678" s="33" t="n">
        <f aca="false">IF(B3678&gt;=5,AVERAGE(C3674:C3677),"")</f>
        <v>8.75</v>
      </c>
      <c r="F3678" s="33" t="n">
        <f aca="false">IF(B3678&gt;=9,AVERAGE(C3670:C3677),"")</f>
        <v>7.5</v>
      </c>
      <c r="G3678" s="33" t="n">
        <f aca="false">IF(B3678=1,"",IF(B3678=2,C3677,SES_Alpha*C3677+(1-SES_Alpha)*G3677))</f>
        <v>8.11020412259362</v>
      </c>
      <c r="H3678" s="33" t="n">
        <f aca="false">IF(D3678="","",D3678-C3678)</f>
        <v>4</v>
      </c>
      <c r="I3678" s="33" t="n">
        <f aca="false">IF(E3678="","",E3678-C3678)</f>
        <v>4.75</v>
      </c>
      <c r="J3678" s="33" t="n">
        <f aca="false">IF(F3678="","",F3678-C3678)</f>
        <v>3.5</v>
      </c>
      <c r="K3678" s="33" t="n">
        <f aca="false">IF(G3678="","",G3678-C3678)</f>
        <v>4.11020412259362</v>
      </c>
      <c r="L3678" s="33" t="n">
        <f aca="false">IF(H3678="","",ABS(H3678))</f>
        <v>4</v>
      </c>
      <c r="M3678" s="33" t="n">
        <f aca="false">IF(I3678="","",ABS(I3678))</f>
        <v>4.75</v>
      </c>
      <c r="N3678" s="33" t="n">
        <f aca="false">IF(J3678="","",ABS(J3678))</f>
        <v>3.5</v>
      </c>
      <c r="O3678" s="33" t="n">
        <f aca="false">IF(K3678="","",ABS(K3678))</f>
        <v>4.11020412259362</v>
      </c>
      <c r="P3678" s="34" t="str">
        <f aca="false">IF(B3678&gt;=Eval_Start_Week,"YES","")</f>
        <v/>
      </c>
      <c r="Q3678" s="34" t="str">
        <f aca="false">IF(AND(B3678&gt;=Cal_Start_Week,B3678&lt;=Cal_End_Week),"YES","")</f>
        <v>YES</v>
      </c>
    </row>
    <row r="3679" customFormat="false" ht="15" hidden="false" customHeight="false" outlineLevel="0" collapsed="false">
      <c r="A3679" s="31" t="str">
        <f aca="false">Demand_History!C3679</f>
        <v>ELE-007</v>
      </c>
      <c r="B3679" s="31" t="n">
        <f aca="false">Demand_History!A3679</f>
        <v>38</v>
      </c>
      <c r="C3679" s="32" t="n">
        <f aca="false">Demand_History!D3679</f>
        <v>9</v>
      </c>
      <c r="D3679" s="33" t="n">
        <f aca="false">IF(B3679&gt;=2,C3678,"")</f>
        <v>4</v>
      </c>
      <c r="E3679" s="33" t="n">
        <f aca="false">IF(B3679&gt;=5,AVERAGE(C3675:C3678),"")</f>
        <v>7.5</v>
      </c>
      <c r="F3679" s="33" t="n">
        <f aca="false">IF(B3679&gt;=9,AVERAGE(C3671:C3678),"")</f>
        <v>6.875</v>
      </c>
      <c r="G3679" s="33" t="n">
        <f aca="false">IF(B3679=1,"",IF(B3679=2,C3678,SES_Alpha*C3678+(1-SES_Alpha)*G3678))</f>
        <v>6.87714288581554</v>
      </c>
      <c r="H3679" s="33" t="n">
        <f aca="false">IF(D3679="","",D3679-C3679)</f>
        <v>-5</v>
      </c>
      <c r="I3679" s="33" t="n">
        <f aca="false">IF(E3679="","",E3679-C3679)</f>
        <v>-1.5</v>
      </c>
      <c r="J3679" s="33" t="n">
        <f aca="false">IF(F3679="","",F3679-C3679)</f>
        <v>-2.125</v>
      </c>
      <c r="K3679" s="33" t="n">
        <f aca="false">IF(G3679="","",G3679-C3679)</f>
        <v>-2.12285711418446</v>
      </c>
      <c r="L3679" s="33" t="n">
        <f aca="false">IF(H3679="","",ABS(H3679))</f>
        <v>5</v>
      </c>
      <c r="M3679" s="33" t="n">
        <f aca="false">IF(I3679="","",ABS(I3679))</f>
        <v>1.5</v>
      </c>
      <c r="N3679" s="33" t="n">
        <f aca="false">IF(J3679="","",ABS(J3679))</f>
        <v>2.125</v>
      </c>
      <c r="O3679" s="33" t="n">
        <f aca="false">IF(K3679="","",ABS(K3679))</f>
        <v>2.12285711418446</v>
      </c>
      <c r="P3679" s="34" t="str">
        <f aca="false">IF(B3679&gt;=Eval_Start_Week,"YES","")</f>
        <v/>
      </c>
      <c r="Q3679" s="34" t="str">
        <f aca="false">IF(AND(B3679&gt;=Cal_Start_Week,B3679&lt;=Cal_End_Week),"YES","")</f>
        <v>YES</v>
      </c>
    </row>
    <row r="3680" customFormat="false" ht="15" hidden="false" customHeight="false" outlineLevel="0" collapsed="false">
      <c r="A3680" s="31" t="str">
        <f aca="false">Demand_History!C3680</f>
        <v>ELE-007</v>
      </c>
      <c r="B3680" s="31" t="n">
        <f aca="false">Demand_History!A3680</f>
        <v>39</v>
      </c>
      <c r="C3680" s="32" t="n">
        <f aca="false">Demand_History!D3680</f>
        <v>3</v>
      </c>
      <c r="D3680" s="33" t="n">
        <f aca="false">IF(B3680&gt;=2,C3679,"")</f>
        <v>9</v>
      </c>
      <c r="E3680" s="33" t="n">
        <f aca="false">IF(B3680&gt;=5,AVERAGE(C3676:C3679),"")</f>
        <v>8.5</v>
      </c>
      <c r="F3680" s="33" t="n">
        <f aca="false">IF(B3680&gt;=9,AVERAGE(C3672:C3679),"")</f>
        <v>7</v>
      </c>
      <c r="G3680" s="33" t="n">
        <f aca="false">IF(B3680=1,"",IF(B3680=2,C3679,SES_Alpha*C3679+(1-SES_Alpha)*G3679))</f>
        <v>7.51400002007088</v>
      </c>
      <c r="H3680" s="33" t="n">
        <f aca="false">IF(D3680="","",D3680-C3680)</f>
        <v>6</v>
      </c>
      <c r="I3680" s="33" t="n">
        <f aca="false">IF(E3680="","",E3680-C3680)</f>
        <v>5.5</v>
      </c>
      <c r="J3680" s="33" t="n">
        <f aca="false">IF(F3680="","",F3680-C3680)</f>
        <v>4</v>
      </c>
      <c r="K3680" s="33" t="n">
        <f aca="false">IF(G3680="","",G3680-C3680)</f>
        <v>4.51400002007088</v>
      </c>
      <c r="L3680" s="33" t="n">
        <f aca="false">IF(H3680="","",ABS(H3680))</f>
        <v>6</v>
      </c>
      <c r="M3680" s="33" t="n">
        <f aca="false">IF(I3680="","",ABS(I3680))</f>
        <v>5.5</v>
      </c>
      <c r="N3680" s="33" t="n">
        <f aca="false">IF(J3680="","",ABS(J3680))</f>
        <v>4</v>
      </c>
      <c r="O3680" s="33" t="n">
        <f aca="false">IF(K3680="","",ABS(K3680))</f>
        <v>4.51400002007088</v>
      </c>
      <c r="P3680" s="34" t="str">
        <f aca="false">IF(B3680&gt;=Eval_Start_Week,"YES","")</f>
        <v/>
      </c>
      <c r="Q3680" s="34" t="str">
        <f aca="false">IF(AND(B3680&gt;=Cal_Start_Week,B3680&lt;=Cal_End_Week),"YES","")</f>
        <v>YES</v>
      </c>
    </row>
    <row r="3681" customFormat="false" ht="15" hidden="false" customHeight="false" outlineLevel="0" collapsed="false">
      <c r="A3681" s="31" t="str">
        <f aca="false">Demand_History!C3681</f>
        <v>ELE-007</v>
      </c>
      <c r="B3681" s="31" t="n">
        <f aca="false">Demand_History!A3681</f>
        <v>40</v>
      </c>
      <c r="C3681" s="32" t="n">
        <f aca="false">Demand_History!D3681</f>
        <v>8</v>
      </c>
      <c r="D3681" s="33" t="n">
        <f aca="false">IF(B3681&gt;=2,C3680,"")</f>
        <v>3</v>
      </c>
      <c r="E3681" s="33" t="n">
        <f aca="false">IF(B3681&gt;=5,AVERAGE(C3677:C3680),"")</f>
        <v>6</v>
      </c>
      <c r="F3681" s="33" t="n">
        <f aca="false">IF(B3681&gt;=9,AVERAGE(C3673:C3680),"")</f>
        <v>6.875</v>
      </c>
      <c r="G3681" s="33" t="n">
        <f aca="false">IF(B3681=1,"",IF(B3681=2,C3680,SES_Alpha*C3680+(1-SES_Alpha)*G3680))</f>
        <v>6.15980001404961</v>
      </c>
      <c r="H3681" s="33" t="n">
        <f aca="false">IF(D3681="","",D3681-C3681)</f>
        <v>-5</v>
      </c>
      <c r="I3681" s="33" t="n">
        <f aca="false">IF(E3681="","",E3681-C3681)</f>
        <v>-2</v>
      </c>
      <c r="J3681" s="33" t="n">
        <f aca="false">IF(F3681="","",F3681-C3681)</f>
        <v>-1.125</v>
      </c>
      <c r="K3681" s="33" t="n">
        <f aca="false">IF(G3681="","",G3681-C3681)</f>
        <v>-1.84019998595039</v>
      </c>
      <c r="L3681" s="33" t="n">
        <f aca="false">IF(H3681="","",ABS(H3681))</f>
        <v>5</v>
      </c>
      <c r="M3681" s="33" t="n">
        <f aca="false">IF(I3681="","",ABS(I3681))</f>
        <v>2</v>
      </c>
      <c r="N3681" s="33" t="n">
        <f aca="false">IF(J3681="","",ABS(J3681))</f>
        <v>1.125</v>
      </c>
      <c r="O3681" s="33" t="n">
        <f aca="false">IF(K3681="","",ABS(K3681))</f>
        <v>1.84019998595039</v>
      </c>
      <c r="P3681" s="34" t="str">
        <f aca="false">IF(B3681&gt;=Eval_Start_Week,"YES","")</f>
        <v/>
      </c>
      <c r="Q3681" s="34" t="str">
        <f aca="false">IF(AND(B3681&gt;=Cal_Start_Week,B3681&lt;=Cal_End_Week),"YES","")</f>
        <v>YES</v>
      </c>
    </row>
    <row r="3682" customFormat="false" ht="15" hidden="false" customHeight="false" outlineLevel="0" collapsed="false">
      <c r="A3682" s="31" t="str">
        <f aca="false">Demand_History!C3682</f>
        <v>ELE-007</v>
      </c>
      <c r="B3682" s="31" t="n">
        <f aca="false">Demand_History!A3682</f>
        <v>41</v>
      </c>
      <c r="C3682" s="32" t="n">
        <f aca="false">Demand_History!D3682</f>
        <v>8</v>
      </c>
      <c r="D3682" s="33" t="n">
        <f aca="false">IF(B3682&gt;=2,C3681,"")</f>
        <v>8</v>
      </c>
      <c r="E3682" s="33" t="n">
        <f aca="false">IF(B3682&gt;=5,AVERAGE(C3678:C3681),"")</f>
        <v>6</v>
      </c>
      <c r="F3682" s="33" t="n">
        <f aca="false">IF(B3682&gt;=9,AVERAGE(C3674:C3681),"")</f>
        <v>7.375</v>
      </c>
      <c r="G3682" s="33" t="n">
        <f aca="false">IF(B3682=1,"",IF(B3682=2,C3681,SES_Alpha*C3681+(1-SES_Alpha)*G3681))</f>
        <v>6.71186000983473</v>
      </c>
      <c r="H3682" s="33" t="n">
        <f aca="false">IF(D3682="","",D3682-C3682)</f>
        <v>0</v>
      </c>
      <c r="I3682" s="33" t="n">
        <f aca="false">IF(E3682="","",E3682-C3682)</f>
        <v>-2</v>
      </c>
      <c r="J3682" s="33" t="n">
        <f aca="false">IF(F3682="","",F3682-C3682)</f>
        <v>-0.625</v>
      </c>
      <c r="K3682" s="33" t="n">
        <f aca="false">IF(G3682="","",G3682-C3682)</f>
        <v>-1.28813999016527</v>
      </c>
      <c r="L3682" s="33" t="n">
        <f aca="false">IF(H3682="","",ABS(H3682))</f>
        <v>0</v>
      </c>
      <c r="M3682" s="33" t="n">
        <f aca="false">IF(I3682="","",ABS(I3682))</f>
        <v>2</v>
      </c>
      <c r="N3682" s="33" t="n">
        <f aca="false">IF(J3682="","",ABS(J3682))</f>
        <v>0.625</v>
      </c>
      <c r="O3682" s="33" t="n">
        <f aca="false">IF(K3682="","",ABS(K3682))</f>
        <v>1.28813999016527</v>
      </c>
      <c r="P3682" s="34" t="str">
        <f aca="false">IF(B3682&gt;=Eval_Start_Week,"YES","")</f>
        <v/>
      </c>
      <c r="Q3682" s="34" t="str">
        <f aca="false">IF(AND(B3682&gt;=Cal_Start_Week,B3682&lt;=Cal_End_Week),"YES","")</f>
        <v>YES</v>
      </c>
    </row>
    <row r="3683" customFormat="false" ht="15" hidden="false" customHeight="false" outlineLevel="0" collapsed="false">
      <c r="A3683" s="31" t="str">
        <f aca="false">Demand_History!C3683</f>
        <v>ELE-007</v>
      </c>
      <c r="B3683" s="31" t="n">
        <f aca="false">Demand_History!A3683</f>
        <v>42</v>
      </c>
      <c r="C3683" s="32" t="n">
        <f aca="false">Demand_History!D3683</f>
        <v>7</v>
      </c>
      <c r="D3683" s="33" t="n">
        <f aca="false">IF(B3683&gt;=2,C3682,"")</f>
        <v>8</v>
      </c>
      <c r="E3683" s="33" t="n">
        <f aca="false">IF(B3683&gt;=5,AVERAGE(C3679:C3682),"")</f>
        <v>7</v>
      </c>
      <c r="F3683" s="33" t="n">
        <f aca="false">IF(B3683&gt;=9,AVERAGE(C3675:C3682),"")</f>
        <v>7.25</v>
      </c>
      <c r="G3683" s="33" t="n">
        <f aca="false">IF(B3683=1,"",IF(B3683=2,C3682,SES_Alpha*C3682+(1-SES_Alpha)*G3682))</f>
        <v>7.09830200688431</v>
      </c>
      <c r="H3683" s="33" t="n">
        <f aca="false">IF(D3683="","",D3683-C3683)</f>
        <v>1</v>
      </c>
      <c r="I3683" s="33" t="n">
        <f aca="false">IF(E3683="","",E3683-C3683)</f>
        <v>0</v>
      </c>
      <c r="J3683" s="33" t="n">
        <f aca="false">IF(F3683="","",F3683-C3683)</f>
        <v>0.25</v>
      </c>
      <c r="K3683" s="33" t="n">
        <f aca="false">IF(G3683="","",G3683-C3683)</f>
        <v>0.0983020068843086</v>
      </c>
      <c r="L3683" s="33" t="n">
        <f aca="false">IF(H3683="","",ABS(H3683))</f>
        <v>1</v>
      </c>
      <c r="M3683" s="33" t="n">
        <f aca="false">IF(I3683="","",ABS(I3683))</f>
        <v>0</v>
      </c>
      <c r="N3683" s="33" t="n">
        <f aca="false">IF(J3683="","",ABS(J3683))</f>
        <v>0.25</v>
      </c>
      <c r="O3683" s="33" t="n">
        <f aca="false">IF(K3683="","",ABS(K3683))</f>
        <v>0.0983020068843086</v>
      </c>
      <c r="P3683" s="34" t="str">
        <f aca="false">IF(B3683&gt;=Eval_Start_Week,"YES","")</f>
        <v/>
      </c>
      <c r="Q3683" s="34" t="str">
        <f aca="false">IF(AND(B3683&gt;=Cal_Start_Week,B3683&lt;=Cal_End_Week),"YES","")</f>
        <v>YES</v>
      </c>
    </row>
    <row r="3684" customFormat="false" ht="15" hidden="false" customHeight="false" outlineLevel="0" collapsed="false">
      <c r="A3684" s="31" t="str">
        <f aca="false">Demand_History!C3684</f>
        <v>ELE-007</v>
      </c>
      <c r="B3684" s="31" t="n">
        <f aca="false">Demand_History!A3684</f>
        <v>43</v>
      </c>
      <c r="C3684" s="32" t="n">
        <f aca="false">Demand_History!D3684</f>
        <v>6</v>
      </c>
      <c r="D3684" s="33" t="n">
        <f aca="false">IF(B3684&gt;=2,C3683,"")</f>
        <v>7</v>
      </c>
      <c r="E3684" s="33" t="n">
        <f aca="false">IF(B3684&gt;=5,AVERAGE(C3680:C3683),"")</f>
        <v>6.5</v>
      </c>
      <c r="F3684" s="33" t="n">
        <f aca="false">IF(B3684&gt;=9,AVERAGE(C3676:C3683),"")</f>
        <v>7.5</v>
      </c>
      <c r="G3684" s="33" t="n">
        <f aca="false">IF(B3684=1,"",IF(B3684=2,C3683,SES_Alpha*C3683+(1-SES_Alpha)*G3683))</f>
        <v>7.06881140481902</v>
      </c>
      <c r="H3684" s="33" t="n">
        <f aca="false">IF(D3684="","",D3684-C3684)</f>
        <v>1</v>
      </c>
      <c r="I3684" s="33" t="n">
        <f aca="false">IF(E3684="","",E3684-C3684)</f>
        <v>0.5</v>
      </c>
      <c r="J3684" s="33" t="n">
        <f aca="false">IF(F3684="","",F3684-C3684)</f>
        <v>1.5</v>
      </c>
      <c r="K3684" s="33" t="n">
        <f aca="false">IF(G3684="","",G3684-C3684)</f>
        <v>1.06881140481902</v>
      </c>
      <c r="L3684" s="33" t="n">
        <f aca="false">IF(H3684="","",ABS(H3684))</f>
        <v>1</v>
      </c>
      <c r="M3684" s="33" t="n">
        <f aca="false">IF(I3684="","",ABS(I3684))</f>
        <v>0.5</v>
      </c>
      <c r="N3684" s="33" t="n">
        <f aca="false">IF(J3684="","",ABS(J3684))</f>
        <v>1.5</v>
      </c>
      <c r="O3684" s="33" t="n">
        <f aca="false">IF(K3684="","",ABS(K3684))</f>
        <v>1.06881140481902</v>
      </c>
      <c r="P3684" s="34" t="str">
        <f aca="false">IF(B3684&gt;=Eval_Start_Week,"YES","")</f>
        <v/>
      </c>
      <c r="Q3684" s="34" t="str">
        <f aca="false">IF(AND(B3684&gt;=Cal_Start_Week,B3684&lt;=Cal_End_Week),"YES","")</f>
        <v>YES</v>
      </c>
    </row>
    <row r="3685" customFormat="false" ht="15" hidden="false" customHeight="false" outlineLevel="0" collapsed="false">
      <c r="A3685" s="31" t="str">
        <f aca="false">Demand_History!C3685</f>
        <v>ELE-007</v>
      </c>
      <c r="B3685" s="31" t="n">
        <f aca="false">Demand_History!A3685</f>
        <v>44</v>
      </c>
      <c r="C3685" s="32" t="n">
        <f aca="false">Demand_History!D3685</f>
        <v>8</v>
      </c>
      <c r="D3685" s="33" t="n">
        <f aca="false">IF(B3685&gt;=2,C3684,"")</f>
        <v>6</v>
      </c>
      <c r="E3685" s="33" t="n">
        <f aca="false">IF(B3685&gt;=5,AVERAGE(C3681:C3684),"")</f>
        <v>7.25</v>
      </c>
      <c r="F3685" s="33" t="n">
        <f aca="false">IF(B3685&gt;=9,AVERAGE(C3677:C3684),"")</f>
        <v>6.625</v>
      </c>
      <c r="G3685" s="33" t="n">
        <f aca="false">IF(B3685=1,"",IF(B3685=2,C3684,SES_Alpha*C3684+(1-SES_Alpha)*G3684))</f>
        <v>6.74816798337331</v>
      </c>
      <c r="H3685" s="33" t="n">
        <f aca="false">IF(D3685="","",D3685-C3685)</f>
        <v>-2</v>
      </c>
      <c r="I3685" s="33" t="n">
        <f aca="false">IF(E3685="","",E3685-C3685)</f>
        <v>-0.75</v>
      </c>
      <c r="J3685" s="33" t="n">
        <f aca="false">IF(F3685="","",F3685-C3685)</f>
        <v>-1.375</v>
      </c>
      <c r="K3685" s="33" t="n">
        <f aca="false">IF(G3685="","",G3685-C3685)</f>
        <v>-1.25183201662669</v>
      </c>
      <c r="L3685" s="33" t="n">
        <f aca="false">IF(H3685="","",ABS(H3685))</f>
        <v>2</v>
      </c>
      <c r="M3685" s="33" t="n">
        <f aca="false">IF(I3685="","",ABS(I3685))</f>
        <v>0.75</v>
      </c>
      <c r="N3685" s="33" t="n">
        <f aca="false">IF(J3685="","",ABS(J3685))</f>
        <v>1.375</v>
      </c>
      <c r="O3685" s="33" t="n">
        <f aca="false">IF(K3685="","",ABS(K3685))</f>
        <v>1.25183201662669</v>
      </c>
      <c r="P3685" s="34" t="str">
        <f aca="false">IF(B3685&gt;=Eval_Start_Week,"YES","")</f>
        <v/>
      </c>
      <c r="Q3685" s="34" t="str">
        <f aca="false">IF(AND(B3685&gt;=Cal_Start_Week,B3685&lt;=Cal_End_Week),"YES","")</f>
        <v>YES</v>
      </c>
    </row>
    <row r="3686" customFormat="false" ht="15" hidden="false" customHeight="false" outlineLevel="0" collapsed="false">
      <c r="A3686" s="31" t="str">
        <f aca="false">Demand_History!C3686</f>
        <v>ELE-007</v>
      </c>
      <c r="B3686" s="31" t="n">
        <f aca="false">Demand_History!A3686</f>
        <v>45</v>
      </c>
      <c r="C3686" s="32" t="n">
        <f aca="false">Demand_History!D3686</f>
        <v>5</v>
      </c>
      <c r="D3686" s="33" t="n">
        <f aca="false">IF(B3686&gt;=2,C3685,"")</f>
        <v>8</v>
      </c>
      <c r="E3686" s="33" t="n">
        <f aca="false">IF(B3686&gt;=5,AVERAGE(C3682:C3685),"")</f>
        <v>7.25</v>
      </c>
      <c r="F3686" s="33" t="n">
        <f aca="false">IF(B3686&gt;=9,AVERAGE(C3678:C3685),"")</f>
        <v>6.625</v>
      </c>
      <c r="G3686" s="33" t="n">
        <f aca="false">IF(B3686=1,"",IF(B3686=2,C3685,SES_Alpha*C3685+(1-SES_Alpha)*G3685))</f>
        <v>7.12371758836132</v>
      </c>
      <c r="H3686" s="33" t="n">
        <f aca="false">IF(D3686="","",D3686-C3686)</f>
        <v>3</v>
      </c>
      <c r="I3686" s="33" t="n">
        <f aca="false">IF(E3686="","",E3686-C3686)</f>
        <v>2.25</v>
      </c>
      <c r="J3686" s="33" t="n">
        <f aca="false">IF(F3686="","",F3686-C3686)</f>
        <v>1.625</v>
      </c>
      <c r="K3686" s="33" t="n">
        <f aca="false">IF(G3686="","",G3686-C3686)</f>
        <v>2.12371758836132</v>
      </c>
      <c r="L3686" s="33" t="n">
        <f aca="false">IF(H3686="","",ABS(H3686))</f>
        <v>3</v>
      </c>
      <c r="M3686" s="33" t="n">
        <f aca="false">IF(I3686="","",ABS(I3686))</f>
        <v>2.25</v>
      </c>
      <c r="N3686" s="33" t="n">
        <f aca="false">IF(J3686="","",ABS(J3686))</f>
        <v>1.625</v>
      </c>
      <c r="O3686" s="33" t="n">
        <f aca="false">IF(K3686="","",ABS(K3686))</f>
        <v>2.12371758836132</v>
      </c>
      <c r="P3686" s="34" t="str">
        <f aca="false">IF(B3686&gt;=Eval_Start_Week,"YES","")</f>
        <v/>
      </c>
      <c r="Q3686" s="34" t="str">
        <f aca="false">IF(AND(B3686&gt;=Cal_Start_Week,B3686&lt;=Cal_End_Week),"YES","")</f>
        <v>YES</v>
      </c>
    </row>
    <row r="3687" customFormat="false" ht="15" hidden="false" customHeight="false" outlineLevel="0" collapsed="false">
      <c r="A3687" s="31" t="str">
        <f aca="false">Demand_History!C3687</f>
        <v>ELE-007</v>
      </c>
      <c r="B3687" s="31" t="n">
        <f aca="false">Demand_History!A3687</f>
        <v>46</v>
      </c>
      <c r="C3687" s="32" t="n">
        <f aca="false">Demand_History!D3687</f>
        <v>7</v>
      </c>
      <c r="D3687" s="33" t="n">
        <f aca="false">IF(B3687&gt;=2,C3686,"")</f>
        <v>5</v>
      </c>
      <c r="E3687" s="33" t="n">
        <f aca="false">IF(B3687&gt;=5,AVERAGE(C3683:C3686),"")</f>
        <v>6.5</v>
      </c>
      <c r="F3687" s="33" t="n">
        <f aca="false">IF(B3687&gt;=9,AVERAGE(C3679:C3686),"")</f>
        <v>6.75</v>
      </c>
      <c r="G3687" s="33" t="n">
        <f aca="false">IF(B3687=1,"",IF(B3687=2,C3686,SES_Alpha*C3686+(1-SES_Alpha)*G3686))</f>
        <v>6.48660231185292</v>
      </c>
      <c r="H3687" s="33" t="n">
        <f aca="false">IF(D3687="","",D3687-C3687)</f>
        <v>-2</v>
      </c>
      <c r="I3687" s="33" t="n">
        <f aca="false">IF(E3687="","",E3687-C3687)</f>
        <v>-0.5</v>
      </c>
      <c r="J3687" s="33" t="n">
        <f aca="false">IF(F3687="","",F3687-C3687)</f>
        <v>-0.25</v>
      </c>
      <c r="K3687" s="33" t="n">
        <f aca="false">IF(G3687="","",G3687-C3687)</f>
        <v>-0.513397688147079</v>
      </c>
      <c r="L3687" s="33" t="n">
        <f aca="false">IF(H3687="","",ABS(H3687))</f>
        <v>2</v>
      </c>
      <c r="M3687" s="33" t="n">
        <f aca="false">IF(I3687="","",ABS(I3687))</f>
        <v>0.5</v>
      </c>
      <c r="N3687" s="33" t="n">
        <f aca="false">IF(J3687="","",ABS(J3687))</f>
        <v>0.25</v>
      </c>
      <c r="O3687" s="33" t="n">
        <f aca="false">IF(K3687="","",ABS(K3687))</f>
        <v>0.513397688147079</v>
      </c>
      <c r="P3687" s="34" t="str">
        <f aca="false">IF(B3687&gt;=Eval_Start_Week,"YES","")</f>
        <v/>
      </c>
      <c r="Q3687" s="34" t="str">
        <f aca="false">IF(AND(B3687&gt;=Cal_Start_Week,B3687&lt;=Cal_End_Week),"YES","")</f>
        <v>YES</v>
      </c>
    </row>
    <row r="3688" customFormat="false" ht="15" hidden="false" customHeight="false" outlineLevel="0" collapsed="false">
      <c r="A3688" s="31" t="str">
        <f aca="false">Demand_History!C3688</f>
        <v>ELE-007</v>
      </c>
      <c r="B3688" s="31" t="n">
        <f aca="false">Demand_History!A3688</f>
        <v>47</v>
      </c>
      <c r="C3688" s="32" t="n">
        <f aca="false">Demand_History!D3688</f>
        <v>5</v>
      </c>
      <c r="D3688" s="33" t="n">
        <f aca="false">IF(B3688&gt;=2,C3687,"")</f>
        <v>7</v>
      </c>
      <c r="E3688" s="33" t="n">
        <f aca="false">IF(B3688&gt;=5,AVERAGE(C3684:C3687),"")</f>
        <v>6.5</v>
      </c>
      <c r="F3688" s="33" t="n">
        <f aca="false">IF(B3688&gt;=9,AVERAGE(C3680:C3687),"")</f>
        <v>6.5</v>
      </c>
      <c r="G3688" s="33" t="n">
        <f aca="false">IF(B3688=1,"",IF(B3688=2,C3687,SES_Alpha*C3687+(1-SES_Alpha)*G3687))</f>
        <v>6.64062161829705</v>
      </c>
      <c r="H3688" s="33" t="n">
        <f aca="false">IF(D3688="","",D3688-C3688)</f>
        <v>2</v>
      </c>
      <c r="I3688" s="33" t="n">
        <f aca="false">IF(E3688="","",E3688-C3688)</f>
        <v>1.5</v>
      </c>
      <c r="J3688" s="33" t="n">
        <f aca="false">IF(F3688="","",F3688-C3688)</f>
        <v>1.5</v>
      </c>
      <c r="K3688" s="33" t="n">
        <f aca="false">IF(G3688="","",G3688-C3688)</f>
        <v>1.64062161829705</v>
      </c>
      <c r="L3688" s="33" t="n">
        <f aca="false">IF(H3688="","",ABS(H3688))</f>
        <v>2</v>
      </c>
      <c r="M3688" s="33" t="n">
        <f aca="false">IF(I3688="","",ABS(I3688))</f>
        <v>1.5</v>
      </c>
      <c r="N3688" s="33" t="n">
        <f aca="false">IF(J3688="","",ABS(J3688))</f>
        <v>1.5</v>
      </c>
      <c r="O3688" s="33" t="n">
        <f aca="false">IF(K3688="","",ABS(K3688))</f>
        <v>1.64062161829705</v>
      </c>
      <c r="P3688" s="34" t="str">
        <f aca="false">IF(B3688&gt;=Eval_Start_Week,"YES","")</f>
        <v/>
      </c>
      <c r="Q3688" s="34" t="str">
        <f aca="false">IF(AND(B3688&gt;=Cal_Start_Week,B3688&lt;=Cal_End_Week),"YES","")</f>
        <v>YES</v>
      </c>
    </row>
    <row r="3689" customFormat="false" ht="15" hidden="false" customHeight="false" outlineLevel="0" collapsed="false">
      <c r="A3689" s="31" t="str">
        <f aca="false">Demand_History!C3689</f>
        <v>ELE-007</v>
      </c>
      <c r="B3689" s="31" t="n">
        <f aca="false">Demand_History!A3689</f>
        <v>48</v>
      </c>
      <c r="C3689" s="32" t="n">
        <f aca="false">Demand_History!D3689</f>
        <v>5</v>
      </c>
      <c r="D3689" s="33" t="n">
        <f aca="false">IF(B3689&gt;=2,C3688,"")</f>
        <v>5</v>
      </c>
      <c r="E3689" s="33" t="n">
        <f aca="false">IF(B3689&gt;=5,AVERAGE(C3685:C3688),"")</f>
        <v>6.25</v>
      </c>
      <c r="F3689" s="33" t="n">
        <f aca="false">IF(B3689&gt;=9,AVERAGE(C3681:C3688),"")</f>
        <v>6.75</v>
      </c>
      <c r="G3689" s="33" t="n">
        <f aca="false">IF(B3689=1,"",IF(B3689=2,C3688,SES_Alpha*C3688+(1-SES_Alpha)*G3688))</f>
        <v>6.14843513280793</v>
      </c>
      <c r="H3689" s="33" t="n">
        <f aca="false">IF(D3689="","",D3689-C3689)</f>
        <v>0</v>
      </c>
      <c r="I3689" s="33" t="n">
        <f aca="false">IF(E3689="","",E3689-C3689)</f>
        <v>1.25</v>
      </c>
      <c r="J3689" s="33" t="n">
        <f aca="false">IF(F3689="","",F3689-C3689)</f>
        <v>1.75</v>
      </c>
      <c r="K3689" s="33" t="n">
        <f aca="false">IF(G3689="","",G3689-C3689)</f>
        <v>1.14843513280793</v>
      </c>
      <c r="L3689" s="33" t="n">
        <f aca="false">IF(H3689="","",ABS(H3689))</f>
        <v>0</v>
      </c>
      <c r="M3689" s="33" t="n">
        <f aca="false">IF(I3689="","",ABS(I3689))</f>
        <v>1.25</v>
      </c>
      <c r="N3689" s="33" t="n">
        <f aca="false">IF(J3689="","",ABS(J3689))</f>
        <v>1.75</v>
      </c>
      <c r="O3689" s="33" t="n">
        <f aca="false">IF(K3689="","",ABS(K3689))</f>
        <v>1.14843513280793</v>
      </c>
      <c r="P3689" s="34" t="str">
        <f aca="false">IF(B3689&gt;=Eval_Start_Week,"YES","")</f>
        <v/>
      </c>
      <c r="Q3689" s="34" t="str">
        <f aca="false">IF(AND(B3689&gt;=Cal_Start_Week,B3689&lt;=Cal_End_Week),"YES","")</f>
        <v>YES</v>
      </c>
    </row>
    <row r="3690" customFormat="false" ht="15" hidden="false" customHeight="false" outlineLevel="0" collapsed="false">
      <c r="A3690" s="31" t="str">
        <f aca="false">Demand_History!C3690</f>
        <v>ELE-007</v>
      </c>
      <c r="B3690" s="31" t="n">
        <f aca="false">Demand_History!A3690</f>
        <v>49</v>
      </c>
      <c r="C3690" s="32" t="n">
        <f aca="false">Demand_History!D3690</f>
        <v>11</v>
      </c>
      <c r="D3690" s="33" t="n">
        <f aca="false">IF(B3690&gt;=2,C3689,"")</f>
        <v>5</v>
      </c>
      <c r="E3690" s="33" t="n">
        <f aca="false">IF(B3690&gt;=5,AVERAGE(C3686:C3689),"")</f>
        <v>5.5</v>
      </c>
      <c r="F3690" s="33" t="n">
        <f aca="false">IF(B3690&gt;=9,AVERAGE(C3682:C3689),"")</f>
        <v>6.375</v>
      </c>
      <c r="G3690" s="33" t="n">
        <f aca="false">IF(B3690=1,"",IF(B3690=2,C3689,SES_Alpha*C3689+(1-SES_Alpha)*G3689))</f>
        <v>5.80390459296555</v>
      </c>
      <c r="H3690" s="33" t="n">
        <f aca="false">IF(D3690="","",D3690-C3690)</f>
        <v>-6</v>
      </c>
      <c r="I3690" s="33" t="n">
        <f aca="false">IF(E3690="","",E3690-C3690)</f>
        <v>-5.5</v>
      </c>
      <c r="J3690" s="33" t="n">
        <f aca="false">IF(F3690="","",F3690-C3690)</f>
        <v>-4.625</v>
      </c>
      <c r="K3690" s="33" t="n">
        <f aca="false">IF(G3690="","",G3690-C3690)</f>
        <v>-5.19609540703445</v>
      </c>
      <c r="L3690" s="33" t="n">
        <f aca="false">IF(H3690="","",ABS(H3690))</f>
        <v>6</v>
      </c>
      <c r="M3690" s="33" t="n">
        <f aca="false">IF(I3690="","",ABS(I3690))</f>
        <v>5.5</v>
      </c>
      <c r="N3690" s="33" t="n">
        <f aca="false">IF(J3690="","",ABS(J3690))</f>
        <v>4.625</v>
      </c>
      <c r="O3690" s="33" t="n">
        <f aca="false">IF(K3690="","",ABS(K3690))</f>
        <v>5.19609540703445</v>
      </c>
      <c r="P3690" s="34" t="str">
        <f aca="false">IF(B3690&gt;=Eval_Start_Week,"YES","")</f>
        <v/>
      </c>
      <c r="Q3690" s="34" t="str">
        <f aca="false">IF(AND(B3690&gt;=Cal_Start_Week,B3690&lt;=Cal_End_Week),"YES","")</f>
        <v>YES</v>
      </c>
    </row>
    <row r="3691" customFormat="false" ht="15" hidden="false" customHeight="false" outlineLevel="0" collapsed="false">
      <c r="A3691" s="31" t="str">
        <f aca="false">Demand_History!C3691</f>
        <v>ELE-007</v>
      </c>
      <c r="B3691" s="31" t="n">
        <f aca="false">Demand_History!A3691</f>
        <v>50</v>
      </c>
      <c r="C3691" s="32" t="n">
        <f aca="false">Demand_History!D3691</f>
        <v>8</v>
      </c>
      <c r="D3691" s="33" t="n">
        <f aca="false">IF(B3691&gt;=2,C3690,"")</f>
        <v>11</v>
      </c>
      <c r="E3691" s="33" t="n">
        <f aca="false">IF(B3691&gt;=5,AVERAGE(C3687:C3690),"")</f>
        <v>7</v>
      </c>
      <c r="F3691" s="33" t="n">
        <f aca="false">IF(B3691&gt;=9,AVERAGE(C3683:C3690),"")</f>
        <v>6.75</v>
      </c>
      <c r="G3691" s="33" t="n">
        <f aca="false">IF(B3691=1,"",IF(B3691=2,C3690,SES_Alpha*C3690+(1-SES_Alpha)*G3690))</f>
        <v>7.36273321507589</v>
      </c>
      <c r="H3691" s="33" t="n">
        <f aca="false">IF(D3691="","",D3691-C3691)</f>
        <v>3</v>
      </c>
      <c r="I3691" s="33" t="n">
        <f aca="false">IF(E3691="","",E3691-C3691)</f>
        <v>-1</v>
      </c>
      <c r="J3691" s="33" t="n">
        <f aca="false">IF(F3691="","",F3691-C3691)</f>
        <v>-1.25</v>
      </c>
      <c r="K3691" s="33" t="n">
        <f aca="false">IF(G3691="","",G3691-C3691)</f>
        <v>-0.637266784924115</v>
      </c>
      <c r="L3691" s="33" t="n">
        <f aca="false">IF(H3691="","",ABS(H3691))</f>
        <v>3</v>
      </c>
      <c r="M3691" s="33" t="n">
        <f aca="false">IF(I3691="","",ABS(I3691))</f>
        <v>1</v>
      </c>
      <c r="N3691" s="33" t="n">
        <f aca="false">IF(J3691="","",ABS(J3691))</f>
        <v>1.25</v>
      </c>
      <c r="O3691" s="33" t="n">
        <f aca="false">IF(K3691="","",ABS(K3691))</f>
        <v>0.637266784924115</v>
      </c>
      <c r="P3691" s="34" t="str">
        <f aca="false">IF(B3691&gt;=Eval_Start_Week,"YES","")</f>
        <v/>
      </c>
      <c r="Q3691" s="34" t="str">
        <f aca="false">IF(AND(B3691&gt;=Cal_Start_Week,B3691&lt;=Cal_End_Week),"YES","")</f>
        <v>YES</v>
      </c>
    </row>
    <row r="3692" customFormat="false" ht="15" hidden="false" customHeight="false" outlineLevel="0" collapsed="false">
      <c r="A3692" s="31" t="str">
        <f aca="false">Demand_History!C3692</f>
        <v>ELE-007</v>
      </c>
      <c r="B3692" s="31" t="n">
        <f aca="false">Demand_History!A3692</f>
        <v>51</v>
      </c>
      <c r="C3692" s="32" t="n">
        <f aca="false">Demand_History!D3692</f>
        <v>3</v>
      </c>
      <c r="D3692" s="33" t="n">
        <f aca="false">IF(B3692&gt;=2,C3691,"")</f>
        <v>8</v>
      </c>
      <c r="E3692" s="33" t="n">
        <f aca="false">IF(B3692&gt;=5,AVERAGE(C3688:C3691),"")</f>
        <v>7.25</v>
      </c>
      <c r="F3692" s="33" t="n">
        <f aca="false">IF(B3692&gt;=9,AVERAGE(C3684:C3691),"")</f>
        <v>6.875</v>
      </c>
      <c r="G3692" s="33" t="n">
        <f aca="false">IF(B3692=1,"",IF(B3692=2,C3691,SES_Alpha*C3691+(1-SES_Alpha)*G3691))</f>
        <v>7.55391325055312</v>
      </c>
      <c r="H3692" s="33" t="n">
        <f aca="false">IF(D3692="","",D3692-C3692)</f>
        <v>5</v>
      </c>
      <c r="I3692" s="33" t="n">
        <f aca="false">IF(E3692="","",E3692-C3692)</f>
        <v>4.25</v>
      </c>
      <c r="J3692" s="33" t="n">
        <f aca="false">IF(F3692="","",F3692-C3692)</f>
        <v>3.875</v>
      </c>
      <c r="K3692" s="33" t="n">
        <f aca="false">IF(G3692="","",G3692-C3692)</f>
        <v>4.55391325055312</v>
      </c>
      <c r="L3692" s="33" t="n">
        <f aca="false">IF(H3692="","",ABS(H3692))</f>
        <v>5</v>
      </c>
      <c r="M3692" s="33" t="n">
        <f aca="false">IF(I3692="","",ABS(I3692))</f>
        <v>4.25</v>
      </c>
      <c r="N3692" s="33" t="n">
        <f aca="false">IF(J3692="","",ABS(J3692))</f>
        <v>3.875</v>
      </c>
      <c r="O3692" s="33" t="n">
        <f aca="false">IF(K3692="","",ABS(K3692))</f>
        <v>4.55391325055312</v>
      </c>
      <c r="P3692" s="34" t="str">
        <f aca="false">IF(B3692&gt;=Eval_Start_Week,"YES","")</f>
        <v/>
      </c>
      <c r="Q3692" s="34" t="str">
        <f aca="false">IF(AND(B3692&gt;=Cal_Start_Week,B3692&lt;=Cal_End_Week),"YES","")</f>
        <v>YES</v>
      </c>
    </row>
    <row r="3693" customFormat="false" ht="15" hidden="false" customHeight="false" outlineLevel="0" collapsed="false">
      <c r="A3693" s="31" t="str">
        <f aca="false">Demand_History!C3693</f>
        <v>ELE-007</v>
      </c>
      <c r="B3693" s="31" t="n">
        <f aca="false">Demand_History!A3693</f>
        <v>52</v>
      </c>
      <c r="C3693" s="32" t="n">
        <f aca="false">Demand_History!D3693</f>
        <v>5</v>
      </c>
      <c r="D3693" s="33" t="n">
        <f aca="false">IF(B3693&gt;=2,C3692,"")</f>
        <v>3</v>
      </c>
      <c r="E3693" s="33" t="n">
        <f aca="false">IF(B3693&gt;=5,AVERAGE(C3689:C3692),"")</f>
        <v>6.75</v>
      </c>
      <c r="F3693" s="33" t="n">
        <f aca="false">IF(B3693&gt;=9,AVERAGE(C3685:C3692),"")</f>
        <v>6.5</v>
      </c>
      <c r="G3693" s="33" t="n">
        <f aca="false">IF(B3693=1,"",IF(B3693=2,C3692,SES_Alpha*C3692+(1-SES_Alpha)*G3692))</f>
        <v>6.18773927538718</v>
      </c>
      <c r="H3693" s="33" t="n">
        <f aca="false">IF(D3693="","",D3693-C3693)</f>
        <v>-2</v>
      </c>
      <c r="I3693" s="33" t="n">
        <f aca="false">IF(E3693="","",E3693-C3693)</f>
        <v>1.75</v>
      </c>
      <c r="J3693" s="33" t="n">
        <f aca="false">IF(F3693="","",F3693-C3693)</f>
        <v>1.5</v>
      </c>
      <c r="K3693" s="33" t="n">
        <f aca="false">IF(G3693="","",G3693-C3693)</f>
        <v>1.18773927538718</v>
      </c>
      <c r="L3693" s="33" t="n">
        <f aca="false">IF(H3693="","",ABS(H3693))</f>
        <v>2</v>
      </c>
      <c r="M3693" s="33" t="n">
        <f aca="false">IF(I3693="","",ABS(I3693))</f>
        <v>1.75</v>
      </c>
      <c r="N3693" s="33" t="n">
        <f aca="false">IF(J3693="","",ABS(J3693))</f>
        <v>1.5</v>
      </c>
      <c r="O3693" s="33" t="n">
        <f aca="false">IF(K3693="","",ABS(K3693))</f>
        <v>1.18773927538718</v>
      </c>
      <c r="P3693" s="34" t="str">
        <f aca="false">IF(B3693&gt;=Eval_Start_Week,"YES","")</f>
        <v/>
      </c>
      <c r="Q3693" s="34" t="str">
        <f aca="false">IF(AND(B3693&gt;=Cal_Start_Week,B3693&lt;=Cal_End_Week),"YES","")</f>
        <v>YES</v>
      </c>
    </row>
    <row r="3694" customFormat="false" ht="15" hidden="false" customHeight="false" outlineLevel="0" collapsed="false">
      <c r="A3694" s="31" t="str">
        <f aca="false">Demand_History!C3694</f>
        <v>ELE-007</v>
      </c>
      <c r="B3694" s="31" t="n">
        <f aca="false">Demand_History!A3694</f>
        <v>53</v>
      </c>
      <c r="C3694" s="32" t="n">
        <f aca="false">Demand_History!D3694</f>
        <v>9</v>
      </c>
      <c r="D3694" s="33" t="n">
        <f aca="false">IF(B3694&gt;=2,C3693,"")</f>
        <v>5</v>
      </c>
      <c r="E3694" s="33" t="n">
        <f aca="false">IF(B3694&gt;=5,AVERAGE(C3690:C3693),"")</f>
        <v>6.75</v>
      </c>
      <c r="F3694" s="33" t="n">
        <f aca="false">IF(B3694&gt;=9,AVERAGE(C3686:C3693),"")</f>
        <v>6.125</v>
      </c>
      <c r="G3694" s="33" t="n">
        <f aca="false">IF(B3694=1,"",IF(B3694=2,C3693,SES_Alpha*C3693+(1-SES_Alpha)*G3693))</f>
        <v>5.83141749277103</v>
      </c>
      <c r="H3694" s="33" t="n">
        <f aca="false">IF(D3694="","",D3694-C3694)</f>
        <v>-4</v>
      </c>
      <c r="I3694" s="33" t="n">
        <f aca="false">IF(E3694="","",E3694-C3694)</f>
        <v>-2.25</v>
      </c>
      <c r="J3694" s="33" t="n">
        <f aca="false">IF(F3694="","",F3694-C3694)</f>
        <v>-2.875</v>
      </c>
      <c r="K3694" s="33" t="n">
        <f aca="false">IF(G3694="","",G3694-C3694)</f>
        <v>-3.16858250722897</v>
      </c>
      <c r="L3694" s="33" t="n">
        <f aca="false">IF(H3694="","",ABS(H3694))</f>
        <v>4</v>
      </c>
      <c r="M3694" s="33" t="n">
        <f aca="false">IF(I3694="","",ABS(I3694))</f>
        <v>2.25</v>
      </c>
      <c r="N3694" s="33" t="n">
        <f aca="false">IF(J3694="","",ABS(J3694))</f>
        <v>2.875</v>
      </c>
      <c r="O3694" s="33" t="n">
        <f aca="false">IF(K3694="","",ABS(K3694))</f>
        <v>3.16858250722897</v>
      </c>
      <c r="P3694" s="34" t="str">
        <f aca="false">IF(B3694&gt;=Eval_Start_Week,"YES","")</f>
        <v>YES</v>
      </c>
      <c r="Q3694" s="34" t="str">
        <f aca="false">IF(AND(B3694&gt;=Cal_Start_Week,B3694&lt;=Cal_End_Week),"YES","")</f>
        <v>YES</v>
      </c>
    </row>
    <row r="3695" customFormat="false" ht="15" hidden="false" customHeight="false" outlineLevel="0" collapsed="false">
      <c r="A3695" s="31" t="str">
        <f aca="false">Demand_History!C3695</f>
        <v>ELE-007</v>
      </c>
      <c r="B3695" s="31" t="n">
        <f aca="false">Demand_History!A3695</f>
        <v>54</v>
      </c>
      <c r="C3695" s="32" t="n">
        <f aca="false">Demand_History!D3695</f>
        <v>10</v>
      </c>
      <c r="D3695" s="33" t="n">
        <f aca="false">IF(B3695&gt;=2,C3694,"")</f>
        <v>9</v>
      </c>
      <c r="E3695" s="33" t="n">
        <f aca="false">IF(B3695&gt;=5,AVERAGE(C3691:C3694),"")</f>
        <v>6.25</v>
      </c>
      <c r="F3695" s="33" t="n">
        <f aca="false">IF(B3695&gt;=9,AVERAGE(C3687:C3694),"")</f>
        <v>6.625</v>
      </c>
      <c r="G3695" s="33" t="n">
        <f aca="false">IF(B3695=1,"",IF(B3695=2,C3694,SES_Alpha*C3694+(1-SES_Alpha)*G3694))</f>
        <v>6.78199224493972</v>
      </c>
      <c r="H3695" s="33" t="n">
        <f aca="false">IF(D3695="","",D3695-C3695)</f>
        <v>-1</v>
      </c>
      <c r="I3695" s="33" t="n">
        <f aca="false">IF(E3695="","",E3695-C3695)</f>
        <v>-3.75</v>
      </c>
      <c r="J3695" s="33" t="n">
        <f aca="false">IF(F3695="","",F3695-C3695)</f>
        <v>-3.375</v>
      </c>
      <c r="K3695" s="33" t="n">
        <f aca="false">IF(G3695="","",G3695-C3695)</f>
        <v>-3.21800775506028</v>
      </c>
      <c r="L3695" s="33" t="n">
        <f aca="false">IF(H3695="","",ABS(H3695))</f>
        <v>1</v>
      </c>
      <c r="M3695" s="33" t="n">
        <f aca="false">IF(I3695="","",ABS(I3695))</f>
        <v>3.75</v>
      </c>
      <c r="N3695" s="33" t="n">
        <f aca="false">IF(J3695="","",ABS(J3695))</f>
        <v>3.375</v>
      </c>
      <c r="O3695" s="33" t="n">
        <f aca="false">IF(K3695="","",ABS(K3695))</f>
        <v>3.21800775506028</v>
      </c>
      <c r="P3695" s="34" t="str">
        <f aca="false">IF(B3695&gt;=Eval_Start_Week,"YES","")</f>
        <v>YES</v>
      </c>
      <c r="Q3695" s="34" t="str">
        <f aca="false">IF(AND(B3695&gt;=Cal_Start_Week,B3695&lt;=Cal_End_Week),"YES","")</f>
        <v>YES</v>
      </c>
    </row>
    <row r="3696" customFormat="false" ht="15" hidden="false" customHeight="false" outlineLevel="0" collapsed="false">
      <c r="A3696" s="31" t="str">
        <f aca="false">Demand_History!C3696</f>
        <v>ELE-007</v>
      </c>
      <c r="B3696" s="31" t="n">
        <f aca="false">Demand_History!A3696</f>
        <v>55</v>
      </c>
      <c r="C3696" s="32" t="n">
        <f aca="false">Demand_History!D3696</f>
        <v>8</v>
      </c>
      <c r="D3696" s="33" t="n">
        <f aca="false">IF(B3696&gt;=2,C3695,"")</f>
        <v>10</v>
      </c>
      <c r="E3696" s="33" t="n">
        <f aca="false">IF(B3696&gt;=5,AVERAGE(C3692:C3695),"")</f>
        <v>6.75</v>
      </c>
      <c r="F3696" s="33" t="n">
        <f aca="false">IF(B3696&gt;=9,AVERAGE(C3688:C3695),"")</f>
        <v>7</v>
      </c>
      <c r="G3696" s="33" t="n">
        <f aca="false">IF(B3696=1,"",IF(B3696=2,C3695,SES_Alpha*C3695+(1-SES_Alpha)*G3695))</f>
        <v>7.7473945714578</v>
      </c>
      <c r="H3696" s="33" t="n">
        <f aca="false">IF(D3696="","",D3696-C3696)</f>
        <v>2</v>
      </c>
      <c r="I3696" s="33" t="n">
        <f aca="false">IF(E3696="","",E3696-C3696)</f>
        <v>-1.25</v>
      </c>
      <c r="J3696" s="33" t="n">
        <f aca="false">IF(F3696="","",F3696-C3696)</f>
        <v>-1</v>
      </c>
      <c r="K3696" s="33" t="n">
        <f aca="false">IF(G3696="","",G3696-C3696)</f>
        <v>-0.252605428542197</v>
      </c>
      <c r="L3696" s="33" t="n">
        <f aca="false">IF(H3696="","",ABS(H3696))</f>
        <v>2</v>
      </c>
      <c r="M3696" s="33" t="n">
        <f aca="false">IF(I3696="","",ABS(I3696))</f>
        <v>1.25</v>
      </c>
      <c r="N3696" s="33" t="n">
        <f aca="false">IF(J3696="","",ABS(J3696))</f>
        <v>1</v>
      </c>
      <c r="O3696" s="33" t="n">
        <f aca="false">IF(K3696="","",ABS(K3696))</f>
        <v>0.252605428542197</v>
      </c>
      <c r="P3696" s="34" t="str">
        <f aca="false">IF(B3696&gt;=Eval_Start_Week,"YES","")</f>
        <v>YES</v>
      </c>
      <c r="Q3696" s="34" t="str">
        <f aca="false">IF(AND(B3696&gt;=Cal_Start_Week,B3696&lt;=Cal_End_Week),"YES","")</f>
        <v>YES</v>
      </c>
    </row>
    <row r="3697" customFormat="false" ht="15" hidden="false" customHeight="false" outlineLevel="0" collapsed="false">
      <c r="A3697" s="31" t="str">
        <f aca="false">Demand_History!C3697</f>
        <v>ELE-007</v>
      </c>
      <c r="B3697" s="31" t="n">
        <f aca="false">Demand_History!A3697</f>
        <v>56</v>
      </c>
      <c r="C3697" s="32" t="n">
        <f aca="false">Demand_History!D3697</f>
        <v>7</v>
      </c>
      <c r="D3697" s="33" t="n">
        <f aca="false">IF(B3697&gt;=2,C3696,"")</f>
        <v>8</v>
      </c>
      <c r="E3697" s="33" t="n">
        <f aca="false">IF(B3697&gt;=5,AVERAGE(C3693:C3696),"")</f>
        <v>8</v>
      </c>
      <c r="F3697" s="33" t="n">
        <f aca="false">IF(B3697&gt;=9,AVERAGE(C3689:C3696),"")</f>
        <v>7.375</v>
      </c>
      <c r="G3697" s="33" t="n">
        <f aca="false">IF(B3697=1,"",IF(B3697=2,C3696,SES_Alpha*C3696+(1-SES_Alpha)*G3696))</f>
        <v>7.82317620002046</v>
      </c>
      <c r="H3697" s="33" t="n">
        <f aca="false">IF(D3697="","",D3697-C3697)</f>
        <v>1</v>
      </c>
      <c r="I3697" s="33" t="n">
        <f aca="false">IF(E3697="","",E3697-C3697)</f>
        <v>1</v>
      </c>
      <c r="J3697" s="33" t="n">
        <f aca="false">IF(F3697="","",F3697-C3697)</f>
        <v>0.375</v>
      </c>
      <c r="K3697" s="33" t="n">
        <f aca="false">IF(G3697="","",G3697-C3697)</f>
        <v>0.823176200020461</v>
      </c>
      <c r="L3697" s="33" t="n">
        <f aca="false">IF(H3697="","",ABS(H3697))</f>
        <v>1</v>
      </c>
      <c r="M3697" s="33" t="n">
        <f aca="false">IF(I3697="","",ABS(I3697))</f>
        <v>1</v>
      </c>
      <c r="N3697" s="33" t="n">
        <f aca="false">IF(J3697="","",ABS(J3697))</f>
        <v>0.375</v>
      </c>
      <c r="O3697" s="33" t="n">
        <f aca="false">IF(K3697="","",ABS(K3697))</f>
        <v>0.823176200020461</v>
      </c>
      <c r="P3697" s="34" t="str">
        <f aca="false">IF(B3697&gt;=Eval_Start_Week,"YES","")</f>
        <v>YES</v>
      </c>
      <c r="Q3697" s="34" t="str">
        <f aca="false">IF(AND(B3697&gt;=Cal_Start_Week,B3697&lt;=Cal_End_Week),"YES","")</f>
        <v>YES</v>
      </c>
    </row>
    <row r="3698" customFormat="false" ht="15" hidden="false" customHeight="false" outlineLevel="0" collapsed="false">
      <c r="A3698" s="31" t="str">
        <f aca="false">Demand_History!C3698</f>
        <v>ELE-007</v>
      </c>
      <c r="B3698" s="31" t="n">
        <f aca="false">Demand_History!A3698</f>
        <v>57</v>
      </c>
      <c r="C3698" s="32" t="n">
        <f aca="false">Demand_History!D3698</f>
        <v>9</v>
      </c>
      <c r="D3698" s="33" t="n">
        <f aca="false">IF(B3698&gt;=2,C3697,"")</f>
        <v>7</v>
      </c>
      <c r="E3698" s="33" t="n">
        <f aca="false">IF(B3698&gt;=5,AVERAGE(C3694:C3697),"")</f>
        <v>8.5</v>
      </c>
      <c r="F3698" s="33" t="n">
        <f aca="false">IF(B3698&gt;=9,AVERAGE(C3690:C3697),"")</f>
        <v>7.625</v>
      </c>
      <c r="G3698" s="33" t="n">
        <f aca="false">IF(B3698=1,"",IF(B3698=2,C3697,SES_Alpha*C3697+(1-SES_Alpha)*G3697))</f>
        <v>7.57622334001432</v>
      </c>
      <c r="H3698" s="33" t="n">
        <f aca="false">IF(D3698="","",D3698-C3698)</f>
        <v>-2</v>
      </c>
      <c r="I3698" s="33" t="n">
        <f aca="false">IF(E3698="","",E3698-C3698)</f>
        <v>-0.5</v>
      </c>
      <c r="J3698" s="33" t="n">
        <f aca="false">IF(F3698="","",F3698-C3698)</f>
        <v>-1.375</v>
      </c>
      <c r="K3698" s="33" t="n">
        <f aca="false">IF(G3698="","",G3698-C3698)</f>
        <v>-1.42377665998568</v>
      </c>
      <c r="L3698" s="33" t="n">
        <f aca="false">IF(H3698="","",ABS(H3698))</f>
        <v>2</v>
      </c>
      <c r="M3698" s="33" t="n">
        <f aca="false">IF(I3698="","",ABS(I3698))</f>
        <v>0.5</v>
      </c>
      <c r="N3698" s="33" t="n">
        <f aca="false">IF(J3698="","",ABS(J3698))</f>
        <v>1.375</v>
      </c>
      <c r="O3698" s="33" t="n">
        <f aca="false">IF(K3698="","",ABS(K3698))</f>
        <v>1.42377665998568</v>
      </c>
      <c r="P3698" s="34" t="str">
        <f aca="false">IF(B3698&gt;=Eval_Start_Week,"YES","")</f>
        <v>YES</v>
      </c>
      <c r="Q3698" s="34" t="str">
        <f aca="false">IF(AND(B3698&gt;=Cal_Start_Week,B3698&lt;=Cal_End_Week),"YES","")</f>
        <v>YES</v>
      </c>
    </row>
    <row r="3699" customFormat="false" ht="15" hidden="false" customHeight="false" outlineLevel="0" collapsed="false">
      <c r="A3699" s="31" t="str">
        <f aca="false">Demand_History!C3699</f>
        <v>ELE-007</v>
      </c>
      <c r="B3699" s="31" t="n">
        <f aca="false">Demand_History!A3699</f>
        <v>58</v>
      </c>
      <c r="C3699" s="32" t="n">
        <f aca="false">Demand_History!D3699</f>
        <v>10</v>
      </c>
      <c r="D3699" s="33" t="n">
        <f aca="false">IF(B3699&gt;=2,C3698,"")</f>
        <v>9</v>
      </c>
      <c r="E3699" s="33" t="n">
        <f aca="false">IF(B3699&gt;=5,AVERAGE(C3695:C3698),"")</f>
        <v>8.5</v>
      </c>
      <c r="F3699" s="33" t="n">
        <f aca="false">IF(B3699&gt;=9,AVERAGE(C3691:C3698),"")</f>
        <v>7.375</v>
      </c>
      <c r="G3699" s="33" t="n">
        <f aca="false">IF(B3699=1,"",IF(B3699=2,C3698,SES_Alpha*C3698+(1-SES_Alpha)*G3698))</f>
        <v>8.00335633801003</v>
      </c>
      <c r="H3699" s="33" t="n">
        <f aca="false">IF(D3699="","",D3699-C3699)</f>
        <v>-1</v>
      </c>
      <c r="I3699" s="33" t="n">
        <f aca="false">IF(E3699="","",E3699-C3699)</f>
        <v>-1.5</v>
      </c>
      <c r="J3699" s="33" t="n">
        <f aca="false">IF(F3699="","",F3699-C3699)</f>
        <v>-2.625</v>
      </c>
      <c r="K3699" s="33" t="n">
        <f aca="false">IF(G3699="","",G3699-C3699)</f>
        <v>-1.99664366198997</v>
      </c>
      <c r="L3699" s="33" t="n">
        <f aca="false">IF(H3699="","",ABS(H3699))</f>
        <v>1</v>
      </c>
      <c r="M3699" s="33" t="n">
        <f aca="false">IF(I3699="","",ABS(I3699))</f>
        <v>1.5</v>
      </c>
      <c r="N3699" s="33" t="n">
        <f aca="false">IF(J3699="","",ABS(J3699))</f>
        <v>2.625</v>
      </c>
      <c r="O3699" s="33" t="n">
        <f aca="false">IF(K3699="","",ABS(K3699))</f>
        <v>1.99664366198997</v>
      </c>
      <c r="P3699" s="34" t="str">
        <f aca="false">IF(B3699&gt;=Eval_Start_Week,"YES","")</f>
        <v>YES</v>
      </c>
      <c r="Q3699" s="34" t="str">
        <f aca="false">IF(AND(B3699&gt;=Cal_Start_Week,B3699&lt;=Cal_End_Week),"YES","")</f>
        <v>YES</v>
      </c>
    </row>
    <row r="3700" customFormat="false" ht="15" hidden="false" customHeight="false" outlineLevel="0" collapsed="false">
      <c r="A3700" s="31" t="str">
        <f aca="false">Demand_History!C3700</f>
        <v>ELE-007</v>
      </c>
      <c r="B3700" s="31" t="n">
        <f aca="false">Demand_History!A3700</f>
        <v>59</v>
      </c>
      <c r="C3700" s="32" t="n">
        <f aca="false">Demand_History!D3700</f>
        <v>8</v>
      </c>
      <c r="D3700" s="33" t="n">
        <f aca="false">IF(B3700&gt;=2,C3699,"")</f>
        <v>10</v>
      </c>
      <c r="E3700" s="33" t="n">
        <f aca="false">IF(B3700&gt;=5,AVERAGE(C3696:C3699),"")</f>
        <v>8.5</v>
      </c>
      <c r="F3700" s="33" t="n">
        <f aca="false">IF(B3700&gt;=9,AVERAGE(C3692:C3699),"")</f>
        <v>7.625</v>
      </c>
      <c r="G3700" s="33" t="n">
        <f aca="false">IF(B3700=1,"",IF(B3700=2,C3699,SES_Alpha*C3699+(1-SES_Alpha)*G3699))</f>
        <v>8.60234943660702</v>
      </c>
      <c r="H3700" s="33" t="n">
        <f aca="false">IF(D3700="","",D3700-C3700)</f>
        <v>2</v>
      </c>
      <c r="I3700" s="33" t="n">
        <f aca="false">IF(E3700="","",E3700-C3700)</f>
        <v>0.5</v>
      </c>
      <c r="J3700" s="33" t="n">
        <f aca="false">IF(F3700="","",F3700-C3700)</f>
        <v>-0.375</v>
      </c>
      <c r="K3700" s="33" t="n">
        <f aca="false">IF(G3700="","",G3700-C3700)</f>
        <v>0.602349436607018</v>
      </c>
      <c r="L3700" s="33" t="n">
        <f aca="false">IF(H3700="","",ABS(H3700))</f>
        <v>2</v>
      </c>
      <c r="M3700" s="33" t="n">
        <f aca="false">IF(I3700="","",ABS(I3700))</f>
        <v>0.5</v>
      </c>
      <c r="N3700" s="33" t="n">
        <f aca="false">IF(J3700="","",ABS(J3700))</f>
        <v>0.375</v>
      </c>
      <c r="O3700" s="33" t="n">
        <f aca="false">IF(K3700="","",ABS(K3700))</f>
        <v>0.602349436607018</v>
      </c>
      <c r="P3700" s="34" t="str">
        <f aca="false">IF(B3700&gt;=Eval_Start_Week,"YES","")</f>
        <v>YES</v>
      </c>
      <c r="Q3700" s="34" t="str">
        <f aca="false">IF(AND(B3700&gt;=Cal_Start_Week,B3700&lt;=Cal_End_Week),"YES","")</f>
        <v>YES</v>
      </c>
    </row>
    <row r="3701" customFormat="false" ht="15" hidden="false" customHeight="false" outlineLevel="0" collapsed="false">
      <c r="A3701" s="31" t="str">
        <f aca="false">Demand_History!C3701</f>
        <v>ELE-007</v>
      </c>
      <c r="B3701" s="31" t="n">
        <f aca="false">Demand_History!A3701</f>
        <v>60</v>
      </c>
      <c r="C3701" s="32" t="n">
        <f aca="false">Demand_History!D3701</f>
        <v>3</v>
      </c>
      <c r="D3701" s="33" t="n">
        <f aca="false">IF(B3701&gt;=2,C3700,"")</f>
        <v>8</v>
      </c>
      <c r="E3701" s="33" t="n">
        <f aca="false">IF(B3701&gt;=5,AVERAGE(C3697:C3700),"")</f>
        <v>8.5</v>
      </c>
      <c r="F3701" s="33" t="n">
        <f aca="false">IF(B3701&gt;=9,AVERAGE(C3693:C3700),"")</f>
        <v>8.25</v>
      </c>
      <c r="G3701" s="33" t="n">
        <f aca="false">IF(B3701=1,"",IF(B3701=2,C3700,SES_Alpha*C3700+(1-SES_Alpha)*G3700))</f>
        <v>8.42164460562491</v>
      </c>
      <c r="H3701" s="33" t="n">
        <f aca="false">IF(D3701="","",D3701-C3701)</f>
        <v>5</v>
      </c>
      <c r="I3701" s="33" t="n">
        <f aca="false">IF(E3701="","",E3701-C3701)</f>
        <v>5.5</v>
      </c>
      <c r="J3701" s="33" t="n">
        <f aca="false">IF(F3701="","",F3701-C3701)</f>
        <v>5.25</v>
      </c>
      <c r="K3701" s="33" t="n">
        <f aca="false">IF(G3701="","",G3701-C3701)</f>
        <v>5.42164460562491</v>
      </c>
      <c r="L3701" s="33" t="n">
        <f aca="false">IF(H3701="","",ABS(H3701))</f>
        <v>5</v>
      </c>
      <c r="M3701" s="33" t="n">
        <f aca="false">IF(I3701="","",ABS(I3701))</f>
        <v>5.5</v>
      </c>
      <c r="N3701" s="33" t="n">
        <f aca="false">IF(J3701="","",ABS(J3701))</f>
        <v>5.25</v>
      </c>
      <c r="O3701" s="33" t="n">
        <f aca="false">IF(K3701="","",ABS(K3701))</f>
        <v>5.42164460562491</v>
      </c>
      <c r="P3701" s="34" t="str">
        <f aca="false">IF(B3701&gt;=Eval_Start_Week,"YES","")</f>
        <v>YES</v>
      </c>
      <c r="Q3701" s="34" t="str">
        <f aca="false">IF(AND(B3701&gt;=Cal_Start_Week,B3701&lt;=Cal_End_Week),"YES","")</f>
        <v>YES</v>
      </c>
    </row>
    <row r="3702" customFormat="false" ht="15" hidden="false" customHeight="false" outlineLevel="0" collapsed="false">
      <c r="A3702" s="31" t="str">
        <f aca="false">Demand_History!C3702</f>
        <v>ELE-007</v>
      </c>
      <c r="B3702" s="31" t="n">
        <f aca="false">Demand_History!A3702</f>
        <v>61</v>
      </c>
      <c r="C3702" s="32" t="n">
        <f aca="false">Demand_History!D3702</f>
        <v>7</v>
      </c>
      <c r="D3702" s="33" t="n">
        <f aca="false">IF(B3702&gt;=2,C3701,"")</f>
        <v>3</v>
      </c>
      <c r="E3702" s="33" t="n">
        <f aca="false">IF(B3702&gt;=5,AVERAGE(C3698:C3701),"")</f>
        <v>7.5</v>
      </c>
      <c r="F3702" s="33" t="n">
        <f aca="false">IF(B3702&gt;=9,AVERAGE(C3694:C3701),"")</f>
        <v>8</v>
      </c>
      <c r="G3702" s="33" t="n">
        <f aca="false">IF(B3702=1,"",IF(B3702=2,C3701,SES_Alpha*C3701+(1-SES_Alpha)*G3701))</f>
        <v>6.79515122393744</v>
      </c>
      <c r="H3702" s="33" t="n">
        <f aca="false">IF(D3702="","",D3702-C3702)</f>
        <v>-4</v>
      </c>
      <c r="I3702" s="33" t="n">
        <f aca="false">IF(E3702="","",E3702-C3702)</f>
        <v>0.5</v>
      </c>
      <c r="J3702" s="33" t="n">
        <f aca="false">IF(F3702="","",F3702-C3702)</f>
        <v>1</v>
      </c>
      <c r="K3702" s="33" t="n">
        <f aca="false">IF(G3702="","",G3702-C3702)</f>
        <v>-0.204848776062562</v>
      </c>
      <c r="L3702" s="33" t="n">
        <f aca="false">IF(H3702="","",ABS(H3702))</f>
        <v>4</v>
      </c>
      <c r="M3702" s="33" t="n">
        <f aca="false">IF(I3702="","",ABS(I3702))</f>
        <v>0.5</v>
      </c>
      <c r="N3702" s="33" t="n">
        <f aca="false">IF(J3702="","",ABS(J3702))</f>
        <v>1</v>
      </c>
      <c r="O3702" s="33" t="n">
        <f aca="false">IF(K3702="","",ABS(K3702))</f>
        <v>0.204848776062562</v>
      </c>
      <c r="P3702" s="34" t="str">
        <f aca="false">IF(B3702&gt;=Eval_Start_Week,"YES","")</f>
        <v>YES</v>
      </c>
      <c r="Q3702" s="34" t="str">
        <f aca="false">IF(AND(B3702&gt;=Cal_Start_Week,B3702&lt;=Cal_End_Week),"YES","")</f>
        <v>YES</v>
      </c>
    </row>
    <row r="3703" customFormat="false" ht="15" hidden="false" customHeight="false" outlineLevel="0" collapsed="false">
      <c r="A3703" s="31" t="str">
        <f aca="false">Demand_History!C3703</f>
        <v>ELE-007</v>
      </c>
      <c r="B3703" s="31" t="n">
        <f aca="false">Demand_History!A3703</f>
        <v>62</v>
      </c>
      <c r="C3703" s="32" t="n">
        <f aca="false">Demand_History!D3703</f>
        <v>9</v>
      </c>
      <c r="D3703" s="33" t="n">
        <f aca="false">IF(B3703&gt;=2,C3702,"")</f>
        <v>7</v>
      </c>
      <c r="E3703" s="33" t="n">
        <f aca="false">IF(B3703&gt;=5,AVERAGE(C3699:C3702),"")</f>
        <v>7</v>
      </c>
      <c r="F3703" s="33" t="n">
        <f aca="false">IF(B3703&gt;=9,AVERAGE(C3695:C3702),"")</f>
        <v>7.75</v>
      </c>
      <c r="G3703" s="33" t="n">
        <f aca="false">IF(B3703=1,"",IF(B3703=2,C3702,SES_Alpha*C3702+(1-SES_Alpha)*G3702))</f>
        <v>6.85660585675621</v>
      </c>
      <c r="H3703" s="33" t="n">
        <f aca="false">IF(D3703="","",D3703-C3703)</f>
        <v>-2</v>
      </c>
      <c r="I3703" s="33" t="n">
        <f aca="false">IF(E3703="","",E3703-C3703)</f>
        <v>-2</v>
      </c>
      <c r="J3703" s="33" t="n">
        <f aca="false">IF(F3703="","",F3703-C3703)</f>
        <v>-1.25</v>
      </c>
      <c r="K3703" s="33" t="n">
        <f aca="false">IF(G3703="","",G3703-C3703)</f>
        <v>-2.14339414324379</v>
      </c>
      <c r="L3703" s="33" t="n">
        <f aca="false">IF(H3703="","",ABS(H3703))</f>
        <v>2</v>
      </c>
      <c r="M3703" s="33" t="n">
        <f aca="false">IF(I3703="","",ABS(I3703))</f>
        <v>2</v>
      </c>
      <c r="N3703" s="33" t="n">
        <f aca="false">IF(J3703="","",ABS(J3703))</f>
        <v>1.25</v>
      </c>
      <c r="O3703" s="33" t="n">
        <f aca="false">IF(K3703="","",ABS(K3703))</f>
        <v>2.14339414324379</v>
      </c>
      <c r="P3703" s="34" t="str">
        <f aca="false">IF(B3703&gt;=Eval_Start_Week,"YES","")</f>
        <v>YES</v>
      </c>
      <c r="Q3703" s="34" t="str">
        <f aca="false">IF(AND(B3703&gt;=Cal_Start_Week,B3703&lt;=Cal_End_Week),"YES","")</f>
        <v>YES</v>
      </c>
    </row>
    <row r="3704" customFormat="false" ht="15" hidden="false" customHeight="false" outlineLevel="0" collapsed="false">
      <c r="A3704" s="31" t="str">
        <f aca="false">Demand_History!C3704</f>
        <v>ELE-007</v>
      </c>
      <c r="B3704" s="31" t="n">
        <f aca="false">Demand_History!A3704</f>
        <v>63</v>
      </c>
      <c r="C3704" s="32" t="n">
        <f aca="false">Demand_History!D3704</f>
        <v>5</v>
      </c>
      <c r="D3704" s="33" t="n">
        <f aca="false">IF(B3704&gt;=2,C3703,"")</f>
        <v>9</v>
      </c>
      <c r="E3704" s="33" t="n">
        <f aca="false">IF(B3704&gt;=5,AVERAGE(C3700:C3703),"")</f>
        <v>6.75</v>
      </c>
      <c r="F3704" s="33" t="n">
        <f aca="false">IF(B3704&gt;=9,AVERAGE(C3696:C3703),"")</f>
        <v>7.625</v>
      </c>
      <c r="G3704" s="33" t="n">
        <f aca="false">IF(B3704=1,"",IF(B3704=2,C3703,SES_Alpha*C3703+(1-SES_Alpha)*G3703))</f>
        <v>7.49962409972934</v>
      </c>
      <c r="H3704" s="33" t="n">
        <f aca="false">IF(D3704="","",D3704-C3704)</f>
        <v>4</v>
      </c>
      <c r="I3704" s="33" t="n">
        <f aca="false">IF(E3704="","",E3704-C3704)</f>
        <v>1.75</v>
      </c>
      <c r="J3704" s="33" t="n">
        <f aca="false">IF(F3704="","",F3704-C3704)</f>
        <v>2.625</v>
      </c>
      <c r="K3704" s="33" t="n">
        <f aca="false">IF(G3704="","",G3704-C3704)</f>
        <v>2.49962409972934</v>
      </c>
      <c r="L3704" s="33" t="n">
        <f aca="false">IF(H3704="","",ABS(H3704))</f>
        <v>4</v>
      </c>
      <c r="M3704" s="33" t="n">
        <f aca="false">IF(I3704="","",ABS(I3704))</f>
        <v>1.75</v>
      </c>
      <c r="N3704" s="33" t="n">
        <f aca="false">IF(J3704="","",ABS(J3704))</f>
        <v>2.625</v>
      </c>
      <c r="O3704" s="33" t="n">
        <f aca="false">IF(K3704="","",ABS(K3704))</f>
        <v>2.49962409972934</v>
      </c>
      <c r="P3704" s="34" t="str">
        <f aca="false">IF(B3704&gt;=Eval_Start_Week,"YES","")</f>
        <v>YES</v>
      </c>
      <c r="Q3704" s="34" t="str">
        <f aca="false">IF(AND(B3704&gt;=Cal_Start_Week,B3704&lt;=Cal_End_Week),"YES","")</f>
        <v>YES</v>
      </c>
    </row>
    <row r="3705" customFormat="false" ht="15" hidden="false" customHeight="false" outlineLevel="0" collapsed="false">
      <c r="A3705" s="31" t="str">
        <f aca="false">Demand_History!C3705</f>
        <v>ELE-007</v>
      </c>
      <c r="B3705" s="31" t="n">
        <f aca="false">Demand_History!A3705</f>
        <v>64</v>
      </c>
      <c r="C3705" s="32" t="n">
        <f aca="false">Demand_History!D3705</f>
        <v>5</v>
      </c>
      <c r="D3705" s="33" t="n">
        <f aca="false">IF(B3705&gt;=2,C3704,"")</f>
        <v>5</v>
      </c>
      <c r="E3705" s="33" t="n">
        <f aca="false">IF(B3705&gt;=5,AVERAGE(C3701:C3704),"")</f>
        <v>6</v>
      </c>
      <c r="F3705" s="33" t="n">
        <f aca="false">IF(B3705&gt;=9,AVERAGE(C3697:C3704),"")</f>
        <v>7.25</v>
      </c>
      <c r="G3705" s="33" t="n">
        <f aca="false">IF(B3705=1,"",IF(B3705=2,C3704,SES_Alpha*C3704+(1-SES_Alpha)*G3704))</f>
        <v>6.74973686981054</v>
      </c>
      <c r="H3705" s="33" t="n">
        <f aca="false">IF(D3705="","",D3705-C3705)</f>
        <v>0</v>
      </c>
      <c r="I3705" s="33" t="n">
        <f aca="false">IF(E3705="","",E3705-C3705)</f>
        <v>1</v>
      </c>
      <c r="J3705" s="33" t="n">
        <f aca="false">IF(F3705="","",F3705-C3705)</f>
        <v>2.25</v>
      </c>
      <c r="K3705" s="33" t="n">
        <f aca="false">IF(G3705="","",G3705-C3705)</f>
        <v>1.74973686981054</v>
      </c>
      <c r="L3705" s="33" t="n">
        <f aca="false">IF(H3705="","",ABS(H3705))</f>
        <v>0</v>
      </c>
      <c r="M3705" s="33" t="n">
        <f aca="false">IF(I3705="","",ABS(I3705))</f>
        <v>1</v>
      </c>
      <c r="N3705" s="33" t="n">
        <f aca="false">IF(J3705="","",ABS(J3705))</f>
        <v>2.25</v>
      </c>
      <c r="O3705" s="33" t="n">
        <f aca="false">IF(K3705="","",ABS(K3705))</f>
        <v>1.74973686981054</v>
      </c>
      <c r="P3705" s="34" t="str">
        <f aca="false">IF(B3705&gt;=Eval_Start_Week,"YES","")</f>
        <v>YES</v>
      </c>
      <c r="Q3705" s="34" t="str">
        <f aca="false">IF(AND(B3705&gt;=Cal_Start_Week,B3705&lt;=Cal_End_Week),"YES","")</f>
        <v>YES</v>
      </c>
    </row>
    <row r="3706" customFormat="false" ht="15" hidden="false" customHeight="false" outlineLevel="0" collapsed="false">
      <c r="A3706" s="31" t="str">
        <f aca="false">Demand_History!C3706</f>
        <v>ELE-007</v>
      </c>
      <c r="B3706" s="31" t="n">
        <f aca="false">Demand_History!A3706</f>
        <v>65</v>
      </c>
      <c r="C3706" s="32" t="n">
        <f aca="false">Demand_History!D3706</f>
        <v>8</v>
      </c>
      <c r="D3706" s="33" t="n">
        <f aca="false">IF(B3706&gt;=2,C3705,"")</f>
        <v>5</v>
      </c>
      <c r="E3706" s="33" t="n">
        <f aca="false">IF(B3706&gt;=5,AVERAGE(C3702:C3705),"")</f>
        <v>6.5</v>
      </c>
      <c r="F3706" s="33" t="n">
        <f aca="false">IF(B3706&gt;=9,AVERAGE(C3698:C3705),"")</f>
        <v>7</v>
      </c>
      <c r="G3706" s="33" t="n">
        <f aca="false">IF(B3706=1,"",IF(B3706=2,C3705,SES_Alpha*C3705+(1-SES_Alpha)*G3705))</f>
        <v>6.22481580886738</v>
      </c>
      <c r="H3706" s="33" t="n">
        <f aca="false">IF(D3706="","",D3706-C3706)</f>
        <v>-3</v>
      </c>
      <c r="I3706" s="33" t="n">
        <f aca="false">IF(E3706="","",E3706-C3706)</f>
        <v>-1.5</v>
      </c>
      <c r="J3706" s="33" t="n">
        <f aca="false">IF(F3706="","",F3706-C3706)</f>
        <v>-1</v>
      </c>
      <c r="K3706" s="33" t="n">
        <f aca="false">IF(G3706="","",G3706-C3706)</f>
        <v>-1.77518419113262</v>
      </c>
      <c r="L3706" s="33" t="n">
        <f aca="false">IF(H3706="","",ABS(H3706))</f>
        <v>3</v>
      </c>
      <c r="M3706" s="33" t="n">
        <f aca="false">IF(I3706="","",ABS(I3706))</f>
        <v>1.5</v>
      </c>
      <c r="N3706" s="33" t="n">
        <f aca="false">IF(J3706="","",ABS(J3706))</f>
        <v>1</v>
      </c>
      <c r="O3706" s="33" t="n">
        <f aca="false">IF(K3706="","",ABS(K3706))</f>
        <v>1.77518419113262</v>
      </c>
      <c r="P3706" s="34" t="str">
        <f aca="false">IF(B3706&gt;=Eval_Start_Week,"YES","")</f>
        <v>YES</v>
      </c>
      <c r="Q3706" s="34" t="str">
        <f aca="false">IF(AND(B3706&gt;=Cal_Start_Week,B3706&lt;=Cal_End_Week),"YES","")</f>
        <v>YES</v>
      </c>
    </row>
    <row r="3707" customFormat="false" ht="15" hidden="false" customHeight="false" outlineLevel="0" collapsed="false">
      <c r="A3707" s="31" t="str">
        <f aca="false">Demand_History!C3707</f>
        <v>ELE-007</v>
      </c>
      <c r="B3707" s="31" t="n">
        <f aca="false">Demand_History!A3707</f>
        <v>66</v>
      </c>
      <c r="C3707" s="32" t="n">
        <f aca="false">Demand_History!D3707</f>
        <v>8</v>
      </c>
      <c r="D3707" s="33" t="n">
        <f aca="false">IF(B3707&gt;=2,C3706,"")</f>
        <v>8</v>
      </c>
      <c r="E3707" s="33" t="n">
        <f aca="false">IF(B3707&gt;=5,AVERAGE(C3703:C3706),"")</f>
        <v>6.75</v>
      </c>
      <c r="F3707" s="33" t="n">
        <f aca="false">IF(B3707&gt;=9,AVERAGE(C3699:C3706),"")</f>
        <v>6.875</v>
      </c>
      <c r="G3707" s="33" t="n">
        <f aca="false">IF(B3707=1,"",IF(B3707=2,C3706,SES_Alpha*C3706+(1-SES_Alpha)*G3706))</f>
        <v>6.75737106620716</v>
      </c>
      <c r="H3707" s="33" t="n">
        <f aca="false">IF(D3707="","",D3707-C3707)</f>
        <v>0</v>
      </c>
      <c r="I3707" s="33" t="n">
        <f aca="false">IF(E3707="","",E3707-C3707)</f>
        <v>-1.25</v>
      </c>
      <c r="J3707" s="33" t="n">
        <f aca="false">IF(F3707="","",F3707-C3707)</f>
        <v>-1.125</v>
      </c>
      <c r="K3707" s="33" t="n">
        <f aca="false">IF(G3707="","",G3707-C3707)</f>
        <v>-1.24262893379284</v>
      </c>
      <c r="L3707" s="33" t="n">
        <f aca="false">IF(H3707="","",ABS(H3707))</f>
        <v>0</v>
      </c>
      <c r="M3707" s="33" t="n">
        <f aca="false">IF(I3707="","",ABS(I3707))</f>
        <v>1.25</v>
      </c>
      <c r="N3707" s="33" t="n">
        <f aca="false">IF(J3707="","",ABS(J3707))</f>
        <v>1.125</v>
      </c>
      <c r="O3707" s="33" t="n">
        <f aca="false">IF(K3707="","",ABS(K3707))</f>
        <v>1.24262893379284</v>
      </c>
      <c r="P3707" s="34" t="str">
        <f aca="false">IF(B3707&gt;=Eval_Start_Week,"YES","")</f>
        <v>YES</v>
      </c>
      <c r="Q3707" s="34" t="str">
        <f aca="false">IF(AND(B3707&gt;=Cal_Start_Week,B3707&lt;=Cal_End_Week),"YES","")</f>
        <v>YES</v>
      </c>
    </row>
    <row r="3708" customFormat="false" ht="15" hidden="false" customHeight="false" outlineLevel="0" collapsed="false">
      <c r="A3708" s="31" t="str">
        <f aca="false">Demand_History!C3708</f>
        <v>ELE-007</v>
      </c>
      <c r="B3708" s="31" t="n">
        <f aca="false">Demand_History!A3708</f>
        <v>67</v>
      </c>
      <c r="C3708" s="32" t="n">
        <f aca="false">Demand_History!D3708</f>
        <v>6</v>
      </c>
      <c r="D3708" s="33" t="n">
        <f aca="false">IF(B3708&gt;=2,C3707,"")</f>
        <v>8</v>
      </c>
      <c r="E3708" s="33" t="n">
        <f aca="false">IF(B3708&gt;=5,AVERAGE(C3704:C3707),"")</f>
        <v>6.5</v>
      </c>
      <c r="F3708" s="33" t="n">
        <f aca="false">IF(B3708&gt;=9,AVERAGE(C3700:C3707),"")</f>
        <v>6.625</v>
      </c>
      <c r="G3708" s="33" t="n">
        <f aca="false">IF(B3708=1,"",IF(B3708=2,C3707,SES_Alpha*C3707+(1-SES_Alpha)*G3707))</f>
        <v>7.13015974634501</v>
      </c>
      <c r="H3708" s="33" t="n">
        <f aca="false">IF(D3708="","",D3708-C3708)</f>
        <v>2</v>
      </c>
      <c r="I3708" s="33" t="n">
        <f aca="false">IF(E3708="","",E3708-C3708)</f>
        <v>0.5</v>
      </c>
      <c r="J3708" s="33" t="n">
        <f aca="false">IF(F3708="","",F3708-C3708)</f>
        <v>0.625</v>
      </c>
      <c r="K3708" s="33" t="n">
        <f aca="false">IF(G3708="","",G3708-C3708)</f>
        <v>1.13015974634501</v>
      </c>
      <c r="L3708" s="33" t="n">
        <f aca="false">IF(H3708="","",ABS(H3708))</f>
        <v>2</v>
      </c>
      <c r="M3708" s="33" t="n">
        <f aca="false">IF(I3708="","",ABS(I3708))</f>
        <v>0.5</v>
      </c>
      <c r="N3708" s="33" t="n">
        <f aca="false">IF(J3708="","",ABS(J3708))</f>
        <v>0.625</v>
      </c>
      <c r="O3708" s="33" t="n">
        <f aca="false">IF(K3708="","",ABS(K3708))</f>
        <v>1.13015974634501</v>
      </c>
      <c r="P3708" s="34" t="str">
        <f aca="false">IF(B3708&gt;=Eval_Start_Week,"YES","")</f>
        <v>YES</v>
      </c>
      <c r="Q3708" s="34" t="str">
        <f aca="false">IF(AND(B3708&gt;=Cal_Start_Week,B3708&lt;=Cal_End_Week),"YES","")</f>
        <v>YES</v>
      </c>
    </row>
    <row r="3709" customFormat="false" ht="15" hidden="false" customHeight="false" outlineLevel="0" collapsed="false">
      <c r="A3709" s="31" t="str">
        <f aca="false">Demand_History!C3709</f>
        <v>ELE-007</v>
      </c>
      <c r="B3709" s="31" t="n">
        <f aca="false">Demand_History!A3709</f>
        <v>68</v>
      </c>
      <c r="C3709" s="32" t="n">
        <f aca="false">Demand_History!D3709</f>
        <v>8</v>
      </c>
      <c r="D3709" s="33" t="n">
        <f aca="false">IF(B3709&gt;=2,C3708,"")</f>
        <v>6</v>
      </c>
      <c r="E3709" s="33" t="n">
        <f aca="false">IF(B3709&gt;=5,AVERAGE(C3705:C3708),"")</f>
        <v>6.75</v>
      </c>
      <c r="F3709" s="33" t="n">
        <f aca="false">IF(B3709&gt;=9,AVERAGE(C3701:C3708),"")</f>
        <v>6.375</v>
      </c>
      <c r="G3709" s="33" t="n">
        <f aca="false">IF(B3709=1,"",IF(B3709=2,C3708,SES_Alpha*C3708+(1-SES_Alpha)*G3708))</f>
        <v>6.79111182244151</v>
      </c>
      <c r="H3709" s="33" t="n">
        <f aca="false">IF(D3709="","",D3709-C3709)</f>
        <v>-2</v>
      </c>
      <c r="I3709" s="33" t="n">
        <f aca="false">IF(E3709="","",E3709-C3709)</f>
        <v>-1.25</v>
      </c>
      <c r="J3709" s="33" t="n">
        <f aca="false">IF(F3709="","",F3709-C3709)</f>
        <v>-1.625</v>
      </c>
      <c r="K3709" s="33" t="n">
        <f aca="false">IF(G3709="","",G3709-C3709)</f>
        <v>-1.20888817755849</v>
      </c>
      <c r="L3709" s="33" t="n">
        <f aca="false">IF(H3709="","",ABS(H3709))</f>
        <v>2</v>
      </c>
      <c r="M3709" s="33" t="n">
        <f aca="false">IF(I3709="","",ABS(I3709))</f>
        <v>1.25</v>
      </c>
      <c r="N3709" s="33" t="n">
        <f aca="false">IF(J3709="","",ABS(J3709))</f>
        <v>1.625</v>
      </c>
      <c r="O3709" s="33" t="n">
        <f aca="false">IF(K3709="","",ABS(K3709))</f>
        <v>1.20888817755849</v>
      </c>
      <c r="P3709" s="34" t="str">
        <f aca="false">IF(B3709&gt;=Eval_Start_Week,"YES","")</f>
        <v>YES</v>
      </c>
      <c r="Q3709" s="34" t="str">
        <f aca="false">IF(AND(B3709&gt;=Cal_Start_Week,B3709&lt;=Cal_End_Week),"YES","")</f>
        <v>YES</v>
      </c>
    </row>
    <row r="3710" customFormat="false" ht="15" hidden="false" customHeight="false" outlineLevel="0" collapsed="false">
      <c r="A3710" s="31" t="str">
        <f aca="false">Demand_History!C3710</f>
        <v>ELE-007</v>
      </c>
      <c r="B3710" s="31" t="n">
        <f aca="false">Demand_History!A3710</f>
        <v>69</v>
      </c>
      <c r="C3710" s="32" t="n">
        <f aca="false">Demand_History!D3710</f>
        <v>12</v>
      </c>
      <c r="D3710" s="33" t="n">
        <f aca="false">IF(B3710&gt;=2,C3709,"")</f>
        <v>8</v>
      </c>
      <c r="E3710" s="33" t="n">
        <f aca="false">IF(B3710&gt;=5,AVERAGE(C3706:C3709),"")</f>
        <v>7.5</v>
      </c>
      <c r="F3710" s="33" t="n">
        <f aca="false">IF(B3710&gt;=9,AVERAGE(C3702:C3709),"")</f>
        <v>7</v>
      </c>
      <c r="G3710" s="33" t="n">
        <f aca="false">IF(B3710=1,"",IF(B3710=2,C3709,SES_Alpha*C3709+(1-SES_Alpha)*G3709))</f>
        <v>7.15377827570906</v>
      </c>
      <c r="H3710" s="33" t="n">
        <f aca="false">IF(D3710="","",D3710-C3710)</f>
        <v>-4</v>
      </c>
      <c r="I3710" s="33" t="n">
        <f aca="false">IF(E3710="","",E3710-C3710)</f>
        <v>-4.5</v>
      </c>
      <c r="J3710" s="33" t="n">
        <f aca="false">IF(F3710="","",F3710-C3710)</f>
        <v>-5</v>
      </c>
      <c r="K3710" s="33" t="n">
        <f aca="false">IF(G3710="","",G3710-C3710)</f>
        <v>-4.84622172429094</v>
      </c>
      <c r="L3710" s="33" t="n">
        <f aca="false">IF(H3710="","",ABS(H3710))</f>
        <v>4</v>
      </c>
      <c r="M3710" s="33" t="n">
        <f aca="false">IF(I3710="","",ABS(I3710))</f>
        <v>4.5</v>
      </c>
      <c r="N3710" s="33" t="n">
        <f aca="false">IF(J3710="","",ABS(J3710))</f>
        <v>5</v>
      </c>
      <c r="O3710" s="33" t="n">
        <f aca="false">IF(K3710="","",ABS(K3710))</f>
        <v>4.84622172429094</v>
      </c>
      <c r="P3710" s="34" t="str">
        <f aca="false">IF(B3710&gt;=Eval_Start_Week,"YES","")</f>
        <v>YES</v>
      </c>
      <c r="Q3710" s="34" t="str">
        <f aca="false">IF(AND(B3710&gt;=Cal_Start_Week,B3710&lt;=Cal_End_Week),"YES","")</f>
        <v>YES</v>
      </c>
    </row>
    <row r="3711" customFormat="false" ht="15" hidden="false" customHeight="false" outlineLevel="0" collapsed="false">
      <c r="A3711" s="31" t="str">
        <f aca="false">Demand_History!C3711</f>
        <v>ELE-007</v>
      </c>
      <c r="B3711" s="31" t="n">
        <f aca="false">Demand_History!A3711</f>
        <v>70</v>
      </c>
      <c r="C3711" s="32" t="n">
        <f aca="false">Demand_History!D3711</f>
        <v>6</v>
      </c>
      <c r="D3711" s="33" t="n">
        <f aca="false">IF(B3711&gt;=2,C3710,"")</f>
        <v>12</v>
      </c>
      <c r="E3711" s="33" t="n">
        <f aca="false">IF(B3711&gt;=5,AVERAGE(C3707:C3710),"")</f>
        <v>8.5</v>
      </c>
      <c r="F3711" s="33" t="n">
        <f aca="false">IF(B3711&gt;=9,AVERAGE(C3703:C3710),"")</f>
        <v>7.625</v>
      </c>
      <c r="G3711" s="33" t="n">
        <f aca="false">IF(B3711=1,"",IF(B3711=2,C3710,SES_Alpha*C3710+(1-SES_Alpha)*G3710))</f>
        <v>8.60764479299634</v>
      </c>
      <c r="H3711" s="33" t="n">
        <f aca="false">IF(D3711="","",D3711-C3711)</f>
        <v>6</v>
      </c>
      <c r="I3711" s="33" t="n">
        <f aca="false">IF(E3711="","",E3711-C3711)</f>
        <v>2.5</v>
      </c>
      <c r="J3711" s="33" t="n">
        <f aca="false">IF(F3711="","",F3711-C3711)</f>
        <v>1.625</v>
      </c>
      <c r="K3711" s="33" t="n">
        <f aca="false">IF(G3711="","",G3711-C3711)</f>
        <v>2.60764479299634</v>
      </c>
      <c r="L3711" s="33" t="n">
        <f aca="false">IF(H3711="","",ABS(H3711))</f>
        <v>6</v>
      </c>
      <c r="M3711" s="33" t="n">
        <f aca="false">IF(I3711="","",ABS(I3711))</f>
        <v>2.5</v>
      </c>
      <c r="N3711" s="33" t="n">
        <f aca="false">IF(J3711="","",ABS(J3711))</f>
        <v>1.625</v>
      </c>
      <c r="O3711" s="33" t="n">
        <f aca="false">IF(K3711="","",ABS(K3711))</f>
        <v>2.60764479299634</v>
      </c>
      <c r="P3711" s="34" t="str">
        <f aca="false">IF(B3711&gt;=Eval_Start_Week,"YES","")</f>
        <v>YES</v>
      </c>
      <c r="Q3711" s="34" t="str">
        <f aca="false">IF(AND(B3711&gt;=Cal_Start_Week,B3711&lt;=Cal_End_Week),"YES","")</f>
        <v>YES</v>
      </c>
    </row>
    <row r="3712" customFormat="false" ht="15" hidden="false" customHeight="false" outlineLevel="0" collapsed="false">
      <c r="A3712" s="31" t="str">
        <f aca="false">Demand_History!C3712</f>
        <v>ELE-007</v>
      </c>
      <c r="B3712" s="31" t="n">
        <f aca="false">Demand_History!A3712</f>
        <v>71</v>
      </c>
      <c r="C3712" s="32" t="n">
        <f aca="false">Demand_History!D3712</f>
        <v>7</v>
      </c>
      <c r="D3712" s="33" t="n">
        <f aca="false">IF(B3712&gt;=2,C3711,"")</f>
        <v>6</v>
      </c>
      <c r="E3712" s="33" t="n">
        <f aca="false">IF(B3712&gt;=5,AVERAGE(C3708:C3711),"")</f>
        <v>8</v>
      </c>
      <c r="F3712" s="33" t="n">
        <f aca="false">IF(B3712&gt;=9,AVERAGE(C3704:C3711),"")</f>
        <v>7.25</v>
      </c>
      <c r="G3712" s="33" t="n">
        <f aca="false">IF(B3712=1,"",IF(B3712=2,C3711,SES_Alpha*C3711+(1-SES_Alpha)*G3711))</f>
        <v>7.82535135509744</v>
      </c>
      <c r="H3712" s="33" t="n">
        <f aca="false">IF(D3712="","",D3712-C3712)</f>
        <v>-1</v>
      </c>
      <c r="I3712" s="33" t="n">
        <f aca="false">IF(E3712="","",E3712-C3712)</f>
        <v>1</v>
      </c>
      <c r="J3712" s="33" t="n">
        <f aca="false">IF(F3712="","",F3712-C3712)</f>
        <v>0.25</v>
      </c>
      <c r="K3712" s="33" t="n">
        <f aca="false">IF(G3712="","",G3712-C3712)</f>
        <v>0.825351355097437</v>
      </c>
      <c r="L3712" s="33" t="n">
        <f aca="false">IF(H3712="","",ABS(H3712))</f>
        <v>1</v>
      </c>
      <c r="M3712" s="33" t="n">
        <f aca="false">IF(I3712="","",ABS(I3712))</f>
        <v>1</v>
      </c>
      <c r="N3712" s="33" t="n">
        <f aca="false">IF(J3712="","",ABS(J3712))</f>
        <v>0.25</v>
      </c>
      <c r="O3712" s="33" t="n">
        <f aca="false">IF(K3712="","",ABS(K3712))</f>
        <v>0.825351355097437</v>
      </c>
      <c r="P3712" s="34" t="str">
        <f aca="false">IF(B3712&gt;=Eval_Start_Week,"YES","")</f>
        <v>YES</v>
      </c>
      <c r="Q3712" s="34" t="str">
        <f aca="false">IF(AND(B3712&gt;=Cal_Start_Week,B3712&lt;=Cal_End_Week),"YES","")</f>
        <v>YES</v>
      </c>
    </row>
    <row r="3713" customFormat="false" ht="15" hidden="false" customHeight="false" outlineLevel="0" collapsed="false">
      <c r="A3713" s="31" t="str">
        <f aca="false">Demand_History!C3713</f>
        <v>ELE-007</v>
      </c>
      <c r="B3713" s="31" t="n">
        <f aca="false">Demand_History!A3713</f>
        <v>72</v>
      </c>
      <c r="C3713" s="32" t="n">
        <f aca="false">Demand_History!D3713</f>
        <v>9</v>
      </c>
      <c r="D3713" s="33" t="n">
        <f aca="false">IF(B3713&gt;=2,C3712,"")</f>
        <v>7</v>
      </c>
      <c r="E3713" s="33" t="n">
        <f aca="false">IF(B3713&gt;=5,AVERAGE(C3709:C3712),"")</f>
        <v>8.25</v>
      </c>
      <c r="F3713" s="33" t="n">
        <f aca="false">IF(B3713&gt;=9,AVERAGE(C3705:C3712),"")</f>
        <v>7.5</v>
      </c>
      <c r="G3713" s="33" t="n">
        <f aca="false">IF(B3713=1,"",IF(B3713=2,C3712,SES_Alpha*C3712+(1-SES_Alpha)*G3712))</f>
        <v>7.57774594856821</v>
      </c>
      <c r="H3713" s="33" t="n">
        <f aca="false">IF(D3713="","",D3713-C3713)</f>
        <v>-2</v>
      </c>
      <c r="I3713" s="33" t="n">
        <f aca="false">IF(E3713="","",E3713-C3713)</f>
        <v>-0.75</v>
      </c>
      <c r="J3713" s="33" t="n">
        <f aca="false">IF(F3713="","",F3713-C3713)</f>
        <v>-1.5</v>
      </c>
      <c r="K3713" s="33" t="n">
        <f aca="false">IF(G3713="","",G3713-C3713)</f>
        <v>-1.42225405143179</v>
      </c>
      <c r="L3713" s="33" t="n">
        <f aca="false">IF(H3713="","",ABS(H3713))</f>
        <v>2</v>
      </c>
      <c r="M3713" s="33" t="n">
        <f aca="false">IF(I3713="","",ABS(I3713))</f>
        <v>0.75</v>
      </c>
      <c r="N3713" s="33" t="n">
        <f aca="false">IF(J3713="","",ABS(J3713))</f>
        <v>1.5</v>
      </c>
      <c r="O3713" s="33" t="n">
        <f aca="false">IF(K3713="","",ABS(K3713))</f>
        <v>1.42225405143179</v>
      </c>
      <c r="P3713" s="34" t="str">
        <f aca="false">IF(B3713&gt;=Eval_Start_Week,"YES","")</f>
        <v>YES</v>
      </c>
      <c r="Q3713" s="34" t="str">
        <f aca="false">IF(AND(B3713&gt;=Cal_Start_Week,B3713&lt;=Cal_End_Week),"YES","")</f>
        <v>YES</v>
      </c>
    </row>
    <row r="3714" customFormat="false" ht="15" hidden="false" customHeight="false" outlineLevel="0" collapsed="false">
      <c r="A3714" s="31" t="str">
        <f aca="false">Demand_History!C3714</f>
        <v>ELE-007</v>
      </c>
      <c r="B3714" s="31" t="n">
        <f aca="false">Demand_History!A3714</f>
        <v>73</v>
      </c>
      <c r="C3714" s="32" t="n">
        <f aca="false">Demand_History!D3714</f>
        <v>7</v>
      </c>
      <c r="D3714" s="33" t="n">
        <f aca="false">IF(B3714&gt;=2,C3713,"")</f>
        <v>9</v>
      </c>
      <c r="E3714" s="33" t="n">
        <f aca="false">IF(B3714&gt;=5,AVERAGE(C3710:C3713),"")</f>
        <v>8.5</v>
      </c>
      <c r="F3714" s="33" t="n">
        <f aca="false">IF(B3714&gt;=9,AVERAGE(C3706:C3713),"")</f>
        <v>8</v>
      </c>
      <c r="G3714" s="33" t="n">
        <f aca="false">IF(B3714=1,"",IF(B3714=2,C3713,SES_Alpha*C3713+(1-SES_Alpha)*G3713))</f>
        <v>8.00442216399774</v>
      </c>
      <c r="H3714" s="33" t="n">
        <f aca="false">IF(D3714="","",D3714-C3714)</f>
        <v>2</v>
      </c>
      <c r="I3714" s="33" t="n">
        <f aca="false">IF(E3714="","",E3714-C3714)</f>
        <v>1.5</v>
      </c>
      <c r="J3714" s="33" t="n">
        <f aca="false">IF(F3714="","",F3714-C3714)</f>
        <v>1</v>
      </c>
      <c r="K3714" s="33" t="n">
        <f aca="false">IF(G3714="","",G3714-C3714)</f>
        <v>1.00442216399774</v>
      </c>
      <c r="L3714" s="33" t="n">
        <f aca="false">IF(H3714="","",ABS(H3714))</f>
        <v>2</v>
      </c>
      <c r="M3714" s="33" t="n">
        <f aca="false">IF(I3714="","",ABS(I3714))</f>
        <v>1.5</v>
      </c>
      <c r="N3714" s="33" t="n">
        <f aca="false">IF(J3714="","",ABS(J3714))</f>
        <v>1</v>
      </c>
      <c r="O3714" s="33" t="n">
        <f aca="false">IF(K3714="","",ABS(K3714))</f>
        <v>1.00442216399774</v>
      </c>
      <c r="P3714" s="34" t="str">
        <f aca="false">IF(B3714&gt;=Eval_Start_Week,"YES","")</f>
        <v>YES</v>
      </c>
      <c r="Q3714" s="34" t="str">
        <f aca="false">IF(AND(B3714&gt;=Cal_Start_Week,B3714&lt;=Cal_End_Week),"YES","")</f>
        <v>YES</v>
      </c>
    </row>
    <row r="3715" customFormat="false" ht="15" hidden="false" customHeight="false" outlineLevel="0" collapsed="false">
      <c r="A3715" s="31" t="str">
        <f aca="false">Demand_History!C3715</f>
        <v>ELE-007</v>
      </c>
      <c r="B3715" s="31" t="n">
        <f aca="false">Demand_History!A3715</f>
        <v>74</v>
      </c>
      <c r="C3715" s="32" t="n">
        <f aca="false">Demand_History!D3715</f>
        <v>7</v>
      </c>
      <c r="D3715" s="33" t="n">
        <f aca="false">IF(B3715&gt;=2,C3714,"")</f>
        <v>7</v>
      </c>
      <c r="E3715" s="33" t="n">
        <f aca="false">IF(B3715&gt;=5,AVERAGE(C3711:C3714),"")</f>
        <v>7.25</v>
      </c>
      <c r="F3715" s="33" t="n">
        <f aca="false">IF(B3715&gt;=9,AVERAGE(C3707:C3714),"")</f>
        <v>7.875</v>
      </c>
      <c r="G3715" s="33" t="n">
        <f aca="false">IF(B3715=1,"",IF(B3715=2,C3714,SES_Alpha*C3714+(1-SES_Alpha)*G3714))</f>
        <v>7.70309551479842</v>
      </c>
      <c r="H3715" s="33" t="n">
        <f aca="false">IF(D3715="","",D3715-C3715)</f>
        <v>0</v>
      </c>
      <c r="I3715" s="33" t="n">
        <f aca="false">IF(E3715="","",E3715-C3715)</f>
        <v>0.25</v>
      </c>
      <c r="J3715" s="33" t="n">
        <f aca="false">IF(F3715="","",F3715-C3715)</f>
        <v>0.875</v>
      </c>
      <c r="K3715" s="33" t="n">
        <f aca="false">IF(G3715="","",G3715-C3715)</f>
        <v>0.70309551479842</v>
      </c>
      <c r="L3715" s="33" t="n">
        <f aca="false">IF(H3715="","",ABS(H3715))</f>
        <v>0</v>
      </c>
      <c r="M3715" s="33" t="n">
        <f aca="false">IF(I3715="","",ABS(I3715))</f>
        <v>0.25</v>
      </c>
      <c r="N3715" s="33" t="n">
        <f aca="false">IF(J3715="","",ABS(J3715))</f>
        <v>0.875</v>
      </c>
      <c r="O3715" s="33" t="n">
        <f aca="false">IF(K3715="","",ABS(K3715))</f>
        <v>0.70309551479842</v>
      </c>
      <c r="P3715" s="34" t="str">
        <f aca="false">IF(B3715&gt;=Eval_Start_Week,"YES","")</f>
        <v>YES</v>
      </c>
      <c r="Q3715" s="34" t="str">
        <f aca="false">IF(AND(B3715&gt;=Cal_Start_Week,B3715&lt;=Cal_End_Week),"YES","")</f>
        <v>YES</v>
      </c>
    </row>
    <row r="3716" customFormat="false" ht="15" hidden="false" customHeight="false" outlineLevel="0" collapsed="false">
      <c r="A3716" s="31" t="str">
        <f aca="false">Demand_History!C3716</f>
        <v>ELE-007</v>
      </c>
      <c r="B3716" s="31" t="n">
        <f aca="false">Demand_History!A3716</f>
        <v>75</v>
      </c>
      <c r="C3716" s="32" t="n">
        <f aca="false">Demand_History!D3716</f>
        <v>12</v>
      </c>
      <c r="D3716" s="33" t="n">
        <f aca="false">IF(B3716&gt;=2,C3715,"")</f>
        <v>7</v>
      </c>
      <c r="E3716" s="33" t="n">
        <f aca="false">IF(B3716&gt;=5,AVERAGE(C3712:C3715),"")</f>
        <v>7.5</v>
      </c>
      <c r="F3716" s="33" t="n">
        <f aca="false">IF(B3716&gt;=9,AVERAGE(C3708:C3715),"")</f>
        <v>7.75</v>
      </c>
      <c r="G3716" s="33" t="n">
        <f aca="false">IF(B3716=1,"",IF(B3716=2,C3715,SES_Alpha*C3715+(1-SES_Alpha)*G3715))</f>
        <v>7.49216686035889</v>
      </c>
      <c r="H3716" s="33" t="n">
        <f aca="false">IF(D3716="","",D3716-C3716)</f>
        <v>-5</v>
      </c>
      <c r="I3716" s="33" t="n">
        <f aca="false">IF(E3716="","",E3716-C3716)</f>
        <v>-4.5</v>
      </c>
      <c r="J3716" s="33" t="n">
        <f aca="false">IF(F3716="","",F3716-C3716)</f>
        <v>-4.25</v>
      </c>
      <c r="K3716" s="33" t="n">
        <f aca="false">IF(G3716="","",G3716-C3716)</f>
        <v>-4.50783313964111</v>
      </c>
      <c r="L3716" s="33" t="n">
        <f aca="false">IF(H3716="","",ABS(H3716))</f>
        <v>5</v>
      </c>
      <c r="M3716" s="33" t="n">
        <f aca="false">IF(I3716="","",ABS(I3716))</f>
        <v>4.5</v>
      </c>
      <c r="N3716" s="33" t="n">
        <f aca="false">IF(J3716="","",ABS(J3716))</f>
        <v>4.25</v>
      </c>
      <c r="O3716" s="33" t="n">
        <f aca="false">IF(K3716="","",ABS(K3716))</f>
        <v>4.50783313964111</v>
      </c>
      <c r="P3716" s="34" t="str">
        <f aca="false">IF(B3716&gt;=Eval_Start_Week,"YES","")</f>
        <v>YES</v>
      </c>
      <c r="Q3716" s="34" t="str">
        <f aca="false">IF(AND(B3716&gt;=Cal_Start_Week,B3716&lt;=Cal_End_Week),"YES","")</f>
        <v>YES</v>
      </c>
    </row>
    <row r="3717" customFormat="false" ht="15" hidden="false" customHeight="false" outlineLevel="0" collapsed="false">
      <c r="A3717" s="31" t="str">
        <f aca="false">Demand_History!C3717</f>
        <v>ELE-007</v>
      </c>
      <c r="B3717" s="31" t="n">
        <f aca="false">Demand_History!A3717</f>
        <v>76</v>
      </c>
      <c r="C3717" s="32" t="n">
        <f aca="false">Demand_History!D3717</f>
        <v>8</v>
      </c>
      <c r="D3717" s="33" t="n">
        <f aca="false">IF(B3717&gt;=2,C3716,"")</f>
        <v>12</v>
      </c>
      <c r="E3717" s="33" t="n">
        <f aca="false">IF(B3717&gt;=5,AVERAGE(C3713:C3716),"")</f>
        <v>8.75</v>
      </c>
      <c r="F3717" s="33" t="n">
        <f aca="false">IF(B3717&gt;=9,AVERAGE(C3709:C3716),"")</f>
        <v>8.5</v>
      </c>
      <c r="G3717" s="33" t="n">
        <f aca="false">IF(B3717=1,"",IF(B3717=2,C3716,SES_Alpha*C3716+(1-SES_Alpha)*G3716))</f>
        <v>8.84451680225122</v>
      </c>
      <c r="H3717" s="33" t="n">
        <f aca="false">IF(D3717="","",D3717-C3717)</f>
        <v>4</v>
      </c>
      <c r="I3717" s="33" t="n">
        <f aca="false">IF(E3717="","",E3717-C3717)</f>
        <v>0.75</v>
      </c>
      <c r="J3717" s="33" t="n">
        <f aca="false">IF(F3717="","",F3717-C3717)</f>
        <v>0.5</v>
      </c>
      <c r="K3717" s="33" t="n">
        <f aca="false">IF(G3717="","",G3717-C3717)</f>
        <v>0.844516802251224</v>
      </c>
      <c r="L3717" s="33" t="n">
        <f aca="false">IF(H3717="","",ABS(H3717))</f>
        <v>4</v>
      </c>
      <c r="M3717" s="33" t="n">
        <f aca="false">IF(I3717="","",ABS(I3717))</f>
        <v>0.75</v>
      </c>
      <c r="N3717" s="33" t="n">
        <f aca="false">IF(J3717="","",ABS(J3717))</f>
        <v>0.5</v>
      </c>
      <c r="O3717" s="33" t="n">
        <f aca="false">IF(K3717="","",ABS(K3717))</f>
        <v>0.844516802251224</v>
      </c>
      <c r="P3717" s="34" t="str">
        <f aca="false">IF(B3717&gt;=Eval_Start_Week,"YES","")</f>
        <v>YES</v>
      </c>
      <c r="Q3717" s="34" t="str">
        <f aca="false">IF(AND(B3717&gt;=Cal_Start_Week,B3717&lt;=Cal_End_Week),"YES","")</f>
        <v>YES</v>
      </c>
    </row>
    <row r="3718" customFormat="false" ht="15" hidden="false" customHeight="false" outlineLevel="0" collapsed="false">
      <c r="A3718" s="31" t="str">
        <f aca="false">Demand_History!C3718</f>
        <v>ELE-007</v>
      </c>
      <c r="B3718" s="31" t="n">
        <f aca="false">Demand_History!A3718</f>
        <v>77</v>
      </c>
      <c r="C3718" s="32" t="n">
        <f aca="false">Demand_History!D3718</f>
        <v>12</v>
      </c>
      <c r="D3718" s="33" t="n">
        <f aca="false">IF(B3718&gt;=2,C3717,"")</f>
        <v>8</v>
      </c>
      <c r="E3718" s="33" t="n">
        <f aca="false">IF(B3718&gt;=5,AVERAGE(C3714:C3717),"")</f>
        <v>8.5</v>
      </c>
      <c r="F3718" s="33" t="n">
        <f aca="false">IF(B3718&gt;=9,AVERAGE(C3710:C3717),"")</f>
        <v>8.5</v>
      </c>
      <c r="G3718" s="33" t="n">
        <f aca="false">IF(B3718=1,"",IF(B3718=2,C3717,SES_Alpha*C3717+(1-SES_Alpha)*G3717))</f>
        <v>8.59116176157586</v>
      </c>
      <c r="H3718" s="33" t="n">
        <f aca="false">IF(D3718="","",D3718-C3718)</f>
        <v>-4</v>
      </c>
      <c r="I3718" s="33" t="n">
        <f aca="false">IF(E3718="","",E3718-C3718)</f>
        <v>-3.5</v>
      </c>
      <c r="J3718" s="33" t="n">
        <f aca="false">IF(F3718="","",F3718-C3718)</f>
        <v>-3.5</v>
      </c>
      <c r="K3718" s="33" t="n">
        <f aca="false">IF(G3718="","",G3718-C3718)</f>
        <v>-3.40883823842414</v>
      </c>
      <c r="L3718" s="33" t="n">
        <f aca="false">IF(H3718="","",ABS(H3718))</f>
        <v>4</v>
      </c>
      <c r="M3718" s="33" t="n">
        <f aca="false">IF(I3718="","",ABS(I3718))</f>
        <v>3.5</v>
      </c>
      <c r="N3718" s="33" t="n">
        <f aca="false">IF(J3718="","",ABS(J3718))</f>
        <v>3.5</v>
      </c>
      <c r="O3718" s="33" t="n">
        <f aca="false">IF(K3718="","",ABS(K3718))</f>
        <v>3.40883823842414</v>
      </c>
      <c r="P3718" s="34" t="str">
        <f aca="false">IF(B3718&gt;=Eval_Start_Week,"YES","")</f>
        <v>YES</v>
      </c>
      <c r="Q3718" s="34" t="str">
        <f aca="false">IF(AND(B3718&gt;=Cal_Start_Week,B3718&lt;=Cal_End_Week),"YES","")</f>
        <v>YES</v>
      </c>
    </row>
    <row r="3719" customFormat="false" ht="15" hidden="false" customHeight="false" outlineLevel="0" collapsed="false">
      <c r="A3719" s="31" t="str">
        <f aca="false">Demand_History!C3719</f>
        <v>ELE-007</v>
      </c>
      <c r="B3719" s="31" t="n">
        <f aca="false">Demand_History!A3719</f>
        <v>78</v>
      </c>
      <c r="C3719" s="32" t="n">
        <f aca="false">Demand_History!D3719</f>
        <v>9</v>
      </c>
      <c r="D3719" s="33" t="n">
        <f aca="false">IF(B3719&gt;=2,C3718,"")</f>
        <v>12</v>
      </c>
      <c r="E3719" s="33" t="n">
        <f aca="false">IF(B3719&gt;=5,AVERAGE(C3715:C3718),"")</f>
        <v>9.75</v>
      </c>
      <c r="F3719" s="33" t="n">
        <f aca="false">IF(B3719&gt;=9,AVERAGE(C3711:C3718),"")</f>
        <v>8.5</v>
      </c>
      <c r="G3719" s="33" t="n">
        <f aca="false">IF(B3719=1,"",IF(B3719=2,C3718,SES_Alpha*C3718+(1-SES_Alpha)*G3718))</f>
        <v>9.6138132331031</v>
      </c>
      <c r="H3719" s="33" t="n">
        <f aca="false">IF(D3719="","",D3719-C3719)</f>
        <v>3</v>
      </c>
      <c r="I3719" s="33" t="n">
        <f aca="false">IF(E3719="","",E3719-C3719)</f>
        <v>0.75</v>
      </c>
      <c r="J3719" s="33" t="n">
        <f aca="false">IF(F3719="","",F3719-C3719)</f>
        <v>-0.5</v>
      </c>
      <c r="K3719" s="33" t="n">
        <f aca="false">IF(G3719="","",G3719-C3719)</f>
        <v>0.613813233103098</v>
      </c>
      <c r="L3719" s="33" t="n">
        <f aca="false">IF(H3719="","",ABS(H3719))</f>
        <v>3</v>
      </c>
      <c r="M3719" s="33" t="n">
        <f aca="false">IF(I3719="","",ABS(I3719))</f>
        <v>0.75</v>
      </c>
      <c r="N3719" s="33" t="n">
        <f aca="false">IF(J3719="","",ABS(J3719))</f>
        <v>0.5</v>
      </c>
      <c r="O3719" s="33" t="n">
        <f aca="false">IF(K3719="","",ABS(K3719))</f>
        <v>0.613813233103098</v>
      </c>
      <c r="P3719" s="34" t="str">
        <f aca="false">IF(B3719&gt;=Eval_Start_Week,"YES","")</f>
        <v>YES</v>
      </c>
      <c r="Q3719" s="34" t="str">
        <f aca="false">IF(AND(B3719&gt;=Cal_Start_Week,B3719&lt;=Cal_End_Week),"YES","")</f>
        <v>YES</v>
      </c>
    </row>
    <row r="3720" customFormat="false" ht="15" hidden="false" customHeight="false" outlineLevel="0" collapsed="false">
      <c r="A3720" s="31" t="str">
        <f aca="false">Demand_History!C3720</f>
        <v>ELE-007</v>
      </c>
      <c r="B3720" s="31" t="n">
        <f aca="false">Demand_History!A3720</f>
        <v>79</v>
      </c>
      <c r="C3720" s="32" t="n">
        <f aca="false">Demand_History!D3720</f>
        <v>7</v>
      </c>
      <c r="D3720" s="33" t="n">
        <f aca="false">IF(B3720&gt;=2,C3719,"")</f>
        <v>9</v>
      </c>
      <c r="E3720" s="33" t="n">
        <f aca="false">IF(B3720&gt;=5,AVERAGE(C3716:C3719),"")</f>
        <v>10.25</v>
      </c>
      <c r="F3720" s="33" t="n">
        <f aca="false">IF(B3720&gt;=9,AVERAGE(C3712:C3719),"")</f>
        <v>8.875</v>
      </c>
      <c r="G3720" s="33" t="n">
        <f aca="false">IF(B3720=1,"",IF(B3720=2,C3719,SES_Alpha*C3719+(1-SES_Alpha)*G3719))</f>
        <v>9.42966926317217</v>
      </c>
      <c r="H3720" s="33" t="n">
        <f aca="false">IF(D3720="","",D3720-C3720)</f>
        <v>2</v>
      </c>
      <c r="I3720" s="33" t="n">
        <f aca="false">IF(E3720="","",E3720-C3720)</f>
        <v>3.25</v>
      </c>
      <c r="J3720" s="33" t="n">
        <f aca="false">IF(F3720="","",F3720-C3720)</f>
        <v>1.875</v>
      </c>
      <c r="K3720" s="33" t="n">
        <f aca="false">IF(G3720="","",G3720-C3720)</f>
        <v>2.42966926317217</v>
      </c>
      <c r="L3720" s="33" t="n">
        <f aca="false">IF(H3720="","",ABS(H3720))</f>
        <v>2</v>
      </c>
      <c r="M3720" s="33" t="n">
        <f aca="false">IF(I3720="","",ABS(I3720))</f>
        <v>3.25</v>
      </c>
      <c r="N3720" s="33" t="n">
        <f aca="false">IF(J3720="","",ABS(J3720))</f>
        <v>1.875</v>
      </c>
      <c r="O3720" s="33" t="n">
        <f aca="false">IF(K3720="","",ABS(K3720))</f>
        <v>2.42966926317217</v>
      </c>
      <c r="P3720" s="34" t="str">
        <f aca="false">IF(B3720&gt;=Eval_Start_Week,"YES","")</f>
        <v>YES</v>
      </c>
      <c r="Q3720" s="34" t="str">
        <f aca="false">IF(AND(B3720&gt;=Cal_Start_Week,B3720&lt;=Cal_End_Week),"YES","")</f>
        <v>YES</v>
      </c>
    </row>
    <row r="3721" customFormat="false" ht="15" hidden="false" customHeight="false" outlineLevel="0" collapsed="false">
      <c r="A3721" s="31" t="str">
        <f aca="false">Demand_History!C3721</f>
        <v>ELE-007</v>
      </c>
      <c r="B3721" s="31" t="n">
        <f aca="false">Demand_History!A3721</f>
        <v>80</v>
      </c>
      <c r="C3721" s="32" t="n">
        <f aca="false">Demand_History!D3721</f>
        <v>6</v>
      </c>
      <c r="D3721" s="33" t="n">
        <f aca="false">IF(B3721&gt;=2,C3720,"")</f>
        <v>7</v>
      </c>
      <c r="E3721" s="33" t="n">
        <f aca="false">IF(B3721&gt;=5,AVERAGE(C3717:C3720),"")</f>
        <v>9</v>
      </c>
      <c r="F3721" s="33" t="n">
        <f aca="false">IF(B3721&gt;=9,AVERAGE(C3713:C3720),"")</f>
        <v>8.875</v>
      </c>
      <c r="G3721" s="33" t="n">
        <f aca="false">IF(B3721=1,"",IF(B3721=2,C3720,SES_Alpha*C3720+(1-SES_Alpha)*G3720))</f>
        <v>8.70076848422052</v>
      </c>
      <c r="H3721" s="33" t="n">
        <f aca="false">IF(D3721="","",D3721-C3721)</f>
        <v>1</v>
      </c>
      <c r="I3721" s="33" t="n">
        <f aca="false">IF(E3721="","",E3721-C3721)</f>
        <v>3</v>
      </c>
      <c r="J3721" s="33" t="n">
        <f aca="false">IF(F3721="","",F3721-C3721)</f>
        <v>2.875</v>
      </c>
      <c r="K3721" s="33" t="n">
        <f aca="false">IF(G3721="","",G3721-C3721)</f>
        <v>2.70076848422052</v>
      </c>
      <c r="L3721" s="33" t="n">
        <f aca="false">IF(H3721="","",ABS(H3721))</f>
        <v>1</v>
      </c>
      <c r="M3721" s="33" t="n">
        <f aca="false">IF(I3721="","",ABS(I3721))</f>
        <v>3</v>
      </c>
      <c r="N3721" s="33" t="n">
        <f aca="false">IF(J3721="","",ABS(J3721))</f>
        <v>2.875</v>
      </c>
      <c r="O3721" s="33" t="n">
        <f aca="false">IF(K3721="","",ABS(K3721))</f>
        <v>2.70076848422052</v>
      </c>
      <c r="P3721" s="34" t="str">
        <f aca="false">IF(B3721&gt;=Eval_Start_Week,"YES","")</f>
        <v>YES</v>
      </c>
      <c r="Q3721" s="34" t="str">
        <f aca="false">IF(AND(B3721&gt;=Cal_Start_Week,B3721&lt;=Cal_End_Week),"YES","")</f>
        <v>YES</v>
      </c>
    </row>
    <row r="3722" customFormat="false" ht="15" hidden="false" customHeight="false" outlineLevel="0" collapsed="false">
      <c r="A3722" s="31" t="str">
        <f aca="false">Demand_History!C3722</f>
        <v>ELE-007</v>
      </c>
      <c r="B3722" s="31" t="n">
        <f aca="false">Demand_History!A3722</f>
        <v>81</v>
      </c>
      <c r="C3722" s="32" t="n">
        <f aca="false">Demand_History!D3722</f>
        <v>3</v>
      </c>
      <c r="D3722" s="33" t="n">
        <f aca="false">IF(B3722&gt;=2,C3721,"")</f>
        <v>6</v>
      </c>
      <c r="E3722" s="33" t="n">
        <f aca="false">IF(B3722&gt;=5,AVERAGE(C3718:C3721),"")</f>
        <v>8.5</v>
      </c>
      <c r="F3722" s="33" t="n">
        <f aca="false">IF(B3722&gt;=9,AVERAGE(C3714:C3721),"")</f>
        <v>8.5</v>
      </c>
      <c r="G3722" s="33" t="n">
        <f aca="false">IF(B3722=1,"",IF(B3722=2,C3721,SES_Alpha*C3721+(1-SES_Alpha)*G3721))</f>
        <v>7.89053793895436</v>
      </c>
      <c r="H3722" s="33" t="n">
        <f aca="false">IF(D3722="","",D3722-C3722)</f>
        <v>3</v>
      </c>
      <c r="I3722" s="33" t="n">
        <f aca="false">IF(E3722="","",E3722-C3722)</f>
        <v>5.5</v>
      </c>
      <c r="J3722" s="33" t="n">
        <f aca="false">IF(F3722="","",F3722-C3722)</f>
        <v>5.5</v>
      </c>
      <c r="K3722" s="33" t="n">
        <f aca="false">IF(G3722="","",G3722-C3722)</f>
        <v>4.89053793895436</v>
      </c>
      <c r="L3722" s="33" t="n">
        <f aca="false">IF(H3722="","",ABS(H3722))</f>
        <v>3</v>
      </c>
      <c r="M3722" s="33" t="n">
        <f aca="false">IF(I3722="","",ABS(I3722))</f>
        <v>5.5</v>
      </c>
      <c r="N3722" s="33" t="n">
        <f aca="false">IF(J3722="","",ABS(J3722))</f>
        <v>5.5</v>
      </c>
      <c r="O3722" s="33" t="n">
        <f aca="false">IF(K3722="","",ABS(K3722))</f>
        <v>4.89053793895436</v>
      </c>
      <c r="P3722" s="34" t="str">
        <f aca="false">IF(B3722&gt;=Eval_Start_Week,"YES","")</f>
        <v>YES</v>
      </c>
      <c r="Q3722" s="34" t="str">
        <f aca="false">IF(AND(B3722&gt;=Cal_Start_Week,B3722&lt;=Cal_End_Week),"YES","")</f>
        <v>YES</v>
      </c>
    </row>
    <row r="3723" customFormat="false" ht="15" hidden="false" customHeight="false" outlineLevel="0" collapsed="false">
      <c r="A3723" s="31" t="str">
        <f aca="false">Demand_History!C3723</f>
        <v>ELE-007</v>
      </c>
      <c r="B3723" s="31" t="n">
        <f aca="false">Demand_History!A3723</f>
        <v>82</v>
      </c>
      <c r="C3723" s="32" t="n">
        <f aca="false">Demand_History!D3723</f>
        <v>8</v>
      </c>
      <c r="D3723" s="33" t="n">
        <f aca="false">IF(B3723&gt;=2,C3722,"")</f>
        <v>3</v>
      </c>
      <c r="E3723" s="33" t="n">
        <f aca="false">IF(B3723&gt;=5,AVERAGE(C3719:C3722),"")</f>
        <v>6.25</v>
      </c>
      <c r="F3723" s="33" t="n">
        <f aca="false">IF(B3723&gt;=9,AVERAGE(C3715:C3722),"")</f>
        <v>8</v>
      </c>
      <c r="G3723" s="33" t="n">
        <f aca="false">IF(B3723=1,"",IF(B3723=2,C3722,SES_Alpha*C3722+(1-SES_Alpha)*G3722))</f>
        <v>6.42337655726805</v>
      </c>
      <c r="H3723" s="33" t="n">
        <f aca="false">IF(D3723="","",D3723-C3723)</f>
        <v>-5</v>
      </c>
      <c r="I3723" s="33" t="n">
        <f aca="false">IF(E3723="","",E3723-C3723)</f>
        <v>-1.75</v>
      </c>
      <c r="J3723" s="33" t="n">
        <f aca="false">IF(F3723="","",F3723-C3723)</f>
        <v>0</v>
      </c>
      <c r="K3723" s="33" t="n">
        <f aca="false">IF(G3723="","",G3723-C3723)</f>
        <v>-1.57662344273195</v>
      </c>
      <c r="L3723" s="33" t="n">
        <f aca="false">IF(H3723="","",ABS(H3723))</f>
        <v>5</v>
      </c>
      <c r="M3723" s="33" t="n">
        <f aca="false">IF(I3723="","",ABS(I3723))</f>
        <v>1.75</v>
      </c>
      <c r="N3723" s="33" t="n">
        <f aca="false">IF(J3723="","",ABS(J3723))</f>
        <v>0</v>
      </c>
      <c r="O3723" s="33" t="n">
        <f aca="false">IF(K3723="","",ABS(K3723))</f>
        <v>1.57662344273195</v>
      </c>
      <c r="P3723" s="34" t="str">
        <f aca="false">IF(B3723&gt;=Eval_Start_Week,"YES","")</f>
        <v>YES</v>
      </c>
      <c r="Q3723" s="34" t="str">
        <f aca="false">IF(AND(B3723&gt;=Cal_Start_Week,B3723&lt;=Cal_End_Week),"YES","")</f>
        <v>YES</v>
      </c>
    </row>
    <row r="3724" customFormat="false" ht="15" hidden="false" customHeight="false" outlineLevel="0" collapsed="false">
      <c r="A3724" s="31" t="str">
        <f aca="false">Demand_History!C3724</f>
        <v>ELE-007</v>
      </c>
      <c r="B3724" s="31" t="n">
        <f aca="false">Demand_History!A3724</f>
        <v>83</v>
      </c>
      <c r="C3724" s="32" t="n">
        <f aca="false">Demand_History!D3724</f>
        <v>10</v>
      </c>
      <c r="D3724" s="33" t="n">
        <f aca="false">IF(B3724&gt;=2,C3723,"")</f>
        <v>8</v>
      </c>
      <c r="E3724" s="33" t="n">
        <f aca="false">IF(B3724&gt;=5,AVERAGE(C3720:C3723),"")</f>
        <v>6</v>
      </c>
      <c r="F3724" s="33" t="n">
        <f aca="false">IF(B3724&gt;=9,AVERAGE(C3716:C3723),"")</f>
        <v>8.125</v>
      </c>
      <c r="G3724" s="33" t="n">
        <f aca="false">IF(B3724=1,"",IF(B3724=2,C3723,SES_Alpha*C3723+(1-SES_Alpha)*G3723))</f>
        <v>6.89636359008764</v>
      </c>
      <c r="H3724" s="33" t="n">
        <f aca="false">IF(D3724="","",D3724-C3724)</f>
        <v>-2</v>
      </c>
      <c r="I3724" s="33" t="n">
        <f aca="false">IF(E3724="","",E3724-C3724)</f>
        <v>-4</v>
      </c>
      <c r="J3724" s="33" t="n">
        <f aca="false">IF(F3724="","",F3724-C3724)</f>
        <v>-1.875</v>
      </c>
      <c r="K3724" s="33" t="n">
        <f aca="false">IF(G3724="","",G3724-C3724)</f>
        <v>-3.10363640991237</v>
      </c>
      <c r="L3724" s="33" t="n">
        <f aca="false">IF(H3724="","",ABS(H3724))</f>
        <v>2</v>
      </c>
      <c r="M3724" s="33" t="n">
        <f aca="false">IF(I3724="","",ABS(I3724))</f>
        <v>4</v>
      </c>
      <c r="N3724" s="33" t="n">
        <f aca="false">IF(J3724="","",ABS(J3724))</f>
        <v>1.875</v>
      </c>
      <c r="O3724" s="33" t="n">
        <f aca="false">IF(K3724="","",ABS(K3724))</f>
        <v>3.10363640991237</v>
      </c>
      <c r="P3724" s="34" t="str">
        <f aca="false">IF(B3724&gt;=Eval_Start_Week,"YES","")</f>
        <v>YES</v>
      </c>
      <c r="Q3724" s="34" t="str">
        <f aca="false">IF(AND(B3724&gt;=Cal_Start_Week,B3724&lt;=Cal_End_Week),"YES","")</f>
        <v>YES</v>
      </c>
    </row>
    <row r="3725" customFormat="false" ht="15" hidden="false" customHeight="false" outlineLevel="0" collapsed="false">
      <c r="A3725" s="31" t="str">
        <f aca="false">Demand_History!C3725</f>
        <v>ELE-007</v>
      </c>
      <c r="B3725" s="31" t="n">
        <f aca="false">Demand_History!A3725</f>
        <v>84</v>
      </c>
      <c r="C3725" s="32" t="n">
        <f aca="false">Demand_History!D3725</f>
        <v>14</v>
      </c>
      <c r="D3725" s="33" t="n">
        <f aca="false">IF(B3725&gt;=2,C3724,"")</f>
        <v>10</v>
      </c>
      <c r="E3725" s="33" t="n">
        <f aca="false">IF(B3725&gt;=5,AVERAGE(C3721:C3724),"")</f>
        <v>6.75</v>
      </c>
      <c r="F3725" s="33" t="n">
        <f aca="false">IF(B3725&gt;=9,AVERAGE(C3717:C3724),"")</f>
        <v>7.875</v>
      </c>
      <c r="G3725" s="33" t="n">
        <f aca="false">IF(B3725=1,"",IF(B3725=2,C3724,SES_Alpha*C3724+(1-SES_Alpha)*G3724))</f>
        <v>7.82745451306134</v>
      </c>
      <c r="H3725" s="33" t="n">
        <f aca="false">IF(D3725="","",D3725-C3725)</f>
        <v>-4</v>
      </c>
      <c r="I3725" s="33" t="n">
        <f aca="false">IF(E3725="","",E3725-C3725)</f>
        <v>-7.25</v>
      </c>
      <c r="J3725" s="33" t="n">
        <f aca="false">IF(F3725="","",F3725-C3725)</f>
        <v>-6.125</v>
      </c>
      <c r="K3725" s="33" t="n">
        <f aca="false">IF(G3725="","",G3725-C3725)</f>
        <v>-6.17254548693866</v>
      </c>
      <c r="L3725" s="33" t="n">
        <f aca="false">IF(H3725="","",ABS(H3725))</f>
        <v>4</v>
      </c>
      <c r="M3725" s="33" t="n">
        <f aca="false">IF(I3725="","",ABS(I3725))</f>
        <v>7.25</v>
      </c>
      <c r="N3725" s="33" t="n">
        <f aca="false">IF(J3725="","",ABS(J3725))</f>
        <v>6.125</v>
      </c>
      <c r="O3725" s="33" t="n">
        <f aca="false">IF(K3725="","",ABS(K3725))</f>
        <v>6.17254548693866</v>
      </c>
      <c r="P3725" s="34" t="str">
        <f aca="false">IF(B3725&gt;=Eval_Start_Week,"YES","")</f>
        <v>YES</v>
      </c>
      <c r="Q3725" s="34" t="str">
        <f aca="false">IF(AND(B3725&gt;=Cal_Start_Week,B3725&lt;=Cal_End_Week),"YES","")</f>
        <v>YES</v>
      </c>
    </row>
    <row r="3726" customFormat="false" ht="15" hidden="false" customHeight="false" outlineLevel="0" collapsed="false">
      <c r="A3726" s="31" t="str">
        <f aca="false">Demand_History!C3726</f>
        <v>ELE-007</v>
      </c>
      <c r="B3726" s="31" t="n">
        <f aca="false">Demand_History!A3726</f>
        <v>85</v>
      </c>
      <c r="C3726" s="32" t="n">
        <f aca="false">Demand_History!D3726</f>
        <v>6</v>
      </c>
      <c r="D3726" s="33" t="n">
        <f aca="false">IF(B3726&gt;=2,C3725,"")</f>
        <v>14</v>
      </c>
      <c r="E3726" s="33" t="n">
        <f aca="false">IF(B3726&gt;=5,AVERAGE(C3722:C3725),"")</f>
        <v>8.75</v>
      </c>
      <c r="F3726" s="33" t="n">
        <f aca="false">IF(B3726&gt;=9,AVERAGE(C3718:C3725),"")</f>
        <v>8.625</v>
      </c>
      <c r="G3726" s="33" t="n">
        <f aca="false">IF(B3726=1,"",IF(B3726=2,C3725,SES_Alpha*C3725+(1-SES_Alpha)*G3725))</f>
        <v>9.67921815914294</v>
      </c>
      <c r="H3726" s="33" t="n">
        <f aca="false">IF(D3726="","",D3726-C3726)</f>
        <v>8</v>
      </c>
      <c r="I3726" s="33" t="n">
        <f aca="false">IF(E3726="","",E3726-C3726)</f>
        <v>2.75</v>
      </c>
      <c r="J3726" s="33" t="n">
        <f aca="false">IF(F3726="","",F3726-C3726)</f>
        <v>2.625</v>
      </c>
      <c r="K3726" s="33" t="n">
        <f aca="false">IF(G3726="","",G3726-C3726)</f>
        <v>3.67921815914294</v>
      </c>
      <c r="L3726" s="33" t="n">
        <f aca="false">IF(H3726="","",ABS(H3726))</f>
        <v>8</v>
      </c>
      <c r="M3726" s="33" t="n">
        <f aca="false">IF(I3726="","",ABS(I3726))</f>
        <v>2.75</v>
      </c>
      <c r="N3726" s="33" t="n">
        <f aca="false">IF(J3726="","",ABS(J3726))</f>
        <v>2.625</v>
      </c>
      <c r="O3726" s="33" t="n">
        <f aca="false">IF(K3726="","",ABS(K3726))</f>
        <v>3.67921815914294</v>
      </c>
      <c r="P3726" s="34" t="str">
        <f aca="false">IF(B3726&gt;=Eval_Start_Week,"YES","")</f>
        <v>YES</v>
      </c>
      <c r="Q3726" s="34" t="str">
        <f aca="false">IF(AND(B3726&gt;=Cal_Start_Week,B3726&lt;=Cal_End_Week),"YES","")</f>
        <v>YES</v>
      </c>
    </row>
    <row r="3727" customFormat="false" ht="15" hidden="false" customHeight="false" outlineLevel="0" collapsed="false">
      <c r="A3727" s="31" t="str">
        <f aca="false">Demand_History!C3727</f>
        <v>ELE-007</v>
      </c>
      <c r="B3727" s="31" t="n">
        <f aca="false">Demand_History!A3727</f>
        <v>86</v>
      </c>
      <c r="C3727" s="32" t="n">
        <f aca="false">Demand_History!D3727</f>
        <v>12</v>
      </c>
      <c r="D3727" s="33" t="n">
        <f aca="false">IF(B3727&gt;=2,C3726,"")</f>
        <v>6</v>
      </c>
      <c r="E3727" s="33" t="n">
        <f aca="false">IF(B3727&gt;=5,AVERAGE(C3723:C3726),"")</f>
        <v>9.5</v>
      </c>
      <c r="F3727" s="33" t="n">
        <f aca="false">IF(B3727&gt;=9,AVERAGE(C3719:C3726),"")</f>
        <v>7.875</v>
      </c>
      <c r="G3727" s="33" t="n">
        <f aca="false">IF(B3727=1,"",IF(B3727=2,C3726,SES_Alpha*C3726+(1-SES_Alpha)*G3726))</f>
        <v>8.57545271140006</v>
      </c>
      <c r="H3727" s="33" t="n">
        <f aca="false">IF(D3727="","",D3727-C3727)</f>
        <v>-6</v>
      </c>
      <c r="I3727" s="33" t="n">
        <f aca="false">IF(E3727="","",E3727-C3727)</f>
        <v>-2.5</v>
      </c>
      <c r="J3727" s="33" t="n">
        <f aca="false">IF(F3727="","",F3727-C3727)</f>
        <v>-4.125</v>
      </c>
      <c r="K3727" s="33" t="n">
        <f aca="false">IF(G3727="","",G3727-C3727)</f>
        <v>-3.42454728859994</v>
      </c>
      <c r="L3727" s="33" t="n">
        <f aca="false">IF(H3727="","",ABS(H3727))</f>
        <v>6</v>
      </c>
      <c r="M3727" s="33" t="n">
        <f aca="false">IF(I3727="","",ABS(I3727))</f>
        <v>2.5</v>
      </c>
      <c r="N3727" s="33" t="n">
        <f aca="false">IF(J3727="","",ABS(J3727))</f>
        <v>4.125</v>
      </c>
      <c r="O3727" s="33" t="n">
        <f aca="false">IF(K3727="","",ABS(K3727))</f>
        <v>3.42454728859994</v>
      </c>
      <c r="P3727" s="34" t="str">
        <f aca="false">IF(B3727&gt;=Eval_Start_Week,"YES","")</f>
        <v>YES</v>
      </c>
      <c r="Q3727" s="34" t="str">
        <f aca="false">IF(AND(B3727&gt;=Cal_Start_Week,B3727&lt;=Cal_End_Week),"YES","")</f>
        <v>YES</v>
      </c>
    </row>
    <row r="3728" customFormat="false" ht="15" hidden="false" customHeight="false" outlineLevel="0" collapsed="false">
      <c r="A3728" s="31" t="str">
        <f aca="false">Demand_History!C3728</f>
        <v>ELE-007</v>
      </c>
      <c r="B3728" s="31" t="n">
        <f aca="false">Demand_History!A3728</f>
        <v>87</v>
      </c>
      <c r="C3728" s="32" t="n">
        <f aca="false">Demand_History!D3728</f>
        <v>7</v>
      </c>
      <c r="D3728" s="33" t="n">
        <f aca="false">IF(B3728&gt;=2,C3727,"")</f>
        <v>12</v>
      </c>
      <c r="E3728" s="33" t="n">
        <f aca="false">IF(B3728&gt;=5,AVERAGE(C3724:C3727),"")</f>
        <v>10.5</v>
      </c>
      <c r="F3728" s="33" t="n">
        <f aca="false">IF(B3728&gt;=9,AVERAGE(C3720:C3727),"")</f>
        <v>8.25</v>
      </c>
      <c r="G3728" s="33" t="n">
        <f aca="false">IF(B3728=1,"",IF(B3728=2,C3727,SES_Alpha*C3727+(1-SES_Alpha)*G3727))</f>
        <v>9.60281689798004</v>
      </c>
      <c r="H3728" s="33" t="n">
        <f aca="false">IF(D3728="","",D3728-C3728)</f>
        <v>5</v>
      </c>
      <c r="I3728" s="33" t="n">
        <f aca="false">IF(E3728="","",E3728-C3728)</f>
        <v>3.5</v>
      </c>
      <c r="J3728" s="33" t="n">
        <f aca="false">IF(F3728="","",F3728-C3728)</f>
        <v>1.25</v>
      </c>
      <c r="K3728" s="33" t="n">
        <f aca="false">IF(G3728="","",G3728-C3728)</f>
        <v>2.60281689798004</v>
      </c>
      <c r="L3728" s="33" t="n">
        <f aca="false">IF(H3728="","",ABS(H3728))</f>
        <v>5</v>
      </c>
      <c r="M3728" s="33" t="n">
        <f aca="false">IF(I3728="","",ABS(I3728))</f>
        <v>3.5</v>
      </c>
      <c r="N3728" s="33" t="n">
        <f aca="false">IF(J3728="","",ABS(J3728))</f>
        <v>1.25</v>
      </c>
      <c r="O3728" s="33" t="n">
        <f aca="false">IF(K3728="","",ABS(K3728))</f>
        <v>2.60281689798004</v>
      </c>
      <c r="P3728" s="34" t="str">
        <f aca="false">IF(B3728&gt;=Eval_Start_Week,"YES","")</f>
        <v>YES</v>
      </c>
      <c r="Q3728" s="34" t="str">
        <f aca="false">IF(AND(B3728&gt;=Cal_Start_Week,B3728&lt;=Cal_End_Week),"YES","")</f>
        <v>YES</v>
      </c>
    </row>
    <row r="3729" customFormat="false" ht="15" hidden="false" customHeight="false" outlineLevel="0" collapsed="false">
      <c r="A3729" s="31" t="str">
        <f aca="false">Demand_History!C3729</f>
        <v>ELE-007</v>
      </c>
      <c r="B3729" s="31" t="n">
        <f aca="false">Demand_History!A3729</f>
        <v>88</v>
      </c>
      <c r="C3729" s="32" t="n">
        <f aca="false">Demand_History!D3729</f>
        <v>7</v>
      </c>
      <c r="D3729" s="33" t="n">
        <f aca="false">IF(B3729&gt;=2,C3728,"")</f>
        <v>7</v>
      </c>
      <c r="E3729" s="33" t="n">
        <f aca="false">IF(B3729&gt;=5,AVERAGE(C3725:C3728),"")</f>
        <v>9.75</v>
      </c>
      <c r="F3729" s="33" t="n">
        <f aca="false">IF(B3729&gt;=9,AVERAGE(C3721:C3728),"")</f>
        <v>8.25</v>
      </c>
      <c r="G3729" s="33" t="n">
        <f aca="false">IF(B3729=1,"",IF(B3729=2,C3728,SES_Alpha*C3728+(1-SES_Alpha)*G3728))</f>
        <v>8.82197182858603</v>
      </c>
      <c r="H3729" s="33" t="n">
        <f aca="false">IF(D3729="","",D3729-C3729)</f>
        <v>0</v>
      </c>
      <c r="I3729" s="33" t="n">
        <f aca="false">IF(E3729="","",E3729-C3729)</f>
        <v>2.75</v>
      </c>
      <c r="J3729" s="33" t="n">
        <f aca="false">IF(F3729="","",F3729-C3729)</f>
        <v>1.25</v>
      </c>
      <c r="K3729" s="33" t="n">
        <f aca="false">IF(G3729="","",G3729-C3729)</f>
        <v>1.82197182858603</v>
      </c>
      <c r="L3729" s="33" t="n">
        <f aca="false">IF(H3729="","",ABS(H3729))</f>
        <v>0</v>
      </c>
      <c r="M3729" s="33" t="n">
        <f aca="false">IF(I3729="","",ABS(I3729))</f>
        <v>2.75</v>
      </c>
      <c r="N3729" s="33" t="n">
        <f aca="false">IF(J3729="","",ABS(J3729))</f>
        <v>1.25</v>
      </c>
      <c r="O3729" s="33" t="n">
        <f aca="false">IF(K3729="","",ABS(K3729))</f>
        <v>1.82197182858603</v>
      </c>
      <c r="P3729" s="34" t="str">
        <f aca="false">IF(B3729&gt;=Eval_Start_Week,"YES","")</f>
        <v>YES</v>
      </c>
      <c r="Q3729" s="34" t="str">
        <f aca="false">IF(AND(B3729&gt;=Cal_Start_Week,B3729&lt;=Cal_End_Week),"YES","")</f>
        <v>YES</v>
      </c>
    </row>
    <row r="3730" customFormat="false" ht="15" hidden="false" customHeight="false" outlineLevel="0" collapsed="false">
      <c r="A3730" s="31" t="str">
        <f aca="false">Demand_History!C3730</f>
        <v>ELE-007</v>
      </c>
      <c r="B3730" s="31" t="n">
        <f aca="false">Demand_History!A3730</f>
        <v>89</v>
      </c>
      <c r="C3730" s="32" t="n">
        <f aca="false">Demand_History!D3730</f>
        <v>10</v>
      </c>
      <c r="D3730" s="33" t="n">
        <f aca="false">IF(B3730&gt;=2,C3729,"")</f>
        <v>7</v>
      </c>
      <c r="E3730" s="33" t="n">
        <f aca="false">IF(B3730&gt;=5,AVERAGE(C3726:C3729),"")</f>
        <v>8</v>
      </c>
      <c r="F3730" s="33" t="n">
        <f aca="false">IF(B3730&gt;=9,AVERAGE(C3722:C3729),"")</f>
        <v>8.375</v>
      </c>
      <c r="G3730" s="33" t="n">
        <f aca="false">IF(B3730=1,"",IF(B3730=2,C3729,SES_Alpha*C3729+(1-SES_Alpha)*G3729))</f>
        <v>8.27538028001022</v>
      </c>
      <c r="H3730" s="33" t="n">
        <f aca="false">IF(D3730="","",D3730-C3730)</f>
        <v>-3</v>
      </c>
      <c r="I3730" s="33" t="n">
        <f aca="false">IF(E3730="","",E3730-C3730)</f>
        <v>-2</v>
      </c>
      <c r="J3730" s="33" t="n">
        <f aca="false">IF(F3730="","",F3730-C3730)</f>
        <v>-1.625</v>
      </c>
      <c r="K3730" s="33" t="n">
        <f aca="false">IF(G3730="","",G3730-C3730)</f>
        <v>-1.72461971998978</v>
      </c>
      <c r="L3730" s="33" t="n">
        <f aca="false">IF(H3730="","",ABS(H3730))</f>
        <v>3</v>
      </c>
      <c r="M3730" s="33" t="n">
        <f aca="false">IF(I3730="","",ABS(I3730))</f>
        <v>2</v>
      </c>
      <c r="N3730" s="33" t="n">
        <f aca="false">IF(J3730="","",ABS(J3730))</f>
        <v>1.625</v>
      </c>
      <c r="O3730" s="33" t="n">
        <f aca="false">IF(K3730="","",ABS(K3730))</f>
        <v>1.72461971998978</v>
      </c>
      <c r="P3730" s="34" t="str">
        <f aca="false">IF(B3730&gt;=Eval_Start_Week,"YES","")</f>
        <v>YES</v>
      </c>
      <c r="Q3730" s="34" t="str">
        <f aca="false">IF(AND(B3730&gt;=Cal_Start_Week,B3730&lt;=Cal_End_Week),"YES","")</f>
        <v/>
      </c>
    </row>
    <row r="3731" customFormat="false" ht="15" hidden="false" customHeight="false" outlineLevel="0" collapsed="false">
      <c r="A3731" s="31" t="str">
        <f aca="false">Demand_History!C3731</f>
        <v>ELE-007</v>
      </c>
      <c r="B3731" s="31" t="n">
        <f aca="false">Demand_History!A3731</f>
        <v>90</v>
      </c>
      <c r="C3731" s="32" t="n">
        <f aca="false">Demand_History!D3731</f>
        <v>6</v>
      </c>
      <c r="D3731" s="33" t="n">
        <f aca="false">IF(B3731&gt;=2,C3730,"")</f>
        <v>10</v>
      </c>
      <c r="E3731" s="33" t="n">
        <f aca="false">IF(B3731&gt;=5,AVERAGE(C3727:C3730),"")</f>
        <v>9</v>
      </c>
      <c r="F3731" s="33" t="n">
        <f aca="false">IF(B3731&gt;=9,AVERAGE(C3723:C3730),"")</f>
        <v>9.25</v>
      </c>
      <c r="G3731" s="33" t="n">
        <f aca="false">IF(B3731=1,"",IF(B3731=2,C3730,SES_Alpha*C3730+(1-SES_Alpha)*G3730))</f>
        <v>8.79276619600715</v>
      </c>
      <c r="H3731" s="33" t="n">
        <f aca="false">IF(D3731="","",D3731-C3731)</f>
        <v>4</v>
      </c>
      <c r="I3731" s="33" t="n">
        <f aca="false">IF(E3731="","",E3731-C3731)</f>
        <v>3</v>
      </c>
      <c r="J3731" s="33" t="n">
        <f aca="false">IF(F3731="","",F3731-C3731)</f>
        <v>3.25</v>
      </c>
      <c r="K3731" s="33" t="n">
        <f aca="false">IF(G3731="","",G3731-C3731)</f>
        <v>2.79276619600715</v>
      </c>
      <c r="L3731" s="33" t="n">
        <f aca="false">IF(H3731="","",ABS(H3731))</f>
        <v>4</v>
      </c>
      <c r="M3731" s="33" t="n">
        <f aca="false">IF(I3731="","",ABS(I3731))</f>
        <v>3</v>
      </c>
      <c r="N3731" s="33" t="n">
        <f aca="false">IF(J3731="","",ABS(J3731))</f>
        <v>3.25</v>
      </c>
      <c r="O3731" s="33" t="n">
        <f aca="false">IF(K3731="","",ABS(K3731))</f>
        <v>2.79276619600715</v>
      </c>
      <c r="P3731" s="34" t="str">
        <f aca="false">IF(B3731&gt;=Eval_Start_Week,"YES","")</f>
        <v>YES</v>
      </c>
      <c r="Q3731" s="34" t="str">
        <f aca="false">IF(AND(B3731&gt;=Cal_Start_Week,B3731&lt;=Cal_End_Week),"YES","")</f>
        <v/>
      </c>
    </row>
    <row r="3732" customFormat="false" ht="15" hidden="false" customHeight="false" outlineLevel="0" collapsed="false">
      <c r="A3732" s="31" t="str">
        <f aca="false">Demand_History!C3732</f>
        <v>ELE-007</v>
      </c>
      <c r="B3732" s="31" t="n">
        <f aca="false">Demand_History!A3732</f>
        <v>91</v>
      </c>
      <c r="C3732" s="32" t="n">
        <f aca="false">Demand_History!D3732</f>
        <v>12</v>
      </c>
      <c r="D3732" s="33" t="n">
        <f aca="false">IF(B3732&gt;=2,C3731,"")</f>
        <v>6</v>
      </c>
      <c r="E3732" s="33" t="n">
        <f aca="false">IF(B3732&gt;=5,AVERAGE(C3728:C3731),"")</f>
        <v>7.5</v>
      </c>
      <c r="F3732" s="33" t="n">
        <f aca="false">IF(B3732&gt;=9,AVERAGE(C3724:C3731),"")</f>
        <v>9</v>
      </c>
      <c r="G3732" s="33" t="n">
        <f aca="false">IF(B3732=1,"",IF(B3732=2,C3731,SES_Alpha*C3731+(1-SES_Alpha)*G3731))</f>
        <v>7.95493633720501</v>
      </c>
      <c r="H3732" s="33" t="n">
        <f aca="false">IF(D3732="","",D3732-C3732)</f>
        <v>-6</v>
      </c>
      <c r="I3732" s="33" t="n">
        <f aca="false">IF(E3732="","",E3732-C3732)</f>
        <v>-4.5</v>
      </c>
      <c r="J3732" s="33" t="n">
        <f aca="false">IF(F3732="","",F3732-C3732)</f>
        <v>-3</v>
      </c>
      <c r="K3732" s="33" t="n">
        <f aca="false">IF(G3732="","",G3732-C3732)</f>
        <v>-4.04506366279499</v>
      </c>
      <c r="L3732" s="33" t="n">
        <f aca="false">IF(H3732="","",ABS(H3732))</f>
        <v>6</v>
      </c>
      <c r="M3732" s="33" t="n">
        <f aca="false">IF(I3732="","",ABS(I3732))</f>
        <v>4.5</v>
      </c>
      <c r="N3732" s="33" t="n">
        <f aca="false">IF(J3732="","",ABS(J3732))</f>
        <v>3</v>
      </c>
      <c r="O3732" s="33" t="n">
        <f aca="false">IF(K3732="","",ABS(K3732))</f>
        <v>4.04506366279499</v>
      </c>
      <c r="P3732" s="34" t="str">
        <f aca="false">IF(B3732&gt;=Eval_Start_Week,"YES","")</f>
        <v>YES</v>
      </c>
      <c r="Q3732" s="34" t="str">
        <f aca="false">IF(AND(B3732&gt;=Cal_Start_Week,B3732&lt;=Cal_End_Week),"YES","")</f>
        <v/>
      </c>
    </row>
    <row r="3733" customFormat="false" ht="15" hidden="false" customHeight="false" outlineLevel="0" collapsed="false">
      <c r="A3733" s="31" t="str">
        <f aca="false">Demand_History!C3733</f>
        <v>ELE-007</v>
      </c>
      <c r="B3733" s="31" t="n">
        <f aca="false">Demand_History!A3733</f>
        <v>92</v>
      </c>
      <c r="C3733" s="32" t="n">
        <f aca="false">Demand_History!D3733</f>
        <v>9</v>
      </c>
      <c r="D3733" s="33" t="n">
        <f aca="false">IF(B3733&gt;=2,C3732,"")</f>
        <v>12</v>
      </c>
      <c r="E3733" s="33" t="n">
        <f aca="false">IF(B3733&gt;=5,AVERAGE(C3729:C3732),"")</f>
        <v>8.75</v>
      </c>
      <c r="F3733" s="33" t="n">
        <f aca="false">IF(B3733&gt;=9,AVERAGE(C3725:C3732),"")</f>
        <v>9.25</v>
      </c>
      <c r="G3733" s="33" t="n">
        <f aca="false">IF(B3733=1,"",IF(B3733=2,C3732,SES_Alpha*C3732+(1-SES_Alpha)*G3732))</f>
        <v>9.16845543604351</v>
      </c>
      <c r="H3733" s="33" t="n">
        <f aca="false">IF(D3733="","",D3733-C3733)</f>
        <v>3</v>
      </c>
      <c r="I3733" s="33" t="n">
        <f aca="false">IF(E3733="","",E3733-C3733)</f>
        <v>-0.25</v>
      </c>
      <c r="J3733" s="33" t="n">
        <f aca="false">IF(F3733="","",F3733-C3733)</f>
        <v>0.25</v>
      </c>
      <c r="K3733" s="33" t="n">
        <f aca="false">IF(G3733="","",G3733-C3733)</f>
        <v>0.168455436043505</v>
      </c>
      <c r="L3733" s="33" t="n">
        <f aca="false">IF(H3733="","",ABS(H3733))</f>
        <v>3</v>
      </c>
      <c r="M3733" s="33" t="n">
        <f aca="false">IF(I3733="","",ABS(I3733))</f>
        <v>0.25</v>
      </c>
      <c r="N3733" s="33" t="n">
        <f aca="false">IF(J3733="","",ABS(J3733))</f>
        <v>0.25</v>
      </c>
      <c r="O3733" s="33" t="n">
        <f aca="false">IF(K3733="","",ABS(K3733))</f>
        <v>0.168455436043505</v>
      </c>
      <c r="P3733" s="34" t="str">
        <f aca="false">IF(B3733&gt;=Eval_Start_Week,"YES","")</f>
        <v>YES</v>
      </c>
      <c r="Q3733" s="34" t="str">
        <f aca="false">IF(AND(B3733&gt;=Cal_Start_Week,B3733&lt;=Cal_End_Week),"YES","")</f>
        <v/>
      </c>
    </row>
    <row r="3734" customFormat="false" ht="15" hidden="false" customHeight="false" outlineLevel="0" collapsed="false">
      <c r="A3734" s="31" t="str">
        <f aca="false">Demand_History!C3734</f>
        <v>ELE-007</v>
      </c>
      <c r="B3734" s="31" t="n">
        <f aca="false">Demand_History!A3734</f>
        <v>93</v>
      </c>
      <c r="C3734" s="32" t="n">
        <f aca="false">Demand_History!D3734</f>
        <v>7</v>
      </c>
      <c r="D3734" s="33" t="n">
        <f aca="false">IF(B3734&gt;=2,C3733,"")</f>
        <v>9</v>
      </c>
      <c r="E3734" s="33" t="n">
        <f aca="false">IF(B3734&gt;=5,AVERAGE(C3730:C3733),"")</f>
        <v>9.25</v>
      </c>
      <c r="F3734" s="33" t="n">
        <f aca="false">IF(B3734&gt;=9,AVERAGE(C3726:C3733),"")</f>
        <v>8.625</v>
      </c>
      <c r="G3734" s="33" t="n">
        <f aca="false">IF(B3734=1,"",IF(B3734=2,C3733,SES_Alpha*C3733+(1-SES_Alpha)*G3733))</f>
        <v>9.11791880523045</v>
      </c>
      <c r="H3734" s="33" t="n">
        <f aca="false">IF(D3734="","",D3734-C3734)</f>
        <v>2</v>
      </c>
      <c r="I3734" s="33" t="n">
        <f aca="false">IF(E3734="","",E3734-C3734)</f>
        <v>2.25</v>
      </c>
      <c r="J3734" s="33" t="n">
        <f aca="false">IF(F3734="","",F3734-C3734)</f>
        <v>1.625</v>
      </c>
      <c r="K3734" s="33" t="n">
        <f aca="false">IF(G3734="","",G3734-C3734)</f>
        <v>2.11791880523045</v>
      </c>
      <c r="L3734" s="33" t="n">
        <f aca="false">IF(H3734="","",ABS(H3734))</f>
        <v>2</v>
      </c>
      <c r="M3734" s="33" t="n">
        <f aca="false">IF(I3734="","",ABS(I3734))</f>
        <v>2.25</v>
      </c>
      <c r="N3734" s="33" t="n">
        <f aca="false">IF(J3734="","",ABS(J3734))</f>
        <v>1.625</v>
      </c>
      <c r="O3734" s="33" t="n">
        <f aca="false">IF(K3734="","",ABS(K3734))</f>
        <v>2.11791880523045</v>
      </c>
      <c r="P3734" s="34" t="str">
        <f aca="false">IF(B3734&gt;=Eval_Start_Week,"YES","")</f>
        <v>YES</v>
      </c>
      <c r="Q3734" s="34" t="str">
        <f aca="false">IF(AND(B3734&gt;=Cal_Start_Week,B3734&lt;=Cal_End_Week),"YES","")</f>
        <v/>
      </c>
    </row>
    <row r="3735" customFormat="false" ht="15" hidden="false" customHeight="false" outlineLevel="0" collapsed="false">
      <c r="A3735" s="31" t="str">
        <f aca="false">Demand_History!C3735</f>
        <v>ELE-007</v>
      </c>
      <c r="B3735" s="31" t="n">
        <f aca="false">Demand_History!A3735</f>
        <v>94</v>
      </c>
      <c r="C3735" s="32" t="n">
        <f aca="false">Demand_History!D3735</f>
        <v>11</v>
      </c>
      <c r="D3735" s="33" t="n">
        <f aca="false">IF(B3735&gt;=2,C3734,"")</f>
        <v>7</v>
      </c>
      <c r="E3735" s="33" t="n">
        <f aca="false">IF(B3735&gt;=5,AVERAGE(C3731:C3734),"")</f>
        <v>8.5</v>
      </c>
      <c r="F3735" s="33" t="n">
        <f aca="false">IF(B3735&gt;=9,AVERAGE(C3727:C3734),"")</f>
        <v>8.75</v>
      </c>
      <c r="G3735" s="33" t="n">
        <f aca="false">IF(B3735=1,"",IF(B3735=2,C3734,SES_Alpha*C3734+(1-SES_Alpha)*G3734))</f>
        <v>8.48254316366132</v>
      </c>
      <c r="H3735" s="33" t="n">
        <f aca="false">IF(D3735="","",D3735-C3735)</f>
        <v>-4</v>
      </c>
      <c r="I3735" s="33" t="n">
        <f aca="false">IF(E3735="","",E3735-C3735)</f>
        <v>-2.5</v>
      </c>
      <c r="J3735" s="33" t="n">
        <f aca="false">IF(F3735="","",F3735-C3735)</f>
        <v>-2.25</v>
      </c>
      <c r="K3735" s="33" t="n">
        <f aca="false">IF(G3735="","",G3735-C3735)</f>
        <v>-2.51745683633868</v>
      </c>
      <c r="L3735" s="33" t="n">
        <f aca="false">IF(H3735="","",ABS(H3735))</f>
        <v>4</v>
      </c>
      <c r="M3735" s="33" t="n">
        <f aca="false">IF(I3735="","",ABS(I3735))</f>
        <v>2.5</v>
      </c>
      <c r="N3735" s="33" t="n">
        <f aca="false">IF(J3735="","",ABS(J3735))</f>
        <v>2.25</v>
      </c>
      <c r="O3735" s="33" t="n">
        <f aca="false">IF(K3735="","",ABS(K3735))</f>
        <v>2.51745683633868</v>
      </c>
      <c r="P3735" s="34" t="str">
        <f aca="false">IF(B3735&gt;=Eval_Start_Week,"YES","")</f>
        <v>YES</v>
      </c>
      <c r="Q3735" s="34" t="str">
        <f aca="false">IF(AND(B3735&gt;=Cal_Start_Week,B3735&lt;=Cal_End_Week),"YES","")</f>
        <v/>
      </c>
    </row>
    <row r="3736" customFormat="false" ht="15" hidden="false" customHeight="false" outlineLevel="0" collapsed="false">
      <c r="A3736" s="31" t="str">
        <f aca="false">Demand_History!C3736</f>
        <v>ELE-007</v>
      </c>
      <c r="B3736" s="31" t="n">
        <f aca="false">Demand_History!A3736</f>
        <v>95</v>
      </c>
      <c r="C3736" s="32" t="n">
        <f aca="false">Demand_History!D3736</f>
        <v>7</v>
      </c>
      <c r="D3736" s="33" t="n">
        <f aca="false">IF(B3736&gt;=2,C3735,"")</f>
        <v>11</v>
      </c>
      <c r="E3736" s="33" t="n">
        <f aca="false">IF(B3736&gt;=5,AVERAGE(C3732:C3735),"")</f>
        <v>9.75</v>
      </c>
      <c r="F3736" s="33" t="n">
        <f aca="false">IF(B3736&gt;=9,AVERAGE(C3728:C3735),"")</f>
        <v>8.625</v>
      </c>
      <c r="G3736" s="33" t="n">
        <f aca="false">IF(B3736=1,"",IF(B3736=2,C3735,SES_Alpha*C3735+(1-SES_Alpha)*G3735))</f>
        <v>9.23778021456292</v>
      </c>
      <c r="H3736" s="33" t="n">
        <f aca="false">IF(D3736="","",D3736-C3736)</f>
        <v>4</v>
      </c>
      <c r="I3736" s="33" t="n">
        <f aca="false">IF(E3736="","",E3736-C3736)</f>
        <v>2.75</v>
      </c>
      <c r="J3736" s="33" t="n">
        <f aca="false">IF(F3736="","",F3736-C3736)</f>
        <v>1.625</v>
      </c>
      <c r="K3736" s="33" t="n">
        <f aca="false">IF(G3736="","",G3736-C3736)</f>
        <v>2.23778021456292</v>
      </c>
      <c r="L3736" s="33" t="n">
        <f aca="false">IF(H3736="","",ABS(H3736))</f>
        <v>4</v>
      </c>
      <c r="M3736" s="33" t="n">
        <f aca="false">IF(I3736="","",ABS(I3736))</f>
        <v>2.75</v>
      </c>
      <c r="N3736" s="33" t="n">
        <f aca="false">IF(J3736="","",ABS(J3736))</f>
        <v>1.625</v>
      </c>
      <c r="O3736" s="33" t="n">
        <f aca="false">IF(K3736="","",ABS(K3736))</f>
        <v>2.23778021456292</v>
      </c>
      <c r="P3736" s="34" t="str">
        <f aca="false">IF(B3736&gt;=Eval_Start_Week,"YES","")</f>
        <v>YES</v>
      </c>
      <c r="Q3736" s="34" t="str">
        <f aca="false">IF(AND(B3736&gt;=Cal_Start_Week,B3736&lt;=Cal_End_Week),"YES","")</f>
        <v/>
      </c>
    </row>
    <row r="3737" customFormat="false" ht="15" hidden="false" customHeight="false" outlineLevel="0" collapsed="false">
      <c r="A3737" s="31" t="str">
        <f aca="false">Demand_History!C3737</f>
        <v>ELE-007</v>
      </c>
      <c r="B3737" s="31" t="n">
        <f aca="false">Demand_History!A3737</f>
        <v>96</v>
      </c>
      <c r="C3737" s="32" t="n">
        <f aca="false">Demand_History!D3737</f>
        <v>5</v>
      </c>
      <c r="D3737" s="33" t="n">
        <f aca="false">IF(B3737&gt;=2,C3736,"")</f>
        <v>7</v>
      </c>
      <c r="E3737" s="33" t="n">
        <f aca="false">IF(B3737&gt;=5,AVERAGE(C3733:C3736),"")</f>
        <v>8.5</v>
      </c>
      <c r="F3737" s="33" t="n">
        <f aca="false">IF(B3737&gt;=9,AVERAGE(C3729:C3736),"")</f>
        <v>8.625</v>
      </c>
      <c r="G3737" s="33" t="n">
        <f aca="false">IF(B3737=1,"",IF(B3737=2,C3736,SES_Alpha*C3736+(1-SES_Alpha)*G3736))</f>
        <v>8.56644615019405</v>
      </c>
      <c r="H3737" s="33" t="n">
        <f aca="false">IF(D3737="","",D3737-C3737)</f>
        <v>2</v>
      </c>
      <c r="I3737" s="33" t="n">
        <f aca="false">IF(E3737="","",E3737-C3737)</f>
        <v>3.5</v>
      </c>
      <c r="J3737" s="33" t="n">
        <f aca="false">IF(F3737="","",F3737-C3737)</f>
        <v>3.625</v>
      </c>
      <c r="K3737" s="33" t="n">
        <f aca="false">IF(G3737="","",G3737-C3737)</f>
        <v>3.56644615019404</v>
      </c>
      <c r="L3737" s="33" t="n">
        <f aca="false">IF(H3737="","",ABS(H3737))</f>
        <v>2</v>
      </c>
      <c r="M3737" s="33" t="n">
        <f aca="false">IF(I3737="","",ABS(I3737))</f>
        <v>3.5</v>
      </c>
      <c r="N3737" s="33" t="n">
        <f aca="false">IF(J3737="","",ABS(J3737))</f>
        <v>3.625</v>
      </c>
      <c r="O3737" s="33" t="n">
        <f aca="false">IF(K3737="","",ABS(K3737))</f>
        <v>3.56644615019404</v>
      </c>
      <c r="P3737" s="34" t="str">
        <f aca="false">IF(B3737&gt;=Eval_Start_Week,"YES","")</f>
        <v>YES</v>
      </c>
      <c r="Q3737" s="34" t="str">
        <f aca="false">IF(AND(B3737&gt;=Cal_Start_Week,B3737&lt;=Cal_End_Week),"YES","")</f>
        <v/>
      </c>
    </row>
    <row r="3738" customFormat="false" ht="15" hidden="false" customHeight="false" outlineLevel="0" collapsed="false">
      <c r="A3738" s="31" t="str">
        <f aca="false">Demand_History!C3738</f>
        <v>ELE-007</v>
      </c>
      <c r="B3738" s="31" t="n">
        <f aca="false">Demand_History!A3738</f>
        <v>97</v>
      </c>
      <c r="C3738" s="32" t="n">
        <f aca="false">Demand_History!D3738</f>
        <v>9</v>
      </c>
      <c r="D3738" s="33" t="n">
        <f aca="false">IF(B3738&gt;=2,C3737,"")</f>
        <v>5</v>
      </c>
      <c r="E3738" s="33" t="n">
        <f aca="false">IF(B3738&gt;=5,AVERAGE(C3734:C3737),"")</f>
        <v>7.5</v>
      </c>
      <c r="F3738" s="33" t="n">
        <f aca="false">IF(B3738&gt;=9,AVERAGE(C3730:C3737),"")</f>
        <v>8.375</v>
      </c>
      <c r="G3738" s="33" t="n">
        <f aca="false">IF(B3738=1,"",IF(B3738=2,C3737,SES_Alpha*C3737+(1-SES_Alpha)*G3737))</f>
        <v>7.49651230513583</v>
      </c>
      <c r="H3738" s="33" t="n">
        <f aca="false">IF(D3738="","",D3738-C3738)</f>
        <v>-4</v>
      </c>
      <c r="I3738" s="33" t="n">
        <f aca="false">IF(E3738="","",E3738-C3738)</f>
        <v>-1.5</v>
      </c>
      <c r="J3738" s="33" t="n">
        <f aca="false">IF(F3738="","",F3738-C3738)</f>
        <v>-0.625</v>
      </c>
      <c r="K3738" s="33" t="n">
        <f aca="false">IF(G3738="","",G3738-C3738)</f>
        <v>-1.50348769486417</v>
      </c>
      <c r="L3738" s="33" t="n">
        <f aca="false">IF(H3738="","",ABS(H3738))</f>
        <v>4</v>
      </c>
      <c r="M3738" s="33" t="n">
        <f aca="false">IF(I3738="","",ABS(I3738))</f>
        <v>1.5</v>
      </c>
      <c r="N3738" s="33" t="n">
        <f aca="false">IF(J3738="","",ABS(J3738))</f>
        <v>0.625</v>
      </c>
      <c r="O3738" s="33" t="n">
        <f aca="false">IF(K3738="","",ABS(K3738))</f>
        <v>1.50348769486417</v>
      </c>
      <c r="P3738" s="34" t="str">
        <f aca="false">IF(B3738&gt;=Eval_Start_Week,"YES","")</f>
        <v>YES</v>
      </c>
      <c r="Q3738" s="34" t="str">
        <f aca="false">IF(AND(B3738&gt;=Cal_Start_Week,B3738&lt;=Cal_End_Week),"YES","")</f>
        <v/>
      </c>
    </row>
    <row r="3739" customFormat="false" ht="15" hidden="false" customHeight="false" outlineLevel="0" collapsed="false">
      <c r="A3739" s="31" t="str">
        <f aca="false">Demand_History!C3739</f>
        <v>ELE-007</v>
      </c>
      <c r="B3739" s="31" t="n">
        <f aca="false">Demand_History!A3739</f>
        <v>98</v>
      </c>
      <c r="C3739" s="32" t="n">
        <f aca="false">Demand_History!D3739</f>
        <v>7</v>
      </c>
      <c r="D3739" s="33" t="n">
        <f aca="false">IF(B3739&gt;=2,C3738,"")</f>
        <v>9</v>
      </c>
      <c r="E3739" s="33" t="n">
        <f aca="false">IF(B3739&gt;=5,AVERAGE(C3735:C3738),"")</f>
        <v>8</v>
      </c>
      <c r="F3739" s="33" t="n">
        <f aca="false">IF(B3739&gt;=9,AVERAGE(C3731:C3738),"")</f>
        <v>8.25</v>
      </c>
      <c r="G3739" s="33" t="n">
        <f aca="false">IF(B3739=1,"",IF(B3739=2,C3738,SES_Alpha*C3738+(1-SES_Alpha)*G3738))</f>
        <v>7.94755861359508</v>
      </c>
      <c r="H3739" s="33" t="n">
        <f aca="false">IF(D3739="","",D3739-C3739)</f>
        <v>2</v>
      </c>
      <c r="I3739" s="33" t="n">
        <f aca="false">IF(E3739="","",E3739-C3739)</f>
        <v>1</v>
      </c>
      <c r="J3739" s="33" t="n">
        <f aca="false">IF(F3739="","",F3739-C3739)</f>
        <v>1.25</v>
      </c>
      <c r="K3739" s="33" t="n">
        <f aca="false">IF(G3739="","",G3739-C3739)</f>
        <v>0.947558613595081</v>
      </c>
      <c r="L3739" s="33" t="n">
        <f aca="false">IF(H3739="","",ABS(H3739))</f>
        <v>2</v>
      </c>
      <c r="M3739" s="33" t="n">
        <f aca="false">IF(I3739="","",ABS(I3739))</f>
        <v>1</v>
      </c>
      <c r="N3739" s="33" t="n">
        <f aca="false">IF(J3739="","",ABS(J3739))</f>
        <v>1.25</v>
      </c>
      <c r="O3739" s="33" t="n">
        <f aca="false">IF(K3739="","",ABS(K3739))</f>
        <v>0.947558613595081</v>
      </c>
      <c r="P3739" s="34" t="str">
        <f aca="false">IF(B3739&gt;=Eval_Start_Week,"YES","")</f>
        <v>YES</v>
      </c>
      <c r="Q3739" s="34" t="str">
        <f aca="false">IF(AND(B3739&gt;=Cal_Start_Week,B3739&lt;=Cal_End_Week),"YES","")</f>
        <v/>
      </c>
    </row>
    <row r="3740" customFormat="false" ht="15" hidden="false" customHeight="false" outlineLevel="0" collapsed="false">
      <c r="A3740" s="31" t="str">
        <f aca="false">Demand_History!C3740</f>
        <v>ELE-007</v>
      </c>
      <c r="B3740" s="31" t="n">
        <f aca="false">Demand_History!A3740</f>
        <v>99</v>
      </c>
      <c r="C3740" s="32" t="n">
        <f aca="false">Demand_History!D3740</f>
        <v>4</v>
      </c>
      <c r="D3740" s="33" t="n">
        <f aca="false">IF(B3740&gt;=2,C3739,"")</f>
        <v>7</v>
      </c>
      <c r="E3740" s="33" t="n">
        <f aca="false">IF(B3740&gt;=5,AVERAGE(C3736:C3739),"")</f>
        <v>7</v>
      </c>
      <c r="F3740" s="33" t="n">
        <f aca="false">IF(B3740&gt;=9,AVERAGE(C3732:C3739),"")</f>
        <v>8.375</v>
      </c>
      <c r="G3740" s="33" t="n">
        <f aca="false">IF(B3740=1,"",IF(B3740=2,C3739,SES_Alpha*C3739+(1-SES_Alpha)*G3739))</f>
        <v>7.66329102951656</v>
      </c>
      <c r="H3740" s="33" t="n">
        <f aca="false">IF(D3740="","",D3740-C3740)</f>
        <v>3</v>
      </c>
      <c r="I3740" s="33" t="n">
        <f aca="false">IF(E3740="","",E3740-C3740)</f>
        <v>3</v>
      </c>
      <c r="J3740" s="33" t="n">
        <f aca="false">IF(F3740="","",F3740-C3740)</f>
        <v>4.375</v>
      </c>
      <c r="K3740" s="33" t="n">
        <f aca="false">IF(G3740="","",G3740-C3740)</f>
        <v>3.66329102951656</v>
      </c>
      <c r="L3740" s="33" t="n">
        <f aca="false">IF(H3740="","",ABS(H3740))</f>
        <v>3</v>
      </c>
      <c r="M3740" s="33" t="n">
        <f aca="false">IF(I3740="","",ABS(I3740))</f>
        <v>3</v>
      </c>
      <c r="N3740" s="33" t="n">
        <f aca="false">IF(J3740="","",ABS(J3740))</f>
        <v>4.375</v>
      </c>
      <c r="O3740" s="33" t="n">
        <f aca="false">IF(K3740="","",ABS(K3740))</f>
        <v>3.66329102951656</v>
      </c>
      <c r="P3740" s="34" t="str">
        <f aca="false">IF(B3740&gt;=Eval_Start_Week,"YES","")</f>
        <v>YES</v>
      </c>
      <c r="Q3740" s="34" t="str">
        <f aca="false">IF(AND(B3740&gt;=Cal_Start_Week,B3740&lt;=Cal_End_Week),"YES","")</f>
        <v/>
      </c>
    </row>
    <row r="3741" customFormat="false" ht="15" hidden="false" customHeight="false" outlineLevel="0" collapsed="false">
      <c r="A3741" s="31" t="str">
        <f aca="false">Demand_History!C3741</f>
        <v>ELE-007</v>
      </c>
      <c r="B3741" s="31" t="n">
        <f aca="false">Demand_History!A3741</f>
        <v>100</v>
      </c>
      <c r="C3741" s="32" t="n">
        <f aca="false">Demand_History!D3741</f>
        <v>10</v>
      </c>
      <c r="D3741" s="33" t="n">
        <f aca="false">IF(B3741&gt;=2,C3740,"")</f>
        <v>4</v>
      </c>
      <c r="E3741" s="33" t="n">
        <f aca="false">IF(B3741&gt;=5,AVERAGE(C3737:C3740),"")</f>
        <v>6.25</v>
      </c>
      <c r="F3741" s="33" t="n">
        <f aca="false">IF(B3741&gt;=9,AVERAGE(C3733:C3740),"")</f>
        <v>7.375</v>
      </c>
      <c r="G3741" s="33" t="n">
        <f aca="false">IF(B3741=1,"",IF(B3741=2,C3740,SES_Alpha*C3740+(1-SES_Alpha)*G3740))</f>
        <v>6.56430372066159</v>
      </c>
      <c r="H3741" s="33" t="n">
        <f aca="false">IF(D3741="","",D3741-C3741)</f>
        <v>-6</v>
      </c>
      <c r="I3741" s="33" t="n">
        <f aca="false">IF(E3741="","",E3741-C3741)</f>
        <v>-3.75</v>
      </c>
      <c r="J3741" s="33" t="n">
        <f aca="false">IF(F3741="","",F3741-C3741)</f>
        <v>-2.625</v>
      </c>
      <c r="K3741" s="33" t="n">
        <f aca="false">IF(G3741="","",G3741-C3741)</f>
        <v>-3.43569627933841</v>
      </c>
      <c r="L3741" s="33" t="n">
        <f aca="false">IF(H3741="","",ABS(H3741))</f>
        <v>6</v>
      </c>
      <c r="M3741" s="33" t="n">
        <f aca="false">IF(I3741="","",ABS(I3741))</f>
        <v>3.75</v>
      </c>
      <c r="N3741" s="33" t="n">
        <f aca="false">IF(J3741="","",ABS(J3741))</f>
        <v>2.625</v>
      </c>
      <c r="O3741" s="33" t="n">
        <f aca="false">IF(K3741="","",ABS(K3741))</f>
        <v>3.43569627933841</v>
      </c>
      <c r="P3741" s="34" t="str">
        <f aca="false">IF(B3741&gt;=Eval_Start_Week,"YES","")</f>
        <v>YES</v>
      </c>
      <c r="Q3741" s="34" t="str">
        <f aca="false">IF(AND(B3741&gt;=Cal_Start_Week,B3741&lt;=Cal_End_Week),"YES","")</f>
        <v/>
      </c>
    </row>
    <row r="3742" customFormat="false" ht="15" hidden="false" customHeight="false" outlineLevel="0" collapsed="false">
      <c r="A3742" s="31" t="str">
        <f aca="false">Demand_History!C3742</f>
        <v>ELE-007</v>
      </c>
      <c r="B3742" s="31" t="n">
        <f aca="false">Demand_History!A3742</f>
        <v>101</v>
      </c>
      <c r="C3742" s="32" t="n">
        <f aca="false">Demand_History!D3742</f>
        <v>8</v>
      </c>
      <c r="D3742" s="33" t="n">
        <f aca="false">IF(B3742&gt;=2,C3741,"")</f>
        <v>10</v>
      </c>
      <c r="E3742" s="33" t="n">
        <f aca="false">IF(B3742&gt;=5,AVERAGE(C3738:C3741),"")</f>
        <v>7.5</v>
      </c>
      <c r="F3742" s="33" t="n">
        <f aca="false">IF(B3742&gt;=9,AVERAGE(C3734:C3741),"")</f>
        <v>7.5</v>
      </c>
      <c r="G3742" s="33" t="n">
        <f aca="false">IF(B3742=1,"",IF(B3742=2,C3741,SES_Alpha*C3741+(1-SES_Alpha)*G3741))</f>
        <v>7.59501260446311</v>
      </c>
      <c r="H3742" s="33" t="n">
        <f aca="false">IF(D3742="","",D3742-C3742)</f>
        <v>2</v>
      </c>
      <c r="I3742" s="33" t="n">
        <f aca="false">IF(E3742="","",E3742-C3742)</f>
        <v>-0.5</v>
      </c>
      <c r="J3742" s="33" t="n">
        <f aca="false">IF(F3742="","",F3742-C3742)</f>
        <v>-0.5</v>
      </c>
      <c r="K3742" s="33" t="n">
        <f aca="false">IF(G3742="","",G3742-C3742)</f>
        <v>-0.404987395536888</v>
      </c>
      <c r="L3742" s="33" t="n">
        <f aca="false">IF(H3742="","",ABS(H3742))</f>
        <v>2</v>
      </c>
      <c r="M3742" s="33" t="n">
        <f aca="false">IF(I3742="","",ABS(I3742))</f>
        <v>0.5</v>
      </c>
      <c r="N3742" s="33" t="n">
        <f aca="false">IF(J3742="","",ABS(J3742))</f>
        <v>0.5</v>
      </c>
      <c r="O3742" s="33" t="n">
        <f aca="false">IF(K3742="","",ABS(K3742))</f>
        <v>0.404987395536888</v>
      </c>
      <c r="P3742" s="34" t="str">
        <f aca="false">IF(B3742&gt;=Eval_Start_Week,"YES","")</f>
        <v>YES</v>
      </c>
      <c r="Q3742" s="34" t="str">
        <f aca="false">IF(AND(B3742&gt;=Cal_Start_Week,B3742&lt;=Cal_End_Week),"YES","")</f>
        <v/>
      </c>
    </row>
    <row r="3743" customFormat="false" ht="15" hidden="false" customHeight="false" outlineLevel="0" collapsed="false">
      <c r="A3743" s="31" t="str">
        <f aca="false">Demand_History!C3743</f>
        <v>ELE-007</v>
      </c>
      <c r="B3743" s="31" t="n">
        <f aca="false">Demand_History!A3743</f>
        <v>102</v>
      </c>
      <c r="C3743" s="32" t="n">
        <f aca="false">Demand_History!D3743</f>
        <v>10</v>
      </c>
      <c r="D3743" s="33" t="n">
        <f aca="false">IF(B3743&gt;=2,C3742,"")</f>
        <v>8</v>
      </c>
      <c r="E3743" s="33" t="n">
        <f aca="false">IF(B3743&gt;=5,AVERAGE(C3739:C3742),"")</f>
        <v>7.25</v>
      </c>
      <c r="F3743" s="33" t="n">
        <f aca="false">IF(B3743&gt;=9,AVERAGE(C3735:C3742),"")</f>
        <v>7.625</v>
      </c>
      <c r="G3743" s="33" t="n">
        <f aca="false">IF(B3743=1,"",IF(B3743=2,C3742,SES_Alpha*C3742+(1-SES_Alpha)*G3742))</f>
        <v>7.71650882312418</v>
      </c>
      <c r="H3743" s="33" t="n">
        <f aca="false">IF(D3743="","",D3743-C3743)</f>
        <v>-2</v>
      </c>
      <c r="I3743" s="33" t="n">
        <f aca="false">IF(E3743="","",E3743-C3743)</f>
        <v>-2.75</v>
      </c>
      <c r="J3743" s="33" t="n">
        <f aca="false">IF(F3743="","",F3743-C3743)</f>
        <v>-2.375</v>
      </c>
      <c r="K3743" s="33" t="n">
        <f aca="false">IF(G3743="","",G3743-C3743)</f>
        <v>-2.28349117687582</v>
      </c>
      <c r="L3743" s="33" t="n">
        <f aca="false">IF(H3743="","",ABS(H3743))</f>
        <v>2</v>
      </c>
      <c r="M3743" s="33" t="n">
        <f aca="false">IF(I3743="","",ABS(I3743))</f>
        <v>2.75</v>
      </c>
      <c r="N3743" s="33" t="n">
        <f aca="false">IF(J3743="","",ABS(J3743))</f>
        <v>2.375</v>
      </c>
      <c r="O3743" s="33" t="n">
        <f aca="false">IF(K3743="","",ABS(K3743))</f>
        <v>2.28349117687582</v>
      </c>
      <c r="P3743" s="34" t="str">
        <f aca="false">IF(B3743&gt;=Eval_Start_Week,"YES","")</f>
        <v>YES</v>
      </c>
      <c r="Q3743" s="34" t="str">
        <f aca="false">IF(AND(B3743&gt;=Cal_Start_Week,B3743&lt;=Cal_End_Week),"YES","")</f>
        <v/>
      </c>
    </row>
    <row r="3744" customFormat="false" ht="15" hidden="false" customHeight="false" outlineLevel="0" collapsed="false">
      <c r="A3744" s="31" t="str">
        <f aca="false">Demand_History!C3744</f>
        <v>ELE-007</v>
      </c>
      <c r="B3744" s="31" t="n">
        <f aca="false">Demand_History!A3744</f>
        <v>103</v>
      </c>
      <c r="C3744" s="32" t="n">
        <f aca="false">Demand_History!D3744</f>
        <v>10</v>
      </c>
      <c r="D3744" s="33" t="n">
        <f aca="false">IF(B3744&gt;=2,C3743,"")</f>
        <v>10</v>
      </c>
      <c r="E3744" s="33" t="n">
        <f aca="false">IF(B3744&gt;=5,AVERAGE(C3740:C3743),"")</f>
        <v>8</v>
      </c>
      <c r="F3744" s="33" t="n">
        <f aca="false">IF(B3744&gt;=9,AVERAGE(C3736:C3743),"")</f>
        <v>7.5</v>
      </c>
      <c r="G3744" s="33" t="n">
        <f aca="false">IF(B3744=1,"",IF(B3744=2,C3743,SES_Alpha*C3743+(1-SES_Alpha)*G3743))</f>
        <v>8.40155617618692</v>
      </c>
      <c r="H3744" s="33" t="n">
        <f aca="false">IF(D3744="","",D3744-C3744)</f>
        <v>0</v>
      </c>
      <c r="I3744" s="33" t="n">
        <f aca="false">IF(E3744="","",E3744-C3744)</f>
        <v>-2</v>
      </c>
      <c r="J3744" s="33" t="n">
        <f aca="false">IF(F3744="","",F3744-C3744)</f>
        <v>-2.5</v>
      </c>
      <c r="K3744" s="33" t="n">
        <f aca="false">IF(G3744="","",G3744-C3744)</f>
        <v>-1.59844382381308</v>
      </c>
      <c r="L3744" s="33" t="n">
        <f aca="false">IF(H3744="","",ABS(H3744))</f>
        <v>0</v>
      </c>
      <c r="M3744" s="33" t="n">
        <f aca="false">IF(I3744="","",ABS(I3744))</f>
        <v>2</v>
      </c>
      <c r="N3744" s="33" t="n">
        <f aca="false">IF(J3744="","",ABS(J3744))</f>
        <v>2.5</v>
      </c>
      <c r="O3744" s="33" t="n">
        <f aca="false">IF(K3744="","",ABS(K3744))</f>
        <v>1.59844382381308</v>
      </c>
      <c r="P3744" s="34" t="str">
        <f aca="false">IF(B3744&gt;=Eval_Start_Week,"YES","")</f>
        <v>YES</v>
      </c>
      <c r="Q3744" s="34" t="str">
        <f aca="false">IF(AND(B3744&gt;=Cal_Start_Week,B3744&lt;=Cal_End_Week),"YES","")</f>
        <v/>
      </c>
    </row>
    <row r="3745" customFormat="false" ht="15" hidden="false" customHeight="false" outlineLevel="0" collapsed="false">
      <c r="A3745" s="31" t="str">
        <f aca="false">Demand_History!C3745</f>
        <v>ELE-007</v>
      </c>
      <c r="B3745" s="31" t="n">
        <f aca="false">Demand_History!A3745</f>
        <v>104</v>
      </c>
      <c r="C3745" s="32" t="n">
        <f aca="false">Demand_History!D3745</f>
        <v>3</v>
      </c>
      <c r="D3745" s="33" t="n">
        <f aca="false">IF(B3745&gt;=2,C3744,"")</f>
        <v>10</v>
      </c>
      <c r="E3745" s="33" t="n">
        <f aca="false">IF(B3745&gt;=5,AVERAGE(C3741:C3744),"")</f>
        <v>9.5</v>
      </c>
      <c r="F3745" s="33" t="n">
        <f aca="false">IF(B3745&gt;=9,AVERAGE(C3737:C3744),"")</f>
        <v>7.875</v>
      </c>
      <c r="G3745" s="33" t="n">
        <f aca="false">IF(B3745=1,"",IF(B3745=2,C3744,SES_Alpha*C3744+(1-SES_Alpha)*G3744))</f>
        <v>8.88108932333085</v>
      </c>
      <c r="H3745" s="33" t="n">
        <f aca="false">IF(D3745="","",D3745-C3745)</f>
        <v>7</v>
      </c>
      <c r="I3745" s="33" t="n">
        <f aca="false">IF(E3745="","",E3745-C3745)</f>
        <v>6.5</v>
      </c>
      <c r="J3745" s="33" t="n">
        <f aca="false">IF(F3745="","",F3745-C3745)</f>
        <v>4.875</v>
      </c>
      <c r="K3745" s="33" t="n">
        <f aca="false">IF(G3745="","",G3745-C3745)</f>
        <v>5.88108932333085</v>
      </c>
      <c r="L3745" s="33" t="n">
        <f aca="false">IF(H3745="","",ABS(H3745))</f>
        <v>7</v>
      </c>
      <c r="M3745" s="33" t="n">
        <f aca="false">IF(I3745="","",ABS(I3745))</f>
        <v>6.5</v>
      </c>
      <c r="N3745" s="33" t="n">
        <f aca="false">IF(J3745="","",ABS(J3745))</f>
        <v>4.875</v>
      </c>
      <c r="O3745" s="33" t="n">
        <f aca="false">IF(K3745="","",ABS(K3745))</f>
        <v>5.88108932333085</v>
      </c>
      <c r="P3745" s="34" t="str">
        <f aca="false">IF(B3745&gt;=Eval_Start_Week,"YES","")</f>
        <v>YES</v>
      </c>
      <c r="Q3745" s="34" t="str">
        <f aca="false">IF(AND(B3745&gt;=Cal_Start_Week,B3745&lt;=Cal_End_Week),"YES","")</f>
        <v/>
      </c>
    </row>
    <row r="3746" customFormat="false" ht="15" hidden="false" customHeight="false" outlineLevel="0" collapsed="false">
      <c r="A3746" s="31" t="str">
        <f aca="false">Demand_History!C3746</f>
        <v>ELE-008</v>
      </c>
      <c r="B3746" s="31" t="n">
        <f aca="false">Demand_History!A3746</f>
        <v>1</v>
      </c>
      <c r="C3746" s="32" t="n">
        <f aca="false">Demand_History!D3746</f>
        <v>11</v>
      </c>
      <c r="D3746" s="33" t="str">
        <f aca="false">IF(B3746&gt;=2,C3745,"")</f>
        <v/>
      </c>
      <c r="E3746" s="33" t="str">
        <f aca="false">IF(B3746&gt;=5,AVERAGE(C3742:C3745),"")</f>
        <v/>
      </c>
      <c r="F3746" s="33" t="str">
        <f aca="false">IF(B3746&gt;=9,AVERAGE(C3738:C3745),"")</f>
        <v/>
      </c>
      <c r="G3746" s="33" t="str">
        <f aca="false">IF(B3746=1,"",IF(B3746=2,C3745,SES_Alpha*C3745+(1-SES_Alpha)*G3745))</f>
        <v/>
      </c>
      <c r="H3746" s="33" t="str">
        <f aca="false">IF(D3746="","",D3746-C3746)</f>
        <v/>
      </c>
      <c r="I3746" s="33" t="str">
        <f aca="false">IF(E3746="","",E3746-C3746)</f>
        <v/>
      </c>
      <c r="J3746" s="33" t="str">
        <f aca="false">IF(F3746="","",F3746-C3746)</f>
        <v/>
      </c>
      <c r="K3746" s="33" t="str">
        <f aca="false">IF(G3746="","",G3746-C3746)</f>
        <v/>
      </c>
      <c r="L3746" s="33" t="str">
        <f aca="false">IF(H3746="","",ABS(H3746))</f>
        <v/>
      </c>
      <c r="M3746" s="33" t="str">
        <f aca="false">IF(I3746="","",ABS(I3746))</f>
        <v/>
      </c>
      <c r="N3746" s="33" t="str">
        <f aca="false">IF(J3746="","",ABS(J3746))</f>
        <v/>
      </c>
      <c r="O3746" s="33" t="str">
        <f aca="false">IF(K3746="","",ABS(K3746))</f>
        <v/>
      </c>
      <c r="P3746" s="34" t="str">
        <f aca="false">IF(B3746&gt;=Eval_Start_Week,"YES","")</f>
        <v/>
      </c>
      <c r="Q3746" s="34" t="str">
        <f aca="false">IF(AND(B3746&gt;=Cal_Start_Week,B3746&lt;=Cal_End_Week),"YES","")</f>
        <v/>
      </c>
    </row>
    <row r="3747" customFormat="false" ht="15" hidden="false" customHeight="false" outlineLevel="0" collapsed="false">
      <c r="A3747" s="31" t="str">
        <f aca="false">Demand_History!C3747</f>
        <v>ELE-008</v>
      </c>
      <c r="B3747" s="31" t="n">
        <f aca="false">Demand_History!A3747</f>
        <v>2</v>
      </c>
      <c r="C3747" s="32" t="n">
        <f aca="false">Demand_History!D3747</f>
        <v>20</v>
      </c>
      <c r="D3747" s="33" t="n">
        <f aca="false">IF(B3747&gt;=2,C3746,"")</f>
        <v>11</v>
      </c>
      <c r="E3747" s="33" t="str">
        <f aca="false">IF(B3747&gt;=5,AVERAGE(C3743:C3746),"")</f>
        <v/>
      </c>
      <c r="F3747" s="33" t="str">
        <f aca="false">IF(B3747&gt;=9,AVERAGE(C3739:C3746),"")</f>
        <v/>
      </c>
      <c r="G3747" s="33" t="n">
        <f aca="false">IF(B3747=1,"",IF(B3747=2,C3746,SES_Alpha*C3746+(1-SES_Alpha)*G3746))</f>
        <v>11</v>
      </c>
      <c r="H3747" s="33" t="n">
        <f aca="false">IF(D3747="","",D3747-C3747)</f>
        <v>-9</v>
      </c>
      <c r="I3747" s="33" t="str">
        <f aca="false">IF(E3747="","",E3747-C3747)</f>
        <v/>
      </c>
      <c r="J3747" s="33" t="str">
        <f aca="false">IF(F3747="","",F3747-C3747)</f>
        <v/>
      </c>
      <c r="K3747" s="33" t="n">
        <f aca="false">IF(G3747="","",G3747-C3747)</f>
        <v>-9</v>
      </c>
      <c r="L3747" s="33" t="n">
        <f aca="false">IF(H3747="","",ABS(H3747))</f>
        <v>9</v>
      </c>
      <c r="M3747" s="33" t="str">
        <f aca="false">IF(I3747="","",ABS(I3747))</f>
        <v/>
      </c>
      <c r="N3747" s="33" t="str">
        <f aca="false">IF(J3747="","",ABS(J3747))</f>
        <v/>
      </c>
      <c r="O3747" s="33" t="n">
        <f aca="false">IF(K3747="","",ABS(K3747))</f>
        <v>9</v>
      </c>
      <c r="P3747" s="34" t="str">
        <f aca="false">IF(B3747&gt;=Eval_Start_Week,"YES","")</f>
        <v/>
      </c>
      <c r="Q3747" s="34" t="str">
        <f aca="false">IF(AND(B3747&gt;=Cal_Start_Week,B3747&lt;=Cal_End_Week),"YES","")</f>
        <v/>
      </c>
    </row>
    <row r="3748" customFormat="false" ht="15" hidden="false" customHeight="false" outlineLevel="0" collapsed="false">
      <c r="A3748" s="31" t="str">
        <f aca="false">Demand_History!C3748</f>
        <v>ELE-008</v>
      </c>
      <c r="B3748" s="31" t="n">
        <f aca="false">Demand_History!A3748</f>
        <v>3</v>
      </c>
      <c r="C3748" s="32" t="n">
        <f aca="false">Demand_History!D3748</f>
        <v>16</v>
      </c>
      <c r="D3748" s="33" t="n">
        <f aca="false">IF(B3748&gt;=2,C3747,"")</f>
        <v>20</v>
      </c>
      <c r="E3748" s="33" t="str">
        <f aca="false">IF(B3748&gt;=5,AVERAGE(C3744:C3747),"")</f>
        <v/>
      </c>
      <c r="F3748" s="33" t="str">
        <f aca="false">IF(B3748&gt;=9,AVERAGE(C3740:C3747),"")</f>
        <v/>
      </c>
      <c r="G3748" s="33" t="n">
        <f aca="false">IF(B3748=1,"",IF(B3748=2,C3747,SES_Alpha*C3747+(1-SES_Alpha)*G3747))</f>
        <v>13.7</v>
      </c>
      <c r="H3748" s="33" t="n">
        <f aca="false">IF(D3748="","",D3748-C3748)</f>
        <v>4</v>
      </c>
      <c r="I3748" s="33" t="str">
        <f aca="false">IF(E3748="","",E3748-C3748)</f>
        <v/>
      </c>
      <c r="J3748" s="33" t="str">
        <f aca="false">IF(F3748="","",F3748-C3748)</f>
        <v/>
      </c>
      <c r="K3748" s="33" t="n">
        <f aca="false">IF(G3748="","",G3748-C3748)</f>
        <v>-2.3</v>
      </c>
      <c r="L3748" s="33" t="n">
        <f aca="false">IF(H3748="","",ABS(H3748))</f>
        <v>4</v>
      </c>
      <c r="M3748" s="33" t="str">
        <f aca="false">IF(I3748="","",ABS(I3748))</f>
        <v/>
      </c>
      <c r="N3748" s="33" t="str">
        <f aca="false">IF(J3748="","",ABS(J3748))</f>
        <v/>
      </c>
      <c r="O3748" s="33" t="n">
        <f aca="false">IF(K3748="","",ABS(K3748))</f>
        <v>2.3</v>
      </c>
      <c r="P3748" s="34" t="str">
        <f aca="false">IF(B3748&gt;=Eval_Start_Week,"YES","")</f>
        <v/>
      </c>
      <c r="Q3748" s="34" t="str">
        <f aca="false">IF(AND(B3748&gt;=Cal_Start_Week,B3748&lt;=Cal_End_Week),"YES","")</f>
        <v/>
      </c>
    </row>
    <row r="3749" customFormat="false" ht="15" hidden="false" customHeight="false" outlineLevel="0" collapsed="false">
      <c r="A3749" s="31" t="str">
        <f aca="false">Demand_History!C3749</f>
        <v>ELE-008</v>
      </c>
      <c r="B3749" s="31" t="n">
        <f aca="false">Demand_History!A3749</f>
        <v>4</v>
      </c>
      <c r="C3749" s="32" t="n">
        <f aca="false">Demand_History!D3749</f>
        <v>9</v>
      </c>
      <c r="D3749" s="33" t="n">
        <f aca="false">IF(B3749&gt;=2,C3748,"")</f>
        <v>16</v>
      </c>
      <c r="E3749" s="33" t="str">
        <f aca="false">IF(B3749&gt;=5,AVERAGE(C3745:C3748),"")</f>
        <v/>
      </c>
      <c r="F3749" s="33" t="str">
        <f aca="false">IF(B3749&gt;=9,AVERAGE(C3741:C3748),"")</f>
        <v/>
      </c>
      <c r="G3749" s="33" t="n">
        <f aca="false">IF(B3749=1,"",IF(B3749=2,C3748,SES_Alpha*C3748+(1-SES_Alpha)*G3748))</f>
        <v>14.39</v>
      </c>
      <c r="H3749" s="33" t="n">
        <f aca="false">IF(D3749="","",D3749-C3749)</f>
        <v>7</v>
      </c>
      <c r="I3749" s="33" t="str">
        <f aca="false">IF(E3749="","",E3749-C3749)</f>
        <v/>
      </c>
      <c r="J3749" s="33" t="str">
        <f aca="false">IF(F3749="","",F3749-C3749)</f>
        <v/>
      </c>
      <c r="K3749" s="33" t="n">
        <f aca="false">IF(G3749="","",G3749-C3749)</f>
        <v>5.39</v>
      </c>
      <c r="L3749" s="33" t="n">
        <f aca="false">IF(H3749="","",ABS(H3749))</f>
        <v>7</v>
      </c>
      <c r="M3749" s="33" t="str">
        <f aca="false">IF(I3749="","",ABS(I3749))</f>
        <v/>
      </c>
      <c r="N3749" s="33" t="str">
        <f aca="false">IF(J3749="","",ABS(J3749))</f>
        <v/>
      </c>
      <c r="O3749" s="33" t="n">
        <f aca="false">IF(K3749="","",ABS(K3749))</f>
        <v>5.39</v>
      </c>
      <c r="P3749" s="34" t="str">
        <f aca="false">IF(B3749&gt;=Eval_Start_Week,"YES","")</f>
        <v/>
      </c>
      <c r="Q3749" s="34" t="str">
        <f aca="false">IF(AND(B3749&gt;=Cal_Start_Week,B3749&lt;=Cal_End_Week),"YES","")</f>
        <v/>
      </c>
    </row>
    <row r="3750" customFormat="false" ht="15" hidden="false" customHeight="false" outlineLevel="0" collapsed="false">
      <c r="A3750" s="31" t="str">
        <f aca="false">Demand_History!C3750</f>
        <v>ELE-008</v>
      </c>
      <c r="B3750" s="31" t="n">
        <f aca="false">Demand_History!A3750</f>
        <v>5</v>
      </c>
      <c r="C3750" s="32" t="n">
        <f aca="false">Demand_History!D3750</f>
        <v>14</v>
      </c>
      <c r="D3750" s="33" t="n">
        <f aca="false">IF(B3750&gt;=2,C3749,"")</f>
        <v>9</v>
      </c>
      <c r="E3750" s="33" t="n">
        <f aca="false">IF(B3750&gt;=5,AVERAGE(C3746:C3749),"")</f>
        <v>14</v>
      </c>
      <c r="F3750" s="33" t="str">
        <f aca="false">IF(B3750&gt;=9,AVERAGE(C3742:C3749),"")</f>
        <v/>
      </c>
      <c r="G3750" s="33" t="n">
        <f aca="false">IF(B3750=1,"",IF(B3750=2,C3749,SES_Alpha*C3749+(1-SES_Alpha)*G3749))</f>
        <v>12.773</v>
      </c>
      <c r="H3750" s="33" t="n">
        <f aca="false">IF(D3750="","",D3750-C3750)</f>
        <v>-5</v>
      </c>
      <c r="I3750" s="33" t="n">
        <f aca="false">IF(E3750="","",E3750-C3750)</f>
        <v>0</v>
      </c>
      <c r="J3750" s="33" t="str">
        <f aca="false">IF(F3750="","",F3750-C3750)</f>
        <v/>
      </c>
      <c r="K3750" s="33" t="n">
        <f aca="false">IF(G3750="","",G3750-C3750)</f>
        <v>-1.227</v>
      </c>
      <c r="L3750" s="33" t="n">
        <f aca="false">IF(H3750="","",ABS(H3750))</f>
        <v>5</v>
      </c>
      <c r="M3750" s="33" t="n">
        <f aca="false">IF(I3750="","",ABS(I3750))</f>
        <v>0</v>
      </c>
      <c r="N3750" s="33" t="str">
        <f aca="false">IF(J3750="","",ABS(J3750))</f>
        <v/>
      </c>
      <c r="O3750" s="33" t="n">
        <f aca="false">IF(K3750="","",ABS(K3750))</f>
        <v>1.227</v>
      </c>
      <c r="P3750" s="34" t="str">
        <f aca="false">IF(B3750&gt;=Eval_Start_Week,"YES","")</f>
        <v/>
      </c>
      <c r="Q3750" s="34" t="str">
        <f aca="false">IF(AND(B3750&gt;=Cal_Start_Week,B3750&lt;=Cal_End_Week),"YES","")</f>
        <v/>
      </c>
    </row>
    <row r="3751" customFormat="false" ht="15" hidden="false" customHeight="false" outlineLevel="0" collapsed="false">
      <c r="A3751" s="31" t="str">
        <f aca="false">Demand_History!C3751</f>
        <v>ELE-008</v>
      </c>
      <c r="B3751" s="31" t="n">
        <f aca="false">Demand_History!A3751</f>
        <v>6</v>
      </c>
      <c r="C3751" s="32" t="n">
        <f aca="false">Demand_History!D3751</f>
        <v>12</v>
      </c>
      <c r="D3751" s="33" t="n">
        <f aca="false">IF(B3751&gt;=2,C3750,"")</f>
        <v>14</v>
      </c>
      <c r="E3751" s="33" t="n">
        <f aca="false">IF(B3751&gt;=5,AVERAGE(C3747:C3750),"")</f>
        <v>14.75</v>
      </c>
      <c r="F3751" s="33" t="str">
        <f aca="false">IF(B3751&gt;=9,AVERAGE(C3743:C3750),"")</f>
        <v/>
      </c>
      <c r="G3751" s="33" t="n">
        <f aca="false">IF(B3751=1,"",IF(B3751=2,C3750,SES_Alpha*C3750+(1-SES_Alpha)*G3750))</f>
        <v>13.1411</v>
      </c>
      <c r="H3751" s="33" t="n">
        <f aca="false">IF(D3751="","",D3751-C3751)</f>
        <v>2</v>
      </c>
      <c r="I3751" s="33" t="n">
        <f aca="false">IF(E3751="","",E3751-C3751)</f>
        <v>2.75</v>
      </c>
      <c r="J3751" s="33" t="str">
        <f aca="false">IF(F3751="","",F3751-C3751)</f>
        <v/>
      </c>
      <c r="K3751" s="33" t="n">
        <f aca="false">IF(G3751="","",G3751-C3751)</f>
        <v>1.1411</v>
      </c>
      <c r="L3751" s="33" t="n">
        <f aca="false">IF(H3751="","",ABS(H3751))</f>
        <v>2</v>
      </c>
      <c r="M3751" s="33" t="n">
        <f aca="false">IF(I3751="","",ABS(I3751))</f>
        <v>2.75</v>
      </c>
      <c r="N3751" s="33" t="str">
        <f aca="false">IF(J3751="","",ABS(J3751))</f>
        <v/>
      </c>
      <c r="O3751" s="33" t="n">
        <f aca="false">IF(K3751="","",ABS(K3751))</f>
        <v>1.1411</v>
      </c>
      <c r="P3751" s="34" t="str">
        <f aca="false">IF(B3751&gt;=Eval_Start_Week,"YES","")</f>
        <v/>
      </c>
      <c r="Q3751" s="34" t="str">
        <f aca="false">IF(AND(B3751&gt;=Cal_Start_Week,B3751&lt;=Cal_End_Week),"YES","")</f>
        <v/>
      </c>
    </row>
    <row r="3752" customFormat="false" ht="15" hidden="false" customHeight="false" outlineLevel="0" collapsed="false">
      <c r="A3752" s="31" t="str">
        <f aca="false">Demand_History!C3752</f>
        <v>ELE-008</v>
      </c>
      <c r="B3752" s="31" t="n">
        <f aca="false">Demand_History!A3752</f>
        <v>7</v>
      </c>
      <c r="C3752" s="32" t="n">
        <f aca="false">Demand_History!D3752</f>
        <v>12</v>
      </c>
      <c r="D3752" s="33" t="n">
        <f aca="false">IF(B3752&gt;=2,C3751,"")</f>
        <v>12</v>
      </c>
      <c r="E3752" s="33" t="n">
        <f aca="false">IF(B3752&gt;=5,AVERAGE(C3748:C3751),"")</f>
        <v>12.75</v>
      </c>
      <c r="F3752" s="33" t="str">
        <f aca="false">IF(B3752&gt;=9,AVERAGE(C3744:C3751),"")</f>
        <v/>
      </c>
      <c r="G3752" s="33" t="n">
        <f aca="false">IF(B3752=1,"",IF(B3752=2,C3751,SES_Alpha*C3751+(1-SES_Alpha)*G3751))</f>
        <v>12.79877</v>
      </c>
      <c r="H3752" s="33" t="n">
        <f aca="false">IF(D3752="","",D3752-C3752)</f>
        <v>0</v>
      </c>
      <c r="I3752" s="33" t="n">
        <f aca="false">IF(E3752="","",E3752-C3752)</f>
        <v>0.75</v>
      </c>
      <c r="J3752" s="33" t="str">
        <f aca="false">IF(F3752="","",F3752-C3752)</f>
        <v/>
      </c>
      <c r="K3752" s="33" t="n">
        <f aca="false">IF(G3752="","",G3752-C3752)</f>
        <v>0.798769999999998</v>
      </c>
      <c r="L3752" s="33" t="n">
        <f aca="false">IF(H3752="","",ABS(H3752))</f>
        <v>0</v>
      </c>
      <c r="M3752" s="33" t="n">
        <f aca="false">IF(I3752="","",ABS(I3752))</f>
        <v>0.75</v>
      </c>
      <c r="N3752" s="33" t="str">
        <f aca="false">IF(J3752="","",ABS(J3752))</f>
        <v/>
      </c>
      <c r="O3752" s="33" t="n">
        <f aca="false">IF(K3752="","",ABS(K3752))</f>
        <v>0.798769999999998</v>
      </c>
      <c r="P3752" s="34" t="str">
        <f aca="false">IF(B3752&gt;=Eval_Start_Week,"YES","")</f>
        <v/>
      </c>
      <c r="Q3752" s="34" t="str">
        <f aca="false">IF(AND(B3752&gt;=Cal_Start_Week,B3752&lt;=Cal_End_Week),"YES","")</f>
        <v/>
      </c>
    </row>
    <row r="3753" customFormat="false" ht="15" hidden="false" customHeight="false" outlineLevel="0" collapsed="false">
      <c r="A3753" s="31" t="str">
        <f aca="false">Demand_History!C3753</f>
        <v>ELE-008</v>
      </c>
      <c r="B3753" s="31" t="n">
        <f aca="false">Demand_History!A3753</f>
        <v>8</v>
      </c>
      <c r="C3753" s="32" t="n">
        <f aca="false">Demand_History!D3753</f>
        <v>15</v>
      </c>
      <c r="D3753" s="33" t="n">
        <f aca="false">IF(B3753&gt;=2,C3752,"")</f>
        <v>12</v>
      </c>
      <c r="E3753" s="33" t="n">
        <f aca="false">IF(B3753&gt;=5,AVERAGE(C3749:C3752),"")</f>
        <v>11.75</v>
      </c>
      <c r="F3753" s="33" t="str">
        <f aca="false">IF(B3753&gt;=9,AVERAGE(C3745:C3752),"")</f>
        <v/>
      </c>
      <c r="G3753" s="33" t="n">
        <f aca="false">IF(B3753=1,"",IF(B3753=2,C3752,SES_Alpha*C3752+(1-SES_Alpha)*G3752))</f>
        <v>12.559139</v>
      </c>
      <c r="H3753" s="33" t="n">
        <f aca="false">IF(D3753="","",D3753-C3753)</f>
        <v>-3</v>
      </c>
      <c r="I3753" s="33" t="n">
        <f aca="false">IF(E3753="","",E3753-C3753)</f>
        <v>-3.25</v>
      </c>
      <c r="J3753" s="33" t="str">
        <f aca="false">IF(F3753="","",F3753-C3753)</f>
        <v/>
      </c>
      <c r="K3753" s="33" t="n">
        <f aca="false">IF(G3753="","",G3753-C3753)</f>
        <v>-2.440861</v>
      </c>
      <c r="L3753" s="33" t="n">
        <f aca="false">IF(H3753="","",ABS(H3753))</f>
        <v>3</v>
      </c>
      <c r="M3753" s="33" t="n">
        <f aca="false">IF(I3753="","",ABS(I3753))</f>
        <v>3.25</v>
      </c>
      <c r="N3753" s="33" t="str">
        <f aca="false">IF(J3753="","",ABS(J3753))</f>
        <v/>
      </c>
      <c r="O3753" s="33" t="n">
        <f aca="false">IF(K3753="","",ABS(K3753))</f>
        <v>2.440861</v>
      </c>
      <c r="P3753" s="34" t="str">
        <f aca="false">IF(B3753&gt;=Eval_Start_Week,"YES","")</f>
        <v/>
      </c>
      <c r="Q3753" s="34" t="str">
        <f aca="false">IF(AND(B3753&gt;=Cal_Start_Week,B3753&lt;=Cal_End_Week),"YES","")</f>
        <v/>
      </c>
    </row>
    <row r="3754" customFormat="false" ht="15" hidden="false" customHeight="false" outlineLevel="0" collapsed="false">
      <c r="A3754" s="31" t="str">
        <f aca="false">Demand_History!C3754</f>
        <v>ELE-008</v>
      </c>
      <c r="B3754" s="31" t="n">
        <f aca="false">Demand_History!A3754</f>
        <v>9</v>
      </c>
      <c r="C3754" s="32" t="n">
        <f aca="false">Demand_History!D3754</f>
        <v>21</v>
      </c>
      <c r="D3754" s="33" t="n">
        <f aca="false">IF(B3754&gt;=2,C3753,"")</f>
        <v>15</v>
      </c>
      <c r="E3754" s="33" t="n">
        <f aca="false">IF(B3754&gt;=5,AVERAGE(C3750:C3753),"")</f>
        <v>13.25</v>
      </c>
      <c r="F3754" s="33" t="n">
        <f aca="false">IF(B3754&gt;=9,AVERAGE(C3746:C3753),"")</f>
        <v>13.625</v>
      </c>
      <c r="G3754" s="33" t="n">
        <f aca="false">IF(B3754=1,"",IF(B3754=2,C3753,SES_Alpha*C3753+(1-SES_Alpha)*G3753))</f>
        <v>13.2913973</v>
      </c>
      <c r="H3754" s="33" t="n">
        <f aca="false">IF(D3754="","",D3754-C3754)</f>
        <v>-6</v>
      </c>
      <c r="I3754" s="33" t="n">
        <f aca="false">IF(E3754="","",E3754-C3754)</f>
        <v>-7.75</v>
      </c>
      <c r="J3754" s="33" t="n">
        <f aca="false">IF(F3754="","",F3754-C3754)</f>
        <v>-7.375</v>
      </c>
      <c r="K3754" s="33" t="n">
        <f aca="false">IF(G3754="","",G3754-C3754)</f>
        <v>-7.7086027</v>
      </c>
      <c r="L3754" s="33" t="n">
        <f aca="false">IF(H3754="","",ABS(H3754))</f>
        <v>6</v>
      </c>
      <c r="M3754" s="33" t="n">
        <f aca="false">IF(I3754="","",ABS(I3754))</f>
        <v>7.75</v>
      </c>
      <c r="N3754" s="33" t="n">
        <f aca="false">IF(J3754="","",ABS(J3754))</f>
        <v>7.375</v>
      </c>
      <c r="O3754" s="33" t="n">
        <f aca="false">IF(K3754="","",ABS(K3754))</f>
        <v>7.7086027</v>
      </c>
      <c r="P3754" s="34" t="str">
        <f aca="false">IF(B3754&gt;=Eval_Start_Week,"YES","")</f>
        <v/>
      </c>
      <c r="Q3754" s="34" t="str">
        <f aca="false">IF(AND(B3754&gt;=Cal_Start_Week,B3754&lt;=Cal_End_Week),"YES","")</f>
        <v/>
      </c>
    </row>
    <row r="3755" customFormat="false" ht="15" hidden="false" customHeight="false" outlineLevel="0" collapsed="false">
      <c r="A3755" s="31" t="str">
        <f aca="false">Demand_History!C3755</f>
        <v>ELE-008</v>
      </c>
      <c r="B3755" s="31" t="n">
        <f aca="false">Demand_History!A3755</f>
        <v>10</v>
      </c>
      <c r="C3755" s="32" t="n">
        <f aca="false">Demand_History!D3755</f>
        <v>13</v>
      </c>
      <c r="D3755" s="33" t="n">
        <f aca="false">IF(B3755&gt;=2,C3754,"")</f>
        <v>21</v>
      </c>
      <c r="E3755" s="33" t="n">
        <f aca="false">IF(B3755&gt;=5,AVERAGE(C3751:C3754),"")</f>
        <v>15</v>
      </c>
      <c r="F3755" s="33" t="n">
        <f aca="false">IF(B3755&gt;=9,AVERAGE(C3747:C3754),"")</f>
        <v>14.875</v>
      </c>
      <c r="G3755" s="33" t="n">
        <f aca="false">IF(B3755=1,"",IF(B3755=2,C3754,SES_Alpha*C3754+(1-SES_Alpha)*G3754))</f>
        <v>15.60397811</v>
      </c>
      <c r="H3755" s="33" t="n">
        <f aca="false">IF(D3755="","",D3755-C3755)</f>
        <v>8</v>
      </c>
      <c r="I3755" s="33" t="n">
        <f aca="false">IF(E3755="","",E3755-C3755)</f>
        <v>2</v>
      </c>
      <c r="J3755" s="33" t="n">
        <f aca="false">IF(F3755="","",F3755-C3755)</f>
        <v>1.875</v>
      </c>
      <c r="K3755" s="33" t="n">
        <f aca="false">IF(G3755="","",G3755-C3755)</f>
        <v>2.60397811</v>
      </c>
      <c r="L3755" s="33" t="n">
        <f aca="false">IF(H3755="","",ABS(H3755))</f>
        <v>8</v>
      </c>
      <c r="M3755" s="33" t="n">
        <f aca="false">IF(I3755="","",ABS(I3755))</f>
        <v>2</v>
      </c>
      <c r="N3755" s="33" t="n">
        <f aca="false">IF(J3755="","",ABS(J3755))</f>
        <v>1.875</v>
      </c>
      <c r="O3755" s="33" t="n">
        <f aca="false">IF(K3755="","",ABS(K3755))</f>
        <v>2.60397811</v>
      </c>
      <c r="P3755" s="34" t="str">
        <f aca="false">IF(B3755&gt;=Eval_Start_Week,"YES","")</f>
        <v/>
      </c>
      <c r="Q3755" s="34" t="str">
        <f aca="false">IF(AND(B3755&gt;=Cal_Start_Week,B3755&lt;=Cal_End_Week),"YES","")</f>
        <v/>
      </c>
    </row>
    <row r="3756" customFormat="false" ht="15" hidden="false" customHeight="false" outlineLevel="0" collapsed="false">
      <c r="A3756" s="31" t="str">
        <f aca="false">Demand_History!C3756</f>
        <v>ELE-008</v>
      </c>
      <c r="B3756" s="31" t="n">
        <f aca="false">Demand_History!A3756</f>
        <v>11</v>
      </c>
      <c r="C3756" s="32" t="n">
        <f aca="false">Demand_History!D3756</f>
        <v>16</v>
      </c>
      <c r="D3756" s="33" t="n">
        <f aca="false">IF(B3756&gt;=2,C3755,"")</f>
        <v>13</v>
      </c>
      <c r="E3756" s="33" t="n">
        <f aca="false">IF(B3756&gt;=5,AVERAGE(C3752:C3755),"")</f>
        <v>15.25</v>
      </c>
      <c r="F3756" s="33" t="n">
        <f aca="false">IF(B3756&gt;=9,AVERAGE(C3748:C3755),"")</f>
        <v>14</v>
      </c>
      <c r="G3756" s="33" t="n">
        <f aca="false">IF(B3756=1,"",IF(B3756=2,C3755,SES_Alpha*C3755+(1-SES_Alpha)*G3755))</f>
        <v>14.822784677</v>
      </c>
      <c r="H3756" s="33" t="n">
        <f aca="false">IF(D3756="","",D3756-C3756)</f>
        <v>-3</v>
      </c>
      <c r="I3756" s="33" t="n">
        <f aca="false">IF(E3756="","",E3756-C3756)</f>
        <v>-0.75</v>
      </c>
      <c r="J3756" s="33" t="n">
        <f aca="false">IF(F3756="","",F3756-C3756)</f>
        <v>-2</v>
      </c>
      <c r="K3756" s="33" t="n">
        <f aca="false">IF(G3756="","",G3756-C3756)</f>
        <v>-1.177215323</v>
      </c>
      <c r="L3756" s="33" t="n">
        <f aca="false">IF(H3756="","",ABS(H3756))</f>
        <v>3</v>
      </c>
      <c r="M3756" s="33" t="n">
        <f aca="false">IF(I3756="","",ABS(I3756))</f>
        <v>0.75</v>
      </c>
      <c r="N3756" s="33" t="n">
        <f aca="false">IF(J3756="","",ABS(J3756))</f>
        <v>2</v>
      </c>
      <c r="O3756" s="33" t="n">
        <f aca="false">IF(K3756="","",ABS(K3756))</f>
        <v>1.177215323</v>
      </c>
      <c r="P3756" s="34" t="str">
        <f aca="false">IF(B3756&gt;=Eval_Start_Week,"YES","")</f>
        <v/>
      </c>
      <c r="Q3756" s="34" t="str">
        <f aca="false">IF(AND(B3756&gt;=Cal_Start_Week,B3756&lt;=Cal_End_Week),"YES","")</f>
        <v/>
      </c>
    </row>
    <row r="3757" customFormat="false" ht="15" hidden="false" customHeight="false" outlineLevel="0" collapsed="false">
      <c r="A3757" s="31" t="str">
        <f aca="false">Demand_History!C3757</f>
        <v>ELE-008</v>
      </c>
      <c r="B3757" s="31" t="n">
        <f aca="false">Demand_History!A3757</f>
        <v>12</v>
      </c>
      <c r="C3757" s="32" t="n">
        <f aca="false">Demand_History!D3757</f>
        <v>7</v>
      </c>
      <c r="D3757" s="33" t="n">
        <f aca="false">IF(B3757&gt;=2,C3756,"")</f>
        <v>16</v>
      </c>
      <c r="E3757" s="33" t="n">
        <f aca="false">IF(B3757&gt;=5,AVERAGE(C3753:C3756),"")</f>
        <v>16.25</v>
      </c>
      <c r="F3757" s="33" t="n">
        <f aca="false">IF(B3757&gt;=9,AVERAGE(C3749:C3756),"")</f>
        <v>14</v>
      </c>
      <c r="G3757" s="33" t="n">
        <f aca="false">IF(B3757=1,"",IF(B3757=2,C3756,SES_Alpha*C3756+(1-SES_Alpha)*G3756))</f>
        <v>15.1759492739</v>
      </c>
      <c r="H3757" s="33" t="n">
        <f aca="false">IF(D3757="","",D3757-C3757)</f>
        <v>9</v>
      </c>
      <c r="I3757" s="33" t="n">
        <f aca="false">IF(E3757="","",E3757-C3757)</f>
        <v>9.25</v>
      </c>
      <c r="J3757" s="33" t="n">
        <f aca="false">IF(F3757="","",F3757-C3757)</f>
        <v>7</v>
      </c>
      <c r="K3757" s="33" t="n">
        <f aca="false">IF(G3757="","",G3757-C3757)</f>
        <v>8.1759492739</v>
      </c>
      <c r="L3757" s="33" t="n">
        <f aca="false">IF(H3757="","",ABS(H3757))</f>
        <v>9</v>
      </c>
      <c r="M3757" s="33" t="n">
        <f aca="false">IF(I3757="","",ABS(I3757))</f>
        <v>9.25</v>
      </c>
      <c r="N3757" s="33" t="n">
        <f aca="false">IF(J3757="","",ABS(J3757))</f>
        <v>7</v>
      </c>
      <c r="O3757" s="33" t="n">
        <f aca="false">IF(K3757="","",ABS(K3757))</f>
        <v>8.1759492739</v>
      </c>
      <c r="P3757" s="34" t="str">
        <f aca="false">IF(B3757&gt;=Eval_Start_Week,"YES","")</f>
        <v/>
      </c>
      <c r="Q3757" s="34" t="str">
        <f aca="false">IF(AND(B3757&gt;=Cal_Start_Week,B3757&lt;=Cal_End_Week),"YES","")</f>
        <v/>
      </c>
    </row>
    <row r="3758" customFormat="false" ht="15" hidden="false" customHeight="false" outlineLevel="0" collapsed="false">
      <c r="A3758" s="31" t="str">
        <f aca="false">Demand_History!C3758</f>
        <v>ELE-008</v>
      </c>
      <c r="B3758" s="31" t="n">
        <f aca="false">Demand_History!A3758</f>
        <v>13</v>
      </c>
      <c r="C3758" s="32" t="n">
        <f aca="false">Demand_History!D3758</f>
        <v>16</v>
      </c>
      <c r="D3758" s="33" t="n">
        <f aca="false">IF(B3758&gt;=2,C3757,"")</f>
        <v>7</v>
      </c>
      <c r="E3758" s="33" t="n">
        <f aca="false">IF(B3758&gt;=5,AVERAGE(C3754:C3757),"")</f>
        <v>14.25</v>
      </c>
      <c r="F3758" s="33" t="n">
        <f aca="false">IF(B3758&gt;=9,AVERAGE(C3750:C3757),"")</f>
        <v>13.75</v>
      </c>
      <c r="G3758" s="33" t="n">
        <f aca="false">IF(B3758=1,"",IF(B3758=2,C3757,SES_Alpha*C3757+(1-SES_Alpha)*G3757))</f>
        <v>12.72316449173</v>
      </c>
      <c r="H3758" s="33" t="n">
        <f aca="false">IF(D3758="","",D3758-C3758)</f>
        <v>-9</v>
      </c>
      <c r="I3758" s="33" t="n">
        <f aca="false">IF(E3758="","",E3758-C3758)</f>
        <v>-1.75</v>
      </c>
      <c r="J3758" s="33" t="n">
        <f aca="false">IF(F3758="","",F3758-C3758)</f>
        <v>-2.25</v>
      </c>
      <c r="K3758" s="33" t="n">
        <f aca="false">IF(G3758="","",G3758-C3758)</f>
        <v>-3.27683550827</v>
      </c>
      <c r="L3758" s="33" t="n">
        <f aca="false">IF(H3758="","",ABS(H3758))</f>
        <v>9</v>
      </c>
      <c r="M3758" s="33" t="n">
        <f aca="false">IF(I3758="","",ABS(I3758))</f>
        <v>1.75</v>
      </c>
      <c r="N3758" s="33" t="n">
        <f aca="false">IF(J3758="","",ABS(J3758))</f>
        <v>2.25</v>
      </c>
      <c r="O3758" s="33" t="n">
        <f aca="false">IF(K3758="","",ABS(K3758))</f>
        <v>3.27683550827</v>
      </c>
      <c r="P3758" s="34" t="str">
        <f aca="false">IF(B3758&gt;=Eval_Start_Week,"YES","")</f>
        <v/>
      </c>
      <c r="Q3758" s="34" t="str">
        <f aca="false">IF(AND(B3758&gt;=Cal_Start_Week,B3758&lt;=Cal_End_Week),"YES","")</f>
        <v/>
      </c>
    </row>
    <row r="3759" customFormat="false" ht="15" hidden="false" customHeight="false" outlineLevel="0" collapsed="false">
      <c r="A3759" s="31" t="str">
        <f aca="false">Demand_History!C3759</f>
        <v>ELE-008</v>
      </c>
      <c r="B3759" s="31" t="n">
        <f aca="false">Demand_History!A3759</f>
        <v>14</v>
      </c>
      <c r="C3759" s="32" t="n">
        <f aca="false">Demand_History!D3759</f>
        <v>21</v>
      </c>
      <c r="D3759" s="33" t="n">
        <f aca="false">IF(B3759&gt;=2,C3758,"")</f>
        <v>16</v>
      </c>
      <c r="E3759" s="33" t="n">
        <f aca="false">IF(B3759&gt;=5,AVERAGE(C3755:C3758),"")</f>
        <v>13</v>
      </c>
      <c r="F3759" s="33" t="n">
        <f aca="false">IF(B3759&gt;=9,AVERAGE(C3751:C3758),"")</f>
        <v>14</v>
      </c>
      <c r="G3759" s="33" t="n">
        <f aca="false">IF(B3759=1,"",IF(B3759=2,C3758,SES_Alpha*C3758+(1-SES_Alpha)*G3758))</f>
        <v>13.706215144211</v>
      </c>
      <c r="H3759" s="33" t="n">
        <f aca="false">IF(D3759="","",D3759-C3759)</f>
        <v>-5</v>
      </c>
      <c r="I3759" s="33" t="n">
        <f aca="false">IF(E3759="","",E3759-C3759)</f>
        <v>-8</v>
      </c>
      <c r="J3759" s="33" t="n">
        <f aca="false">IF(F3759="","",F3759-C3759)</f>
        <v>-7</v>
      </c>
      <c r="K3759" s="33" t="n">
        <f aca="false">IF(G3759="","",G3759-C3759)</f>
        <v>-7.293784855789</v>
      </c>
      <c r="L3759" s="33" t="n">
        <f aca="false">IF(H3759="","",ABS(H3759))</f>
        <v>5</v>
      </c>
      <c r="M3759" s="33" t="n">
        <f aca="false">IF(I3759="","",ABS(I3759))</f>
        <v>8</v>
      </c>
      <c r="N3759" s="33" t="n">
        <f aca="false">IF(J3759="","",ABS(J3759))</f>
        <v>7</v>
      </c>
      <c r="O3759" s="33" t="n">
        <f aca="false">IF(K3759="","",ABS(K3759))</f>
        <v>7.293784855789</v>
      </c>
      <c r="P3759" s="34" t="str">
        <f aca="false">IF(B3759&gt;=Eval_Start_Week,"YES","")</f>
        <v/>
      </c>
      <c r="Q3759" s="34" t="str">
        <f aca="false">IF(AND(B3759&gt;=Cal_Start_Week,B3759&lt;=Cal_End_Week),"YES","")</f>
        <v/>
      </c>
    </row>
    <row r="3760" customFormat="false" ht="15" hidden="false" customHeight="false" outlineLevel="0" collapsed="false">
      <c r="A3760" s="31" t="str">
        <f aca="false">Demand_History!C3760</f>
        <v>ELE-008</v>
      </c>
      <c r="B3760" s="31" t="n">
        <f aca="false">Demand_History!A3760</f>
        <v>15</v>
      </c>
      <c r="C3760" s="32" t="n">
        <f aca="false">Demand_History!D3760</f>
        <v>19</v>
      </c>
      <c r="D3760" s="33" t="n">
        <f aca="false">IF(B3760&gt;=2,C3759,"")</f>
        <v>21</v>
      </c>
      <c r="E3760" s="33" t="n">
        <f aca="false">IF(B3760&gt;=5,AVERAGE(C3756:C3759),"")</f>
        <v>15</v>
      </c>
      <c r="F3760" s="33" t="n">
        <f aca="false">IF(B3760&gt;=9,AVERAGE(C3752:C3759),"")</f>
        <v>15.125</v>
      </c>
      <c r="G3760" s="33" t="n">
        <f aca="false">IF(B3760=1,"",IF(B3760=2,C3759,SES_Alpha*C3759+(1-SES_Alpha)*G3759))</f>
        <v>15.8943506009477</v>
      </c>
      <c r="H3760" s="33" t="n">
        <f aca="false">IF(D3760="","",D3760-C3760)</f>
        <v>2</v>
      </c>
      <c r="I3760" s="33" t="n">
        <f aca="false">IF(E3760="","",E3760-C3760)</f>
        <v>-4</v>
      </c>
      <c r="J3760" s="33" t="n">
        <f aca="false">IF(F3760="","",F3760-C3760)</f>
        <v>-3.875</v>
      </c>
      <c r="K3760" s="33" t="n">
        <f aca="false">IF(G3760="","",G3760-C3760)</f>
        <v>-3.1056493990523</v>
      </c>
      <c r="L3760" s="33" t="n">
        <f aca="false">IF(H3760="","",ABS(H3760))</f>
        <v>2</v>
      </c>
      <c r="M3760" s="33" t="n">
        <f aca="false">IF(I3760="","",ABS(I3760))</f>
        <v>4</v>
      </c>
      <c r="N3760" s="33" t="n">
        <f aca="false">IF(J3760="","",ABS(J3760))</f>
        <v>3.875</v>
      </c>
      <c r="O3760" s="33" t="n">
        <f aca="false">IF(K3760="","",ABS(K3760))</f>
        <v>3.1056493990523</v>
      </c>
      <c r="P3760" s="34" t="str">
        <f aca="false">IF(B3760&gt;=Eval_Start_Week,"YES","")</f>
        <v/>
      </c>
      <c r="Q3760" s="34" t="str">
        <f aca="false">IF(AND(B3760&gt;=Cal_Start_Week,B3760&lt;=Cal_End_Week),"YES","")</f>
        <v/>
      </c>
    </row>
    <row r="3761" customFormat="false" ht="15" hidden="false" customHeight="false" outlineLevel="0" collapsed="false">
      <c r="A3761" s="31" t="str">
        <f aca="false">Demand_History!C3761</f>
        <v>ELE-008</v>
      </c>
      <c r="B3761" s="31" t="n">
        <f aca="false">Demand_History!A3761</f>
        <v>16</v>
      </c>
      <c r="C3761" s="32" t="n">
        <f aca="false">Demand_History!D3761</f>
        <v>18</v>
      </c>
      <c r="D3761" s="33" t="n">
        <f aca="false">IF(B3761&gt;=2,C3760,"")</f>
        <v>19</v>
      </c>
      <c r="E3761" s="33" t="n">
        <f aca="false">IF(B3761&gt;=5,AVERAGE(C3757:C3760),"")</f>
        <v>15.75</v>
      </c>
      <c r="F3761" s="33" t="n">
        <f aca="false">IF(B3761&gt;=9,AVERAGE(C3753:C3760),"")</f>
        <v>16</v>
      </c>
      <c r="G3761" s="33" t="n">
        <f aca="false">IF(B3761=1,"",IF(B3761=2,C3760,SES_Alpha*C3760+(1-SES_Alpha)*G3760))</f>
        <v>16.8260454206634</v>
      </c>
      <c r="H3761" s="33" t="n">
        <f aca="false">IF(D3761="","",D3761-C3761)</f>
        <v>1</v>
      </c>
      <c r="I3761" s="33" t="n">
        <f aca="false">IF(E3761="","",E3761-C3761)</f>
        <v>-2.25</v>
      </c>
      <c r="J3761" s="33" t="n">
        <f aca="false">IF(F3761="","",F3761-C3761)</f>
        <v>-2</v>
      </c>
      <c r="K3761" s="33" t="n">
        <f aca="false">IF(G3761="","",G3761-C3761)</f>
        <v>-1.17395457933661</v>
      </c>
      <c r="L3761" s="33" t="n">
        <f aca="false">IF(H3761="","",ABS(H3761))</f>
        <v>1</v>
      </c>
      <c r="M3761" s="33" t="n">
        <f aca="false">IF(I3761="","",ABS(I3761))</f>
        <v>2.25</v>
      </c>
      <c r="N3761" s="33" t="n">
        <f aca="false">IF(J3761="","",ABS(J3761))</f>
        <v>2</v>
      </c>
      <c r="O3761" s="33" t="n">
        <f aca="false">IF(K3761="","",ABS(K3761))</f>
        <v>1.17395457933661</v>
      </c>
      <c r="P3761" s="34" t="str">
        <f aca="false">IF(B3761&gt;=Eval_Start_Week,"YES","")</f>
        <v/>
      </c>
      <c r="Q3761" s="34" t="str">
        <f aca="false">IF(AND(B3761&gt;=Cal_Start_Week,B3761&lt;=Cal_End_Week),"YES","")</f>
        <v/>
      </c>
    </row>
    <row r="3762" customFormat="false" ht="15" hidden="false" customHeight="false" outlineLevel="0" collapsed="false">
      <c r="A3762" s="31" t="str">
        <f aca="false">Demand_History!C3762</f>
        <v>ELE-008</v>
      </c>
      <c r="B3762" s="31" t="n">
        <f aca="false">Demand_History!A3762</f>
        <v>17</v>
      </c>
      <c r="C3762" s="32" t="n">
        <f aca="false">Demand_History!D3762</f>
        <v>12</v>
      </c>
      <c r="D3762" s="33" t="n">
        <f aca="false">IF(B3762&gt;=2,C3761,"")</f>
        <v>18</v>
      </c>
      <c r="E3762" s="33" t="n">
        <f aca="false">IF(B3762&gt;=5,AVERAGE(C3758:C3761),"")</f>
        <v>18.5</v>
      </c>
      <c r="F3762" s="33" t="n">
        <f aca="false">IF(B3762&gt;=9,AVERAGE(C3754:C3761),"")</f>
        <v>16.375</v>
      </c>
      <c r="G3762" s="33" t="n">
        <f aca="false">IF(B3762=1,"",IF(B3762=2,C3761,SES_Alpha*C3761+(1-SES_Alpha)*G3761))</f>
        <v>17.1782317944644</v>
      </c>
      <c r="H3762" s="33" t="n">
        <f aca="false">IF(D3762="","",D3762-C3762)</f>
        <v>6</v>
      </c>
      <c r="I3762" s="33" t="n">
        <f aca="false">IF(E3762="","",E3762-C3762)</f>
        <v>6.5</v>
      </c>
      <c r="J3762" s="33" t="n">
        <f aca="false">IF(F3762="","",F3762-C3762)</f>
        <v>4.375</v>
      </c>
      <c r="K3762" s="33" t="n">
        <f aca="false">IF(G3762="","",G3762-C3762)</f>
        <v>5.17823179446437</v>
      </c>
      <c r="L3762" s="33" t="n">
        <f aca="false">IF(H3762="","",ABS(H3762))</f>
        <v>6</v>
      </c>
      <c r="M3762" s="33" t="n">
        <f aca="false">IF(I3762="","",ABS(I3762))</f>
        <v>6.5</v>
      </c>
      <c r="N3762" s="33" t="n">
        <f aca="false">IF(J3762="","",ABS(J3762))</f>
        <v>4.375</v>
      </c>
      <c r="O3762" s="33" t="n">
        <f aca="false">IF(K3762="","",ABS(K3762))</f>
        <v>5.17823179446437</v>
      </c>
      <c r="P3762" s="34" t="str">
        <f aca="false">IF(B3762&gt;=Eval_Start_Week,"YES","")</f>
        <v/>
      </c>
      <c r="Q3762" s="34" t="str">
        <f aca="false">IF(AND(B3762&gt;=Cal_Start_Week,B3762&lt;=Cal_End_Week),"YES","")</f>
        <v/>
      </c>
    </row>
    <row r="3763" customFormat="false" ht="15" hidden="false" customHeight="false" outlineLevel="0" collapsed="false">
      <c r="A3763" s="31" t="str">
        <f aca="false">Demand_History!C3763</f>
        <v>ELE-008</v>
      </c>
      <c r="B3763" s="31" t="n">
        <f aca="false">Demand_History!A3763</f>
        <v>18</v>
      </c>
      <c r="C3763" s="32" t="n">
        <f aca="false">Demand_History!D3763</f>
        <v>10</v>
      </c>
      <c r="D3763" s="33" t="n">
        <f aca="false">IF(B3763&gt;=2,C3762,"")</f>
        <v>12</v>
      </c>
      <c r="E3763" s="33" t="n">
        <f aca="false">IF(B3763&gt;=5,AVERAGE(C3759:C3762),"")</f>
        <v>17.5</v>
      </c>
      <c r="F3763" s="33" t="n">
        <f aca="false">IF(B3763&gt;=9,AVERAGE(C3755:C3762),"")</f>
        <v>15.25</v>
      </c>
      <c r="G3763" s="33" t="n">
        <f aca="false">IF(B3763=1,"",IF(B3763=2,C3762,SES_Alpha*C3762+(1-SES_Alpha)*G3762))</f>
        <v>15.6247622561251</v>
      </c>
      <c r="H3763" s="33" t="n">
        <f aca="false">IF(D3763="","",D3763-C3763)</f>
        <v>2</v>
      </c>
      <c r="I3763" s="33" t="n">
        <f aca="false">IF(E3763="","",E3763-C3763)</f>
        <v>7.5</v>
      </c>
      <c r="J3763" s="33" t="n">
        <f aca="false">IF(F3763="","",F3763-C3763)</f>
        <v>5.25</v>
      </c>
      <c r="K3763" s="33" t="n">
        <f aca="false">IF(G3763="","",G3763-C3763)</f>
        <v>5.62476225612506</v>
      </c>
      <c r="L3763" s="33" t="n">
        <f aca="false">IF(H3763="","",ABS(H3763))</f>
        <v>2</v>
      </c>
      <c r="M3763" s="33" t="n">
        <f aca="false">IF(I3763="","",ABS(I3763))</f>
        <v>7.5</v>
      </c>
      <c r="N3763" s="33" t="n">
        <f aca="false">IF(J3763="","",ABS(J3763))</f>
        <v>5.25</v>
      </c>
      <c r="O3763" s="33" t="n">
        <f aca="false">IF(K3763="","",ABS(K3763))</f>
        <v>5.62476225612506</v>
      </c>
      <c r="P3763" s="34" t="str">
        <f aca="false">IF(B3763&gt;=Eval_Start_Week,"YES","")</f>
        <v/>
      </c>
      <c r="Q3763" s="34" t="str">
        <f aca="false">IF(AND(B3763&gt;=Cal_Start_Week,B3763&lt;=Cal_End_Week),"YES","")</f>
        <v/>
      </c>
    </row>
    <row r="3764" customFormat="false" ht="15" hidden="false" customHeight="false" outlineLevel="0" collapsed="false">
      <c r="A3764" s="31" t="str">
        <f aca="false">Demand_History!C3764</f>
        <v>ELE-008</v>
      </c>
      <c r="B3764" s="31" t="n">
        <f aca="false">Demand_History!A3764</f>
        <v>19</v>
      </c>
      <c r="C3764" s="32" t="n">
        <f aca="false">Demand_History!D3764</f>
        <v>14</v>
      </c>
      <c r="D3764" s="33" t="n">
        <f aca="false">IF(B3764&gt;=2,C3763,"")</f>
        <v>10</v>
      </c>
      <c r="E3764" s="33" t="n">
        <f aca="false">IF(B3764&gt;=5,AVERAGE(C3760:C3763),"")</f>
        <v>14.75</v>
      </c>
      <c r="F3764" s="33" t="n">
        <f aca="false">IF(B3764&gt;=9,AVERAGE(C3756:C3763),"")</f>
        <v>14.875</v>
      </c>
      <c r="G3764" s="33" t="n">
        <f aca="false">IF(B3764=1,"",IF(B3764=2,C3763,SES_Alpha*C3763+(1-SES_Alpha)*G3763))</f>
        <v>13.9373335792875</v>
      </c>
      <c r="H3764" s="33" t="n">
        <f aca="false">IF(D3764="","",D3764-C3764)</f>
        <v>-4</v>
      </c>
      <c r="I3764" s="33" t="n">
        <f aca="false">IF(E3764="","",E3764-C3764)</f>
        <v>0.75</v>
      </c>
      <c r="J3764" s="33" t="n">
        <f aca="false">IF(F3764="","",F3764-C3764)</f>
        <v>0.875</v>
      </c>
      <c r="K3764" s="33" t="n">
        <f aca="false">IF(G3764="","",G3764-C3764)</f>
        <v>-0.0626664207124605</v>
      </c>
      <c r="L3764" s="33" t="n">
        <f aca="false">IF(H3764="","",ABS(H3764))</f>
        <v>4</v>
      </c>
      <c r="M3764" s="33" t="n">
        <f aca="false">IF(I3764="","",ABS(I3764))</f>
        <v>0.75</v>
      </c>
      <c r="N3764" s="33" t="n">
        <f aca="false">IF(J3764="","",ABS(J3764))</f>
        <v>0.875</v>
      </c>
      <c r="O3764" s="33" t="n">
        <f aca="false">IF(K3764="","",ABS(K3764))</f>
        <v>0.0626664207124605</v>
      </c>
      <c r="P3764" s="34" t="str">
        <f aca="false">IF(B3764&gt;=Eval_Start_Week,"YES","")</f>
        <v/>
      </c>
      <c r="Q3764" s="34" t="str">
        <f aca="false">IF(AND(B3764&gt;=Cal_Start_Week,B3764&lt;=Cal_End_Week),"YES","")</f>
        <v/>
      </c>
    </row>
    <row r="3765" customFormat="false" ht="15" hidden="false" customHeight="false" outlineLevel="0" collapsed="false">
      <c r="A3765" s="31" t="str">
        <f aca="false">Demand_History!C3765</f>
        <v>ELE-008</v>
      </c>
      <c r="B3765" s="31" t="n">
        <f aca="false">Demand_History!A3765</f>
        <v>20</v>
      </c>
      <c r="C3765" s="32" t="n">
        <f aca="false">Demand_History!D3765</f>
        <v>8</v>
      </c>
      <c r="D3765" s="33" t="n">
        <f aca="false">IF(B3765&gt;=2,C3764,"")</f>
        <v>14</v>
      </c>
      <c r="E3765" s="33" t="n">
        <f aca="false">IF(B3765&gt;=5,AVERAGE(C3761:C3764),"")</f>
        <v>13.5</v>
      </c>
      <c r="F3765" s="33" t="n">
        <f aca="false">IF(B3765&gt;=9,AVERAGE(C3757:C3764),"")</f>
        <v>14.625</v>
      </c>
      <c r="G3765" s="33" t="n">
        <f aca="false">IF(B3765=1,"",IF(B3765=2,C3764,SES_Alpha*C3764+(1-SES_Alpha)*G3764))</f>
        <v>13.9561335055013</v>
      </c>
      <c r="H3765" s="33" t="n">
        <f aca="false">IF(D3765="","",D3765-C3765)</f>
        <v>6</v>
      </c>
      <c r="I3765" s="33" t="n">
        <f aca="false">IF(E3765="","",E3765-C3765)</f>
        <v>5.5</v>
      </c>
      <c r="J3765" s="33" t="n">
        <f aca="false">IF(F3765="","",F3765-C3765)</f>
        <v>6.625</v>
      </c>
      <c r="K3765" s="33" t="n">
        <f aca="false">IF(G3765="","",G3765-C3765)</f>
        <v>5.95613350550128</v>
      </c>
      <c r="L3765" s="33" t="n">
        <f aca="false">IF(H3765="","",ABS(H3765))</f>
        <v>6</v>
      </c>
      <c r="M3765" s="33" t="n">
        <f aca="false">IF(I3765="","",ABS(I3765))</f>
        <v>5.5</v>
      </c>
      <c r="N3765" s="33" t="n">
        <f aca="false">IF(J3765="","",ABS(J3765))</f>
        <v>6.625</v>
      </c>
      <c r="O3765" s="33" t="n">
        <f aca="false">IF(K3765="","",ABS(K3765))</f>
        <v>5.95613350550128</v>
      </c>
      <c r="P3765" s="34" t="str">
        <f aca="false">IF(B3765&gt;=Eval_Start_Week,"YES","")</f>
        <v/>
      </c>
      <c r="Q3765" s="34" t="str">
        <f aca="false">IF(AND(B3765&gt;=Cal_Start_Week,B3765&lt;=Cal_End_Week),"YES","")</f>
        <v/>
      </c>
    </row>
    <row r="3766" customFormat="false" ht="15" hidden="false" customHeight="false" outlineLevel="0" collapsed="false">
      <c r="A3766" s="31" t="str">
        <f aca="false">Demand_History!C3766</f>
        <v>ELE-008</v>
      </c>
      <c r="B3766" s="31" t="n">
        <f aca="false">Demand_History!A3766</f>
        <v>21</v>
      </c>
      <c r="C3766" s="32" t="n">
        <f aca="false">Demand_History!D3766</f>
        <v>8</v>
      </c>
      <c r="D3766" s="33" t="n">
        <f aca="false">IF(B3766&gt;=2,C3765,"")</f>
        <v>8</v>
      </c>
      <c r="E3766" s="33" t="n">
        <f aca="false">IF(B3766&gt;=5,AVERAGE(C3762:C3765),"")</f>
        <v>11</v>
      </c>
      <c r="F3766" s="33" t="n">
        <f aca="false">IF(B3766&gt;=9,AVERAGE(C3758:C3765),"")</f>
        <v>14.75</v>
      </c>
      <c r="G3766" s="33" t="n">
        <f aca="false">IF(B3766=1,"",IF(B3766=2,C3765,SES_Alpha*C3765+(1-SES_Alpha)*G3765))</f>
        <v>12.1692934538509</v>
      </c>
      <c r="H3766" s="33" t="n">
        <f aca="false">IF(D3766="","",D3766-C3766)</f>
        <v>0</v>
      </c>
      <c r="I3766" s="33" t="n">
        <f aca="false">IF(E3766="","",E3766-C3766)</f>
        <v>3</v>
      </c>
      <c r="J3766" s="33" t="n">
        <f aca="false">IF(F3766="","",F3766-C3766)</f>
        <v>6.75</v>
      </c>
      <c r="K3766" s="33" t="n">
        <f aca="false">IF(G3766="","",G3766-C3766)</f>
        <v>4.16929345385089</v>
      </c>
      <c r="L3766" s="33" t="n">
        <f aca="false">IF(H3766="","",ABS(H3766))</f>
        <v>0</v>
      </c>
      <c r="M3766" s="33" t="n">
        <f aca="false">IF(I3766="","",ABS(I3766))</f>
        <v>3</v>
      </c>
      <c r="N3766" s="33" t="n">
        <f aca="false">IF(J3766="","",ABS(J3766))</f>
        <v>6.75</v>
      </c>
      <c r="O3766" s="33" t="n">
        <f aca="false">IF(K3766="","",ABS(K3766))</f>
        <v>4.16929345385089</v>
      </c>
      <c r="P3766" s="34" t="str">
        <f aca="false">IF(B3766&gt;=Eval_Start_Week,"YES","")</f>
        <v/>
      </c>
      <c r="Q3766" s="34" t="str">
        <f aca="false">IF(AND(B3766&gt;=Cal_Start_Week,B3766&lt;=Cal_End_Week),"YES","")</f>
        <v/>
      </c>
    </row>
    <row r="3767" customFormat="false" ht="15" hidden="false" customHeight="false" outlineLevel="0" collapsed="false">
      <c r="A3767" s="31" t="str">
        <f aca="false">Demand_History!C3767</f>
        <v>ELE-008</v>
      </c>
      <c r="B3767" s="31" t="n">
        <f aca="false">Demand_History!A3767</f>
        <v>22</v>
      </c>
      <c r="C3767" s="32" t="n">
        <f aca="false">Demand_History!D3767</f>
        <v>20</v>
      </c>
      <c r="D3767" s="33" t="n">
        <f aca="false">IF(B3767&gt;=2,C3766,"")</f>
        <v>8</v>
      </c>
      <c r="E3767" s="33" t="n">
        <f aca="false">IF(B3767&gt;=5,AVERAGE(C3763:C3766),"")</f>
        <v>10</v>
      </c>
      <c r="F3767" s="33" t="n">
        <f aca="false">IF(B3767&gt;=9,AVERAGE(C3759:C3766),"")</f>
        <v>13.75</v>
      </c>
      <c r="G3767" s="33" t="n">
        <f aca="false">IF(B3767=1,"",IF(B3767=2,C3766,SES_Alpha*C3766+(1-SES_Alpha)*G3766))</f>
        <v>10.9185054176956</v>
      </c>
      <c r="H3767" s="33" t="n">
        <f aca="false">IF(D3767="","",D3767-C3767)</f>
        <v>-12</v>
      </c>
      <c r="I3767" s="33" t="n">
        <f aca="false">IF(E3767="","",E3767-C3767)</f>
        <v>-10</v>
      </c>
      <c r="J3767" s="33" t="n">
        <f aca="false">IF(F3767="","",F3767-C3767)</f>
        <v>-6.25</v>
      </c>
      <c r="K3767" s="33" t="n">
        <f aca="false">IF(G3767="","",G3767-C3767)</f>
        <v>-9.08149458230438</v>
      </c>
      <c r="L3767" s="33" t="n">
        <f aca="false">IF(H3767="","",ABS(H3767))</f>
        <v>12</v>
      </c>
      <c r="M3767" s="33" t="n">
        <f aca="false">IF(I3767="","",ABS(I3767))</f>
        <v>10</v>
      </c>
      <c r="N3767" s="33" t="n">
        <f aca="false">IF(J3767="","",ABS(J3767))</f>
        <v>6.25</v>
      </c>
      <c r="O3767" s="33" t="n">
        <f aca="false">IF(K3767="","",ABS(K3767))</f>
        <v>9.08149458230438</v>
      </c>
      <c r="P3767" s="34" t="str">
        <f aca="false">IF(B3767&gt;=Eval_Start_Week,"YES","")</f>
        <v/>
      </c>
      <c r="Q3767" s="34" t="str">
        <f aca="false">IF(AND(B3767&gt;=Cal_Start_Week,B3767&lt;=Cal_End_Week),"YES","")</f>
        <v/>
      </c>
    </row>
    <row r="3768" customFormat="false" ht="15" hidden="false" customHeight="false" outlineLevel="0" collapsed="false">
      <c r="A3768" s="31" t="str">
        <f aca="false">Demand_History!C3768</f>
        <v>ELE-008</v>
      </c>
      <c r="B3768" s="31" t="n">
        <f aca="false">Demand_History!A3768</f>
        <v>23</v>
      </c>
      <c r="C3768" s="32" t="n">
        <f aca="false">Demand_History!D3768</f>
        <v>10</v>
      </c>
      <c r="D3768" s="33" t="n">
        <f aca="false">IF(B3768&gt;=2,C3767,"")</f>
        <v>20</v>
      </c>
      <c r="E3768" s="33" t="n">
        <f aca="false">IF(B3768&gt;=5,AVERAGE(C3764:C3767),"")</f>
        <v>12.5</v>
      </c>
      <c r="F3768" s="33" t="n">
        <f aca="false">IF(B3768&gt;=9,AVERAGE(C3760:C3767),"")</f>
        <v>13.625</v>
      </c>
      <c r="G3768" s="33" t="n">
        <f aca="false">IF(B3768=1,"",IF(B3768=2,C3767,SES_Alpha*C3767+(1-SES_Alpha)*G3767))</f>
        <v>13.6429537923869</v>
      </c>
      <c r="H3768" s="33" t="n">
        <f aca="false">IF(D3768="","",D3768-C3768)</f>
        <v>10</v>
      </c>
      <c r="I3768" s="33" t="n">
        <f aca="false">IF(E3768="","",E3768-C3768)</f>
        <v>2.5</v>
      </c>
      <c r="J3768" s="33" t="n">
        <f aca="false">IF(F3768="","",F3768-C3768)</f>
        <v>3.625</v>
      </c>
      <c r="K3768" s="33" t="n">
        <f aca="false">IF(G3768="","",G3768-C3768)</f>
        <v>3.64295379238694</v>
      </c>
      <c r="L3768" s="33" t="n">
        <f aca="false">IF(H3768="","",ABS(H3768))</f>
        <v>10</v>
      </c>
      <c r="M3768" s="33" t="n">
        <f aca="false">IF(I3768="","",ABS(I3768))</f>
        <v>2.5</v>
      </c>
      <c r="N3768" s="33" t="n">
        <f aca="false">IF(J3768="","",ABS(J3768))</f>
        <v>3.625</v>
      </c>
      <c r="O3768" s="33" t="n">
        <f aca="false">IF(K3768="","",ABS(K3768))</f>
        <v>3.64295379238694</v>
      </c>
      <c r="P3768" s="34" t="str">
        <f aca="false">IF(B3768&gt;=Eval_Start_Week,"YES","")</f>
        <v/>
      </c>
      <c r="Q3768" s="34" t="str">
        <f aca="false">IF(AND(B3768&gt;=Cal_Start_Week,B3768&lt;=Cal_End_Week),"YES","")</f>
        <v/>
      </c>
    </row>
    <row r="3769" customFormat="false" ht="15" hidden="false" customHeight="false" outlineLevel="0" collapsed="false">
      <c r="A3769" s="31" t="str">
        <f aca="false">Demand_History!C3769</f>
        <v>ELE-008</v>
      </c>
      <c r="B3769" s="31" t="n">
        <f aca="false">Demand_History!A3769</f>
        <v>24</v>
      </c>
      <c r="C3769" s="32" t="n">
        <f aca="false">Demand_History!D3769</f>
        <v>25</v>
      </c>
      <c r="D3769" s="33" t="n">
        <f aca="false">IF(B3769&gt;=2,C3768,"")</f>
        <v>10</v>
      </c>
      <c r="E3769" s="33" t="n">
        <f aca="false">IF(B3769&gt;=5,AVERAGE(C3765:C3768),"")</f>
        <v>11.5</v>
      </c>
      <c r="F3769" s="33" t="n">
        <f aca="false">IF(B3769&gt;=9,AVERAGE(C3761:C3768),"")</f>
        <v>12.5</v>
      </c>
      <c r="G3769" s="33" t="n">
        <f aca="false">IF(B3769=1,"",IF(B3769=2,C3768,SES_Alpha*C3768+(1-SES_Alpha)*G3768))</f>
        <v>12.5500676546709</v>
      </c>
      <c r="H3769" s="33" t="n">
        <f aca="false">IF(D3769="","",D3769-C3769)</f>
        <v>-15</v>
      </c>
      <c r="I3769" s="33" t="n">
        <f aca="false">IF(E3769="","",E3769-C3769)</f>
        <v>-13.5</v>
      </c>
      <c r="J3769" s="33" t="n">
        <f aca="false">IF(F3769="","",F3769-C3769)</f>
        <v>-12.5</v>
      </c>
      <c r="K3769" s="33" t="n">
        <f aca="false">IF(G3769="","",G3769-C3769)</f>
        <v>-12.4499323453291</v>
      </c>
      <c r="L3769" s="33" t="n">
        <f aca="false">IF(H3769="","",ABS(H3769))</f>
        <v>15</v>
      </c>
      <c r="M3769" s="33" t="n">
        <f aca="false">IF(I3769="","",ABS(I3769))</f>
        <v>13.5</v>
      </c>
      <c r="N3769" s="33" t="n">
        <f aca="false">IF(J3769="","",ABS(J3769))</f>
        <v>12.5</v>
      </c>
      <c r="O3769" s="33" t="n">
        <f aca="false">IF(K3769="","",ABS(K3769))</f>
        <v>12.4499323453291</v>
      </c>
      <c r="P3769" s="34" t="str">
        <f aca="false">IF(B3769&gt;=Eval_Start_Week,"YES","")</f>
        <v/>
      </c>
      <c r="Q3769" s="34" t="str">
        <f aca="false">IF(AND(B3769&gt;=Cal_Start_Week,B3769&lt;=Cal_End_Week),"YES","")</f>
        <v/>
      </c>
    </row>
    <row r="3770" customFormat="false" ht="15" hidden="false" customHeight="false" outlineLevel="0" collapsed="false">
      <c r="A3770" s="31" t="str">
        <f aca="false">Demand_History!C3770</f>
        <v>ELE-008</v>
      </c>
      <c r="B3770" s="31" t="n">
        <f aca="false">Demand_History!A3770</f>
        <v>25</v>
      </c>
      <c r="C3770" s="32" t="n">
        <f aca="false">Demand_History!D3770</f>
        <v>7</v>
      </c>
      <c r="D3770" s="33" t="n">
        <f aca="false">IF(B3770&gt;=2,C3769,"")</f>
        <v>25</v>
      </c>
      <c r="E3770" s="33" t="n">
        <f aca="false">IF(B3770&gt;=5,AVERAGE(C3766:C3769),"")</f>
        <v>15.75</v>
      </c>
      <c r="F3770" s="33" t="n">
        <f aca="false">IF(B3770&gt;=9,AVERAGE(C3762:C3769),"")</f>
        <v>13.375</v>
      </c>
      <c r="G3770" s="33" t="n">
        <f aca="false">IF(B3770=1,"",IF(B3770=2,C3769,SES_Alpha*C3769+(1-SES_Alpha)*G3769))</f>
        <v>16.2850473582696</v>
      </c>
      <c r="H3770" s="33" t="n">
        <f aca="false">IF(D3770="","",D3770-C3770)</f>
        <v>18</v>
      </c>
      <c r="I3770" s="33" t="n">
        <f aca="false">IF(E3770="","",E3770-C3770)</f>
        <v>8.75</v>
      </c>
      <c r="J3770" s="33" t="n">
        <f aca="false">IF(F3770="","",F3770-C3770)</f>
        <v>6.375</v>
      </c>
      <c r="K3770" s="33" t="n">
        <f aca="false">IF(G3770="","",G3770-C3770)</f>
        <v>9.2850473582696</v>
      </c>
      <c r="L3770" s="33" t="n">
        <f aca="false">IF(H3770="","",ABS(H3770))</f>
        <v>18</v>
      </c>
      <c r="M3770" s="33" t="n">
        <f aca="false">IF(I3770="","",ABS(I3770))</f>
        <v>8.75</v>
      </c>
      <c r="N3770" s="33" t="n">
        <f aca="false">IF(J3770="","",ABS(J3770))</f>
        <v>6.375</v>
      </c>
      <c r="O3770" s="33" t="n">
        <f aca="false">IF(K3770="","",ABS(K3770))</f>
        <v>9.2850473582696</v>
      </c>
      <c r="P3770" s="34" t="str">
        <f aca="false">IF(B3770&gt;=Eval_Start_Week,"YES","")</f>
        <v/>
      </c>
      <c r="Q3770" s="34" t="str">
        <f aca="false">IF(AND(B3770&gt;=Cal_Start_Week,B3770&lt;=Cal_End_Week),"YES","")</f>
        <v/>
      </c>
    </row>
    <row r="3771" customFormat="false" ht="15" hidden="false" customHeight="false" outlineLevel="0" collapsed="false">
      <c r="A3771" s="31" t="str">
        <f aca="false">Demand_History!C3771</f>
        <v>ELE-008</v>
      </c>
      <c r="B3771" s="31" t="n">
        <f aca="false">Demand_History!A3771</f>
        <v>26</v>
      </c>
      <c r="C3771" s="32" t="n">
        <f aca="false">Demand_History!D3771</f>
        <v>17</v>
      </c>
      <c r="D3771" s="33" t="n">
        <f aca="false">IF(B3771&gt;=2,C3770,"")</f>
        <v>7</v>
      </c>
      <c r="E3771" s="33" t="n">
        <f aca="false">IF(B3771&gt;=5,AVERAGE(C3767:C3770),"")</f>
        <v>15.5</v>
      </c>
      <c r="F3771" s="33" t="n">
        <f aca="false">IF(B3771&gt;=9,AVERAGE(C3763:C3770),"")</f>
        <v>12.75</v>
      </c>
      <c r="G3771" s="33" t="n">
        <f aca="false">IF(B3771=1,"",IF(B3771=2,C3770,SES_Alpha*C3770+(1-SES_Alpha)*G3770))</f>
        <v>13.4995331507887</v>
      </c>
      <c r="H3771" s="33" t="n">
        <f aca="false">IF(D3771="","",D3771-C3771)</f>
        <v>-10</v>
      </c>
      <c r="I3771" s="33" t="n">
        <f aca="false">IF(E3771="","",E3771-C3771)</f>
        <v>-1.5</v>
      </c>
      <c r="J3771" s="33" t="n">
        <f aca="false">IF(F3771="","",F3771-C3771)</f>
        <v>-4.25</v>
      </c>
      <c r="K3771" s="33" t="n">
        <f aca="false">IF(G3771="","",G3771-C3771)</f>
        <v>-3.50046684921128</v>
      </c>
      <c r="L3771" s="33" t="n">
        <f aca="false">IF(H3771="","",ABS(H3771))</f>
        <v>10</v>
      </c>
      <c r="M3771" s="33" t="n">
        <f aca="false">IF(I3771="","",ABS(I3771))</f>
        <v>1.5</v>
      </c>
      <c r="N3771" s="33" t="n">
        <f aca="false">IF(J3771="","",ABS(J3771))</f>
        <v>4.25</v>
      </c>
      <c r="O3771" s="33" t="n">
        <f aca="false">IF(K3771="","",ABS(K3771))</f>
        <v>3.50046684921128</v>
      </c>
      <c r="P3771" s="34" t="str">
        <f aca="false">IF(B3771&gt;=Eval_Start_Week,"YES","")</f>
        <v/>
      </c>
      <c r="Q3771" s="34" t="str">
        <f aca="false">IF(AND(B3771&gt;=Cal_Start_Week,B3771&lt;=Cal_End_Week),"YES","")</f>
        <v/>
      </c>
    </row>
    <row r="3772" customFormat="false" ht="15" hidden="false" customHeight="false" outlineLevel="0" collapsed="false">
      <c r="A3772" s="31" t="str">
        <f aca="false">Demand_History!C3772</f>
        <v>ELE-008</v>
      </c>
      <c r="B3772" s="31" t="n">
        <f aca="false">Demand_History!A3772</f>
        <v>27</v>
      </c>
      <c r="C3772" s="32" t="n">
        <f aca="false">Demand_History!D3772</f>
        <v>8</v>
      </c>
      <c r="D3772" s="33" t="n">
        <f aca="false">IF(B3772&gt;=2,C3771,"")</f>
        <v>17</v>
      </c>
      <c r="E3772" s="33" t="n">
        <f aca="false">IF(B3772&gt;=5,AVERAGE(C3768:C3771),"")</f>
        <v>14.75</v>
      </c>
      <c r="F3772" s="33" t="n">
        <f aca="false">IF(B3772&gt;=9,AVERAGE(C3764:C3771),"")</f>
        <v>13.625</v>
      </c>
      <c r="G3772" s="33" t="n">
        <f aca="false">IF(B3772=1,"",IF(B3772=2,C3771,SES_Alpha*C3771+(1-SES_Alpha)*G3771))</f>
        <v>14.5496732055521</v>
      </c>
      <c r="H3772" s="33" t="n">
        <f aca="false">IF(D3772="","",D3772-C3772)</f>
        <v>9</v>
      </c>
      <c r="I3772" s="33" t="n">
        <f aca="false">IF(E3772="","",E3772-C3772)</f>
        <v>6.75</v>
      </c>
      <c r="J3772" s="33" t="n">
        <f aca="false">IF(F3772="","",F3772-C3772)</f>
        <v>5.625</v>
      </c>
      <c r="K3772" s="33" t="n">
        <f aca="false">IF(G3772="","",G3772-C3772)</f>
        <v>6.5496732055521</v>
      </c>
      <c r="L3772" s="33" t="n">
        <f aca="false">IF(H3772="","",ABS(H3772))</f>
        <v>9</v>
      </c>
      <c r="M3772" s="33" t="n">
        <f aca="false">IF(I3772="","",ABS(I3772))</f>
        <v>6.75</v>
      </c>
      <c r="N3772" s="33" t="n">
        <f aca="false">IF(J3772="","",ABS(J3772))</f>
        <v>5.625</v>
      </c>
      <c r="O3772" s="33" t="n">
        <f aca="false">IF(K3772="","",ABS(K3772))</f>
        <v>6.5496732055521</v>
      </c>
      <c r="P3772" s="34" t="str">
        <f aca="false">IF(B3772&gt;=Eval_Start_Week,"YES","")</f>
        <v/>
      </c>
      <c r="Q3772" s="34" t="str">
        <f aca="false">IF(AND(B3772&gt;=Cal_Start_Week,B3772&lt;=Cal_End_Week),"YES","")</f>
        <v/>
      </c>
    </row>
    <row r="3773" customFormat="false" ht="15" hidden="false" customHeight="false" outlineLevel="0" collapsed="false">
      <c r="A3773" s="31" t="str">
        <f aca="false">Demand_History!C3773</f>
        <v>ELE-008</v>
      </c>
      <c r="B3773" s="31" t="n">
        <f aca="false">Demand_History!A3773</f>
        <v>28</v>
      </c>
      <c r="C3773" s="32" t="n">
        <f aca="false">Demand_History!D3773</f>
        <v>16</v>
      </c>
      <c r="D3773" s="33" t="n">
        <f aca="false">IF(B3773&gt;=2,C3772,"")</f>
        <v>8</v>
      </c>
      <c r="E3773" s="33" t="n">
        <f aca="false">IF(B3773&gt;=5,AVERAGE(C3769:C3772),"")</f>
        <v>14.25</v>
      </c>
      <c r="F3773" s="33" t="n">
        <f aca="false">IF(B3773&gt;=9,AVERAGE(C3765:C3772),"")</f>
        <v>12.875</v>
      </c>
      <c r="G3773" s="33" t="n">
        <f aca="false">IF(B3773=1,"",IF(B3773=2,C3772,SES_Alpha*C3772+(1-SES_Alpha)*G3772))</f>
        <v>12.5847712438865</v>
      </c>
      <c r="H3773" s="33" t="n">
        <f aca="false">IF(D3773="","",D3773-C3773)</f>
        <v>-8</v>
      </c>
      <c r="I3773" s="33" t="n">
        <f aca="false">IF(E3773="","",E3773-C3773)</f>
        <v>-1.75</v>
      </c>
      <c r="J3773" s="33" t="n">
        <f aca="false">IF(F3773="","",F3773-C3773)</f>
        <v>-3.125</v>
      </c>
      <c r="K3773" s="33" t="n">
        <f aca="false">IF(G3773="","",G3773-C3773)</f>
        <v>-3.41522875611353</v>
      </c>
      <c r="L3773" s="33" t="n">
        <f aca="false">IF(H3773="","",ABS(H3773))</f>
        <v>8</v>
      </c>
      <c r="M3773" s="33" t="n">
        <f aca="false">IF(I3773="","",ABS(I3773))</f>
        <v>1.75</v>
      </c>
      <c r="N3773" s="33" t="n">
        <f aca="false">IF(J3773="","",ABS(J3773))</f>
        <v>3.125</v>
      </c>
      <c r="O3773" s="33" t="n">
        <f aca="false">IF(K3773="","",ABS(K3773))</f>
        <v>3.41522875611353</v>
      </c>
      <c r="P3773" s="34" t="str">
        <f aca="false">IF(B3773&gt;=Eval_Start_Week,"YES","")</f>
        <v/>
      </c>
      <c r="Q3773" s="34" t="str">
        <f aca="false">IF(AND(B3773&gt;=Cal_Start_Week,B3773&lt;=Cal_End_Week),"YES","")</f>
        <v/>
      </c>
    </row>
    <row r="3774" customFormat="false" ht="15" hidden="false" customHeight="false" outlineLevel="0" collapsed="false">
      <c r="A3774" s="31" t="str">
        <f aca="false">Demand_History!C3774</f>
        <v>ELE-008</v>
      </c>
      <c r="B3774" s="31" t="n">
        <f aca="false">Demand_History!A3774</f>
        <v>29</v>
      </c>
      <c r="C3774" s="32" t="n">
        <f aca="false">Demand_History!D3774</f>
        <v>9</v>
      </c>
      <c r="D3774" s="33" t="n">
        <f aca="false">IF(B3774&gt;=2,C3773,"")</f>
        <v>16</v>
      </c>
      <c r="E3774" s="33" t="n">
        <f aca="false">IF(B3774&gt;=5,AVERAGE(C3770:C3773),"")</f>
        <v>12</v>
      </c>
      <c r="F3774" s="33" t="n">
        <f aca="false">IF(B3774&gt;=9,AVERAGE(C3766:C3773),"")</f>
        <v>13.875</v>
      </c>
      <c r="G3774" s="33" t="n">
        <f aca="false">IF(B3774=1,"",IF(B3774=2,C3773,SES_Alpha*C3773+(1-SES_Alpha)*G3773))</f>
        <v>13.6093398707205</v>
      </c>
      <c r="H3774" s="33" t="n">
        <f aca="false">IF(D3774="","",D3774-C3774)</f>
        <v>7</v>
      </c>
      <c r="I3774" s="33" t="n">
        <f aca="false">IF(E3774="","",E3774-C3774)</f>
        <v>3</v>
      </c>
      <c r="J3774" s="33" t="n">
        <f aca="false">IF(F3774="","",F3774-C3774)</f>
        <v>4.875</v>
      </c>
      <c r="K3774" s="33" t="n">
        <f aca="false">IF(G3774="","",G3774-C3774)</f>
        <v>4.60933987072053</v>
      </c>
      <c r="L3774" s="33" t="n">
        <f aca="false">IF(H3774="","",ABS(H3774))</f>
        <v>7</v>
      </c>
      <c r="M3774" s="33" t="n">
        <f aca="false">IF(I3774="","",ABS(I3774))</f>
        <v>3</v>
      </c>
      <c r="N3774" s="33" t="n">
        <f aca="false">IF(J3774="","",ABS(J3774))</f>
        <v>4.875</v>
      </c>
      <c r="O3774" s="33" t="n">
        <f aca="false">IF(K3774="","",ABS(K3774))</f>
        <v>4.60933987072053</v>
      </c>
      <c r="P3774" s="34" t="str">
        <f aca="false">IF(B3774&gt;=Eval_Start_Week,"YES","")</f>
        <v/>
      </c>
      <c r="Q3774" s="34" t="str">
        <f aca="false">IF(AND(B3774&gt;=Cal_Start_Week,B3774&lt;=Cal_End_Week),"YES","")</f>
        <v/>
      </c>
    </row>
    <row r="3775" customFormat="false" ht="15" hidden="false" customHeight="false" outlineLevel="0" collapsed="false">
      <c r="A3775" s="31" t="str">
        <f aca="false">Demand_History!C3775</f>
        <v>ELE-008</v>
      </c>
      <c r="B3775" s="31" t="n">
        <f aca="false">Demand_History!A3775</f>
        <v>30</v>
      </c>
      <c r="C3775" s="32" t="n">
        <f aca="false">Demand_History!D3775</f>
        <v>15</v>
      </c>
      <c r="D3775" s="33" t="n">
        <f aca="false">IF(B3775&gt;=2,C3774,"")</f>
        <v>9</v>
      </c>
      <c r="E3775" s="33" t="n">
        <f aca="false">IF(B3775&gt;=5,AVERAGE(C3771:C3774),"")</f>
        <v>12.5</v>
      </c>
      <c r="F3775" s="33" t="n">
        <f aca="false">IF(B3775&gt;=9,AVERAGE(C3767:C3774),"")</f>
        <v>14</v>
      </c>
      <c r="G3775" s="33" t="n">
        <f aca="false">IF(B3775=1,"",IF(B3775=2,C3774,SES_Alpha*C3774+(1-SES_Alpha)*G3774))</f>
        <v>12.2265379095044</v>
      </c>
      <c r="H3775" s="33" t="n">
        <f aca="false">IF(D3775="","",D3775-C3775)</f>
        <v>-6</v>
      </c>
      <c r="I3775" s="33" t="n">
        <f aca="false">IF(E3775="","",E3775-C3775)</f>
        <v>-2.5</v>
      </c>
      <c r="J3775" s="33" t="n">
        <f aca="false">IF(F3775="","",F3775-C3775)</f>
        <v>-1</v>
      </c>
      <c r="K3775" s="33" t="n">
        <f aca="false">IF(G3775="","",G3775-C3775)</f>
        <v>-2.77346209049563</v>
      </c>
      <c r="L3775" s="33" t="n">
        <f aca="false">IF(H3775="","",ABS(H3775))</f>
        <v>6</v>
      </c>
      <c r="M3775" s="33" t="n">
        <f aca="false">IF(I3775="","",ABS(I3775))</f>
        <v>2.5</v>
      </c>
      <c r="N3775" s="33" t="n">
        <f aca="false">IF(J3775="","",ABS(J3775))</f>
        <v>1</v>
      </c>
      <c r="O3775" s="33" t="n">
        <f aca="false">IF(K3775="","",ABS(K3775))</f>
        <v>2.77346209049563</v>
      </c>
      <c r="P3775" s="34" t="str">
        <f aca="false">IF(B3775&gt;=Eval_Start_Week,"YES","")</f>
        <v/>
      </c>
      <c r="Q3775" s="34" t="str">
        <f aca="false">IF(AND(B3775&gt;=Cal_Start_Week,B3775&lt;=Cal_End_Week),"YES","")</f>
        <v/>
      </c>
    </row>
    <row r="3776" customFormat="false" ht="15" hidden="false" customHeight="false" outlineLevel="0" collapsed="false">
      <c r="A3776" s="31" t="str">
        <f aca="false">Demand_History!C3776</f>
        <v>ELE-008</v>
      </c>
      <c r="B3776" s="31" t="n">
        <f aca="false">Demand_History!A3776</f>
        <v>31</v>
      </c>
      <c r="C3776" s="32" t="n">
        <f aca="false">Demand_History!D3776</f>
        <v>14</v>
      </c>
      <c r="D3776" s="33" t="n">
        <f aca="false">IF(B3776&gt;=2,C3775,"")</f>
        <v>15</v>
      </c>
      <c r="E3776" s="33" t="n">
        <f aca="false">IF(B3776&gt;=5,AVERAGE(C3772:C3775),"")</f>
        <v>12</v>
      </c>
      <c r="F3776" s="33" t="n">
        <f aca="false">IF(B3776&gt;=9,AVERAGE(C3768:C3775),"")</f>
        <v>13.375</v>
      </c>
      <c r="G3776" s="33" t="n">
        <f aca="false">IF(B3776=1,"",IF(B3776=2,C3775,SES_Alpha*C3775+(1-SES_Alpha)*G3775))</f>
        <v>13.0585765366531</v>
      </c>
      <c r="H3776" s="33" t="n">
        <f aca="false">IF(D3776="","",D3776-C3776)</f>
        <v>1</v>
      </c>
      <c r="I3776" s="33" t="n">
        <f aca="false">IF(E3776="","",E3776-C3776)</f>
        <v>-2</v>
      </c>
      <c r="J3776" s="33" t="n">
        <f aca="false">IF(F3776="","",F3776-C3776)</f>
        <v>-0.625</v>
      </c>
      <c r="K3776" s="33" t="n">
        <f aca="false">IF(G3776="","",G3776-C3776)</f>
        <v>-0.941423463346942</v>
      </c>
      <c r="L3776" s="33" t="n">
        <f aca="false">IF(H3776="","",ABS(H3776))</f>
        <v>1</v>
      </c>
      <c r="M3776" s="33" t="n">
        <f aca="false">IF(I3776="","",ABS(I3776))</f>
        <v>2</v>
      </c>
      <c r="N3776" s="33" t="n">
        <f aca="false">IF(J3776="","",ABS(J3776))</f>
        <v>0.625</v>
      </c>
      <c r="O3776" s="33" t="n">
        <f aca="false">IF(K3776="","",ABS(K3776))</f>
        <v>0.941423463346942</v>
      </c>
      <c r="P3776" s="34" t="str">
        <f aca="false">IF(B3776&gt;=Eval_Start_Week,"YES","")</f>
        <v/>
      </c>
      <c r="Q3776" s="34" t="str">
        <f aca="false">IF(AND(B3776&gt;=Cal_Start_Week,B3776&lt;=Cal_End_Week),"YES","")</f>
        <v/>
      </c>
    </row>
    <row r="3777" customFormat="false" ht="15" hidden="false" customHeight="false" outlineLevel="0" collapsed="false">
      <c r="A3777" s="31" t="str">
        <f aca="false">Demand_History!C3777</f>
        <v>ELE-008</v>
      </c>
      <c r="B3777" s="31" t="n">
        <f aca="false">Demand_History!A3777</f>
        <v>32</v>
      </c>
      <c r="C3777" s="32" t="n">
        <f aca="false">Demand_History!D3777</f>
        <v>12</v>
      </c>
      <c r="D3777" s="33" t="n">
        <f aca="false">IF(B3777&gt;=2,C3776,"")</f>
        <v>14</v>
      </c>
      <c r="E3777" s="33" t="n">
        <f aca="false">IF(B3777&gt;=5,AVERAGE(C3773:C3776),"")</f>
        <v>13.5</v>
      </c>
      <c r="F3777" s="33" t="n">
        <f aca="false">IF(B3777&gt;=9,AVERAGE(C3769:C3776),"")</f>
        <v>13.875</v>
      </c>
      <c r="G3777" s="33" t="n">
        <f aca="false">IF(B3777=1,"",IF(B3777=2,C3776,SES_Alpha*C3776+(1-SES_Alpha)*G3776))</f>
        <v>13.3410035756571</v>
      </c>
      <c r="H3777" s="33" t="n">
        <f aca="false">IF(D3777="","",D3777-C3777)</f>
        <v>2</v>
      </c>
      <c r="I3777" s="33" t="n">
        <f aca="false">IF(E3777="","",E3777-C3777)</f>
        <v>1.5</v>
      </c>
      <c r="J3777" s="33" t="n">
        <f aca="false">IF(F3777="","",F3777-C3777)</f>
        <v>1.875</v>
      </c>
      <c r="K3777" s="33" t="n">
        <f aca="false">IF(G3777="","",G3777-C3777)</f>
        <v>1.34100357565714</v>
      </c>
      <c r="L3777" s="33" t="n">
        <f aca="false">IF(H3777="","",ABS(H3777))</f>
        <v>2</v>
      </c>
      <c r="M3777" s="33" t="n">
        <f aca="false">IF(I3777="","",ABS(I3777))</f>
        <v>1.5</v>
      </c>
      <c r="N3777" s="33" t="n">
        <f aca="false">IF(J3777="","",ABS(J3777))</f>
        <v>1.875</v>
      </c>
      <c r="O3777" s="33" t="n">
        <f aca="false">IF(K3777="","",ABS(K3777))</f>
        <v>1.34100357565714</v>
      </c>
      <c r="P3777" s="34" t="str">
        <f aca="false">IF(B3777&gt;=Eval_Start_Week,"YES","")</f>
        <v/>
      </c>
      <c r="Q3777" s="34" t="str">
        <f aca="false">IF(AND(B3777&gt;=Cal_Start_Week,B3777&lt;=Cal_End_Week),"YES","")</f>
        <v/>
      </c>
    </row>
    <row r="3778" customFormat="false" ht="15" hidden="false" customHeight="false" outlineLevel="0" collapsed="false">
      <c r="A3778" s="31" t="str">
        <f aca="false">Demand_History!C3778</f>
        <v>ELE-008</v>
      </c>
      <c r="B3778" s="31" t="n">
        <f aca="false">Demand_History!A3778</f>
        <v>33</v>
      </c>
      <c r="C3778" s="32" t="n">
        <f aca="false">Demand_History!D3778</f>
        <v>18</v>
      </c>
      <c r="D3778" s="33" t="n">
        <f aca="false">IF(B3778&gt;=2,C3777,"")</f>
        <v>12</v>
      </c>
      <c r="E3778" s="33" t="n">
        <f aca="false">IF(B3778&gt;=5,AVERAGE(C3774:C3777),"")</f>
        <v>12.5</v>
      </c>
      <c r="F3778" s="33" t="n">
        <f aca="false">IF(B3778&gt;=9,AVERAGE(C3770:C3777),"")</f>
        <v>12.25</v>
      </c>
      <c r="G3778" s="33" t="n">
        <f aca="false">IF(B3778=1,"",IF(B3778=2,C3777,SES_Alpha*C3777+(1-SES_Alpha)*G3777))</f>
        <v>12.93870250296</v>
      </c>
      <c r="H3778" s="33" t="n">
        <f aca="false">IF(D3778="","",D3778-C3778)</f>
        <v>-6</v>
      </c>
      <c r="I3778" s="33" t="n">
        <f aca="false">IF(E3778="","",E3778-C3778)</f>
        <v>-5.5</v>
      </c>
      <c r="J3778" s="33" t="n">
        <f aca="false">IF(F3778="","",F3778-C3778)</f>
        <v>-5.75</v>
      </c>
      <c r="K3778" s="33" t="n">
        <f aca="false">IF(G3778="","",G3778-C3778)</f>
        <v>-5.06129749704</v>
      </c>
      <c r="L3778" s="33" t="n">
        <f aca="false">IF(H3778="","",ABS(H3778))</f>
        <v>6</v>
      </c>
      <c r="M3778" s="33" t="n">
        <f aca="false">IF(I3778="","",ABS(I3778))</f>
        <v>5.5</v>
      </c>
      <c r="N3778" s="33" t="n">
        <f aca="false">IF(J3778="","",ABS(J3778))</f>
        <v>5.75</v>
      </c>
      <c r="O3778" s="33" t="n">
        <f aca="false">IF(K3778="","",ABS(K3778))</f>
        <v>5.06129749704</v>
      </c>
      <c r="P3778" s="34" t="str">
        <f aca="false">IF(B3778&gt;=Eval_Start_Week,"YES","")</f>
        <v/>
      </c>
      <c r="Q3778" s="34" t="str">
        <f aca="false">IF(AND(B3778&gt;=Cal_Start_Week,B3778&lt;=Cal_End_Week),"YES","")</f>
        <v/>
      </c>
    </row>
    <row r="3779" customFormat="false" ht="15" hidden="false" customHeight="false" outlineLevel="0" collapsed="false">
      <c r="A3779" s="31" t="str">
        <f aca="false">Demand_History!C3779</f>
        <v>ELE-008</v>
      </c>
      <c r="B3779" s="31" t="n">
        <f aca="false">Demand_History!A3779</f>
        <v>34</v>
      </c>
      <c r="C3779" s="32" t="n">
        <f aca="false">Demand_History!D3779</f>
        <v>23</v>
      </c>
      <c r="D3779" s="33" t="n">
        <f aca="false">IF(B3779&gt;=2,C3778,"")</f>
        <v>18</v>
      </c>
      <c r="E3779" s="33" t="n">
        <f aca="false">IF(B3779&gt;=5,AVERAGE(C3775:C3778),"")</f>
        <v>14.75</v>
      </c>
      <c r="F3779" s="33" t="n">
        <f aca="false">IF(B3779&gt;=9,AVERAGE(C3771:C3778),"")</f>
        <v>13.625</v>
      </c>
      <c r="G3779" s="33" t="n">
        <f aca="false">IF(B3779=1,"",IF(B3779=2,C3778,SES_Alpha*C3778+(1-SES_Alpha)*G3778))</f>
        <v>14.457091752072</v>
      </c>
      <c r="H3779" s="33" t="n">
        <f aca="false">IF(D3779="","",D3779-C3779)</f>
        <v>-5</v>
      </c>
      <c r="I3779" s="33" t="n">
        <f aca="false">IF(E3779="","",E3779-C3779)</f>
        <v>-8.25</v>
      </c>
      <c r="J3779" s="33" t="n">
        <f aca="false">IF(F3779="","",F3779-C3779)</f>
        <v>-9.375</v>
      </c>
      <c r="K3779" s="33" t="n">
        <f aca="false">IF(G3779="","",G3779-C3779)</f>
        <v>-8.542908247928</v>
      </c>
      <c r="L3779" s="33" t="n">
        <f aca="false">IF(H3779="","",ABS(H3779))</f>
        <v>5</v>
      </c>
      <c r="M3779" s="33" t="n">
        <f aca="false">IF(I3779="","",ABS(I3779))</f>
        <v>8.25</v>
      </c>
      <c r="N3779" s="33" t="n">
        <f aca="false">IF(J3779="","",ABS(J3779))</f>
        <v>9.375</v>
      </c>
      <c r="O3779" s="33" t="n">
        <f aca="false">IF(K3779="","",ABS(K3779))</f>
        <v>8.542908247928</v>
      </c>
      <c r="P3779" s="34" t="str">
        <f aca="false">IF(B3779&gt;=Eval_Start_Week,"YES","")</f>
        <v/>
      </c>
      <c r="Q3779" s="34" t="str">
        <f aca="false">IF(AND(B3779&gt;=Cal_Start_Week,B3779&lt;=Cal_End_Week),"YES","")</f>
        <v/>
      </c>
    </row>
    <row r="3780" customFormat="false" ht="15" hidden="false" customHeight="false" outlineLevel="0" collapsed="false">
      <c r="A3780" s="31" t="str">
        <f aca="false">Demand_History!C3780</f>
        <v>ELE-008</v>
      </c>
      <c r="B3780" s="31" t="n">
        <f aca="false">Demand_History!A3780</f>
        <v>35</v>
      </c>
      <c r="C3780" s="32" t="n">
        <f aca="false">Demand_History!D3780</f>
        <v>12</v>
      </c>
      <c r="D3780" s="33" t="n">
        <f aca="false">IF(B3780&gt;=2,C3779,"")</f>
        <v>23</v>
      </c>
      <c r="E3780" s="33" t="n">
        <f aca="false">IF(B3780&gt;=5,AVERAGE(C3776:C3779),"")</f>
        <v>16.75</v>
      </c>
      <c r="F3780" s="33" t="n">
        <f aca="false">IF(B3780&gt;=9,AVERAGE(C3772:C3779),"")</f>
        <v>14.375</v>
      </c>
      <c r="G3780" s="33" t="n">
        <f aca="false">IF(B3780=1,"",IF(B3780=2,C3779,SES_Alpha*C3779+(1-SES_Alpha)*G3779))</f>
        <v>17.0199642264504</v>
      </c>
      <c r="H3780" s="33" t="n">
        <f aca="false">IF(D3780="","",D3780-C3780)</f>
        <v>11</v>
      </c>
      <c r="I3780" s="33" t="n">
        <f aca="false">IF(E3780="","",E3780-C3780)</f>
        <v>4.75</v>
      </c>
      <c r="J3780" s="33" t="n">
        <f aca="false">IF(F3780="","",F3780-C3780)</f>
        <v>2.375</v>
      </c>
      <c r="K3780" s="33" t="n">
        <f aca="false">IF(G3780="","",G3780-C3780)</f>
        <v>5.01996422645039</v>
      </c>
      <c r="L3780" s="33" t="n">
        <f aca="false">IF(H3780="","",ABS(H3780))</f>
        <v>11</v>
      </c>
      <c r="M3780" s="33" t="n">
        <f aca="false">IF(I3780="","",ABS(I3780))</f>
        <v>4.75</v>
      </c>
      <c r="N3780" s="33" t="n">
        <f aca="false">IF(J3780="","",ABS(J3780))</f>
        <v>2.375</v>
      </c>
      <c r="O3780" s="33" t="n">
        <f aca="false">IF(K3780="","",ABS(K3780))</f>
        <v>5.01996422645039</v>
      </c>
      <c r="P3780" s="34" t="str">
        <f aca="false">IF(B3780&gt;=Eval_Start_Week,"YES","")</f>
        <v/>
      </c>
      <c r="Q3780" s="34" t="str">
        <f aca="false">IF(AND(B3780&gt;=Cal_Start_Week,B3780&lt;=Cal_End_Week),"YES","")</f>
        <v/>
      </c>
    </row>
    <row r="3781" customFormat="false" ht="15" hidden="false" customHeight="false" outlineLevel="0" collapsed="false">
      <c r="A3781" s="31" t="str">
        <f aca="false">Demand_History!C3781</f>
        <v>ELE-008</v>
      </c>
      <c r="B3781" s="31" t="n">
        <f aca="false">Demand_History!A3781</f>
        <v>36</v>
      </c>
      <c r="C3781" s="32" t="n">
        <f aca="false">Demand_History!D3781</f>
        <v>20</v>
      </c>
      <c r="D3781" s="33" t="n">
        <f aca="false">IF(B3781&gt;=2,C3780,"")</f>
        <v>12</v>
      </c>
      <c r="E3781" s="33" t="n">
        <f aca="false">IF(B3781&gt;=5,AVERAGE(C3777:C3780),"")</f>
        <v>16.25</v>
      </c>
      <c r="F3781" s="33" t="n">
        <f aca="false">IF(B3781&gt;=9,AVERAGE(C3773:C3780),"")</f>
        <v>14.875</v>
      </c>
      <c r="G3781" s="33" t="n">
        <f aca="false">IF(B3781=1,"",IF(B3781=2,C3780,SES_Alpha*C3780+(1-SES_Alpha)*G3780))</f>
        <v>15.5139749585153</v>
      </c>
      <c r="H3781" s="33" t="n">
        <f aca="false">IF(D3781="","",D3781-C3781)</f>
        <v>-8</v>
      </c>
      <c r="I3781" s="33" t="n">
        <f aca="false">IF(E3781="","",E3781-C3781)</f>
        <v>-3.75</v>
      </c>
      <c r="J3781" s="33" t="n">
        <f aca="false">IF(F3781="","",F3781-C3781)</f>
        <v>-5.125</v>
      </c>
      <c r="K3781" s="33" t="n">
        <f aca="false">IF(G3781="","",G3781-C3781)</f>
        <v>-4.48602504148473</v>
      </c>
      <c r="L3781" s="33" t="n">
        <f aca="false">IF(H3781="","",ABS(H3781))</f>
        <v>8</v>
      </c>
      <c r="M3781" s="33" t="n">
        <f aca="false">IF(I3781="","",ABS(I3781))</f>
        <v>3.75</v>
      </c>
      <c r="N3781" s="33" t="n">
        <f aca="false">IF(J3781="","",ABS(J3781))</f>
        <v>5.125</v>
      </c>
      <c r="O3781" s="33" t="n">
        <f aca="false">IF(K3781="","",ABS(K3781))</f>
        <v>4.48602504148473</v>
      </c>
      <c r="P3781" s="34" t="str">
        <f aca="false">IF(B3781&gt;=Eval_Start_Week,"YES","")</f>
        <v/>
      </c>
      <c r="Q3781" s="34" t="str">
        <f aca="false">IF(AND(B3781&gt;=Cal_Start_Week,B3781&lt;=Cal_End_Week),"YES","")</f>
        <v/>
      </c>
    </row>
    <row r="3782" customFormat="false" ht="15" hidden="false" customHeight="false" outlineLevel="0" collapsed="false">
      <c r="A3782" s="31" t="str">
        <f aca="false">Demand_History!C3782</f>
        <v>ELE-008</v>
      </c>
      <c r="B3782" s="31" t="n">
        <f aca="false">Demand_History!A3782</f>
        <v>37</v>
      </c>
      <c r="C3782" s="32" t="n">
        <f aca="false">Demand_History!D3782</f>
        <v>15</v>
      </c>
      <c r="D3782" s="33" t="n">
        <f aca="false">IF(B3782&gt;=2,C3781,"")</f>
        <v>20</v>
      </c>
      <c r="E3782" s="33" t="n">
        <f aca="false">IF(B3782&gt;=5,AVERAGE(C3778:C3781),"")</f>
        <v>18.25</v>
      </c>
      <c r="F3782" s="33" t="n">
        <f aca="false">IF(B3782&gt;=9,AVERAGE(C3774:C3781),"")</f>
        <v>15.375</v>
      </c>
      <c r="G3782" s="33" t="n">
        <f aca="false">IF(B3782=1,"",IF(B3782=2,C3781,SES_Alpha*C3781+(1-SES_Alpha)*G3781))</f>
        <v>16.8597824709607</v>
      </c>
      <c r="H3782" s="33" t="n">
        <f aca="false">IF(D3782="","",D3782-C3782)</f>
        <v>5</v>
      </c>
      <c r="I3782" s="33" t="n">
        <f aca="false">IF(E3782="","",E3782-C3782)</f>
        <v>3.25</v>
      </c>
      <c r="J3782" s="33" t="n">
        <f aca="false">IF(F3782="","",F3782-C3782)</f>
        <v>0.375</v>
      </c>
      <c r="K3782" s="33" t="n">
        <f aca="false">IF(G3782="","",G3782-C3782)</f>
        <v>1.85978247096069</v>
      </c>
      <c r="L3782" s="33" t="n">
        <f aca="false">IF(H3782="","",ABS(H3782))</f>
        <v>5</v>
      </c>
      <c r="M3782" s="33" t="n">
        <f aca="false">IF(I3782="","",ABS(I3782))</f>
        <v>3.25</v>
      </c>
      <c r="N3782" s="33" t="n">
        <f aca="false">IF(J3782="","",ABS(J3782))</f>
        <v>0.375</v>
      </c>
      <c r="O3782" s="33" t="n">
        <f aca="false">IF(K3782="","",ABS(K3782))</f>
        <v>1.85978247096069</v>
      </c>
      <c r="P3782" s="34" t="str">
        <f aca="false">IF(B3782&gt;=Eval_Start_Week,"YES","")</f>
        <v/>
      </c>
      <c r="Q3782" s="34" t="str">
        <f aca="false">IF(AND(B3782&gt;=Cal_Start_Week,B3782&lt;=Cal_End_Week),"YES","")</f>
        <v>YES</v>
      </c>
    </row>
    <row r="3783" customFormat="false" ht="15" hidden="false" customHeight="false" outlineLevel="0" collapsed="false">
      <c r="A3783" s="31" t="str">
        <f aca="false">Demand_History!C3783</f>
        <v>ELE-008</v>
      </c>
      <c r="B3783" s="31" t="n">
        <f aca="false">Demand_History!A3783</f>
        <v>38</v>
      </c>
      <c r="C3783" s="32" t="n">
        <f aca="false">Demand_History!D3783</f>
        <v>15</v>
      </c>
      <c r="D3783" s="33" t="n">
        <f aca="false">IF(B3783&gt;=2,C3782,"")</f>
        <v>15</v>
      </c>
      <c r="E3783" s="33" t="n">
        <f aca="false">IF(B3783&gt;=5,AVERAGE(C3779:C3782),"")</f>
        <v>17.5</v>
      </c>
      <c r="F3783" s="33" t="n">
        <f aca="false">IF(B3783&gt;=9,AVERAGE(C3775:C3782),"")</f>
        <v>16.125</v>
      </c>
      <c r="G3783" s="33" t="n">
        <f aca="false">IF(B3783=1,"",IF(B3783=2,C3782,SES_Alpha*C3782+(1-SES_Alpha)*G3782))</f>
        <v>16.3018477296725</v>
      </c>
      <c r="H3783" s="33" t="n">
        <f aca="false">IF(D3783="","",D3783-C3783)</f>
        <v>0</v>
      </c>
      <c r="I3783" s="33" t="n">
        <f aca="false">IF(E3783="","",E3783-C3783)</f>
        <v>2.5</v>
      </c>
      <c r="J3783" s="33" t="n">
        <f aca="false">IF(F3783="","",F3783-C3783)</f>
        <v>1.125</v>
      </c>
      <c r="K3783" s="33" t="n">
        <f aca="false">IF(G3783="","",G3783-C3783)</f>
        <v>1.30184772967248</v>
      </c>
      <c r="L3783" s="33" t="n">
        <f aca="false">IF(H3783="","",ABS(H3783))</f>
        <v>0</v>
      </c>
      <c r="M3783" s="33" t="n">
        <f aca="false">IF(I3783="","",ABS(I3783))</f>
        <v>2.5</v>
      </c>
      <c r="N3783" s="33" t="n">
        <f aca="false">IF(J3783="","",ABS(J3783))</f>
        <v>1.125</v>
      </c>
      <c r="O3783" s="33" t="n">
        <f aca="false">IF(K3783="","",ABS(K3783))</f>
        <v>1.30184772967248</v>
      </c>
      <c r="P3783" s="34" t="str">
        <f aca="false">IF(B3783&gt;=Eval_Start_Week,"YES","")</f>
        <v/>
      </c>
      <c r="Q3783" s="34" t="str">
        <f aca="false">IF(AND(B3783&gt;=Cal_Start_Week,B3783&lt;=Cal_End_Week),"YES","")</f>
        <v>YES</v>
      </c>
    </row>
    <row r="3784" customFormat="false" ht="15" hidden="false" customHeight="false" outlineLevel="0" collapsed="false">
      <c r="A3784" s="31" t="str">
        <f aca="false">Demand_History!C3784</f>
        <v>ELE-008</v>
      </c>
      <c r="B3784" s="31" t="n">
        <f aca="false">Demand_History!A3784</f>
        <v>39</v>
      </c>
      <c r="C3784" s="32" t="n">
        <f aca="false">Demand_History!D3784</f>
        <v>27</v>
      </c>
      <c r="D3784" s="33" t="n">
        <f aca="false">IF(B3784&gt;=2,C3783,"")</f>
        <v>15</v>
      </c>
      <c r="E3784" s="33" t="n">
        <f aca="false">IF(B3784&gt;=5,AVERAGE(C3780:C3783),"")</f>
        <v>15.5</v>
      </c>
      <c r="F3784" s="33" t="n">
        <f aca="false">IF(B3784&gt;=9,AVERAGE(C3776:C3783),"")</f>
        <v>16.125</v>
      </c>
      <c r="G3784" s="33" t="n">
        <f aca="false">IF(B3784=1,"",IF(B3784=2,C3783,SES_Alpha*C3783+(1-SES_Alpha)*G3783))</f>
        <v>15.9112934107707</v>
      </c>
      <c r="H3784" s="33" t="n">
        <f aca="false">IF(D3784="","",D3784-C3784)</f>
        <v>-12</v>
      </c>
      <c r="I3784" s="33" t="n">
        <f aca="false">IF(E3784="","",E3784-C3784)</f>
        <v>-11.5</v>
      </c>
      <c r="J3784" s="33" t="n">
        <f aca="false">IF(F3784="","",F3784-C3784)</f>
        <v>-10.875</v>
      </c>
      <c r="K3784" s="33" t="n">
        <f aca="false">IF(G3784="","",G3784-C3784)</f>
        <v>-11.0887065892293</v>
      </c>
      <c r="L3784" s="33" t="n">
        <f aca="false">IF(H3784="","",ABS(H3784))</f>
        <v>12</v>
      </c>
      <c r="M3784" s="33" t="n">
        <f aca="false">IF(I3784="","",ABS(I3784))</f>
        <v>11.5</v>
      </c>
      <c r="N3784" s="33" t="n">
        <f aca="false">IF(J3784="","",ABS(J3784))</f>
        <v>10.875</v>
      </c>
      <c r="O3784" s="33" t="n">
        <f aca="false">IF(K3784="","",ABS(K3784))</f>
        <v>11.0887065892293</v>
      </c>
      <c r="P3784" s="34" t="str">
        <f aca="false">IF(B3784&gt;=Eval_Start_Week,"YES","")</f>
        <v/>
      </c>
      <c r="Q3784" s="34" t="str">
        <f aca="false">IF(AND(B3784&gt;=Cal_Start_Week,B3784&lt;=Cal_End_Week),"YES","")</f>
        <v>YES</v>
      </c>
    </row>
    <row r="3785" customFormat="false" ht="15" hidden="false" customHeight="false" outlineLevel="0" collapsed="false">
      <c r="A3785" s="31" t="str">
        <f aca="false">Demand_History!C3785</f>
        <v>ELE-008</v>
      </c>
      <c r="B3785" s="31" t="n">
        <f aca="false">Demand_History!A3785</f>
        <v>40</v>
      </c>
      <c r="C3785" s="32" t="n">
        <f aca="false">Demand_History!D3785</f>
        <v>3</v>
      </c>
      <c r="D3785" s="33" t="n">
        <f aca="false">IF(B3785&gt;=2,C3784,"")</f>
        <v>27</v>
      </c>
      <c r="E3785" s="33" t="n">
        <f aca="false">IF(B3785&gt;=5,AVERAGE(C3781:C3784),"")</f>
        <v>19.25</v>
      </c>
      <c r="F3785" s="33" t="n">
        <f aca="false">IF(B3785&gt;=9,AVERAGE(C3777:C3784),"")</f>
        <v>17.75</v>
      </c>
      <c r="G3785" s="33" t="n">
        <f aca="false">IF(B3785=1,"",IF(B3785=2,C3784,SES_Alpha*C3784+(1-SES_Alpha)*G3784))</f>
        <v>19.2379053875395</v>
      </c>
      <c r="H3785" s="33" t="n">
        <f aca="false">IF(D3785="","",D3785-C3785)</f>
        <v>24</v>
      </c>
      <c r="I3785" s="33" t="n">
        <f aca="false">IF(E3785="","",E3785-C3785)</f>
        <v>16.25</v>
      </c>
      <c r="J3785" s="33" t="n">
        <f aca="false">IF(F3785="","",F3785-C3785)</f>
        <v>14.75</v>
      </c>
      <c r="K3785" s="33" t="n">
        <f aca="false">IF(G3785="","",G3785-C3785)</f>
        <v>16.2379053875395</v>
      </c>
      <c r="L3785" s="33" t="n">
        <f aca="false">IF(H3785="","",ABS(H3785))</f>
        <v>24</v>
      </c>
      <c r="M3785" s="33" t="n">
        <f aca="false">IF(I3785="","",ABS(I3785))</f>
        <v>16.25</v>
      </c>
      <c r="N3785" s="33" t="n">
        <f aca="false">IF(J3785="","",ABS(J3785))</f>
        <v>14.75</v>
      </c>
      <c r="O3785" s="33" t="n">
        <f aca="false">IF(K3785="","",ABS(K3785))</f>
        <v>16.2379053875395</v>
      </c>
      <c r="P3785" s="34" t="str">
        <f aca="false">IF(B3785&gt;=Eval_Start_Week,"YES","")</f>
        <v/>
      </c>
      <c r="Q3785" s="34" t="str">
        <f aca="false">IF(AND(B3785&gt;=Cal_Start_Week,B3785&lt;=Cal_End_Week),"YES","")</f>
        <v>YES</v>
      </c>
    </row>
    <row r="3786" customFormat="false" ht="15" hidden="false" customHeight="false" outlineLevel="0" collapsed="false">
      <c r="A3786" s="31" t="str">
        <f aca="false">Demand_History!C3786</f>
        <v>ELE-008</v>
      </c>
      <c r="B3786" s="31" t="n">
        <f aca="false">Demand_History!A3786</f>
        <v>41</v>
      </c>
      <c r="C3786" s="32" t="n">
        <f aca="false">Demand_History!D3786</f>
        <v>11</v>
      </c>
      <c r="D3786" s="33" t="n">
        <f aca="false">IF(B3786&gt;=2,C3785,"")</f>
        <v>3</v>
      </c>
      <c r="E3786" s="33" t="n">
        <f aca="false">IF(B3786&gt;=5,AVERAGE(C3782:C3785),"")</f>
        <v>15</v>
      </c>
      <c r="F3786" s="33" t="n">
        <f aca="false">IF(B3786&gt;=9,AVERAGE(C3778:C3785),"")</f>
        <v>16.625</v>
      </c>
      <c r="G3786" s="33" t="n">
        <f aca="false">IF(B3786=1,"",IF(B3786=2,C3785,SES_Alpha*C3785+(1-SES_Alpha)*G3785))</f>
        <v>14.3665337712777</v>
      </c>
      <c r="H3786" s="33" t="n">
        <f aca="false">IF(D3786="","",D3786-C3786)</f>
        <v>-8</v>
      </c>
      <c r="I3786" s="33" t="n">
        <f aca="false">IF(E3786="","",E3786-C3786)</f>
        <v>4</v>
      </c>
      <c r="J3786" s="33" t="n">
        <f aca="false">IF(F3786="","",F3786-C3786)</f>
        <v>5.625</v>
      </c>
      <c r="K3786" s="33" t="n">
        <f aca="false">IF(G3786="","",G3786-C3786)</f>
        <v>3.36653377127766</v>
      </c>
      <c r="L3786" s="33" t="n">
        <f aca="false">IF(H3786="","",ABS(H3786))</f>
        <v>8</v>
      </c>
      <c r="M3786" s="33" t="n">
        <f aca="false">IF(I3786="","",ABS(I3786))</f>
        <v>4</v>
      </c>
      <c r="N3786" s="33" t="n">
        <f aca="false">IF(J3786="","",ABS(J3786))</f>
        <v>5.625</v>
      </c>
      <c r="O3786" s="33" t="n">
        <f aca="false">IF(K3786="","",ABS(K3786))</f>
        <v>3.36653377127766</v>
      </c>
      <c r="P3786" s="34" t="str">
        <f aca="false">IF(B3786&gt;=Eval_Start_Week,"YES","")</f>
        <v/>
      </c>
      <c r="Q3786" s="34" t="str">
        <f aca="false">IF(AND(B3786&gt;=Cal_Start_Week,B3786&lt;=Cal_End_Week),"YES","")</f>
        <v>YES</v>
      </c>
    </row>
    <row r="3787" customFormat="false" ht="15" hidden="false" customHeight="false" outlineLevel="0" collapsed="false">
      <c r="A3787" s="31" t="str">
        <f aca="false">Demand_History!C3787</f>
        <v>ELE-008</v>
      </c>
      <c r="B3787" s="31" t="n">
        <f aca="false">Demand_History!A3787</f>
        <v>42</v>
      </c>
      <c r="C3787" s="32" t="n">
        <f aca="false">Demand_History!D3787</f>
        <v>5</v>
      </c>
      <c r="D3787" s="33" t="n">
        <f aca="false">IF(B3787&gt;=2,C3786,"")</f>
        <v>11</v>
      </c>
      <c r="E3787" s="33" t="n">
        <f aca="false">IF(B3787&gt;=5,AVERAGE(C3783:C3786),"")</f>
        <v>14</v>
      </c>
      <c r="F3787" s="33" t="n">
        <f aca="false">IF(B3787&gt;=9,AVERAGE(C3779:C3786),"")</f>
        <v>15.75</v>
      </c>
      <c r="G3787" s="33" t="n">
        <f aca="false">IF(B3787=1,"",IF(B3787=2,C3786,SES_Alpha*C3786+(1-SES_Alpha)*G3786))</f>
        <v>13.3565736398944</v>
      </c>
      <c r="H3787" s="33" t="n">
        <f aca="false">IF(D3787="","",D3787-C3787)</f>
        <v>6</v>
      </c>
      <c r="I3787" s="33" t="n">
        <f aca="false">IF(E3787="","",E3787-C3787)</f>
        <v>9</v>
      </c>
      <c r="J3787" s="33" t="n">
        <f aca="false">IF(F3787="","",F3787-C3787)</f>
        <v>10.75</v>
      </c>
      <c r="K3787" s="33" t="n">
        <f aca="false">IF(G3787="","",G3787-C3787)</f>
        <v>8.35657363989436</v>
      </c>
      <c r="L3787" s="33" t="n">
        <f aca="false">IF(H3787="","",ABS(H3787))</f>
        <v>6</v>
      </c>
      <c r="M3787" s="33" t="n">
        <f aca="false">IF(I3787="","",ABS(I3787))</f>
        <v>9</v>
      </c>
      <c r="N3787" s="33" t="n">
        <f aca="false">IF(J3787="","",ABS(J3787))</f>
        <v>10.75</v>
      </c>
      <c r="O3787" s="33" t="n">
        <f aca="false">IF(K3787="","",ABS(K3787))</f>
        <v>8.35657363989436</v>
      </c>
      <c r="P3787" s="34" t="str">
        <f aca="false">IF(B3787&gt;=Eval_Start_Week,"YES","")</f>
        <v/>
      </c>
      <c r="Q3787" s="34" t="str">
        <f aca="false">IF(AND(B3787&gt;=Cal_Start_Week,B3787&lt;=Cal_End_Week),"YES","")</f>
        <v>YES</v>
      </c>
    </row>
    <row r="3788" customFormat="false" ht="15" hidden="false" customHeight="false" outlineLevel="0" collapsed="false">
      <c r="A3788" s="31" t="str">
        <f aca="false">Demand_History!C3788</f>
        <v>ELE-008</v>
      </c>
      <c r="B3788" s="31" t="n">
        <f aca="false">Demand_History!A3788</f>
        <v>43</v>
      </c>
      <c r="C3788" s="32" t="n">
        <f aca="false">Demand_History!D3788</f>
        <v>13</v>
      </c>
      <c r="D3788" s="33" t="n">
        <f aca="false">IF(B3788&gt;=2,C3787,"")</f>
        <v>5</v>
      </c>
      <c r="E3788" s="33" t="n">
        <f aca="false">IF(B3788&gt;=5,AVERAGE(C3784:C3787),"")</f>
        <v>11.5</v>
      </c>
      <c r="F3788" s="33" t="n">
        <f aca="false">IF(B3788&gt;=9,AVERAGE(C3780:C3787),"")</f>
        <v>13.5</v>
      </c>
      <c r="G3788" s="33" t="n">
        <f aca="false">IF(B3788=1,"",IF(B3788=2,C3787,SES_Alpha*C3787+(1-SES_Alpha)*G3787))</f>
        <v>10.8496015479261</v>
      </c>
      <c r="H3788" s="33" t="n">
        <f aca="false">IF(D3788="","",D3788-C3788)</f>
        <v>-8</v>
      </c>
      <c r="I3788" s="33" t="n">
        <f aca="false">IF(E3788="","",E3788-C3788)</f>
        <v>-1.5</v>
      </c>
      <c r="J3788" s="33" t="n">
        <f aca="false">IF(F3788="","",F3788-C3788)</f>
        <v>0.5</v>
      </c>
      <c r="K3788" s="33" t="n">
        <f aca="false">IF(G3788="","",G3788-C3788)</f>
        <v>-2.15039845207395</v>
      </c>
      <c r="L3788" s="33" t="n">
        <f aca="false">IF(H3788="","",ABS(H3788))</f>
        <v>8</v>
      </c>
      <c r="M3788" s="33" t="n">
        <f aca="false">IF(I3788="","",ABS(I3788))</f>
        <v>1.5</v>
      </c>
      <c r="N3788" s="33" t="n">
        <f aca="false">IF(J3788="","",ABS(J3788))</f>
        <v>0.5</v>
      </c>
      <c r="O3788" s="33" t="n">
        <f aca="false">IF(K3788="","",ABS(K3788))</f>
        <v>2.15039845207395</v>
      </c>
      <c r="P3788" s="34" t="str">
        <f aca="false">IF(B3788&gt;=Eval_Start_Week,"YES","")</f>
        <v/>
      </c>
      <c r="Q3788" s="34" t="str">
        <f aca="false">IF(AND(B3788&gt;=Cal_Start_Week,B3788&lt;=Cal_End_Week),"YES","")</f>
        <v>YES</v>
      </c>
    </row>
    <row r="3789" customFormat="false" ht="15" hidden="false" customHeight="false" outlineLevel="0" collapsed="false">
      <c r="A3789" s="31" t="str">
        <f aca="false">Demand_History!C3789</f>
        <v>ELE-008</v>
      </c>
      <c r="B3789" s="31" t="n">
        <f aca="false">Demand_History!A3789</f>
        <v>44</v>
      </c>
      <c r="C3789" s="32" t="n">
        <f aca="false">Demand_History!D3789</f>
        <v>14</v>
      </c>
      <c r="D3789" s="33" t="n">
        <f aca="false">IF(B3789&gt;=2,C3788,"")</f>
        <v>13</v>
      </c>
      <c r="E3789" s="33" t="n">
        <f aca="false">IF(B3789&gt;=5,AVERAGE(C3785:C3788),"")</f>
        <v>8</v>
      </c>
      <c r="F3789" s="33" t="n">
        <f aca="false">IF(B3789&gt;=9,AVERAGE(C3781:C3788),"")</f>
        <v>13.625</v>
      </c>
      <c r="G3789" s="33" t="n">
        <f aca="false">IF(B3789=1,"",IF(B3789=2,C3788,SES_Alpha*C3788+(1-SES_Alpha)*G3788))</f>
        <v>11.4947210835482</v>
      </c>
      <c r="H3789" s="33" t="n">
        <f aca="false">IF(D3789="","",D3789-C3789)</f>
        <v>-1</v>
      </c>
      <c r="I3789" s="33" t="n">
        <f aca="false">IF(E3789="","",E3789-C3789)</f>
        <v>-6</v>
      </c>
      <c r="J3789" s="33" t="n">
        <f aca="false">IF(F3789="","",F3789-C3789)</f>
        <v>-0.375</v>
      </c>
      <c r="K3789" s="33" t="n">
        <f aca="false">IF(G3789="","",G3789-C3789)</f>
        <v>-2.50527891645177</v>
      </c>
      <c r="L3789" s="33" t="n">
        <f aca="false">IF(H3789="","",ABS(H3789))</f>
        <v>1</v>
      </c>
      <c r="M3789" s="33" t="n">
        <f aca="false">IF(I3789="","",ABS(I3789))</f>
        <v>6</v>
      </c>
      <c r="N3789" s="33" t="n">
        <f aca="false">IF(J3789="","",ABS(J3789))</f>
        <v>0.375</v>
      </c>
      <c r="O3789" s="33" t="n">
        <f aca="false">IF(K3789="","",ABS(K3789))</f>
        <v>2.50527891645177</v>
      </c>
      <c r="P3789" s="34" t="str">
        <f aca="false">IF(B3789&gt;=Eval_Start_Week,"YES","")</f>
        <v/>
      </c>
      <c r="Q3789" s="34" t="str">
        <f aca="false">IF(AND(B3789&gt;=Cal_Start_Week,B3789&lt;=Cal_End_Week),"YES","")</f>
        <v>YES</v>
      </c>
    </row>
    <row r="3790" customFormat="false" ht="15" hidden="false" customHeight="false" outlineLevel="0" collapsed="false">
      <c r="A3790" s="31" t="str">
        <f aca="false">Demand_History!C3790</f>
        <v>ELE-008</v>
      </c>
      <c r="B3790" s="31" t="n">
        <f aca="false">Demand_History!A3790</f>
        <v>45</v>
      </c>
      <c r="C3790" s="32" t="n">
        <f aca="false">Demand_History!D3790</f>
        <v>36</v>
      </c>
      <c r="D3790" s="33" t="n">
        <f aca="false">IF(B3790&gt;=2,C3789,"")</f>
        <v>14</v>
      </c>
      <c r="E3790" s="33" t="n">
        <f aca="false">IF(B3790&gt;=5,AVERAGE(C3786:C3789),"")</f>
        <v>10.75</v>
      </c>
      <c r="F3790" s="33" t="n">
        <f aca="false">IF(B3790&gt;=9,AVERAGE(C3782:C3789),"")</f>
        <v>12.875</v>
      </c>
      <c r="G3790" s="33" t="n">
        <f aca="false">IF(B3790=1,"",IF(B3790=2,C3789,SES_Alpha*C3789+(1-SES_Alpha)*G3789))</f>
        <v>12.2463047584838</v>
      </c>
      <c r="H3790" s="33" t="n">
        <f aca="false">IF(D3790="","",D3790-C3790)</f>
        <v>-22</v>
      </c>
      <c r="I3790" s="33" t="n">
        <f aca="false">IF(E3790="","",E3790-C3790)</f>
        <v>-25.25</v>
      </c>
      <c r="J3790" s="33" t="n">
        <f aca="false">IF(F3790="","",F3790-C3790)</f>
        <v>-23.125</v>
      </c>
      <c r="K3790" s="33" t="n">
        <f aca="false">IF(G3790="","",G3790-C3790)</f>
        <v>-23.7536952415162</v>
      </c>
      <c r="L3790" s="33" t="n">
        <f aca="false">IF(H3790="","",ABS(H3790))</f>
        <v>22</v>
      </c>
      <c r="M3790" s="33" t="n">
        <f aca="false">IF(I3790="","",ABS(I3790))</f>
        <v>25.25</v>
      </c>
      <c r="N3790" s="33" t="n">
        <f aca="false">IF(J3790="","",ABS(J3790))</f>
        <v>23.125</v>
      </c>
      <c r="O3790" s="33" t="n">
        <f aca="false">IF(K3790="","",ABS(K3790))</f>
        <v>23.7536952415162</v>
      </c>
      <c r="P3790" s="34" t="str">
        <f aca="false">IF(B3790&gt;=Eval_Start_Week,"YES","")</f>
        <v/>
      </c>
      <c r="Q3790" s="34" t="str">
        <f aca="false">IF(AND(B3790&gt;=Cal_Start_Week,B3790&lt;=Cal_End_Week),"YES","")</f>
        <v>YES</v>
      </c>
    </row>
    <row r="3791" customFormat="false" ht="15" hidden="false" customHeight="false" outlineLevel="0" collapsed="false">
      <c r="A3791" s="31" t="str">
        <f aca="false">Demand_History!C3791</f>
        <v>ELE-008</v>
      </c>
      <c r="B3791" s="31" t="n">
        <f aca="false">Demand_History!A3791</f>
        <v>46</v>
      </c>
      <c r="C3791" s="32" t="n">
        <f aca="false">Demand_History!D3791</f>
        <v>17</v>
      </c>
      <c r="D3791" s="33" t="n">
        <f aca="false">IF(B3791&gt;=2,C3790,"")</f>
        <v>36</v>
      </c>
      <c r="E3791" s="33" t="n">
        <f aca="false">IF(B3791&gt;=5,AVERAGE(C3787:C3790),"")</f>
        <v>17</v>
      </c>
      <c r="F3791" s="33" t="n">
        <f aca="false">IF(B3791&gt;=9,AVERAGE(C3783:C3790),"")</f>
        <v>15.5</v>
      </c>
      <c r="G3791" s="33" t="n">
        <f aca="false">IF(B3791=1,"",IF(B3791=2,C3790,SES_Alpha*C3790+(1-SES_Alpha)*G3790))</f>
        <v>19.3724133309386</v>
      </c>
      <c r="H3791" s="33" t="n">
        <f aca="false">IF(D3791="","",D3791-C3791)</f>
        <v>19</v>
      </c>
      <c r="I3791" s="33" t="n">
        <f aca="false">IF(E3791="","",E3791-C3791)</f>
        <v>0</v>
      </c>
      <c r="J3791" s="33" t="n">
        <f aca="false">IF(F3791="","",F3791-C3791)</f>
        <v>-1.5</v>
      </c>
      <c r="K3791" s="33" t="n">
        <f aca="false">IF(G3791="","",G3791-C3791)</f>
        <v>2.37241333093863</v>
      </c>
      <c r="L3791" s="33" t="n">
        <f aca="false">IF(H3791="","",ABS(H3791))</f>
        <v>19</v>
      </c>
      <c r="M3791" s="33" t="n">
        <f aca="false">IF(I3791="","",ABS(I3791))</f>
        <v>0</v>
      </c>
      <c r="N3791" s="33" t="n">
        <f aca="false">IF(J3791="","",ABS(J3791))</f>
        <v>1.5</v>
      </c>
      <c r="O3791" s="33" t="n">
        <f aca="false">IF(K3791="","",ABS(K3791))</f>
        <v>2.37241333093863</v>
      </c>
      <c r="P3791" s="34" t="str">
        <f aca="false">IF(B3791&gt;=Eval_Start_Week,"YES","")</f>
        <v/>
      </c>
      <c r="Q3791" s="34" t="str">
        <f aca="false">IF(AND(B3791&gt;=Cal_Start_Week,B3791&lt;=Cal_End_Week),"YES","")</f>
        <v>YES</v>
      </c>
    </row>
    <row r="3792" customFormat="false" ht="15" hidden="false" customHeight="false" outlineLevel="0" collapsed="false">
      <c r="A3792" s="31" t="str">
        <f aca="false">Demand_History!C3792</f>
        <v>ELE-008</v>
      </c>
      <c r="B3792" s="31" t="n">
        <f aca="false">Demand_History!A3792</f>
        <v>47</v>
      </c>
      <c r="C3792" s="32" t="n">
        <f aca="false">Demand_History!D3792</f>
        <v>25</v>
      </c>
      <c r="D3792" s="33" t="n">
        <f aca="false">IF(B3792&gt;=2,C3791,"")</f>
        <v>17</v>
      </c>
      <c r="E3792" s="33" t="n">
        <f aca="false">IF(B3792&gt;=5,AVERAGE(C3788:C3791),"")</f>
        <v>20</v>
      </c>
      <c r="F3792" s="33" t="n">
        <f aca="false">IF(B3792&gt;=9,AVERAGE(C3784:C3791),"")</f>
        <v>15.75</v>
      </c>
      <c r="G3792" s="33" t="n">
        <f aca="false">IF(B3792=1,"",IF(B3792=2,C3791,SES_Alpha*C3791+(1-SES_Alpha)*G3791))</f>
        <v>18.660689331657</v>
      </c>
      <c r="H3792" s="33" t="n">
        <f aca="false">IF(D3792="","",D3792-C3792)</f>
        <v>-8</v>
      </c>
      <c r="I3792" s="33" t="n">
        <f aca="false">IF(E3792="","",E3792-C3792)</f>
        <v>-5</v>
      </c>
      <c r="J3792" s="33" t="n">
        <f aca="false">IF(F3792="","",F3792-C3792)</f>
        <v>-9.25</v>
      </c>
      <c r="K3792" s="33" t="n">
        <f aca="false">IF(G3792="","",G3792-C3792)</f>
        <v>-6.33931066834296</v>
      </c>
      <c r="L3792" s="33" t="n">
        <f aca="false">IF(H3792="","",ABS(H3792))</f>
        <v>8</v>
      </c>
      <c r="M3792" s="33" t="n">
        <f aca="false">IF(I3792="","",ABS(I3792))</f>
        <v>5</v>
      </c>
      <c r="N3792" s="33" t="n">
        <f aca="false">IF(J3792="","",ABS(J3792))</f>
        <v>9.25</v>
      </c>
      <c r="O3792" s="33" t="n">
        <f aca="false">IF(K3792="","",ABS(K3792))</f>
        <v>6.33931066834296</v>
      </c>
      <c r="P3792" s="34" t="str">
        <f aca="false">IF(B3792&gt;=Eval_Start_Week,"YES","")</f>
        <v/>
      </c>
      <c r="Q3792" s="34" t="str">
        <f aca="false">IF(AND(B3792&gt;=Cal_Start_Week,B3792&lt;=Cal_End_Week),"YES","")</f>
        <v>YES</v>
      </c>
    </row>
    <row r="3793" customFormat="false" ht="15" hidden="false" customHeight="false" outlineLevel="0" collapsed="false">
      <c r="A3793" s="31" t="str">
        <f aca="false">Demand_History!C3793</f>
        <v>ELE-008</v>
      </c>
      <c r="B3793" s="31" t="n">
        <f aca="false">Demand_History!A3793</f>
        <v>48</v>
      </c>
      <c r="C3793" s="32" t="n">
        <f aca="false">Demand_History!D3793</f>
        <v>22</v>
      </c>
      <c r="D3793" s="33" t="n">
        <f aca="false">IF(B3793&gt;=2,C3792,"")</f>
        <v>25</v>
      </c>
      <c r="E3793" s="33" t="n">
        <f aca="false">IF(B3793&gt;=5,AVERAGE(C3789:C3792),"")</f>
        <v>23</v>
      </c>
      <c r="F3793" s="33" t="n">
        <f aca="false">IF(B3793&gt;=9,AVERAGE(C3785:C3792),"")</f>
        <v>15.5</v>
      </c>
      <c r="G3793" s="33" t="n">
        <f aca="false">IF(B3793=1,"",IF(B3793=2,C3792,SES_Alpha*C3792+(1-SES_Alpha)*G3792))</f>
        <v>20.5624825321599</v>
      </c>
      <c r="H3793" s="33" t="n">
        <f aca="false">IF(D3793="","",D3793-C3793)</f>
        <v>3</v>
      </c>
      <c r="I3793" s="33" t="n">
        <f aca="false">IF(E3793="","",E3793-C3793)</f>
        <v>1</v>
      </c>
      <c r="J3793" s="33" t="n">
        <f aca="false">IF(F3793="","",F3793-C3793)</f>
        <v>-6.5</v>
      </c>
      <c r="K3793" s="33" t="n">
        <f aca="false">IF(G3793="","",G3793-C3793)</f>
        <v>-1.43751746784007</v>
      </c>
      <c r="L3793" s="33" t="n">
        <f aca="false">IF(H3793="","",ABS(H3793))</f>
        <v>3</v>
      </c>
      <c r="M3793" s="33" t="n">
        <f aca="false">IF(I3793="","",ABS(I3793))</f>
        <v>1</v>
      </c>
      <c r="N3793" s="33" t="n">
        <f aca="false">IF(J3793="","",ABS(J3793))</f>
        <v>6.5</v>
      </c>
      <c r="O3793" s="33" t="n">
        <f aca="false">IF(K3793="","",ABS(K3793))</f>
        <v>1.43751746784007</v>
      </c>
      <c r="P3793" s="34" t="str">
        <f aca="false">IF(B3793&gt;=Eval_Start_Week,"YES","")</f>
        <v/>
      </c>
      <c r="Q3793" s="34" t="str">
        <f aca="false">IF(AND(B3793&gt;=Cal_Start_Week,B3793&lt;=Cal_End_Week),"YES","")</f>
        <v>YES</v>
      </c>
    </row>
    <row r="3794" customFormat="false" ht="15" hidden="false" customHeight="false" outlineLevel="0" collapsed="false">
      <c r="A3794" s="31" t="str">
        <f aca="false">Demand_History!C3794</f>
        <v>ELE-008</v>
      </c>
      <c r="B3794" s="31" t="n">
        <f aca="false">Demand_History!A3794</f>
        <v>49</v>
      </c>
      <c r="C3794" s="32" t="n">
        <f aca="false">Demand_History!D3794</f>
        <v>12</v>
      </c>
      <c r="D3794" s="33" t="n">
        <f aca="false">IF(B3794&gt;=2,C3793,"")</f>
        <v>22</v>
      </c>
      <c r="E3794" s="33" t="n">
        <f aca="false">IF(B3794&gt;=5,AVERAGE(C3790:C3793),"")</f>
        <v>25</v>
      </c>
      <c r="F3794" s="33" t="n">
        <f aca="false">IF(B3794&gt;=9,AVERAGE(C3786:C3793),"")</f>
        <v>17.875</v>
      </c>
      <c r="G3794" s="33" t="n">
        <f aca="false">IF(B3794=1,"",IF(B3794=2,C3793,SES_Alpha*C3793+(1-SES_Alpha)*G3793))</f>
        <v>20.993737772512</v>
      </c>
      <c r="H3794" s="33" t="n">
        <f aca="false">IF(D3794="","",D3794-C3794)</f>
        <v>10</v>
      </c>
      <c r="I3794" s="33" t="n">
        <f aca="false">IF(E3794="","",E3794-C3794)</f>
        <v>13</v>
      </c>
      <c r="J3794" s="33" t="n">
        <f aca="false">IF(F3794="","",F3794-C3794)</f>
        <v>5.875</v>
      </c>
      <c r="K3794" s="33" t="n">
        <f aca="false">IF(G3794="","",G3794-C3794)</f>
        <v>8.99373777251195</v>
      </c>
      <c r="L3794" s="33" t="n">
        <f aca="false">IF(H3794="","",ABS(H3794))</f>
        <v>10</v>
      </c>
      <c r="M3794" s="33" t="n">
        <f aca="false">IF(I3794="","",ABS(I3794))</f>
        <v>13</v>
      </c>
      <c r="N3794" s="33" t="n">
        <f aca="false">IF(J3794="","",ABS(J3794))</f>
        <v>5.875</v>
      </c>
      <c r="O3794" s="33" t="n">
        <f aca="false">IF(K3794="","",ABS(K3794))</f>
        <v>8.99373777251195</v>
      </c>
      <c r="P3794" s="34" t="str">
        <f aca="false">IF(B3794&gt;=Eval_Start_Week,"YES","")</f>
        <v/>
      </c>
      <c r="Q3794" s="34" t="str">
        <f aca="false">IF(AND(B3794&gt;=Cal_Start_Week,B3794&lt;=Cal_End_Week),"YES","")</f>
        <v>YES</v>
      </c>
    </row>
    <row r="3795" customFormat="false" ht="15" hidden="false" customHeight="false" outlineLevel="0" collapsed="false">
      <c r="A3795" s="31" t="str">
        <f aca="false">Demand_History!C3795</f>
        <v>ELE-008</v>
      </c>
      <c r="B3795" s="31" t="n">
        <f aca="false">Demand_History!A3795</f>
        <v>50</v>
      </c>
      <c r="C3795" s="32" t="n">
        <f aca="false">Demand_History!D3795</f>
        <v>18</v>
      </c>
      <c r="D3795" s="33" t="n">
        <f aca="false">IF(B3795&gt;=2,C3794,"")</f>
        <v>12</v>
      </c>
      <c r="E3795" s="33" t="n">
        <f aca="false">IF(B3795&gt;=5,AVERAGE(C3791:C3794),"")</f>
        <v>19</v>
      </c>
      <c r="F3795" s="33" t="n">
        <f aca="false">IF(B3795&gt;=9,AVERAGE(C3787:C3794),"")</f>
        <v>18</v>
      </c>
      <c r="G3795" s="33" t="n">
        <f aca="false">IF(B3795=1,"",IF(B3795=2,C3794,SES_Alpha*C3794+(1-SES_Alpha)*G3794))</f>
        <v>18.2956164407584</v>
      </c>
      <c r="H3795" s="33" t="n">
        <f aca="false">IF(D3795="","",D3795-C3795)</f>
        <v>-6</v>
      </c>
      <c r="I3795" s="33" t="n">
        <f aca="false">IF(E3795="","",E3795-C3795)</f>
        <v>1</v>
      </c>
      <c r="J3795" s="33" t="n">
        <f aca="false">IF(F3795="","",F3795-C3795)</f>
        <v>0</v>
      </c>
      <c r="K3795" s="33" t="n">
        <f aca="false">IF(G3795="","",G3795-C3795)</f>
        <v>0.295616440758362</v>
      </c>
      <c r="L3795" s="33" t="n">
        <f aca="false">IF(H3795="","",ABS(H3795))</f>
        <v>6</v>
      </c>
      <c r="M3795" s="33" t="n">
        <f aca="false">IF(I3795="","",ABS(I3795))</f>
        <v>1</v>
      </c>
      <c r="N3795" s="33" t="n">
        <f aca="false">IF(J3795="","",ABS(J3795))</f>
        <v>0</v>
      </c>
      <c r="O3795" s="33" t="n">
        <f aca="false">IF(K3795="","",ABS(K3795))</f>
        <v>0.295616440758362</v>
      </c>
      <c r="P3795" s="34" t="str">
        <f aca="false">IF(B3795&gt;=Eval_Start_Week,"YES","")</f>
        <v/>
      </c>
      <c r="Q3795" s="34" t="str">
        <f aca="false">IF(AND(B3795&gt;=Cal_Start_Week,B3795&lt;=Cal_End_Week),"YES","")</f>
        <v>YES</v>
      </c>
    </row>
    <row r="3796" customFormat="false" ht="15" hidden="false" customHeight="false" outlineLevel="0" collapsed="false">
      <c r="A3796" s="31" t="str">
        <f aca="false">Demand_History!C3796</f>
        <v>ELE-008</v>
      </c>
      <c r="B3796" s="31" t="n">
        <f aca="false">Demand_History!A3796</f>
        <v>51</v>
      </c>
      <c r="C3796" s="32" t="n">
        <f aca="false">Demand_History!D3796</f>
        <v>24</v>
      </c>
      <c r="D3796" s="33" t="n">
        <f aca="false">IF(B3796&gt;=2,C3795,"")</f>
        <v>18</v>
      </c>
      <c r="E3796" s="33" t="n">
        <f aca="false">IF(B3796&gt;=5,AVERAGE(C3792:C3795),"")</f>
        <v>19.25</v>
      </c>
      <c r="F3796" s="33" t="n">
        <f aca="false">IF(B3796&gt;=9,AVERAGE(C3788:C3795),"")</f>
        <v>19.625</v>
      </c>
      <c r="G3796" s="33" t="n">
        <f aca="false">IF(B3796=1,"",IF(B3796=2,C3795,SES_Alpha*C3795+(1-SES_Alpha)*G3795))</f>
        <v>18.2069315085309</v>
      </c>
      <c r="H3796" s="33" t="n">
        <f aca="false">IF(D3796="","",D3796-C3796)</f>
        <v>-6</v>
      </c>
      <c r="I3796" s="33" t="n">
        <f aca="false">IF(E3796="","",E3796-C3796)</f>
        <v>-4.75</v>
      </c>
      <c r="J3796" s="33" t="n">
        <f aca="false">IF(F3796="","",F3796-C3796)</f>
        <v>-4.375</v>
      </c>
      <c r="K3796" s="33" t="n">
        <f aca="false">IF(G3796="","",G3796-C3796)</f>
        <v>-5.79306849146915</v>
      </c>
      <c r="L3796" s="33" t="n">
        <f aca="false">IF(H3796="","",ABS(H3796))</f>
        <v>6</v>
      </c>
      <c r="M3796" s="33" t="n">
        <f aca="false">IF(I3796="","",ABS(I3796))</f>
        <v>4.75</v>
      </c>
      <c r="N3796" s="33" t="n">
        <f aca="false">IF(J3796="","",ABS(J3796))</f>
        <v>4.375</v>
      </c>
      <c r="O3796" s="33" t="n">
        <f aca="false">IF(K3796="","",ABS(K3796))</f>
        <v>5.79306849146915</v>
      </c>
      <c r="P3796" s="34" t="str">
        <f aca="false">IF(B3796&gt;=Eval_Start_Week,"YES","")</f>
        <v/>
      </c>
      <c r="Q3796" s="34" t="str">
        <f aca="false">IF(AND(B3796&gt;=Cal_Start_Week,B3796&lt;=Cal_End_Week),"YES","")</f>
        <v>YES</v>
      </c>
    </row>
    <row r="3797" customFormat="false" ht="15" hidden="false" customHeight="false" outlineLevel="0" collapsed="false">
      <c r="A3797" s="31" t="str">
        <f aca="false">Demand_History!C3797</f>
        <v>ELE-008</v>
      </c>
      <c r="B3797" s="31" t="n">
        <f aca="false">Demand_History!A3797</f>
        <v>52</v>
      </c>
      <c r="C3797" s="32" t="n">
        <f aca="false">Demand_History!D3797</f>
        <v>16</v>
      </c>
      <c r="D3797" s="33" t="n">
        <f aca="false">IF(B3797&gt;=2,C3796,"")</f>
        <v>24</v>
      </c>
      <c r="E3797" s="33" t="n">
        <f aca="false">IF(B3797&gt;=5,AVERAGE(C3793:C3796),"")</f>
        <v>19</v>
      </c>
      <c r="F3797" s="33" t="n">
        <f aca="false">IF(B3797&gt;=9,AVERAGE(C3789:C3796),"")</f>
        <v>21</v>
      </c>
      <c r="G3797" s="33" t="n">
        <f aca="false">IF(B3797=1,"",IF(B3797=2,C3796,SES_Alpha*C3796+(1-SES_Alpha)*G3796))</f>
        <v>19.9448520559716</v>
      </c>
      <c r="H3797" s="33" t="n">
        <f aca="false">IF(D3797="","",D3797-C3797)</f>
        <v>8</v>
      </c>
      <c r="I3797" s="33" t="n">
        <f aca="false">IF(E3797="","",E3797-C3797)</f>
        <v>3</v>
      </c>
      <c r="J3797" s="33" t="n">
        <f aca="false">IF(F3797="","",F3797-C3797)</f>
        <v>5</v>
      </c>
      <c r="K3797" s="33" t="n">
        <f aca="false">IF(G3797="","",G3797-C3797)</f>
        <v>3.94485205597159</v>
      </c>
      <c r="L3797" s="33" t="n">
        <f aca="false">IF(H3797="","",ABS(H3797))</f>
        <v>8</v>
      </c>
      <c r="M3797" s="33" t="n">
        <f aca="false">IF(I3797="","",ABS(I3797))</f>
        <v>3</v>
      </c>
      <c r="N3797" s="33" t="n">
        <f aca="false">IF(J3797="","",ABS(J3797))</f>
        <v>5</v>
      </c>
      <c r="O3797" s="33" t="n">
        <f aca="false">IF(K3797="","",ABS(K3797))</f>
        <v>3.94485205597159</v>
      </c>
      <c r="P3797" s="34" t="str">
        <f aca="false">IF(B3797&gt;=Eval_Start_Week,"YES","")</f>
        <v/>
      </c>
      <c r="Q3797" s="34" t="str">
        <f aca="false">IF(AND(B3797&gt;=Cal_Start_Week,B3797&lt;=Cal_End_Week),"YES","")</f>
        <v>YES</v>
      </c>
    </row>
    <row r="3798" customFormat="false" ht="15" hidden="false" customHeight="false" outlineLevel="0" collapsed="false">
      <c r="A3798" s="31" t="str">
        <f aca="false">Demand_History!C3798</f>
        <v>ELE-008</v>
      </c>
      <c r="B3798" s="31" t="n">
        <f aca="false">Demand_History!A3798</f>
        <v>53</v>
      </c>
      <c r="C3798" s="32" t="n">
        <f aca="false">Demand_History!D3798</f>
        <v>16</v>
      </c>
      <c r="D3798" s="33" t="n">
        <f aca="false">IF(B3798&gt;=2,C3797,"")</f>
        <v>16</v>
      </c>
      <c r="E3798" s="33" t="n">
        <f aca="false">IF(B3798&gt;=5,AVERAGE(C3794:C3797),"")</f>
        <v>17.5</v>
      </c>
      <c r="F3798" s="33" t="n">
        <f aca="false">IF(B3798&gt;=9,AVERAGE(C3790:C3797),"")</f>
        <v>21.25</v>
      </c>
      <c r="G3798" s="33" t="n">
        <f aca="false">IF(B3798=1,"",IF(B3798=2,C3797,SES_Alpha*C3797+(1-SES_Alpha)*G3797))</f>
        <v>18.7613964391801</v>
      </c>
      <c r="H3798" s="33" t="n">
        <f aca="false">IF(D3798="","",D3798-C3798)</f>
        <v>0</v>
      </c>
      <c r="I3798" s="33" t="n">
        <f aca="false">IF(E3798="","",E3798-C3798)</f>
        <v>1.5</v>
      </c>
      <c r="J3798" s="33" t="n">
        <f aca="false">IF(F3798="","",F3798-C3798)</f>
        <v>5.25</v>
      </c>
      <c r="K3798" s="33" t="n">
        <f aca="false">IF(G3798="","",G3798-C3798)</f>
        <v>2.76139643918011</v>
      </c>
      <c r="L3798" s="33" t="n">
        <f aca="false">IF(H3798="","",ABS(H3798))</f>
        <v>0</v>
      </c>
      <c r="M3798" s="33" t="n">
        <f aca="false">IF(I3798="","",ABS(I3798))</f>
        <v>1.5</v>
      </c>
      <c r="N3798" s="33" t="n">
        <f aca="false">IF(J3798="","",ABS(J3798))</f>
        <v>5.25</v>
      </c>
      <c r="O3798" s="33" t="n">
        <f aca="false">IF(K3798="","",ABS(K3798))</f>
        <v>2.76139643918011</v>
      </c>
      <c r="P3798" s="34" t="str">
        <f aca="false">IF(B3798&gt;=Eval_Start_Week,"YES","")</f>
        <v>YES</v>
      </c>
      <c r="Q3798" s="34" t="str">
        <f aca="false">IF(AND(B3798&gt;=Cal_Start_Week,B3798&lt;=Cal_End_Week),"YES","")</f>
        <v>YES</v>
      </c>
    </row>
    <row r="3799" customFormat="false" ht="15" hidden="false" customHeight="false" outlineLevel="0" collapsed="false">
      <c r="A3799" s="31" t="str">
        <f aca="false">Demand_History!C3799</f>
        <v>ELE-008</v>
      </c>
      <c r="B3799" s="31" t="n">
        <f aca="false">Demand_History!A3799</f>
        <v>54</v>
      </c>
      <c r="C3799" s="32" t="n">
        <f aca="false">Demand_History!D3799</f>
        <v>18</v>
      </c>
      <c r="D3799" s="33" t="n">
        <f aca="false">IF(B3799&gt;=2,C3798,"")</f>
        <v>16</v>
      </c>
      <c r="E3799" s="33" t="n">
        <f aca="false">IF(B3799&gt;=5,AVERAGE(C3795:C3798),"")</f>
        <v>18.5</v>
      </c>
      <c r="F3799" s="33" t="n">
        <f aca="false">IF(B3799&gt;=9,AVERAGE(C3791:C3798),"")</f>
        <v>18.75</v>
      </c>
      <c r="G3799" s="33" t="n">
        <f aca="false">IF(B3799=1,"",IF(B3799=2,C3798,SES_Alpha*C3798+(1-SES_Alpha)*G3798))</f>
        <v>17.9329775074261</v>
      </c>
      <c r="H3799" s="33" t="n">
        <f aca="false">IF(D3799="","",D3799-C3799)</f>
        <v>-2</v>
      </c>
      <c r="I3799" s="33" t="n">
        <f aca="false">IF(E3799="","",E3799-C3799)</f>
        <v>0.5</v>
      </c>
      <c r="J3799" s="33" t="n">
        <f aca="false">IF(F3799="","",F3799-C3799)</f>
        <v>0.75</v>
      </c>
      <c r="K3799" s="33" t="n">
        <f aca="false">IF(G3799="","",G3799-C3799)</f>
        <v>-0.0670224925739227</v>
      </c>
      <c r="L3799" s="33" t="n">
        <f aca="false">IF(H3799="","",ABS(H3799))</f>
        <v>2</v>
      </c>
      <c r="M3799" s="33" t="n">
        <f aca="false">IF(I3799="","",ABS(I3799))</f>
        <v>0.5</v>
      </c>
      <c r="N3799" s="33" t="n">
        <f aca="false">IF(J3799="","",ABS(J3799))</f>
        <v>0.75</v>
      </c>
      <c r="O3799" s="33" t="n">
        <f aca="false">IF(K3799="","",ABS(K3799))</f>
        <v>0.0670224925739227</v>
      </c>
      <c r="P3799" s="34" t="str">
        <f aca="false">IF(B3799&gt;=Eval_Start_Week,"YES","")</f>
        <v>YES</v>
      </c>
      <c r="Q3799" s="34" t="str">
        <f aca="false">IF(AND(B3799&gt;=Cal_Start_Week,B3799&lt;=Cal_End_Week),"YES","")</f>
        <v>YES</v>
      </c>
    </row>
    <row r="3800" customFormat="false" ht="15" hidden="false" customHeight="false" outlineLevel="0" collapsed="false">
      <c r="A3800" s="31" t="str">
        <f aca="false">Demand_History!C3800</f>
        <v>ELE-008</v>
      </c>
      <c r="B3800" s="31" t="n">
        <f aca="false">Demand_History!A3800</f>
        <v>55</v>
      </c>
      <c r="C3800" s="32" t="n">
        <f aca="false">Demand_History!D3800</f>
        <v>7</v>
      </c>
      <c r="D3800" s="33" t="n">
        <f aca="false">IF(B3800&gt;=2,C3799,"")</f>
        <v>18</v>
      </c>
      <c r="E3800" s="33" t="n">
        <f aca="false">IF(B3800&gt;=5,AVERAGE(C3796:C3799),"")</f>
        <v>18.5</v>
      </c>
      <c r="F3800" s="33" t="n">
        <f aca="false">IF(B3800&gt;=9,AVERAGE(C3792:C3799),"")</f>
        <v>18.875</v>
      </c>
      <c r="G3800" s="33" t="n">
        <f aca="false">IF(B3800=1,"",IF(B3800=2,C3799,SES_Alpha*C3799+(1-SES_Alpha)*G3799))</f>
        <v>17.9530842551983</v>
      </c>
      <c r="H3800" s="33" t="n">
        <f aca="false">IF(D3800="","",D3800-C3800)</f>
        <v>11</v>
      </c>
      <c r="I3800" s="33" t="n">
        <f aca="false">IF(E3800="","",E3800-C3800)</f>
        <v>11.5</v>
      </c>
      <c r="J3800" s="33" t="n">
        <f aca="false">IF(F3800="","",F3800-C3800)</f>
        <v>11.875</v>
      </c>
      <c r="K3800" s="33" t="n">
        <f aca="false">IF(G3800="","",G3800-C3800)</f>
        <v>10.9530842551983</v>
      </c>
      <c r="L3800" s="33" t="n">
        <f aca="false">IF(H3800="","",ABS(H3800))</f>
        <v>11</v>
      </c>
      <c r="M3800" s="33" t="n">
        <f aca="false">IF(I3800="","",ABS(I3800))</f>
        <v>11.5</v>
      </c>
      <c r="N3800" s="33" t="n">
        <f aca="false">IF(J3800="","",ABS(J3800))</f>
        <v>11.875</v>
      </c>
      <c r="O3800" s="33" t="n">
        <f aca="false">IF(K3800="","",ABS(K3800))</f>
        <v>10.9530842551983</v>
      </c>
      <c r="P3800" s="34" t="str">
        <f aca="false">IF(B3800&gt;=Eval_Start_Week,"YES","")</f>
        <v>YES</v>
      </c>
      <c r="Q3800" s="34" t="str">
        <f aca="false">IF(AND(B3800&gt;=Cal_Start_Week,B3800&lt;=Cal_End_Week),"YES","")</f>
        <v>YES</v>
      </c>
    </row>
    <row r="3801" customFormat="false" ht="15" hidden="false" customHeight="false" outlineLevel="0" collapsed="false">
      <c r="A3801" s="31" t="str">
        <f aca="false">Demand_History!C3801</f>
        <v>ELE-008</v>
      </c>
      <c r="B3801" s="31" t="n">
        <f aca="false">Demand_History!A3801</f>
        <v>56</v>
      </c>
      <c r="C3801" s="32" t="n">
        <f aca="false">Demand_History!D3801</f>
        <v>10</v>
      </c>
      <c r="D3801" s="33" t="n">
        <f aca="false">IF(B3801&gt;=2,C3800,"")</f>
        <v>7</v>
      </c>
      <c r="E3801" s="33" t="n">
        <f aca="false">IF(B3801&gt;=5,AVERAGE(C3797:C3800),"")</f>
        <v>14.25</v>
      </c>
      <c r="F3801" s="33" t="n">
        <f aca="false">IF(B3801&gt;=9,AVERAGE(C3793:C3800),"")</f>
        <v>16.625</v>
      </c>
      <c r="G3801" s="33" t="n">
        <f aca="false">IF(B3801=1,"",IF(B3801=2,C3800,SES_Alpha*C3800+(1-SES_Alpha)*G3800))</f>
        <v>14.6671589786388</v>
      </c>
      <c r="H3801" s="33" t="n">
        <f aca="false">IF(D3801="","",D3801-C3801)</f>
        <v>-3</v>
      </c>
      <c r="I3801" s="33" t="n">
        <f aca="false">IF(E3801="","",E3801-C3801)</f>
        <v>4.25</v>
      </c>
      <c r="J3801" s="33" t="n">
        <f aca="false">IF(F3801="","",F3801-C3801)</f>
        <v>6.625</v>
      </c>
      <c r="K3801" s="33" t="n">
        <f aca="false">IF(G3801="","",G3801-C3801)</f>
        <v>4.66715897863878</v>
      </c>
      <c r="L3801" s="33" t="n">
        <f aca="false">IF(H3801="","",ABS(H3801))</f>
        <v>3</v>
      </c>
      <c r="M3801" s="33" t="n">
        <f aca="false">IF(I3801="","",ABS(I3801))</f>
        <v>4.25</v>
      </c>
      <c r="N3801" s="33" t="n">
        <f aca="false">IF(J3801="","",ABS(J3801))</f>
        <v>6.625</v>
      </c>
      <c r="O3801" s="33" t="n">
        <f aca="false">IF(K3801="","",ABS(K3801))</f>
        <v>4.66715897863878</v>
      </c>
      <c r="P3801" s="34" t="str">
        <f aca="false">IF(B3801&gt;=Eval_Start_Week,"YES","")</f>
        <v>YES</v>
      </c>
      <c r="Q3801" s="34" t="str">
        <f aca="false">IF(AND(B3801&gt;=Cal_Start_Week,B3801&lt;=Cal_End_Week),"YES","")</f>
        <v>YES</v>
      </c>
    </row>
    <row r="3802" customFormat="false" ht="15" hidden="false" customHeight="false" outlineLevel="0" collapsed="false">
      <c r="A3802" s="31" t="str">
        <f aca="false">Demand_History!C3802</f>
        <v>ELE-008</v>
      </c>
      <c r="B3802" s="31" t="n">
        <f aca="false">Demand_History!A3802</f>
        <v>57</v>
      </c>
      <c r="C3802" s="32" t="n">
        <f aca="false">Demand_History!D3802</f>
        <v>17</v>
      </c>
      <c r="D3802" s="33" t="n">
        <f aca="false">IF(B3802&gt;=2,C3801,"")</f>
        <v>10</v>
      </c>
      <c r="E3802" s="33" t="n">
        <f aca="false">IF(B3802&gt;=5,AVERAGE(C3798:C3801),"")</f>
        <v>12.75</v>
      </c>
      <c r="F3802" s="33" t="n">
        <f aca="false">IF(B3802&gt;=9,AVERAGE(C3794:C3801),"")</f>
        <v>15.125</v>
      </c>
      <c r="G3802" s="33" t="n">
        <f aca="false">IF(B3802=1,"",IF(B3802=2,C3801,SES_Alpha*C3801+(1-SES_Alpha)*G3801))</f>
        <v>13.2670112850471</v>
      </c>
      <c r="H3802" s="33" t="n">
        <f aca="false">IF(D3802="","",D3802-C3802)</f>
        <v>-7</v>
      </c>
      <c r="I3802" s="33" t="n">
        <f aca="false">IF(E3802="","",E3802-C3802)</f>
        <v>-4.25</v>
      </c>
      <c r="J3802" s="33" t="n">
        <f aca="false">IF(F3802="","",F3802-C3802)</f>
        <v>-1.875</v>
      </c>
      <c r="K3802" s="33" t="n">
        <f aca="false">IF(G3802="","",G3802-C3802)</f>
        <v>-3.73298871495286</v>
      </c>
      <c r="L3802" s="33" t="n">
        <f aca="false">IF(H3802="","",ABS(H3802))</f>
        <v>7</v>
      </c>
      <c r="M3802" s="33" t="n">
        <f aca="false">IF(I3802="","",ABS(I3802))</f>
        <v>4.25</v>
      </c>
      <c r="N3802" s="33" t="n">
        <f aca="false">IF(J3802="","",ABS(J3802))</f>
        <v>1.875</v>
      </c>
      <c r="O3802" s="33" t="n">
        <f aca="false">IF(K3802="","",ABS(K3802))</f>
        <v>3.73298871495286</v>
      </c>
      <c r="P3802" s="34" t="str">
        <f aca="false">IF(B3802&gt;=Eval_Start_Week,"YES","")</f>
        <v>YES</v>
      </c>
      <c r="Q3802" s="34" t="str">
        <f aca="false">IF(AND(B3802&gt;=Cal_Start_Week,B3802&lt;=Cal_End_Week),"YES","")</f>
        <v>YES</v>
      </c>
    </row>
    <row r="3803" customFormat="false" ht="15" hidden="false" customHeight="false" outlineLevel="0" collapsed="false">
      <c r="A3803" s="31" t="str">
        <f aca="false">Demand_History!C3803</f>
        <v>ELE-008</v>
      </c>
      <c r="B3803" s="31" t="n">
        <f aca="false">Demand_History!A3803</f>
        <v>58</v>
      </c>
      <c r="C3803" s="32" t="n">
        <f aca="false">Demand_History!D3803</f>
        <v>18</v>
      </c>
      <c r="D3803" s="33" t="n">
        <f aca="false">IF(B3803&gt;=2,C3802,"")</f>
        <v>17</v>
      </c>
      <c r="E3803" s="33" t="n">
        <f aca="false">IF(B3803&gt;=5,AVERAGE(C3799:C3802),"")</f>
        <v>13</v>
      </c>
      <c r="F3803" s="33" t="n">
        <f aca="false">IF(B3803&gt;=9,AVERAGE(C3795:C3802),"")</f>
        <v>15.75</v>
      </c>
      <c r="G3803" s="33" t="n">
        <f aca="false">IF(B3803=1,"",IF(B3803=2,C3802,SES_Alpha*C3802+(1-SES_Alpha)*G3802))</f>
        <v>14.386907899533</v>
      </c>
      <c r="H3803" s="33" t="n">
        <f aca="false">IF(D3803="","",D3803-C3803)</f>
        <v>-1</v>
      </c>
      <c r="I3803" s="33" t="n">
        <f aca="false">IF(E3803="","",E3803-C3803)</f>
        <v>-5</v>
      </c>
      <c r="J3803" s="33" t="n">
        <f aca="false">IF(F3803="","",F3803-C3803)</f>
        <v>-2.25</v>
      </c>
      <c r="K3803" s="33" t="n">
        <f aca="false">IF(G3803="","",G3803-C3803)</f>
        <v>-3.613092100467</v>
      </c>
      <c r="L3803" s="33" t="n">
        <f aca="false">IF(H3803="","",ABS(H3803))</f>
        <v>1</v>
      </c>
      <c r="M3803" s="33" t="n">
        <f aca="false">IF(I3803="","",ABS(I3803))</f>
        <v>5</v>
      </c>
      <c r="N3803" s="33" t="n">
        <f aca="false">IF(J3803="","",ABS(J3803))</f>
        <v>2.25</v>
      </c>
      <c r="O3803" s="33" t="n">
        <f aca="false">IF(K3803="","",ABS(K3803))</f>
        <v>3.613092100467</v>
      </c>
      <c r="P3803" s="34" t="str">
        <f aca="false">IF(B3803&gt;=Eval_Start_Week,"YES","")</f>
        <v>YES</v>
      </c>
      <c r="Q3803" s="34" t="str">
        <f aca="false">IF(AND(B3803&gt;=Cal_Start_Week,B3803&lt;=Cal_End_Week),"YES","")</f>
        <v>YES</v>
      </c>
    </row>
    <row r="3804" customFormat="false" ht="15" hidden="false" customHeight="false" outlineLevel="0" collapsed="false">
      <c r="A3804" s="31" t="str">
        <f aca="false">Demand_History!C3804</f>
        <v>ELE-008</v>
      </c>
      <c r="B3804" s="31" t="n">
        <f aca="false">Demand_History!A3804</f>
        <v>59</v>
      </c>
      <c r="C3804" s="32" t="n">
        <f aca="false">Demand_History!D3804</f>
        <v>10</v>
      </c>
      <c r="D3804" s="33" t="n">
        <f aca="false">IF(B3804&gt;=2,C3803,"")</f>
        <v>18</v>
      </c>
      <c r="E3804" s="33" t="n">
        <f aca="false">IF(B3804&gt;=5,AVERAGE(C3800:C3803),"")</f>
        <v>13</v>
      </c>
      <c r="F3804" s="33" t="n">
        <f aca="false">IF(B3804&gt;=9,AVERAGE(C3796:C3803),"")</f>
        <v>15.75</v>
      </c>
      <c r="G3804" s="33" t="n">
        <f aca="false">IF(B3804=1,"",IF(B3804=2,C3803,SES_Alpha*C3803+(1-SES_Alpha)*G3803))</f>
        <v>15.4708355296731</v>
      </c>
      <c r="H3804" s="33" t="n">
        <f aca="false">IF(D3804="","",D3804-C3804)</f>
        <v>8</v>
      </c>
      <c r="I3804" s="33" t="n">
        <f aca="false">IF(E3804="","",E3804-C3804)</f>
        <v>3</v>
      </c>
      <c r="J3804" s="33" t="n">
        <f aca="false">IF(F3804="","",F3804-C3804)</f>
        <v>5.75</v>
      </c>
      <c r="K3804" s="33" t="n">
        <f aca="false">IF(G3804="","",G3804-C3804)</f>
        <v>5.4708355296731</v>
      </c>
      <c r="L3804" s="33" t="n">
        <f aca="false">IF(H3804="","",ABS(H3804))</f>
        <v>8</v>
      </c>
      <c r="M3804" s="33" t="n">
        <f aca="false">IF(I3804="","",ABS(I3804))</f>
        <v>3</v>
      </c>
      <c r="N3804" s="33" t="n">
        <f aca="false">IF(J3804="","",ABS(J3804))</f>
        <v>5.75</v>
      </c>
      <c r="O3804" s="33" t="n">
        <f aca="false">IF(K3804="","",ABS(K3804))</f>
        <v>5.4708355296731</v>
      </c>
      <c r="P3804" s="34" t="str">
        <f aca="false">IF(B3804&gt;=Eval_Start_Week,"YES","")</f>
        <v>YES</v>
      </c>
      <c r="Q3804" s="34" t="str">
        <f aca="false">IF(AND(B3804&gt;=Cal_Start_Week,B3804&lt;=Cal_End_Week),"YES","")</f>
        <v>YES</v>
      </c>
    </row>
    <row r="3805" customFormat="false" ht="15" hidden="false" customHeight="false" outlineLevel="0" collapsed="false">
      <c r="A3805" s="31" t="str">
        <f aca="false">Demand_History!C3805</f>
        <v>ELE-008</v>
      </c>
      <c r="B3805" s="31" t="n">
        <f aca="false">Demand_History!A3805</f>
        <v>60</v>
      </c>
      <c r="C3805" s="32" t="n">
        <f aca="false">Demand_History!D3805</f>
        <v>13</v>
      </c>
      <c r="D3805" s="33" t="n">
        <f aca="false">IF(B3805&gt;=2,C3804,"")</f>
        <v>10</v>
      </c>
      <c r="E3805" s="33" t="n">
        <f aca="false">IF(B3805&gt;=5,AVERAGE(C3801:C3804),"")</f>
        <v>13.75</v>
      </c>
      <c r="F3805" s="33" t="n">
        <f aca="false">IF(B3805&gt;=9,AVERAGE(C3797:C3804),"")</f>
        <v>14</v>
      </c>
      <c r="G3805" s="33" t="n">
        <f aca="false">IF(B3805=1,"",IF(B3805=2,C3804,SES_Alpha*C3804+(1-SES_Alpha)*G3804))</f>
        <v>13.8295848707712</v>
      </c>
      <c r="H3805" s="33" t="n">
        <f aca="false">IF(D3805="","",D3805-C3805)</f>
        <v>-3</v>
      </c>
      <c r="I3805" s="33" t="n">
        <f aca="false">IF(E3805="","",E3805-C3805)</f>
        <v>0.75</v>
      </c>
      <c r="J3805" s="33" t="n">
        <f aca="false">IF(F3805="","",F3805-C3805)</f>
        <v>1</v>
      </c>
      <c r="K3805" s="33" t="n">
        <f aca="false">IF(G3805="","",G3805-C3805)</f>
        <v>0.82958487077117</v>
      </c>
      <c r="L3805" s="33" t="n">
        <f aca="false">IF(H3805="","",ABS(H3805))</f>
        <v>3</v>
      </c>
      <c r="M3805" s="33" t="n">
        <f aca="false">IF(I3805="","",ABS(I3805))</f>
        <v>0.75</v>
      </c>
      <c r="N3805" s="33" t="n">
        <f aca="false">IF(J3805="","",ABS(J3805))</f>
        <v>1</v>
      </c>
      <c r="O3805" s="33" t="n">
        <f aca="false">IF(K3805="","",ABS(K3805))</f>
        <v>0.82958487077117</v>
      </c>
      <c r="P3805" s="34" t="str">
        <f aca="false">IF(B3805&gt;=Eval_Start_Week,"YES","")</f>
        <v>YES</v>
      </c>
      <c r="Q3805" s="34" t="str">
        <f aca="false">IF(AND(B3805&gt;=Cal_Start_Week,B3805&lt;=Cal_End_Week),"YES","")</f>
        <v>YES</v>
      </c>
    </row>
    <row r="3806" customFormat="false" ht="15" hidden="false" customHeight="false" outlineLevel="0" collapsed="false">
      <c r="A3806" s="31" t="str">
        <f aca="false">Demand_History!C3806</f>
        <v>ELE-008</v>
      </c>
      <c r="B3806" s="31" t="n">
        <f aca="false">Demand_History!A3806</f>
        <v>61</v>
      </c>
      <c r="C3806" s="32" t="n">
        <f aca="false">Demand_History!D3806</f>
        <v>14</v>
      </c>
      <c r="D3806" s="33" t="n">
        <f aca="false">IF(B3806&gt;=2,C3805,"")</f>
        <v>13</v>
      </c>
      <c r="E3806" s="33" t="n">
        <f aca="false">IF(B3806&gt;=5,AVERAGE(C3802:C3805),"")</f>
        <v>14.5</v>
      </c>
      <c r="F3806" s="33" t="n">
        <f aca="false">IF(B3806&gt;=9,AVERAGE(C3798:C3805),"")</f>
        <v>13.625</v>
      </c>
      <c r="G3806" s="33" t="n">
        <f aca="false">IF(B3806=1,"",IF(B3806=2,C3805,SES_Alpha*C3805+(1-SES_Alpha)*G3805))</f>
        <v>13.5807094095398</v>
      </c>
      <c r="H3806" s="33" t="n">
        <f aca="false">IF(D3806="","",D3806-C3806)</f>
        <v>-1</v>
      </c>
      <c r="I3806" s="33" t="n">
        <f aca="false">IF(E3806="","",E3806-C3806)</f>
        <v>0.5</v>
      </c>
      <c r="J3806" s="33" t="n">
        <f aca="false">IF(F3806="","",F3806-C3806)</f>
        <v>-0.375</v>
      </c>
      <c r="K3806" s="33" t="n">
        <f aca="false">IF(G3806="","",G3806-C3806)</f>
        <v>-0.419290590460182</v>
      </c>
      <c r="L3806" s="33" t="n">
        <f aca="false">IF(H3806="","",ABS(H3806))</f>
        <v>1</v>
      </c>
      <c r="M3806" s="33" t="n">
        <f aca="false">IF(I3806="","",ABS(I3806))</f>
        <v>0.5</v>
      </c>
      <c r="N3806" s="33" t="n">
        <f aca="false">IF(J3806="","",ABS(J3806))</f>
        <v>0.375</v>
      </c>
      <c r="O3806" s="33" t="n">
        <f aca="false">IF(K3806="","",ABS(K3806))</f>
        <v>0.419290590460182</v>
      </c>
      <c r="P3806" s="34" t="str">
        <f aca="false">IF(B3806&gt;=Eval_Start_Week,"YES","")</f>
        <v>YES</v>
      </c>
      <c r="Q3806" s="34" t="str">
        <f aca="false">IF(AND(B3806&gt;=Cal_Start_Week,B3806&lt;=Cal_End_Week),"YES","")</f>
        <v>YES</v>
      </c>
    </row>
    <row r="3807" customFormat="false" ht="15" hidden="false" customHeight="false" outlineLevel="0" collapsed="false">
      <c r="A3807" s="31" t="str">
        <f aca="false">Demand_History!C3807</f>
        <v>ELE-008</v>
      </c>
      <c r="B3807" s="31" t="n">
        <f aca="false">Demand_History!A3807</f>
        <v>62</v>
      </c>
      <c r="C3807" s="32" t="n">
        <f aca="false">Demand_History!D3807</f>
        <v>14</v>
      </c>
      <c r="D3807" s="33" t="n">
        <f aca="false">IF(B3807&gt;=2,C3806,"")</f>
        <v>14</v>
      </c>
      <c r="E3807" s="33" t="n">
        <f aca="false">IF(B3807&gt;=5,AVERAGE(C3803:C3806),"")</f>
        <v>13.75</v>
      </c>
      <c r="F3807" s="33" t="n">
        <f aca="false">IF(B3807&gt;=9,AVERAGE(C3799:C3806),"")</f>
        <v>13.375</v>
      </c>
      <c r="G3807" s="33" t="n">
        <f aca="false">IF(B3807=1,"",IF(B3807=2,C3806,SES_Alpha*C3806+(1-SES_Alpha)*G3806))</f>
        <v>13.7064965866779</v>
      </c>
      <c r="H3807" s="33" t="n">
        <f aca="false">IF(D3807="","",D3807-C3807)</f>
        <v>0</v>
      </c>
      <c r="I3807" s="33" t="n">
        <f aca="false">IF(E3807="","",E3807-C3807)</f>
        <v>-0.25</v>
      </c>
      <c r="J3807" s="33" t="n">
        <f aca="false">IF(F3807="","",F3807-C3807)</f>
        <v>-0.625</v>
      </c>
      <c r="K3807" s="33" t="n">
        <f aca="false">IF(G3807="","",G3807-C3807)</f>
        <v>-0.293503413322128</v>
      </c>
      <c r="L3807" s="33" t="n">
        <f aca="false">IF(H3807="","",ABS(H3807))</f>
        <v>0</v>
      </c>
      <c r="M3807" s="33" t="n">
        <f aca="false">IF(I3807="","",ABS(I3807))</f>
        <v>0.25</v>
      </c>
      <c r="N3807" s="33" t="n">
        <f aca="false">IF(J3807="","",ABS(J3807))</f>
        <v>0.625</v>
      </c>
      <c r="O3807" s="33" t="n">
        <f aca="false">IF(K3807="","",ABS(K3807))</f>
        <v>0.293503413322128</v>
      </c>
      <c r="P3807" s="34" t="str">
        <f aca="false">IF(B3807&gt;=Eval_Start_Week,"YES","")</f>
        <v>YES</v>
      </c>
      <c r="Q3807" s="34" t="str">
        <f aca="false">IF(AND(B3807&gt;=Cal_Start_Week,B3807&lt;=Cal_End_Week),"YES","")</f>
        <v>YES</v>
      </c>
    </row>
    <row r="3808" customFormat="false" ht="15" hidden="false" customHeight="false" outlineLevel="0" collapsed="false">
      <c r="A3808" s="31" t="str">
        <f aca="false">Demand_History!C3808</f>
        <v>ELE-008</v>
      </c>
      <c r="B3808" s="31" t="n">
        <f aca="false">Demand_History!A3808</f>
        <v>63</v>
      </c>
      <c r="C3808" s="32" t="n">
        <f aca="false">Demand_History!D3808</f>
        <v>19</v>
      </c>
      <c r="D3808" s="33" t="n">
        <f aca="false">IF(B3808&gt;=2,C3807,"")</f>
        <v>14</v>
      </c>
      <c r="E3808" s="33" t="n">
        <f aca="false">IF(B3808&gt;=5,AVERAGE(C3804:C3807),"")</f>
        <v>12.75</v>
      </c>
      <c r="F3808" s="33" t="n">
        <f aca="false">IF(B3808&gt;=9,AVERAGE(C3800:C3807),"")</f>
        <v>12.875</v>
      </c>
      <c r="G3808" s="33" t="n">
        <f aca="false">IF(B3808=1,"",IF(B3808=2,C3807,SES_Alpha*C3807+(1-SES_Alpha)*G3807))</f>
        <v>13.7945476106745</v>
      </c>
      <c r="H3808" s="33" t="n">
        <f aca="false">IF(D3808="","",D3808-C3808)</f>
        <v>-5</v>
      </c>
      <c r="I3808" s="33" t="n">
        <f aca="false">IF(E3808="","",E3808-C3808)</f>
        <v>-6.25</v>
      </c>
      <c r="J3808" s="33" t="n">
        <f aca="false">IF(F3808="","",F3808-C3808)</f>
        <v>-6.125</v>
      </c>
      <c r="K3808" s="33" t="n">
        <f aca="false">IF(G3808="","",G3808-C3808)</f>
        <v>-5.20545238932549</v>
      </c>
      <c r="L3808" s="33" t="n">
        <f aca="false">IF(H3808="","",ABS(H3808))</f>
        <v>5</v>
      </c>
      <c r="M3808" s="33" t="n">
        <f aca="false">IF(I3808="","",ABS(I3808))</f>
        <v>6.25</v>
      </c>
      <c r="N3808" s="33" t="n">
        <f aca="false">IF(J3808="","",ABS(J3808))</f>
        <v>6.125</v>
      </c>
      <c r="O3808" s="33" t="n">
        <f aca="false">IF(K3808="","",ABS(K3808))</f>
        <v>5.20545238932549</v>
      </c>
      <c r="P3808" s="34" t="str">
        <f aca="false">IF(B3808&gt;=Eval_Start_Week,"YES","")</f>
        <v>YES</v>
      </c>
      <c r="Q3808" s="34" t="str">
        <f aca="false">IF(AND(B3808&gt;=Cal_Start_Week,B3808&lt;=Cal_End_Week),"YES","")</f>
        <v>YES</v>
      </c>
    </row>
    <row r="3809" customFormat="false" ht="15" hidden="false" customHeight="false" outlineLevel="0" collapsed="false">
      <c r="A3809" s="31" t="str">
        <f aca="false">Demand_History!C3809</f>
        <v>ELE-008</v>
      </c>
      <c r="B3809" s="31" t="n">
        <f aca="false">Demand_History!A3809</f>
        <v>64</v>
      </c>
      <c r="C3809" s="32" t="n">
        <f aca="false">Demand_History!D3809</f>
        <v>16</v>
      </c>
      <c r="D3809" s="33" t="n">
        <f aca="false">IF(B3809&gt;=2,C3808,"")</f>
        <v>19</v>
      </c>
      <c r="E3809" s="33" t="n">
        <f aca="false">IF(B3809&gt;=5,AVERAGE(C3805:C3808),"")</f>
        <v>15</v>
      </c>
      <c r="F3809" s="33" t="n">
        <f aca="false">IF(B3809&gt;=9,AVERAGE(C3801:C3808),"")</f>
        <v>14.375</v>
      </c>
      <c r="G3809" s="33" t="n">
        <f aca="false">IF(B3809=1,"",IF(B3809=2,C3808,SES_Alpha*C3808+(1-SES_Alpha)*G3808))</f>
        <v>15.3561833274722</v>
      </c>
      <c r="H3809" s="33" t="n">
        <f aca="false">IF(D3809="","",D3809-C3809)</f>
        <v>3</v>
      </c>
      <c r="I3809" s="33" t="n">
        <f aca="false">IF(E3809="","",E3809-C3809)</f>
        <v>-1</v>
      </c>
      <c r="J3809" s="33" t="n">
        <f aca="false">IF(F3809="","",F3809-C3809)</f>
        <v>-1.625</v>
      </c>
      <c r="K3809" s="33" t="n">
        <f aca="false">IF(G3809="","",G3809-C3809)</f>
        <v>-0.643816672527844</v>
      </c>
      <c r="L3809" s="33" t="n">
        <f aca="false">IF(H3809="","",ABS(H3809))</f>
        <v>3</v>
      </c>
      <c r="M3809" s="33" t="n">
        <f aca="false">IF(I3809="","",ABS(I3809))</f>
        <v>1</v>
      </c>
      <c r="N3809" s="33" t="n">
        <f aca="false">IF(J3809="","",ABS(J3809))</f>
        <v>1.625</v>
      </c>
      <c r="O3809" s="33" t="n">
        <f aca="false">IF(K3809="","",ABS(K3809))</f>
        <v>0.643816672527844</v>
      </c>
      <c r="P3809" s="34" t="str">
        <f aca="false">IF(B3809&gt;=Eval_Start_Week,"YES","")</f>
        <v>YES</v>
      </c>
      <c r="Q3809" s="34" t="str">
        <f aca="false">IF(AND(B3809&gt;=Cal_Start_Week,B3809&lt;=Cal_End_Week),"YES","")</f>
        <v>YES</v>
      </c>
    </row>
    <row r="3810" customFormat="false" ht="15" hidden="false" customHeight="false" outlineLevel="0" collapsed="false">
      <c r="A3810" s="31" t="str">
        <f aca="false">Demand_History!C3810</f>
        <v>ELE-008</v>
      </c>
      <c r="B3810" s="31" t="n">
        <f aca="false">Demand_History!A3810</f>
        <v>65</v>
      </c>
      <c r="C3810" s="32" t="n">
        <f aca="false">Demand_History!D3810</f>
        <v>16</v>
      </c>
      <c r="D3810" s="33" t="n">
        <f aca="false">IF(B3810&gt;=2,C3809,"")</f>
        <v>16</v>
      </c>
      <c r="E3810" s="33" t="n">
        <f aca="false">IF(B3810&gt;=5,AVERAGE(C3806:C3809),"")</f>
        <v>15.75</v>
      </c>
      <c r="F3810" s="33" t="n">
        <f aca="false">IF(B3810&gt;=9,AVERAGE(C3802:C3809),"")</f>
        <v>15.125</v>
      </c>
      <c r="G3810" s="33" t="n">
        <f aca="false">IF(B3810=1,"",IF(B3810=2,C3809,SES_Alpha*C3809+(1-SES_Alpha)*G3809))</f>
        <v>15.5493283292305</v>
      </c>
      <c r="H3810" s="33" t="n">
        <f aca="false">IF(D3810="","",D3810-C3810)</f>
        <v>0</v>
      </c>
      <c r="I3810" s="33" t="n">
        <f aca="false">IF(E3810="","",E3810-C3810)</f>
        <v>-0.25</v>
      </c>
      <c r="J3810" s="33" t="n">
        <f aca="false">IF(F3810="","",F3810-C3810)</f>
        <v>-0.875</v>
      </c>
      <c r="K3810" s="33" t="n">
        <f aca="false">IF(G3810="","",G3810-C3810)</f>
        <v>-0.450671670769491</v>
      </c>
      <c r="L3810" s="33" t="n">
        <f aca="false">IF(H3810="","",ABS(H3810))</f>
        <v>0</v>
      </c>
      <c r="M3810" s="33" t="n">
        <f aca="false">IF(I3810="","",ABS(I3810))</f>
        <v>0.25</v>
      </c>
      <c r="N3810" s="33" t="n">
        <f aca="false">IF(J3810="","",ABS(J3810))</f>
        <v>0.875</v>
      </c>
      <c r="O3810" s="33" t="n">
        <f aca="false">IF(K3810="","",ABS(K3810))</f>
        <v>0.450671670769491</v>
      </c>
      <c r="P3810" s="34" t="str">
        <f aca="false">IF(B3810&gt;=Eval_Start_Week,"YES","")</f>
        <v>YES</v>
      </c>
      <c r="Q3810" s="34" t="str">
        <f aca="false">IF(AND(B3810&gt;=Cal_Start_Week,B3810&lt;=Cal_End_Week),"YES","")</f>
        <v>YES</v>
      </c>
    </row>
    <row r="3811" customFormat="false" ht="15" hidden="false" customHeight="false" outlineLevel="0" collapsed="false">
      <c r="A3811" s="31" t="str">
        <f aca="false">Demand_History!C3811</f>
        <v>ELE-008</v>
      </c>
      <c r="B3811" s="31" t="n">
        <f aca="false">Demand_History!A3811</f>
        <v>66</v>
      </c>
      <c r="C3811" s="32" t="n">
        <f aca="false">Demand_History!D3811</f>
        <v>7</v>
      </c>
      <c r="D3811" s="33" t="n">
        <f aca="false">IF(B3811&gt;=2,C3810,"")</f>
        <v>16</v>
      </c>
      <c r="E3811" s="33" t="n">
        <f aca="false">IF(B3811&gt;=5,AVERAGE(C3807:C3810),"")</f>
        <v>16.25</v>
      </c>
      <c r="F3811" s="33" t="n">
        <f aca="false">IF(B3811&gt;=9,AVERAGE(C3803:C3810),"")</f>
        <v>15</v>
      </c>
      <c r="G3811" s="33" t="n">
        <f aca="false">IF(B3811=1,"",IF(B3811=2,C3810,SES_Alpha*C3810+(1-SES_Alpha)*G3810))</f>
        <v>15.6845298304614</v>
      </c>
      <c r="H3811" s="33" t="n">
        <f aca="false">IF(D3811="","",D3811-C3811)</f>
        <v>9</v>
      </c>
      <c r="I3811" s="33" t="n">
        <f aca="false">IF(E3811="","",E3811-C3811)</f>
        <v>9.25</v>
      </c>
      <c r="J3811" s="33" t="n">
        <f aca="false">IF(F3811="","",F3811-C3811)</f>
        <v>8</v>
      </c>
      <c r="K3811" s="33" t="n">
        <f aca="false">IF(G3811="","",G3811-C3811)</f>
        <v>8.68452983046135</v>
      </c>
      <c r="L3811" s="33" t="n">
        <f aca="false">IF(H3811="","",ABS(H3811))</f>
        <v>9</v>
      </c>
      <c r="M3811" s="33" t="n">
        <f aca="false">IF(I3811="","",ABS(I3811))</f>
        <v>9.25</v>
      </c>
      <c r="N3811" s="33" t="n">
        <f aca="false">IF(J3811="","",ABS(J3811))</f>
        <v>8</v>
      </c>
      <c r="O3811" s="33" t="n">
        <f aca="false">IF(K3811="","",ABS(K3811))</f>
        <v>8.68452983046135</v>
      </c>
      <c r="P3811" s="34" t="str">
        <f aca="false">IF(B3811&gt;=Eval_Start_Week,"YES","")</f>
        <v>YES</v>
      </c>
      <c r="Q3811" s="34" t="str">
        <f aca="false">IF(AND(B3811&gt;=Cal_Start_Week,B3811&lt;=Cal_End_Week),"YES","")</f>
        <v>YES</v>
      </c>
    </row>
    <row r="3812" customFormat="false" ht="15" hidden="false" customHeight="false" outlineLevel="0" collapsed="false">
      <c r="A3812" s="31" t="str">
        <f aca="false">Demand_History!C3812</f>
        <v>ELE-008</v>
      </c>
      <c r="B3812" s="31" t="n">
        <f aca="false">Demand_History!A3812</f>
        <v>67</v>
      </c>
      <c r="C3812" s="32" t="n">
        <f aca="false">Demand_History!D3812</f>
        <v>9</v>
      </c>
      <c r="D3812" s="33" t="n">
        <f aca="false">IF(B3812&gt;=2,C3811,"")</f>
        <v>7</v>
      </c>
      <c r="E3812" s="33" t="n">
        <f aca="false">IF(B3812&gt;=5,AVERAGE(C3808:C3811),"")</f>
        <v>14.5</v>
      </c>
      <c r="F3812" s="33" t="n">
        <f aca="false">IF(B3812&gt;=9,AVERAGE(C3804:C3811),"")</f>
        <v>13.625</v>
      </c>
      <c r="G3812" s="33" t="n">
        <f aca="false">IF(B3812=1,"",IF(B3812=2,C3811,SES_Alpha*C3811+(1-SES_Alpha)*G3811))</f>
        <v>13.0791708813229</v>
      </c>
      <c r="H3812" s="33" t="n">
        <f aca="false">IF(D3812="","",D3812-C3812)</f>
        <v>-2</v>
      </c>
      <c r="I3812" s="33" t="n">
        <f aca="false">IF(E3812="","",E3812-C3812)</f>
        <v>5.5</v>
      </c>
      <c r="J3812" s="33" t="n">
        <f aca="false">IF(F3812="","",F3812-C3812)</f>
        <v>4.625</v>
      </c>
      <c r="K3812" s="33" t="n">
        <f aca="false">IF(G3812="","",G3812-C3812)</f>
        <v>4.07917088132295</v>
      </c>
      <c r="L3812" s="33" t="n">
        <f aca="false">IF(H3812="","",ABS(H3812))</f>
        <v>2</v>
      </c>
      <c r="M3812" s="33" t="n">
        <f aca="false">IF(I3812="","",ABS(I3812))</f>
        <v>5.5</v>
      </c>
      <c r="N3812" s="33" t="n">
        <f aca="false">IF(J3812="","",ABS(J3812))</f>
        <v>4.625</v>
      </c>
      <c r="O3812" s="33" t="n">
        <f aca="false">IF(K3812="","",ABS(K3812))</f>
        <v>4.07917088132295</v>
      </c>
      <c r="P3812" s="34" t="str">
        <f aca="false">IF(B3812&gt;=Eval_Start_Week,"YES","")</f>
        <v>YES</v>
      </c>
      <c r="Q3812" s="34" t="str">
        <f aca="false">IF(AND(B3812&gt;=Cal_Start_Week,B3812&lt;=Cal_End_Week),"YES","")</f>
        <v>YES</v>
      </c>
    </row>
    <row r="3813" customFormat="false" ht="15" hidden="false" customHeight="false" outlineLevel="0" collapsed="false">
      <c r="A3813" s="31" t="str">
        <f aca="false">Demand_History!C3813</f>
        <v>ELE-008</v>
      </c>
      <c r="B3813" s="31" t="n">
        <f aca="false">Demand_History!A3813</f>
        <v>68</v>
      </c>
      <c r="C3813" s="32" t="n">
        <f aca="false">Demand_History!D3813</f>
        <v>17</v>
      </c>
      <c r="D3813" s="33" t="n">
        <f aca="false">IF(B3813&gt;=2,C3812,"")</f>
        <v>9</v>
      </c>
      <c r="E3813" s="33" t="n">
        <f aca="false">IF(B3813&gt;=5,AVERAGE(C3809:C3812),"")</f>
        <v>12</v>
      </c>
      <c r="F3813" s="33" t="n">
        <f aca="false">IF(B3813&gt;=9,AVERAGE(C3805:C3812),"")</f>
        <v>13.5</v>
      </c>
      <c r="G3813" s="33" t="n">
        <f aca="false">IF(B3813=1,"",IF(B3813=2,C3812,SES_Alpha*C3812+(1-SES_Alpha)*G3812))</f>
        <v>11.8554196169261</v>
      </c>
      <c r="H3813" s="33" t="n">
        <f aca="false">IF(D3813="","",D3813-C3813)</f>
        <v>-8</v>
      </c>
      <c r="I3813" s="33" t="n">
        <f aca="false">IF(E3813="","",E3813-C3813)</f>
        <v>-5</v>
      </c>
      <c r="J3813" s="33" t="n">
        <f aca="false">IF(F3813="","",F3813-C3813)</f>
        <v>-3.5</v>
      </c>
      <c r="K3813" s="33" t="n">
        <f aca="false">IF(G3813="","",G3813-C3813)</f>
        <v>-5.14458038307394</v>
      </c>
      <c r="L3813" s="33" t="n">
        <f aca="false">IF(H3813="","",ABS(H3813))</f>
        <v>8</v>
      </c>
      <c r="M3813" s="33" t="n">
        <f aca="false">IF(I3813="","",ABS(I3813))</f>
        <v>5</v>
      </c>
      <c r="N3813" s="33" t="n">
        <f aca="false">IF(J3813="","",ABS(J3813))</f>
        <v>3.5</v>
      </c>
      <c r="O3813" s="33" t="n">
        <f aca="false">IF(K3813="","",ABS(K3813))</f>
        <v>5.14458038307394</v>
      </c>
      <c r="P3813" s="34" t="str">
        <f aca="false">IF(B3813&gt;=Eval_Start_Week,"YES","")</f>
        <v>YES</v>
      </c>
      <c r="Q3813" s="34" t="str">
        <f aca="false">IF(AND(B3813&gt;=Cal_Start_Week,B3813&lt;=Cal_End_Week),"YES","")</f>
        <v>YES</v>
      </c>
    </row>
    <row r="3814" customFormat="false" ht="15" hidden="false" customHeight="false" outlineLevel="0" collapsed="false">
      <c r="A3814" s="31" t="str">
        <f aca="false">Demand_History!C3814</f>
        <v>ELE-008</v>
      </c>
      <c r="B3814" s="31" t="n">
        <f aca="false">Demand_History!A3814</f>
        <v>69</v>
      </c>
      <c r="C3814" s="32" t="n">
        <f aca="false">Demand_History!D3814</f>
        <v>6</v>
      </c>
      <c r="D3814" s="33" t="n">
        <f aca="false">IF(B3814&gt;=2,C3813,"")</f>
        <v>17</v>
      </c>
      <c r="E3814" s="33" t="n">
        <f aca="false">IF(B3814&gt;=5,AVERAGE(C3810:C3813),"")</f>
        <v>12.25</v>
      </c>
      <c r="F3814" s="33" t="n">
        <f aca="false">IF(B3814&gt;=9,AVERAGE(C3806:C3813),"")</f>
        <v>14</v>
      </c>
      <c r="G3814" s="33" t="n">
        <f aca="false">IF(B3814=1,"",IF(B3814=2,C3813,SES_Alpha*C3813+(1-SES_Alpha)*G3813))</f>
        <v>13.3987937318482</v>
      </c>
      <c r="H3814" s="33" t="n">
        <f aca="false">IF(D3814="","",D3814-C3814)</f>
        <v>11</v>
      </c>
      <c r="I3814" s="33" t="n">
        <f aca="false">IF(E3814="","",E3814-C3814)</f>
        <v>6.25</v>
      </c>
      <c r="J3814" s="33" t="n">
        <f aca="false">IF(F3814="","",F3814-C3814)</f>
        <v>8</v>
      </c>
      <c r="K3814" s="33" t="n">
        <f aca="false">IF(G3814="","",G3814-C3814)</f>
        <v>7.39879373184824</v>
      </c>
      <c r="L3814" s="33" t="n">
        <f aca="false">IF(H3814="","",ABS(H3814))</f>
        <v>11</v>
      </c>
      <c r="M3814" s="33" t="n">
        <f aca="false">IF(I3814="","",ABS(I3814))</f>
        <v>6.25</v>
      </c>
      <c r="N3814" s="33" t="n">
        <f aca="false">IF(J3814="","",ABS(J3814))</f>
        <v>8</v>
      </c>
      <c r="O3814" s="33" t="n">
        <f aca="false">IF(K3814="","",ABS(K3814))</f>
        <v>7.39879373184824</v>
      </c>
      <c r="P3814" s="34" t="str">
        <f aca="false">IF(B3814&gt;=Eval_Start_Week,"YES","")</f>
        <v>YES</v>
      </c>
      <c r="Q3814" s="34" t="str">
        <f aca="false">IF(AND(B3814&gt;=Cal_Start_Week,B3814&lt;=Cal_End_Week),"YES","")</f>
        <v>YES</v>
      </c>
    </row>
    <row r="3815" customFormat="false" ht="15" hidden="false" customHeight="false" outlineLevel="0" collapsed="false">
      <c r="A3815" s="31" t="str">
        <f aca="false">Demand_History!C3815</f>
        <v>ELE-008</v>
      </c>
      <c r="B3815" s="31" t="n">
        <f aca="false">Demand_History!A3815</f>
        <v>70</v>
      </c>
      <c r="C3815" s="32" t="n">
        <f aca="false">Demand_History!D3815</f>
        <v>16</v>
      </c>
      <c r="D3815" s="33" t="n">
        <f aca="false">IF(B3815&gt;=2,C3814,"")</f>
        <v>6</v>
      </c>
      <c r="E3815" s="33" t="n">
        <f aca="false">IF(B3815&gt;=5,AVERAGE(C3811:C3814),"")</f>
        <v>9.75</v>
      </c>
      <c r="F3815" s="33" t="n">
        <f aca="false">IF(B3815&gt;=9,AVERAGE(C3807:C3814),"")</f>
        <v>13</v>
      </c>
      <c r="G3815" s="33" t="n">
        <f aca="false">IF(B3815=1,"",IF(B3815=2,C3814,SES_Alpha*C3814+(1-SES_Alpha)*G3814))</f>
        <v>11.1791556122938</v>
      </c>
      <c r="H3815" s="33" t="n">
        <f aca="false">IF(D3815="","",D3815-C3815)</f>
        <v>-10</v>
      </c>
      <c r="I3815" s="33" t="n">
        <f aca="false">IF(E3815="","",E3815-C3815)</f>
        <v>-6.25</v>
      </c>
      <c r="J3815" s="33" t="n">
        <f aca="false">IF(F3815="","",F3815-C3815)</f>
        <v>-3</v>
      </c>
      <c r="K3815" s="33" t="n">
        <f aca="false">IF(G3815="","",G3815-C3815)</f>
        <v>-4.82084438770623</v>
      </c>
      <c r="L3815" s="33" t="n">
        <f aca="false">IF(H3815="","",ABS(H3815))</f>
        <v>10</v>
      </c>
      <c r="M3815" s="33" t="n">
        <f aca="false">IF(I3815="","",ABS(I3815))</f>
        <v>6.25</v>
      </c>
      <c r="N3815" s="33" t="n">
        <f aca="false">IF(J3815="","",ABS(J3815))</f>
        <v>3</v>
      </c>
      <c r="O3815" s="33" t="n">
        <f aca="false">IF(K3815="","",ABS(K3815))</f>
        <v>4.82084438770623</v>
      </c>
      <c r="P3815" s="34" t="str">
        <f aca="false">IF(B3815&gt;=Eval_Start_Week,"YES","")</f>
        <v>YES</v>
      </c>
      <c r="Q3815" s="34" t="str">
        <f aca="false">IF(AND(B3815&gt;=Cal_Start_Week,B3815&lt;=Cal_End_Week),"YES","")</f>
        <v>YES</v>
      </c>
    </row>
    <row r="3816" customFormat="false" ht="15" hidden="false" customHeight="false" outlineLevel="0" collapsed="false">
      <c r="A3816" s="31" t="str">
        <f aca="false">Demand_History!C3816</f>
        <v>ELE-008</v>
      </c>
      <c r="B3816" s="31" t="n">
        <f aca="false">Demand_History!A3816</f>
        <v>71</v>
      </c>
      <c r="C3816" s="32" t="n">
        <f aca="false">Demand_History!D3816</f>
        <v>11</v>
      </c>
      <c r="D3816" s="33" t="n">
        <f aca="false">IF(B3816&gt;=2,C3815,"")</f>
        <v>16</v>
      </c>
      <c r="E3816" s="33" t="n">
        <f aca="false">IF(B3816&gt;=5,AVERAGE(C3812:C3815),"")</f>
        <v>12</v>
      </c>
      <c r="F3816" s="33" t="n">
        <f aca="false">IF(B3816&gt;=9,AVERAGE(C3808:C3815),"")</f>
        <v>13.25</v>
      </c>
      <c r="G3816" s="33" t="n">
        <f aca="false">IF(B3816=1,"",IF(B3816=2,C3815,SES_Alpha*C3815+(1-SES_Alpha)*G3815))</f>
        <v>12.6254089286056</v>
      </c>
      <c r="H3816" s="33" t="n">
        <f aca="false">IF(D3816="","",D3816-C3816)</f>
        <v>5</v>
      </c>
      <c r="I3816" s="33" t="n">
        <f aca="false">IF(E3816="","",E3816-C3816)</f>
        <v>1</v>
      </c>
      <c r="J3816" s="33" t="n">
        <f aca="false">IF(F3816="","",F3816-C3816)</f>
        <v>2.25</v>
      </c>
      <c r="K3816" s="33" t="n">
        <f aca="false">IF(G3816="","",G3816-C3816)</f>
        <v>1.62540892860564</v>
      </c>
      <c r="L3816" s="33" t="n">
        <f aca="false">IF(H3816="","",ABS(H3816))</f>
        <v>5</v>
      </c>
      <c r="M3816" s="33" t="n">
        <f aca="false">IF(I3816="","",ABS(I3816))</f>
        <v>1</v>
      </c>
      <c r="N3816" s="33" t="n">
        <f aca="false">IF(J3816="","",ABS(J3816))</f>
        <v>2.25</v>
      </c>
      <c r="O3816" s="33" t="n">
        <f aca="false">IF(K3816="","",ABS(K3816))</f>
        <v>1.62540892860564</v>
      </c>
      <c r="P3816" s="34" t="str">
        <f aca="false">IF(B3816&gt;=Eval_Start_Week,"YES","")</f>
        <v>YES</v>
      </c>
      <c r="Q3816" s="34" t="str">
        <f aca="false">IF(AND(B3816&gt;=Cal_Start_Week,B3816&lt;=Cal_End_Week),"YES","")</f>
        <v>YES</v>
      </c>
    </row>
    <row r="3817" customFormat="false" ht="15" hidden="false" customHeight="false" outlineLevel="0" collapsed="false">
      <c r="A3817" s="31" t="str">
        <f aca="false">Demand_History!C3817</f>
        <v>ELE-008</v>
      </c>
      <c r="B3817" s="31" t="n">
        <f aca="false">Demand_History!A3817</f>
        <v>72</v>
      </c>
      <c r="C3817" s="32" t="n">
        <f aca="false">Demand_History!D3817</f>
        <v>10</v>
      </c>
      <c r="D3817" s="33" t="n">
        <f aca="false">IF(B3817&gt;=2,C3816,"")</f>
        <v>11</v>
      </c>
      <c r="E3817" s="33" t="n">
        <f aca="false">IF(B3817&gt;=5,AVERAGE(C3813:C3816),"")</f>
        <v>12.5</v>
      </c>
      <c r="F3817" s="33" t="n">
        <f aca="false">IF(B3817&gt;=9,AVERAGE(C3809:C3816),"")</f>
        <v>12.25</v>
      </c>
      <c r="G3817" s="33" t="n">
        <f aca="false">IF(B3817=1,"",IF(B3817=2,C3816,SES_Alpha*C3816+(1-SES_Alpha)*G3816))</f>
        <v>12.1377862500239</v>
      </c>
      <c r="H3817" s="33" t="n">
        <f aca="false">IF(D3817="","",D3817-C3817)</f>
        <v>1</v>
      </c>
      <c r="I3817" s="33" t="n">
        <f aca="false">IF(E3817="","",E3817-C3817)</f>
        <v>2.5</v>
      </c>
      <c r="J3817" s="33" t="n">
        <f aca="false">IF(F3817="","",F3817-C3817)</f>
        <v>2.25</v>
      </c>
      <c r="K3817" s="33" t="n">
        <f aca="false">IF(G3817="","",G3817-C3817)</f>
        <v>2.13778625002395</v>
      </c>
      <c r="L3817" s="33" t="n">
        <f aca="false">IF(H3817="","",ABS(H3817))</f>
        <v>1</v>
      </c>
      <c r="M3817" s="33" t="n">
        <f aca="false">IF(I3817="","",ABS(I3817))</f>
        <v>2.5</v>
      </c>
      <c r="N3817" s="33" t="n">
        <f aca="false">IF(J3817="","",ABS(J3817))</f>
        <v>2.25</v>
      </c>
      <c r="O3817" s="33" t="n">
        <f aca="false">IF(K3817="","",ABS(K3817))</f>
        <v>2.13778625002395</v>
      </c>
      <c r="P3817" s="34" t="str">
        <f aca="false">IF(B3817&gt;=Eval_Start_Week,"YES","")</f>
        <v>YES</v>
      </c>
      <c r="Q3817" s="34" t="str">
        <f aca="false">IF(AND(B3817&gt;=Cal_Start_Week,B3817&lt;=Cal_End_Week),"YES","")</f>
        <v>YES</v>
      </c>
    </row>
    <row r="3818" customFormat="false" ht="15" hidden="false" customHeight="false" outlineLevel="0" collapsed="false">
      <c r="A3818" s="31" t="str">
        <f aca="false">Demand_History!C3818</f>
        <v>ELE-008</v>
      </c>
      <c r="B3818" s="31" t="n">
        <f aca="false">Demand_History!A3818</f>
        <v>73</v>
      </c>
      <c r="C3818" s="32" t="n">
        <f aca="false">Demand_History!D3818</f>
        <v>19</v>
      </c>
      <c r="D3818" s="33" t="n">
        <f aca="false">IF(B3818&gt;=2,C3817,"")</f>
        <v>10</v>
      </c>
      <c r="E3818" s="33" t="n">
        <f aca="false">IF(B3818&gt;=5,AVERAGE(C3814:C3817),"")</f>
        <v>10.75</v>
      </c>
      <c r="F3818" s="33" t="n">
        <f aca="false">IF(B3818&gt;=9,AVERAGE(C3810:C3817),"")</f>
        <v>11.5</v>
      </c>
      <c r="G3818" s="33" t="n">
        <f aca="false">IF(B3818=1,"",IF(B3818=2,C3817,SES_Alpha*C3817+(1-SES_Alpha)*G3817))</f>
        <v>11.4964503750168</v>
      </c>
      <c r="H3818" s="33" t="n">
        <f aca="false">IF(D3818="","",D3818-C3818)</f>
        <v>-9</v>
      </c>
      <c r="I3818" s="33" t="n">
        <f aca="false">IF(E3818="","",E3818-C3818)</f>
        <v>-8.25</v>
      </c>
      <c r="J3818" s="33" t="n">
        <f aca="false">IF(F3818="","",F3818-C3818)</f>
        <v>-7.5</v>
      </c>
      <c r="K3818" s="33" t="n">
        <f aca="false">IF(G3818="","",G3818-C3818)</f>
        <v>-7.50354962498324</v>
      </c>
      <c r="L3818" s="33" t="n">
        <f aca="false">IF(H3818="","",ABS(H3818))</f>
        <v>9</v>
      </c>
      <c r="M3818" s="33" t="n">
        <f aca="false">IF(I3818="","",ABS(I3818))</f>
        <v>8.25</v>
      </c>
      <c r="N3818" s="33" t="n">
        <f aca="false">IF(J3818="","",ABS(J3818))</f>
        <v>7.5</v>
      </c>
      <c r="O3818" s="33" t="n">
        <f aca="false">IF(K3818="","",ABS(K3818))</f>
        <v>7.50354962498324</v>
      </c>
      <c r="P3818" s="34" t="str">
        <f aca="false">IF(B3818&gt;=Eval_Start_Week,"YES","")</f>
        <v>YES</v>
      </c>
      <c r="Q3818" s="34" t="str">
        <f aca="false">IF(AND(B3818&gt;=Cal_Start_Week,B3818&lt;=Cal_End_Week),"YES","")</f>
        <v>YES</v>
      </c>
    </row>
    <row r="3819" customFormat="false" ht="15" hidden="false" customHeight="false" outlineLevel="0" collapsed="false">
      <c r="A3819" s="31" t="str">
        <f aca="false">Demand_History!C3819</f>
        <v>ELE-008</v>
      </c>
      <c r="B3819" s="31" t="n">
        <f aca="false">Demand_History!A3819</f>
        <v>74</v>
      </c>
      <c r="C3819" s="32" t="n">
        <f aca="false">Demand_History!D3819</f>
        <v>11</v>
      </c>
      <c r="D3819" s="33" t="n">
        <f aca="false">IF(B3819&gt;=2,C3818,"")</f>
        <v>19</v>
      </c>
      <c r="E3819" s="33" t="n">
        <f aca="false">IF(B3819&gt;=5,AVERAGE(C3815:C3818),"")</f>
        <v>14</v>
      </c>
      <c r="F3819" s="33" t="n">
        <f aca="false">IF(B3819&gt;=9,AVERAGE(C3811:C3818),"")</f>
        <v>11.875</v>
      </c>
      <c r="G3819" s="33" t="n">
        <f aca="false">IF(B3819=1,"",IF(B3819=2,C3818,SES_Alpha*C3818+(1-SES_Alpha)*G3818))</f>
        <v>13.7475152625117</v>
      </c>
      <c r="H3819" s="33" t="n">
        <f aca="false">IF(D3819="","",D3819-C3819)</f>
        <v>8</v>
      </c>
      <c r="I3819" s="33" t="n">
        <f aca="false">IF(E3819="","",E3819-C3819)</f>
        <v>3</v>
      </c>
      <c r="J3819" s="33" t="n">
        <f aca="false">IF(F3819="","",F3819-C3819)</f>
        <v>0.875</v>
      </c>
      <c r="K3819" s="33" t="n">
        <f aca="false">IF(G3819="","",G3819-C3819)</f>
        <v>2.74751526251173</v>
      </c>
      <c r="L3819" s="33" t="n">
        <f aca="false">IF(H3819="","",ABS(H3819))</f>
        <v>8</v>
      </c>
      <c r="M3819" s="33" t="n">
        <f aca="false">IF(I3819="","",ABS(I3819))</f>
        <v>3</v>
      </c>
      <c r="N3819" s="33" t="n">
        <f aca="false">IF(J3819="","",ABS(J3819))</f>
        <v>0.875</v>
      </c>
      <c r="O3819" s="33" t="n">
        <f aca="false">IF(K3819="","",ABS(K3819))</f>
        <v>2.74751526251173</v>
      </c>
      <c r="P3819" s="34" t="str">
        <f aca="false">IF(B3819&gt;=Eval_Start_Week,"YES","")</f>
        <v>YES</v>
      </c>
      <c r="Q3819" s="34" t="str">
        <f aca="false">IF(AND(B3819&gt;=Cal_Start_Week,B3819&lt;=Cal_End_Week),"YES","")</f>
        <v>YES</v>
      </c>
    </row>
    <row r="3820" customFormat="false" ht="15" hidden="false" customHeight="false" outlineLevel="0" collapsed="false">
      <c r="A3820" s="31" t="str">
        <f aca="false">Demand_History!C3820</f>
        <v>ELE-008</v>
      </c>
      <c r="B3820" s="31" t="n">
        <f aca="false">Demand_History!A3820</f>
        <v>75</v>
      </c>
      <c r="C3820" s="32" t="n">
        <f aca="false">Demand_History!D3820</f>
        <v>10</v>
      </c>
      <c r="D3820" s="33" t="n">
        <f aca="false">IF(B3820&gt;=2,C3819,"")</f>
        <v>11</v>
      </c>
      <c r="E3820" s="33" t="n">
        <f aca="false">IF(B3820&gt;=5,AVERAGE(C3816:C3819),"")</f>
        <v>12.75</v>
      </c>
      <c r="F3820" s="33" t="n">
        <f aca="false">IF(B3820&gt;=9,AVERAGE(C3812:C3819),"")</f>
        <v>12.375</v>
      </c>
      <c r="G3820" s="33" t="n">
        <f aca="false">IF(B3820=1,"",IF(B3820=2,C3819,SES_Alpha*C3819+(1-SES_Alpha)*G3819))</f>
        <v>12.9232606837582</v>
      </c>
      <c r="H3820" s="33" t="n">
        <f aca="false">IF(D3820="","",D3820-C3820)</f>
        <v>1</v>
      </c>
      <c r="I3820" s="33" t="n">
        <f aca="false">IF(E3820="","",E3820-C3820)</f>
        <v>2.75</v>
      </c>
      <c r="J3820" s="33" t="n">
        <f aca="false">IF(F3820="","",F3820-C3820)</f>
        <v>2.375</v>
      </c>
      <c r="K3820" s="33" t="n">
        <f aca="false">IF(G3820="","",G3820-C3820)</f>
        <v>2.92326068375821</v>
      </c>
      <c r="L3820" s="33" t="n">
        <f aca="false">IF(H3820="","",ABS(H3820))</f>
        <v>1</v>
      </c>
      <c r="M3820" s="33" t="n">
        <f aca="false">IF(I3820="","",ABS(I3820))</f>
        <v>2.75</v>
      </c>
      <c r="N3820" s="33" t="n">
        <f aca="false">IF(J3820="","",ABS(J3820))</f>
        <v>2.375</v>
      </c>
      <c r="O3820" s="33" t="n">
        <f aca="false">IF(K3820="","",ABS(K3820))</f>
        <v>2.92326068375821</v>
      </c>
      <c r="P3820" s="34" t="str">
        <f aca="false">IF(B3820&gt;=Eval_Start_Week,"YES","")</f>
        <v>YES</v>
      </c>
      <c r="Q3820" s="34" t="str">
        <f aca="false">IF(AND(B3820&gt;=Cal_Start_Week,B3820&lt;=Cal_End_Week),"YES","")</f>
        <v>YES</v>
      </c>
    </row>
    <row r="3821" customFormat="false" ht="15" hidden="false" customHeight="false" outlineLevel="0" collapsed="false">
      <c r="A3821" s="31" t="str">
        <f aca="false">Demand_History!C3821</f>
        <v>ELE-008</v>
      </c>
      <c r="B3821" s="31" t="n">
        <f aca="false">Demand_History!A3821</f>
        <v>76</v>
      </c>
      <c r="C3821" s="32" t="n">
        <f aca="false">Demand_History!D3821</f>
        <v>11</v>
      </c>
      <c r="D3821" s="33" t="n">
        <f aca="false">IF(B3821&gt;=2,C3820,"")</f>
        <v>10</v>
      </c>
      <c r="E3821" s="33" t="n">
        <f aca="false">IF(B3821&gt;=5,AVERAGE(C3817:C3820),"")</f>
        <v>12.5</v>
      </c>
      <c r="F3821" s="33" t="n">
        <f aca="false">IF(B3821&gt;=9,AVERAGE(C3813:C3820),"")</f>
        <v>12.5</v>
      </c>
      <c r="G3821" s="33" t="n">
        <f aca="false">IF(B3821=1,"",IF(B3821=2,C3820,SES_Alpha*C3820+(1-SES_Alpha)*G3820))</f>
        <v>12.0462824786307</v>
      </c>
      <c r="H3821" s="33" t="n">
        <f aca="false">IF(D3821="","",D3821-C3821)</f>
        <v>-1</v>
      </c>
      <c r="I3821" s="33" t="n">
        <f aca="false">IF(E3821="","",E3821-C3821)</f>
        <v>1.5</v>
      </c>
      <c r="J3821" s="33" t="n">
        <f aca="false">IF(F3821="","",F3821-C3821)</f>
        <v>1.5</v>
      </c>
      <c r="K3821" s="33" t="n">
        <f aca="false">IF(G3821="","",G3821-C3821)</f>
        <v>1.04628247863075</v>
      </c>
      <c r="L3821" s="33" t="n">
        <f aca="false">IF(H3821="","",ABS(H3821))</f>
        <v>1</v>
      </c>
      <c r="M3821" s="33" t="n">
        <f aca="false">IF(I3821="","",ABS(I3821))</f>
        <v>1.5</v>
      </c>
      <c r="N3821" s="33" t="n">
        <f aca="false">IF(J3821="","",ABS(J3821))</f>
        <v>1.5</v>
      </c>
      <c r="O3821" s="33" t="n">
        <f aca="false">IF(K3821="","",ABS(K3821))</f>
        <v>1.04628247863075</v>
      </c>
      <c r="P3821" s="34" t="str">
        <f aca="false">IF(B3821&gt;=Eval_Start_Week,"YES","")</f>
        <v>YES</v>
      </c>
      <c r="Q3821" s="34" t="str">
        <f aca="false">IF(AND(B3821&gt;=Cal_Start_Week,B3821&lt;=Cal_End_Week),"YES","")</f>
        <v>YES</v>
      </c>
    </row>
    <row r="3822" customFormat="false" ht="15" hidden="false" customHeight="false" outlineLevel="0" collapsed="false">
      <c r="A3822" s="31" t="str">
        <f aca="false">Demand_History!C3822</f>
        <v>ELE-008</v>
      </c>
      <c r="B3822" s="31" t="n">
        <f aca="false">Demand_History!A3822</f>
        <v>77</v>
      </c>
      <c r="C3822" s="32" t="n">
        <f aca="false">Demand_History!D3822</f>
        <v>15</v>
      </c>
      <c r="D3822" s="33" t="n">
        <f aca="false">IF(B3822&gt;=2,C3821,"")</f>
        <v>11</v>
      </c>
      <c r="E3822" s="33" t="n">
        <f aca="false">IF(B3822&gt;=5,AVERAGE(C3818:C3821),"")</f>
        <v>12.75</v>
      </c>
      <c r="F3822" s="33" t="n">
        <f aca="false">IF(B3822&gt;=9,AVERAGE(C3814:C3821),"")</f>
        <v>11.75</v>
      </c>
      <c r="G3822" s="33" t="n">
        <f aca="false">IF(B3822=1,"",IF(B3822=2,C3821,SES_Alpha*C3821+(1-SES_Alpha)*G3821))</f>
        <v>11.7323977350415</v>
      </c>
      <c r="H3822" s="33" t="n">
        <f aca="false">IF(D3822="","",D3822-C3822)</f>
        <v>-4</v>
      </c>
      <c r="I3822" s="33" t="n">
        <f aca="false">IF(E3822="","",E3822-C3822)</f>
        <v>-2.25</v>
      </c>
      <c r="J3822" s="33" t="n">
        <f aca="false">IF(F3822="","",F3822-C3822)</f>
        <v>-3.25</v>
      </c>
      <c r="K3822" s="33" t="n">
        <f aca="false">IF(G3822="","",G3822-C3822)</f>
        <v>-3.26760226495848</v>
      </c>
      <c r="L3822" s="33" t="n">
        <f aca="false">IF(H3822="","",ABS(H3822))</f>
        <v>4</v>
      </c>
      <c r="M3822" s="33" t="n">
        <f aca="false">IF(I3822="","",ABS(I3822))</f>
        <v>2.25</v>
      </c>
      <c r="N3822" s="33" t="n">
        <f aca="false">IF(J3822="","",ABS(J3822))</f>
        <v>3.25</v>
      </c>
      <c r="O3822" s="33" t="n">
        <f aca="false">IF(K3822="","",ABS(K3822))</f>
        <v>3.26760226495848</v>
      </c>
      <c r="P3822" s="34" t="str">
        <f aca="false">IF(B3822&gt;=Eval_Start_Week,"YES","")</f>
        <v>YES</v>
      </c>
      <c r="Q3822" s="34" t="str">
        <f aca="false">IF(AND(B3822&gt;=Cal_Start_Week,B3822&lt;=Cal_End_Week),"YES","")</f>
        <v>YES</v>
      </c>
    </row>
    <row r="3823" customFormat="false" ht="15" hidden="false" customHeight="false" outlineLevel="0" collapsed="false">
      <c r="A3823" s="31" t="str">
        <f aca="false">Demand_History!C3823</f>
        <v>ELE-008</v>
      </c>
      <c r="B3823" s="31" t="n">
        <f aca="false">Demand_History!A3823</f>
        <v>78</v>
      </c>
      <c r="C3823" s="32" t="n">
        <f aca="false">Demand_History!D3823</f>
        <v>30</v>
      </c>
      <c r="D3823" s="33" t="n">
        <f aca="false">IF(B3823&gt;=2,C3822,"")</f>
        <v>15</v>
      </c>
      <c r="E3823" s="33" t="n">
        <f aca="false">IF(B3823&gt;=5,AVERAGE(C3819:C3822),"")</f>
        <v>11.75</v>
      </c>
      <c r="F3823" s="33" t="n">
        <f aca="false">IF(B3823&gt;=9,AVERAGE(C3815:C3822),"")</f>
        <v>12.875</v>
      </c>
      <c r="G3823" s="33" t="n">
        <f aca="false">IF(B3823=1,"",IF(B3823=2,C3822,SES_Alpha*C3822+(1-SES_Alpha)*G3822))</f>
        <v>12.7126784145291</v>
      </c>
      <c r="H3823" s="33" t="n">
        <f aca="false">IF(D3823="","",D3823-C3823)</f>
        <v>-15</v>
      </c>
      <c r="I3823" s="33" t="n">
        <f aca="false">IF(E3823="","",E3823-C3823)</f>
        <v>-18.25</v>
      </c>
      <c r="J3823" s="33" t="n">
        <f aca="false">IF(F3823="","",F3823-C3823)</f>
        <v>-17.125</v>
      </c>
      <c r="K3823" s="33" t="n">
        <f aca="false">IF(G3823="","",G3823-C3823)</f>
        <v>-17.2873215854709</v>
      </c>
      <c r="L3823" s="33" t="n">
        <f aca="false">IF(H3823="","",ABS(H3823))</f>
        <v>15</v>
      </c>
      <c r="M3823" s="33" t="n">
        <f aca="false">IF(I3823="","",ABS(I3823))</f>
        <v>18.25</v>
      </c>
      <c r="N3823" s="33" t="n">
        <f aca="false">IF(J3823="","",ABS(J3823))</f>
        <v>17.125</v>
      </c>
      <c r="O3823" s="33" t="n">
        <f aca="false">IF(K3823="","",ABS(K3823))</f>
        <v>17.2873215854709</v>
      </c>
      <c r="P3823" s="34" t="str">
        <f aca="false">IF(B3823&gt;=Eval_Start_Week,"YES","")</f>
        <v>YES</v>
      </c>
      <c r="Q3823" s="34" t="str">
        <f aca="false">IF(AND(B3823&gt;=Cal_Start_Week,B3823&lt;=Cal_End_Week),"YES","")</f>
        <v>YES</v>
      </c>
    </row>
    <row r="3824" customFormat="false" ht="15" hidden="false" customHeight="false" outlineLevel="0" collapsed="false">
      <c r="A3824" s="31" t="str">
        <f aca="false">Demand_History!C3824</f>
        <v>ELE-008</v>
      </c>
      <c r="B3824" s="31" t="n">
        <f aca="false">Demand_History!A3824</f>
        <v>79</v>
      </c>
      <c r="C3824" s="32" t="n">
        <f aca="false">Demand_History!D3824</f>
        <v>3</v>
      </c>
      <c r="D3824" s="33" t="n">
        <f aca="false">IF(B3824&gt;=2,C3823,"")</f>
        <v>30</v>
      </c>
      <c r="E3824" s="33" t="n">
        <f aca="false">IF(B3824&gt;=5,AVERAGE(C3820:C3823),"")</f>
        <v>16.5</v>
      </c>
      <c r="F3824" s="33" t="n">
        <f aca="false">IF(B3824&gt;=9,AVERAGE(C3816:C3823),"")</f>
        <v>14.625</v>
      </c>
      <c r="G3824" s="33" t="n">
        <f aca="false">IF(B3824=1,"",IF(B3824=2,C3823,SES_Alpha*C3823+(1-SES_Alpha)*G3823))</f>
        <v>17.8988748901703</v>
      </c>
      <c r="H3824" s="33" t="n">
        <f aca="false">IF(D3824="","",D3824-C3824)</f>
        <v>27</v>
      </c>
      <c r="I3824" s="33" t="n">
        <f aca="false">IF(E3824="","",E3824-C3824)</f>
        <v>13.5</v>
      </c>
      <c r="J3824" s="33" t="n">
        <f aca="false">IF(F3824="","",F3824-C3824)</f>
        <v>11.625</v>
      </c>
      <c r="K3824" s="33" t="n">
        <f aca="false">IF(G3824="","",G3824-C3824)</f>
        <v>14.8988748901703</v>
      </c>
      <c r="L3824" s="33" t="n">
        <f aca="false">IF(H3824="","",ABS(H3824))</f>
        <v>27</v>
      </c>
      <c r="M3824" s="33" t="n">
        <f aca="false">IF(I3824="","",ABS(I3824))</f>
        <v>13.5</v>
      </c>
      <c r="N3824" s="33" t="n">
        <f aca="false">IF(J3824="","",ABS(J3824))</f>
        <v>11.625</v>
      </c>
      <c r="O3824" s="33" t="n">
        <f aca="false">IF(K3824="","",ABS(K3824))</f>
        <v>14.8988748901703</v>
      </c>
      <c r="P3824" s="34" t="str">
        <f aca="false">IF(B3824&gt;=Eval_Start_Week,"YES","")</f>
        <v>YES</v>
      </c>
      <c r="Q3824" s="34" t="str">
        <f aca="false">IF(AND(B3824&gt;=Cal_Start_Week,B3824&lt;=Cal_End_Week),"YES","")</f>
        <v>YES</v>
      </c>
    </row>
    <row r="3825" customFormat="false" ht="15" hidden="false" customHeight="false" outlineLevel="0" collapsed="false">
      <c r="A3825" s="31" t="str">
        <f aca="false">Demand_History!C3825</f>
        <v>ELE-008</v>
      </c>
      <c r="B3825" s="31" t="n">
        <f aca="false">Demand_History!A3825</f>
        <v>80</v>
      </c>
      <c r="C3825" s="32" t="n">
        <f aca="false">Demand_History!D3825</f>
        <v>15</v>
      </c>
      <c r="D3825" s="33" t="n">
        <f aca="false">IF(B3825&gt;=2,C3824,"")</f>
        <v>3</v>
      </c>
      <c r="E3825" s="33" t="n">
        <f aca="false">IF(B3825&gt;=5,AVERAGE(C3821:C3824),"")</f>
        <v>14.75</v>
      </c>
      <c r="F3825" s="33" t="n">
        <f aca="false">IF(B3825&gt;=9,AVERAGE(C3817:C3824),"")</f>
        <v>13.625</v>
      </c>
      <c r="G3825" s="33" t="n">
        <f aca="false">IF(B3825=1,"",IF(B3825=2,C3824,SES_Alpha*C3824+(1-SES_Alpha)*G3824))</f>
        <v>13.4292124231192</v>
      </c>
      <c r="H3825" s="33" t="n">
        <f aca="false">IF(D3825="","",D3825-C3825)</f>
        <v>-12</v>
      </c>
      <c r="I3825" s="33" t="n">
        <f aca="false">IF(E3825="","",E3825-C3825)</f>
        <v>-0.25</v>
      </c>
      <c r="J3825" s="33" t="n">
        <f aca="false">IF(F3825="","",F3825-C3825)</f>
        <v>-1.375</v>
      </c>
      <c r="K3825" s="33" t="n">
        <f aca="false">IF(G3825="","",G3825-C3825)</f>
        <v>-1.57078757688076</v>
      </c>
      <c r="L3825" s="33" t="n">
        <f aca="false">IF(H3825="","",ABS(H3825))</f>
        <v>12</v>
      </c>
      <c r="M3825" s="33" t="n">
        <f aca="false">IF(I3825="","",ABS(I3825))</f>
        <v>0.25</v>
      </c>
      <c r="N3825" s="33" t="n">
        <f aca="false">IF(J3825="","",ABS(J3825))</f>
        <v>1.375</v>
      </c>
      <c r="O3825" s="33" t="n">
        <f aca="false">IF(K3825="","",ABS(K3825))</f>
        <v>1.57078757688076</v>
      </c>
      <c r="P3825" s="34" t="str">
        <f aca="false">IF(B3825&gt;=Eval_Start_Week,"YES","")</f>
        <v>YES</v>
      </c>
      <c r="Q3825" s="34" t="str">
        <f aca="false">IF(AND(B3825&gt;=Cal_Start_Week,B3825&lt;=Cal_End_Week),"YES","")</f>
        <v>YES</v>
      </c>
    </row>
    <row r="3826" customFormat="false" ht="15" hidden="false" customHeight="false" outlineLevel="0" collapsed="false">
      <c r="A3826" s="31" t="str">
        <f aca="false">Demand_History!C3826</f>
        <v>ELE-008</v>
      </c>
      <c r="B3826" s="31" t="n">
        <f aca="false">Demand_History!A3826</f>
        <v>81</v>
      </c>
      <c r="C3826" s="32" t="n">
        <f aca="false">Demand_History!D3826</f>
        <v>14</v>
      </c>
      <c r="D3826" s="33" t="n">
        <f aca="false">IF(B3826&gt;=2,C3825,"")</f>
        <v>15</v>
      </c>
      <c r="E3826" s="33" t="n">
        <f aca="false">IF(B3826&gt;=5,AVERAGE(C3822:C3825),"")</f>
        <v>15.75</v>
      </c>
      <c r="F3826" s="33" t="n">
        <f aca="false">IF(B3826&gt;=9,AVERAGE(C3818:C3825),"")</f>
        <v>14.25</v>
      </c>
      <c r="G3826" s="33" t="n">
        <f aca="false">IF(B3826=1,"",IF(B3826=2,C3825,SES_Alpha*C3825+(1-SES_Alpha)*G3825))</f>
        <v>13.9004486961835</v>
      </c>
      <c r="H3826" s="33" t="n">
        <f aca="false">IF(D3826="","",D3826-C3826)</f>
        <v>1</v>
      </c>
      <c r="I3826" s="33" t="n">
        <f aca="false">IF(E3826="","",E3826-C3826)</f>
        <v>1.75</v>
      </c>
      <c r="J3826" s="33" t="n">
        <f aca="false">IF(F3826="","",F3826-C3826)</f>
        <v>0.25</v>
      </c>
      <c r="K3826" s="33" t="n">
        <f aca="false">IF(G3826="","",G3826-C3826)</f>
        <v>-0.099551303816531</v>
      </c>
      <c r="L3826" s="33" t="n">
        <f aca="false">IF(H3826="","",ABS(H3826))</f>
        <v>1</v>
      </c>
      <c r="M3826" s="33" t="n">
        <f aca="false">IF(I3826="","",ABS(I3826))</f>
        <v>1.75</v>
      </c>
      <c r="N3826" s="33" t="n">
        <f aca="false">IF(J3826="","",ABS(J3826))</f>
        <v>0.25</v>
      </c>
      <c r="O3826" s="33" t="n">
        <f aca="false">IF(K3826="","",ABS(K3826))</f>
        <v>0.099551303816531</v>
      </c>
      <c r="P3826" s="34" t="str">
        <f aca="false">IF(B3826&gt;=Eval_Start_Week,"YES","")</f>
        <v>YES</v>
      </c>
      <c r="Q3826" s="34" t="str">
        <f aca="false">IF(AND(B3826&gt;=Cal_Start_Week,B3826&lt;=Cal_End_Week),"YES","")</f>
        <v>YES</v>
      </c>
    </row>
    <row r="3827" customFormat="false" ht="15" hidden="false" customHeight="false" outlineLevel="0" collapsed="false">
      <c r="A3827" s="31" t="str">
        <f aca="false">Demand_History!C3827</f>
        <v>ELE-008</v>
      </c>
      <c r="B3827" s="31" t="n">
        <f aca="false">Demand_History!A3827</f>
        <v>82</v>
      </c>
      <c r="C3827" s="32" t="n">
        <f aca="false">Demand_History!D3827</f>
        <v>20</v>
      </c>
      <c r="D3827" s="33" t="n">
        <f aca="false">IF(B3827&gt;=2,C3826,"")</f>
        <v>14</v>
      </c>
      <c r="E3827" s="33" t="n">
        <f aca="false">IF(B3827&gt;=5,AVERAGE(C3823:C3826),"")</f>
        <v>15.5</v>
      </c>
      <c r="F3827" s="33" t="n">
        <f aca="false">IF(B3827&gt;=9,AVERAGE(C3819:C3826),"")</f>
        <v>13.625</v>
      </c>
      <c r="G3827" s="33" t="n">
        <f aca="false">IF(B3827=1,"",IF(B3827=2,C3826,SES_Alpha*C3826+(1-SES_Alpha)*G3826))</f>
        <v>13.9303140873284</v>
      </c>
      <c r="H3827" s="33" t="n">
        <f aca="false">IF(D3827="","",D3827-C3827)</f>
        <v>-6</v>
      </c>
      <c r="I3827" s="33" t="n">
        <f aca="false">IF(E3827="","",E3827-C3827)</f>
        <v>-4.5</v>
      </c>
      <c r="J3827" s="33" t="n">
        <f aca="false">IF(F3827="","",F3827-C3827)</f>
        <v>-6.375</v>
      </c>
      <c r="K3827" s="33" t="n">
        <f aca="false">IF(G3827="","",G3827-C3827)</f>
        <v>-6.06968591267157</v>
      </c>
      <c r="L3827" s="33" t="n">
        <f aca="false">IF(H3827="","",ABS(H3827))</f>
        <v>6</v>
      </c>
      <c r="M3827" s="33" t="n">
        <f aca="false">IF(I3827="","",ABS(I3827))</f>
        <v>4.5</v>
      </c>
      <c r="N3827" s="33" t="n">
        <f aca="false">IF(J3827="","",ABS(J3827))</f>
        <v>6.375</v>
      </c>
      <c r="O3827" s="33" t="n">
        <f aca="false">IF(K3827="","",ABS(K3827))</f>
        <v>6.06968591267157</v>
      </c>
      <c r="P3827" s="34" t="str">
        <f aca="false">IF(B3827&gt;=Eval_Start_Week,"YES","")</f>
        <v>YES</v>
      </c>
      <c r="Q3827" s="34" t="str">
        <f aca="false">IF(AND(B3827&gt;=Cal_Start_Week,B3827&lt;=Cal_End_Week),"YES","")</f>
        <v>YES</v>
      </c>
    </row>
    <row r="3828" customFormat="false" ht="15" hidden="false" customHeight="false" outlineLevel="0" collapsed="false">
      <c r="A3828" s="31" t="str">
        <f aca="false">Demand_History!C3828</f>
        <v>ELE-008</v>
      </c>
      <c r="B3828" s="31" t="n">
        <f aca="false">Demand_History!A3828</f>
        <v>83</v>
      </c>
      <c r="C3828" s="32" t="n">
        <f aca="false">Demand_History!D3828</f>
        <v>13</v>
      </c>
      <c r="D3828" s="33" t="n">
        <f aca="false">IF(B3828&gt;=2,C3827,"")</f>
        <v>20</v>
      </c>
      <c r="E3828" s="33" t="n">
        <f aca="false">IF(B3828&gt;=5,AVERAGE(C3824:C3827),"")</f>
        <v>13</v>
      </c>
      <c r="F3828" s="33" t="n">
        <f aca="false">IF(B3828&gt;=9,AVERAGE(C3820:C3827),"")</f>
        <v>14.75</v>
      </c>
      <c r="G3828" s="33" t="n">
        <f aca="false">IF(B3828=1,"",IF(B3828=2,C3827,SES_Alpha*C3827+(1-SES_Alpha)*G3827))</f>
        <v>15.7512198611299</v>
      </c>
      <c r="H3828" s="33" t="n">
        <f aca="false">IF(D3828="","",D3828-C3828)</f>
        <v>7</v>
      </c>
      <c r="I3828" s="33" t="n">
        <f aca="false">IF(E3828="","",E3828-C3828)</f>
        <v>0</v>
      </c>
      <c r="J3828" s="33" t="n">
        <f aca="false">IF(F3828="","",F3828-C3828)</f>
        <v>1.75</v>
      </c>
      <c r="K3828" s="33" t="n">
        <f aca="false">IF(G3828="","",G3828-C3828)</f>
        <v>2.7512198611299</v>
      </c>
      <c r="L3828" s="33" t="n">
        <f aca="false">IF(H3828="","",ABS(H3828))</f>
        <v>7</v>
      </c>
      <c r="M3828" s="33" t="n">
        <f aca="false">IF(I3828="","",ABS(I3828))</f>
        <v>0</v>
      </c>
      <c r="N3828" s="33" t="n">
        <f aca="false">IF(J3828="","",ABS(J3828))</f>
        <v>1.75</v>
      </c>
      <c r="O3828" s="33" t="n">
        <f aca="false">IF(K3828="","",ABS(K3828))</f>
        <v>2.7512198611299</v>
      </c>
      <c r="P3828" s="34" t="str">
        <f aca="false">IF(B3828&gt;=Eval_Start_Week,"YES","")</f>
        <v>YES</v>
      </c>
      <c r="Q3828" s="34" t="str">
        <f aca="false">IF(AND(B3828&gt;=Cal_Start_Week,B3828&lt;=Cal_End_Week),"YES","")</f>
        <v>YES</v>
      </c>
    </row>
    <row r="3829" customFormat="false" ht="15" hidden="false" customHeight="false" outlineLevel="0" collapsed="false">
      <c r="A3829" s="31" t="str">
        <f aca="false">Demand_History!C3829</f>
        <v>ELE-008</v>
      </c>
      <c r="B3829" s="31" t="n">
        <f aca="false">Demand_History!A3829</f>
        <v>84</v>
      </c>
      <c r="C3829" s="32" t="n">
        <f aca="false">Demand_History!D3829</f>
        <v>1</v>
      </c>
      <c r="D3829" s="33" t="n">
        <f aca="false">IF(B3829&gt;=2,C3828,"")</f>
        <v>13</v>
      </c>
      <c r="E3829" s="33" t="n">
        <f aca="false">IF(B3829&gt;=5,AVERAGE(C3825:C3828),"")</f>
        <v>15.5</v>
      </c>
      <c r="F3829" s="33" t="n">
        <f aca="false">IF(B3829&gt;=9,AVERAGE(C3821:C3828),"")</f>
        <v>15.125</v>
      </c>
      <c r="G3829" s="33" t="n">
        <f aca="false">IF(B3829=1,"",IF(B3829=2,C3828,SES_Alpha*C3828+(1-SES_Alpha)*G3828))</f>
        <v>14.9258539027909</v>
      </c>
      <c r="H3829" s="33" t="n">
        <f aca="false">IF(D3829="","",D3829-C3829)</f>
        <v>12</v>
      </c>
      <c r="I3829" s="33" t="n">
        <f aca="false">IF(E3829="","",E3829-C3829)</f>
        <v>14.5</v>
      </c>
      <c r="J3829" s="33" t="n">
        <f aca="false">IF(F3829="","",F3829-C3829)</f>
        <v>14.125</v>
      </c>
      <c r="K3829" s="33" t="n">
        <f aca="false">IF(G3829="","",G3829-C3829)</f>
        <v>13.9258539027909</v>
      </c>
      <c r="L3829" s="33" t="n">
        <f aca="false">IF(H3829="","",ABS(H3829))</f>
        <v>12</v>
      </c>
      <c r="M3829" s="33" t="n">
        <f aca="false">IF(I3829="","",ABS(I3829))</f>
        <v>14.5</v>
      </c>
      <c r="N3829" s="33" t="n">
        <f aca="false">IF(J3829="","",ABS(J3829))</f>
        <v>14.125</v>
      </c>
      <c r="O3829" s="33" t="n">
        <f aca="false">IF(K3829="","",ABS(K3829))</f>
        <v>13.9258539027909</v>
      </c>
      <c r="P3829" s="34" t="str">
        <f aca="false">IF(B3829&gt;=Eval_Start_Week,"YES","")</f>
        <v>YES</v>
      </c>
      <c r="Q3829" s="34" t="str">
        <f aca="false">IF(AND(B3829&gt;=Cal_Start_Week,B3829&lt;=Cal_End_Week),"YES","")</f>
        <v>YES</v>
      </c>
    </row>
    <row r="3830" customFormat="false" ht="15" hidden="false" customHeight="false" outlineLevel="0" collapsed="false">
      <c r="A3830" s="31" t="str">
        <f aca="false">Demand_History!C3830</f>
        <v>ELE-008</v>
      </c>
      <c r="B3830" s="31" t="n">
        <f aca="false">Demand_History!A3830</f>
        <v>85</v>
      </c>
      <c r="C3830" s="32" t="n">
        <f aca="false">Demand_History!D3830</f>
        <v>22</v>
      </c>
      <c r="D3830" s="33" t="n">
        <f aca="false">IF(B3830&gt;=2,C3829,"")</f>
        <v>1</v>
      </c>
      <c r="E3830" s="33" t="n">
        <f aca="false">IF(B3830&gt;=5,AVERAGE(C3826:C3829),"")</f>
        <v>12</v>
      </c>
      <c r="F3830" s="33" t="n">
        <f aca="false">IF(B3830&gt;=9,AVERAGE(C3822:C3829),"")</f>
        <v>13.875</v>
      </c>
      <c r="G3830" s="33" t="n">
        <f aca="false">IF(B3830=1,"",IF(B3830=2,C3829,SES_Alpha*C3829+(1-SES_Alpha)*G3829))</f>
        <v>10.7480977319537</v>
      </c>
      <c r="H3830" s="33" t="n">
        <f aca="false">IF(D3830="","",D3830-C3830)</f>
        <v>-21</v>
      </c>
      <c r="I3830" s="33" t="n">
        <f aca="false">IF(E3830="","",E3830-C3830)</f>
        <v>-10</v>
      </c>
      <c r="J3830" s="33" t="n">
        <f aca="false">IF(F3830="","",F3830-C3830)</f>
        <v>-8.125</v>
      </c>
      <c r="K3830" s="33" t="n">
        <f aca="false">IF(G3830="","",G3830-C3830)</f>
        <v>-11.2519022680464</v>
      </c>
      <c r="L3830" s="33" t="n">
        <f aca="false">IF(H3830="","",ABS(H3830))</f>
        <v>21</v>
      </c>
      <c r="M3830" s="33" t="n">
        <f aca="false">IF(I3830="","",ABS(I3830))</f>
        <v>10</v>
      </c>
      <c r="N3830" s="33" t="n">
        <f aca="false">IF(J3830="","",ABS(J3830))</f>
        <v>8.125</v>
      </c>
      <c r="O3830" s="33" t="n">
        <f aca="false">IF(K3830="","",ABS(K3830))</f>
        <v>11.2519022680464</v>
      </c>
      <c r="P3830" s="34" t="str">
        <f aca="false">IF(B3830&gt;=Eval_Start_Week,"YES","")</f>
        <v>YES</v>
      </c>
      <c r="Q3830" s="34" t="str">
        <f aca="false">IF(AND(B3830&gt;=Cal_Start_Week,B3830&lt;=Cal_End_Week),"YES","")</f>
        <v>YES</v>
      </c>
    </row>
    <row r="3831" customFormat="false" ht="15" hidden="false" customHeight="false" outlineLevel="0" collapsed="false">
      <c r="A3831" s="31" t="str">
        <f aca="false">Demand_History!C3831</f>
        <v>ELE-008</v>
      </c>
      <c r="B3831" s="31" t="n">
        <f aca="false">Demand_History!A3831</f>
        <v>86</v>
      </c>
      <c r="C3831" s="32" t="n">
        <f aca="false">Demand_History!D3831</f>
        <v>9</v>
      </c>
      <c r="D3831" s="33" t="n">
        <f aca="false">IF(B3831&gt;=2,C3830,"")</f>
        <v>22</v>
      </c>
      <c r="E3831" s="33" t="n">
        <f aca="false">IF(B3831&gt;=5,AVERAGE(C3827:C3830),"")</f>
        <v>14</v>
      </c>
      <c r="F3831" s="33" t="n">
        <f aca="false">IF(B3831&gt;=9,AVERAGE(C3823:C3830),"")</f>
        <v>14.75</v>
      </c>
      <c r="G3831" s="33" t="n">
        <f aca="false">IF(B3831=1,"",IF(B3831=2,C3830,SES_Alpha*C3830+(1-SES_Alpha)*G3830))</f>
        <v>14.1236684123676</v>
      </c>
      <c r="H3831" s="33" t="n">
        <f aca="false">IF(D3831="","",D3831-C3831)</f>
        <v>13</v>
      </c>
      <c r="I3831" s="33" t="n">
        <f aca="false">IF(E3831="","",E3831-C3831)</f>
        <v>5</v>
      </c>
      <c r="J3831" s="33" t="n">
        <f aca="false">IF(F3831="","",F3831-C3831)</f>
        <v>5.75</v>
      </c>
      <c r="K3831" s="33" t="n">
        <f aca="false">IF(G3831="","",G3831-C3831)</f>
        <v>5.12366841236755</v>
      </c>
      <c r="L3831" s="33" t="n">
        <f aca="false">IF(H3831="","",ABS(H3831))</f>
        <v>13</v>
      </c>
      <c r="M3831" s="33" t="n">
        <f aca="false">IF(I3831="","",ABS(I3831))</f>
        <v>5</v>
      </c>
      <c r="N3831" s="33" t="n">
        <f aca="false">IF(J3831="","",ABS(J3831))</f>
        <v>5.75</v>
      </c>
      <c r="O3831" s="33" t="n">
        <f aca="false">IF(K3831="","",ABS(K3831))</f>
        <v>5.12366841236755</v>
      </c>
      <c r="P3831" s="34" t="str">
        <f aca="false">IF(B3831&gt;=Eval_Start_Week,"YES","")</f>
        <v>YES</v>
      </c>
      <c r="Q3831" s="34" t="str">
        <f aca="false">IF(AND(B3831&gt;=Cal_Start_Week,B3831&lt;=Cal_End_Week),"YES","")</f>
        <v>YES</v>
      </c>
    </row>
    <row r="3832" customFormat="false" ht="15" hidden="false" customHeight="false" outlineLevel="0" collapsed="false">
      <c r="A3832" s="31" t="str">
        <f aca="false">Demand_History!C3832</f>
        <v>ELE-008</v>
      </c>
      <c r="B3832" s="31" t="n">
        <f aca="false">Demand_History!A3832</f>
        <v>87</v>
      </c>
      <c r="C3832" s="32" t="n">
        <f aca="false">Demand_History!D3832</f>
        <v>15</v>
      </c>
      <c r="D3832" s="33" t="n">
        <f aca="false">IF(B3832&gt;=2,C3831,"")</f>
        <v>9</v>
      </c>
      <c r="E3832" s="33" t="n">
        <f aca="false">IF(B3832&gt;=5,AVERAGE(C3828:C3831),"")</f>
        <v>11.25</v>
      </c>
      <c r="F3832" s="33" t="n">
        <f aca="false">IF(B3832&gt;=9,AVERAGE(C3824:C3831),"")</f>
        <v>12.125</v>
      </c>
      <c r="G3832" s="33" t="n">
        <f aca="false">IF(B3832=1,"",IF(B3832=2,C3831,SES_Alpha*C3831+(1-SES_Alpha)*G3831))</f>
        <v>12.5865678886573</v>
      </c>
      <c r="H3832" s="33" t="n">
        <f aca="false">IF(D3832="","",D3832-C3832)</f>
        <v>-6</v>
      </c>
      <c r="I3832" s="33" t="n">
        <f aca="false">IF(E3832="","",E3832-C3832)</f>
        <v>-3.75</v>
      </c>
      <c r="J3832" s="33" t="n">
        <f aca="false">IF(F3832="","",F3832-C3832)</f>
        <v>-2.875</v>
      </c>
      <c r="K3832" s="33" t="n">
        <f aca="false">IF(G3832="","",G3832-C3832)</f>
        <v>-2.41343211134271</v>
      </c>
      <c r="L3832" s="33" t="n">
        <f aca="false">IF(H3832="","",ABS(H3832))</f>
        <v>6</v>
      </c>
      <c r="M3832" s="33" t="n">
        <f aca="false">IF(I3832="","",ABS(I3832))</f>
        <v>3.75</v>
      </c>
      <c r="N3832" s="33" t="n">
        <f aca="false">IF(J3832="","",ABS(J3832))</f>
        <v>2.875</v>
      </c>
      <c r="O3832" s="33" t="n">
        <f aca="false">IF(K3832="","",ABS(K3832))</f>
        <v>2.41343211134271</v>
      </c>
      <c r="P3832" s="34" t="str">
        <f aca="false">IF(B3832&gt;=Eval_Start_Week,"YES","")</f>
        <v>YES</v>
      </c>
      <c r="Q3832" s="34" t="str">
        <f aca="false">IF(AND(B3832&gt;=Cal_Start_Week,B3832&lt;=Cal_End_Week),"YES","")</f>
        <v>YES</v>
      </c>
    </row>
    <row r="3833" customFormat="false" ht="15" hidden="false" customHeight="false" outlineLevel="0" collapsed="false">
      <c r="A3833" s="31" t="str">
        <f aca="false">Demand_History!C3833</f>
        <v>ELE-008</v>
      </c>
      <c r="B3833" s="31" t="n">
        <f aca="false">Demand_History!A3833</f>
        <v>88</v>
      </c>
      <c r="C3833" s="32" t="n">
        <f aca="false">Demand_History!D3833</f>
        <v>7</v>
      </c>
      <c r="D3833" s="33" t="n">
        <f aca="false">IF(B3833&gt;=2,C3832,"")</f>
        <v>15</v>
      </c>
      <c r="E3833" s="33" t="n">
        <f aca="false">IF(B3833&gt;=5,AVERAGE(C3829:C3832),"")</f>
        <v>11.75</v>
      </c>
      <c r="F3833" s="33" t="n">
        <f aca="false">IF(B3833&gt;=9,AVERAGE(C3825:C3832),"")</f>
        <v>13.625</v>
      </c>
      <c r="G3833" s="33" t="n">
        <f aca="false">IF(B3833=1,"",IF(B3833=2,C3832,SES_Alpha*C3832+(1-SES_Alpha)*G3832))</f>
        <v>13.3105975220601</v>
      </c>
      <c r="H3833" s="33" t="n">
        <f aca="false">IF(D3833="","",D3833-C3833)</f>
        <v>8</v>
      </c>
      <c r="I3833" s="33" t="n">
        <f aca="false">IF(E3833="","",E3833-C3833)</f>
        <v>4.75</v>
      </c>
      <c r="J3833" s="33" t="n">
        <f aca="false">IF(F3833="","",F3833-C3833)</f>
        <v>6.625</v>
      </c>
      <c r="K3833" s="33" t="n">
        <f aca="false">IF(G3833="","",G3833-C3833)</f>
        <v>6.3105975220601</v>
      </c>
      <c r="L3833" s="33" t="n">
        <f aca="false">IF(H3833="","",ABS(H3833))</f>
        <v>8</v>
      </c>
      <c r="M3833" s="33" t="n">
        <f aca="false">IF(I3833="","",ABS(I3833))</f>
        <v>4.75</v>
      </c>
      <c r="N3833" s="33" t="n">
        <f aca="false">IF(J3833="","",ABS(J3833))</f>
        <v>6.625</v>
      </c>
      <c r="O3833" s="33" t="n">
        <f aca="false">IF(K3833="","",ABS(K3833))</f>
        <v>6.3105975220601</v>
      </c>
      <c r="P3833" s="34" t="str">
        <f aca="false">IF(B3833&gt;=Eval_Start_Week,"YES","")</f>
        <v>YES</v>
      </c>
      <c r="Q3833" s="34" t="str">
        <f aca="false">IF(AND(B3833&gt;=Cal_Start_Week,B3833&lt;=Cal_End_Week),"YES","")</f>
        <v>YES</v>
      </c>
    </row>
    <row r="3834" customFormat="false" ht="15" hidden="false" customHeight="false" outlineLevel="0" collapsed="false">
      <c r="A3834" s="31" t="str">
        <f aca="false">Demand_History!C3834</f>
        <v>ELE-008</v>
      </c>
      <c r="B3834" s="31" t="n">
        <f aca="false">Demand_History!A3834</f>
        <v>89</v>
      </c>
      <c r="C3834" s="32" t="n">
        <f aca="false">Demand_History!D3834</f>
        <v>9</v>
      </c>
      <c r="D3834" s="33" t="n">
        <f aca="false">IF(B3834&gt;=2,C3833,"")</f>
        <v>7</v>
      </c>
      <c r="E3834" s="33" t="n">
        <f aca="false">IF(B3834&gt;=5,AVERAGE(C3830:C3833),"")</f>
        <v>13.25</v>
      </c>
      <c r="F3834" s="33" t="n">
        <f aca="false">IF(B3834&gt;=9,AVERAGE(C3826:C3833),"")</f>
        <v>12.625</v>
      </c>
      <c r="G3834" s="33" t="n">
        <f aca="false">IF(B3834=1,"",IF(B3834=2,C3833,SES_Alpha*C3833+(1-SES_Alpha)*G3833))</f>
        <v>11.4174182654421</v>
      </c>
      <c r="H3834" s="33" t="n">
        <f aca="false">IF(D3834="","",D3834-C3834)</f>
        <v>-2</v>
      </c>
      <c r="I3834" s="33" t="n">
        <f aca="false">IF(E3834="","",E3834-C3834)</f>
        <v>4.25</v>
      </c>
      <c r="J3834" s="33" t="n">
        <f aca="false">IF(F3834="","",F3834-C3834)</f>
        <v>3.625</v>
      </c>
      <c r="K3834" s="33" t="n">
        <f aca="false">IF(G3834="","",G3834-C3834)</f>
        <v>2.41741826544207</v>
      </c>
      <c r="L3834" s="33" t="n">
        <f aca="false">IF(H3834="","",ABS(H3834))</f>
        <v>2</v>
      </c>
      <c r="M3834" s="33" t="n">
        <f aca="false">IF(I3834="","",ABS(I3834))</f>
        <v>4.25</v>
      </c>
      <c r="N3834" s="33" t="n">
        <f aca="false">IF(J3834="","",ABS(J3834))</f>
        <v>3.625</v>
      </c>
      <c r="O3834" s="33" t="n">
        <f aca="false">IF(K3834="","",ABS(K3834))</f>
        <v>2.41741826544207</v>
      </c>
      <c r="P3834" s="34" t="str">
        <f aca="false">IF(B3834&gt;=Eval_Start_Week,"YES","")</f>
        <v>YES</v>
      </c>
      <c r="Q3834" s="34" t="str">
        <f aca="false">IF(AND(B3834&gt;=Cal_Start_Week,B3834&lt;=Cal_End_Week),"YES","")</f>
        <v/>
      </c>
    </row>
    <row r="3835" customFormat="false" ht="15" hidden="false" customHeight="false" outlineLevel="0" collapsed="false">
      <c r="A3835" s="31" t="str">
        <f aca="false">Demand_History!C3835</f>
        <v>ELE-008</v>
      </c>
      <c r="B3835" s="31" t="n">
        <f aca="false">Demand_History!A3835</f>
        <v>90</v>
      </c>
      <c r="C3835" s="32" t="n">
        <f aca="false">Demand_History!D3835</f>
        <v>12</v>
      </c>
      <c r="D3835" s="33" t="n">
        <f aca="false">IF(B3835&gt;=2,C3834,"")</f>
        <v>9</v>
      </c>
      <c r="E3835" s="33" t="n">
        <f aca="false">IF(B3835&gt;=5,AVERAGE(C3831:C3834),"")</f>
        <v>10</v>
      </c>
      <c r="F3835" s="33" t="n">
        <f aca="false">IF(B3835&gt;=9,AVERAGE(C3827:C3834),"")</f>
        <v>12</v>
      </c>
      <c r="G3835" s="33" t="n">
        <f aca="false">IF(B3835=1,"",IF(B3835=2,C3834,SES_Alpha*C3834+(1-SES_Alpha)*G3834))</f>
        <v>10.6921927858094</v>
      </c>
      <c r="H3835" s="33" t="n">
        <f aca="false">IF(D3835="","",D3835-C3835)</f>
        <v>-3</v>
      </c>
      <c r="I3835" s="33" t="n">
        <f aca="false">IF(E3835="","",E3835-C3835)</f>
        <v>-2</v>
      </c>
      <c r="J3835" s="33" t="n">
        <f aca="false">IF(F3835="","",F3835-C3835)</f>
        <v>0</v>
      </c>
      <c r="K3835" s="33" t="n">
        <f aca="false">IF(G3835="","",G3835-C3835)</f>
        <v>-1.30780721419055</v>
      </c>
      <c r="L3835" s="33" t="n">
        <f aca="false">IF(H3835="","",ABS(H3835))</f>
        <v>3</v>
      </c>
      <c r="M3835" s="33" t="n">
        <f aca="false">IF(I3835="","",ABS(I3835))</f>
        <v>2</v>
      </c>
      <c r="N3835" s="33" t="n">
        <f aca="false">IF(J3835="","",ABS(J3835))</f>
        <v>0</v>
      </c>
      <c r="O3835" s="33" t="n">
        <f aca="false">IF(K3835="","",ABS(K3835))</f>
        <v>1.30780721419055</v>
      </c>
      <c r="P3835" s="34" t="str">
        <f aca="false">IF(B3835&gt;=Eval_Start_Week,"YES","")</f>
        <v>YES</v>
      </c>
      <c r="Q3835" s="34" t="str">
        <f aca="false">IF(AND(B3835&gt;=Cal_Start_Week,B3835&lt;=Cal_End_Week),"YES","")</f>
        <v/>
      </c>
    </row>
    <row r="3836" customFormat="false" ht="15" hidden="false" customHeight="false" outlineLevel="0" collapsed="false">
      <c r="A3836" s="31" t="str">
        <f aca="false">Demand_History!C3836</f>
        <v>ELE-008</v>
      </c>
      <c r="B3836" s="31" t="n">
        <f aca="false">Demand_History!A3836</f>
        <v>91</v>
      </c>
      <c r="C3836" s="32" t="n">
        <f aca="false">Demand_History!D3836</f>
        <v>20</v>
      </c>
      <c r="D3836" s="33" t="n">
        <f aca="false">IF(B3836&gt;=2,C3835,"")</f>
        <v>12</v>
      </c>
      <c r="E3836" s="33" t="n">
        <f aca="false">IF(B3836&gt;=5,AVERAGE(C3832:C3835),"")</f>
        <v>10.75</v>
      </c>
      <c r="F3836" s="33" t="n">
        <f aca="false">IF(B3836&gt;=9,AVERAGE(C3828:C3835),"")</f>
        <v>11</v>
      </c>
      <c r="G3836" s="33" t="n">
        <f aca="false">IF(B3836=1,"",IF(B3836=2,C3835,SES_Alpha*C3835+(1-SES_Alpha)*G3835))</f>
        <v>11.0845349500666</v>
      </c>
      <c r="H3836" s="33" t="n">
        <f aca="false">IF(D3836="","",D3836-C3836)</f>
        <v>-8</v>
      </c>
      <c r="I3836" s="33" t="n">
        <f aca="false">IF(E3836="","",E3836-C3836)</f>
        <v>-9.25</v>
      </c>
      <c r="J3836" s="33" t="n">
        <f aca="false">IF(F3836="","",F3836-C3836)</f>
        <v>-9</v>
      </c>
      <c r="K3836" s="33" t="n">
        <f aca="false">IF(G3836="","",G3836-C3836)</f>
        <v>-8.91546504993339</v>
      </c>
      <c r="L3836" s="33" t="n">
        <f aca="false">IF(H3836="","",ABS(H3836))</f>
        <v>8</v>
      </c>
      <c r="M3836" s="33" t="n">
        <f aca="false">IF(I3836="","",ABS(I3836))</f>
        <v>9.25</v>
      </c>
      <c r="N3836" s="33" t="n">
        <f aca="false">IF(J3836="","",ABS(J3836))</f>
        <v>9</v>
      </c>
      <c r="O3836" s="33" t="n">
        <f aca="false">IF(K3836="","",ABS(K3836))</f>
        <v>8.91546504993339</v>
      </c>
      <c r="P3836" s="34" t="str">
        <f aca="false">IF(B3836&gt;=Eval_Start_Week,"YES","")</f>
        <v>YES</v>
      </c>
      <c r="Q3836" s="34" t="str">
        <f aca="false">IF(AND(B3836&gt;=Cal_Start_Week,B3836&lt;=Cal_End_Week),"YES","")</f>
        <v/>
      </c>
    </row>
    <row r="3837" customFormat="false" ht="15" hidden="false" customHeight="false" outlineLevel="0" collapsed="false">
      <c r="A3837" s="31" t="str">
        <f aca="false">Demand_History!C3837</f>
        <v>ELE-008</v>
      </c>
      <c r="B3837" s="31" t="n">
        <f aca="false">Demand_History!A3837</f>
        <v>92</v>
      </c>
      <c r="C3837" s="32" t="n">
        <f aca="false">Demand_History!D3837</f>
        <v>20</v>
      </c>
      <c r="D3837" s="33" t="n">
        <f aca="false">IF(B3837&gt;=2,C3836,"")</f>
        <v>20</v>
      </c>
      <c r="E3837" s="33" t="n">
        <f aca="false">IF(B3837&gt;=5,AVERAGE(C3833:C3836),"")</f>
        <v>12</v>
      </c>
      <c r="F3837" s="33" t="n">
        <f aca="false">IF(B3837&gt;=9,AVERAGE(C3829:C3836),"")</f>
        <v>11.875</v>
      </c>
      <c r="G3837" s="33" t="n">
        <f aca="false">IF(B3837=1,"",IF(B3837=2,C3836,SES_Alpha*C3836+(1-SES_Alpha)*G3836))</f>
        <v>13.7591744650466</v>
      </c>
      <c r="H3837" s="33" t="n">
        <f aca="false">IF(D3837="","",D3837-C3837)</f>
        <v>0</v>
      </c>
      <c r="I3837" s="33" t="n">
        <f aca="false">IF(E3837="","",E3837-C3837)</f>
        <v>-8</v>
      </c>
      <c r="J3837" s="33" t="n">
        <f aca="false">IF(F3837="","",F3837-C3837)</f>
        <v>-8.125</v>
      </c>
      <c r="K3837" s="33" t="n">
        <f aca="false">IF(G3837="","",G3837-C3837)</f>
        <v>-6.24082553495337</v>
      </c>
      <c r="L3837" s="33" t="n">
        <f aca="false">IF(H3837="","",ABS(H3837))</f>
        <v>0</v>
      </c>
      <c r="M3837" s="33" t="n">
        <f aca="false">IF(I3837="","",ABS(I3837))</f>
        <v>8</v>
      </c>
      <c r="N3837" s="33" t="n">
        <f aca="false">IF(J3837="","",ABS(J3837))</f>
        <v>8.125</v>
      </c>
      <c r="O3837" s="33" t="n">
        <f aca="false">IF(K3837="","",ABS(K3837))</f>
        <v>6.24082553495337</v>
      </c>
      <c r="P3837" s="34" t="str">
        <f aca="false">IF(B3837&gt;=Eval_Start_Week,"YES","")</f>
        <v>YES</v>
      </c>
      <c r="Q3837" s="34" t="str">
        <f aca="false">IF(AND(B3837&gt;=Cal_Start_Week,B3837&lt;=Cal_End_Week),"YES","")</f>
        <v/>
      </c>
    </row>
    <row r="3838" customFormat="false" ht="15" hidden="false" customHeight="false" outlineLevel="0" collapsed="false">
      <c r="A3838" s="31" t="str">
        <f aca="false">Demand_History!C3838</f>
        <v>ELE-008</v>
      </c>
      <c r="B3838" s="31" t="n">
        <f aca="false">Demand_History!A3838</f>
        <v>93</v>
      </c>
      <c r="C3838" s="32" t="n">
        <f aca="false">Demand_History!D3838</f>
        <v>12</v>
      </c>
      <c r="D3838" s="33" t="n">
        <f aca="false">IF(B3838&gt;=2,C3837,"")</f>
        <v>20</v>
      </c>
      <c r="E3838" s="33" t="n">
        <f aca="false">IF(B3838&gt;=5,AVERAGE(C3834:C3837),"")</f>
        <v>15.25</v>
      </c>
      <c r="F3838" s="33" t="n">
        <f aca="false">IF(B3838&gt;=9,AVERAGE(C3830:C3837),"")</f>
        <v>14.25</v>
      </c>
      <c r="G3838" s="33" t="n">
        <f aca="false">IF(B3838=1,"",IF(B3838=2,C3837,SES_Alpha*C3837+(1-SES_Alpha)*G3837))</f>
        <v>15.6314221255326</v>
      </c>
      <c r="H3838" s="33" t="n">
        <f aca="false">IF(D3838="","",D3838-C3838)</f>
        <v>8</v>
      </c>
      <c r="I3838" s="33" t="n">
        <f aca="false">IF(E3838="","",E3838-C3838)</f>
        <v>3.25</v>
      </c>
      <c r="J3838" s="33" t="n">
        <f aca="false">IF(F3838="","",F3838-C3838)</f>
        <v>2.25</v>
      </c>
      <c r="K3838" s="33" t="n">
        <f aca="false">IF(G3838="","",G3838-C3838)</f>
        <v>3.63142212553264</v>
      </c>
      <c r="L3838" s="33" t="n">
        <f aca="false">IF(H3838="","",ABS(H3838))</f>
        <v>8</v>
      </c>
      <c r="M3838" s="33" t="n">
        <f aca="false">IF(I3838="","",ABS(I3838))</f>
        <v>3.25</v>
      </c>
      <c r="N3838" s="33" t="n">
        <f aca="false">IF(J3838="","",ABS(J3838))</f>
        <v>2.25</v>
      </c>
      <c r="O3838" s="33" t="n">
        <f aca="false">IF(K3838="","",ABS(K3838))</f>
        <v>3.63142212553264</v>
      </c>
      <c r="P3838" s="34" t="str">
        <f aca="false">IF(B3838&gt;=Eval_Start_Week,"YES","")</f>
        <v>YES</v>
      </c>
      <c r="Q3838" s="34" t="str">
        <f aca="false">IF(AND(B3838&gt;=Cal_Start_Week,B3838&lt;=Cal_End_Week),"YES","")</f>
        <v/>
      </c>
    </row>
    <row r="3839" customFormat="false" ht="15" hidden="false" customHeight="false" outlineLevel="0" collapsed="false">
      <c r="A3839" s="31" t="str">
        <f aca="false">Demand_History!C3839</f>
        <v>ELE-008</v>
      </c>
      <c r="B3839" s="31" t="n">
        <f aca="false">Demand_History!A3839</f>
        <v>94</v>
      </c>
      <c r="C3839" s="32" t="n">
        <f aca="false">Demand_History!D3839</f>
        <v>18</v>
      </c>
      <c r="D3839" s="33" t="n">
        <f aca="false">IF(B3839&gt;=2,C3838,"")</f>
        <v>12</v>
      </c>
      <c r="E3839" s="33" t="n">
        <f aca="false">IF(B3839&gt;=5,AVERAGE(C3835:C3838),"")</f>
        <v>16</v>
      </c>
      <c r="F3839" s="33" t="n">
        <f aca="false">IF(B3839&gt;=9,AVERAGE(C3831:C3838),"")</f>
        <v>13</v>
      </c>
      <c r="G3839" s="33" t="n">
        <f aca="false">IF(B3839=1,"",IF(B3839=2,C3838,SES_Alpha*C3838+(1-SES_Alpha)*G3838))</f>
        <v>14.5419954878728</v>
      </c>
      <c r="H3839" s="33" t="n">
        <f aca="false">IF(D3839="","",D3839-C3839)</f>
        <v>-6</v>
      </c>
      <c r="I3839" s="33" t="n">
        <f aca="false">IF(E3839="","",E3839-C3839)</f>
        <v>-2</v>
      </c>
      <c r="J3839" s="33" t="n">
        <f aca="false">IF(F3839="","",F3839-C3839)</f>
        <v>-5</v>
      </c>
      <c r="K3839" s="33" t="n">
        <f aca="false">IF(G3839="","",G3839-C3839)</f>
        <v>-3.45800451212716</v>
      </c>
      <c r="L3839" s="33" t="n">
        <f aca="false">IF(H3839="","",ABS(H3839))</f>
        <v>6</v>
      </c>
      <c r="M3839" s="33" t="n">
        <f aca="false">IF(I3839="","",ABS(I3839))</f>
        <v>2</v>
      </c>
      <c r="N3839" s="33" t="n">
        <f aca="false">IF(J3839="","",ABS(J3839))</f>
        <v>5</v>
      </c>
      <c r="O3839" s="33" t="n">
        <f aca="false">IF(K3839="","",ABS(K3839))</f>
        <v>3.45800451212716</v>
      </c>
      <c r="P3839" s="34" t="str">
        <f aca="false">IF(B3839&gt;=Eval_Start_Week,"YES","")</f>
        <v>YES</v>
      </c>
      <c r="Q3839" s="34" t="str">
        <f aca="false">IF(AND(B3839&gt;=Cal_Start_Week,B3839&lt;=Cal_End_Week),"YES","")</f>
        <v/>
      </c>
    </row>
    <row r="3840" customFormat="false" ht="15" hidden="false" customHeight="false" outlineLevel="0" collapsed="false">
      <c r="A3840" s="31" t="str">
        <f aca="false">Demand_History!C3840</f>
        <v>ELE-008</v>
      </c>
      <c r="B3840" s="31" t="n">
        <f aca="false">Demand_History!A3840</f>
        <v>95</v>
      </c>
      <c r="C3840" s="32" t="n">
        <f aca="false">Demand_History!D3840</f>
        <v>13</v>
      </c>
      <c r="D3840" s="33" t="n">
        <f aca="false">IF(B3840&gt;=2,C3839,"")</f>
        <v>18</v>
      </c>
      <c r="E3840" s="33" t="n">
        <f aca="false">IF(B3840&gt;=5,AVERAGE(C3836:C3839),"")</f>
        <v>17.5</v>
      </c>
      <c r="F3840" s="33" t="n">
        <f aca="false">IF(B3840&gt;=9,AVERAGE(C3832:C3839),"")</f>
        <v>14.125</v>
      </c>
      <c r="G3840" s="33" t="n">
        <f aca="false">IF(B3840=1,"",IF(B3840=2,C3839,SES_Alpha*C3839+(1-SES_Alpha)*G3839))</f>
        <v>15.579396841511</v>
      </c>
      <c r="H3840" s="33" t="n">
        <f aca="false">IF(D3840="","",D3840-C3840)</f>
        <v>5</v>
      </c>
      <c r="I3840" s="33" t="n">
        <f aca="false">IF(E3840="","",E3840-C3840)</f>
        <v>4.5</v>
      </c>
      <c r="J3840" s="33" t="n">
        <f aca="false">IF(F3840="","",F3840-C3840)</f>
        <v>1.125</v>
      </c>
      <c r="K3840" s="33" t="n">
        <f aca="false">IF(G3840="","",G3840-C3840)</f>
        <v>2.57939684151099</v>
      </c>
      <c r="L3840" s="33" t="n">
        <f aca="false">IF(H3840="","",ABS(H3840))</f>
        <v>5</v>
      </c>
      <c r="M3840" s="33" t="n">
        <f aca="false">IF(I3840="","",ABS(I3840))</f>
        <v>4.5</v>
      </c>
      <c r="N3840" s="33" t="n">
        <f aca="false">IF(J3840="","",ABS(J3840))</f>
        <v>1.125</v>
      </c>
      <c r="O3840" s="33" t="n">
        <f aca="false">IF(K3840="","",ABS(K3840))</f>
        <v>2.57939684151099</v>
      </c>
      <c r="P3840" s="34" t="str">
        <f aca="false">IF(B3840&gt;=Eval_Start_Week,"YES","")</f>
        <v>YES</v>
      </c>
      <c r="Q3840" s="34" t="str">
        <f aca="false">IF(AND(B3840&gt;=Cal_Start_Week,B3840&lt;=Cal_End_Week),"YES","")</f>
        <v/>
      </c>
    </row>
    <row r="3841" customFormat="false" ht="15" hidden="false" customHeight="false" outlineLevel="0" collapsed="false">
      <c r="A3841" s="31" t="str">
        <f aca="false">Demand_History!C3841</f>
        <v>ELE-008</v>
      </c>
      <c r="B3841" s="31" t="n">
        <f aca="false">Demand_History!A3841</f>
        <v>96</v>
      </c>
      <c r="C3841" s="32" t="n">
        <f aca="false">Demand_History!D3841</f>
        <v>15</v>
      </c>
      <c r="D3841" s="33" t="n">
        <f aca="false">IF(B3841&gt;=2,C3840,"")</f>
        <v>13</v>
      </c>
      <c r="E3841" s="33" t="n">
        <f aca="false">IF(B3841&gt;=5,AVERAGE(C3837:C3840),"")</f>
        <v>15.75</v>
      </c>
      <c r="F3841" s="33" t="n">
        <f aca="false">IF(B3841&gt;=9,AVERAGE(C3833:C3840),"")</f>
        <v>13.875</v>
      </c>
      <c r="G3841" s="33" t="n">
        <f aca="false">IF(B3841=1,"",IF(B3841=2,C3840,SES_Alpha*C3840+(1-SES_Alpha)*G3840))</f>
        <v>14.8055777890577</v>
      </c>
      <c r="H3841" s="33" t="n">
        <f aca="false">IF(D3841="","",D3841-C3841)</f>
        <v>-2</v>
      </c>
      <c r="I3841" s="33" t="n">
        <f aca="false">IF(E3841="","",E3841-C3841)</f>
        <v>0.75</v>
      </c>
      <c r="J3841" s="33" t="n">
        <f aca="false">IF(F3841="","",F3841-C3841)</f>
        <v>-1.125</v>
      </c>
      <c r="K3841" s="33" t="n">
        <f aca="false">IF(G3841="","",G3841-C3841)</f>
        <v>-0.194422210942307</v>
      </c>
      <c r="L3841" s="33" t="n">
        <f aca="false">IF(H3841="","",ABS(H3841))</f>
        <v>2</v>
      </c>
      <c r="M3841" s="33" t="n">
        <f aca="false">IF(I3841="","",ABS(I3841))</f>
        <v>0.75</v>
      </c>
      <c r="N3841" s="33" t="n">
        <f aca="false">IF(J3841="","",ABS(J3841))</f>
        <v>1.125</v>
      </c>
      <c r="O3841" s="33" t="n">
        <f aca="false">IF(K3841="","",ABS(K3841))</f>
        <v>0.194422210942307</v>
      </c>
      <c r="P3841" s="34" t="str">
        <f aca="false">IF(B3841&gt;=Eval_Start_Week,"YES","")</f>
        <v>YES</v>
      </c>
      <c r="Q3841" s="34" t="str">
        <f aca="false">IF(AND(B3841&gt;=Cal_Start_Week,B3841&lt;=Cal_End_Week),"YES","")</f>
        <v/>
      </c>
    </row>
    <row r="3842" customFormat="false" ht="15" hidden="false" customHeight="false" outlineLevel="0" collapsed="false">
      <c r="A3842" s="31" t="str">
        <f aca="false">Demand_History!C3842</f>
        <v>ELE-008</v>
      </c>
      <c r="B3842" s="31" t="n">
        <f aca="false">Demand_History!A3842</f>
        <v>97</v>
      </c>
      <c r="C3842" s="32" t="n">
        <f aca="false">Demand_History!D3842</f>
        <v>16</v>
      </c>
      <c r="D3842" s="33" t="n">
        <f aca="false">IF(B3842&gt;=2,C3841,"")</f>
        <v>15</v>
      </c>
      <c r="E3842" s="33" t="n">
        <f aca="false">IF(B3842&gt;=5,AVERAGE(C3838:C3841),"")</f>
        <v>14.5</v>
      </c>
      <c r="F3842" s="33" t="n">
        <f aca="false">IF(B3842&gt;=9,AVERAGE(C3834:C3841),"")</f>
        <v>14.875</v>
      </c>
      <c r="G3842" s="33" t="n">
        <f aca="false">IF(B3842=1,"",IF(B3842=2,C3841,SES_Alpha*C3841+(1-SES_Alpha)*G3841))</f>
        <v>14.8639044523404</v>
      </c>
      <c r="H3842" s="33" t="n">
        <f aca="false">IF(D3842="","",D3842-C3842)</f>
        <v>-1</v>
      </c>
      <c r="I3842" s="33" t="n">
        <f aca="false">IF(E3842="","",E3842-C3842)</f>
        <v>-1.5</v>
      </c>
      <c r="J3842" s="33" t="n">
        <f aca="false">IF(F3842="","",F3842-C3842)</f>
        <v>-1.125</v>
      </c>
      <c r="K3842" s="33" t="n">
        <f aca="false">IF(G3842="","",G3842-C3842)</f>
        <v>-1.13609554765961</v>
      </c>
      <c r="L3842" s="33" t="n">
        <f aca="false">IF(H3842="","",ABS(H3842))</f>
        <v>1</v>
      </c>
      <c r="M3842" s="33" t="n">
        <f aca="false">IF(I3842="","",ABS(I3842))</f>
        <v>1.5</v>
      </c>
      <c r="N3842" s="33" t="n">
        <f aca="false">IF(J3842="","",ABS(J3842))</f>
        <v>1.125</v>
      </c>
      <c r="O3842" s="33" t="n">
        <f aca="false">IF(K3842="","",ABS(K3842))</f>
        <v>1.13609554765961</v>
      </c>
      <c r="P3842" s="34" t="str">
        <f aca="false">IF(B3842&gt;=Eval_Start_Week,"YES","")</f>
        <v>YES</v>
      </c>
      <c r="Q3842" s="34" t="str">
        <f aca="false">IF(AND(B3842&gt;=Cal_Start_Week,B3842&lt;=Cal_End_Week),"YES","")</f>
        <v/>
      </c>
    </row>
    <row r="3843" customFormat="false" ht="15" hidden="false" customHeight="false" outlineLevel="0" collapsed="false">
      <c r="A3843" s="31" t="str">
        <f aca="false">Demand_History!C3843</f>
        <v>ELE-008</v>
      </c>
      <c r="B3843" s="31" t="n">
        <f aca="false">Demand_History!A3843</f>
        <v>98</v>
      </c>
      <c r="C3843" s="32" t="n">
        <f aca="false">Demand_History!D3843</f>
        <v>18</v>
      </c>
      <c r="D3843" s="33" t="n">
        <f aca="false">IF(B3843&gt;=2,C3842,"")</f>
        <v>16</v>
      </c>
      <c r="E3843" s="33" t="n">
        <f aca="false">IF(B3843&gt;=5,AVERAGE(C3839:C3842),"")</f>
        <v>15.5</v>
      </c>
      <c r="F3843" s="33" t="n">
        <f aca="false">IF(B3843&gt;=9,AVERAGE(C3835:C3842),"")</f>
        <v>15.75</v>
      </c>
      <c r="G3843" s="33" t="n">
        <f aca="false">IF(B3843=1,"",IF(B3843=2,C3842,SES_Alpha*C3842+(1-SES_Alpha)*G3842))</f>
        <v>15.2047331166383</v>
      </c>
      <c r="H3843" s="33" t="n">
        <f aca="false">IF(D3843="","",D3843-C3843)</f>
        <v>-2</v>
      </c>
      <c r="I3843" s="33" t="n">
        <f aca="false">IF(E3843="","",E3843-C3843)</f>
        <v>-2.5</v>
      </c>
      <c r="J3843" s="33" t="n">
        <f aca="false">IF(F3843="","",F3843-C3843)</f>
        <v>-2.25</v>
      </c>
      <c r="K3843" s="33" t="n">
        <f aca="false">IF(G3843="","",G3843-C3843)</f>
        <v>-2.79526688336173</v>
      </c>
      <c r="L3843" s="33" t="n">
        <f aca="false">IF(H3843="","",ABS(H3843))</f>
        <v>2</v>
      </c>
      <c r="M3843" s="33" t="n">
        <f aca="false">IF(I3843="","",ABS(I3843))</f>
        <v>2.5</v>
      </c>
      <c r="N3843" s="33" t="n">
        <f aca="false">IF(J3843="","",ABS(J3843))</f>
        <v>2.25</v>
      </c>
      <c r="O3843" s="33" t="n">
        <f aca="false">IF(K3843="","",ABS(K3843))</f>
        <v>2.79526688336173</v>
      </c>
      <c r="P3843" s="34" t="str">
        <f aca="false">IF(B3843&gt;=Eval_Start_Week,"YES","")</f>
        <v>YES</v>
      </c>
      <c r="Q3843" s="34" t="str">
        <f aca="false">IF(AND(B3843&gt;=Cal_Start_Week,B3843&lt;=Cal_End_Week),"YES","")</f>
        <v/>
      </c>
    </row>
    <row r="3844" customFormat="false" ht="15" hidden="false" customHeight="false" outlineLevel="0" collapsed="false">
      <c r="A3844" s="31" t="str">
        <f aca="false">Demand_History!C3844</f>
        <v>ELE-008</v>
      </c>
      <c r="B3844" s="31" t="n">
        <f aca="false">Demand_History!A3844</f>
        <v>99</v>
      </c>
      <c r="C3844" s="32" t="n">
        <f aca="false">Demand_History!D3844</f>
        <v>11</v>
      </c>
      <c r="D3844" s="33" t="n">
        <f aca="false">IF(B3844&gt;=2,C3843,"")</f>
        <v>18</v>
      </c>
      <c r="E3844" s="33" t="n">
        <f aca="false">IF(B3844&gt;=5,AVERAGE(C3840:C3843),"")</f>
        <v>15.5</v>
      </c>
      <c r="F3844" s="33" t="n">
        <f aca="false">IF(B3844&gt;=9,AVERAGE(C3836:C3843),"")</f>
        <v>16.5</v>
      </c>
      <c r="G3844" s="33" t="n">
        <f aca="false">IF(B3844=1,"",IF(B3844=2,C3843,SES_Alpha*C3843+(1-SES_Alpha)*G3843))</f>
        <v>16.0433131816468</v>
      </c>
      <c r="H3844" s="33" t="n">
        <f aca="false">IF(D3844="","",D3844-C3844)</f>
        <v>7</v>
      </c>
      <c r="I3844" s="33" t="n">
        <f aca="false">IF(E3844="","",E3844-C3844)</f>
        <v>4.5</v>
      </c>
      <c r="J3844" s="33" t="n">
        <f aca="false">IF(F3844="","",F3844-C3844)</f>
        <v>5.5</v>
      </c>
      <c r="K3844" s="33" t="n">
        <f aca="false">IF(G3844="","",G3844-C3844)</f>
        <v>5.04331318164679</v>
      </c>
      <c r="L3844" s="33" t="n">
        <f aca="false">IF(H3844="","",ABS(H3844))</f>
        <v>7</v>
      </c>
      <c r="M3844" s="33" t="n">
        <f aca="false">IF(I3844="","",ABS(I3844))</f>
        <v>4.5</v>
      </c>
      <c r="N3844" s="33" t="n">
        <f aca="false">IF(J3844="","",ABS(J3844))</f>
        <v>5.5</v>
      </c>
      <c r="O3844" s="33" t="n">
        <f aca="false">IF(K3844="","",ABS(K3844))</f>
        <v>5.04331318164679</v>
      </c>
      <c r="P3844" s="34" t="str">
        <f aca="false">IF(B3844&gt;=Eval_Start_Week,"YES","")</f>
        <v>YES</v>
      </c>
      <c r="Q3844" s="34" t="str">
        <f aca="false">IF(AND(B3844&gt;=Cal_Start_Week,B3844&lt;=Cal_End_Week),"YES","")</f>
        <v/>
      </c>
    </row>
    <row r="3845" customFormat="false" ht="15" hidden="false" customHeight="false" outlineLevel="0" collapsed="false">
      <c r="A3845" s="31" t="str">
        <f aca="false">Demand_History!C3845</f>
        <v>ELE-008</v>
      </c>
      <c r="B3845" s="31" t="n">
        <f aca="false">Demand_History!A3845</f>
        <v>100</v>
      </c>
      <c r="C3845" s="32" t="n">
        <f aca="false">Demand_History!D3845</f>
        <v>14</v>
      </c>
      <c r="D3845" s="33" t="n">
        <f aca="false">IF(B3845&gt;=2,C3844,"")</f>
        <v>11</v>
      </c>
      <c r="E3845" s="33" t="n">
        <f aca="false">IF(B3845&gt;=5,AVERAGE(C3841:C3844),"")</f>
        <v>15</v>
      </c>
      <c r="F3845" s="33" t="n">
        <f aca="false">IF(B3845&gt;=9,AVERAGE(C3837:C3844),"")</f>
        <v>15.375</v>
      </c>
      <c r="G3845" s="33" t="n">
        <f aca="false">IF(B3845=1,"",IF(B3845=2,C3844,SES_Alpha*C3844+(1-SES_Alpha)*G3844))</f>
        <v>14.5303192271528</v>
      </c>
      <c r="H3845" s="33" t="n">
        <f aca="false">IF(D3845="","",D3845-C3845)</f>
        <v>-3</v>
      </c>
      <c r="I3845" s="33" t="n">
        <f aca="false">IF(E3845="","",E3845-C3845)</f>
        <v>1</v>
      </c>
      <c r="J3845" s="33" t="n">
        <f aca="false">IF(F3845="","",F3845-C3845)</f>
        <v>1.375</v>
      </c>
      <c r="K3845" s="33" t="n">
        <f aca="false">IF(G3845="","",G3845-C3845)</f>
        <v>0.530319227152752</v>
      </c>
      <c r="L3845" s="33" t="n">
        <f aca="false">IF(H3845="","",ABS(H3845))</f>
        <v>3</v>
      </c>
      <c r="M3845" s="33" t="n">
        <f aca="false">IF(I3845="","",ABS(I3845))</f>
        <v>1</v>
      </c>
      <c r="N3845" s="33" t="n">
        <f aca="false">IF(J3845="","",ABS(J3845))</f>
        <v>1.375</v>
      </c>
      <c r="O3845" s="33" t="n">
        <f aca="false">IF(K3845="","",ABS(K3845))</f>
        <v>0.530319227152752</v>
      </c>
      <c r="P3845" s="34" t="str">
        <f aca="false">IF(B3845&gt;=Eval_Start_Week,"YES","")</f>
        <v>YES</v>
      </c>
      <c r="Q3845" s="34" t="str">
        <f aca="false">IF(AND(B3845&gt;=Cal_Start_Week,B3845&lt;=Cal_End_Week),"YES","")</f>
        <v/>
      </c>
    </row>
    <row r="3846" customFormat="false" ht="15" hidden="false" customHeight="false" outlineLevel="0" collapsed="false">
      <c r="A3846" s="31" t="str">
        <f aca="false">Demand_History!C3846</f>
        <v>ELE-008</v>
      </c>
      <c r="B3846" s="31" t="n">
        <f aca="false">Demand_History!A3846</f>
        <v>101</v>
      </c>
      <c r="C3846" s="32" t="n">
        <f aca="false">Demand_History!D3846</f>
        <v>16</v>
      </c>
      <c r="D3846" s="33" t="n">
        <f aca="false">IF(B3846&gt;=2,C3845,"")</f>
        <v>14</v>
      </c>
      <c r="E3846" s="33" t="n">
        <f aca="false">IF(B3846&gt;=5,AVERAGE(C3842:C3845),"")</f>
        <v>14.75</v>
      </c>
      <c r="F3846" s="33" t="n">
        <f aca="false">IF(B3846&gt;=9,AVERAGE(C3838:C3845),"")</f>
        <v>14.625</v>
      </c>
      <c r="G3846" s="33" t="n">
        <f aca="false">IF(B3846=1,"",IF(B3846=2,C3845,SES_Alpha*C3845+(1-SES_Alpha)*G3845))</f>
        <v>14.3712234590069</v>
      </c>
      <c r="H3846" s="33" t="n">
        <f aca="false">IF(D3846="","",D3846-C3846)</f>
        <v>-2</v>
      </c>
      <c r="I3846" s="33" t="n">
        <f aca="false">IF(E3846="","",E3846-C3846)</f>
        <v>-1.25</v>
      </c>
      <c r="J3846" s="33" t="n">
        <f aca="false">IF(F3846="","",F3846-C3846)</f>
        <v>-1.375</v>
      </c>
      <c r="K3846" s="33" t="n">
        <f aca="false">IF(G3846="","",G3846-C3846)</f>
        <v>-1.62877654099307</v>
      </c>
      <c r="L3846" s="33" t="n">
        <f aca="false">IF(H3846="","",ABS(H3846))</f>
        <v>2</v>
      </c>
      <c r="M3846" s="33" t="n">
        <f aca="false">IF(I3846="","",ABS(I3846))</f>
        <v>1.25</v>
      </c>
      <c r="N3846" s="33" t="n">
        <f aca="false">IF(J3846="","",ABS(J3846))</f>
        <v>1.375</v>
      </c>
      <c r="O3846" s="33" t="n">
        <f aca="false">IF(K3846="","",ABS(K3846))</f>
        <v>1.62877654099307</v>
      </c>
      <c r="P3846" s="34" t="str">
        <f aca="false">IF(B3846&gt;=Eval_Start_Week,"YES","")</f>
        <v>YES</v>
      </c>
      <c r="Q3846" s="34" t="str">
        <f aca="false">IF(AND(B3846&gt;=Cal_Start_Week,B3846&lt;=Cal_End_Week),"YES","")</f>
        <v/>
      </c>
    </row>
    <row r="3847" customFormat="false" ht="15" hidden="false" customHeight="false" outlineLevel="0" collapsed="false">
      <c r="A3847" s="31" t="str">
        <f aca="false">Demand_History!C3847</f>
        <v>ELE-008</v>
      </c>
      <c r="B3847" s="31" t="n">
        <f aca="false">Demand_History!A3847</f>
        <v>102</v>
      </c>
      <c r="C3847" s="32" t="n">
        <f aca="false">Demand_History!D3847</f>
        <v>15</v>
      </c>
      <c r="D3847" s="33" t="n">
        <f aca="false">IF(B3847&gt;=2,C3846,"")</f>
        <v>16</v>
      </c>
      <c r="E3847" s="33" t="n">
        <f aca="false">IF(B3847&gt;=5,AVERAGE(C3843:C3846),"")</f>
        <v>14.75</v>
      </c>
      <c r="F3847" s="33" t="n">
        <f aca="false">IF(B3847&gt;=9,AVERAGE(C3839:C3846),"")</f>
        <v>15.125</v>
      </c>
      <c r="G3847" s="33" t="n">
        <f aca="false">IF(B3847=1,"",IF(B3847=2,C3846,SES_Alpha*C3846+(1-SES_Alpha)*G3846))</f>
        <v>14.8598564213048</v>
      </c>
      <c r="H3847" s="33" t="n">
        <f aca="false">IF(D3847="","",D3847-C3847)</f>
        <v>1</v>
      </c>
      <c r="I3847" s="33" t="n">
        <f aca="false">IF(E3847="","",E3847-C3847)</f>
        <v>-0.25</v>
      </c>
      <c r="J3847" s="33" t="n">
        <f aca="false">IF(F3847="","",F3847-C3847)</f>
        <v>0.125</v>
      </c>
      <c r="K3847" s="33" t="n">
        <f aca="false">IF(G3847="","",G3847-C3847)</f>
        <v>-0.140143578695152</v>
      </c>
      <c r="L3847" s="33" t="n">
        <f aca="false">IF(H3847="","",ABS(H3847))</f>
        <v>1</v>
      </c>
      <c r="M3847" s="33" t="n">
        <f aca="false">IF(I3847="","",ABS(I3847))</f>
        <v>0.25</v>
      </c>
      <c r="N3847" s="33" t="n">
        <f aca="false">IF(J3847="","",ABS(J3847))</f>
        <v>0.125</v>
      </c>
      <c r="O3847" s="33" t="n">
        <f aca="false">IF(K3847="","",ABS(K3847))</f>
        <v>0.140143578695152</v>
      </c>
      <c r="P3847" s="34" t="str">
        <f aca="false">IF(B3847&gt;=Eval_Start_Week,"YES","")</f>
        <v>YES</v>
      </c>
      <c r="Q3847" s="34" t="str">
        <f aca="false">IF(AND(B3847&gt;=Cal_Start_Week,B3847&lt;=Cal_End_Week),"YES","")</f>
        <v/>
      </c>
    </row>
    <row r="3848" customFormat="false" ht="15" hidden="false" customHeight="false" outlineLevel="0" collapsed="false">
      <c r="A3848" s="31" t="str">
        <f aca="false">Demand_History!C3848</f>
        <v>ELE-008</v>
      </c>
      <c r="B3848" s="31" t="n">
        <f aca="false">Demand_History!A3848</f>
        <v>103</v>
      </c>
      <c r="C3848" s="32" t="n">
        <f aca="false">Demand_History!D3848</f>
        <v>10</v>
      </c>
      <c r="D3848" s="33" t="n">
        <f aca="false">IF(B3848&gt;=2,C3847,"")</f>
        <v>15</v>
      </c>
      <c r="E3848" s="33" t="n">
        <f aca="false">IF(B3848&gt;=5,AVERAGE(C3844:C3847),"")</f>
        <v>14</v>
      </c>
      <c r="F3848" s="33" t="n">
        <f aca="false">IF(B3848&gt;=9,AVERAGE(C3840:C3847),"")</f>
        <v>14.75</v>
      </c>
      <c r="G3848" s="33" t="n">
        <f aca="false">IF(B3848=1,"",IF(B3848=2,C3847,SES_Alpha*C3847+(1-SES_Alpha)*G3847))</f>
        <v>14.9018994949134</v>
      </c>
      <c r="H3848" s="33" t="n">
        <f aca="false">IF(D3848="","",D3848-C3848)</f>
        <v>5</v>
      </c>
      <c r="I3848" s="33" t="n">
        <f aca="false">IF(E3848="","",E3848-C3848)</f>
        <v>4</v>
      </c>
      <c r="J3848" s="33" t="n">
        <f aca="false">IF(F3848="","",F3848-C3848)</f>
        <v>4.75</v>
      </c>
      <c r="K3848" s="33" t="n">
        <f aca="false">IF(G3848="","",G3848-C3848)</f>
        <v>4.90189949491339</v>
      </c>
      <c r="L3848" s="33" t="n">
        <f aca="false">IF(H3848="","",ABS(H3848))</f>
        <v>5</v>
      </c>
      <c r="M3848" s="33" t="n">
        <f aca="false">IF(I3848="","",ABS(I3848))</f>
        <v>4</v>
      </c>
      <c r="N3848" s="33" t="n">
        <f aca="false">IF(J3848="","",ABS(J3848))</f>
        <v>4.75</v>
      </c>
      <c r="O3848" s="33" t="n">
        <f aca="false">IF(K3848="","",ABS(K3848))</f>
        <v>4.90189949491339</v>
      </c>
      <c r="P3848" s="34" t="str">
        <f aca="false">IF(B3848&gt;=Eval_Start_Week,"YES","")</f>
        <v>YES</v>
      </c>
      <c r="Q3848" s="34" t="str">
        <f aca="false">IF(AND(B3848&gt;=Cal_Start_Week,B3848&lt;=Cal_End_Week),"YES","")</f>
        <v/>
      </c>
    </row>
    <row r="3849" customFormat="false" ht="15" hidden="false" customHeight="false" outlineLevel="0" collapsed="false">
      <c r="A3849" s="31" t="str">
        <f aca="false">Demand_History!C3849</f>
        <v>ELE-008</v>
      </c>
      <c r="B3849" s="31" t="n">
        <f aca="false">Demand_History!A3849</f>
        <v>104</v>
      </c>
      <c r="C3849" s="32" t="n">
        <f aca="false">Demand_History!D3849</f>
        <v>24</v>
      </c>
      <c r="D3849" s="33" t="n">
        <f aca="false">IF(B3849&gt;=2,C3848,"")</f>
        <v>10</v>
      </c>
      <c r="E3849" s="33" t="n">
        <f aca="false">IF(B3849&gt;=5,AVERAGE(C3845:C3848),"")</f>
        <v>13.75</v>
      </c>
      <c r="F3849" s="33" t="n">
        <f aca="false">IF(B3849&gt;=9,AVERAGE(C3841:C3848),"")</f>
        <v>14.375</v>
      </c>
      <c r="G3849" s="33" t="n">
        <f aca="false">IF(B3849=1,"",IF(B3849=2,C3848,SES_Alpha*C3848+(1-SES_Alpha)*G3848))</f>
        <v>13.4313296464394</v>
      </c>
      <c r="H3849" s="33" t="n">
        <f aca="false">IF(D3849="","",D3849-C3849)</f>
        <v>-14</v>
      </c>
      <c r="I3849" s="33" t="n">
        <f aca="false">IF(E3849="","",E3849-C3849)</f>
        <v>-10.25</v>
      </c>
      <c r="J3849" s="33" t="n">
        <f aca="false">IF(F3849="","",F3849-C3849)</f>
        <v>-9.625</v>
      </c>
      <c r="K3849" s="33" t="n">
        <f aca="false">IF(G3849="","",G3849-C3849)</f>
        <v>-10.5686703535606</v>
      </c>
      <c r="L3849" s="33" t="n">
        <f aca="false">IF(H3849="","",ABS(H3849))</f>
        <v>14</v>
      </c>
      <c r="M3849" s="33" t="n">
        <f aca="false">IF(I3849="","",ABS(I3849))</f>
        <v>10.25</v>
      </c>
      <c r="N3849" s="33" t="n">
        <f aca="false">IF(J3849="","",ABS(J3849))</f>
        <v>9.625</v>
      </c>
      <c r="O3849" s="33" t="n">
        <f aca="false">IF(K3849="","",ABS(K3849))</f>
        <v>10.5686703535606</v>
      </c>
      <c r="P3849" s="34" t="str">
        <f aca="false">IF(B3849&gt;=Eval_Start_Week,"YES","")</f>
        <v>YES</v>
      </c>
      <c r="Q3849" s="34" t="str">
        <f aca="false">IF(AND(B3849&gt;=Cal_Start_Week,B3849&lt;=Cal_End_Week),"YES","")</f>
        <v/>
      </c>
    </row>
    <row r="3850" customFormat="false" ht="15" hidden="false" customHeight="false" outlineLevel="0" collapsed="false">
      <c r="A3850" s="31" t="str">
        <f aca="false">Demand_History!C3850</f>
        <v>CLN-001</v>
      </c>
      <c r="B3850" s="31" t="n">
        <f aca="false">Demand_History!A3850</f>
        <v>1</v>
      </c>
      <c r="C3850" s="32" t="n">
        <f aca="false">Demand_History!D3850</f>
        <v>236</v>
      </c>
      <c r="D3850" s="33" t="str">
        <f aca="false">IF(B3850&gt;=2,C3849,"")</f>
        <v/>
      </c>
      <c r="E3850" s="33" t="str">
        <f aca="false">IF(B3850&gt;=5,AVERAGE(C3846:C3849),"")</f>
        <v/>
      </c>
      <c r="F3850" s="33" t="str">
        <f aca="false">IF(B3850&gt;=9,AVERAGE(C3842:C3849),"")</f>
        <v/>
      </c>
      <c r="G3850" s="33" t="str">
        <f aca="false">IF(B3850=1,"",IF(B3850=2,C3849,SES_Alpha*C3849+(1-SES_Alpha)*G3849))</f>
        <v/>
      </c>
      <c r="H3850" s="33" t="str">
        <f aca="false">IF(D3850="","",D3850-C3850)</f>
        <v/>
      </c>
      <c r="I3850" s="33" t="str">
        <f aca="false">IF(E3850="","",E3850-C3850)</f>
        <v/>
      </c>
      <c r="J3850" s="33" t="str">
        <f aca="false">IF(F3850="","",F3850-C3850)</f>
        <v/>
      </c>
      <c r="K3850" s="33" t="str">
        <f aca="false">IF(G3850="","",G3850-C3850)</f>
        <v/>
      </c>
      <c r="L3850" s="33" t="str">
        <f aca="false">IF(H3850="","",ABS(H3850))</f>
        <v/>
      </c>
      <c r="M3850" s="33" t="str">
        <f aca="false">IF(I3850="","",ABS(I3850))</f>
        <v/>
      </c>
      <c r="N3850" s="33" t="str">
        <f aca="false">IF(J3850="","",ABS(J3850))</f>
        <v/>
      </c>
      <c r="O3850" s="33" t="str">
        <f aca="false">IF(K3850="","",ABS(K3850))</f>
        <v/>
      </c>
      <c r="P3850" s="34" t="str">
        <f aca="false">IF(B3850&gt;=Eval_Start_Week,"YES","")</f>
        <v/>
      </c>
      <c r="Q3850" s="34" t="str">
        <f aca="false">IF(AND(B3850&gt;=Cal_Start_Week,B3850&lt;=Cal_End_Week),"YES","")</f>
        <v/>
      </c>
    </row>
    <row r="3851" customFormat="false" ht="15" hidden="false" customHeight="false" outlineLevel="0" collapsed="false">
      <c r="A3851" s="31" t="str">
        <f aca="false">Demand_History!C3851</f>
        <v>CLN-001</v>
      </c>
      <c r="B3851" s="31" t="n">
        <f aca="false">Demand_History!A3851</f>
        <v>2</v>
      </c>
      <c r="C3851" s="32" t="n">
        <f aca="false">Demand_History!D3851</f>
        <v>224</v>
      </c>
      <c r="D3851" s="33" t="n">
        <f aca="false">IF(B3851&gt;=2,C3850,"")</f>
        <v>236</v>
      </c>
      <c r="E3851" s="33" t="str">
        <f aca="false">IF(B3851&gt;=5,AVERAGE(C3847:C3850),"")</f>
        <v/>
      </c>
      <c r="F3851" s="33" t="str">
        <f aca="false">IF(B3851&gt;=9,AVERAGE(C3843:C3850),"")</f>
        <v/>
      </c>
      <c r="G3851" s="33" t="n">
        <f aca="false">IF(B3851=1,"",IF(B3851=2,C3850,SES_Alpha*C3850+(1-SES_Alpha)*G3850))</f>
        <v>236</v>
      </c>
      <c r="H3851" s="33" t="n">
        <f aca="false">IF(D3851="","",D3851-C3851)</f>
        <v>12</v>
      </c>
      <c r="I3851" s="33" t="str">
        <f aca="false">IF(E3851="","",E3851-C3851)</f>
        <v/>
      </c>
      <c r="J3851" s="33" t="str">
        <f aca="false">IF(F3851="","",F3851-C3851)</f>
        <v/>
      </c>
      <c r="K3851" s="33" t="n">
        <f aca="false">IF(G3851="","",G3851-C3851)</f>
        <v>12</v>
      </c>
      <c r="L3851" s="33" t="n">
        <f aca="false">IF(H3851="","",ABS(H3851))</f>
        <v>12</v>
      </c>
      <c r="M3851" s="33" t="str">
        <f aca="false">IF(I3851="","",ABS(I3851))</f>
        <v/>
      </c>
      <c r="N3851" s="33" t="str">
        <f aca="false">IF(J3851="","",ABS(J3851))</f>
        <v/>
      </c>
      <c r="O3851" s="33" t="n">
        <f aca="false">IF(K3851="","",ABS(K3851))</f>
        <v>12</v>
      </c>
      <c r="P3851" s="34" t="str">
        <f aca="false">IF(B3851&gt;=Eval_Start_Week,"YES","")</f>
        <v/>
      </c>
      <c r="Q3851" s="34" t="str">
        <f aca="false">IF(AND(B3851&gt;=Cal_Start_Week,B3851&lt;=Cal_End_Week),"YES","")</f>
        <v/>
      </c>
    </row>
    <row r="3852" customFormat="false" ht="15" hidden="false" customHeight="false" outlineLevel="0" collapsed="false">
      <c r="A3852" s="31" t="str">
        <f aca="false">Demand_History!C3852</f>
        <v>CLN-001</v>
      </c>
      <c r="B3852" s="31" t="n">
        <f aca="false">Demand_History!A3852</f>
        <v>3</v>
      </c>
      <c r="C3852" s="32" t="n">
        <f aca="false">Demand_History!D3852</f>
        <v>247</v>
      </c>
      <c r="D3852" s="33" t="n">
        <f aca="false">IF(B3852&gt;=2,C3851,"")</f>
        <v>224</v>
      </c>
      <c r="E3852" s="33" t="str">
        <f aca="false">IF(B3852&gt;=5,AVERAGE(C3848:C3851),"")</f>
        <v/>
      </c>
      <c r="F3852" s="33" t="str">
        <f aca="false">IF(B3852&gt;=9,AVERAGE(C3844:C3851),"")</f>
        <v/>
      </c>
      <c r="G3852" s="33" t="n">
        <f aca="false">IF(B3852=1,"",IF(B3852=2,C3851,SES_Alpha*C3851+(1-SES_Alpha)*G3851))</f>
        <v>232.4</v>
      </c>
      <c r="H3852" s="33" t="n">
        <f aca="false">IF(D3852="","",D3852-C3852)</f>
        <v>-23</v>
      </c>
      <c r="I3852" s="33" t="str">
        <f aca="false">IF(E3852="","",E3852-C3852)</f>
        <v/>
      </c>
      <c r="J3852" s="33" t="str">
        <f aca="false">IF(F3852="","",F3852-C3852)</f>
        <v/>
      </c>
      <c r="K3852" s="33" t="n">
        <f aca="false">IF(G3852="","",G3852-C3852)</f>
        <v>-14.6</v>
      </c>
      <c r="L3852" s="33" t="n">
        <f aca="false">IF(H3852="","",ABS(H3852))</f>
        <v>23</v>
      </c>
      <c r="M3852" s="33" t="str">
        <f aca="false">IF(I3852="","",ABS(I3852))</f>
        <v/>
      </c>
      <c r="N3852" s="33" t="str">
        <f aca="false">IF(J3852="","",ABS(J3852))</f>
        <v/>
      </c>
      <c r="O3852" s="33" t="n">
        <f aca="false">IF(K3852="","",ABS(K3852))</f>
        <v>14.6</v>
      </c>
      <c r="P3852" s="34" t="str">
        <f aca="false">IF(B3852&gt;=Eval_Start_Week,"YES","")</f>
        <v/>
      </c>
      <c r="Q3852" s="34" t="str">
        <f aca="false">IF(AND(B3852&gt;=Cal_Start_Week,B3852&lt;=Cal_End_Week),"YES","")</f>
        <v/>
      </c>
    </row>
    <row r="3853" customFormat="false" ht="15" hidden="false" customHeight="false" outlineLevel="0" collapsed="false">
      <c r="A3853" s="31" t="str">
        <f aca="false">Demand_History!C3853</f>
        <v>CLN-001</v>
      </c>
      <c r="B3853" s="31" t="n">
        <f aca="false">Demand_History!A3853</f>
        <v>4</v>
      </c>
      <c r="C3853" s="32" t="n">
        <f aca="false">Demand_History!D3853</f>
        <v>170</v>
      </c>
      <c r="D3853" s="33" t="n">
        <f aca="false">IF(B3853&gt;=2,C3852,"")</f>
        <v>247</v>
      </c>
      <c r="E3853" s="33" t="str">
        <f aca="false">IF(B3853&gt;=5,AVERAGE(C3849:C3852),"")</f>
        <v/>
      </c>
      <c r="F3853" s="33" t="str">
        <f aca="false">IF(B3853&gt;=9,AVERAGE(C3845:C3852),"")</f>
        <v/>
      </c>
      <c r="G3853" s="33" t="n">
        <f aca="false">IF(B3853=1,"",IF(B3853=2,C3852,SES_Alpha*C3852+(1-SES_Alpha)*G3852))</f>
        <v>236.78</v>
      </c>
      <c r="H3853" s="33" t="n">
        <f aca="false">IF(D3853="","",D3853-C3853)</f>
        <v>77</v>
      </c>
      <c r="I3853" s="33" t="str">
        <f aca="false">IF(E3853="","",E3853-C3853)</f>
        <v/>
      </c>
      <c r="J3853" s="33" t="str">
        <f aca="false">IF(F3853="","",F3853-C3853)</f>
        <v/>
      </c>
      <c r="K3853" s="33" t="n">
        <f aca="false">IF(G3853="","",G3853-C3853)</f>
        <v>66.78</v>
      </c>
      <c r="L3853" s="33" t="n">
        <f aca="false">IF(H3853="","",ABS(H3853))</f>
        <v>77</v>
      </c>
      <c r="M3853" s="33" t="str">
        <f aca="false">IF(I3853="","",ABS(I3853))</f>
        <v/>
      </c>
      <c r="N3853" s="33" t="str">
        <f aca="false">IF(J3853="","",ABS(J3853))</f>
        <v/>
      </c>
      <c r="O3853" s="33" t="n">
        <f aca="false">IF(K3853="","",ABS(K3853))</f>
        <v>66.78</v>
      </c>
      <c r="P3853" s="34" t="str">
        <f aca="false">IF(B3853&gt;=Eval_Start_Week,"YES","")</f>
        <v/>
      </c>
      <c r="Q3853" s="34" t="str">
        <f aca="false">IF(AND(B3853&gt;=Cal_Start_Week,B3853&lt;=Cal_End_Week),"YES","")</f>
        <v/>
      </c>
    </row>
    <row r="3854" customFormat="false" ht="15" hidden="false" customHeight="false" outlineLevel="0" collapsed="false">
      <c r="A3854" s="31" t="str">
        <f aca="false">Demand_History!C3854</f>
        <v>CLN-001</v>
      </c>
      <c r="B3854" s="31" t="n">
        <f aca="false">Demand_History!A3854</f>
        <v>5</v>
      </c>
      <c r="C3854" s="32" t="n">
        <f aca="false">Demand_History!D3854</f>
        <v>265</v>
      </c>
      <c r="D3854" s="33" t="n">
        <f aca="false">IF(B3854&gt;=2,C3853,"")</f>
        <v>170</v>
      </c>
      <c r="E3854" s="33" t="n">
        <f aca="false">IF(B3854&gt;=5,AVERAGE(C3850:C3853),"")</f>
        <v>219.25</v>
      </c>
      <c r="F3854" s="33" t="str">
        <f aca="false">IF(B3854&gt;=9,AVERAGE(C3846:C3853),"")</f>
        <v/>
      </c>
      <c r="G3854" s="33" t="n">
        <f aca="false">IF(B3854=1,"",IF(B3854=2,C3853,SES_Alpha*C3853+(1-SES_Alpha)*G3853))</f>
        <v>216.746</v>
      </c>
      <c r="H3854" s="33" t="n">
        <f aca="false">IF(D3854="","",D3854-C3854)</f>
        <v>-95</v>
      </c>
      <c r="I3854" s="33" t="n">
        <f aca="false">IF(E3854="","",E3854-C3854)</f>
        <v>-45.75</v>
      </c>
      <c r="J3854" s="33" t="str">
        <f aca="false">IF(F3854="","",F3854-C3854)</f>
        <v/>
      </c>
      <c r="K3854" s="33" t="n">
        <f aca="false">IF(G3854="","",G3854-C3854)</f>
        <v>-48.254</v>
      </c>
      <c r="L3854" s="33" t="n">
        <f aca="false">IF(H3854="","",ABS(H3854))</f>
        <v>95</v>
      </c>
      <c r="M3854" s="33" t="n">
        <f aca="false">IF(I3854="","",ABS(I3854))</f>
        <v>45.75</v>
      </c>
      <c r="N3854" s="33" t="str">
        <f aca="false">IF(J3854="","",ABS(J3854))</f>
        <v/>
      </c>
      <c r="O3854" s="33" t="n">
        <f aca="false">IF(K3854="","",ABS(K3854))</f>
        <v>48.254</v>
      </c>
      <c r="P3854" s="34" t="str">
        <f aca="false">IF(B3854&gt;=Eval_Start_Week,"YES","")</f>
        <v/>
      </c>
      <c r="Q3854" s="34" t="str">
        <f aca="false">IF(AND(B3854&gt;=Cal_Start_Week,B3854&lt;=Cal_End_Week),"YES","")</f>
        <v/>
      </c>
    </row>
    <row r="3855" customFormat="false" ht="15" hidden="false" customHeight="false" outlineLevel="0" collapsed="false">
      <c r="A3855" s="31" t="str">
        <f aca="false">Demand_History!C3855</f>
        <v>CLN-001</v>
      </c>
      <c r="B3855" s="31" t="n">
        <f aca="false">Demand_History!A3855</f>
        <v>6</v>
      </c>
      <c r="C3855" s="32" t="n">
        <f aca="false">Demand_History!D3855</f>
        <v>215</v>
      </c>
      <c r="D3855" s="33" t="n">
        <f aca="false">IF(B3855&gt;=2,C3854,"")</f>
        <v>265</v>
      </c>
      <c r="E3855" s="33" t="n">
        <f aca="false">IF(B3855&gt;=5,AVERAGE(C3851:C3854),"")</f>
        <v>226.5</v>
      </c>
      <c r="F3855" s="33" t="str">
        <f aca="false">IF(B3855&gt;=9,AVERAGE(C3847:C3854),"")</f>
        <v/>
      </c>
      <c r="G3855" s="33" t="n">
        <f aca="false">IF(B3855=1,"",IF(B3855=2,C3854,SES_Alpha*C3854+(1-SES_Alpha)*G3854))</f>
        <v>231.2222</v>
      </c>
      <c r="H3855" s="33" t="n">
        <f aca="false">IF(D3855="","",D3855-C3855)</f>
        <v>50</v>
      </c>
      <c r="I3855" s="33" t="n">
        <f aca="false">IF(E3855="","",E3855-C3855)</f>
        <v>11.5</v>
      </c>
      <c r="J3855" s="33" t="str">
        <f aca="false">IF(F3855="","",F3855-C3855)</f>
        <v/>
      </c>
      <c r="K3855" s="33" t="n">
        <f aca="false">IF(G3855="","",G3855-C3855)</f>
        <v>16.2222</v>
      </c>
      <c r="L3855" s="33" t="n">
        <f aca="false">IF(H3855="","",ABS(H3855))</f>
        <v>50</v>
      </c>
      <c r="M3855" s="33" t="n">
        <f aca="false">IF(I3855="","",ABS(I3855))</f>
        <v>11.5</v>
      </c>
      <c r="N3855" s="33" t="str">
        <f aca="false">IF(J3855="","",ABS(J3855))</f>
        <v/>
      </c>
      <c r="O3855" s="33" t="n">
        <f aca="false">IF(K3855="","",ABS(K3855))</f>
        <v>16.2222</v>
      </c>
      <c r="P3855" s="34" t="str">
        <f aca="false">IF(B3855&gt;=Eval_Start_Week,"YES","")</f>
        <v/>
      </c>
      <c r="Q3855" s="34" t="str">
        <f aca="false">IF(AND(B3855&gt;=Cal_Start_Week,B3855&lt;=Cal_End_Week),"YES","")</f>
        <v/>
      </c>
    </row>
    <row r="3856" customFormat="false" ht="15" hidden="false" customHeight="false" outlineLevel="0" collapsed="false">
      <c r="A3856" s="31" t="str">
        <f aca="false">Demand_History!C3856</f>
        <v>CLN-001</v>
      </c>
      <c r="B3856" s="31" t="n">
        <f aca="false">Demand_History!A3856</f>
        <v>7</v>
      </c>
      <c r="C3856" s="32" t="n">
        <f aca="false">Demand_History!D3856</f>
        <v>192</v>
      </c>
      <c r="D3856" s="33" t="n">
        <f aca="false">IF(B3856&gt;=2,C3855,"")</f>
        <v>215</v>
      </c>
      <c r="E3856" s="33" t="n">
        <f aca="false">IF(B3856&gt;=5,AVERAGE(C3852:C3855),"")</f>
        <v>224.25</v>
      </c>
      <c r="F3856" s="33" t="str">
        <f aca="false">IF(B3856&gt;=9,AVERAGE(C3848:C3855),"")</f>
        <v/>
      </c>
      <c r="G3856" s="33" t="n">
        <f aca="false">IF(B3856=1,"",IF(B3856=2,C3855,SES_Alpha*C3855+(1-SES_Alpha)*G3855))</f>
        <v>226.35554</v>
      </c>
      <c r="H3856" s="33" t="n">
        <f aca="false">IF(D3856="","",D3856-C3856)</f>
        <v>23</v>
      </c>
      <c r="I3856" s="33" t="n">
        <f aca="false">IF(E3856="","",E3856-C3856)</f>
        <v>32.25</v>
      </c>
      <c r="J3856" s="33" t="str">
        <f aca="false">IF(F3856="","",F3856-C3856)</f>
        <v/>
      </c>
      <c r="K3856" s="33" t="n">
        <f aca="false">IF(G3856="","",G3856-C3856)</f>
        <v>34.35554</v>
      </c>
      <c r="L3856" s="33" t="n">
        <f aca="false">IF(H3856="","",ABS(H3856))</f>
        <v>23</v>
      </c>
      <c r="M3856" s="33" t="n">
        <f aca="false">IF(I3856="","",ABS(I3856))</f>
        <v>32.25</v>
      </c>
      <c r="N3856" s="33" t="str">
        <f aca="false">IF(J3856="","",ABS(J3856))</f>
        <v/>
      </c>
      <c r="O3856" s="33" t="n">
        <f aca="false">IF(K3856="","",ABS(K3856))</f>
        <v>34.35554</v>
      </c>
      <c r="P3856" s="34" t="str">
        <f aca="false">IF(B3856&gt;=Eval_Start_Week,"YES","")</f>
        <v/>
      </c>
      <c r="Q3856" s="34" t="str">
        <f aca="false">IF(AND(B3856&gt;=Cal_Start_Week,B3856&lt;=Cal_End_Week),"YES","")</f>
        <v/>
      </c>
    </row>
    <row r="3857" customFormat="false" ht="15" hidden="false" customHeight="false" outlineLevel="0" collapsed="false">
      <c r="A3857" s="31" t="str">
        <f aca="false">Demand_History!C3857</f>
        <v>CLN-001</v>
      </c>
      <c r="B3857" s="31" t="n">
        <f aca="false">Demand_History!A3857</f>
        <v>8</v>
      </c>
      <c r="C3857" s="32" t="n">
        <f aca="false">Demand_History!D3857</f>
        <v>222</v>
      </c>
      <c r="D3857" s="33" t="n">
        <f aca="false">IF(B3857&gt;=2,C3856,"")</f>
        <v>192</v>
      </c>
      <c r="E3857" s="33" t="n">
        <f aca="false">IF(B3857&gt;=5,AVERAGE(C3853:C3856),"")</f>
        <v>210.5</v>
      </c>
      <c r="F3857" s="33" t="str">
        <f aca="false">IF(B3857&gt;=9,AVERAGE(C3849:C3856),"")</f>
        <v/>
      </c>
      <c r="G3857" s="33" t="n">
        <f aca="false">IF(B3857=1,"",IF(B3857=2,C3856,SES_Alpha*C3856+(1-SES_Alpha)*G3856))</f>
        <v>216.048878</v>
      </c>
      <c r="H3857" s="33" t="n">
        <f aca="false">IF(D3857="","",D3857-C3857)</f>
        <v>-30</v>
      </c>
      <c r="I3857" s="33" t="n">
        <f aca="false">IF(E3857="","",E3857-C3857)</f>
        <v>-11.5</v>
      </c>
      <c r="J3857" s="33" t="str">
        <f aca="false">IF(F3857="","",F3857-C3857)</f>
        <v/>
      </c>
      <c r="K3857" s="33" t="n">
        <f aca="false">IF(G3857="","",G3857-C3857)</f>
        <v>-5.95112200000003</v>
      </c>
      <c r="L3857" s="33" t="n">
        <f aca="false">IF(H3857="","",ABS(H3857))</f>
        <v>30</v>
      </c>
      <c r="M3857" s="33" t="n">
        <f aca="false">IF(I3857="","",ABS(I3857))</f>
        <v>11.5</v>
      </c>
      <c r="N3857" s="33" t="str">
        <f aca="false">IF(J3857="","",ABS(J3857))</f>
        <v/>
      </c>
      <c r="O3857" s="33" t="n">
        <f aca="false">IF(K3857="","",ABS(K3857))</f>
        <v>5.95112200000003</v>
      </c>
      <c r="P3857" s="34" t="str">
        <f aca="false">IF(B3857&gt;=Eval_Start_Week,"YES","")</f>
        <v/>
      </c>
      <c r="Q3857" s="34" t="str">
        <f aca="false">IF(AND(B3857&gt;=Cal_Start_Week,B3857&lt;=Cal_End_Week),"YES","")</f>
        <v/>
      </c>
    </row>
    <row r="3858" customFormat="false" ht="15" hidden="false" customHeight="false" outlineLevel="0" collapsed="false">
      <c r="A3858" s="31" t="str">
        <f aca="false">Demand_History!C3858</f>
        <v>CLN-001</v>
      </c>
      <c r="B3858" s="31" t="n">
        <f aca="false">Demand_History!A3858</f>
        <v>9</v>
      </c>
      <c r="C3858" s="32" t="n">
        <f aca="false">Demand_History!D3858</f>
        <v>270</v>
      </c>
      <c r="D3858" s="33" t="n">
        <f aca="false">IF(B3858&gt;=2,C3857,"")</f>
        <v>222</v>
      </c>
      <c r="E3858" s="33" t="n">
        <f aca="false">IF(B3858&gt;=5,AVERAGE(C3854:C3857),"")</f>
        <v>223.5</v>
      </c>
      <c r="F3858" s="33" t="n">
        <f aca="false">IF(B3858&gt;=9,AVERAGE(C3850:C3857),"")</f>
        <v>221.375</v>
      </c>
      <c r="G3858" s="33" t="n">
        <f aca="false">IF(B3858=1,"",IF(B3858=2,C3857,SES_Alpha*C3857+(1-SES_Alpha)*G3857))</f>
        <v>217.8342146</v>
      </c>
      <c r="H3858" s="33" t="n">
        <f aca="false">IF(D3858="","",D3858-C3858)</f>
        <v>-48</v>
      </c>
      <c r="I3858" s="33" t="n">
        <f aca="false">IF(E3858="","",E3858-C3858)</f>
        <v>-46.5</v>
      </c>
      <c r="J3858" s="33" t="n">
        <f aca="false">IF(F3858="","",F3858-C3858)</f>
        <v>-48.625</v>
      </c>
      <c r="K3858" s="33" t="n">
        <f aca="false">IF(G3858="","",G3858-C3858)</f>
        <v>-52.1657854</v>
      </c>
      <c r="L3858" s="33" t="n">
        <f aca="false">IF(H3858="","",ABS(H3858))</f>
        <v>48</v>
      </c>
      <c r="M3858" s="33" t="n">
        <f aca="false">IF(I3858="","",ABS(I3858))</f>
        <v>46.5</v>
      </c>
      <c r="N3858" s="33" t="n">
        <f aca="false">IF(J3858="","",ABS(J3858))</f>
        <v>48.625</v>
      </c>
      <c r="O3858" s="33" t="n">
        <f aca="false">IF(K3858="","",ABS(K3858))</f>
        <v>52.1657854</v>
      </c>
      <c r="P3858" s="34" t="str">
        <f aca="false">IF(B3858&gt;=Eval_Start_Week,"YES","")</f>
        <v/>
      </c>
      <c r="Q3858" s="34" t="str">
        <f aca="false">IF(AND(B3858&gt;=Cal_Start_Week,B3858&lt;=Cal_End_Week),"YES","")</f>
        <v/>
      </c>
    </row>
    <row r="3859" customFormat="false" ht="15" hidden="false" customHeight="false" outlineLevel="0" collapsed="false">
      <c r="A3859" s="31" t="str">
        <f aca="false">Demand_History!C3859</f>
        <v>CLN-001</v>
      </c>
      <c r="B3859" s="31" t="n">
        <f aca="false">Demand_History!A3859</f>
        <v>10</v>
      </c>
      <c r="C3859" s="32" t="n">
        <f aca="false">Demand_History!D3859</f>
        <v>231</v>
      </c>
      <c r="D3859" s="33" t="n">
        <f aca="false">IF(B3859&gt;=2,C3858,"")</f>
        <v>270</v>
      </c>
      <c r="E3859" s="33" t="n">
        <f aca="false">IF(B3859&gt;=5,AVERAGE(C3855:C3858),"")</f>
        <v>224.75</v>
      </c>
      <c r="F3859" s="33" t="n">
        <f aca="false">IF(B3859&gt;=9,AVERAGE(C3851:C3858),"")</f>
        <v>225.625</v>
      </c>
      <c r="G3859" s="33" t="n">
        <f aca="false">IF(B3859=1,"",IF(B3859=2,C3858,SES_Alpha*C3858+(1-SES_Alpha)*G3858))</f>
        <v>233.48395022</v>
      </c>
      <c r="H3859" s="33" t="n">
        <f aca="false">IF(D3859="","",D3859-C3859)</f>
        <v>39</v>
      </c>
      <c r="I3859" s="33" t="n">
        <f aca="false">IF(E3859="","",E3859-C3859)</f>
        <v>-6.25</v>
      </c>
      <c r="J3859" s="33" t="n">
        <f aca="false">IF(F3859="","",F3859-C3859)</f>
        <v>-5.375</v>
      </c>
      <c r="K3859" s="33" t="n">
        <f aca="false">IF(G3859="","",G3859-C3859)</f>
        <v>2.48395021999997</v>
      </c>
      <c r="L3859" s="33" t="n">
        <f aca="false">IF(H3859="","",ABS(H3859))</f>
        <v>39</v>
      </c>
      <c r="M3859" s="33" t="n">
        <f aca="false">IF(I3859="","",ABS(I3859))</f>
        <v>6.25</v>
      </c>
      <c r="N3859" s="33" t="n">
        <f aca="false">IF(J3859="","",ABS(J3859))</f>
        <v>5.375</v>
      </c>
      <c r="O3859" s="33" t="n">
        <f aca="false">IF(K3859="","",ABS(K3859))</f>
        <v>2.48395021999997</v>
      </c>
      <c r="P3859" s="34" t="str">
        <f aca="false">IF(B3859&gt;=Eval_Start_Week,"YES","")</f>
        <v/>
      </c>
      <c r="Q3859" s="34" t="str">
        <f aca="false">IF(AND(B3859&gt;=Cal_Start_Week,B3859&lt;=Cal_End_Week),"YES","")</f>
        <v/>
      </c>
    </row>
    <row r="3860" customFormat="false" ht="15" hidden="false" customHeight="false" outlineLevel="0" collapsed="false">
      <c r="A3860" s="31" t="str">
        <f aca="false">Demand_History!C3860</f>
        <v>CLN-001</v>
      </c>
      <c r="B3860" s="31" t="n">
        <f aca="false">Demand_History!A3860</f>
        <v>11</v>
      </c>
      <c r="C3860" s="32" t="n">
        <f aca="false">Demand_History!D3860</f>
        <v>192</v>
      </c>
      <c r="D3860" s="33" t="n">
        <f aca="false">IF(B3860&gt;=2,C3859,"")</f>
        <v>231</v>
      </c>
      <c r="E3860" s="33" t="n">
        <f aca="false">IF(B3860&gt;=5,AVERAGE(C3856:C3859),"")</f>
        <v>228.75</v>
      </c>
      <c r="F3860" s="33" t="n">
        <f aca="false">IF(B3860&gt;=9,AVERAGE(C3852:C3859),"")</f>
        <v>226.5</v>
      </c>
      <c r="G3860" s="33" t="n">
        <f aca="false">IF(B3860=1,"",IF(B3860=2,C3859,SES_Alpha*C3859+(1-SES_Alpha)*G3859))</f>
        <v>232.738765154</v>
      </c>
      <c r="H3860" s="33" t="n">
        <f aca="false">IF(D3860="","",D3860-C3860)</f>
        <v>39</v>
      </c>
      <c r="I3860" s="33" t="n">
        <f aca="false">IF(E3860="","",E3860-C3860)</f>
        <v>36.75</v>
      </c>
      <c r="J3860" s="33" t="n">
        <f aca="false">IF(F3860="","",F3860-C3860)</f>
        <v>34.5</v>
      </c>
      <c r="K3860" s="33" t="n">
        <f aca="false">IF(G3860="","",G3860-C3860)</f>
        <v>40.738765154</v>
      </c>
      <c r="L3860" s="33" t="n">
        <f aca="false">IF(H3860="","",ABS(H3860))</f>
        <v>39</v>
      </c>
      <c r="M3860" s="33" t="n">
        <f aca="false">IF(I3860="","",ABS(I3860))</f>
        <v>36.75</v>
      </c>
      <c r="N3860" s="33" t="n">
        <f aca="false">IF(J3860="","",ABS(J3860))</f>
        <v>34.5</v>
      </c>
      <c r="O3860" s="33" t="n">
        <f aca="false">IF(K3860="","",ABS(K3860))</f>
        <v>40.738765154</v>
      </c>
      <c r="P3860" s="34" t="str">
        <f aca="false">IF(B3860&gt;=Eval_Start_Week,"YES","")</f>
        <v/>
      </c>
      <c r="Q3860" s="34" t="str">
        <f aca="false">IF(AND(B3860&gt;=Cal_Start_Week,B3860&lt;=Cal_End_Week),"YES","")</f>
        <v/>
      </c>
    </row>
    <row r="3861" customFormat="false" ht="15" hidden="false" customHeight="false" outlineLevel="0" collapsed="false">
      <c r="A3861" s="31" t="str">
        <f aca="false">Demand_History!C3861</f>
        <v>CLN-001</v>
      </c>
      <c r="B3861" s="31" t="n">
        <f aca="false">Demand_History!A3861</f>
        <v>12</v>
      </c>
      <c r="C3861" s="32" t="n">
        <f aca="false">Demand_History!D3861</f>
        <v>209</v>
      </c>
      <c r="D3861" s="33" t="n">
        <f aca="false">IF(B3861&gt;=2,C3860,"")</f>
        <v>192</v>
      </c>
      <c r="E3861" s="33" t="n">
        <f aca="false">IF(B3861&gt;=5,AVERAGE(C3857:C3860),"")</f>
        <v>228.75</v>
      </c>
      <c r="F3861" s="33" t="n">
        <f aca="false">IF(B3861&gt;=9,AVERAGE(C3853:C3860),"")</f>
        <v>219.625</v>
      </c>
      <c r="G3861" s="33" t="n">
        <f aca="false">IF(B3861=1,"",IF(B3861=2,C3860,SES_Alpha*C3860+(1-SES_Alpha)*G3860))</f>
        <v>220.5171356078</v>
      </c>
      <c r="H3861" s="33" t="n">
        <f aca="false">IF(D3861="","",D3861-C3861)</f>
        <v>-17</v>
      </c>
      <c r="I3861" s="33" t="n">
        <f aca="false">IF(E3861="","",E3861-C3861)</f>
        <v>19.75</v>
      </c>
      <c r="J3861" s="33" t="n">
        <f aca="false">IF(F3861="","",F3861-C3861)</f>
        <v>10.625</v>
      </c>
      <c r="K3861" s="33" t="n">
        <f aca="false">IF(G3861="","",G3861-C3861)</f>
        <v>11.5171356078</v>
      </c>
      <c r="L3861" s="33" t="n">
        <f aca="false">IF(H3861="","",ABS(H3861))</f>
        <v>17</v>
      </c>
      <c r="M3861" s="33" t="n">
        <f aca="false">IF(I3861="","",ABS(I3861))</f>
        <v>19.75</v>
      </c>
      <c r="N3861" s="33" t="n">
        <f aca="false">IF(J3861="","",ABS(J3861))</f>
        <v>10.625</v>
      </c>
      <c r="O3861" s="33" t="n">
        <f aca="false">IF(K3861="","",ABS(K3861))</f>
        <v>11.5171356078</v>
      </c>
      <c r="P3861" s="34" t="str">
        <f aca="false">IF(B3861&gt;=Eval_Start_Week,"YES","")</f>
        <v/>
      </c>
      <c r="Q3861" s="34" t="str">
        <f aca="false">IF(AND(B3861&gt;=Cal_Start_Week,B3861&lt;=Cal_End_Week),"YES","")</f>
        <v/>
      </c>
    </row>
    <row r="3862" customFormat="false" ht="15" hidden="false" customHeight="false" outlineLevel="0" collapsed="false">
      <c r="A3862" s="31" t="str">
        <f aca="false">Demand_History!C3862</f>
        <v>CLN-001</v>
      </c>
      <c r="B3862" s="31" t="n">
        <f aca="false">Demand_History!A3862</f>
        <v>13</v>
      </c>
      <c r="C3862" s="32" t="n">
        <f aca="false">Demand_History!D3862</f>
        <v>249</v>
      </c>
      <c r="D3862" s="33" t="n">
        <f aca="false">IF(B3862&gt;=2,C3861,"")</f>
        <v>209</v>
      </c>
      <c r="E3862" s="33" t="n">
        <f aca="false">IF(B3862&gt;=5,AVERAGE(C3858:C3861),"")</f>
        <v>225.5</v>
      </c>
      <c r="F3862" s="33" t="n">
        <f aca="false">IF(B3862&gt;=9,AVERAGE(C3854:C3861),"")</f>
        <v>224.5</v>
      </c>
      <c r="G3862" s="33" t="n">
        <f aca="false">IF(B3862=1,"",IF(B3862=2,C3861,SES_Alpha*C3861+(1-SES_Alpha)*G3861))</f>
        <v>217.06199492546</v>
      </c>
      <c r="H3862" s="33" t="n">
        <f aca="false">IF(D3862="","",D3862-C3862)</f>
        <v>-40</v>
      </c>
      <c r="I3862" s="33" t="n">
        <f aca="false">IF(E3862="","",E3862-C3862)</f>
        <v>-23.5</v>
      </c>
      <c r="J3862" s="33" t="n">
        <f aca="false">IF(F3862="","",F3862-C3862)</f>
        <v>-24.5</v>
      </c>
      <c r="K3862" s="33" t="n">
        <f aca="false">IF(G3862="","",G3862-C3862)</f>
        <v>-31.9380050745401</v>
      </c>
      <c r="L3862" s="33" t="n">
        <f aca="false">IF(H3862="","",ABS(H3862))</f>
        <v>40</v>
      </c>
      <c r="M3862" s="33" t="n">
        <f aca="false">IF(I3862="","",ABS(I3862))</f>
        <v>23.5</v>
      </c>
      <c r="N3862" s="33" t="n">
        <f aca="false">IF(J3862="","",ABS(J3862))</f>
        <v>24.5</v>
      </c>
      <c r="O3862" s="33" t="n">
        <f aca="false">IF(K3862="","",ABS(K3862))</f>
        <v>31.9380050745401</v>
      </c>
      <c r="P3862" s="34" t="str">
        <f aca="false">IF(B3862&gt;=Eval_Start_Week,"YES","")</f>
        <v/>
      </c>
      <c r="Q3862" s="34" t="str">
        <f aca="false">IF(AND(B3862&gt;=Cal_Start_Week,B3862&lt;=Cal_End_Week),"YES","")</f>
        <v/>
      </c>
    </row>
    <row r="3863" customFormat="false" ht="15" hidden="false" customHeight="false" outlineLevel="0" collapsed="false">
      <c r="A3863" s="31" t="str">
        <f aca="false">Demand_History!C3863</f>
        <v>CLN-001</v>
      </c>
      <c r="B3863" s="31" t="n">
        <f aca="false">Demand_History!A3863</f>
        <v>14</v>
      </c>
      <c r="C3863" s="32" t="n">
        <f aca="false">Demand_History!D3863</f>
        <v>188</v>
      </c>
      <c r="D3863" s="33" t="n">
        <f aca="false">IF(B3863&gt;=2,C3862,"")</f>
        <v>249</v>
      </c>
      <c r="E3863" s="33" t="n">
        <f aca="false">IF(B3863&gt;=5,AVERAGE(C3859:C3862),"")</f>
        <v>220.25</v>
      </c>
      <c r="F3863" s="33" t="n">
        <f aca="false">IF(B3863&gt;=9,AVERAGE(C3855:C3862),"")</f>
        <v>222.5</v>
      </c>
      <c r="G3863" s="33" t="n">
        <f aca="false">IF(B3863=1,"",IF(B3863=2,C3862,SES_Alpha*C3862+(1-SES_Alpha)*G3862))</f>
        <v>226.643396447822</v>
      </c>
      <c r="H3863" s="33" t="n">
        <f aca="false">IF(D3863="","",D3863-C3863)</f>
        <v>61</v>
      </c>
      <c r="I3863" s="33" t="n">
        <f aca="false">IF(E3863="","",E3863-C3863)</f>
        <v>32.25</v>
      </c>
      <c r="J3863" s="33" t="n">
        <f aca="false">IF(F3863="","",F3863-C3863)</f>
        <v>34.5</v>
      </c>
      <c r="K3863" s="33" t="n">
        <f aca="false">IF(G3863="","",G3863-C3863)</f>
        <v>38.6433964478219</v>
      </c>
      <c r="L3863" s="33" t="n">
        <f aca="false">IF(H3863="","",ABS(H3863))</f>
        <v>61</v>
      </c>
      <c r="M3863" s="33" t="n">
        <f aca="false">IF(I3863="","",ABS(I3863))</f>
        <v>32.25</v>
      </c>
      <c r="N3863" s="33" t="n">
        <f aca="false">IF(J3863="","",ABS(J3863))</f>
        <v>34.5</v>
      </c>
      <c r="O3863" s="33" t="n">
        <f aca="false">IF(K3863="","",ABS(K3863))</f>
        <v>38.6433964478219</v>
      </c>
      <c r="P3863" s="34" t="str">
        <f aca="false">IF(B3863&gt;=Eval_Start_Week,"YES","")</f>
        <v/>
      </c>
      <c r="Q3863" s="34" t="str">
        <f aca="false">IF(AND(B3863&gt;=Cal_Start_Week,B3863&lt;=Cal_End_Week),"YES","")</f>
        <v/>
      </c>
    </row>
    <row r="3864" customFormat="false" ht="15" hidden="false" customHeight="false" outlineLevel="0" collapsed="false">
      <c r="A3864" s="31" t="str">
        <f aca="false">Demand_History!C3864</f>
        <v>CLN-001</v>
      </c>
      <c r="B3864" s="31" t="n">
        <f aca="false">Demand_History!A3864</f>
        <v>15</v>
      </c>
      <c r="C3864" s="32" t="n">
        <f aca="false">Demand_History!D3864</f>
        <v>215</v>
      </c>
      <c r="D3864" s="33" t="n">
        <f aca="false">IF(B3864&gt;=2,C3863,"")</f>
        <v>188</v>
      </c>
      <c r="E3864" s="33" t="n">
        <f aca="false">IF(B3864&gt;=5,AVERAGE(C3860:C3863),"")</f>
        <v>209.5</v>
      </c>
      <c r="F3864" s="33" t="n">
        <f aca="false">IF(B3864&gt;=9,AVERAGE(C3856:C3863),"")</f>
        <v>219.125</v>
      </c>
      <c r="G3864" s="33" t="n">
        <f aca="false">IF(B3864=1,"",IF(B3864=2,C3863,SES_Alpha*C3863+(1-SES_Alpha)*G3863))</f>
        <v>215.050377513475</v>
      </c>
      <c r="H3864" s="33" t="n">
        <f aca="false">IF(D3864="","",D3864-C3864)</f>
        <v>-27</v>
      </c>
      <c r="I3864" s="33" t="n">
        <f aca="false">IF(E3864="","",E3864-C3864)</f>
        <v>-5.5</v>
      </c>
      <c r="J3864" s="33" t="n">
        <f aca="false">IF(F3864="","",F3864-C3864)</f>
        <v>4.125</v>
      </c>
      <c r="K3864" s="33" t="n">
        <f aca="false">IF(G3864="","",G3864-C3864)</f>
        <v>0.0503775134753539</v>
      </c>
      <c r="L3864" s="33" t="n">
        <f aca="false">IF(H3864="","",ABS(H3864))</f>
        <v>27</v>
      </c>
      <c r="M3864" s="33" t="n">
        <f aca="false">IF(I3864="","",ABS(I3864))</f>
        <v>5.5</v>
      </c>
      <c r="N3864" s="33" t="n">
        <f aca="false">IF(J3864="","",ABS(J3864))</f>
        <v>4.125</v>
      </c>
      <c r="O3864" s="33" t="n">
        <f aca="false">IF(K3864="","",ABS(K3864))</f>
        <v>0.0503775134753539</v>
      </c>
      <c r="P3864" s="34" t="str">
        <f aca="false">IF(B3864&gt;=Eval_Start_Week,"YES","")</f>
        <v/>
      </c>
      <c r="Q3864" s="34" t="str">
        <f aca="false">IF(AND(B3864&gt;=Cal_Start_Week,B3864&lt;=Cal_End_Week),"YES","")</f>
        <v/>
      </c>
    </row>
    <row r="3865" customFormat="false" ht="15" hidden="false" customHeight="false" outlineLevel="0" collapsed="false">
      <c r="A3865" s="31" t="str">
        <f aca="false">Demand_History!C3865</f>
        <v>CLN-001</v>
      </c>
      <c r="B3865" s="31" t="n">
        <f aca="false">Demand_History!A3865</f>
        <v>16</v>
      </c>
      <c r="C3865" s="32" t="n">
        <f aca="false">Demand_History!D3865</f>
        <v>213</v>
      </c>
      <c r="D3865" s="33" t="n">
        <f aca="false">IF(B3865&gt;=2,C3864,"")</f>
        <v>215</v>
      </c>
      <c r="E3865" s="33" t="n">
        <f aca="false">IF(B3865&gt;=5,AVERAGE(C3861:C3864),"")</f>
        <v>215.25</v>
      </c>
      <c r="F3865" s="33" t="n">
        <f aca="false">IF(B3865&gt;=9,AVERAGE(C3857:C3864),"")</f>
        <v>222</v>
      </c>
      <c r="G3865" s="33" t="n">
        <f aca="false">IF(B3865=1,"",IF(B3865=2,C3864,SES_Alpha*C3864+(1-SES_Alpha)*G3864))</f>
        <v>215.035264259433</v>
      </c>
      <c r="H3865" s="33" t="n">
        <f aca="false">IF(D3865="","",D3865-C3865)</f>
        <v>2</v>
      </c>
      <c r="I3865" s="33" t="n">
        <f aca="false">IF(E3865="","",E3865-C3865)</f>
        <v>2.25</v>
      </c>
      <c r="J3865" s="33" t="n">
        <f aca="false">IF(F3865="","",F3865-C3865)</f>
        <v>9</v>
      </c>
      <c r="K3865" s="33" t="n">
        <f aca="false">IF(G3865="","",G3865-C3865)</f>
        <v>2.03526425943275</v>
      </c>
      <c r="L3865" s="33" t="n">
        <f aca="false">IF(H3865="","",ABS(H3865))</f>
        <v>2</v>
      </c>
      <c r="M3865" s="33" t="n">
        <f aca="false">IF(I3865="","",ABS(I3865))</f>
        <v>2.25</v>
      </c>
      <c r="N3865" s="33" t="n">
        <f aca="false">IF(J3865="","",ABS(J3865))</f>
        <v>9</v>
      </c>
      <c r="O3865" s="33" t="n">
        <f aca="false">IF(K3865="","",ABS(K3865))</f>
        <v>2.03526425943275</v>
      </c>
      <c r="P3865" s="34" t="str">
        <f aca="false">IF(B3865&gt;=Eval_Start_Week,"YES","")</f>
        <v/>
      </c>
      <c r="Q3865" s="34" t="str">
        <f aca="false">IF(AND(B3865&gt;=Cal_Start_Week,B3865&lt;=Cal_End_Week),"YES","")</f>
        <v/>
      </c>
    </row>
    <row r="3866" customFormat="false" ht="15" hidden="false" customHeight="false" outlineLevel="0" collapsed="false">
      <c r="A3866" s="31" t="str">
        <f aca="false">Demand_History!C3866</f>
        <v>CLN-001</v>
      </c>
      <c r="B3866" s="31" t="n">
        <f aca="false">Demand_History!A3866</f>
        <v>17</v>
      </c>
      <c r="C3866" s="32" t="n">
        <f aca="false">Demand_History!D3866</f>
        <v>268</v>
      </c>
      <c r="D3866" s="33" t="n">
        <f aca="false">IF(B3866&gt;=2,C3865,"")</f>
        <v>213</v>
      </c>
      <c r="E3866" s="33" t="n">
        <f aca="false">IF(B3866&gt;=5,AVERAGE(C3862:C3865),"")</f>
        <v>216.25</v>
      </c>
      <c r="F3866" s="33" t="n">
        <f aca="false">IF(B3866&gt;=9,AVERAGE(C3858:C3865),"")</f>
        <v>220.875</v>
      </c>
      <c r="G3866" s="33" t="n">
        <f aca="false">IF(B3866=1,"",IF(B3866=2,C3865,SES_Alpha*C3865+(1-SES_Alpha)*G3865))</f>
        <v>214.424684981603</v>
      </c>
      <c r="H3866" s="33" t="n">
        <f aca="false">IF(D3866="","",D3866-C3866)</f>
        <v>-55</v>
      </c>
      <c r="I3866" s="33" t="n">
        <f aca="false">IF(E3866="","",E3866-C3866)</f>
        <v>-51.75</v>
      </c>
      <c r="J3866" s="33" t="n">
        <f aca="false">IF(F3866="","",F3866-C3866)</f>
        <v>-47.125</v>
      </c>
      <c r="K3866" s="33" t="n">
        <f aca="false">IF(G3866="","",G3866-C3866)</f>
        <v>-53.5753150183971</v>
      </c>
      <c r="L3866" s="33" t="n">
        <f aca="false">IF(H3866="","",ABS(H3866))</f>
        <v>55</v>
      </c>
      <c r="M3866" s="33" t="n">
        <f aca="false">IF(I3866="","",ABS(I3866))</f>
        <v>51.75</v>
      </c>
      <c r="N3866" s="33" t="n">
        <f aca="false">IF(J3866="","",ABS(J3866))</f>
        <v>47.125</v>
      </c>
      <c r="O3866" s="33" t="n">
        <f aca="false">IF(K3866="","",ABS(K3866))</f>
        <v>53.5753150183971</v>
      </c>
      <c r="P3866" s="34" t="str">
        <f aca="false">IF(B3866&gt;=Eval_Start_Week,"YES","")</f>
        <v/>
      </c>
      <c r="Q3866" s="34" t="str">
        <f aca="false">IF(AND(B3866&gt;=Cal_Start_Week,B3866&lt;=Cal_End_Week),"YES","")</f>
        <v/>
      </c>
    </row>
    <row r="3867" customFormat="false" ht="15" hidden="false" customHeight="false" outlineLevel="0" collapsed="false">
      <c r="A3867" s="31" t="str">
        <f aca="false">Demand_History!C3867</f>
        <v>CLN-001</v>
      </c>
      <c r="B3867" s="31" t="n">
        <f aca="false">Demand_History!A3867</f>
        <v>18</v>
      </c>
      <c r="C3867" s="32" t="n">
        <f aca="false">Demand_History!D3867</f>
        <v>213</v>
      </c>
      <c r="D3867" s="33" t="n">
        <f aca="false">IF(B3867&gt;=2,C3866,"")</f>
        <v>268</v>
      </c>
      <c r="E3867" s="33" t="n">
        <f aca="false">IF(B3867&gt;=5,AVERAGE(C3863:C3866),"")</f>
        <v>221</v>
      </c>
      <c r="F3867" s="33" t="n">
        <f aca="false">IF(B3867&gt;=9,AVERAGE(C3859:C3866),"")</f>
        <v>220.625</v>
      </c>
      <c r="G3867" s="33" t="n">
        <f aca="false">IF(B3867=1,"",IF(B3867=2,C3866,SES_Alpha*C3866+(1-SES_Alpha)*G3866))</f>
        <v>230.497279487122</v>
      </c>
      <c r="H3867" s="33" t="n">
        <f aca="false">IF(D3867="","",D3867-C3867)</f>
        <v>55</v>
      </c>
      <c r="I3867" s="33" t="n">
        <f aca="false">IF(E3867="","",E3867-C3867)</f>
        <v>8</v>
      </c>
      <c r="J3867" s="33" t="n">
        <f aca="false">IF(F3867="","",F3867-C3867)</f>
        <v>7.625</v>
      </c>
      <c r="K3867" s="33" t="n">
        <f aca="false">IF(G3867="","",G3867-C3867)</f>
        <v>17.497279487122</v>
      </c>
      <c r="L3867" s="33" t="n">
        <f aca="false">IF(H3867="","",ABS(H3867))</f>
        <v>55</v>
      </c>
      <c r="M3867" s="33" t="n">
        <f aca="false">IF(I3867="","",ABS(I3867))</f>
        <v>8</v>
      </c>
      <c r="N3867" s="33" t="n">
        <f aca="false">IF(J3867="","",ABS(J3867))</f>
        <v>7.625</v>
      </c>
      <c r="O3867" s="33" t="n">
        <f aca="false">IF(K3867="","",ABS(K3867))</f>
        <v>17.497279487122</v>
      </c>
      <c r="P3867" s="34" t="str">
        <f aca="false">IF(B3867&gt;=Eval_Start_Week,"YES","")</f>
        <v/>
      </c>
      <c r="Q3867" s="34" t="str">
        <f aca="false">IF(AND(B3867&gt;=Cal_Start_Week,B3867&lt;=Cal_End_Week),"YES","")</f>
        <v/>
      </c>
    </row>
    <row r="3868" customFormat="false" ht="15" hidden="false" customHeight="false" outlineLevel="0" collapsed="false">
      <c r="A3868" s="31" t="str">
        <f aca="false">Demand_History!C3868</f>
        <v>CLN-001</v>
      </c>
      <c r="B3868" s="31" t="n">
        <f aca="false">Demand_History!A3868</f>
        <v>19</v>
      </c>
      <c r="C3868" s="32" t="n">
        <f aca="false">Demand_History!D3868</f>
        <v>249</v>
      </c>
      <c r="D3868" s="33" t="n">
        <f aca="false">IF(B3868&gt;=2,C3867,"")</f>
        <v>213</v>
      </c>
      <c r="E3868" s="33" t="n">
        <f aca="false">IF(B3868&gt;=5,AVERAGE(C3864:C3867),"")</f>
        <v>227.25</v>
      </c>
      <c r="F3868" s="33" t="n">
        <f aca="false">IF(B3868&gt;=9,AVERAGE(C3860:C3867),"")</f>
        <v>218.375</v>
      </c>
      <c r="G3868" s="33" t="n">
        <f aca="false">IF(B3868=1,"",IF(B3868=2,C3867,SES_Alpha*C3867+(1-SES_Alpha)*G3867))</f>
        <v>225.248095640985</v>
      </c>
      <c r="H3868" s="33" t="n">
        <f aca="false">IF(D3868="","",D3868-C3868)</f>
        <v>-36</v>
      </c>
      <c r="I3868" s="33" t="n">
        <f aca="false">IF(E3868="","",E3868-C3868)</f>
        <v>-21.75</v>
      </c>
      <c r="J3868" s="33" t="n">
        <f aca="false">IF(F3868="","",F3868-C3868)</f>
        <v>-30.625</v>
      </c>
      <c r="K3868" s="33" t="n">
        <f aca="false">IF(G3868="","",G3868-C3868)</f>
        <v>-23.7519043590146</v>
      </c>
      <c r="L3868" s="33" t="n">
        <f aca="false">IF(H3868="","",ABS(H3868))</f>
        <v>36</v>
      </c>
      <c r="M3868" s="33" t="n">
        <f aca="false">IF(I3868="","",ABS(I3868))</f>
        <v>21.75</v>
      </c>
      <c r="N3868" s="33" t="n">
        <f aca="false">IF(J3868="","",ABS(J3868))</f>
        <v>30.625</v>
      </c>
      <c r="O3868" s="33" t="n">
        <f aca="false">IF(K3868="","",ABS(K3868))</f>
        <v>23.7519043590146</v>
      </c>
      <c r="P3868" s="34" t="str">
        <f aca="false">IF(B3868&gt;=Eval_Start_Week,"YES","")</f>
        <v/>
      </c>
      <c r="Q3868" s="34" t="str">
        <f aca="false">IF(AND(B3868&gt;=Cal_Start_Week,B3868&lt;=Cal_End_Week),"YES","")</f>
        <v/>
      </c>
    </row>
    <row r="3869" customFormat="false" ht="15" hidden="false" customHeight="false" outlineLevel="0" collapsed="false">
      <c r="A3869" s="31" t="str">
        <f aca="false">Demand_History!C3869</f>
        <v>CLN-001</v>
      </c>
      <c r="B3869" s="31" t="n">
        <f aca="false">Demand_History!A3869</f>
        <v>20</v>
      </c>
      <c r="C3869" s="32" t="n">
        <f aca="false">Demand_History!D3869</f>
        <v>204</v>
      </c>
      <c r="D3869" s="33" t="n">
        <f aca="false">IF(B3869&gt;=2,C3868,"")</f>
        <v>249</v>
      </c>
      <c r="E3869" s="33" t="n">
        <f aca="false">IF(B3869&gt;=5,AVERAGE(C3865:C3868),"")</f>
        <v>235.75</v>
      </c>
      <c r="F3869" s="33" t="n">
        <f aca="false">IF(B3869&gt;=9,AVERAGE(C3861:C3868),"")</f>
        <v>225.5</v>
      </c>
      <c r="G3869" s="33" t="n">
        <f aca="false">IF(B3869=1,"",IF(B3869=2,C3868,SES_Alpha*C3868+(1-SES_Alpha)*G3868))</f>
        <v>232.37366694869</v>
      </c>
      <c r="H3869" s="33" t="n">
        <f aca="false">IF(D3869="","",D3869-C3869)</f>
        <v>45</v>
      </c>
      <c r="I3869" s="33" t="n">
        <f aca="false">IF(E3869="","",E3869-C3869)</f>
        <v>31.75</v>
      </c>
      <c r="J3869" s="33" t="n">
        <f aca="false">IF(F3869="","",F3869-C3869)</f>
        <v>21.5</v>
      </c>
      <c r="K3869" s="33" t="n">
        <f aca="false">IF(G3869="","",G3869-C3869)</f>
        <v>28.3736669486898</v>
      </c>
      <c r="L3869" s="33" t="n">
        <f aca="false">IF(H3869="","",ABS(H3869))</f>
        <v>45</v>
      </c>
      <c r="M3869" s="33" t="n">
        <f aca="false">IF(I3869="","",ABS(I3869))</f>
        <v>31.75</v>
      </c>
      <c r="N3869" s="33" t="n">
        <f aca="false">IF(J3869="","",ABS(J3869))</f>
        <v>21.5</v>
      </c>
      <c r="O3869" s="33" t="n">
        <f aca="false">IF(K3869="","",ABS(K3869))</f>
        <v>28.3736669486898</v>
      </c>
      <c r="P3869" s="34" t="str">
        <f aca="false">IF(B3869&gt;=Eval_Start_Week,"YES","")</f>
        <v/>
      </c>
      <c r="Q3869" s="34" t="str">
        <f aca="false">IF(AND(B3869&gt;=Cal_Start_Week,B3869&lt;=Cal_End_Week),"YES","")</f>
        <v/>
      </c>
    </row>
    <row r="3870" customFormat="false" ht="15" hidden="false" customHeight="false" outlineLevel="0" collapsed="false">
      <c r="A3870" s="31" t="str">
        <f aca="false">Demand_History!C3870</f>
        <v>CLN-001</v>
      </c>
      <c r="B3870" s="31" t="n">
        <f aca="false">Demand_History!A3870</f>
        <v>21</v>
      </c>
      <c r="C3870" s="32" t="n">
        <f aca="false">Demand_History!D3870</f>
        <v>201</v>
      </c>
      <c r="D3870" s="33" t="n">
        <f aca="false">IF(B3870&gt;=2,C3869,"")</f>
        <v>204</v>
      </c>
      <c r="E3870" s="33" t="n">
        <f aca="false">IF(B3870&gt;=5,AVERAGE(C3866:C3869),"")</f>
        <v>233.5</v>
      </c>
      <c r="F3870" s="33" t="n">
        <f aca="false">IF(B3870&gt;=9,AVERAGE(C3862:C3869),"")</f>
        <v>224.875</v>
      </c>
      <c r="G3870" s="33" t="n">
        <f aca="false">IF(B3870=1,"",IF(B3870=2,C3869,SES_Alpha*C3869+(1-SES_Alpha)*G3869))</f>
        <v>223.861566864083</v>
      </c>
      <c r="H3870" s="33" t="n">
        <f aca="false">IF(D3870="","",D3870-C3870)</f>
        <v>3</v>
      </c>
      <c r="I3870" s="33" t="n">
        <f aca="false">IF(E3870="","",E3870-C3870)</f>
        <v>32.5</v>
      </c>
      <c r="J3870" s="33" t="n">
        <f aca="false">IF(F3870="","",F3870-C3870)</f>
        <v>23.875</v>
      </c>
      <c r="K3870" s="33" t="n">
        <f aca="false">IF(G3870="","",G3870-C3870)</f>
        <v>22.8615668640828</v>
      </c>
      <c r="L3870" s="33" t="n">
        <f aca="false">IF(H3870="","",ABS(H3870))</f>
        <v>3</v>
      </c>
      <c r="M3870" s="33" t="n">
        <f aca="false">IF(I3870="","",ABS(I3870))</f>
        <v>32.5</v>
      </c>
      <c r="N3870" s="33" t="n">
        <f aca="false">IF(J3870="","",ABS(J3870))</f>
        <v>23.875</v>
      </c>
      <c r="O3870" s="33" t="n">
        <f aca="false">IF(K3870="","",ABS(K3870))</f>
        <v>22.8615668640828</v>
      </c>
      <c r="P3870" s="34" t="str">
        <f aca="false">IF(B3870&gt;=Eval_Start_Week,"YES","")</f>
        <v/>
      </c>
      <c r="Q3870" s="34" t="str">
        <f aca="false">IF(AND(B3870&gt;=Cal_Start_Week,B3870&lt;=Cal_End_Week),"YES","")</f>
        <v/>
      </c>
    </row>
    <row r="3871" customFormat="false" ht="15" hidden="false" customHeight="false" outlineLevel="0" collapsed="false">
      <c r="A3871" s="31" t="str">
        <f aca="false">Demand_History!C3871</f>
        <v>CLN-001</v>
      </c>
      <c r="B3871" s="31" t="n">
        <f aca="false">Demand_History!A3871</f>
        <v>22</v>
      </c>
      <c r="C3871" s="32" t="n">
        <f aca="false">Demand_History!D3871</f>
        <v>242</v>
      </c>
      <c r="D3871" s="33" t="n">
        <f aca="false">IF(B3871&gt;=2,C3870,"")</f>
        <v>201</v>
      </c>
      <c r="E3871" s="33" t="n">
        <f aca="false">IF(B3871&gt;=5,AVERAGE(C3867:C3870),"")</f>
        <v>216.75</v>
      </c>
      <c r="F3871" s="33" t="n">
        <f aca="false">IF(B3871&gt;=9,AVERAGE(C3863:C3870),"")</f>
        <v>218.875</v>
      </c>
      <c r="G3871" s="33" t="n">
        <f aca="false">IF(B3871=1,"",IF(B3871=2,C3870,SES_Alpha*C3870+(1-SES_Alpha)*G3870))</f>
        <v>217.003096804858</v>
      </c>
      <c r="H3871" s="33" t="n">
        <f aca="false">IF(D3871="","",D3871-C3871)</f>
        <v>-41</v>
      </c>
      <c r="I3871" s="33" t="n">
        <f aca="false">IF(E3871="","",E3871-C3871)</f>
        <v>-25.25</v>
      </c>
      <c r="J3871" s="33" t="n">
        <f aca="false">IF(F3871="","",F3871-C3871)</f>
        <v>-23.125</v>
      </c>
      <c r="K3871" s="33" t="n">
        <f aca="false">IF(G3871="","",G3871-C3871)</f>
        <v>-24.9969031951421</v>
      </c>
      <c r="L3871" s="33" t="n">
        <f aca="false">IF(H3871="","",ABS(H3871))</f>
        <v>41</v>
      </c>
      <c r="M3871" s="33" t="n">
        <f aca="false">IF(I3871="","",ABS(I3871))</f>
        <v>25.25</v>
      </c>
      <c r="N3871" s="33" t="n">
        <f aca="false">IF(J3871="","",ABS(J3871))</f>
        <v>23.125</v>
      </c>
      <c r="O3871" s="33" t="n">
        <f aca="false">IF(K3871="","",ABS(K3871))</f>
        <v>24.9969031951421</v>
      </c>
      <c r="P3871" s="34" t="str">
        <f aca="false">IF(B3871&gt;=Eval_Start_Week,"YES","")</f>
        <v/>
      </c>
      <c r="Q3871" s="34" t="str">
        <f aca="false">IF(AND(B3871&gt;=Cal_Start_Week,B3871&lt;=Cal_End_Week),"YES","")</f>
        <v/>
      </c>
    </row>
    <row r="3872" customFormat="false" ht="15" hidden="false" customHeight="false" outlineLevel="0" collapsed="false">
      <c r="A3872" s="31" t="str">
        <f aca="false">Demand_History!C3872</f>
        <v>CLN-001</v>
      </c>
      <c r="B3872" s="31" t="n">
        <f aca="false">Demand_History!A3872</f>
        <v>23</v>
      </c>
      <c r="C3872" s="32" t="n">
        <f aca="false">Demand_History!D3872</f>
        <v>233</v>
      </c>
      <c r="D3872" s="33" t="n">
        <f aca="false">IF(B3872&gt;=2,C3871,"")</f>
        <v>242</v>
      </c>
      <c r="E3872" s="33" t="n">
        <f aca="false">IF(B3872&gt;=5,AVERAGE(C3868:C3871),"")</f>
        <v>224</v>
      </c>
      <c r="F3872" s="33" t="n">
        <f aca="false">IF(B3872&gt;=9,AVERAGE(C3864:C3871),"")</f>
        <v>225.625</v>
      </c>
      <c r="G3872" s="33" t="n">
        <f aca="false">IF(B3872=1,"",IF(B3872=2,C3871,SES_Alpha*C3871+(1-SES_Alpha)*G3871))</f>
        <v>224.502167763401</v>
      </c>
      <c r="H3872" s="33" t="n">
        <f aca="false">IF(D3872="","",D3872-C3872)</f>
        <v>9</v>
      </c>
      <c r="I3872" s="33" t="n">
        <f aca="false">IF(E3872="","",E3872-C3872)</f>
        <v>-9</v>
      </c>
      <c r="J3872" s="33" t="n">
        <f aca="false">IF(F3872="","",F3872-C3872)</f>
        <v>-7.375</v>
      </c>
      <c r="K3872" s="33" t="n">
        <f aca="false">IF(G3872="","",G3872-C3872)</f>
        <v>-8.49783223659946</v>
      </c>
      <c r="L3872" s="33" t="n">
        <f aca="false">IF(H3872="","",ABS(H3872))</f>
        <v>9</v>
      </c>
      <c r="M3872" s="33" t="n">
        <f aca="false">IF(I3872="","",ABS(I3872))</f>
        <v>9</v>
      </c>
      <c r="N3872" s="33" t="n">
        <f aca="false">IF(J3872="","",ABS(J3872))</f>
        <v>7.375</v>
      </c>
      <c r="O3872" s="33" t="n">
        <f aca="false">IF(K3872="","",ABS(K3872))</f>
        <v>8.49783223659946</v>
      </c>
      <c r="P3872" s="34" t="str">
        <f aca="false">IF(B3872&gt;=Eval_Start_Week,"YES","")</f>
        <v/>
      </c>
      <c r="Q3872" s="34" t="str">
        <f aca="false">IF(AND(B3872&gt;=Cal_Start_Week,B3872&lt;=Cal_End_Week),"YES","")</f>
        <v/>
      </c>
    </row>
    <row r="3873" customFormat="false" ht="15" hidden="false" customHeight="false" outlineLevel="0" collapsed="false">
      <c r="A3873" s="31" t="str">
        <f aca="false">Demand_History!C3873</f>
        <v>CLN-001</v>
      </c>
      <c r="B3873" s="31" t="n">
        <f aca="false">Demand_History!A3873</f>
        <v>24</v>
      </c>
      <c r="C3873" s="32" t="n">
        <f aca="false">Demand_History!D3873</f>
        <v>181</v>
      </c>
      <c r="D3873" s="33" t="n">
        <f aca="false">IF(B3873&gt;=2,C3872,"")</f>
        <v>233</v>
      </c>
      <c r="E3873" s="33" t="n">
        <f aca="false">IF(B3873&gt;=5,AVERAGE(C3869:C3872),"")</f>
        <v>220</v>
      </c>
      <c r="F3873" s="33" t="n">
        <f aca="false">IF(B3873&gt;=9,AVERAGE(C3865:C3872),"")</f>
        <v>227.875</v>
      </c>
      <c r="G3873" s="33" t="n">
        <f aca="false">IF(B3873=1,"",IF(B3873=2,C3872,SES_Alpha*C3872+(1-SES_Alpha)*G3872))</f>
        <v>227.05151743438</v>
      </c>
      <c r="H3873" s="33" t="n">
        <f aca="false">IF(D3873="","",D3873-C3873)</f>
        <v>52</v>
      </c>
      <c r="I3873" s="33" t="n">
        <f aca="false">IF(E3873="","",E3873-C3873)</f>
        <v>39</v>
      </c>
      <c r="J3873" s="33" t="n">
        <f aca="false">IF(F3873="","",F3873-C3873)</f>
        <v>46.875</v>
      </c>
      <c r="K3873" s="33" t="n">
        <f aca="false">IF(G3873="","",G3873-C3873)</f>
        <v>46.0515174343803</v>
      </c>
      <c r="L3873" s="33" t="n">
        <f aca="false">IF(H3873="","",ABS(H3873))</f>
        <v>52</v>
      </c>
      <c r="M3873" s="33" t="n">
        <f aca="false">IF(I3873="","",ABS(I3873))</f>
        <v>39</v>
      </c>
      <c r="N3873" s="33" t="n">
        <f aca="false">IF(J3873="","",ABS(J3873))</f>
        <v>46.875</v>
      </c>
      <c r="O3873" s="33" t="n">
        <f aca="false">IF(K3873="","",ABS(K3873))</f>
        <v>46.0515174343803</v>
      </c>
      <c r="P3873" s="34" t="str">
        <f aca="false">IF(B3873&gt;=Eval_Start_Week,"YES","")</f>
        <v/>
      </c>
      <c r="Q3873" s="34" t="str">
        <f aca="false">IF(AND(B3873&gt;=Cal_Start_Week,B3873&lt;=Cal_End_Week),"YES","")</f>
        <v/>
      </c>
    </row>
    <row r="3874" customFormat="false" ht="15" hidden="false" customHeight="false" outlineLevel="0" collapsed="false">
      <c r="A3874" s="31" t="str">
        <f aca="false">Demand_History!C3874</f>
        <v>CLN-001</v>
      </c>
      <c r="B3874" s="31" t="n">
        <f aca="false">Demand_History!A3874</f>
        <v>25</v>
      </c>
      <c r="C3874" s="32" t="n">
        <f aca="false">Demand_History!D3874</f>
        <v>234</v>
      </c>
      <c r="D3874" s="33" t="n">
        <f aca="false">IF(B3874&gt;=2,C3873,"")</f>
        <v>181</v>
      </c>
      <c r="E3874" s="33" t="n">
        <f aca="false">IF(B3874&gt;=5,AVERAGE(C3870:C3873),"")</f>
        <v>214.25</v>
      </c>
      <c r="F3874" s="33" t="n">
        <f aca="false">IF(B3874&gt;=9,AVERAGE(C3866:C3873),"")</f>
        <v>223.875</v>
      </c>
      <c r="G3874" s="33" t="n">
        <f aca="false">IF(B3874=1,"",IF(B3874=2,C3873,SES_Alpha*C3873+(1-SES_Alpha)*G3873))</f>
        <v>213.236062204066</v>
      </c>
      <c r="H3874" s="33" t="n">
        <f aca="false">IF(D3874="","",D3874-C3874)</f>
        <v>-53</v>
      </c>
      <c r="I3874" s="33" t="n">
        <f aca="false">IF(E3874="","",E3874-C3874)</f>
        <v>-19.75</v>
      </c>
      <c r="J3874" s="33" t="n">
        <f aca="false">IF(F3874="","",F3874-C3874)</f>
        <v>-10.125</v>
      </c>
      <c r="K3874" s="33" t="n">
        <f aca="false">IF(G3874="","",G3874-C3874)</f>
        <v>-20.7639377959338</v>
      </c>
      <c r="L3874" s="33" t="n">
        <f aca="false">IF(H3874="","",ABS(H3874))</f>
        <v>53</v>
      </c>
      <c r="M3874" s="33" t="n">
        <f aca="false">IF(I3874="","",ABS(I3874))</f>
        <v>19.75</v>
      </c>
      <c r="N3874" s="33" t="n">
        <f aca="false">IF(J3874="","",ABS(J3874))</f>
        <v>10.125</v>
      </c>
      <c r="O3874" s="33" t="n">
        <f aca="false">IF(K3874="","",ABS(K3874))</f>
        <v>20.7639377959338</v>
      </c>
      <c r="P3874" s="34" t="str">
        <f aca="false">IF(B3874&gt;=Eval_Start_Week,"YES","")</f>
        <v/>
      </c>
      <c r="Q3874" s="34" t="str">
        <f aca="false">IF(AND(B3874&gt;=Cal_Start_Week,B3874&lt;=Cal_End_Week),"YES","")</f>
        <v/>
      </c>
    </row>
    <row r="3875" customFormat="false" ht="15" hidden="false" customHeight="false" outlineLevel="0" collapsed="false">
      <c r="A3875" s="31" t="str">
        <f aca="false">Demand_History!C3875</f>
        <v>CLN-001</v>
      </c>
      <c r="B3875" s="31" t="n">
        <f aca="false">Demand_History!A3875</f>
        <v>26</v>
      </c>
      <c r="C3875" s="32" t="n">
        <f aca="false">Demand_History!D3875</f>
        <v>234</v>
      </c>
      <c r="D3875" s="33" t="n">
        <f aca="false">IF(B3875&gt;=2,C3874,"")</f>
        <v>234</v>
      </c>
      <c r="E3875" s="33" t="n">
        <f aca="false">IF(B3875&gt;=5,AVERAGE(C3871:C3874),"")</f>
        <v>222.5</v>
      </c>
      <c r="F3875" s="33" t="n">
        <f aca="false">IF(B3875&gt;=9,AVERAGE(C3867:C3874),"")</f>
        <v>219.625</v>
      </c>
      <c r="G3875" s="33" t="n">
        <f aca="false">IF(B3875=1,"",IF(B3875=2,C3874,SES_Alpha*C3874+(1-SES_Alpha)*G3874))</f>
        <v>219.465243542846</v>
      </c>
      <c r="H3875" s="33" t="n">
        <f aca="false">IF(D3875="","",D3875-C3875)</f>
        <v>0</v>
      </c>
      <c r="I3875" s="33" t="n">
        <f aca="false">IF(E3875="","",E3875-C3875)</f>
        <v>-11.5</v>
      </c>
      <c r="J3875" s="33" t="n">
        <f aca="false">IF(F3875="","",F3875-C3875)</f>
        <v>-14.375</v>
      </c>
      <c r="K3875" s="33" t="n">
        <f aca="false">IF(G3875="","",G3875-C3875)</f>
        <v>-14.5347564571537</v>
      </c>
      <c r="L3875" s="33" t="n">
        <f aca="false">IF(H3875="","",ABS(H3875))</f>
        <v>0</v>
      </c>
      <c r="M3875" s="33" t="n">
        <f aca="false">IF(I3875="","",ABS(I3875))</f>
        <v>11.5</v>
      </c>
      <c r="N3875" s="33" t="n">
        <f aca="false">IF(J3875="","",ABS(J3875))</f>
        <v>14.375</v>
      </c>
      <c r="O3875" s="33" t="n">
        <f aca="false">IF(K3875="","",ABS(K3875))</f>
        <v>14.5347564571537</v>
      </c>
      <c r="P3875" s="34" t="str">
        <f aca="false">IF(B3875&gt;=Eval_Start_Week,"YES","")</f>
        <v/>
      </c>
      <c r="Q3875" s="34" t="str">
        <f aca="false">IF(AND(B3875&gt;=Cal_Start_Week,B3875&lt;=Cal_End_Week),"YES","")</f>
        <v/>
      </c>
    </row>
    <row r="3876" customFormat="false" ht="15" hidden="false" customHeight="false" outlineLevel="0" collapsed="false">
      <c r="A3876" s="31" t="str">
        <f aca="false">Demand_History!C3876</f>
        <v>CLN-001</v>
      </c>
      <c r="B3876" s="31" t="n">
        <f aca="false">Demand_History!A3876</f>
        <v>27</v>
      </c>
      <c r="C3876" s="32" t="n">
        <f aca="false">Demand_History!D3876</f>
        <v>206</v>
      </c>
      <c r="D3876" s="33" t="n">
        <f aca="false">IF(B3876&gt;=2,C3875,"")</f>
        <v>234</v>
      </c>
      <c r="E3876" s="33" t="n">
        <f aca="false">IF(B3876&gt;=5,AVERAGE(C3872:C3875),"")</f>
        <v>220.5</v>
      </c>
      <c r="F3876" s="33" t="n">
        <f aca="false">IF(B3876&gt;=9,AVERAGE(C3868:C3875),"")</f>
        <v>222.25</v>
      </c>
      <c r="G3876" s="33" t="n">
        <f aca="false">IF(B3876=1,"",IF(B3876=2,C3875,SES_Alpha*C3875+(1-SES_Alpha)*G3875))</f>
        <v>223.825670479992</v>
      </c>
      <c r="H3876" s="33" t="n">
        <f aca="false">IF(D3876="","",D3876-C3876)</f>
        <v>28</v>
      </c>
      <c r="I3876" s="33" t="n">
        <f aca="false">IF(E3876="","",E3876-C3876)</f>
        <v>14.5</v>
      </c>
      <c r="J3876" s="33" t="n">
        <f aca="false">IF(F3876="","",F3876-C3876)</f>
        <v>16.25</v>
      </c>
      <c r="K3876" s="33" t="n">
        <f aca="false">IF(G3876="","",G3876-C3876)</f>
        <v>17.8256704799924</v>
      </c>
      <c r="L3876" s="33" t="n">
        <f aca="false">IF(H3876="","",ABS(H3876))</f>
        <v>28</v>
      </c>
      <c r="M3876" s="33" t="n">
        <f aca="false">IF(I3876="","",ABS(I3876))</f>
        <v>14.5</v>
      </c>
      <c r="N3876" s="33" t="n">
        <f aca="false">IF(J3876="","",ABS(J3876))</f>
        <v>16.25</v>
      </c>
      <c r="O3876" s="33" t="n">
        <f aca="false">IF(K3876="","",ABS(K3876))</f>
        <v>17.8256704799924</v>
      </c>
      <c r="P3876" s="34" t="str">
        <f aca="false">IF(B3876&gt;=Eval_Start_Week,"YES","")</f>
        <v/>
      </c>
      <c r="Q3876" s="34" t="str">
        <f aca="false">IF(AND(B3876&gt;=Cal_Start_Week,B3876&lt;=Cal_End_Week),"YES","")</f>
        <v/>
      </c>
    </row>
    <row r="3877" customFormat="false" ht="15" hidden="false" customHeight="false" outlineLevel="0" collapsed="false">
      <c r="A3877" s="31" t="str">
        <f aca="false">Demand_History!C3877</f>
        <v>CLN-001</v>
      </c>
      <c r="B3877" s="31" t="n">
        <f aca="false">Demand_History!A3877</f>
        <v>28</v>
      </c>
      <c r="C3877" s="32" t="n">
        <f aca="false">Demand_History!D3877</f>
        <v>224</v>
      </c>
      <c r="D3877" s="33" t="n">
        <f aca="false">IF(B3877&gt;=2,C3876,"")</f>
        <v>206</v>
      </c>
      <c r="E3877" s="33" t="n">
        <f aca="false">IF(B3877&gt;=5,AVERAGE(C3873:C3876),"")</f>
        <v>213.75</v>
      </c>
      <c r="F3877" s="33" t="n">
        <f aca="false">IF(B3877&gt;=9,AVERAGE(C3869:C3876),"")</f>
        <v>216.875</v>
      </c>
      <c r="G3877" s="33" t="n">
        <f aca="false">IF(B3877=1,"",IF(B3877=2,C3876,SES_Alpha*C3876+(1-SES_Alpha)*G3876))</f>
        <v>218.477969335995</v>
      </c>
      <c r="H3877" s="33" t="n">
        <f aca="false">IF(D3877="","",D3877-C3877)</f>
        <v>-18</v>
      </c>
      <c r="I3877" s="33" t="n">
        <f aca="false">IF(E3877="","",E3877-C3877)</f>
        <v>-10.25</v>
      </c>
      <c r="J3877" s="33" t="n">
        <f aca="false">IF(F3877="","",F3877-C3877)</f>
        <v>-7.125</v>
      </c>
      <c r="K3877" s="33" t="n">
        <f aca="false">IF(G3877="","",G3877-C3877)</f>
        <v>-5.52203066400534</v>
      </c>
      <c r="L3877" s="33" t="n">
        <f aca="false">IF(H3877="","",ABS(H3877))</f>
        <v>18</v>
      </c>
      <c r="M3877" s="33" t="n">
        <f aca="false">IF(I3877="","",ABS(I3877))</f>
        <v>10.25</v>
      </c>
      <c r="N3877" s="33" t="n">
        <f aca="false">IF(J3877="","",ABS(J3877))</f>
        <v>7.125</v>
      </c>
      <c r="O3877" s="33" t="n">
        <f aca="false">IF(K3877="","",ABS(K3877))</f>
        <v>5.52203066400534</v>
      </c>
      <c r="P3877" s="34" t="str">
        <f aca="false">IF(B3877&gt;=Eval_Start_Week,"YES","")</f>
        <v/>
      </c>
      <c r="Q3877" s="34" t="str">
        <f aca="false">IF(AND(B3877&gt;=Cal_Start_Week,B3877&lt;=Cal_End_Week),"YES","")</f>
        <v/>
      </c>
    </row>
    <row r="3878" customFormat="false" ht="15" hidden="false" customHeight="false" outlineLevel="0" collapsed="false">
      <c r="A3878" s="31" t="str">
        <f aca="false">Demand_History!C3878</f>
        <v>CLN-001</v>
      </c>
      <c r="B3878" s="31" t="n">
        <f aca="false">Demand_History!A3878</f>
        <v>29</v>
      </c>
      <c r="C3878" s="32" t="n">
        <f aca="false">Demand_History!D3878</f>
        <v>225</v>
      </c>
      <c r="D3878" s="33" t="n">
        <f aca="false">IF(B3878&gt;=2,C3877,"")</f>
        <v>224</v>
      </c>
      <c r="E3878" s="33" t="n">
        <f aca="false">IF(B3878&gt;=5,AVERAGE(C3874:C3877),"")</f>
        <v>224.5</v>
      </c>
      <c r="F3878" s="33" t="n">
        <f aca="false">IF(B3878&gt;=9,AVERAGE(C3870:C3877),"")</f>
        <v>219.375</v>
      </c>
      <c r="G3878" s="33" t="n">
        <f aca="false">IF(B3878=1,"",IF(B3878=2,C3877,SES_Alpha*C3877+(1-SES_Alpha)*G3877))</f>
        <v>220.134578535196</v>
      </c>
      <c r="H3878" s="33" t="n">
        <f aca="false">IF(D3878="","",D3878-C3878)</f>
        <v>-1</v>
      </c>
      <c r="I3878" s="33" t="n">
        <f aca="false">IF(E3878="","",E3878-C3878)</f>
        <v>-0.5</v>
      </c>
      <c r="J3878" s="33" t="n">
        <f aca="false">IF(F3878="","",F3878-C3878)</f>
        <v>-5.625</v>
      </c>
      <c r="K3878" s="33" t="n">
        <f aca="false">IF(G3878="","",G3878-C3878)</f>
        <v>-4.86542146480377</v>
      </c>
      <c r="L3878" s="33" t="n">
        <f aca="false">IF(H3878="","",ABS(H3878))</f>
        <v>1</v>
      </c>
      <c r="M3878" s="33" t="n">
        <f aca="false">IF(I3878="","",ABS(I3878))</f>
        <v>0.5</v>
      </c>
      <c r="N3878" s="33" t="n">
        <f aca="false">IF(J3878="","",ABS(J3878))</f>
        <v>5.625</v>
      </c>
      <c r="O3878" s="33" t="n">
        <f aca="false">IF(K3878="","",ABS(K3878))</f>
        <v>4.86542146480377</v>
      </c>
      <c r="P3878" s="34" t="str">
        <f aca="false">IF(B3878&gt;=Eval_Start_Week,"YES","")</f>
        <v/>
      </c>
      <c r="Q3878" s="34" t="str">
        <f aca="false">IF(AND(B3878&gt;=Cal_Start_Week,B3878&lt;=Cal_End_Week),"YES","")</f>
        <v/>
      </c>
    </row>
    <row r="3879" customFormat="false" ht="15" hidden="false" customHeight="false" outlineLevel="0" collapsed="false">
      <c r="A3879" s="31" t="str">
        <f aca="false">Demand_History!C3879</f>
        <v>CLN-001</v>
      </c>
      <c r="B3879" s="31" t="n">
        <f aca="false">Demand_History!A3879</f>
        <v>30</v>
      </c>
      <c r="C3879" s="32" t="n">
        <f aca="false">Demand_History!D3879</f>
        <v>208</v>
      </c>
      <c r="D3879" s="33" t="n">
        <f aca="false">IF(B3879&gt;=2,C3878,"")</f>
        <v>225</v>
      </c>
      <c r="E3879" s="33" t="n">
        <f aca="false">IF(B3879&gt;=5,AVERAGE(C3875:C3878),"")</f>
        <v>222.25</v>
      </c>
      <c r="F3879" s="33" t="n">
        <f aca="false">IF(B3879&gt;=9,AVERAGE(C3871:C3878),"")</f>
        <v>222.375</v>
      </c>
      <c r="G3879" s="33" t="n">
        <f aca="false">IF(B3879=1,"",IF(B3879=2,C3878,SES_Alpha*C3878+(1-SES_Alpha)*G3878))</f>
        <v>221.594204974637</v>
      </c>
      <c r="H3879" s="33" t="n">
        <f aca="false">IF(D3879="","",D3879-C3879)</f>
        <v>17</v>
      </c>
      <c r="I3879" s="33" t="n">
        <f aca="false">IF(E3879="","",E3879-C3879)</f>
        <v>14.25</v>
      </c>
      <c r="J3879" s="33" t="n">
        <f aca="false">IF(F3879="","",F3879-C3879)</f>
        <v>14.375</v>
      </c>
      <c r="K3879" s="33" t="n">
        <f aca="false">IF(G3879="","",G3879-C3879)</f>
        <v>13.5942049746373</v>
      </c>
      <c r="L3879" s="33" t="n">
        <f aca="false">IF(H3879="","",ABS(H3879))</f>
        <v>17</v>
      </c>
      <c r="M3879" s="33" t="n">
        <f aca="false">IF(I3879="","",ABS(I3879))</f>
        <v>14.25</v>
      </c>
      <c r="N3879" s="33" t="n">
        <f aca="false">IF(J3879="","",ABS(J3879))</f>
        <v>14.375</v>
      </c>
      <c r="O3879" s="33" t="n">
        <f aca="false">IF(K3879="","",ABS(K3879))</f>
        <v>13.5942049746373</v>
      </c>
      <c r="P3879" s="34" t="str">
        <f aca="false">IF(B3879&gt;=Eval_Start_Week,"YES","")</f>
        <v/>
      </c>
      <c r="Q3879" s="34" t="str">
        <f aca="false">IF(AND(B3879&gt;=Cal_Start_Week,B3879&lt;=Cal_End_Week),"YES","")</f>
        <v/>
      </c>
    </row>
    <row r="3880" customFormat="false" ht="15" hidden="false" customHeight="false" outlineLevel="0" collapsed="false">
      <c r="A3880" s="31" t="str">
        <f aca="false">Demand_History!C3880</f>
        <v>CLN-001</v>
      </c>
      <c r="B3880" s="31" t="n">
        <f aca="false">Demand_History!A3880</f>
        <v>31</v>
      </c>
      <c r="C3880" s="32" t="n">
        <f aca="false">Demand_History!D3880</f>
        <v>206</v>
      </c>
      <c r="D3880" s="33" t="n">
        <f aca="false">IF(B3880&gt;=2,C3879,"")</f>
        <v>208</v>
      </c>
      <c r="E3880" s="33" t="n">
        <f aca="false">IF(B3880&gt;=5,AVERAGE(C3876:C3879),"")</f>
        <v>215.75</v>
      </c>
      <c r="F3880" s="33" t="n">
        <f aca="false">IF(B3880&gt;=9,AVERAGE(C3872:C3879),"")</f>
        <v>218.125</v>
      </c>
      <c r="G3880" s="33" t="n">
        <f aca="false">IF(B3880=1,"",IF(B3880=2,C3879,SES_Alpha*C3879+(1-SES_Alpha)*G3879))</f>
        <v>217.515943482246</v>
      </c>
      <c r="H3880" s="33" t="n">
        <f aca="false">IF(D3880="","",D3880-C3880)</f>
        <v>2</v>
      </c>
      <c r="I3880" s="33" t="n">
        <f aca="false">IF(E3880="","",E3880-C3880)</f>
        <v>9.75</v>
      </c>
      <c r="J3880" s="33" t="n">
        <f aca="false">IF(F3880="","",F3880-C3880)</f>
        <v>12.125</v>
      </c>
      <c r="K3880" s="33" t="n">
        <f aca="false">IF(G3880="","",G3880-C3880)</f>
        <v>11.5159434822461</v>
      </c>
      <c r="L3880" s="33" t="n">
        <f aca="false">IF(H3880="","",ABS(H3880))</f>
        <v>2</v>
      </c>
      <c r="M3880" s="33" t="n">
        <f aca="false">IF(I3880="","",ABS(I3880))</f>
        <v>9.75</v>
      </c>
      <c r="N3880" s="33" t="n">
        <f aca="false">IF(J3880="","",ABS(J3880))</f>
        <v>12.125</v>
      </c>
      <c r="O3880" s="33" t="n">
        <f aca="false">IF(K3880="","",ABS(K3880))</f>
        <v>11.5159434822461</v>
      </c>
      <c r="P3880" s="34" t="str">
        <f aca="false">IF(B3880&gt;=Eval_Start_Week,"YES","")</f>
        <v/>
      </c>
      <c r="Q3880" s="34" t="str">
        <f aca="false">IF(AND(B3880&gt;=Cal_Start_Week,B3880&lt;=Cal_End_Week),"YES","")</f>
        <v/>
      </c>
    </row>
    <row r="3881" customFormat="false" ht="15" hidden="false" customHeight="false" outlineLevel="0" collapsed="false">
      <c r="A3881" s="31" t="str">
        <f aca="false">Demand_History!C3881</f>
        <v>CLN-001</v>
      </c>
      <c r="B3881" s="31" t="n">
        <f aca="false">Demand_History!A3881</f>
        <v>32</v>
      </c>
      <c r="C3881" s="32" t="n">
        <f aca="false">Demand_History!D3881</f>
        <v>204</v>
      </c>
      <c r="D3881" s="33" t="n">
        <f aca="false">IF(B3881&gt;=2,C3880,"")</f>
        <v>206</v>
      </c>
      <c r="E3881" s="33" t="n">
        <f aca="false">IF(B3881&gt;=5,AVERAGE(C3877:C3880),"")</f>
        <v>215.75</v>
      </c>
      <c r="F3881" s="33" t="n">
        <f aca="false">IF(B3881&gt;=9,AVERAGE(C3873:C3880),"")</f>
        <v>214.75</v>
      </c>
      <c r="G3881" s="33" t="n">
        <f aca="false">IF(B3881=1,"",IF(B3881=2,C3880,SES_Alpha*C3880+(1-SES_Alpha)*G3880))</f>
        <v>214.061160437572</v>
      </c>
      <c r="H3881" s="33" t="n">
        <f aca="false">IF(D3881="","",D3881-C3881)</f>
        <v>2</v>
      </c>
      <c r="I3881" s="33" t="n">
        <f aca="false">IF(E3881="","",E3881-C3881)</f>
        <v>11.75</v>
      </c>
      <c r="J3881" s="33" t="n">
        <f aca="false">IF(F3881="","",F3881-C3881)</f>
        <v>10.75</v>
      </c>
      <c r="K3881" s="33" t="n">
        <f aca="false">IF(G3881="","",G3881-C3881)</f>
        <v>10.0611604375723</v>
      </c>
      <c r="L3881" s="33" t="n">
        <f aca="false">IF(H3881="","",ABS(H3881))</f>
        <v>2</v>
      </c>
      <c r="M3881" s="33" t="n">
        <f aca="false">IF(I3881="","",ABS(I3881))</f>
        <v>11.75</v>
      </c>
      <c r="N3881" s="33" t="n">
        <f aca="false">IF(J3881="","",ABS(J3881))</f>
        <v>10.75</v>
      </c>
      <c r="O3881" s="33" t="n">
        <f aca="false">IF(K3881="","",ABS(K3881))</f>
        <v>10.0611604375723</v>
      </c>
      <c r="P3881" s="34" t="str">
        <f aca="false">IF(B3881&gt;=Eval_Start_Week,"YES","")</f>
        <v/>
      </c>
      <c r="Q3881" s="34" t="str">
        <f aca="false">IF(AND(B3881&gt;=Cal_Start_Week,B3881&lt;=Cal_End_Week),"YES","")</f>
        <v/>
      </c>
    </row>
    <row r="3882" customFormat="false" ht="15" hidden="false" customHeight="false" outlineLevel="0" collapsed="false">
      <c r="A3882" s="31" t="str">
        <f aca="false">Demand_History!C3882</f>
        <v>CLN-001</v>
      </c>
      <c r="B3882" s="31" t="n">
        <f aca="false">Demand_History!A3882</f>
        <v>33</v>
      </c>
      <c r="C3882" s="32" t="n">
        <f aca="false">Demand_History!D3882</f>
        <v>213</v>
      </c>
      <c r="D3882" s="33" t="n">
        <f aca="false">IF(B3882&gt;=2,C3881,"")</f>
        <v>204</v>
      </c>
      <c r="E3882" s="33" t="n">
        <f aca="false">IF(B3882&gt;=5,AVERAGE(C3878:C3881),"")</f>
        <v>210.75</v>
      </c>
      <c r="F3882" s="33" t="n">
        <f aca="false">IF(B3882&gt;=9,AVERAGE(C3874:C3881),"")</f>
        <v>217.625</v>
      </c>
      <c r="G3882" s="33" t="n">
        <f aca="false">IF(B3882=1,"",IF(B3882=2,C3881,SES_Alpha*C3881+(1-SES_Alpha)*G3881))</f>
        <v>211.042812306301</v>
      </c>
      <c r="H3882" s="33" t="n">
        <f aca="false">IF(D3882="","",D3882-C3882)</f>
        <v>-9</v>
      </c>
      <c r="I3882" s="33" t="n">
        <f aca="false">IF(E3882="","",E3882-C3882)</f>
        <v>-2.25</v>
      </c>
      <c r="J3882" s="33" t="n">
        <f aca="false">IF(F3882="","",F3882-C3882)</f>
        <v>4.625</v>
      </c>
      <c r="K3882" s="33" t="n">
        <f aca="false">IF(G3882="","",G3882-C3882)</f>
        <v>-1.95718769369941</v>
      </c>
      <c r="L3882" s="33" t="n">
        <f aca="false">IF(H3882="","",ABS(H3882))</f>
        <v>9</v>
      </c>
      <c r="M3882" s="33" t="n">
        <f aca="false">IF(I3882="","",ABS(I3882))</f>
        <v>2.25</v>
      </c>
      <c r="N3882" s="33" t="n">
        <f aca="false">IF(J3882="","",ABS(J3882))</f>
        <v>4.625</v>
      </c>
      <c r="O3882" s="33" t="n">
        <f aca="false">IF(K3882="","",ABS(K3882))</f>
        <v>1.95718769369941</v>
      </c>
      <c r="P3882" s="34" t="str">
        <f aca="false">IF(B3882&gt;=Eval_Start_Week,"YES","")</f>
        <v/>
      </c>
      <c r="Q3882" s="34" t="str">
        <f aca="false">IF(AND(B3882&gt;=Cal_Start_Week,B3882&lt;=Cal_End_Week),"YES","")</f>
        <v/>
      </c>
    </row>
    <row r="3883" customFormat="false" ht="15" hidden="false" customHeight="false" outlineLevel="0" collapsed="false">
      <c r="A3883" s="31" t="str">
        <f aca="false">Demand_History!C3883</f>
        <v>CLN-001</v>
      </c>
      <c r="B3883" s="31" t="n">
        <f aca="false">Demand_History!A3883</f>
        <v>34</v>
      </c>
      <c r="C3883" s="32" t="n">
        <f aca="false">Demand_History!D3883</f>
        <v>190</v>
      </c>
      <c r="D3883" s="33" t="n">
        <f aca="false">IF(B3883&gt;=2,C3882,"")</f>
        <v>213</v>
      </c>
      <c r="E3883" s="33" t="n">
        <f aca="false">IF(B3883&gt;=5,AVERAGE(C3879:C3882),"")</f>
        <v>207.75</v>
      </c>
      <c r="F3883" s="33" t="n">
        <f aca="false">IF(B3883&gt;=9,AVERAGE(C3875:C3882),"")</f>
        <v>215</v>
      </c>
      <c r="G3883" s="33" t="n">
        <f aca="false">IF(B3883=1,"",IF(B3883=2,C3882,SES_Alpha*C3882+(1-SES_Alpha)*G3882))</f>
        <v>211.62996861441</v>
      </c>
      <c r="H3883" s="33" t="n">
        <f aca="false">IF(D3883="","",D3883-C3883)</f>
        <v>23</v>
      </c>
      <c r="I3883" s="33" t="n">
        <f aca="false">IF(E3883="","",E3883-C3883)</f>
        <v>17.75</v>
      </c>
      <c r="J3883" s="33" t="n">
        <f aca="false">IF(F3883="","",F3883-C3883)</f>
        <v>25</v>
      </c>
      <c r="K3883" s="33" t="n">
        <f aca="false">IF(G3883="","",G3883-C3883)</f>
        <v>21.6299686144104</v>
      </c>
      <c r="L3883" s="33" t="n">
        <f aca="false">IF(H3883="","",ABS(H3883))</f>
        <v>23</v>
      </c>
      <c r="M3883" s="33" t="n">
        <f aca="false">IF(I3883="","",ABS(I3883))</f>
        <v>17.75</v>
      </c>
      <c r="N3883" s="33" t="n">
        <f aca="false">IF(J3883="","",ABS(J3883))</f>
        <v>25</v>
      </c>
      <c r="O3883" s="33" t="n">
        <f aca="false">IF(K3883="","",ABS(K3883))</f>
        <v>21.6299686144104</v>
      </c>
      <c r="P3883" s="34" t="str">
        <f aca="false">IF(B3883&gt;=Eval_Start_Week,"YES","")</f>
        <v/>
      </c>
      <c r="Q3883" s="34" t="str">
        <f aca="false">IF(AND(B3883&gt;=Cal_Start_Week,B3883&lt;=Cal_End_Week),"YES","")</f>
        <v/>
      </c>
    </row>
    <row r="3884" customFormat="false" ht="15" hidden="false" customHeight="false" outlineLevel="0" collapsed="false">
      <c r="A3884" s="31" t="str">
        <f aca="false">Demand_History!C3884</f>
        <v>CLN-001</v>
      </c>
      <c r="B3884" s="31" t="n">
        <f aca="false">Demand_History!A3884</f>
        <v>35</v>
      </c>
      <c r="C3884" s="32" t="n">
        <f aca="false">Demand_History!D3884</f>
        <v>218</v>
      </c>
      <c r="D3884" s="33" t="n">
        <f aca="false">IF(B3884&gt;=2,C3883,"")</f>
        <v>190</v>
      </c>
      <c r="E3884" s="33" t="n">
        <f aca="false">IF(B3884&gt;=5,AVERAGE(C3880:C3883),"")</f>
        <v>203.25</v>
      </c>
      <c r="F3884" s="33" t="n">
        <f aca="false">IF(B3884&gt;=9,AVERAGE(C3876:C3883),"")</f>
        <v>209.5</v>
      </c>
      <c r="G3884" s="33" t="n">
        <f aca="false">IF(B3884=1,"",IF(B3884=2,C3883,SES_Alpha*C3883+(1-SES_Alpha)*G3883))</f>
        <v>205.140978030087</v>
      </c>
      <c r="H3884" s="33" t="n">
        <f aca="false">IF(D3884="","",D3884-C3884)</f>
        <v>-28</v>
      </c>
      <c r="I3884" s="33" t="n">
        <f aca="false">IF(E3884="","",E3884-C3884)</f>
        <v>-14.75</v>
      </c>
      <c r="J3884" s="33" t="n">
        <f aca="false">IF(F3884="","",F3884-C3884)</f>
        <v>-8.5</v>
      </c>
      <c r="K3884" s="33" t="n">
        <f aca="false">IF(G3884="","",G3884-C3884)</f>
        <v>-12.8590219699127</v>
      </c>
      <c r="L3884" s="33" t="n">
        <f aca="false">IF(H3884="","",ABS(H3884))</f>
        <v>28</v>
      </c>
      <c r="M3884" s="33" t="n">
        <f aca="false">IF(I3884="","",ABS(I3884))</f>
        <v>14.75</v>
      </c>
      <c r="N3884" s="33" t="n">
        <f aca="false">IF(J3884="","",ABS(J3884))</f>
        <v>8.5</v>
      </c>
      <c r="O3884" s="33" t="n">
        <f aca="false">IF(K3884="","",ABS(K3884))</f>
        <v>12.8590219699127</v>
      </c>
      <c r="P3884" s="34" t="str">
        <f aca="false">IF(B3884&gt;=Eval_Start_Week,"YES","")</f>
        <v/>
      </c>
      <c r="Q3884" s="34" t="str">
        <f aca="false">IF(AND(B3884&gt;=Cal_Start_Week,B3884&lt;=Cal_End_Week),"YES","")</f>
        <v/>
      </c>
    </row>
    <row r="3885" customFormat="false" ht="15" hidden="false" customHeight="false" outlineLevel="0" collapsed="false">
      <c r="A3885" s="31" t="str">
        <f aca="false">Demand_History!C3885</f>
        <v>CLN-001</v>
      </c>
      <c r="B3885" s="31" t="n">
        <f aca="false">Demand_History!A3885</f>
        <v>36</v>
      </c>
      <c r="C3885" s="32" t="n">
        <f aca="false">Demand_History!D3885</f>
        <v>186</v>
      </c>
      <c r="D3885" s="33" t="n">
        <f aca="false">IF(B3885&gt;=2,C3884,"")</f>
        <v>218</v>
      </c>
      <c r="E3885" s="33" t="n">
        <f aca="false">IF(B3885&gt;=5,AVERAGE(C3881:C3884),"")</f>
        <v>206.25</v>
      </c>
      <c r="F3885" s="33" t="n">
        <f aca="false">IF(B3885&gt;=9,AVERAGE(C3877:C3884),"")</f>
        <v>211</v>
      </c>
      <c r="G3885" s="33" t="n">
        <f aca="false">IF(B3885=1,"",IF(B3885=2,C3884,SES_Alpha*C3884+(1-SES_Alpha)*G3884))</f>
        <v>208.998684621061</v>
      </c>
      <c r="H3885" s="33" t="n">
        <f aca="false">IF(D3885="","",D3885-C3885)</f>
        <v>32</v>
      </c>
      <c r="I3885" s="33" t="n">
        <f aca="false">IF(E3885="","",E3885-C3885)</f>
        <v>20.25</v>
      </c>
      <c r="J3885" s="33" t="n">
        <f aca="false">IF(F3885="","",F3885-C3885)</f>
        <v>25</v>
      </c>
      <c r="K3885" s="33" t="n">
        <f aca="false">IF(G3885="","",G3885-C3885)</f>
        <v>22.998684621061</v>
      </c>
      <c r="L3885" s="33" t="n">
        <f aca="false">IF(H3885="","",ABS(H3885))</f>
        <v>32</v>
      </c>
      <c r="M3885" s="33" t="n">
        <f aca="false">IF(I3885="","",ABS(I3885))</f>
        <v>20.25</v>
      </c>
      <c r="N3885" s="33" t="n">
        <f aca="false">IF(J3885="","",ABS(J3885))</f>
        <v>25</v>
      </c>
      <c r="O3885" s="33" t="n">
        <f aca="false">IF(K3885="","",ABS(K3885))</f>
        <v>22.998684621061</v>
      </c>
      <c r="P3885" s="34" t="str">
        <f aca="false">IF(B3885&gt;=Eval_Start_Week,"YES","")</f>
        <v/>
      </c>
      <c r="Q3885" s="34" t="str">
        <f aca="false">IF(AND(B3885&gt;=Cal_Start_Week,B3885&lt;=Cal_End_Week),"YES","")</f>
        <v/>
      </c>
    </row>
    <row r="3886" customFormat="false" ht="15" hidden="false" customHeight="false" outlineLevel="0" collapsed="false">
      <c r="A3886" s="31" t="str">
        <f aca="false">Demand_History!C3886</f>
        <v>CLN-001</v>
      </c>
      <c r="B3886" s="31" t="n">
        <f aca="false">Demand_History!A3886</f>
        <v>37</v>
      </c>
      <c r="C3886" s="32" t="n">
        <f aca="false">Demand_History!D3886</f>
        <v>221</v>
      </c>
      <c r="D3886" s="33" t="n">
        <f aca="false">IF(B3886&gt;=2,C3885,"")</f>
        <v>186</v>
      </c>
      <c r="E3886" s="33" t="n">
        <f aca="false">IF(B3886&gt;=5,AVERAGE(C3882:C3885),"")</f>
        <v>201.75</v>
      </c>
      <c r="F3886" s="33" t="n">
        <f aca="false">IF(B3886&gt;=9,AVERAGE(C3878:C3885),"")</f>
        <v>206.25</v>
      </c>
      <c r="G3886" s="33" t="n">
        <f aca="false">IF(B3886=1,"",IF(B3886=2,C3885,SES_Alpha*C3885+(1-SES_Alpha)*G3885))</f>
        <v>202.099079234743</v>
      </c>
      <c r="H3886" s="33" t="n">
        <f aca="false">IF(D3886="","",D3886-C3886)</f>
        <v>-35</v>
      </c>
      <c r="I3886" s="33" t="n">
        <f aca="false">IF(E3886="","",E3886-C3886)</f>
        <v>-19.25</v>
      </c>
      <c r="J3886" s="33" t="n">
        <f aca="false">IF(F3886="","",F3886-C3886)</f>
        <v>-14.75</v>
      </c>
      <c r="K3886" s="33" t="n">
        <f aca="false">IF(G3886="","",G3886-C3886)</f>
        <v>-18.9009207652573</v>
      </c>
      <c r="L3886" s="33" t="n">
        <f aca="false">IF(H3886="","",ABS(H3886))</f>
        <v>35</v>
      </c>
      <c r="M3886" s="33" t="n">
        <f aca="false">IF(I3886="","",ABS(I3886))</f>
        <v>19.25</v>
      </c>
      <c r="N3886" s="33" t="n">
        <f aca="false">IF(J3886="","",ABS(J3886))</f>
        <v>14.75</v>
      </c>
      <c r="O3886" s="33" t="n">
        <f aca="false">IF(K3886="","",ABS(K3886))</f>
        <v>18.9009207652573</v>
      </c>
      <c r="P3886" s="34" t="str">
        <f aca="false">IF(B3886&gt;=Eval_Start_Week,"YES","")</f>
        <v/>
      </c>
      <c r="Q3886" s="34" t="str">
        <f aca="false">IF(AND(B3886&gt;=Cal_Start_Week,B3886&lt;=Cal_End_Week),"YES","")</f>
        <v>YES</v>
      </c>
    </row>
    <row r="3887" customFormat="false" ht="15" hidden="false" customHeight="false" outlineLevel="0" collapsed="false">
      <c r="A3887" s="31" t="str">
        <f aca="false">Demand_History!C3887</f>
        <v>CLN-001</v>
      </c>
      <c r="B3887" s="31" t="n">
        <f aca="false">Demand_History!A3887</f>
        <v>38</v>
      </c>
      <c r="C3887" s="32" t="n">
        <f aca="false">Demand_History!D3887</f>
        <v>217</v>
      </c>
      <c r="D3887" s="33" t="n">
        <f aca="false">IF(B3887&gt;=2,C3886,"")</f>
        <v>221</v>
      </c>
      <c r="E3887" s="33" t="n">
        <f aca="false">IF(B3887&gt;=5,AVERAGE(C3883:C3886),"")</f>
        <v>203.75</v>
      </c>
      <c r="F3887" s="33" t="n">
        <f aca="false">IF(B3887&gt;=9,AVERAGE(C3879:C3886),"")</f>
        <v>205.75</v>
      </c>
      <c r="G3887" s="33" t="n">
        <f aca="false">IF(B3887=1,"",IF(B3887=2,C3886,SES_Alpha*C3886+(1-SES_Alpha)*G3886))</f>
        <v>207.76935546432</v>
      </c>
      <c r="H3887" s="33" t="n">
        <f aca="false">IF(D3887="","",D3887-C3887)</f>
        <v>4</v>
      </c>
      <c r="I3887" s="33" t="n">
        <f aca="false">IF(E3887="","",E3887-C3887)</f>
        <v>-13.25</v>
      </c>
      <c r="J3887" s="33" t="n">
        <f aca="false">IF(F3887="","",F3887-C3887)</f>
        <v>-11.25</v>
      </c>
      <c r="K3887" s="33" t="n">
        <f aca="false">IF(G3887="","",G3887-C3887)</f>
        <v>-9.23064453568014</v>
      </c>
      <c r="L3887" s="33" t="n">
        <f aca="false">IF(H3887="","",ABS(H3887))</f>
        <v>4</v>
      </c>
      <c r="M3887" s="33" t="n">
        <f aca="false">IF(I3887="","",ABS(I3887))</f>
        <v>13.25</v>
      </c>
      <c r="N3887" s="33" t="n">
        <f aca="false">IF(J3887="","",ABS(J3887))</f>
        <v>11.25</v>
      </c>
      <c r="O3887" s="33" t="n">
        <f aca="false">IF(K3887="","",ABS(K3887))</f>
        <v>9.23064453568014</v>
      </c>
      <c r="P3887" s="34" t="str">
        <f aca="false">IF(B3887&gt;=Eval_Start_Week,"YES","")</f>
        <v/>
      </c>
      <c r="Q3887" s="34" t="str">
        <f aca="false">IF(AND(B3887&gt;=Cal_Start_Week,B3887&lt;=Cal_End_Week),"YES","")</f>
        <v>YES</v>
      </c>
    </row>
    <row r="3888" customFormat="false" ht="15" hidden="false" customHeight="false" outlineLevel="0" collapsed="false">
      <c r="A3888" s="31" t="str">
        <f aca="false">Demand_History!C3888</f>
        <v>CLN-001</v>
      </c>
      <c r="B3888" s="31" t="n">
        <f aca="false">Demand_History!A3888</f>
        <v>39</v>
      </c>
      <c r="C3888" s="32" t="n">
        <f aca="false">Demand_History!D3888</f>
        <v>196</v>
      </c>
      <c r="D3888" s="33" t="n">
        <f aca="false">IF(B3888&gt;=2,C3887,"")</f>
        <v>217</v>
      </c>
      <c r="E3888" s="33" t="n">
        <f aca="false">IF(B3888&gt;=5,AVERAGE(C3884:C3887),"")</f>
        <v>210.5</v>
      </c>
      <c r="F3888" s="33" t="n">
        <f aca="false">IF(B3888&gt;=9,AVERAGE(C3880:C3887),"")</f>
        <v>206.875</v>
      </c>
      <c r="G3888" s="33" t="n">
        <f aca="false">IF(B3888=1,"",IF(B3888=2,C3887,SES_Alpha*C3887+(1-SES_Alpha)*G3887))</f>
        <v>210.538548825024</v>
      </c>
      <c r="H3888" s="33" t="n">
        <f aca="false">IF(D3888="","",D3888-C3888)</f>
        <v>21</v>
      </c>
      <c r="I3888" s="33" t="n">
        <f aca="false">IF(E3888="","",E3888-C3888)</f>
        <v>14.5</v>
      </c>
      <c r="J3888" s="33" t="n">
        <f aca="false">IF(F3888="","",F3888-C3888)</f>
        <v>10.875</v>
      </c>
      <c r="K3888" s="33" t="n">
        <f aca="false">IF(G3888="","",G3888-C3888)</f>
        <v>14.5385488250239</v>
      </c>
      <c r="L3888" s="33" t="n">
        <f aca="false">IF(H3888="","",ABS(H3888))</f>
        <v>21</v>
      </c>
      <c r="M3888" s="33" t="n">
        <f aca="false">IF(I3888="","",ABS(I3888))</f>
        <v>14.5</v>
      </c>
      <c r="N3888" s="33" t="n">
        <f aca="false">IF(J3888="","",ABS(J3888))</f>
        <v>10.875</v>
      </c>
      <c r="O3888" s="33" t="n">
        <f aca="false">IF(K3888="","",ABS(K3888))</f>
        <v>14.5385488250239</v>
      </c>
      <c r="P3888" s="34" t="str">
        <f aca="false">IF(B3888&gt;=Eval_Start_Week,"YES","")</f>
        <v/>
      </c>
      <c r="Q3888" s="34" t="str">
        <f aca="false">IF(AND(B3888&gt;=Cal_Start_Week,B3888&lt;=Cal_End_Week),"YES","")</f>
        <v>YES</v>
      </c>
    </row>
    <row r="3889" customFormat="false" ht="15" hidden="false" customHeight="false" outlineLevel="0" collapsed="false">
      <c r="A3889" s="31" t="str">
        <f aca="false">Demand_History!C3889</f>
        <v>CLN-001</v>
      </c>
      <c r="B3889" s="31" t="n">
        <f aca="false">Demand_History!A3889</f>
        <v>40</v>
      </c>
      <c r="C3889" s="32" t="n">
        <f aca="false">Demand_History!D3889</f>
        <v>238</v>
      </c>
      <c r="D3889" s="33" t="n">
        <f aca="false">IF(B3889&gt;=2,C3888,"")</f>
        <v>196</v>
      </c>
      <c r="E3889" s="33" t="n">
        <f aca="false">IF(B3889&gt;=5,AVERAGE(C3885:C3888),"")</f>
        <v>205</v>
      </c>
      <c r="F3889" s="33" t="n">
        <f aca="false">IF(B3889&gt;=9,AVERAGE(C3881:C3888),"")</f>
        <v>205.625</v>
      </c>
      <c r="G3889" s="33" t="n">
        <f aca="false">IF(B3889=1,"",IF(B3889=2,C3888,SES_Alpha*C3888+(1-SES_Alpha)*G3888))</f>
        <v>206.176984177517</v>
      </c>
      <c r="H3889" s="33" t="n">
        <f aca="false">IF(D3889="","",D3889-C3889)</f>
        <v>-42</v>
      </c>
      <c r="I3889" s="33" t="n">
        <f aca="false">IF(E3889="","",E3889-C3889)</f>
        <v>-33</v>
      </c>
      <c r="J3889" s="33" t="n">
        <f aca="false">IF(F3889="","",F3889-C3889)</f>
        <v>-32.375</v>
      </c>
      <c r="K3889" s="33" t="n">
        <f aca="false">IF(G3889="","",G3889-C3889)</f>
        <v>-31.8230158224833</v>
      </c>
      <c r="L3889" s="33" t="n">
        <f aca="false">IF(H3889="","",ABS(H3889))</f>
        <v>42</v>
      </c>
      <c r="M3889" s="33" t="n">
        <f aca="false">IF(I3889="","",ABS(I3889))</f>
        <v>33</v>
      </c>
      <c r="N3889" s="33" t="n">
        <f aca="false">IF(J3889="","",ABS(J3889))</f>
        <v>32.375</v>
      </c>
      <c r="O3889" s="33" t="n">
        <f aca="false">IF(K3889="","",ABS(K3889))</f>
        <v>31.8230158224833</v>
      </c>
      <c r="P3889" s="34" t="str">
        <f aca="false">IF(B3889&gt;=Eval_Start_Week,"YES","")</f>
        <v/>
      </c>
      <c r="Q3889" s="34" t="str">
        <f aca="false">IF(AND(B3889&gt;=Cal_Start_Week,B3889&lt;=Cal_End_Week),"YES","")</f>
        <v>YES</v>
      </c>
    </row>
    <row r="3890" customFormat="false" ht="15" hidden="false" customHeight="false" outlineLevel="0" collapsed="false">
      <c r="A3890" s="31" t="str">
        <f aca="false">Demand_History!C3890</f>
        <v>CLN-001</v>
      </c>
      <c r="B3890" s="31" t="n">
        <f aca="false">Demand_History!A3890</f>
        <v>41</v>
      </c>
      <c r="C3890" s="32" t="n">
        <f aca="false">Demand_History!D3890</f>
        <v>263</v>
      </c>
      <c r="D3890" s="33" t="n">
        <f aca="false">IF(B3890&gt;=2,C3889,"")</f>
        <v>238</v>
      </c>
      <c r="E3890" s="33" t="n">
        <f aca="false">IF(B3890&gt;=5,AVERAGE(C3886:C3889),"")</f>
        <v>218</v>
      </c>
      <c r="F3890" s="33" t="n">
        <f aca="false">IF(B3890&gt;=9,AVERAGE(C3882:C3889),"")</f>
        <v>209.875</v>
      </c>
      <c r="G3890" s="33" t="n">
        <f aca="false">IF(B3890=1,"",IF(B3890=2,C3889,SES_Alpha*C3889+(1-SES_Alpha)*G3889))</f>
        <v>215.723888924262</v>
      </c>
      <c r="H3890" s="33" t="n">
        <f aca="false">IF(D3890="","",D3890-C3890)</f>
        <v>-25</v>
      </c>
      <c r="I3890" s="33" t="n">
        <f aca="false">IF(E3890="","",E3890-C3890)</f>
        <v>-45</v>
      </c>
      <c r="J3890" s="33" t="n">
        <f aca="false">IF(F3890="","",F3890-C3890)</f>
        <v>-53.125</v>
      </c>
      <c r="K3890" s="33" t="n">
        <f aca="false">IF(G3890="","",G3890-C3890)</f>
        <v>-47.2761110757383</v>
      </c>
      <c r="L3890" s="33" t="n">
        <f aca="false">IF(H3890="","",ABS(H3890))</f>
        <v>25</v>
      </c>
      <c r="M3890" s="33" t="n">
        <f aca="false">IF(I3890="","",ABS(I3890))</f>
        <v>45</v>
      </c>
      <c r="N3890" s="33" t="n">
        <f aca="false">IF(J3890="","",ABS(J3890))</f>
        <v>53.125</v>
      </c>
      <c r="O3890" s="33" t="n">
        <f aca="false">IF(K3890="","",ABS(K3890))</f>
        <v>47.2761110757383</v>
      </c>
      <c r="P3890" s="34" t="str">
        <f aca="false">IF(B3890&gt;=Eval_Start_Week,"YES","")</f>
        <v/>
      </c>
      <c r="Q3890" s="34" t="str">
        <f aca="false">IF(AND(B3890&gt;=Cal_Start_Week,B3890&lt;=Cal_End_Week),"YES","")</f>
        <v>YES</v>
      </c>
    </row>
    <row r="3891" customFormat="false" ht="15" hidden="false" customHeight="false" outlineLevel="0" collapsed="false">
      <c r="A3891" s="31" t="str">
        <f aca="false">Demand_History!C3891</f>
        <v>CLN-001</v>
      </c>
      <c r="B3891" s="31" t="n">
        <f aca="false">Demand_History!A3891</f>
        <v>42</v>
      </c>
      <c r="C3891" s="32" t="n">
        <f aca="false">Demand_History!D3891</f>
        <v>249</v>
      </c>
      <c r="D3891" s="33" t="n">
        <f aca="false">IF(B3891&gt;=2,C3890,"")</f>
        <v>263</v>
      </c>
      <c r="E3891" s="33" t="n">
        <f aca="false">IF(B3891&gt;=5,AVERAGE(C3887:C3890),"")</f>
        <v>228.5</v>
      </c>
      <c r="F3891" s="33" t="n">
        <f aca="false">IF(B3891&gt;=9,AVERAGE(C3883:C3890),"")</f>
        <v>216.125</v>
      </c>
      <c r="G3891" s="33" t="n">
        <f aca="false">IF(B3891=1,"",IF(B3891=2,C3890,SES_Alpha*C3890+(1-SES_Alpha)*G3890))</f>
        <v>229.906722246983</v>
      </c>
      <c r="H3891" s="33" t="n">
        <f aca="false">IF(D3891="","",D3891-C3891)</f>
        <v>14</v>
      </c>
      <c r="I3891" s="33" t="n">
        <f aca="false">IF(E3891="","",E3891-C3891)</f>
        <v>-20.5</v>
      </c>
      <c r="J3891" s="33" t="n">
        <f aca="false">IF(F3891="","",F3891-C3891)</f>
        <v>-32.875</v>
      </c>
      <c r="K3891" s="33" t="n">
        <f aca="false">IF(G3891="","",G3891-C3891)</f>
        <v>-19.0932777530168</v>
      </c>
      <c r="L3891" s="33" t="n">
        <f aca="false">IF(H3891="","",ABS(H3891))</f>
        <v>14</v>
      </c>
      <c r="M3891" s="33" t="n">
        <f aca="false">IF(I3891="","",ABS(I3891))</f>
        <v>20.5</v>
      </c>
      <c r="N3891" s="33" t="n">
        <f aca="false">IF(J3891="","",ABS(J3891))</f>
        <v>32.875</v>
      </c>
      <c r="O3891" s="33" t="n">
        <f aca="false">IF(K3891="","",ABS(K3891))</f>
        <v>19.0932777530168</v>
      </c>
      <c r="P3891" s="34" t="str">
        <f aca="false">IF(B3891&gt;=Eval_Start_Week,"YES","")</f>
        <v/>
      </c>
      <c r="Q3891" s="34" t="str">
        <f aca="false">IF(AND(B3891&gt;=Cal_Start_Week,B3891&lt;=Cal_End_Week),"YES","")</f>
        <v>YES</v>
      </c>
    </row>
    <row r="3892" customFormat="false" ht="15" hidden="false" customHeight="false" outlineLevel="0" collapsed="false">
      <c r="A3892" s="31" t="str">
        <f aca="false">Demand_History!C3892</f>
        <v>CLN-001</v>
      </c>
      <c r="B3892" s="31" t="n">
        <f aca="false">Demand_History!A3892</f>
        <v>43</v>
      </c>
      <c r="C3892" s="32" t="n">
        <f aca="false">Demand_History!D3892</f>
        <v>189</v>
      </c>
      <c r="D3892" s="33" t="n">
        <f aca="false">IF(B3892&gt;=2,C3891,"")</f>
        <v>249</v>
      </c>
      <c r="E3892" s="33" t="n">
        <f aca="false">IF(B3892&gt;=5,AVERAGE(C3888:C3891),"")</f>
        <v>236.5</v>
      </c>
      <c r="F3892" s="33" t="n">
        <f aca="false">IF(B3892&gt;=9,AVERAGE(C3884:C3891),"")</f>
        <v>223.5</v>
      </c>
      <c r="G3892" s="33" t="n">
        <f aca="false">IF(B3892=1,"",IF(B3892=2,C3891,SES_Alpha*C3891+(1-SES_Alpha)*G3891))</f>
        <v>235.634705572888</v>
      </c>
      <c r="H3892" s="33" t="n">
        <f aca="false">IF(D3892="","",D3892-C3892)</f>
        <v>60</v>
      </c>
      <c r="I3892" s="33" t="n">
        <f aca="false">IF(E3892="","",E3892-C3892)</f>
        <v>47.5</v>
      </c>
      <c r="J3892" s="33" t="n">
        <f aca="false">IF(F3892="","",F3892-C3892)</f>
        <v>34.5</v>
      </c>
      <c r="K3892" s="33" t="n">
        <f aca="false">IF(G3892="","",G3892-C3892)</f>
        <v>46.6347055728882</v>
      </c>
      <c r="L3892" s="33" t="n">
        <f aca="false">IF(H3892="","",ABS(H3892))</f>
        <v>60</v>
      </c>
      <c r="M3892" s="33" t="n">
        <f aca="false">IF(I3892="","",ABS(I3892))</f>
        <v>47.5</v>
      </c>
      <c r="N3892" s="33" t="n">
        <f aca="false">IF(J3892="","",ABS(J3892))</f>
        <v>34.5</v>
      </c>
      <c r="O3892" s="33" t="n">
        <f aca="false">IF(K3892="","",ABS(K3892))</f>
        <v>46.6347055728882</v>
      </c>
      <c r="P3892" s="34" t="str">
        <f aca="false">IF(B3892&gt;=Eval_Start_Week,"YES","")</f>
        <v/>
      </c>
      <c r="Q3892" s="34" t="str">
        <f aca="false">IF(AND(B3892&gt;=Cal_Start_Week,B3892&lt;=Cal_End_Week),"YES","")</f>
        <v>YES</v>
      </c>
    </row>
    <row r="3893" customFormat="false" ht="15" hidden="false" customHeight="false" outlineLevel="0" collapsed="false">
      <c r="A3893" s="31" t="str">
        <f aca="false">Demand_History!C3893</f>
        <v>CLN-001</v>
      </c>
      <c r="B3893" s="31" t="n">
        <f aca="false">Demand_History!A3893</f>
        <v>44</v>
      </c>
      <c r="C3893" s="32" t="n">
        <f aca="false">Demand_History!D3893</f>
        <v>248</v>
      </c>
      <c r="D3893" s="33" t="n">
        <f aca="false">IF(B3893&gt;=2,C3892,"")</f>
        <v>189</v>
      </c>
      <c r="E3893" s="33" t="n">
        <f aca="false">IF(B3893&gt;=5,AVERAGE(C3889:C3892),"")</f>
        <v>234.75</v>
      </c>
      <c r="F3893" s="33" t="n">
        <f aca="false">IF(B3893&gt;=9,AVERAGE(C3885:C3892),"")</f>
        <v>219.875</v>
      </c>
      <c r="G3893" s="33" t="n">
        <f aca="false">IF(B3893=1,"",IF(B3893=2,C3892,SES_Alpha*C3892+(1-SES_Alpha)*G3892))</f>
        <v>221.644293901022</v>
      </c>
      <c r="H3893" s="33" t="n">
        <f aca="false">IF(D3893="","",D3893-C3893)</f>
        <v>-59</v>
      </c>
      <c r="I3893" s="33" t="n">
        <f aca="false">IF(E3893="","",E3893-C3893)</f>
        <v>-13.25</v>
      </c>
      <c r="J3893" s="33" t="n">
        <f aca="false">IF(F3893="","",F3893-C3893)</f>
        <v>-28.125</v>
      </c>
      <c r="K3893" s="33" t="n">
        <f aca="false">IF(G3893="","",G3893-C3893)</f>
        <v>-26.3557060989783</v>
      </c>
      <c r="L3893" s="33" t="n">
        <f aca="false">IF(H3893="","",ABS(H3893))</f>
        <v>59</v>
      </c>
      <c r="M3893" s="33" t="n">
        <f aca="false">IF(I3893="","",ABS(I3893))</f>
        <v>13.25</v>
      </c>
      <c r="N3893" s="33" t="n">
        <f aca="false">IF(J3893="","",ABS(J3893))</f>
        <v>28.125</v>
      </c>
      <c r="O3893" s="33" t="n">
        <f aca="false">IF(K3893="","",ABS(K3893))</f>
        <v>26.3557060989783</v>
      </c>
      <c r="P3893" s="34" t="str">
        <f aca="false">IF(B3893&gt;=Eval_Start_Week,"YES","")</f>
        <v/>
      </c>
      <c r="Q3893" s="34" t="str">
        <f aca="false">IF(AND(B3893&gt;=Cal_Start_Week,B3893&lt;=Cal_End_Week),"YES","")</f>
        <v>YES</v>
      </c>
    </row>
    <row r="3894" customFormat="false" ht="15" hidden="false" customHeight="false" outlineLevel="0" collapsed="false">
      <c r="A3894" s="31" t="str">
        <f aca="false">Demand_History!C3894</f>
        <v>CLN-001</v>
      </c>
      <c r="B3894" s="31" t="n">
        <f aca="false">Demand_History!A3894</f>
        <v>45</v>
      </c>
      <c r="C3894" s="32" t="n">
        <f aca="false">Demand_History!D3894</f>
        <v>224</v>
      </c>
      <c r="D3894" s="33" t="n">
        <f aca="false">IF(B3894&gt;=2,C3893,"")</f>
        <v>248</v>
      </c>
      <c r="E3894" s="33" t="n">
        <f aca="false">IF(B3894&gt;=5,AVERAGE(C3890:C3893),"")</f>
        <v>237.25</v>
      </c>
      <c r="F3894" s="33" t="n">
        <f aca="false">IF(B3894&gt;=9,AVERAGE(C3886:C3893),"")</f>
        <v>227.625</v>
      </c>
      <c r="G3894" s="33" t="n">
        <f aca="false">IF(B3894=1,"",IF(B3894=2,C3893,SES_Alpha*C3893+(1-SES_Alpha)*G3893))</f>
        <v>229.551005730715</v>
      </c>
      <c r="H3894" s="33" t="n">
        <f aca="false">IF(D3894="","",D3894-C3894)</f>
        <v>24</v>
      </c>
      <c r="I3894" s="33" t="n">
        <f aca="false">IF(E3894="","",E3894-C3894)</f>
        <v>13.25</v>
      </c>
      <c r="J3894" s="33" t="n">
        <f aca="false">IF(F3894="","",F3894-C3894)</f>
        <v>3.625</v>
      </c>
      <c r="K3894" s="33" t="n">
        <f aca="false">IF(G3894="","",G3894-C3894)</f>
        <v>5.55100573071519</v>
      </c>
      <c r="L3894" s="33" t="n">
        <f aca="false">IF(H3894="","",ABS(H3894))</f>
        <v>24</v>
      </c>
      <c r="M3894" s="33" t="n">
        <f aca="false">IF(I3894="","",ABS(I3894))</f>
        <v>13.25</v>
      </c>
      <c r="N3894" s="33" t="n">
        <f aca="false">IF(J3894="","",ABS(J3894))</f>
        <v>3.625</v>
      </c>
      <c r="O3894" s="33" t="n">
        <f aca="false">IF(K3894="","",ABS(K3894))</f>
        <v>5.55100573071519</v>
      </c>
      <c r="P3894" s="34" t="str">
        <f aca="false">IF(B3894&gt;=Eval_Start_Week,"YES","")</f>
        <v/>
      </c>
      <c r="Q3894" s="34" t="str">
        <f aca="false">IF(AND(B3894&gt;=Cal_Start_Week,B3894&lt;=Cal_End_Week),"YES","")</f>
        <v>YES</v>
      </c>
    </row>
    <row r="3895" customFormat="false" ht="15" hidden="false" customHeight="false" outlineLevel="0" collapsed="false">
      <c r="A3895" s="31" t="str">
        <f aca="false">Demand_History!C3895</f>
        <v>CLN-001</v>
      </c>
      <c r="B3895" s="31" t="n">
        <f aca="false">Demand_History!A3895</f>
        <v>46</v>
      </c>
      <c r="C3895" s="32" t="n">
        <f aca="false">Demand_History!D3895</f>
        <v>218</v>
      </c>
      <c r="D3895" s="33" t="n">
        <f aca="false">IF(B3895&gt;=2,C3894,"")</f>
        <v>224</v>
      </c>
      <c r="E3895" s="33" t="n">
        <f aca="false">IF(B3895&gt;=5,AVERAGE(C3891:C3894),"")</f>
        <v>227.5</v>
      </c>
      <c r="F3895" s="33" t="n">
        <f aca="false">IF(B3895&gt;=9,AVERAGE(C3887:C3894),"")</f>
        <v>228</v>
      </c>
      <c r="G3895" s="33" t="n">
        <f aca="false">IF(B3895=1,"",IF(B3895=2,C3894,SES_Alpha*C3894+(1-SES_Alpha)*G3894))</f>
        <v>227.885704011501</v>
      </c>
      <c r="H3895" s="33" t="n">
        <f aca="false">IF(D3895="","",D3895-C3895)</f>
        <v>6</v>
      </c>
      <c r="I3895" s="33" t="n">
        <f aca="false">IF(E3895="","",E3895-C3895)</f>
        <v>9.5</v>
      </c>
      <c r="J3895" s="33" t="n">
        <f aca="false">IF(F3895="","",F3895-C3895)</f>
        <v>10</v>
      </c>
      <c r="K3895" s="33" t="n">
        <f aca="false">IF(G3895="","",G3895-C3895)</f>
        <v>9.88570401150065</v>
      </c>
      <c r="L3895" s="33" t="n">
        <f aca="false">IF(H3895="","",ABS(H3895))</f>
        <v>6</v>
      </c>
      <c r="M3895" s="33" t="n">
        <f aca="false">IF(I3895="","",ABS(I3895))</f>
        <v>9.5</v>
      </c>
      <c r="N3895" s="33" t="n">
        <f aca="false">IF(J3895="","",ABS(J3895))</f>
        <v>10</v>
      </c>
      <c r="O3895" s="33" t="n">
        <f aca="false">IF(K3895="","",ABS(K3895))</f>
        <v>9.88570401150065</v>
      </c>
      <c r="P3895" s="34" t="str">
        <f aca="false">IF(B3895&gt;=Eval_Start_Week,"YES","")</f>
        <v/>
      </c>
      <c r="Q3895" s="34" t="str">
        <f aca="false">IF(AND(B3895&gt;=Cal_Start_Week,B3895&lt;=Cal_End_Week),"YES","")</f>
        <v>YES</v>
      </c>
    </row>
    <row r="3896" customFormat="false" ht="15" hidden="false" customHeight="false" outlineLevel="0" collapsed="false">
      <c r="A3896" s="31" t="str">
        <f aca="false">Demand_History!C3896</f>
        <v>CLN-001</v>
      </c>
      <c r="B3896" s="31" t="n">
        <f aca="false">Demand_History!A3896</f>
        <v>47</v>
      </c>
      <c r="C3896" s="32" t="n">
        <f aca="false">Demand_History!D3896</f>
        <v>206</v>
      </c>
      <c r="D3896" s="33" t="n">
        <f aca="false">IF(B3896&gt;=2,C3895,"")</f>
        <v>218</v>
      </c>
      <c r="E3896" s="33" t="n">
        <f aca="false">IF(B3896&gt;=5,AVERAGE(C3892:C3895),"")</f>
        <v>219.75</v>
      </c>
      <c r="F3896" s="33" t="n">
        <f aca="false">IF(B3896&gt;=9,AVERAGE(C3888:C3895),"")</f>
        <v>228.125</v>
      </c>
      <c r="G3896" s="33" t="n">
        <f aca="false">IF(B3896=1,"",IF(B3896=2,C3895,SES_Alpha*C3895+(1-SES_Alpha)*G3895))</f>
        <v>224.91999280805</v>
      </c>
      <c r="H3896" s="33" t="n">
        <f aca="false">IF(D3896="","",D3896-C3896)</f>
        <v>12</v>
      </c>
      <c r="I3896" s="33" t="n">
        <f aca="false">IF(E3896="","",E3896-C3896)</f>
        <v>13.75</v>
      </c>
      <c r="J3896" s="33" t="n">
        <f aca="false">IF(F3896="","",F3896-C3896)</f>
        <v>22.125</v>
      </c>
      <c r="K3896" s="33" t="n">
        <f aca="false">IF(G3896="","",G3896-C3896)</f>
        <v>18.9199928080504</v>
      </c>
      <c r="L3896" s="33" t="n">
        <f aca="false">IF(H3896="","",ABS(H3896))</f>
        <v>12</v>
      </c>
      <c r="M3896" s="33" t="n">
        <f aca="false">IF(I3896="","",ABS(I3896))</f>
        <v>13.75</v>
      </c>
      <c r="N3896" s="33" t="n">
        <f aca="false">IF(J3896="","",ABS(J3896))</f>
        <v>22.125</v>
      </c>
      <c r="O3896" s="33" t="n">
        <f aca="false">IF(K3896="","",ABS(K3896))</f>
        <v>18.9199928080504</v>
      </c>
      <c r="P3896" s="34" t="str">
        <f aca="false">IF(B3896&gt;=Eval_Start_Week,"YES","")</f>
        <v/>
      </c>
      <c r="Q3896" s="34" t="str">
        <f aca="false">IF(AND(B3896&gt;=Cal_Start_Week,B3896&lt;=Cal_End_Week),"YES","")</f>
        <v>YES</v>
      </c>
    </row>
    <row r="3897" customFormat="false" ht="15" hidden="false" customHeight="false" outlineLevel="0" collapsed="false">
      <c r="A3897" s="31" t="str">
        <f aca="false">Demand_History!C3897</f>
        <v>CLN-001</v>
      </c>
      <c r="B3897" s="31" t="n">
        <f aca="false">Demand_History!A3897</f>
        <v>48</v>
      </c>
      <c r="C3897" s="32" t="n">
        <f aca="false">Demand_History!D3897</f>
        <v>219</v>
      </c>
      <c r="D3897" s="33" t="n">
        <f aca="false">IF(B3897&gt;=2,C3896,"")</f>
        <v>206</v>
      </c>
      <c r="E3897" s="33" t="n">
        <f aca="false">IF(B3897&gt;=5,AVERAGE(C3893:C3896),"")</f>
        <v>224</v>
      </c>
      <c r="F3897" s="33" t="n">
        <f aca="false">IF(B3897&gt;=9,AVERAGE(C3889:C3896),"")</f>
        <v>229.375</v>
      </c>
      <c r="G3897" s="33" t="n">
        <f aca="false">IF(B3897=1,"",IF(B3897=2,C3896,SES_Alpha*C3896+(1-SES_Alpha)*G3896))</f>
        <v>219.243994965635</v>
      </c>
      <c r="H3897" s="33" t="n">
        <f aca="false">IF(D3897="","",D3897-C3897)</f>
        <v>-13</v>
      </c>
      <c r="I3897" s="33" t="n">
        <f aca="false">IF(E3897="","",E3897-C3897)</f>
        <v>5</v>
      </c>
      <c r="J3897" s="33" t="n">
        <f aca="false">IF(F3897="","",F3897-C3897)</f>
        <v>10.375</v>
      </c>
      <c r="K3897" s="33" t="n">
        <f aca="false">IF(G3897="","",G3897-C3897)</f>
        <v>0.243994965635295</v>
      </c>
      <c r="L3897" s="33" t="n">
        <f aca="false">IF(H3897="","",ABS(H3897))</f>
        <v>13</v>
      </c>
      <c r="M3897" s="33" t="n">
        <f aca="false">IF(I3897="","",ABS(I3897))</f>
        <v>5</v>
      </c>
      <c r="N3897" s="33" t="n">
        <f aca="false">IF(J3897="","",ABS(J3897))</f>
        <v>10.375</v>
      </c>
      <c r="O3897" s="33" t="n">
        <f aca="false">IF(K3897="","",ABS(K3897))</f>
        <v>0.243994965635295</v>
      </c>
      <c r="P3897" s="34" t="str">
        <f aca="false">IF(B3897&gt;=Eval_Start_Week,"YES","")</f>
        <v/>
      </c>
      <c r="Q3897" s="34" t="str">
        <f aca="false">IF(AND(B3897&gt;=Cal_Start_Week,B3897&lt;=Cal_End_Week),"YES","")</f>
        <v>YES</v>
      </c>
    </row>
    <row r="3898" customFormat="false" ht="15" hidden="false" customHeight="false" outlineLevel="0" collapsed="false">
      <c r="A3898" s="31" t="str">
        <f aca="false">Demand_History!C3898</f>
        <v>CLN-001</v>
      </c>
      <c r="B3898" s="31" t="n">
        <f aca="false">Demand_History!A3898</f>
        <v>49</v>
      </c>
      <c r="C3898" s="32" t="n">
        <f aca="false">Demand_History!D3898</f>
        <v>250</v>
      </c>
      <c r="D3898" s="33" t="n">
        <f aca="false">IF(B3898&gt;=2,C3897,"")</f>
        <v>219</v>
      </c>
      <c r="E3898" s="33" t="n">
        <f aca="false">IF(B3898&gt;=5,AVERAGE(C3894:C3897),"")</f>
        <v>216.75</v>
      </c>
      <c r="F3898" s="33" t="n">
        <f aca="false">IF(B3898&gt;=9,AVERAGE(C3890:C3897),"")</f>
        <v>227</v>
      </c>
      <c r="G3898" s="33" t="n">
        <f aca="false">IF(B3898=1,"",IF(B3898=2,C3897,SES_Alpha*C3897+(1-SES_Alpha)*G3897))</f>
        <v>219.170796475945</v>
      </c>
      <c r="H3898" s="33" t="n">
        <f aca="false">IF(D3898="","",D3898-C3898)</f>
        <v>-31</v>
      </c>
      <c r="I3898" s="33" t="n">
        <f aca="false">IF(E3898="","",E3898-C3898)</f>
        <v>-33.25</v>
      </c>
      <c r="J3898" s="33" t="n">
        <f aca="false">IF(F3898="","",F3898-C3898)</f>
        <v>-23</v>
      </c>
      <c r="K3898" s="33" t="n">
        <f aca="false">IF(G3898="","",G3898-C3898)</f>
        <v>-30.8292035240553</v>
      </c>
      <c r="L3898" s="33" t="n">
        <f aca="false">IF(H3898="","",ABS(H3898))</f>
        <v>31</v>
      </c>
      <c r="M3898" s="33" t="n">
        <f aca="false">IF(I3898="","",ABS(I3898))</f>
        <v>33.25</v>
      </c>
      <c r="N3898" s="33" t="n">
        <f aca="false">IF(J3898="","",ABS(J3898))</f>
        <v>23</v>
      </c>
      <c r="O3898" s="33" t="n">
        <f aca="false">IF(K3898="","",ABS(K3898))</f>
        <v>30.8292035240553</v>
      </c>
      <c r="P3898" s="34" t="str">
        <f aca="false">IF(B3898&gt;=Eval_Start_Week,"YES","")</f>
        <v/>
      </c>
      <c r="Q3898" s="34" t="str">
        <f aca="false">IF(AND(B3898&gt;=Cal_Start_Week,B3898&lt;=Cal_End_Week),"YES","")</f>
        <v>YES</v>
      </c>
    </row>
    <row r="3899" customFormat="false" ht="15" hidden="false" customHeight="false" outlineLevel="0" collapsed="false">
      <c r="A3899" s="31" t="str">
        <f aca="false">Demand_History!C3899</f>
        <v>CLN-001</v>
      </c>
      <c r="B3899" s="31" t="n">
        <f aca="false">Demand_History!A3899</f>
        <v>50</v>
      </c>
      <c r="C3899" s="32" t="n">
        <f aca="false">Demand_History!D3899</f>
        <v>231</v>
      </c>
      <c r="D3899" s="33" t="n">
        <f aca="false">IF(B3899&gt;=2,C3898,"")</f>
        <v>250</v>
      </c>
      <c r="E3899" s="33" t="n">
        <f aca="false">IF(B3899&gt;=5,AVERAGE(C3895:C3898),"")</f>
        <v>223.25</v>
      </c>
      <c r="F3899" s="33" t="n">
        <f aca="false">IF(B3899&gt;=9,AVERAGE(C3891:C3898),"")</f>
        <v>225.375</v>
      </c>
      <c r="G3899" s="33" t="n">
        <f aca="false">IF(B3899=1,"",IF(B3899=2,C3898,SES_Alpha*C3898+(1-SES_Alpha)*G3898))</f>
        <v>228.419557533161</v>
      </c>
      <c r="H3899" s="33" t="n">
        <f aca="false">IF(D3899="","",D3899-C3899)</f>
        <v>19</v>
      </c>
      <c r="I3899" s="33" t="n">
        <f aca="false">IF(E3899="","",E3899-C3899)</f>
        <v>-7.75</v>
      </c>
      <c r="J3899" s="33" t="n">
        <f aca="false">IF(F3899="","",F3899-C3899)</f>
        <v>-5.625</v>
      </c>
      <c r="K3899" s="33" t="n">
        <f aca="false">IF(G3899="","",G3899-C3899)</f>
        <v>-2.58044246683872</v>
      </c>
      <c r="L3899" s="33" t="n">
        <f aca="false">IF(H3899="","",ABS(H3899))</f>
        <v>19</v>
      </c>
      <c r="M3899" s="33" t="n">
        <f aca="false">IF(I3899="","",ABS(I3899))</f>
        <v>7.75</v>
      </c>
      <c r="N3899" s="33" t="n">
        <f aca="false">IF(J3899="","",ABS(J3899))</f>
        <v>5.625</v>
      </c>
      <c r="O3899" s="33" t="n">
        <f aca="false">IF(K3899="","",ABS(K3899))</f>
        <v>2.58044246683872</v>
      </c>
      <c r="P3899" s="34" t="str">
        <f aca="false">IF(B3899&gt;=Eval_Start_Week,"YES","")</f>
        <v/>
      </c>
      <c r="Q3899" s="34" t="str">
        <f aca="false">IF(AND(B3899&gt;=Cal_Start_Week,B3899&lt;=Cal_End_Week),"YES","")</f>
        <v>YES</v>
      </c>
    </row>
    <row r="3900" customFormat="false" ht="15" hidden="false" customHeight="false" outlineLevel="0" collapsed="false">
      <c r="A3900" s="31" t="str">
        <f aca="false">Demand_History!C3900</f>
        <v>CLN-001</v>
      </c>
      <c r="B3900" s="31" t="n">
        <f aca="false">Demand_History!A3900</f>
        <v>51</v>
      </c>
      <c r="C3900" s="32" t="n">
        <f aca="false">Demand_History!D3900</f>
        <v>210</v>
      </c>
      <c r="D3900" s="33" t="n">
        <f aca="false">IF(B3900&gt;=2,C3899,"")</f>
        <v>231</v>
      </c>
      <c r="E3900" s="33" t="n">
        <f aca="false">IF(B3900&gt;=5,AVERAGE(C3896:C3899),"")</f>
        <v>226.5</v>
      </c>
      <c r="F3900" s="33" t="n">
        <f aca="false">IF(B3900&gt;=9,AVERAGE(C3892:C3899),"")</f>
        <v>223.125</v>
      </c>
      <c r="G3900" s="33" t="n">
        <f aca="false">IF(B3900=1,"",IF(B3900=2,C3899,SES_Alpha*C3899+(1-SES_Alpha)*G3899))</f>
        <v>229.193690273213</v>
      </c>
      <c r="H3900" s="33" t="n">
        <f aca="false">IF(D3900="","",D3900-C3900)</f>
        <v>21</v>
      </c>
      <c r="I3900" s="33" t="n">
        <f aca="false">IF(E3900="","",E3900-C3900)</f>
        <v>16.5</v>
      </c>
      <c r="J3900" s="33" t="n">
        <f aca="false">IF(F3900="","",F3900-C3900)</f>
        <v>13.125</v>
      </c>
      <c r="K3900" s="33" t="n">
        <f aca="false">IF(G3900="","",G3900-C3900)</f>
        <v>19.1936902732129</v>
      </c>
      <c r="L3900" s="33" t="n">
        <f aca="false">IF(H3900="","",ABS(H3900))</f>
        <v>21</v>
      </c>
      <c r="M3900" s="33" t="n">
        <f aca="false">IF(I3900="","",ABS(I3900))</f>
        <v>16.5</v>
      </c>
      <c r="N3900" s="33" t="n">
        <f aca="false">IF(J3900="","",ABS(J3900))</f>
        <v>13.125</v>
      </c>
      <c r="O3900" s="33" t="n">
        <f aca="false">IF(K3900="","",ABS(K3900))</f>
        <v>19.1936902732129</v>
      </c>
      <c r="P3900" s="34" t="str">
        <f aca="false">IF(B3900&gt;=Eval_Start_Week,"YES","")</f>
        <v/>
      </c>
      <c r="Q3900" s="34" t="str">
        <f aca="false">IF(AND(B3900&gt;=Cal_Start_Week,B3900&lt;=Cal_End_Week),"YES","")</f>
        <v>YES</v>
      </c>
    </row>
    <row r="3901" customFormat="false" ht="15" hidden="false" customHeight="false" outlineLevel="0" collapsed="false">
      <c r="A3901" s="31" t="str">
        <f aca="false">Demand_History!C3901</f>
        <v>CLN-001</v>
      </c>
      <c r="B3901" s="31" t="n">
        <f aca="false">Demand_History!A3901</f>
        <v>52</v>
      </c>
      <c r="C3901" s="32" t="n">
        <f aca="false">Demand_History!D3901</f>
        <v>204</v>
      </c>
      <c r="D3901" s="33" t="n">
        <f aca="false">IF(B3901&gt;=2,C3900,"")</f>
        <v>210</v>
      </c>
      <c r="E3901" s="33" t="n">
        <f aca="false">IF(B3901&gt;=5,AVERAGE(C3897:C3900),"")</f>
        <v>227.5</v>
      </c>
      <c r="F3901" s="33" t="n">
        <f aca="false">IF(B3901&gt;=9,AVERAGE(C3893:C3900),"")</f>
        <v>225.75</v>
      </c>
      <c r="G3901" s="33" t="n">
        <f aca="false">IF(B3901=1,"",IF(B3901=2,C3900,SES_Alpha*C3900+(1-SES_Alpha)*G3900))</f>
        <v>223.435583191249</v>
      </c>
      <c r="H3901" s="33" t="n">
        <f aca="false">IF(D3901="","",D3901-C3901)</f>
        <v>6</v>
      </c>
      <c r="I3901" s="33" t="n">
        <f aca="false">IF(E3901="","",E3901-C3901)</f>
        <v>23.5</v>
      </c>
      <c r="J3901" s="33" t="n">
        <f aca="false">IF(F3901="","",F3901-C3901)</f>
        <v>21.75</v>
      </c>
      <c r="K3901" s="33" t="n">
        <f aca="false">IF(G3901="","",G3901-C3901)</f>
        <v>19.435583191249</v>
      </c>
      <c r="L3901" s="33" t="n">
        <f aca="false">IF(H3901="","",ABS(H3901))</f>
        <v>6</v>
      </c>
      <c r="M3901" s="33" t="n">
        <f aca="false">IF(I3901="","",ABS(I3901))</f>
        <v>23.5</v>
      </c>
      <c r="N3901" s="33" t="n">
        <f aca="false">IF(J3901="","",ABS(J3901))</f>
        <v>21.75</v>
      </c>
      <c r="O3901" s="33" t="n">
        <f aca="false">IF(K3901="","",ABS(K3901))</f>
        <v>19.435583191249</v>
      </c>
      <c r="P3901" s="34" t="str">
        <f aca="false">IF(B3901&gt;=Eval_Start_Week,"YES","")</f>
        <v/>
      </c>
      <c r="Q3901" s="34" t="str">
        <f aca="false">IF(AND(B3901&gt;=Cal_Start_Week,B3901&lt;=Cal_End_Week),"YES","")</f>
        <v>YES</v>
      </c>
    </row>
    <row r="3902" customFormat="false" ht="15" hidden="false" customHeight="false" outlineLevel="0" collapsed="false">
      <c r="A3902" s="31" t="str">
        <f aca="false">Demand_History!C3902</f>
        <v>CLN-001</v>
      </c>
      <c r="B3902" s="31" t="n">
        <f aca="false">Demand_History!A3902</f>
        <v>53</v>
      </c>
      <c r="C3902" s="32" t="n">
        <f aca="false">Demand_History!D3902</f>
        <v>210</v>
      </c>
      <c r="D3902" s="33" t="n">
        <f aca="false">IF(B3902&gt;=2,C3901,"")</f>
        <v>204</v>
      </c>
      <c r="E3902" s="33" t="n">
        <f aca="false">IF(B3902&gt;=5,AVERAGE(C3898:C3901),"")</f>
        <v>223.75</v>
      </c>
      <c r="F3902" s="33" t="n">
        <f aca="false">IF(B3902&gt;=9,AVERAGE(C3894:C3901),"")</f>
        <v>220.25</v>
      </c>
      <c r="G3902" s="33" t="n">
        <f aca="false">IF(B3902=1,"",IF(B3902=2,C3901,SES_Alpha*C3901+(1-SES_Alpha)*G3901))</f>
        <v>217.604908233874</v>
      </c>
      <c r="H3902" s="33" t="n">
        <f aca="false">IF(D3902="","",D3902-C3902)</f>
        <v>-6</v>
      </c>
      <c r="I3902" s="33" t="n">
        <f aca="false">IF(E3902="","",E3902-C3902)</f>
        <v>13.75</v>
      </c>
      <c r="J3902" s="33" t="n">
        <f aca="false">IF(F3902="","",F3902-C3902)</f>
        <v>10.25</v>
      </c>
      <c r="K3902" s="33" t="n">
        <f aca="false">IF(G3902="","",G3902-C3902)</f>
        <v>7.60490823387428</v>
      </c>
      <c r="L3902" s="33" t="n">
        <f aca="false">IF(H3902="","",ABS(H3902))</f>
        <v>6</v>
      </c>
      <c r="M3902" s="33" t="n">
        <f aca="false">IF(I3902="","",ABS(I3902))</f>
        <v>13.75</v>
      </c>
      <c r="N3902" s="33" t="n">
        <f aca="false">IF(J3902="","",ABS(J3902))</f>
        <v>10.25</v>
      </c>
      <c r="O3902" s="33" t="n">
        <f aca="false">IF(K3902="","",ABS(K3902))</f>
        <v>7.60490823387428</v>
      </c>
      <c r="P3902" s="34" t="str">
        <f aca="false">IF(B3902&gt;=Eval_Start_Week,"YES","")</f>
        <v>YES</v>
      </c>
      <c r="Q3902" s="34" t="str">
        <f aca="false">IF(AND(B3902&gt;=Cal_Start_Week,B3902&lt;=Cal_End_Week),"YES","")</f>
        <v>YES</v>
      </c>
    </row>
    <row r="3903" customFormat="false" ht="15" hidden="false" customHeight="false" outlineLevel="0" collapsed="false">
      <c r="A3903" s="31" t="str">
        <f aca="false">Demand_History!C3903</f>
        <v>CLN-001</v>
      </c>
      <c r="B3903" s="31" t="n">
        <f aca="false">Demand_History!A3903</f>
        <v>54</v>
      </c>
      <c r="C3903" s="32" t="n">
        <f aca="false">Demand_History!D3903</f>
        <v>232</v>
      </c>
      <c r="D3903" s="33" t="n">
        <f aca="false">IF(B3903&gt;=2,C3902,"")</f>
        <v>210</v>
      </c>
      <c r="E3903" s="33" t="n">
        <f aca="false">IF(B3903&gt;=5,AVERAGE(C3899:C3902),"")</f>
        <v>213.75</v>
      </c>
      <c r="F3903" s="33" t="n">
        <f aca="false">IF(B3903&gt;=9,AVERAGE(C3895:C3902),"")</f>
        <v>218.5</v>
      </c>
      <c r="G3903" s="33" t="n">
        <f aca="false">IF(B3903=1,"",IF(B3903=2,C3902,SES_Alpha*C3902+(1-SES_Alpha)*G3902))</f>
        <v>215.323435763712</v>
      </c>
      <c r="H3903" s="33" t="n">
        <f aca="false">IF(D3903="","",D3903-C3903)</f>
        <v>-22</v>
      </c>
      <c r="I3903" s="33" t="n">
        <f aca="false">IF(E3903="","",E3903-C3903)</f>
        <v>-18.25</v>
      </c>
      <c r="J3903" s="33" t="n">
        <f aca="false">IF(F3903="","",F3903-C3903)</f>
        <v>-13.5</v>
      </c>
      <c r="K3903" s="33" t="n">
        <f aca="false">IF(G3903="","",G3903-C3903)</f>
        <v>-16.676564236288</v>
      </c>
      <c r="L3903" s="33" t="n">
        <f aca="false">IF(H3903="","",ABS(H3903))</f>
        <v>22</v>
      </c>
      <c r="M3903" s="33" t="n">
        <f aca="false">IF(I3903="","",ABS(I3903))</f>
        <v>18.25</v>
      </c>
      <c r="N3903" s="33" t="n">
        <f aca="false">IF(J3903="","",ABS(J3903))</f>
        <v>13.5</v>
      </c>
      <c r="O3903" s="33" t="n">
        <f aca="false">IF(K3903="","",ABS(K3903))</f>
        <v>16.676564236288</v>
      </c>
      <c r="P3903" s="34" t="str">
        <f aca="false">IF(B3903&gt;=Eval_Start_Week,"YES","")</f>
        <v>YES</v>
      </c>
      <c r="Q3903" s="34" t="str">
        <f aca="false">IF(AND(B3903&gt;=Cal_Start_Week,B3903&lt;=Cal_End_Week),"YES","")</f>
        <v>YES</v>
      </c>
    </row>
    <row r="3904" customFormat="false" ht="15" hidden="false" customHeight="false" outlineLevel="0" collapsed="false">
      <c r="A3904" s="31" t="str">
        <f aca="false">Demand_History!C3904</f>
        <v>CLN-001</v>
      </c>
      <c r="B3904" s="31" t="n">
        <f aca="false">Demand_History!A3904</f>
        <v>55</v>
      </c>
      <c r="C3904" s="32" t="n">
        <f aca="false">Demand_History!D3904</f>
        <v>261</v>
      </c>
      <c r="D3904" s="33" t="n">
        <f aca="false">IF(B3904&gt;=2,C3903,"")</f>
        <v>232</v>
      </c>
      <c r="E3904" s="33" t="n">
        <f aca="false">IF(B3904&gt;=5,AVERAGE(C3900:C3903),"")</f>
        <v>214</v>
      </c>
      <c r="F3904" s="33" t="n">
        <f aca="false">IF(B3904&gt;=9,AVERAGE(C3896:C3903),"")</f>
        <v>220.25</v>
      </c>
      <c r="G3904" s="33" t="n">
        <f aca="false">IF(B3904=1,"",IF(B3904=2,C3903,SES_Alpha*C3903+(1-SES_Alpha)*G3903))</f>
        <v>220.326405034598</v>
      </c>
      <c r="H3904" s="33" t="n">
        <f aca="false">IF(D3904="","",D3904-C3904)</f>
        <v>-29</v>
      </c>
      <c r="I3904" s="33" t="n">
        <f aca="false">IF(E3904="","",E3904-C3904)</f>
        <v>-47</v>
      </c>
      <c r="J3904" s="33" t="n">
        <f aca="false">IF(F3904="","",F3904-C3904)</f>
        <v>-40.75</v>
      </c>
      <c r="K3904" s="33" t="n">
        <f aca="false">IF(G3904="","",G3904-C3904)</f>
        <v>-40.6735949654016</v>
      </c>
      <c r="L3904" s="33" t="n">
        <f aca="false">IF(H3904="","",ABS(H3904))</f>
        <v>29</v>
      </c>
      <c r="M3904" s="33" t="n">
        <f aca="false">IF(I3904="","",ABS(I3904))</f>
        <v>47</v>
      </c>
      <c r="N3904" s="33" t="n">
        <f aca="false">IF(J3904="","",ABS(J3904))</f>
        <v>40.75</v>
      </c>
      <c r="O3904" s="33" t="n">
        <f aca="false">IF(K3904="","",ABS(K3904))</f>
        <v>40.6735949654016</v>
      </c>
      <c r="P3904" s="34" t="str">
        <f aca="false">IF(B3904&gt;=Eval_Start_Week,"YES","")</f>
        <v>YES</v>
      </c>
      <c r="Q3904" s="34" t="str">
        <f aca="false">IF(AND(B3904&gt;=Cal_Start_Week,B3904&lt;=Cal_End_Week),"YES","")</f>
        <v>YES</v>
      </c>
    </row>
    <row r="3905" customFormat="false" ht="15" hidden="false" customHeight="false" outlineLevel="0" collapsed="false">
      <c r="A3905" s="31" t="str">
        <f aca="false">Demand_History!C3905</f>
        <v>CLN-001</v>
      </c>
      <c r="B3905" s="31" t="n">
        <f aca="false">Demand_History!A3905</f>
        <v>56</v>
      </c>
      <c r="C3905" s="32" t="n">
        <f aca="false">Demand_History!D3905</f>
        <v>196</v>
      </c>
      <c r="D3905" s="33" t="n">
        <f aca="false">IF(B3905&gt;=2,C3904,"")</f>
        <v>261</v>
      </c>
      <c r="E3905" s="33" t="n">
        <f aca="false">IF(B3905&gt;=5,AVERAGE(C3901:C3904),"")</f>
        <v>226.75</v>
      </c>
      <c r="F3905" s="33" t="n">
        <f aca="false">IF(B3905&gt;=9,AVERAGE(C3897:C3904),"")</f>
        <v>227.125</v>
      </c>
      <c r="G3905" s="33" t="n">
        <f aca="false">IF(B3905=1,"",IF(B3905=2,C3904,SES_Alpha*C3904+(1-SES_Alpha)*G3904))</f>
        <v>232.528483524219</v>
      </c>
      <c r="H3905" s="33" t="n">
        <f aca="false">IF(D3905="","",D3905-C3905)</f>
        <v>65</v>
      </c>
      <c r="I3905" s="33" t="n">
        <f aca="false">IF(E3905="","",E3905-C3905)</f>
        <v>30.75</v>
      </c>
      <c r="J3905" s="33" t="n">
        <f aca="false">IF(F3905="","",F3905-C3905)</f>
        <v>31.125</v>
      </c>
      <c r="K3905" s="33" t="n">
        <f aca="false">IF(G3905="","",G3905-C3905)</f>
        <v>36.5284835242189</v>
      </c>
      <c r="L3905" s="33" t="n">
        <f aca="false">IF(H3905="","",ABS(H3905))</f>
        <v>65</v>
      </c>
      <c r="M3905" s="33" t="n">
        <f aca="false">IF(I3905="","",ABS(I3905))</f>
        <v>30.75</v>
      </c>
      <c r="N3905" s="33" t="n">
        <f aca="false">IF(J3905="","",ABS(J3905))</f>
        <v>31.125</v>
      </c>
      <c r="O3905" s="33" t="n">
        <f aca="false">IF(K3905="","",ABS(K3905))</f>
        <v>36.5284835242189</v>
      </c>
      <c r="P3905" s="34" t="str">
        <f aca="false">IF(B3905&gt;=Eval_Start_Week,"YES","")</f>
        <v>YES</v>
      </c>
      <c r="Q3905" s="34" t="str">
        <f aca="false">IF(AND(B3905&gt;=Cal_Start_Week,B3905&lt;=Cal_End_Week),"YES","")</f>
        <v>YES</v>
      </c>
    </row>
    <row r="3906" customFormat="false" ht="15" hidden="false" customHeight="false" outlineLevel="0" collapsed="false">
      <c r="A3906" s="31" t="str">
        <f aca="false">Demand_History!C3906</f>
        <v>CLN-001</v>
      </c>
      <c r="B3906" s="31" t="n">
        <f aca="false">Demand_History!A3906</f>
        <v>57</v>
      </c>
      <c r="C3906" s="32" t="n">
        <f aca="false">Demand_History!D3906</f>
        <v>219</v>
      </c>
      <c r="D3906" s="33" t="n">
        <f aca="false">IF(B3906&gt;=2,C3905,"")</f>
        <v>196</v>
      </c>
      <c r="E3906" s="33" t="n">
        <f aca="false">IF(B3906&gt;=5,AVERAGE(C3902:C3905),"")</f>
        <v>224.75</v>
      </c>
      <c r="F3906" s="33" t="n">
        <f aca="false">IF(B3906&gt;=9,AVERAGE(C3898:C3905),"")</f>
        <v>224.25</v>
      </c>
      <c r="G3906" s="33" t="n">
        <f aca="false">IF(B3906=1,"",IF(B3906=2,C3905,SES_Alpha*C3905+(1-SES_Alpha)*G3905))</f>
        <v>221.569938466953</v>
      </c>
      <c r="H3906" s="33" t="n">
        <f aca="false">IF(D3906="","",D3906-C3906)</f>
        <v>-23</v>
      </c>
      <c r="I3906" s="33" t="n">
        <f aca="false">IF(E3906="","",E3906-C3906)</f>
        <v>5.75</v>
      </c>
      <c r="J3906" s="33" t="n">
        <f aca="false">IF(F3906="","",F3906-C3906)</f>
        <v>5.25</v>
      </c>
      <c r="K3906" s="33" t="n">
        <f aca="false">IF(G3906="","",G3906-C3906)</f>
        <v>2.5699384669532</v>
      </c>
      <c r="L3906" s="33" t="n">
        <f aca="false">IF(H3906="","",ABS(H3906))</f>
        <v>23</v>
      </c>
      <c r="M3906" s="33" t="n">
        <f aca="false">IF(I3906="","",ABS(I3906))</f>
        <v>5.75</v>
      </c>
      <c r="N3906" s="33" t="n">
        <f aca="false">IF(J3906="","",ABS(J3906))</f>
        <v>5.25</v>
      </c>
      <c r="O3906" s="33" t="n">
        <f aca="false">IF(K3906="","",ABS(K3906))</f>
        <v>2.5699384669532</v>
      </c>
      <c r="P3906" s="34" t="str">
        <f aca="false">IF(B3906&gt;=Eval_Start_Week,"YES","")</f>
        <v>YES</v>
      </c>
      <c r="Q3906" s="34" t="str">
        <f aca="false">IF(AND(B3906&gt;=Cal_Start_Week,B3906&lt;=Cal_End_Week),"YES","")</f>
        <v>YES</v>
      </c>
    </row>
    <row r="3907" customFormat="false" ht="15" hidden="false" customHeight="false" outlineLevel="0" collapsed="false">
      <c r="A3907" s="31" t="str">
        <f aca="false">Demand_History!C3907</f>
        <v>CLN-001</v>
      </c>
      <c r="B3907" s="31" t="n">
        <f aca="false">Demand_History!A3907</f>
        <v>58</v>
      </c>
      <c r="C3907" s="32" t="n">
        <f aca="false">Demand_History!D3907</f>
        <v>211</v>
      </c>
      <c r="D3907" s="33" t="n">
        <f aca="false">IF(B3907&gt;=2,C3906,"")</f>
        <v>219</v>
      </c>
      <c r="E3907" s="33" t="n">
        <f aca="false">IF(B3907&gt;=5,AVERAGE(C3903:C3906),"")</f>
        <v>227</v>
      </c>
      <c r="F3907" s="33" t="n">
        <f aca="false">IF(B3907&gt;=9,AVERAGE(C3899:C3906),"")</f>
        <v>220.375</v>
      </c>
      <c r="G3907" s="33" t="n">
        <f aca="false">IF(B3907=1,"",IF(B3907=2,C3906,SES_Alpha*C3906+(1-SES_Alpha)*G3906))</f>
        <v>220.798956926867</v>
      </c>
      <c r="H3907" s="33" t="n">
        <f aca="false">IF(D3907="","",D3907-C3907)</f>
        <v>8</v>
      </c>
      <c r="I3907" s="33" t="n">
        <f aca="false">IF(E3907="","",E3907-C3907)</f>
        <v>16</v>
      </c>
      <c r="J3907" s="33" t="n">
        <f aca="false">IF(F3907="","",F3907-C3907)</f>
        <v>9.375</v>
      </c>
      <c r="K3907" s="33" t="n">
        <f aca="false">IF(G3907="","",G3907-C3907)</f>
        <v>9.79895692686722</v>
      </c>
      <c r="L3907" s="33" t="n">
        <f aca="false">IF(H3907="","",ABS(H3907))</f>
        <v>8</v>
      </c>
      <c r="M3907" s="33" t="n">
        <f aca="false">IF(I3907="","",ABS(I3907))</f>
        <v>16</v>
      </c>
      <c r="N3907" s="33" t="n">
        <f aca="false">IF(J3907="","",ABS(J3907))</f>
        <v>9.375</v>
      </c>
      <c r="O3907" s="33" t="n">
        <f aca="false">IF(K3907="","",ABS(K3907))</f>
        <v>9.79895692686722</v>
      </c>
      <c r="P3907" s="34" t="str">
        <f aca="false">IF(B3907&gt;=Eval_Start_Week,"YES","")</f>
        <v>YES</v>
      </c>
      <c r="Q3907" s="34" t="str">
        <f aca="false">IF(AND(B3907&gt;=Cal_Start_Week,B3907&lt;=Cal_End_Week),"YES","")</f>
        <v>YES</v>
      </c>
    </row>
    <row r="3908" customFormat="false" ht="15" hidden="false" customHeight="false" outlineLevel="0" collapsed="false">
      <c r="A3908" s="31" t="str">
        <f aca="false">Demand_History!C3908</f>
        <v>CLN-001</v>
      </c>
      <c r="B3908" s="31" t="n">
        <f aca="false">Demand_History!A3908</f>
        <v>59</v>
      </c>
      <c r="C3908" s="32" t="n">
        <f aca="false">Demand_History!D3908</f>
        <v>202</v>
      </c>
      <c r="D3908" s="33" t="n">
        <f aca="false">IF(B3908&gt;=2,C3907,"")</f>
        <v>211</v>
      </c>
      <c r="E3908" s="33" t="n">
        <f aca="false">IF(B3908&gt;=5,AVERAGE(C3904:C3907),"")</f>
        <v>221.75</v>
      </c>
      <c r="F3908" s="33" t="n">
        <f aca="false">IF(B3908&gt;=9,AVERAGE(C3900:C3907),"")</f>
        <v>217.875</v>
      </c>
      <c r="G3908" s="33" t="n">
        <f aca="false">IF(B3908=1,"",IF(B3908=2,C3907,SES_Alpha*C3907+(1-SES_Alpha)*G3907))</f>
        <v>217.859269848807</v>
      </c>
      <c r="H3908" s="33" t="n">
        <f aca="false">IF(D3908="","",D3908-C3908)</f>
        <v>9</v>
      </c>
      <c r="I3908" s="33" t="n">
        <f aca="false">IF(E3908="","",E3908-C3908)</f>
        <v>19.75</v>
      </c>
      <c r="J3908" s="33" t="n">
        <f aca="false">IF(F3908="","",F3908-C3908)</f>
        <v>15.875</v>
      </c>
      <c r="K3908" s="33" t="n">
        <f aca="false">IF(G3908="","",G3908-C3908)</f>
        <v>15.8592698488071</v>
      </c>
      <c r="L3908" s="33" t="n">
        <f aca="false">IF(H3908="","",ABS(H3908))</f>
        <v>9</v>
      </c>
      <c r="M3908" s="33" t="n">
        <f aca="false">IF(I3908="","",ABS(I3908))</f>
        <v>19.75</v>
      </c>
      <c r="N3908" s="33" t="n">
        <f aca="false">IF(J3908="","",ABS(J3908))</f>
        <v>15.875</v>
      </c>
      <c r="O3908" s="33" t="n">
        <f aca="false">IF(K3908="","",ABS(K3908))</f>
        <v>15.8592698488071</v>
      </c>
      <c r="P3908" s="34" t="str">
        <f aca="false">IF(B3908&gt;=Eval_Start_Week,"YES","")</f>
        <v>YES</v>
      </c>
      <c r="Q3908" s="34" t="str">
        <f aca="false">IF(AND(B3908&gt;=Cal_Start_Week,B3908&lt;=Cal_End_Week),"YES","")</f>
        <v>YES</v>
      </c>
    </row>
    <row r="3909" customFormat="false" ht="15" hidden="false" customHeight="false" outlineLevel="0" collapsed="false">
      <c r="A3909" s="31" t="str">
        <f aca="false">Demand_History!C3909</f>
        <v>CLN-001</v>
      </c>
      <c r="B3909" s="31" t="n">
        <f aca="false">Demand_History!A3909</f>
        <v>60</v>
      </c>
      <c r="C3909" s="32" t="n">
        <f aca="false">Demand_History!D3909</f>
        <v>228</v>
      </c>
      <c r="D3909" s="33" t="n">
        <f aca="false">IF(B3909&gt;=2,C3908,"")</f>
        <v>202</v>
      </c>
      <c r="E3909" s="33" t="n">
        <f aca="false">IF(B3909&gt;=5,AVERAGE(C3905:C3908),"")</f>
        <v>207</v>
      </c>
      <c r="F3909" s="33" t="n">
        <f aca="false">IF(B3909&gt;=9,AVERAGE(C3901:C3908),"")</f>
        <v>216.875</v>
      </c>
      <c r="G3909" s="33" t="n">
        <f aca="false">IF(B3909=1,"",IF(B3909=2,C3908,SES_Alpha*C3908+(1-SES_Alpha)*G3908))</f>
        <v>213.101488894165</v>
      </c>
      <c r="H3909" s="33" t="n">
        <f aca="false">IF(D3909="","",D3909-C3909)</f>
        <v>-26</v>
      </c>
      <c r="I3909" s="33" t="n">
        <f aca="false">IF(E3909="","",E3909-C3909)</f>
        <v>-21</v>
      </c>
      <c r="J3909" s="33" t="n">
        <f aca="false">IF(F3909="","",F3909-C3909)</f>
        <v>-11.125</v>
      </c>
      <c r="K3909" s="33" t="n">
        <f aca="false">IF(G3909="","",G3909-C3909)</f>
        <v>-14.8985111058351</v>
      </c>
      <c r="L3909" s="33" t="n">
        <f aca="false">IF(H3909="","",ABS(H3909))</f>
        <v>26</v>
      </c>
      <c r="M3909" s="33" t="n">
        <f aca="false">IF(I3909="","",ABS(I3909))</f>
        <v>21</v>
      </c>
      <c r="N3909" s="33" t="n">
        <f aca="false">IF(J3909="","",ABS(J3909))</f>
        <v>11.125</v>
      </c>
      <c r="O3909" s="33" t="n">
        <f aca="false">IF(K3909="","",ABS(K3909))</f>
        <v>14.8985111058351</v>
      </c>
      <c r="P3909" s="34" t="str">
        <f aca="false">IF(B3909&gt;=Eval_Start_Week,"YES","")</f>
        <v>YES</v>
      </c>
      <c r="Q3909" s="34" t="str">
        <f aca="false">IF(AND(B3909&gt;=Cal_Start_Week,B3909&lt;=Cal_End_Week),"YES","")</f>
        <v>YES</v>
      </c>
    </row>
    <row r="3910" customFormat="false" ht="15" hidden="false" customHeight="false" outlineLevel="0" collapsed="false">
      <c r="A3910" s="31" t="str">
        <f aca="false">Demand_History!C3910</f>
        <v>CLN-001</v>
      </c>
      <c r="B3910" s="31" t="n">
        <f aca="false">Demand_History!A3910</f>
        <v>61</v>
      </c>
      <c r="C3910" s="32" t="n">
        <f aca="false">Demand_History!D3910</f>
        <v>232</v>
      </c>
      <c r="D3910" s="33" t="n">
        <f aca="false">IF(B3910&gt;=2,C3909,"")</f>
        <v>228</v>
      </c>
      <c r="E3910" s="33" t="n">
        <f aca="false">IF(B3910&gt;=5,AVERAGE(C3906:C3909),"")</f>
        <v>215</v>
      </c>
      <c r="F3910" s="33" t="n">
        <f aca="false">IF(B3910&gt;=9,AVERAGE(C3902:C3909),"")</f>
        <v>219.875</v>
      </c>
      <c r="G3910" s="33" t="n">
        <f aca="false">IF(B3910=1,"",IF(B3910=2,C3909,SES_Alpha*C3909+(1-SES_Alpha)*G3909))</f>
        <v>217.571042225915</v>
      </c>
      <c r="H3910" s="33" t="n">
        <f aca="false">IF(D3910="","",D3910-C3910)</f>
        <v>-4</v>
      </c>
      <c r="I3910" s="33" t="n">
        <f aca="false">IF(E3910="","",E3910-C3910)</f>
        <v>-17</v>
      </c>
      <c r="J3910" s="33" t="n">
        <f aca="false">IF(F3910="","",F3910-C3910)</f>
        <v>-12.125</v>
      </c>
      <c r="K3910" s="33" t="n">
        <f aca="false">IF(G3910="","",G3910-C3910)</f>
        <v>-14.4289577740846</v>
      </c>
      <c r="L3910" s="33" t="n">
        <f aca="false">IF(H3910="","",ABS(H3910))</f>
        <v>4</v>
      </c>
      <c r="M3910" s="33" t="n">
        <f aca="false">IF(I3910="","",ABS(I3910))</f>
        <v>17</v>
      </c>
      <c r="N3910" s="33" t="n">
        <f aca="false">IF(J3910="","",ABS(J3910))</f>
        <v>12.125</v>
      </c>
      <c r="O3910" s="33" t="n">
        <f aca="false">IF(K3910="","",ABS(K3910))</f>
        <v>14.4289577740846</v>
      </c>
      <c r="P3910" s="34" t="str">
        <f aca="false">IF(B3910&gt;=Eval_Start_Week,"YES","")</f>
        <v>YES</v>
      </c>
      <c r="Q3910" s="34" t="str">
        <f aca="false">IF(AND(B3910&gt;=Cal_Start_Week,B3910&lt;=Cal_End_Week),"YES","")</f>
        <v>YES</v>
      </c>
    </row>
    <row r="3911" customFormat="false" ht="15" hidden="false" customHeight="false" outlineLevel="0" collapsed="false">
      <c r="A3911" s="31" t="str">
        <f aca="false">Demand_History!C3911</f>
        <v>CLN-001</v>
      </c>
      <c r="B3911" s="31" t="n">
        <f aca="false">Demand_History!A3911</f>
        <v>62</v>
      </c>
      <c r="C3911" s="32" t="n">
        <f aca="false">Demand_History!D3911</f>
        <v>188</v>
      </c>
      <c r="D3911" s="33" t="n">
        <f aca="false">IF(B3911&gt;=2,C3910,"")</f>
        <v>232</v>
      </c>
      <c r="E3911" s="33" t="n">
        <f aca="false">IF(B3911&gt;=5,AVERAGE(C3907:C3910),"")</f>
        <v>218.25</v>
      </c>
      <c r="F3911" s="33" t="n">
        <f aca="false">IF(B3911&gt;=9,AVERAGE(C3903:C3910),"")</f>
        <v>222.625</v>
      </c>
      <c r="G3911" s="33" t="n">
        <f aca="false">IF(B3911=1,"",IF(B3911=2,C3910,SES_Alpha*C3910+(1-SES_Alpha)*G3910))</f>
        <v>221.899729558141</v>
      </c>
      <c r="H3911" s="33" t="n">
        <f aca="false">IF(D3911="","",D3911-C3911)</f>
        <v>44</v>
      </c>
      <c r="I3911" s="33" t="n">
        <f aca="false">IF(E3911="","",E3911-C3911)</f>
        <v>30.25</v>
      </c>
      <c r="J3911" s="33" t="n">
        <f aca="false">IF(F3911="","",F3911-C3911)</f>
        <v>34.625</v>
      </c>
      <c r="K3911" s="33" t="n">
        <f aca="false">IF(G3911="","",G3911-C3911)</f>
        <v>33.8997295581408</v>
      </c>
      <c r="L3911" s="33" t="n">
        <f aca="false">IF(H3911="","",ABS(H3911))</f>
        <v>44</v>
      </c>
      <c r="M3911" s="33" t="n">
        <f aca="false">IF(I3911="","",ABS(I3911))</f>
        <v>30.25</v>
      </c>
      <c r="N3911" s="33" t="n">
        <f aca="false">IF(J3911="","",ABS(J3911))</f>
        <v>34.625</v>
      </c>
      <c r="O3911" s="33" t="n">
        <f aca="false">IF(K3911="","",ABS(K3911))</f>
        <v>33.8997295581408</v>
      </c>
      <c r="P3911" s="34" t="str">
        <f aca="false">IF(B3911&gt;=Eval_Start_Week,"YES","")</f>
        <v>YES</v>
      </c>
      <c r="Q3911" s="34" t="str">
        <f aca="false">IF(AND(B3911&gt;=Cal_Start_Week,B3911&lt;=Cal_End_Week),"YES","")</f>
        <v>YES</v>
      </c>
    </row>
    <row r="3912" customFormat="false" ht="15" hidden="false" customHeight="false" outlineLevel="0" collapsed="false">
      <c r="A3912" s="31" t="str">
        <f aca="false">Demand_History!C3912</f>
        <v>CLN-001</v>
      </c>
      <c r="B3912" s="31" t="n">
        <f aca="false">Demand_History!A3912</f>
        <v>63</v>
      </c>
      <c r="C3912" s="32" t="n">
        <f aca="false">Demand_History!D3912</f>
        <v>196</v>
      </c>
      <c r="D3912" s="33" t="n">
        <f aca="false">IF(B3912&gt;=2,C3911,"")</f>
        <v>188</v>
      </c>
      <c r="E3912" s="33" t="n">
        <f aca="false">IF(B3912&gt;=5,AVERAGE(C3908:C3911),"")</f>
        <v>212.5</v>
      </c>
      <c r="F3912" s="33" t="n">
        <f aca="false">IF(B3912&gt;=9,AVERAGE(C3904:C3911),"")</f>
        <v>217.125</v>
      </c>
      <c r="G3912" s="33" t="n">
        <f aca="false">IF(B3912=1,"",IF(B3912=2,C3911,SES_Alpha*C3911+(1-SES_Alpha)*G3911))</f>
        <v>211.729810690699</v>
      </c>
      <c r="H3912" s="33" t="n">
        <f aca="false">IF(D3912="","",D3912-C3912)</f>
        <v>-8</v>
      </c>
      <c r="I3912" s="33" t="n">
        <f aca="false">IF(E3912="","",E3912-C3912)</f>
        <v>16.5</v>
      </c>
      <c r="J3912" s="33" t="n">
        <f aca="false">IF(F3912="","",F3912-C3912)</f>
        <v>21.125</v>
      </c>
      <c r="K3912" s="33" t="n">
        <f aca="false">IF(G3912="","",G3912-C3912)</f>
        <v>15.7298106906985</v>
      </c>
      <c r="L3912" s="33" t="n">
        <f aca="false">IF(H3912="","",ABS(H3912))</f>
        <v>8</v>
      </c>
      <c r="M3912" s="33" t="n">
        <f aca="false">IF(I3912="","",ABS(I3912))</f>
        <v>16.5</v>
      </c>
      <c r="N3912" s="33" t="n">
        <f aca="false">IF(J3912="","",ABS(J3912))</f>
        <v>21.125</v>
      </c>
      <c r="O3912" s="33" t="n">
        <f aca="false">IF(K3912="","",ABS(K3912))</f>
        <v>15.7298106906985</v>
      </c>
      <c r="P3912" s="34" t="str">
        <f aca="false">IF(B3912&gt;=Eval_Start_Week,"YES","")</f>
        <v>YES</v>
      </c>
      <c r="Q3912" s="34" t="str">
        <f aca="false">IF(AND(B3912&gt;=Cal_Start_Week,B3912&lt;=Cal_End_Week),"YES","")</f>
        <v>YES</v>
      </c>
    </row>
    <row r="3913" customFormat="false" ht="15" hidden="false" customHeight="false" outlineLevel="0" collapsed="false">
      <c r="A3913" s="31" t="str">
        <f aca="false">Demand_History!C3913</f>
        <v>CLN-001</v>
      </c>
      <c r="B3913" s="31" t="n">
        <f aca="false">Demand_History!A3913</f>
        <v>64</v>
      </c>
      <c r="C3913" s="32" t="n">
        <f aca="false">Demand_History!D3913</f>
        <v>246</v>
      </c>
      <c r="D3913" s="33" t="n">
        <f aca="false">IF(B3913&gt;=2,C3912,"")</f>
        <v>196</v>
      </c>
      <c r="E3913" s="33" t="n">
        <f aca="false">IF(B3913&gt;=5,AVERAGE(C3909:C3912),"")</f>
        <v>211</v>
      </c>
      <c r="F3913" s="33" t="n">
        <f aca="false">IF(B3913&gt;=9,AVERAGE(C3905:C3912),"")</f>
        <v>209</v>
      </c>
      <c r="G3913" s="33" t="n">
        <f aca="false">IF(B3913=1,"",IF(B3913=2,C3912,SES_Alpha*C3912+(1-SES_Alpha)*G3912))</f>
        <v>207.010867483489</v>
      </c>
      <c r="H3913" s="33" t="n">
        <f aca="false">IF(D3913="","",D3913-C3913)</f>
        <v>-50</v>
      </c>
      <c r="I3913" s="33" t="n">
        <f aca="false">IF(E3913="","",E3913-C3913)</f>
        <v>-35</v>
      </c>
      <c r="J3913" s="33" t="n">
        <f aca="false">IF(F3913="","",F3913-C3913)</f>
        <v>-37</v>
      </c>
      <c r="K3913" s="33" t="n">
        <f aca="false">IF(G3913="","",G3913-C3913)</f>
        <v>-38.989132516511</v>
      </c>
      <c r="L3913" s="33" t="n">
        <f aca="false">IF(H3913="","",ABS(H3913))</f>
        <v>50</v>
      </c>
      <c r="M3913" s="33" t="n">
        <f aca="false">IF(I3913="","",ABS(I3913))</f>
        <v>35</v>
      </c>
      <c r="N3913" s="33" t="n">
        <f aca="false">IF(J3913="","",ABS(J3913))</f>
        <v>37</v>
      </c>
      <c r="O3913" s="33" t="n">
        <f aca="false">IF(K3913="","",ABS(K3913))</f>
        <v>38.989132516511</v>
      </c>
      <c r="P3913" s="34" t="str">
        <f aca="false">IF(B3913&gt;=Eval_Start_Week,"YES","")</f>
        <v>YES</v>
      </c>
      <c r="Q3913" s="34" t="str">
        <f aca="false">IF(AND(B3913&gt;=Cal_Start_Week,B3913&lt;=Cal_End_Week),"YES","")</f>
        <v>YES</v>
      </c>
    </row>
    <row r="3914" customFormat="false" ht="15" hidden="false" customHeight="false" outlineLevel="0" collapsed="false">
      <c r="A3914" s="31" t="str">
        <f aca="false">Demand_History!C3914</f>
        <v>CLN-001</v>
      </c>
      <c r="B3914" s="31" t="n">
        <f aca="false">Demand_History!A3914</f>
        <v>65</v>
      </c>
      <c r="C3914" s="32" t="n">
        <f aca="false">Demand_History!D3914</f>
        <v>226</v>
      </c>
      <c r="D3914" s="33" t="n">
        <f aca="false">IF(B3914&gt;=2,C3913,"")</f>
        <v>246</v>
      </c>
      <c r="E3914" s="33" t="n">
        <f aca="false">IF(B3914&gt;=5,AVERAGE(C3910:C3913),"")</f>
        <v>215.5</v>
      </c>
      <c r="F3914" s="33" t="n">
        <f aca="false">IF(B3914&gt;=9,AVERAGE(C3906:C3913),"")</f>
        <v>215.25</v>
      </c>
      <c r="G3914" s="33" t="n">
        <f aca="false">IF(B3914=1,"",IF(B3914=2,C3913,SES_Alpha*C3913+(1-SES_Alpha)*G3913))</f>
        <v>218.707607238442</v>
      </c>
      <c r="H3914" s="33" t="n">
        <f aca="false">IF(D3914="","",D3914-C3914)</f>
        <v>20</v>
      </c>
      <c r="I3914" s="33" t="n">
        <f aca="false">IF(E3914="","",E3914-C3914)</f>
        <v>-10.5</v>
      </c>
      <c r="J3914" s="33" t="n">
        <f aca="false">IF(F3914="","",F3914-C3914)</f>
        <v>-10.75</v>
      </c>
      <c r="K3914" s="33" t="n">
        <f aca="false">IF(G3914="","",G3914-C3914)</f>
        <v>-7.29239276155772</v>
      </c>
      <c r="L3914" s="33" t="n">
        <f aca="false">IF(H3914="","",ABS(H3914))</f>
        <v>20</v>
      </c>
      <c r="M3914" s="33" t="n">
        <f aca="false">IF(I3914="","",ABS(I3914))</f>
        <v>10.5</v>
      </c>
      <c r="N3914" s="33" t="n">
        <f aca="false">IF(J3914="","",ABS(J3914))</f>
        <v>10.75</v>
      </c>
      <c r="O3914" s="33" t="n">
        <f aca="false">IF(K3914="","",ABS(K3914))</f>
        <v>7.29239276155772</v>
      </c>
      <c r="P3914" s="34" t="str">
        <f aca="false">IF(B3914&gt;=Eval_Start_Week,"YES","")</f>
        <v>YES</v>
      </c>
      <c r="Q3914" s="34" t="str">
        <f aca="false">IF(AND(B3914&gt;=Cal_Start_Week,B3914&lt;=Cal_End_Week),"YES","")</f>
        <v>YES</v>
      </c>
    </row>
    <row r="3915" customFormat="false" ht="15" hidden="false" customHeight="false" outlineLevel="0" collapsed="false">
      <c r="A3915" s="31" t="str">
        <f aca="false">Demand_History!C3915</f>
        <v>CLN-001</v>
      </c>
      <c r="B3915" s="31" t="n">
        <f aca="false">Demand_History!A3915</f>
        <v>66</v>
      </c>
      <c r="C3915" s="32" t="n">
        <f aca="false">Demand_History!D3915</f>
        <v>231</v>
      </c>
      <c r="D3915" s="33" t="n">
        <f aca="false">IF(B3915&gt;=2,C3914,"")</f>
        <v>226</v>
      </c>
      <c r="E3915" s="33" t="n">
        <f aca="false">IF(B3915&gt;=5,AVERAGE(C3911:C3914),"")</f>
        <v>214</v>
      </c>
      <c r="F3915" s="33" t="n">
        <f aca="false">IF(B3915&gt;=9,AVERAGE(C3907:C3914),"")</f>
        <v>216.125</v>
      </c>
      <c r="G3915" s="33" t="n">
        <f aca="false">IF(B3915=1,"",IF(B3915=2,C3914,SES_Alpha*C3914+(1-SES_Alpha)*G3914))</f>
        <v>220.89532506691</v>
      </c>
      <c r="H3915" s="33" t="n">
        <f aca="false">IF(D3915="","",D3915-C3915)</f>
        <v>-5</v>
      </c>
      <c r="I3915" s="33" t="n">
        <f aca="false">IF(E3915="","",E3915-C3915)</f>
        <v>-17</v>
      </c>
      <c r="J3915" s="33" t="n">
        <f aca="false">IF(F3915="","",F3915-C3915)</f>
        <v>-14.875</v>
      </c>
      <c r="K3915" s="33" t="n">
        <f aca="false">IF(G3915="","",G3915-C3915)</f>
        <v>-10.1046749330904</v>
      </c>
      <c r="L3915" s="33" t="n">
        <f aca="false">IF(H3915="","",ABS(H3915))</f>
        <v>5</v>
      </c>
      <c r="M3915" s="33" t="n">
        <f aca="false">IF(I3915="","",ABS(I3915))</f>
        <v>17</v>
      </c>
      <c r="N3915" s="33" t="n">
        <f aca="false">IF(J3915="","",ABS(J3915))</f>
        <v>14.875</v>
      </c>
      <c r="O3915" s="33" t="n">
        <f aca="false">IF(K3915="","",ABS(K3915))</f>
        <v>10.1046749330904</v>
      </c>
      <c r="P3915" s="34" t="str">
        <f aca="false">IF(B3915&gt;=Eval_Start_Week,"YES","")</f>
        <v>YES</v>
      </c>
      <c r="Q3915" s="34" t="str">
        <f aca="false">IF(AND(B3915&gt;=Cal_Start_Week,B3915&lt;=Cal_End_Week),"YES","")</f>
        <v>YES</v>
      </c>
    </row>
    <row r="3916" customFormat="false" ht="15" hidden="false" customHeight="false" outlineLevel="0" collapsed="false">
      <c r="A3916" s="31" t="str">
        <f aca="false">Demand_History!C3916</f>
        <v>CLN-001</v>
      </c>
      <c r="B3916" s="31" t="n">
        <f aca="false">Demand_History!A3916</f>
        <v>67</v>
      </c>
      <c r="C3916" s="32" t="n">
        <f aca="false">Demand_History!D3916</f>
        <v>208</v>
      </c>
      <c r="D3916" s="33" t="n">
        <f aca="false">IF(B3916&gt;=2,C3915,"")</f>
        <v>231</v>
      </c>
      <c r="E3916" s="33" t="n">
        <f aca="false">IF(B3916&gt;=5,AVERAGE(C3912:C3915),"")</f>
        <v>224.75</v>
      </c>
      <c r="F3916" s="33" t="n">
        <f aca="false">IF(B3916&gt;=9,AVERAGE(C3908:C3915),"")</f>
        <v>218.625</v>
      </c>
      <c r="G3916" s="33" t="n">
        <f aca="false">IF(B3916=1,"",IF(B3916=2,C3915,SES_Alpha*C3915+(1-SES_Alpha)*G3915))</f>
        <v>223.926727546837</v>
      </c>
      <c r="H3916" s="33" t="n">
        <f aca="false">IF(D3916="","",D3916-C3916)</f>
        <v>23</v>
      </c>
      <c r="I3916" s="33" t="n">
        <f aca="false">IF(E3916="","",E3916-C3916)</f>
        <v>16.75</v>
      </c>
      <c r="J3916" s="33" t="n">
        <f aca="false">IF(F3916="","",F3916-C3916)</f>
        <v>10.625</v>
      </c>
      <c r="K3916" s="33" t="n">
        <f aca="false">IF(G3916="","",G3916-C3916)</f>
        <v>15.9267275468367</v>
      </c>
      <c r="L3916" s="33" t="n">
        <f aca="false">IF(H3916="","",ABS(H3916))</f>
        <v>23</v>
      </c>
      <c r="M3916" s="33" t="n">
        <f aca="false">IF(I3916="","",ABS(I3916))</f>
        <v>16.75</v>
      </c>
      <c r="N3916" s="33" t="n">
        <f aca="false">IF(J3916="","",ABS(J3916))</f>
        <v>10.625</v>
      </c>
      <c r="O3916" s="33" t="n">
        <f aca="false">IF(K3916="","",ABS(K3916))</f>
        <v>15.9267275468367</v>
      </c>
      <c r="P3916" s="34" t="str">
        <f aca="false">IF(B3916&gt;=Eval_Start_Week,"YES","")</f>
        <v>YES</v>
      </c>
      <c r="Q3916" s="34" t="str">
        <f aca="false">IF(AND(B3916&gt;=Cal_Start_Week,B3916&lt;=Cal_End_Week),"YES","")</f>
        <v>YES</v>
      </c>
    </row>
    <row r="3917" customFormat="false" ht="15" hidden="false" customHeight="false" outlineLevel="0" collapsed="false">
      <c r="A3917" s="31" t="str">
        <f aca="false">Demand_History!C3917</f>
        <v>CLN-001</v>
      </c>
      <c r="B3917" s="31" t="n">
        <f aca="false">Demand_History!A3917</f>
        <v>68</v>
      </c>
      <c r="C3917" s="32" t="n">
        <f aca="false">Demand_History!D3917</f>
        <v>211</v>
      </c>
      <c r="D3917" s="33" t="n">
        <f aca="false">IF(B3917&gt;=2,C3916,"")</f>
        <v>208</v>
      </c>
      <c r="E3917" s="33" t="n">
        <f aca="false">IF(B3917&gt;=5,AVERAGE(C3913:C3916),"")</f>
        <v>227.75</v>
      </c>
      <c r="F3917" s="33" t="n">
        <f aca="false">IF(B3917&gt;=9,AVERAGE(C3909:C3916),"")</f>
        <v>219.375</v>
      </c>
      <c r="G3917" s="33" t="n">
        <f aca="false">IF(B3917=1,"",IF(B3917=2,C3916,SES_Alpha*C3916+(1-SES_Alpha)*G3916))</f>
        <v>219.148709282786</v>
      </c>
      <c r="H3917" s="33" t="n">
        <f aca="false">IF(D3917="","",D3917-C3917)</f>
        <v>-3</v>
      </c>
      <c r="I3917" s="33" t="n">
        <f aca="false">IF(E3917="","",E3917-C3917)</f>
        <v>16.75</v>
      </c>
      <c r="J3917" s="33" t="n">
        <f aca="false">IF(F3917="","",F3917-C3917)</f>
        <v>8.375</v>
      </c>
      <c r="K3917" s="33" t="n">
        <f aca="false">IF(G3917="","",G3917-C3917)</f>
        <v>8.14870928278572</v>
      </c>
      <c r="L3917" s="33" t="n">
        <f aca="false">IF(H3917="","",ABS(H3917))</f>
        <v>3</v>
      </c>
      <c r="M3917" s="33" t="n">
        <f aca="false">IF(I3917="","",ABS(I3917))</f>
        <v>16.75</v>
      </c>
      <c r="N3917" s="33" t="n">
        <f aca="false">IF(J3917="","",ABS(J3917))</f>
        <v>8.375</v>
      </c>
      <c r="O3917" s="33" t="n">
        <f aca="false">IF(K3917="","",ABS(K3917))</f>
        <v>8.14870928278572</v>
      </c>
      <c r="P3917" s="34" t="str">
        <f aca="false">IF(B3917&gt;=Eval_Start_Week,"YES","")</f>
        <v>YES</v>
      </c>
      <c r="Q3917" s="34" t="str">
        <f aca="false">IF(AND(B3917&gt;=Cal_Start_Week,B3917&lt;=Cal_End_Week),"YES","")</f>
        <v>YES</v>
      </c>
    </row>
    <row r="3918" customFormat="false" ht="15" hidden="false" customHeight="false" outlineLevel="0" collapsed="false">
      <c r="A3918" s="31" t="str">
        <f aca="false">Demand_History!C3918</f>
        <v>CLN-001</v>
      </c>
      <c r="B3918" s="31" t="n">
        <f aca="false">Demand_History!A3918</f>
        <v>69</v>
      </c>
      <c r="C3918" s="32" t="n">
        <f aca="false">Demand_History!D3918</f>
        <v>229</v>
      </c>
      <c r="D3918" s="33" t="n">
        <f aca="false">IF(B3918&gt;=2,C3917,"")</f>
        <v>211</v>
      </c>
      <c r="E3918" s="33" t="n">
        <f aca="false">IF(B3918&gt;=5,AVERAGE(C3914:C3917),"")</f>
        <v>219</v>
      </c>
      <c r="F3918" s="33" t="n">
        <f aca="false">IF(B3918&gt;=9,AVERAGE(C3910:C3917),"")</f>
        <v>217.25</v>
      </c>
      <c r="G3918" s="33" t="n">
        <f aca="false">IF(B3918=1,"",IF(B3918=2,C3917,SES_Alpha*C3917+(1-SES_Alpha)*G3917))</f>
        <v>216.70409649795</v>
      </c>
      <c r="H3918" s="33" t="n">
        <f aca="false">IF(D3918="","",D3918-C3918)</f>
        <v>-18</v>
      </c>
      <c r="I3918" s="33" t="n">
        <f aca="false">IF(E3918="","",E3918-C3918)</f>
        <v>-10</v>
      </c>
      <c r="J3918" s="33" t="n">
        <f aca="false">IF(F3918="","",F3918-C3918)</f>
        <v>-11.75</v>
      </c>
      <c r="K3918" s="33" t="n">
        <f aca="false">IF(G3918="","",G3918-C3918)</f>
        <v>-12.29590350205</v>
      </c>
      <c r="L3918" s="33" t="n">
        <f aca="false">IF(H3918="","",ABS(H3918))</f>
        <v>18</v>
      </c>
      <c r="M3918" s="33" t="n">
        <f aca="false">IF(I3918="","",ABS(I3918))</f>
        <v>10</v>
      </c>
      <c r="N3918" s="33" t="n">
        <f aca="false">IF(J3918="","",ABS(J3918))</f>
        <v>11.75</v>
      </c>
      <c r="O3918" s="33" t="n">
        <f aca="false">IF(K3918="","",ABS(K3918))</f>
        <v>12.29590350205</v>
      </c>
      <c r="P3918" s="34" t="str">
        <f aca="false">IF(B3918&gt;=Eval_Start_Week,"YES","")</f>
        <v>YES</v>
      </c>
      <c r="Q3918" s="34" t="str">
        <f aca="false">IF(AND(B3918&gt;=Cal_Start_Week,B3918&lt;=Cal_End_Week),"YES","")</f>
        <v>YES</v>
      </c>
    </row>
    <row r="3919" customFormat="false" ht="15" hidden="false" customHeight="false" outlineLevel="0" collapsed="false">
      <c r="A3919" s="31" t="str">
        <f aca="false">Demand_History!C3919</f>
        <v>CLN-001</v>
      </c>
      <c r="B3919" s="31" t="n">
        <f aca="false">Demand_History!A3919</f>
        <v>70</v>
      </c>
      <c r="C3919" s="32" t="n">
        <f aca="false">Demand_History!D3919</f>
        <v>208</v>
      </c>
      <c r="D3919" s="33" t="n">
        <f aca="false">IF(B3919&gt;=2,C3918,"")</f>
        <v>229</v>
      </c>
      <c r="E3919" s="33" t="n">
        <f aca="false">IF(B3919&gt;=5,AVERAGE(C3915:C3918),"")</f>
        <v>219.75</v>
      </c>
      <c r="F3919" s="33" t="n">
        <f aca="false">IF(B3919&gt;=9,AVERAGE(C3911:C3918),"")</f>
        <v>216.875</v>
      </c>
      <c r="G3919" s="33" t="n">
        <f aca="false">IF(B3919=1,"",IF(B3919=2,C3918,SES_Alpha*C3918+(1-SES_Alpha)*G3918))</f>
        <v>220.392867548565</v>
      </c>
      <c r="H3919" s="33" t="n">
        <f aca="false">IF(D3919="","",D3919-C3919)</f>
        <v>21</v>
      </c>
      <c r="I3919" s="33" t="n">
        <f aca="false">IF(E3919="","",E3919-C3919)</f>
        <v>11.75</v>
      </c>
      <c r="J3919" s="33" t="n">
        <f aca="false">IF(F3919="","",F3919-C3919)</f>
        <v>8.875</v>
      </c>
      <c r="K3919" s="33" t="n">
        <f aca="false">IF(G3919="","",G3919-C3919)</f>
        <v>12.392867548565</v>
      </c>
      <c r="L3919" s="33" t="n">
        <f aca="false">IF(H3919="","",ABS(H3919))</f>
        <v>21</v>
      </c>
      <c r="M3919" s="33" t="n">
        <f aca="false">IF(I3919="","",ABS(I3919))</f>
        <v>11.75</v>
      </c>
      <c r="N3919" s="33" t="n">
        <f aca="false">IF(J3919="","",ABS(J3919))</f>
        <v>8.875</v>
      </c>
      <c r="O3919" s="33" t="n">
        <f aca="false">IF(K3919="","",ABS(K3919))</f>
        <v>12.392867548565</v>
      </c>
      <c r="P3919" s="34" t="str">
        <f aca="false">IF(B3919&gt;=Eval_Start_Week,"YES","")</f>
        <v>YES</v>
      </c>
      <c r="Q3919" s="34" t="str">
        <f aca="false">IF(AND(B3919&gt;=Cal_Start_Week,B3919&lt;=Cal_End_Week),"YES","")</f>
        <v>YES</v>
      </c>
    </row>
    <row r="3920" customFormat="false" ht="15" hidden="false" customHeight="false" outlineLevel="0" collapsed="false">
      <c r="A3920" s="31" t="str">
        <f aca="false">Demand_History!C3920</f>
        <v>CLN-001</v>
      </c>
      <c r="B3920" s="31" t="n">
        <f aca="false">Demand_History!A3920</f>
        <v>71</v>
      </c>
      <c r="C3920" s="32" t="n">
        <f aca="false">Demand_History!D3920</f>
        <v>194</v>
      </c>
      <c r="D3920" s="33" t="n">
        <f aca="false">IF(B3920&gt;=2,C3919,"")</f>
        <v>208</v>
      </c>
      <c r="E3920" s="33" t="n">
        <f aca="false">IF(B3920&gt;=5,AVERAGE(C3916:C3919),"")</f>
        <v>214</v>
      </c>
      <c r="F3920" s="33" t="n">
        <f aca="false">IF(B3920&gt;=9,AVERAGE(C3912:C3919),"")</f>
        <v>219.375</v>
      </c>
      <c r="G3920" s="33" t="n">
        <f aca="false">IF(B3920=1,"",IF(B3920=2,C3919,SES_Alpha*C3919+(1-SES_Alpha)*G3919))</f>
        <v>216.675007283995</v>
      </c>
      <c r="H3920" s="33" t="n">
        <f aca="false">IF(D3920="","",D3920-C3920)</f>
        <v>14</v>
      </c>
      <c r="I3920" s="33" t="n">
        <f aca="false">IF(E3920="","",E3920-C3920)</f>
        <v>20</v>
      </c>
      <c r="J3920" s="33" t="n">
        <f aca="false">IF(F3920="","",F3920-C3920)</f>
        <v>25.375</v>
      </c>
      <c r="K3920" s="33" t="n">
        <f aca="false">IF(G3920="","",G3920-C3920)</f>
        <v>22.6750072839955</v>
      </c>
      <c r="L3920" s="33" t="n">
        <f aca="false">IF(H3920="","",ABS(H3920))</f>
        <v>14</v>
      </c>
      <c r="M3920" s="33" t="n">
        <f aca="false">IF(I3920="","",ABS(I3920))</f>
        <v>20</v>
      </c>
      <c r="N3920" s="33" t="n">
        <f aca="false">IF(J3920="","",ABS(J3920))</f>
        <v>25.375</v>
      </c>
      <c r="O3920" s="33" t="n">
        <f aca="false">IF(K3920="","",ABS(K3920))</f>
        <v>22.6750072839955</v>
      </c>
      <c r="P3920" s="34" t="str">
        <f aca="false">IF(B3920&gt;=Eval_Start_Week,"YES","")</f>
        <v>YES</v>
      </c>
      <c r="Q3920" s="34" t="str">
        <f aca="false">IF(AND(B3920&gt;=Cal_Start_Week,B3920&lt;=Cal_End_Week),"YES","")</f>
        <v>YES</v>
      </c>
    </row>
    <row r="3921" customFormat="false" ht="15" hidden="false" customHeight="false" outlineLevel="0" collapsed="false">
      <c r="A3921" s="31" t="str">
        <f aca="false">Demand_History!C3921</f>
        <v>CLN-001</v>
      </c>
      <c r="B3921" s="31" t="n">
        <f aca="false">Demand_History!A3921</f>
        <v>72</v>
      </c>
      <c r="C3921" s="32" t="n">
        <f aca="false">Demand_History!D3921</f>
        <v>219</v>
      </c>
      <c r="D3921" s="33" t="n">
        <f aca="false">IF(B3921&gt;=2,C3920,"")</f>
        <v>194</v>
      </c>
      <c r="E3921" s="33" t="n">
        <f aca="false">IF(B3921&gt;=5,AVERAGE(C3917:C3920),"")</f>
        <v>210.5</v>
      </c>
      <c r="F3921" s="33" t="n">
        <f aca="false">IF(B3921&gt;=9,AVERAGE(C3913:C3920),"")</f>
        <v>219.125</v>
      </c>
      <c r="G3921" s="33" t="n">
        <f aca="false">IF(B3921=1,"",IF(B3921=2,C3920,SES_Alpha*C3920+(1-SES_Alpha)*G3920))</f>
        <v>209.872505098797</v>
      </c>
      <c r="H3921" s="33" t="n">
        <f aca="false">IF(D3921="","",D3921-C3921)</f>
        <v>-25</v>
      </c>
      <c r="I3921" s="33" t="n">
        <f aca="false">IF(E3921="","",E3921-C3921)</f>
        <v>-8.5</v>
      </c>
      <c r="J3921" s="33" t="n">
        <f aca="false">IF(F3921="","",F3921-C3921)</f>
        <v>0.125</v>
      </c>
      <c r="K3921" s="33" t="n">
        <f aca="false">IF(G3921="","",G3921-C3921)</f>
        <v>-9.12749490120319</v>
      </c>
      <c r="L3921" s="33" t="n">
        <f aca="false">IF(H3921="","",ABS(H3921))</f>
        <v>25</v>
      </c>
      <c r="M3921" s="33" t="n">
        <f aca="false">IF(I3921="","",ABS(I3921))</f>
        <v>8.5</v>
      </c>
      <c r="N3921" s="33" t="n">
        <f aca="false">IF(J3921="","",ABS(J3921))</f>
        <v>0.125</v>
      </c>
      <c r="O3921" s="33" t="n">
        <f aca="false">IF(K3921="","",ABS(K3921))</f>
        <v>9.12749490120319</v>
      </c>
      <c r="P3921" s="34" t="str">
        <f aca="false">IF(B3921&gt;=Eval_Start_Week,"YES","")</f>
        <v>YES</v>
      </c>
      <c r="Q3921" s="34" t="str">
        <f aca="false">IF(AND(B3921&gt;=Cal_Start_Week,B3921&lt;=Cal_End_Week),"YES","")</f>
        <v>YES</v>
      </c>
    </row>
    <row r="3922" customFormat="false" ht="15" hidden="false" customHeight="false" outlineLevel="0" collapsed="false">
      <c r="A3922" s="31" t="str">
        <f aca="false">Demand_History!C3922</f>
        <v>CLN-001</v>
      </c>
      <c r="B3922" s="31" t="n">
        <f aca="false">Demand_History!A3922</f>
        <v>73</v>
      </c>
      <c r="C3922" s="32" t="n">
        <f aca="false">Demand_History!D3922</f>
        <v>239</v>
      </c>
      <c r="D3922" s="33" t="n">
        <f aca="false">IF(B3922&gt;=2,C3921,"")</f>
        <v>219</v>
      </c>
      <c r="E3922" s="33" t="n">
        <f aca="false">IF(B3922&gt;=5,AVERAGE(C3918:C3921),"")</f>
        <v>212.5</v>
      </c>
      <c r="F3922" s="33" t="n">
        <f aca="false">IF(B3922&gt;=9,AVERAGE(C3914:C3921),"")</f>
        <v>215.75</v>
      </c>
      <c r="G3922" s="33" t="n">
        <f aca="false">IF(B3922=1,"",IF(B3922=2,C3921,SES_Alpha*C3921+(1-SES_Alpha)*G3921))</f>
        <v>212.610753569158</v>
      </c>
      <c r="H3922" s="33" t="n">
        <f aca="false">IF(D3922="","",D3922-C3922)</f>
        <v>-20</v>
      </c>
      <c r="I3922" s="33" t="n">
        <f aca="false">IF(E3922="","",E3922-C3922)</f>
        <v>-26.5</v>
      </c>
      <c r="J3922" s="33" t="n">
        <f aca="false">IF(F3922="","",F3922-C3922)</f>
        <v>-23.25</v>
      </c>
      <c r="K3922" s="33" t="n">
        <f aca="false">IF(G3922="","",G3922-C3922)</f>
        <v>-26.3892464308423</v>
      </c>
      <c r="L3922" s="33" t="n">
        <f aca="false">IF(H3922="","",ABS(H3922))</f>
        <v>20</v>
      </c>
      <c r="M3922" s="33" t="n">
        <f aca="false">IF(I3922="","",ABS(I3922))</f>
        <v>26.5</v>
      </c>
      <c r="N3922" s="33" t="n">
        <f aca="false">IF(J3922="","",ABS(J3922))</f>
        <v>23.25</v>
      </c>
      <c r="O3922" s="33" t="n">
        <f aca="false">IF(K3922="","",ABS(K3922))</f>
        <v>26.3892464308423</v>
      </c>
      <c r="P3922" s="34" t="str">
        <f aca="false">IF(B3922&gt;=Eval_Start_Week,"YES","")</f>
        <v>YES</v>
      </c>
      <c r="Q3922" s="34" t="str">
        <f aca="false">IF(AND(B3922&gt;=Cal_Start_Week,B3922&lt;=Cal_End_Week),"YES","")</f>
        <v>YES</v>
      </c>
    </row>
    <row r="3923" customFormat="false" ht="15" hidden="false" customHeight="false" outlineLevel="0" collapsed="false">
      <c r="A3923" s="31" t="str">
        <f aca="false">Demand_History!C3923</f>
        <v>CLN-001</v>
      </c>
      <c r="B3923" s="31" t="n">
        <f aca="false">Demand_History!A3923</f>
        <v>74</v>
      </c>
      <c r="C3923" s="32" t="n">
        <f aca="false">Demand_History!D3923</f>
        <v>196</v>
      </c>
      <c r="D3923" s="33" t="n">
        <f aca="false">IF(B3923&gt;=2,C3922,"")</f>
        <v>239</v>
      </c>
      <c r="E3923" s="33" t="n">
        <f aca="false">IF(B3923&gt;=5,AVERAGE(C3919:C3922),"")</f>
        <v>215</v>
      </c>
      <c r="F3923" s="33" t="n">
        <f aca="false">IF(B3923&gt;=9,AVERAGE(C3915:C3922),"")</f>
        <v>217.375</v>
      </c>
      <c r="G3923" s="33" t="n">
        <f aca="false">IF(B3923=1,"",IF(B3923=2,C3922,SES_Alpha*C3922+(1-SES_Alpha)*G3922))</f>
        <v>220.52752749841</v>
      </c>
      <c r="H3923" s="33" t="n">
        <f aca="false">IF(D3923="","",D3923-C3923)</f>
        <v>43</v>
      </c>
      <c r="I3923" s="33" t="n">
        <f aca="false">IF(E3923="","",E3923-C3923)</f>
        <v>19</v>
      </c>
      <c r="J3923" s="33" t="n">
        <f aca="false">IF(F3923="","",F3923-C3923)</f>
        <v>21.375</v>
      </c>
      <c r="K3923" s="33" t="n">
        <f aca="false">IF(G3923="","",G3923-C3923)</f>
        <v>24.5275274984104</v>
      </c>
      <c r="L3923" s="33" t="n">
        <f aca="false">IF(H3923="","",ABS(H3923))</f>
        <v>43</v>
      </c>
      <c r="M3923" s="33" t="n">
        <f aca="false">IF(I3923="","",ABS(I3923))</f>
        <v>19</v>
      </c>
      <c r="N3923" s="33" t="n">
        <f aca="false">IF(J3923="","",ABS(J3923))</f>
        <v>21.375</v>
      </c>
      <c r="O3923" s="33" t="n">
        <f aca="false">IF(K3923="","",ABS(K3923))</f>
        <v>24.5275274984104</v>
      </c>
      <c r="P3923" s="34" t="str">
        <f aca="false">IF(B3923&gt;=Eval_Start_Week,"YES","")</f>
        <v>YES</v>
      </c>
      <c r="Q3923" s="34" t="str">
        <f aca="false">IF(AND(B3923&gt;=Cal_Start_Week,B3923&lt;=Cal_End_Week),"YES","")</f>
        <v>YES</v>
      </c>
    </row>
    <row r="3924" customFormat="false" ht="15" hidden="false" customHeight="false" outlineLevel="0" collapsed="false">
      <c r="A3924" s="31" t="str">
        <f aca="false">Demand_History!C3924</f>
        <v>CLN-001</v>
      </c>
      <c r="B3924" s="31" t="n">
        <f aca="false">Demand_History!A3924</f>
        <v>75</v>
      </c>
      <c r="C3924" s="32" t="n">
        <f aca="false">Demand_History!D3924</f>
        <v>243</v>
      </c>
      <c r="D3924" s="33" t="n">
        <f aca="false">IF(B3924&gt;=2,C3923,"")</f>
        <v>196</v>
      </c>
      <c r="E3924" s="33" t="n">
        <f aca="false">IF(B3924&gt;=5,AVERAGE(C3920:C3923),"")</f>
        <v>212</v>
      </c>
      <c r="F3924" s="33" t="n">
        <f aca="false">IF(B3924&gt;=9,AVERAGE(C3916:C3923),"")</f>
        <v>213</v>
      </c>
      <c r="G3924" s="33" t="n">
        <f aca="false">IF(B3924=1,"",IF(B3924=2,C3923,SES_Alpha*C3923+(1-SES_Alpha)*G3923))</f>
        <v>213.169269248887</v>
      </c>
      <c r="H3924" s="33" t="n">
        <f aca="false">IF(D3924="","",D3924-C3924)</f>
        <v>-47</v>
      </c>
      <c r="I3924" s="33" t="n">
        <f aca="false">IF(E3924="","",E3924-C3924)</f>
        <v>-31</v>
      </c>
      <c r="J3924" s="33" t="n">
        <f aca="false">IF(F3924="","",F3924-C3924)</f>
        <v>-30</v>
      </c>
      <c r="K3924" s="33" t="n">
        <f aca="false">IF(G3924="","",G3924-C3924)</f>
        <v>-29.8307307511128</v>
      </c>
      <c r="L3924" s="33" t="n">
        <f aca="false">IF(H3924="","",ABS(H3924))</f>
        <v>47</v>
      </c>
      <c r="M3924" s="33" t="n">
        <f aca="false">IF(I3924="","",ABS(I3924))</f>
        <v>31</v>
      </c>
      <c r="N3924" s="33" t="n">
        <f aca="false">IF(J3924="","",ABS(J3924))</f>
        <v>30</v>
      </c>
      <c r="O3924" s="33" t="n">
        <f aca="false">IF(K3924="","",ABS(K3924))</f>
        <v>29.8307307511128</v>
      </c>
      <c r="P3924" s="34" t="str">
        <f aca="false">IF(B3924&gt;=Eval_Start_Week,"YES","")</f>
        <v>YES</v>
      </c>
      <c r="Q3924" s="34" t="str">
        <f aca="false">IF(AND(B3924&gt;=Cal_Start_Week,B3924&lt;=Cal_End_Week),"YES","")</f>
        <v>YES</v>
      </c>
    </row>
    <row r="3925" customFormat="false" ht="15" hidden="false" customHeight="false" outlineLevel="0" collapsed="false">
      <c r="A3925" s="31" t="str">
        <f aca="false">Demand_History!C3925</f>
        <v>CLN-001</v>
      </c>
      <c r="B3925" s="31" t="n">
        <f aca="false">Demand_History!A3925</f>
        <v>76</v>
      </c>
      <c r="C3925" s="32" t="n">
        <f aca="false">Demand_History!D3925</f>
        <v>235</v>
      </c>
      <c r="D3925" s="33" t="n">
        <f aca="false">IF(B3925&gt;=2,C3924,"")</f>
        <v>243</v>
      </c>
      <c r="E3925" s="33" t="n">
        <f aca="false">IF(B3925&gt;=5,AVERAGE(C3921:C3924),"")</f>
        <v>224.25</v>
      </c>
      <c r="F3925" s="33" t="n">
        <f aca="false">IF(B3925&gt;=9,AVERAGE(C3917:C3924),"")</f>
        <v>217.375</v>
      </c>
      <c r="G3925" s="33" t="n">
        <f aca="false">IF(B3925=1,"",IF(B3925=2,C3924,SES_Alpha*C3924+(1-SES_Alpha)*G3924))</f>
        <v>222.118488474221</v>
      </c>
      <c r="H3925" s="33" t="n">
        <f aca="false">IF(D3925="","",D3925-C3925)</f>
        <v>8</v>
      </c>
      <c r="I3925" s="33" t="n">
        <f aca="false">IF(E3925="","",E3925-C3925)</f>
        <v>-10.75</v>
      </c>
      <c r="J3925" s="33" t="n">
        <f aca="false">IF(F3925="","",F3925-C3925)</f>
        <v>-17.625</v>
      </c>
      <c r="K3925" s="33" t="n">
        <f aca="false">IF(G3925="","",G3925-C3925)</f>
        <v>-12.8815115257789</v>
      </c>
      <c r="L3925" s="33" t="n">
        <f aca="false">IF(H3925="","",ABS(H3925))</f>
        <v>8</v>
      </c>
      <c r="M3925" s="33" t="n">
        <f aca="false">IF(I3925="","",ABS(I3925))</f>
        <v>10.75</v>
      </c>
      <c r="N3925" s="33" t="n">
        <f aca="false">IF(J3925="","",ABS(J3925))</f>
        <v>17.625</v>
      </c>
      <c r="O3925" s="33" t="n">
        <f aca="false">IF(K3925="","",ABS(K3925))</f>
        <v>12.8815115257789</v>
      </c>
      <c r="P3925" s="34" t="str">
        <f aca="false">IF(B3925&gt;=Eval_Start_Week,"YES","")</f>
        <v>YES</v>
      </c>
      <c r="Q3925" s="34" t="str">
        <f aca="false">IF(AND(B3925&gt;=Cal_Start_Week,B3925&lt;=Cal_End_Week),"YES","")</f>
        <v>YES</v>
      </c>
    </row>
    <row r="3926" customFormat="false" ht="15" hidden="false" customHeight="false" outlineLevel="0" collapsed="false">
      <c r="A3926" s="31" t="str">
        <f aca="false">Demand_History!C3926</f>
        <v>CLN-001</v>
      </c>
      <c r="B3926" s="31" t="n">
        <f aca="false">Demand_History!A3926</f>
        <v>77</v>
      </c>
      <c r="C3926" s="32" t="n">
        <f aca="false">Demand_History!D3926</f>
        <v>200</v>
      </c>
      <c r="D3926" s="33" t="n">
        <f aca="false">IF(B3926&gt;=2,C3925,"")</f>
        <v>235</v>
      </c>
      <c r="E3926" s="33" t="n">
        <f aca="false">IF(B3926&gt;=5,AVERAGE(C3922:C3925),"")</f>
        <v>228.25</v>
      </c>
      <c r="F3926" s="33" t="n">
        <f aca="false">IF(B3926&gt;=9,AVERAGE(C3918:C3925),"")</f>
        <v>220.375</v>
      </c>
      <c r="G3926" s="33" t="n">
        <f aca="false">IF(B3926=1,"",IF(B3926=2,C3925,SES_Alpha*C3925+(1-SES_Alpha)*G3925))</f>
        <v>225.982941931955</v>
      </c>
      <c r="H3926" s="33" t="n">
        <f aca="false">IF(D3926="","",D3926-C3926)</f>
        <v>35</v>
      </c>
      <c r="I3926" s="33" t="n">
        <f aca="false">IF(E3926="","",E3926-C3926)</f>
        <v>28.25</v>
      </c>
      <c r="J3926" s="33" t="n">
        <f aca="false">IF(F3926="","",F3926-C3926)</f>
        <v>20.375</v>
      </c>
      <c r="K3926" s="33" t="n">
        <f aca="false">IF(G3926="","",G3926-C3926)</f>
        <v>25.9829419319547</v>
      </c>
      <c r="L3926" s="33" t="n">
        <f aca="false">IF(H3926="","",ABS(H3926))</f>
        <v>35</v>
      </c>
      <c r="M3926" s="33" t="n">
        <f aca="false">IF(I3926="","",ABS(I3926))</f>
        <v>28.25</v>
      </c>
      <c r="N3926" s="33" t="n">
        <f aca="false">IF(J3926="","",ABS(J3926))</f>
        <v>20.375</v>
      </c>
      <c r="O3926" s="33" t="n">
        <f aca="false">IF(K3926="","",ABS(K3926))</f>
        <v>25.9829419319547</v>
      </c>
      <c r="P3926" s="34" t="str">
        <f aca="false">IF(B3926&gt;=Eval_Start_Week,"YES","")</f>
        <v>YES</v>
      </c>
      <c r="Q3926" s="34" t="str">
        <f aca="false">IF(AND(B3926&gt;=Cal_Start_Week,B3926&lt;=Cal_End_Week),"YES","")</f>
        <v>YES</v>
      </c>
    </row>
    <row r="3927" customFormat="false" ht="15" hidden="false" customHeight="false" outlineLevel="0" collapsed="false">
      <c r="A3927" s="31" t="str">
        <f aca="false">Demand_History!C3927</f>
        <v>CLN-001</v>
      </c>
      <c r="B3927" s="31" t="n">
        <f aca="false">Demand_History!A3927</f>
        <v>78</v>
      </c>
      <c r="C3927" s="32" t="n">
        <f aca="false">Demand_History!D3927</f>
        <v>219</v>
      </c>
      <c r="D3927" s="33" t="n">
        <f aca="false">IF(B3927&gt;=2,C3926,"")</f>
        <v>200</v>
      </c>
      <c r="E3927" s="33" t="n">
        <f aca="false">IF(B3927&gt;=5,AVERAGE(C3923:C3926),"")</f>
        <v>218.5</v>
      </c>
      <c r="F3927" s="33" t="n">
        <f aca="false">IF(B3927&gt;=9,AVERAGE(C3919:C3926),"")</f>
        <v>216.75</v>
      </c>
      <c r="G3927" s="33" t="n">
        <f aca="false">IF(B3927=1,"",IF(B3927=2,C3926,SES_Alpha*C3926+(1-SES_Alpha)*G3926))</f>
        <v>218.188059352368</v>
      </c>
      <c r="H3927" s="33" t="n">
        <f aca="false">IF(D3927="","",D3927-C3927)</f>
        <v>-19</v>
      </c>
      <c r="I3927" s="33" t="n">
        <f aca="false">IF(E3927="","",E3927-C3927)</f>
        <v>-0.5</v>
      </c>
      <c r="J3927" s="33" t="n">
        <f aca="false">IF(F3927="","",F3927-C3927)</f>
        <v>-2.25</v>
      </c>
      <c r="K3927" s="33" t="n">
        <f aca="false">IF(G3927="","",G3927-C3927)</f>
        <v>-0.811940647631701</v>
      </c>
      <c r="L3927" s="33" t="n">
        <f aca="false">IF(H3927="","",ABS(H3927))</f>
        <v>19</v>
      </c>
      <c r="M3927" s="33" t="n">
        <f aca="false">IF(I3927="","",ABS(I3927))</f>
        <v>0.5</v>
      </c>
      <c r="N3927" s="33" t="n">
        <f aca="false">IF(J3927="","",ABS(J3927))</f>
        <v>2.25</v>
      </c>
      <c r="O3927" s="33" t="n">
        <f aca="false">IF(K3927="","",ABS(K3927))</f>
        <v>0.811940647631701</v>
      </c>
      <c r="P3927" s="34" t="str">
        <f aca="false">IF(B3927&gt;=Eval_Start_Week,"YES","")</f>
        <v>YES</v>
      </c>
      <c r="Q3927" s="34" t="str">
        <f aca="false">IF(AND(B3927&gt;=Cal_Start_Week,B3927&lt;=Cal_End_Week),"YES","")</f>
        <v>YES</v>
      </c>
    </row>
    <row r="3928" customFormat="false" ht="15" hidden="false" customHeight="false" outlineLevel="0" collapsed="false">
      <c r="A3928" s="31" t="str">
        <f aca="false">Demand_History!C3928</f>
        <v>CLN-001</v>
      </c>
      <c r="B3928" s="31" t="n">
        <f aca="false">Demand_History!A3928</f>
        <v>79</v>
      </c>
      <c r="C3928" s="32" t="n">
        <f aca="false">Demand_History!D3928</f>
        <v>218</v>
      </c>
      <c r="D3928" s="33" t="n">
        <f aca="false">IF(B3928&gt;=2,C3927,"")</f>
        <v>219</v>
      </c>
      <c r="E3928" s="33" t="n">
        <f aca="false">IF(B3928&gt;=5,AVERAGE(C3924:C3927),"")</f>
        <v>224.25</v>
      </c>
      <c r="F3928" s="33" t="n">
        <f aca="false">IF(B3928&gt;=9,AVERAGE(C3920:C3927),"")</f>
        <v>218.125</v>
      </c>
      <c r="G3928" s="33" t="n">
        <f aca="false">IF(B3928=1,"",IF(B3928=2,C3927,SES_Alpha*C3927+(1-SES_Alpha)*G3927))</f>
        <v>218.431641546658</v>
      </c>
      <c r="H3928" s="33" t="n">
        <f aca="false">IF(D3928="","",D3928-C3928)</f>
        <v>1</v>
      </c>
      <c r="I3928" s="33" t="n">
        <f aca="false">IF(E3928="","",E3928-C3928)</f>
        <v>6.25</v>
      </c>
      <c r="J3928" s="33" t="n">
        <f aca="false">IF(F3928="","",F3928-C3928)</f>
        <v>0.125</v>
      </c>
      <c r="K3928" s="33" t="n">
        <f aca="false">IF(G3928="","",G3928-C3928)</f>
        <v>0.431641546657829</v>
      </c>
      <c r="L3928" s="33" t="n">
        <f aca="false">IF(H3928="","",ABS(H3928))</f>
        <v>1</v>
      </c>
      <c r="M3928" s="33" t="n">
        <f aca="false">IF(I3928="","",ABS(I3928))</f>
        <v>6.25</v>
      </c>
      <c r="N3928" s="33" t="n">
        <f aca="false">IF(J3928="","",ABS(J3928))</f>
        <v>0.125</v>
      </c>
      <c r="O3928" s="33" t="n">
        <f aca="false">IF(K3928="","",ABS(K3928))</f>
        <v>0.431641546657829</v>
      </c>
      <c r="P3928" s="34" t="str">
        <f aca="false">IF(B3928&gt;=Eval_Start_Week,"YES","")</f>
        <v>YES</v>
      </c>
      <c r="Q3928" s="34" t="str">
        <f aca="false">IF(AND(B3928&gt;=Cal_Start_Week,B3928&lt;=Cal_End_Week),"YES","")</f>
        <v>YES</v>
      </c>
    </row>
    <row r="3929" customFormat="false" ht="15" hidden="false" customHeight="false" outlineLevel="0" collapsed="false">
      <c r="A3929" s="31" t="str">
        <f aca="false">Demand_History!C3929</f>
        <v>CLN-001</v>
      </c>
      <c r="B3929" s="31" t="n">
        <f aca="false">Demand_History!A3929</f>
        <v>80</v>
      </c>
      <c r="C3929" s="32" t="n">
        <f aca="false">Demand_History!D3929</f>
        <v>233</v>
      </c>
      <c r="D3929" s="33" t="n">
        <f aca="false">IF(B3929&gt;=2,C3928,"")</f>
        <v>218</v>
      </c>
      <c r="E3929" s="33" t="n">
        <f aca="false">IF(B3929&gt;=5,AVERAGE(C3925:C3928),"")</f>
        <v>218</v>
      </c>
      <c r="F3929" s="33" t="n">
        <f aca="false">IF(B3929&gt;=9,AVERAGE(C3921:C3928),"")</f>
        <v>221.125</v>
      </c>
      <c r="G3929" s="33" t="n">
        <f aca="false">IF(B3929=1,"",IF(B3929=2,C3928,SES_Alpha*C3928+(1-SES_Alpha)*G3928))</f>
        <v>218.30214908266</v>
      </c>
      <c r="H3929" s="33" t="n">
        <f aca="false">IF(D3929="","",D3929-C3929)</f>
        <v>-15</v>
      </c>
      <c r="I3929" s="33" t="n">
        <f aca="false">IF(E3929="","",E3929-C3929)</f>
        <v>-15</v>
      </c>
      <c r="J3929" s="33" t="n">
        <f aca="false">IF(F3929="","",F3929-C3929)</f>
        <v>-11.875</v>
      </c>
      <c r="K3929" s="33" t="n">
        <f aca="false">IF(G3929="","",G3929-C3929)</f>
        <v>-14.6978509173396</v>
      </c>
      <c r="L3929" s="33" t="n">
        <f aca="false">IF(H3929="","",ABS(H3929))</f>
        <v>15</v>
      </c>
      <c r="M3929" s="33" t="n">
        <f aca="false">IF(I3929="","",ABS(I3929))</f>
        <v>15</v>
      </c>
      <c r="N3929" s="33" t="n">
        <f aca="false">IF(J3929="","",ABS(J3929))</f>
        <v>11.875</v>
      </c>
      <c r="O3929" s="33" t="n">
        <f aca="false">IF(K3929="","",ABS(K3929))</f>
        <v>14.6978509173396</v>
      </c>
      <c r="P3929" s="34" t="str">
        <f aca="false">IF(B3929&gt;=Eval_Start_Week,"YES","")</f>
        <v>YES</v>
      </c>
      <c r="Q3929" s="34" t="str">
        <f aca="false">IF(AND(B3929&gt;=Cal_Start_Week,B3929&lt;=Cal_End_Week),"YES","")</f>
        <v>YES</v>
      </c>
    </row>
    <row r="3930" customFormat="false" ht="15" hidden="false" customHeight="false" outlineLevel="0" collapsed="false">
      <c r="A3930" s="31" t="str">
        <f aca="false">Demand_History!C3930</f>
        <v>CLN-001</v>
      </c>
      <c r="B3930" s="31" t="n">
        <f aca="false">Demand_History!A3930</f>
        <v>81</v>
      </c>
      <c r="C3930" s="32" t="n">
        <f aca="false">Demand_History!D3930</f>
        <v>234</v>
      </c>
      <c r="D3930" s="33" t="n">
        <f aca="false">IF(B3930&gt;=2,C3929,"")</f>
        <v>233</v>
      </c>
      <c r="E3930" s="33" t="n">
        <f aca="false">IF(B3930&gt;=5,AVERAGE(C3926:C3929),"")</f>
        <v>217.5</v>
      </c>
      <c r="F3930" s="33" t="n">
        <f aca="false">IF(B3930&gt;=9,AVERAGE(C3922:C3929),"")</f>
        <v>222.875</v>
      </c>
      <c r="G3930" s="33" t="n">
        <f aca="false">IF(B3930=1,"",IF(B3930=2,C3929,SES_Alpha*C3929+(1-SES_Alpha)*G3929))</f>
        <v>222.711504357862</v>
      </c>
      <c r="H3930" s="33" t="n">
        <f aca="false">IF(D3930="","",D3930-C3930)</f>
        <v>-1</v>
      </c>
      <c r="I3930" s="33" t="n">
        <f aca="false">IF(E3930="","",E3930-C3930)</f>
        <v>-16.5</v>
      </c>
      <c r="J3930" s="33" t="n">
        <f aca="false">IF(F3930="","",F3930-C3930)</f>
        <v>-11.125</v>
      </c>
      <c r="K3930" s="33" t="n">
        <f aca="false">IF(G3930="","",G3930-C3930)</f>
        <v>-11.2884956421377</v>
      </c>
      <c r="L3930" s="33" t="n">
        <f aca="false">IF(H3930="","",ABS(H3930))</f>
        <v>1</v>
      </c>
      <c r="M3930" s="33" t="n">
        <f aca="false">IF(I3930="","",ABS(I3930))</f>
        <v>16.5</v>
      </c>
      <c r="N3930" s="33" t="n">
        <f aca="false">IF(J3930="","",ABS(J3930))</f>
        <v>11.125</v>
      </c>
      <c r="O3930" s="33" t="n">
        <f aca="false">IF(K3930="","",ABS(K3930))</f>
        <v>11.2884956421377</v>
      </c>
      <c r="P3930" s="34" t="str">
        <f aca="false">IF(B3930&gt;=Eval_Start_Week,"YES","")</f>
        <v>YES</v>
      </c>
      <c r="Q3930" s="34" t="str">
        <f aca="false">IF(AND(B3930&gt;=Cal_Start_Week,B3930&lt;=Cal_End_Week),"YES","")</f>
        <v>YES</v>
      </c>
    </row>
    <row r="3931" customFormat="false" ht="15" hidden="false" customHeight="false" outlineLevel="0" collapsed="false">
      <c r="A3931" s="31" t="str">
        <f aca="false">Demand_History!C3931</f>
        <v>CLN-001</v>
      </c>
      <c r="B3931" s="31" t="n">
        <f aca="false">Demand_History!A3931</f>
        <v>82</v>
      </c>
      <c r="C3931" s="32" t="n">
        <f aca="false">Demand_History!D3931</f>
        <v>190</v>
      </c>
      <c r="D3931" s="33" t="n">
        <f aca="false">IF(B3931&gt;=2,C3930,"")</f>
        <v>234</v>
      </c>
      <c r="E3931" s="33" t="n">
        <f aca="false">IF(B3931&gt;=5,AVERAGE(C3927:C3930),"")</f>
        <v>226</v>
      </c>
      <c r="F3931" s="33" t="n">
        <f aca="false">IF(B3931&gt;=9,AVERAGE(C3923:C3930),"")</f>
        <v>222.25</v>
      </c>
      <c r="G3931" s="33" t="n">
        <f aca="false">IF(B3931=1,"",IF(B3931=2,C3930,SES_Alpha*C3930+(1-SES_Alpha)*G3930))</f>
        <v>226.098053050504</v>
      </c>
      <c r="H3931" s="33" t="n">
        <f aca="false">IF(D3931="","",D3931-C3931)</f>
        <v>44</v>
      </c>
      <c r="I3931" s="33" t="n">
        <f aca="false">IF(E3931="","",E3931-C3931)</f>
        <v>36</v>
      </c>
      <c r="J3931" s="33" t="n">
        <f aca="false">IF(F3931="","",F3931-C3931)</f>
        <v>32.25</v>
      </c>
      <c r="K3931" s="33" t="n">
        <f aca="false">IF(G3931="","",G3931-C3931)</f>
        <v>36.0980530505036</v>
      </c>
      <c r="L3931" s="33" t="n">
        <f aca="false">IF(H3931="","",ABS(H3931))</f>
        <v>44</v>
      </c>
      <c r="M3931" s="33" t="n">
        <f aca="false">IF(I3931="","",ABS(I3931))</f>
        <v>36</v>
      </c>
      <c r="N3931" s="33" t="n">
        <f aca="false">IF(J3931="","",ABS(J3931))</f>
        <v>32.25</v>
      </c>
      <c r="O3931" s="33" t="n">
        <f aca="false">IF(K3931="","",ABS(K3931))</f>
        <v>36.0980530505036</v>
      </c>
      <c r="P3931" s="34" t="str">
        <f aca="false">IF(B3931&gt;=Eval_Start_Week,"YES","")</f>
        <v>YES</v>
      </c>
      <c r="Q3931" s="34" t="str">
        <f aca="false">IF(AND(B3931&gt;=Cal_Start_Week,B3931&lt;=Cal_End_Week),"YES","")</f>
        <v>YES</v>
      </c>
    </row>
    <row r="3932" customFormat="false" ht="15" hidden="false" customHeight="false" outlineLevel="0" collapsed="false">
      <c r="A3932" s="31" t="str">
        <f aca="false">Demand_History!C3932</f>
        <v>CLN-001</v>
      </c>
      <c r="B3932" s="31" t="n">
        <f aca="false">Demand_History!A3932</f>
        <v>83</v>
      </c>
      <c r="C3932" s="32" t="n">
        <f aca="false">Demand_History!D3932</f>
        <v>189</v>
      </c>
      <c r="D3932" s="33" t="n">
        <f aca="false">IF(B3932&gt;=2,C3931,"")</f>
        <v>190</v>
      </c>
      <c r="E3932" s="33" t="n">
        <f aca="false">IF(B3932&gt;=5,AVERAGE(C3928:C3931),"")</f>
        <v>218.75</v>
      </c>
      <c r="F3932" s="33" t="n">
        <f aca="false">IF(B3932&gt;=9,AVERAGE(C3924:C3931),"")</f>
        <v>221.5</v>
      </c>
      <c r="G3932" s="33" t="n">
        <f aca="false">IF(B3932=1,"",IF(B3932=2,C3931,SES_Alpha*C3931+(1-SES_Alpha)*G3931))</f>
        <v>215.268637135353</v>
      </c>
      <c r="H3932" s="33" t="n">
        <f aca="false">IF(D3932="","",D3932-C3932)</f>
        <v>1</v>
      </c>
      <c r="I3932" s="33" t="n">
        <f aca="false">IF(E3932="","",E3932-C3932)</f>
        <v>29.75</v>
      </c>
      <c r="J3932" s="33" t="n">
        <f aca="false">IF(F3932="","",F3932-C3932)</f>
        <v>32.5</v>
      </c>
      <c r="K3932" s="33" t="n">
        <f aca="false">IF(G3932="","",G3932-C3932)</f>
        <v>26.2686371353525</v>
      </c>
      <c r="L3932" s="33" t="n">
        <f aca="false">IF(H3932="","",ABS(H3932))</f>
        <v>1</v>
      </c>
      <c r="M3932" s="33" t="n">
        <f aca="false">IF(I3932="","",ABS(I3932))</f>
        <v>29.75</v>
      </c>
      <c r="N3932" s="33" t="n">
        <f aca="false">IF(J3932="","",ABS(J3932))</f>
        <v>32.5</v>
      </c>
      <c r="O3932" s="33" t="n">
        <f aca="false">IF(K3932="","",ABS(K3932))</f>
        <v>26.2686371353525</v>
      </c>
      <c r="P3932" s="34" t="str">
        <f aca="false">IF(B3932&gt;=Eval_Start_Week,"YES","")</f>
        <v>YES</v>
      </c>
      <c r="Q3932" s="34" t="str">
        <f aca="false">IF(AND(B3932&gt;=Cal_Start_Week,B3932&lt;=Cal_End_Week),"YES","")</f>
        <v>YES</v>
      </c>
    </row>
    <row r="3933" customFormat="false" ht="15" hidden="false" customHeight="false" outlineLevel="0" collapsed="false">
      <c r="A3933" s="31" t="str">
        <f aca="false">Demand_History!C3933</f>
        <v>CLN-001</v>
      </c>
      <c r="B3933" s="31" t="n">
        <f aca="false">Demand_History!A3933</f>
        <v>84</v>
      </c>
      <c r="C3933" s="32" t="n">
        <f aca="false">Demand_History!D3933</f>
        <v>242</v>
      </c>
      <c r="D3933" s="33" t="n">
        <f aca="false">IF(B3933&gt;=2,C3932,"")</f>
        <v>189</v>
      </c>
      <c r="E3933" s="33" t="n">
        <f aca="false">IF(B3933&gt;=5,AVERAGE(C3929:C3932),"")</f>
        <v>211.5</v>
      </c>
      <c r="F3933" s="33" t="n">
        <f aca="false">IF(B3933&gt;=9,AVERAGE(C3925:C3932),"")</f>
        <v>214.75</v>
      </c>
      <c r="G3933" s="33" t="n">
        <f aca="false">IF(B3933=1,"",IF(B3933=2,C3932,SES_Alpha*C3932+(1-SES_Alpha)*G3932))</f>
        <v>207.388045994747</v>
      </c>
      <c r="H3933" s="33" t="n">
        <f aca="false">IF(D3933="","",D3933-C3933)</f>
        <v>-53</v>
      </c>
      <c r="I3933" s="33" t="n">
        <f aca="false">IF(E3933="","",E3933-C3933)</f>
        <v>-30.5</v>
      </c>
      <c r="J3933" s="33" t="n">
        <f aca="false">IF(F3933="","",F3933-C3933)</f>
        <v>-27.25</v>
      </c>
      <c r="K3933" s="33" t="n">
        <f aca="false">IF(G3933="","",G3933-C3933)</f>
        <v>-34.6119540052533</v>
      </c>
      <c r="L3933" s="33" t="n">
        <f aca="false">IF(H3933="","",ABS(H3933))</f>
        <v>53</v>
      </c>
      <c r="M3933" s="33" t="n">
        <f aca="false">IF(I3933="","",ABS(I3933))</f>
        <v>30.5</v>
      </c>
      <c r="N3933" s="33" t="n">
        <f aca="false">IF(J3933="","",ABS(J3933))</f>
        <v>27.25</v>
      </c>
      <c r="O3933" s="33" t="n">
        <f aca="false">IF(K3933="","",ABS(K3933))</f>
        <v>34.6119540052533</v>
      </c>
      <c r="P3933" s="34" t="str">
        <f aca="false">IF(B3933&gt;=Eval_Start_Week,"YES","")</f>
        <v>YES</v>
      </c>
      <c r="Q3933" s="34" t="str">
        <f aca="false">IF(AND(B3933&gt;=Cal_Start_Week,B3933&lt;=Cal_End_Week),"YES","")</f>
        <v>YES</v>
      </c>
    </row>
    <row r="3934" customFormat="false" ht="15" hidden="false" customHeight="false" outlineLevel="0" collapsed="false">
      <c r="A3934" s="31" t="str">
        <f aca="false">Demand_History!C3934</f>
        <v>CLN-001</v>
      </c>
      <c r="B3934" s="31" t="n">
        <f aca="false">Demand_History!A3934</f>
        <v>85</v>
      </c>
      <c r="C3934" s="32" t="n">
        <f aca="false">Demand_History!D3934</f>
        <v>222</v>
      </c>
      <c r="D3934" s="33" t="n">
        <f aca="false">IF(B3934&gt;=2,C3933,"")</f>
        <v>242</v>
      </c>
      <c r="E3934" s="33" t="n">
        <f aca="false">IF(B3934&gt;=5,AVERAGE(C3930:C3933),"")</f>
        <v>213.75</v>
      </c>
      <c r="F3934" s="33" t="n">
        <f aca="false">IF(B3934&gt;=9,AVERAGE(C3926:C3933),"")</f>
        <v>215.625</v>
      </c>
      <c r="G3934" s="33" t="n">
        <f aca="false">IF(B3934=1,"",IF(B3934=2,C3933,SES_Alpha*C3933+(1-SES_Alpha)*G3933))</f>
        <v>217.771632196323</v>
      </c>
      <c r="H3934" s="33" t="n">
        <f aca="false">IF(D3934="","",D3934-C3934)</f>
        <v>20</v>
      </c>
      <c r="I3934" s="33" t="n">
        <f aca="false">IF(E3934="","",E3934-C3934)</f>
        <v>-8.25</v>
      </c>
      <c r="J3934" s="33" t="n">
        <f aca="false">IF(F3934="","",F3934-C3934)</f>
        <v>-6.375</v>
      </c>
      <c r="K3934" s="33" t="n">
        <f aca="false">IF(G3934="","",G3934-C3934)</f>
        <v>-4.22836780367732</v>
      </c>
      <c r="L3934" s="33" t="n">
        <f aca="false">IF(H3934="","",ABS(H3934))</f>
        <v>20</v>
      </c>
      <c r="M3934" s="33" t="n">
        <f aca="false">IF(I3934="","",ABS(I3934))</f>
        <v>8.25</v>
      </c>
      <c r="N3934" s="33" t="n">
        <f aca="false">IF(J3934="","",ABS(J3934))</f>
        <v>6.375</v>
      </c>
      <c r="O3934" s="33" t="n">
        <f aca="false">IF(K3934="","",ABS(K3934))</f>
        <v>4.22836780367732</v>
      </c>
      <c r="P3934" s="34" t="str">
        <f aca="false">IF(B3934&gt;=Eval_Start_Week,"YES","")</f>
        <v>YES</v>
      </c>
      <c r="Q3934" s="34" t="str">
        <f aca="false">IF(AND(B3934&gt;=Cal_Start_Week,B3934&lt;=Cal_End_Week),"YES","")</f>
        <v>YES</v>
      </c>
    </row>
    <row r="3935" customFormat="false" ht="15" hidden="false" customHeight="false" outlineLevel="0" collapsed="false">
      <c r="A3935" s="31" t="str">
        <f aca="false">Demand_History!C3935</f>
        <v>CLN-001</v>
      </c>
      <c r="B3935" s="31" t="n">
        <f aca="false">Demand_History!A3935</f>
        <v>86</v>
      </c>
      <c r="C3935" s="32" t="n">
        <f aca="false">Demand_History!D3935</f>
        <v>229</v>
      </c>
      <c r="D3935" s="33" t="n">
        <f aca="false">IF(B3935&gt;=2,C3934,"")</f>
        <v>222</v>
      </c>
      <c r="E3935" s="33" t="n">
        <f aca="false">IF(B3935&gt;=5,AVERAGE(C3931:C3934),"")</f>
        <v>210.75</v>
      </c>
      <c r="F3935" s="33" t="n">
        <f aca="false">IF(B3935&gt;=9,AVERAGE(C3927:C3934),"")</f>
        <v>218.375</v>
      </c>
      <c r="G3935" s="33" t="n">
        <f aca="false">IF(B3935=1,"",IF(B3935=2,C3934,SES_Alpha*C3934+(1-SES_Alpha)*G3934))</f>
        <v>219.040142537426</v>
      </c>
      <c r="H3935" s="33" t="n">
        <f aca="false">IF(D3935="","",D3935-C3935)</f>
        <v>-7</v>
      </c>
      <c r="I3935" s="33" t="n">
        <f aca="false">IF(E3935="","",E3935-C3935)</f>
        <v>-18.25</v>
      </c>
      <c r="J3935" s="33" t="n">
        <f aca="false">IF(F3935="","",F3935-C3935)</f>
        <v>-10.625</v>
      </c>
      <c r="K3935" s="33" t="n">
        <f aca="false">IF(G3935="","",G3935-C3935)</f>
        <v>-9.95985746257415</v>
      </c>
      <c r="L3935" s="33" t="n">
        <f aca="false">IF(H3935="","",ABS(H3935))</f>
        <v>7</v>
      </c>
      <c r="M3935" s="33" t="n">
        <f aca="false">IF(I3935="","",ABS(I3935))</f>
        <v>18.25</v>
      </c>
      <c r="N3935" s="33" t="n">
        <f aca="false">IF(J3935="","",ABS(J3935))</f>
        <v>10.625</v>
      </c>
      <c r="O3935" s="33" t="n">
        <f aca="false">IF(K3935="","",ABS(K3935))</f>
        <v>9.95985746257415</v>
      </c>
      <c r="P3935" s="34" t="str">
        <f aca="false">IF(B3935&gt;=Eval_Start_Week,"YES","")</f>
        <v>YES</v>
      </c>
      <c r="Q3935" s="34" t="str">
        <f aca="false">IF(AND(B3935&gt;=Cal_Start_Week,B3935&lt;=Cal_End_Week),"YES","")</f>
        <v>YES</v>
      </c>
    </row>
    <row r="3936" customFormat="false" ht="15" hidden="false" customHeight="false" outlineLevel="0" collapsed="false">
      <c r="A3936" s="31" t="str">
        <f aca="false">Demand_History!C3936</f>
        <v>CLN-001</v>
      </c>
      <c r="B3936" s="31" t="n">
        <f aca="false">Demand_History!A3936</f>
        <v>87</v>
      </c>
      <c r="C3936" s="32" t="n">
        <f aca="false">Demand_History!D3936</f>
        <v>227</v>
      </c>
      <c r="D3936" s="33" t="n">
        <f aca="false">IF(B3936&gt;=2,C3935,"")</f>
        <v>229</v>
      </c>
      <c r="E3936" s="33" t="n">
        <f aca="false">IF(B3936&gt;=5,AVERAGE(C3932:C3935),"")</f>
        <v>220.5</v>
      </c>
      <c r="F3936" s="33" t="n">
        <f aca="false">IF(B3936&gt;=9,AVERAGE(C3928:C3935),"")</f>
        <v>219.625</v>
      </c>
      <c r="G3936" s="33" t="n">
        <f aca="false">IF(B3936=1,"",IF(B3936=2,C3935,SES_Alpha*C3935+(1-SES_Alpha)*G3935))</f>
        <v>222.028099776198</v>
      </c>
      <c r="H3936" s="33" t="n">
        <f aca="false">IF(D3936="","",D3936-C3936)</f>
        <v>2</v>
      </c>
      <c r="I3936" s="33" t="n">
        <f aca="false">IF(E3936="","",E3936-C3936)</f>
        <v>-6.5</v>
      </c>
      <c r="J3936" s="33" t="n">
        <f aca="false">IF(F3936="","",F3936-C3936)</f>
        <v>-7.375</v>
      </c>
      <c r="K3936" s="33" t="n">
        <f aca="false">IF(G3936="","",G3936-C3936)</f>
        <v>-4.97190022380192</v>
      </c>
      <c r="L3936" s="33" t="n">
        <f aca="false">IF(H3936="","",ABS(H3936))</f>
        <v>2</v>
      </c>
      <c r="M3936" s="33" t="n">
        <f aca="false">IF(I3936="","",ABS(I3936))</f>
        <v>6.5</v>
      </c>
      <c r="N3936" s="33" t="n">
        <f aca="false">IF(J3936="","",ABS(J3936))</f>
        <v>7.375</v>
      </c>
      <c r="O3936" s="33" t="n">
        <f aca="false">IF(K3936="","",ABS(K3936))</f>
        <v>4.97190022380192</v>
      </c>
      <c r="P3936" s="34" t="str">
        <f aca="false">IF(B3936&gt;=Eval_Start_Week,"YES","")</f>
        <v>YES</v>
      </c>
      <c r="Q3936" s="34" t="str">
        <f aca="false">IF(AND(B3936&gt;=Cal_Start_Week,B3936&lt;=Cal_End_Week),"YES","")</f>
        <v>YES</v>
      </c>
    </row>
    <row r="3937" customFormat="false" ht="15" hidden="false" customHeight="false" outlineLevel="0" collapsed="false">
      <c r="A3937" s="31" t="str">
        <f aca="false">Demand_History!C3937</f>
        <v>CLN-001</v>
      </c>
      <c r="B3937" s="31" t="n">
        <f aca="false">Demand_History!A3937</f>
        <v>88</v>
      </c>
      <c r="C3937" s="32" t="n">
        <f aca="false">Demand_History!D3937</f>
        <v>253</v>
      </c>
      <c r="D3937" s="33" t="n">
        <f aca="false">IF(B3937&gt;=2,C3936,"")</f>
        <v>227</v>
      </c>
      <c r="E3937" s="33" t="n">
        <f aca="false">IF(B3937&gt;=5,AVERAGE(C3933:C3936),"")</f>
        <v>230</v>
      </c>
      <c r="F3937" s="33" t="n">
        <f aca="false">IF(B3937&gt;=9,AVERAGE(C3929:C3936),"")</f>
        <v>220.75</v>
      </c>
      <c r="G3937" s="33" t="n">
        <f aca="false">IF(B3937=1,"",IF(B3937=2,C3936,SES_Alpha*C3936+(1-SES_Alpha)*G3936))</f>
        <v>223.519669843339</v>
      </c>
      <c r="H3937" s="33" t="n">
        <f aca="false">IF(D3937="","",D3937-C3937)</f>
        <v>-26</v>
      </c>
      <c r="I3937" s="33" t="n">
        <f aca="false">IF(E3937="","",E3937-C3937)</f>
        <v>-23</v>
      </c>
      <c r="J3937" s="33" t="n">
        <f aca="false">IF(F3937="","",F3937-C3937)</f>
        <v>-32.25</v>
      </c>
      <c r="K3937" s="33" t="n">
        <f aca="false">IF(G3937="","",G3937-C3937)</f>
        <v>-29.4803301566614</v>
      </c>
      <c r="L3937" s="33" t="n">
        <f aca="false">IF(H3937="","",ABS(H3937))</f>
        <v>26</v>
      </c>
      <c r="M3937" s="33" t="n">
        <f aca="false">IF(I3937="","",ABS(I3937))</f>
        <v>23</v>
      </c>
      <c r="N3937" s="33" t="n">
        <f aca="false">IF(J3937="","",ABS(J3937))</f>
        <v>32.25</v>
      </c>
      <c r="O3937" s="33" t="n">
        <f aca="false">IF(K3937="","",ABS(K3937))</f>
        <v>29.4803301566614</v>
      </c>
      <c r="P3937" s="34" t="str">
        <f aca="false">IF(B3937&gt;=Eval_Start_Week,"YES","")</f>
        <v>YES</v>
      </c>
      <c r="Q3937" s="34" t="str">
        <f aca="false">IF(AND(B3937&gt;=Cal_Start_Week,B3937&lt;=Cal_End_Week),"YES","")</f>
        <v>YES</v>
      </c>
    </row>
    <row r="3938" customFormat="false" ht="15" hidden="false" customHeight="false" outlineLevel="0" collapsed="false">
      <c r="A3938" s="31" t="str">
        <f aca="false">Demand_History!C3938</f>
        <v>CLN-001</v>
      </c>
      <c r="B3938" s="31" t="n">
        <f aca="false">Demand_History!A3938</f>
        <v>89</v>
      </c>
      <c r="C3938" s="32" t="n">
        <f aca="false">Demand_History!D3938</f>
        <v>192</v>
      </c>
      <c r="D3938" s="33" t="n">
        <f aca="false">IF(B3938&gt;=2,C3937,"")</f>
        <v>253</v>
      </c>
      <c r="E3938" s="33" t="n">
        <f aca="false">IF(B3938&gt;=5,AVERAGE(C3934:C3937),"")</f>
        <v>232.75</v>
      </c>
      <c r="F3938" s="33" t="n">
        <f aca="false">IF(B3938&gt;=9,AVERAGE(C3930:C3937),"")</f>
        <v>223.25</v>
      </c>
      <c r="G3938" s="33" t="n">
        <f aca="false">IF(B3938=1,"",IF(B3938=2,C3937,SES_Alpha*C3937+(1-SES_Alpha)*G3937))</f>
        <v>232.363768890337</v>
      </c>
      <c r="H3938" s="33" t="n">
        <f aca="false">IF(D3938="","",D3938-C3938)</f>
        <v>61</v>
      </c>
      <c r="I3938" s="33" t="n">
        <f aca="false">IF(E3938="","",E3938-C3938)</f>
        <v>40.75</v>
      </c>
      <c r="J3938" s="33" t="n">
        <f aca="false">IF(F3938="","",F3938-C3938)</f>
        <v>31.25</v>
      </c>
      <c r="K3938" s="33" t="n">
        <f aca="false">IF(G3938="","",G3938-C3938)</f>
        <v>40.363768890337</v>
      </c>
      <c r="L3938" s="33" t="n">
        <f aca="false">IF(H3938="","",ABS(H3938))</f>
        <v>61</v>
      </c>
      <c r="M3938" s="33" t="n">
        <f aca="false">IF(I3938="","",ABS(I3938))</f>
        <v>40.75</v>
      </c>
      <c r="N3938" s="33" t="n">
        <f aca="false">IF(J3938="","",ABS(J3938))</f>
        <v>31.25</v>
      </c>
      <c r="O3938" s="33" t="n">
        <f aca="false">IF(K3938="","",ABS(K3938))</f>
        <v>40.363768890337</v>
      </c>
      <c r="P3938" s="34" t="str">
        <f aca="false">IF(B3938&gt;=Eval_Start_Week,"YES","")</f>
        <v>YES</v>
      </c>
      <c r="Q3938" s="34" t="str">
        <f aca="false">IF(AND(B3938&gt;=Cal_Start_Week,B3938&lt;=Cal_End_Week),"YES","")</f>
        <v/>
      </c>
    </row>
    <row r="3939" customFormat="false" ht="15" hidden="false" customHeight="false" outlineLevel="0" collapsed="false">
      <c r="A3939" s="31" t="str">
        <f aca="false">Demand_History!C3939</f>
        <v>CLN-001</v>
      </c>
      <c r="B3939" s="31" t="n">
        <f aca="false">Demand_History!A3939</f>
        <v>90</v>
      </c>
      <c r="C3939" s="32" t="n">
        <f aca="false">Demand_History!D3939</f>
        <v>244</v>
      </c>
      <c r="D3939" s="33" t="n">
        <f aca="false">IF(B3939&gt;=2,C3938,"")</f>
        <v>192</v>
      </c>
      <c r="E3939" s="33" t="n">
        <f aca="false">IF(B3939&gt;=5,AVERAGE(C3935:C3938),"")</f>
        <v>225.25</v>
      </c>
      <c r="F3939" s="33" t="n">
        <f aca="false">IF(B3939&gt;=9,AVERAGE(C3931:C3938),"")</f>
        <v>218</v>
      </c>
      <c r="G3939" s="33" t="n">
        <f aca="false">IF(B3939=1,"",IF(B3939=2,C3938,SES_Alpha*C3938+(1-SES_Alpha)*G3938))</f>
        <v>220.254638223236</v>
      </c>
      <c r="H3939" s="33" t="n">
        <f aca="false">IF(D3939="","",D3939-C3939)</f>
        <v>-52</v>
      </c>
      <c r="I3939" s="33" t="n">
        <f aca="false">IF(E3939="","",E3939-C3939)</f>
        <v>-18.75</v>
      </c>
      <c r="J3939" s="33" t="n">
        <f aca="false">IF(F3939="","",F3939-C3939)</f>
        <v>-26</v>
      </c>
      <c r="K3939" s="33" t="n">
        <f aca="false">IF(G3939="","",G3939-C3939)</f>
        <v>-23.7453617767641</v>
      </c>
      <c r="L3939" s="33" t="n">
        <f aca="false">IF(H3939="","",ABS(H3939))</f>
        <v>52</v>
      </c>
      <c r="M3939" s="33" t="n">
        <f aca="false">IF(I3939="","",ABS(I3939))</f>
        <v>18.75</v>
      </c>
      <c r="N3939" s="33" t="n">
        <f aca="false">IF(J3939="","",ABS(J3939))</f>
        <v>26</v>
      </c>
      <c r="O3939" s="33" t="n">
        <f aca="false">IF(K3939="","",ABS(K3939))</f>
        <v>23.7453617767641</v>
      </c>
      <c r="P3939" s="34" t="str">
        <f aca="false">IF(B3939&gt;=Eval_Start_Week,"YES","")</f>
        <v>YES</v>
      </c>
      <c r="Q3939" s="34" t="str">
        <f aca="false">IF(AND(B3939&gt;=Cal_Start_Week,B3939&lt;=Cal_End_Week),"YES","")</f>
        <v/>
      </c>
    </row>
    <row r="3940" customFormat="false" ht="15" hidden="false" customHeight="false" outlineLevel="0" collapsed="false">
      <c r="A3940" s="31" t="str">
        <f aca="false">Demand_History!C3940</f>
        <v>CLN-001</v>
      </c>
      <c r="B3940" s="31" t="n">
        <f aca="false">Demand_History!A3940</f>
        <v>91</v>
      </c>
      <c r="C3940" s="32" t="n">
        <f aca="false">Demand_History!D3940</f>
        <v>201</v>
      </c>
      <c r="D3940" s="33" t="n">
        <f aca="false">IF(B3940&gt;=2,C3939,"")</f>
        <v>244</v>
      </c>
      <c r="E3940" s="33" t="n">
        <f aca="false">IF(B3940&gt;=5,AVERAGE(C3936:C3939),"")</f>
        <v>229</v>
      </c>
      <c r="F3940" s="33" t="n">
        <f aca="false">IF(B3940&gt;=9,AVERAGE(C3932:C3939),"")</f>
        <v>224.75</v>
      </c>
      <c r="G3940" s="33" t="n">
        <f aca="false">IF(B3940=1,"",IF(B3940=2,C3939,SES_Alpha*C3939+(1-SES_Alpha)*G3939))</f>
        <v>227.378246756265</v>
      </c>
      <c r="H3940" s="33" t="n">
        <f aca="false">IF(D3940="","",D3940-C3940)</f>
        <v>43</v>
      </c>
      <c r="I3940" s="33" t="n">
        <f aca="false">IF(E3940="","",E3940-C3940)</f>
        <v>28</v>
      </c>
      <c r="J3940" s="33" t="n">
        <f aca="false">IF(F3940="","",F3940-C3940)</f>
        <v>23.75</v>
      </c>
      <c r="K3940" s="33" t="n">
        <f aca="false">IF(G3940="","",G3940-C3940)</f>
        <v>26.3782467562651</v>
      </c>
      <c r="L3940" s="33" t="n">
        <f aca="false">IF(H3940="","",ABS(H3940))</f>
        <v>43</v>
      </c>
      <c r="M3940" s="33" t="n">
        <f aca="false">IF(I3940="","",ABS(I3940))</f>
        <v>28</v>
      </c>
      <c r="N3940" s="33" t="n">
        <f aca="false">IF(J3940="","",ABS(J3940))</f>
        <v>23.75</v>
      </c>
      <c r="O3940" s="33" t="n">
        <f aca="false">IF(K3940="","",ABS(K3940))</f>
        <v>26.3782467562651</v>
      </c>
      <c r="P3940" s="34" t="str">
        <f aca="false">IF(B3940&gt;=Eval_Start_Week,"YES","")</f>
        <v>YES</v>
      </c>
      <c r="Q3940" s="34" t="str">
        <f aca="false">IF(AND(B3940&gt;=Cal_Start_Week,B3940&lt;=Cal_End_Week),"YES","")</f>
        <v/>
      </c>
    </row>
    <row r="3941" customFormat="false" ht="15" hidden="false" customHeight="false" outlineLevel="0" collapsed="false">
      <c r="A3941" s="31" t="str">
        <f aca="false">Demand_History!C3941</f>
        <v>CLN-001</v>
      </c>
      <c r="B3941" s="31" t="n">
        <f aca="false">Demand_History!A3941</f>
        <v>92</v>
      </c>
      <c r="C3941" s="32" t="n">
        <f aca="false">Demand_History!D3941</f>
        <v>235</v>
      </c>
      <c r="D3941" s="33" t="n">
        <f aca="false">IF(B3941&gt;=2,C3940,"")</f>
        <v>201</v>
      </c>
      <c r="E3941" s="33" t="n">
        <f aca="false">IF(B3941&gt;=5,AVERAGE(C3937:C3940),"")</f>
        <v>222.5</v>
      </c>
      <c r="F3941" s="33" t="n">
        <f aca="false">IF(B3941&gt;=9,AVERAGE(C3933:C3940),"")</f>
        <v>226.25</v>
      </c>
      <c r="G3941" s="33" t="n">
        <f aca="false">IF(B3941=1,"",IF(B3941=2,C3940,SES_Alpha*C3940+(1-SES_Alpha)*G3940))</f>
        <v>219.464772729386</v>
      </c>
      <c r="H3941" s="33" t="n">
        <f aca="false">IF(D3941="","",D3941-C3941)</f>
        <v>-34</v>
      </c>
      <c r="I3941" s="33" t="n">
        <f aca="false">IF(E3941="","",E3941-C3941)</f>
        <v>-12.5</v>
      </c>
      <c r="J3941" s="33" t="n">
        <f aca="false">IF(F3941="","",F3941-C3941)</f>
        <v>-8.75</v>
      </c>
      <c r="K3941" s="33" t="n">
        <f aca="false">IF(G3941="","",G3941-C3941)</f>
        <v>-15.5352272706144</v>
      </c>
      <c r="L3941" s="33" t="n">
        <f aca="false">IF(H3941="","",ABS(H3941))</f>
        <v>34</v>
      </c>
      <c r="M3941" s="33" t="n">
        <f aca="false">IF(I3941="","",ABS(I3941))</f>
        <v>12.5</v>
      </c>
      <c r="N3941" s="33" t="n">
        <f aca="false">IF(J3941="","",ABS(J3941))</f>
        <v>8.75</v>
      </c>
      <c r="O3941" s="33" t="n">
        <f aca="false">IF(K3941="","",ABS(K3941))</f>
        <v>15.5352272706144</v>
      </c>
      <c r="P3941" s="34" t="str">
        <f aca="false">IF(B3941&gt;=Eval_Start_Week,"YES","")</f>
        <v>YES</v>
      </c>
      <c r="Q3941" s="34" t="str">
        <f aca="false">IF(AND(B3941&gt;=Cal_Start_Week,B3941&lt;=Cal_End_Week),"YES","")</f>
        <v/>
      </c>
    </row>
    <row r="3942" customFormat="false" ht="15" hidden="false" customHeight="false" outlineLevel="0" collapsed="false">
      <c r="A3942" s="31" t="str">
        <f aca="false">Demand_History!C3942</f>
        <v>CLN-001</v>
      </c>
      <c r="B3942" s="31" t="n">
        <f aca="false">Demand_History!A3942</f>
        <v>93</v>
      </c>
      <c r="C3942" s="32" t="n">
        <f aca="false">Demand_History!D3942</f>
        <v>249</v>
      </c>
      <c r="D3942" s="33" t="n">
        <f aca="false">IF(B3942&gt;=2,C3941,"")</f>
        <v>235</v>
      </c>
      <c r="E3942" s="33" t="n">
        <f aca="false">IF(B3942&gt;=5,AVERAGE(C3938:C3941),"")</f>
        <v>218</v>
      </c>
      <c r="F3942" s="33" t="n">
        <f aca="false">IF(B3942&gt;=9,AVERAGE(C3934:C3941),"")</f>
        <v>225.375</v>
      </c>
      <c r="G3942" s="33" t="n">
        <f aca="false">IF(B3942=1,"",IF(B3942=2,C3941,SES_Alpha*C3941+(1-SES_Alpha)*G3941))</f>
        <v>224.12534091057</v>
      </c>
      <c r="H3942" s="33" t="n">
        <f aca="false">IF(D3942="","",D3942-C3942)</f>
        <v>-14</v>
      </c>
      <c r="I3942" s="33" t="n">
        <f aca="false">IF(E3942="","",E3942-C3942)</f>
        <v>-31</v>
      </c>
      <c r="J3942" s="33" t="n">
        <f aca="false">IF(F3942="","",F3942-C3942)</f>
        <v>-23.625</v>
      </c>
      <c r="K3942" s="33" t="n">
        <f aca="false">IF(G3942="","",G3942-C3942)</f>
        <v>-24.8746590894301</v>
      </c>
      <c r="L3942" s="33" t="n">
        <f aca="false">IF(H3942="","",ABS(H3942))</f>
        <v>14</v>
      </c>
      <c r="M3942" s="33" t="n">
        <f aca="false">IF(I3942="","",ABS(I3942))</f>
        <v>31</v>
      </c>
      <c r="N3942" s="33" t="n">
        <f aca="false">IF(J3942="","",ABS(J3942))</f>
        <v>23.625</v>
      </c>
      <c r="O3942" s="33" t="n">
        <f aca="false">IF(K3942="","",ABS(K3942))</f>
        <v>24.8746590894301</v>
      </c>
      <c r="P3942" s="34" t="str">
        <f aca="false">IF(B3942&gt;=Eval_Start_Week,"YES","")</f>
        <v>YES</v>
      </c>
      <c r="Q3942" s="34" t="str">
        <f aca="false">IF(AND(B3942&gt;=Cal_Start_Week,B3942&lt;=Cal_End_Week),"YES","")</f>
        <v/>
      </c>
    </row>
    <row r="3943" customFormat="false" ht="15" hidden="false" customHeight="false" outlineLevel="0" collapsed="false">
      <c r="A3943" s="31" t="str">
        <f aca="false">Demand_History!C3943</f>
        <v>CLN-001</v>
      </c>
      <c r="B3943" s="31" t="n">
        <f aca="false">Demand_History!A3943</f>
        <v>94</v>
      </c>
      <c r="C3943" s="32" t="n">
        <f aca="false">Demand_History!D3943</f>
        <v>188</v>
      </c>
      <c r="D3943" s="33" t="n">
        <f aca="false">IF(B3943&gt;=2,C3942,"")</f>
        <v>249</v>
      </c>
      <c r="E3943" s="33" t="n">
        <f aca="false">IF(B3943&gt;=5,AVERAGE(C3939:C3942),"")</f>
        <v>232.25</v>
      </c>
      <c r="F3943" s="33" t="n">
        <f aca="false">IF(B3943&gt;=9,AVERAGE(C3935:C3942),"")</f>
        <v>228.75</v>
      </c>
      <c r="G3943" s="33" t="n">
        <f aca="false">IF(B3943=1,"",IF(B3943=2,C3942,SES_Alpha*C3942+(1-SES_Alpha)*G3942))</f>
        <v>231.587738637399</v>
      </c>
      <c r="H3943" s="33" t="n">
        <f aca="false">IF(D3943="","",D3943-C3943)</f>
        <v>61</v>
      </c>
      <c r="I3943" s="33" t="n">
        <f aca="false">IF(E3943="","",E3943-C3943)</f>
        <v>44.25</v>
      </c>
      <c r="J3943" s="33" t="n">
        <f aca="false">IF(F3943="","",F3943-C3943)</f>
        <v>40.75</v>
      </c>
      <c r="K3943" s="33" t="n">
        <f aca="false">IF(G3943="","",G3943-C3943)</f>
        <v>43.5877386373989</v>
      </c>
      <c r="L3943" s="33" t="n">
        <f aca="false">IF(H3943="","",ABS(H3943))</f>
        <v>61</v>
      </c>
      <c r="M3943" s="33" t="n">
        <f aca="false">IF(I3943="","",ABS(I3943))</f>
        <v>44.25</v>
      </c>
      <c r="N3943" s="33" t="n">
        <f aca="false">IF(J3943="","",ABS(J3943))</f>
        <v>40.75</v>
      </c>
      <c r="O3943" s="33" t="n">
        <f aca="false">IF(K3943="","",ABS(K3943))</f>
        <v>43.5877386373989</v>
      </c>
      <c r="P3943" s="34" t="str">
        <f aca="false">IF(B3943&gt;=Eval_Start_Week,"YES","")</f>
        <v>YES</v>
      </c>
      <c r="Q3943" s="34" t="str">
        <f aca="false">IF(AND(B3943&gt;=Cal_Start_Week,B3943&lt;=Cal_End_Week),"YES","")</f>
        <v/>
      </c>
    </row>
    <row r="3944" customFormat="false" ht="15" hidden="false" customHeight="false" outlineLevel="0" collapsed="false">
      <c r="A3944" s="31" t="str">
        <f aca="false">Demand_History!C3944</f>
        <v>CLN-001</v>
      </c>
      <c r="B3944" s="31" t="n">
        <f aca="false">Demand_History!A3944</f>
        <v>95</v>
      </c>
      <c r="C3944" s="32" t="n">
        <f aca="false">Demand_History!D3944</f>
        <v>228</v>
      </c>
      <c r="D3944" s="33" t="n">
        <f aca="false">IF(B3944&gt;=2,C3943,"")</f>
        <v>188</v>
      </c>
      <c r="E3944" s="33" t="n">
        <f aca="false">IF(B3944&gt;=5,AVERAGE(C3940:C3943),"")</f>
        <v>218.25</v>
      </c>
      <c r="F3944" s="33" t="n">
        <f aca="false">IF(B3944&gt;=9,AVERAGE(C3936:C3943),"")</f>
        <v>223.625</v>
      </c>
      <c r="G3944" s="33" t="n">
        <f aca="false">IF(B3944=1,"",IF(B3944=2,C3943,SES_Alpha*C3943+(1-SES_Alpha)*G3943))</f>
        <v>218.511417046179</v>
      </c>
      <c r="H3944" s="33" t="n">
        <f aca="false">IF(D3944="","",D3944-C3944)</f>
        <v>-40</v>
      </c>
      <c r="I3944" s="33" t="n">
        <f aca="false">IF(E3944="","",E3944-C3944)</f>
        <v>-9.75</v>
      </c>
      <c r="J3944" s="33" t="n">
        <f aca="false">IF(F3944="","",F3944-C3944)</f>
        <v>-4.375</v>
      </c>
      <c r="K3944" s="33" t="n">
        <f aca="false">IF(G3944="","",G3944-C3944)</f>
        <v>-9.48858295382078</v>
      </c>
      <c r="L3944" s="33" t="n">
        <f aca="false">IF(H3944="","",ABS(H3944))</f>
        <v>40</v>
      </c>
      <c r="M3944" s="33" t="n">
        <f aca="false">IF(I3944="","",ABS(I3944))</f>
        <v>9.75</v>
      </c>
      <c r="N3944" s="33" t="n">
        <f aca="false">IF(J3944="","",ABS(J3944))</f>
        <v>4.375</v>
      </c>
      <c r="O3944" s="33" t="n">
        <f aca="false">IF(K3944="","",ABS(K3944))</f>
        <v>9.48858295382078</v>
      </c>
      <c r="P3944" s="34" t="str">
        <f aca="false">IF(B3944&gt;=Eval_Start_Week,"YES","")</f>
        <v>YES</v>
      </c>
      <c r="Q3944" s="34" t="str">
        <f aca="false">IF(AND(B3944&gt;=Cal_Start_Week,B3944&lt;=Cal_End_Week),"YES","")</f>
        <v/>
      </c>
    </row>
    <row r="3945" customFormat="false" ht="15" hidden="false" customHeight="false" outlineLevel="0" collapsed="false">
      <c r="A3945" s="31" t="str">
        <f aca="false">Demand_History!C3945</f>
        <v>CLN-001</v>
      </c>
      <c r="B3945" s="31" t="n">
        <f aca="false">Demand_History!A3945</f>
        <v>96</v>
      </c>
      <c r="C3945" s="32" t="n">
        <f aca="false">Demand_History!D3945</f>
        <v>213</v>
      </c>
      <c r="D3945" s="33" t="n">
        <f aca="false">IF(B3945&gt;=2,C3944,"")</f>
        <v>228</v>
      </c>
      <c r="E3945" s="33" t="n">
        <f aca="false">IF(B3945&gt;=5,AVERAGE(C3941:C3944),"")</f>
        <v>225</v>
      </c>
      <c r="F3945" s="33" t="n">
        <f aca="false">IF(B3945&gt;=9,AVERAGE(C3937:C3944),"")</f>
        <v>223.75</v>
      </c>
      <c r="G3945" s="33" t="n">
        <f aca="false">IF(B3945=1,"",IF(B3945=2,C3944,SES_Alpha*C3944+(1-SES_Alpha)*G3944))</f>
        <v>221.357991932325</v>
      </c>
      <c r="H3945" s="33" t="n">
        <f aca="false">IF(D3945="","",D3945-C3945)</f>
        <v>15</v>
      </c>
      <c r="I3945" s="33" t="n">
        <f aca="false">IF(E3945="","",E3945-C3945)</f>
        <v>12</v>
      </c>
      <c r="J3945" s="33" t="n">
        <f aca="false">IF(F3945="","",F3945-C3945)</f>
        <v>10.75</v>
      </c>
      <c r="K3945" s="33" t="n">
        <f aca="false">IF(G3945="","",G3945-C3945)</f>
        <v>8.35799193232543</v>
      </c>
      <c r="L3945" s="33" t="n">
        <f aca="false">IF(H3945="","",ABS(H3945))</f>
        <v>15</v>
      </c>
      <c r="M3945" s="33" t="n">
        <f aca="false">IF(I3945="","",ABS(I3945))</f>
        <v>12</v>
      </c>
      <c r="N3945" s="33" t="n">
        <f aca="false">IF(J3945="","",ABS(J3945))</f>
        <v>10.75</v>
      </c>
      <c r="O3945" s="33" t="n">
        <f aca="false">IF(K3945="","",ABS(K3945))</f>
        <v>8.35799193232543</v>
      </c>
      <c r="P3945" s="34" t="str">
        <f aca="false">IF(B3945&gt;=Eval_Start_Week,"YES","")</f>
        <v>YES</v>
      </c>
      <c r="Q3945" s="34" t="str">
        <f aca="false">IF(AND(B3945&gt;=Cal_Start_Week,B3945&lt;=Cal_End_Week),"YES","")</f>
        <v/>
      </c>
    </row>
    <row r="3946" customFormat="false" ht="15" hidden="false" customHeight="false" outlineLevel="0" collapsed="false">
      <c r="A3946" s="31" t="str">
        <f aca="false">Demand_History!C3946</f>
        <v>CLN-001</v>
      </c>
      <c r="B3946" s="31" t="n">
        <f aca="false">Demand_History!A3946</f>
        <v>97</v>
      </c>
      <c r="C3946" s="32" t="n">
        <f aca="false">Demand_History!D3946</f>
        <v>213</v>
      </c>
      <c r="D3946" s="33" t="n">
        <f aca="false">IF(B3946&gt;=2,C3945,"")</f>
        <v>213</v>
      </c>
      <c r="E3946" s="33" t="n">
        <f aca="false">IF(B3946&gt;=5,AVERAGE(C3942:C3945),"")</f>
        <v>219.5</v>
      </c>
      <c r="F3946" s="33" t="n">
        <f aca="false">IF(B3946&gt;=9,AVERAGE(C3938:C3945),"")</f>
        <v>218.75</v>
      </c>
      <c r="G3946" s="33" t="n">
        <f aca="false">IF(B3946=1,"",IF(B3946=2,C3945,SES_Alpha*C3945+(1-SES_Alpha)*G3945))</f>
        <v>218.850594352628</v>
      </c>
      <c r="H3946" s="33" t="n">
        <f aca="false">IF(D3946="","",D3946-C3946)</f>
        <v>0</v>
      </c>
      <c r="I3946" s="33" t="n">
        <f aca="false">IF(E3946="","",E3946-C3946)</f>
        <v>6.5</v>
      </c>
      <c r="J3946" s="33" t="n">
        <f aca="false">IF(F3946="","",F3946-C3946)</f>
        <v>5.75</v>
      </c>
      <c r="K3946" s="33" t="n">
        <f aca="false">IF(G3946="","",G3946-C3946)</f>
        <v>5.85059435262781</v>
      </c>
      <c r="L3946" s="33" t="n">
        <f aca="false">IF(H3946="","",ABS(H3946))</f>
        <v>0</v>
      </c>
      <c r="M3946" s="33" t="n">
        <f aca="false">IF(I3946="","",ABS(I3946))</f>
        <v>6.5</v>
      </c>
      <c r="N3946" s="33" t="n">
        <f aca="false">IF(J3946="","",ABS(J3946))</f>
        <v>5.75</v>
      </c>
      <c r="O3946" s="33" t="n">
        <f aca="false">IF(K3946="","",ABS(K3946))</f>
        <v>5.85059435262781</v>
      </c>
      <c r="P3946" s="34" t="str">
        <f aca="false">IF(B3946&gt;=Eval_Start_Week,"YES","")</f>
        <v>YES</v>
      </c>
      <c r="Q3946" s="34" t="str">
        <f aca="false">IF(AND(B3946&gt;=Cal_Start_Week,B3946&lt;=Cal_End_Week),"YES","")</f>
        <v/>
      </c>
    </row>
    <row r="3947" customFormat="false" ht="15" hidden="false" customHeight="false" outlineLevel="0" collapsed="false">
      <c r="A3947" s="31" t="str">
        <f aca="false">Demand_History!C3947</f>
        <v>CLN-001</v>
      </c>
      <c r="B3947" s="31" t="n">
        <f aca="false">Demand_History!A3947</f>
        <v>98</v>
      </c>
      <c r="C3947" s="32" t="n">
        <f aca="false">Demand_History!D3947</f>
        <v>220</v>
      </c>
      <c r="D3947" s="33" t="n">
        <f aca="false">IF(B3947&gt;=2,C3946,"")</f>
        <v>213</v>
      </c>
      <c r="E3947" s="33" t="n">
        <f aca="false">IF(B3947&gt;=5,AVERAGE(C3943:C3946),"")</f>
        <v>210.5</v>
      </c>
      <c r="F3947" s="33" t="n">
        <f aca="false">IF(B3947&gt;=9,AVERAGE(C3939:C3946),"")</f>
        <v>221.375</v>
      </c>
      <c r="G3947" s="33" t="n">
        <f aca="false">IF(B3947=1,"",IF(B3947=2,C3946,SES_Alpha*C3946+(1-SES_Alpha)*G3946))</f>
        <v>217.095416046839</v>
      </c>
      <c r="H3947" s="33" t="n">
        <f aca="false">IF(D3947="","",D3947-C3947)</f>
        <v>-7</v>
      </c>
      <c r="I3947" s="33" t="n">
        <f aca="false">IF(E3947="","",E3947-C3947)</f>
        <v>-9.5</v>
      </c>
      <c r="J3947" s="33" t="n">
        <f aca="false">IF(F3947="","",F3947-C3947)</f>
        <v>1.375</v>
      </c>
      <c r="K3947" s="33" t="n">
        <f aca="false">IF(G3947="","",G3947-C3947)</f>
        <v>-2.90458395316054</v>
      </c>
      <c r="L3947" s="33" t="n">
        <f aca="false">IF(H3947="","",ABS(H3947))</f>
        <v>7</v>
      </c>
      <c r="M3947" s="33" t="n">
        <f aca="false">IF(I3947="","",ABS(I3947))</f>
        <v>9.5</v>
      </c>
      <c r="N3947" s="33" t="n">
        <f aca="false">IF(J3947="","",ABS(J3947))</f>
        <v>1.375</v>
      </c>
      <c r="O3947" s="33" t="n">
        <f aca="false">IF(K3947="","",ABS(K3947))</f>
        <v>2.90458395316054</v>
      </c>
      <c r="P3947" s="34" t="str">
        <f aca="false">IF(B3947&gt;=Eval_Start_Week,"YES","")</f>
        <v>YES</v>
      </c>
      <c r="Q3947" s="34" t="str">
        <f aca="false">IF(AND(B3947&gt;=Cal_Start_Week,B3947&lt;=Cal_End_Week),"YES","")</f>
        <v/>
      </c>
    </row>
    <row r="3948" customFormat="false" ht="15" hidden="false" customHeight="false" outlineLevel="0" collapsed="false">
      <c r="A3948" s="31" t="str">
        <f aca="false">Demand_History!C3948</f>
        <v>CLN-001</v>
      </c>
      <c r="B3948" s="31" t="n">
        <f aca="false">Demand_History!A3948</f>
        <v>99</v>
      </c>
      <c r="C3948" s="32" t="n">
        <f aca="false">Demand_History!D3948</f>
        <v>196</v>
      </c>
      <c r="D3948" s="33" t="n">
        <f aca="false">IF(B3948&gt;=2,C3947,"")</f>
        <v>220</v>
      </c>
      <c r="E3948" s="33" t="n">
        <f aca="false">IF(B3948&gt;=5,AVERAGE(C3944:C3947),"")</f>
        <v>218.5</v>
      </c>
      <c r="F3948" s="33" t="n">
        <f aca="false">IF(B3948&gt;=9,AVERAGE(C3940:C3947),"")</f>
        <v>218.375</v>
      </c>
      <c r="G3948" s="33" t="n">
        <f aca="false">IF(B3948=1,"",IF(B3948=2,C3947,SES_Alpha*C3947+(1-SES_Alpha)*G3947))</f>
        <v>217.966791232788</v>
      </c>
      <c r="H3948" s="33" t="n">
        <f aca="false">IF(D3948="","",D3948-C3948)</f>
        <v>24</v>
      </c>
      <c r="I3948" s="33" t="n">
        <f aca="false">IF(E3948="","",E3948-C3948)</f>
        <v>22.5</v>
      </c>
      <c r="J3948" s="33" t="n">
        <f aca="false">IF(F3948="","",F3948-C3948)</f>
        <v>22.375</v>
      </c>
      <c r="K3948" s="33" t="n">
        <f aca="false">IF(G3948="","",G3948-C3948)</f>
        <v>21.9667912327876</v>
      </c>
      <c r="L3948" s="33" t="n">
        <f aca="false">IF(H3948="","",ABS(H3948))</f>
        <v>24</v>
      </c>
      <c r="M3948" s="33" t="n">
        <f aca="false">IF(I3948="","",ABS(I3948))</f>
        <v>22.5</v>
      </c>
      <c r="N3948" s="33" t="n">
        <f aca="false">IF(J3948="","",ABS(J3948))</f>
        <v>22.375</v>
      </c>
      <c r="O3948" s="33" t="n">
        <f aca="false">IF(K3948="","",ABS(K3948))</f>
        <v>21.9667912327876</v>
      </c>
      <c r="P3948" s="34" t="str">
        <f aca="false">IF(B3948&gt;=Eval_Start_Week,"YES","")</f>
        <v>YES</v>
      </c>
      <c r="Q3948" s="34" t="str">
        <f aca="false">IF(AND(B3948&gt;=Cal_Start_Week,B3948&lt;=Cal_End_Week),"YES","")</f>
        <v/>
      </c>
    </row>
    <row r="3949" customFormat="false" ht="15" hidden="false" customHeight="false" outlineLevel="0" collapsed="false">
      <c r="A3949" s="31" t="str">
        <f aca="false">Demand_History!C3949</f>
        <v>CLN-001</v>
      </c>
      <c r="B3949" s="31" t="n">
        <f aca="false">Demand_History!A3949</f>
        <v>100</v>
      </c>
      <c r="C3949" s="32" t="n">
        <f aca="false">Demand_History!D3949</f>
        <v>198</v>
      </c>
      <c r="D3949" s="33" t="n">
        <f aca="false">IF(B3949&gt;=2,C3948,"")</f>
        <v>196</v>
      </c>
      <c r="E3949" s="33" t="n">
        <f aca="false">IF(B3949&gt;=5,AVERAGE(C3945:C3948),"")</f>
        <v>210.5</v>
      </c>
      <c r="F3949" s="33" t="n">
        <f aca="false">IF(B3949&gt;=9,AVERAGE(C3941:C3948),"")</f>
        <v>217.75</v>
      </c>
      <c r="G3949" s="33" t="n">
        <f aca="false">IF(B3949=1,"",IF(B3949=2,C3948,SES_Alpha*C3948+(1-SES_Alpha)*G3948))</f>
        <v>211.376753862951</v>
      </c>
      <c r="H3949" s="33" t="n">
        <f aca="false">IF(D3949="","",D3949-C3949)</f>
        <v>-2</v>
      </c>
      <c r="I3949" s="33" t="n">
        <f aca="false">IF(E3949="","",E3949-C3949)</f>
        <v>12.5</v>
      </c>
      <c r="J3949" s="33" t="n">
        <f aca="false">IF(F3949="","",F3949-C3949)</f>
        <v>19.75</v>
      </c>
      <c r="K3949" s="33" t="n">
        <f aca="false">IF(G3949="","",G3949-C3949)</f>
        <v>13.3767538629513</v>
      </c>
      <c r="L3949" s="33" t="n">
        <f aca="false">IF(H3949="","",ABS(H3949))</f>
        <v>2</v>
      </c>
      <c r="M3949" s="33" t="n">
        <f aca="false">IF(I3949="","",ABS(I3949))</f>
        <v>12.5</v>
      </c>
      <c r="N3949" s="33" t="n">
        <f aca="false">IF(J3949="","",ABS(J3949))</f>
        <v>19.75</v>
      </c>
      <c r="O3949" s="33" t="n">
        <f aca="false">IF(K3949="","",ABS(K3949))</f>
        <v>13.3767538629513</v>
      </c>
      <c r="P3949" s="34" t="str">
        <f aca="false">IF(B3949&gt;=Eval_Start_Week,"YES","")</f>
        <v>YES</v>
      </c>
      <c r="Q3949" s="34" t="str">
        <f aca="false">IF(AND(B3949&gt;=Cal_Start_Week,B3949&lt;=Cal_End_Week),"YES","")</f>
        <v/>
      </c>
    </row>
    <row r="3950" customFormat="false" ht="15" hidden="false" customHeight="false" outlineLevel="0" collapsed="false">
      <c r="A3950" s="31" t="str">
        <f aca="false">Demand_History!C3950</f>
        <v>CLN-001</v>
      </c>
      <c r="B3950" s="31" t="n">
        <f aca="false">Demand_History!A3950</f>
        <v>101</v>
      </c>
      <c r="C3950" s="32" t="n">
        <f aca="false">Demand_History!D3950</f>
        <v>234</v>
      </c>
      <c r="D3950" s="33" t="n">
        <f aca="false">IF(B3950&gt;=2,C3949,"")</f>
        <v>198</v>
      </c>
      <c r="E3950" s="33" t="n">
        <f aca="false">IF(B3950&gt;=5,AVERAGE(C3946:C3949),"")</f>
        <v>206.75</v>
      </c>
      <c r="F3950" s="33" t="n">
        <f aca="false">IF(B3950&gt;=9,AVERAGE(C3942:C3949),"")</f>
        <v>213.125</v>
      </c>
      <c r="G3950" s="33" t="n">
        <f aca="false">IF(B3950=1,"",IF(B3950=2,C3949,SES_Alpha*C3949+(1-SES_Alpha)*G3949))</f>
        <v>207.363727704066</v>
      </c>
      <c r="H3950" s="33" t="n">
        <f aca="false">IF(D3950="","",D3950-C3950)</f>
        <v>-36</v>
      </c>
      <c r="I3950" s="33" t="n">
        <f aca="false">IF(E3950="","",E3950-C3950)</f>
        <v>-27.25</v>
      </c>
      <c r="J3950" s="33" t="n">
        <f aca="false">IF(F3950="","",F3950-C3950)</f>
        <v>-20.875</v>
      </c>
      <c r="K3950" s="33" t="n">
        <f aca="false">IF(G3950="","",G3950-C3950)</f>
        <v>-26.6362722959341</v>
      </c>
      <c r="L3950" s="33" t="n">
        <f aca="false">IF(H3950="","",ABS(H3950))</f>
        <v>36</v>
      </c>
      <c r="M3950" s="33" t="n">
        <f aca="false">IF(I3950="","",ABS(I3950))</f>
        <v>27.25</v>
      </c>
      <c r="N3950" s="33" t="n">
        <f aca="false">IF(J3950="","",ABS(J3950))</f>
        <v>20.875</v>
      </c>
      <c r="O3950" s="33" t="n">
        <f aca="false">IF(K3950="","",ABS(K3950))</f>
        <v>26.6362722959341</v>
      </c>
      <c r="P3950" s="34" t="str">
        <f aca="false">IF(B3950&gt;=Eval_Start_Week,"YES","")</f>
        <v>YES</v>
      </c>
      <c r="Q3950" s="34" t="str">
        <f aca="false">IF(AND(B3950&gt;=Cal_Start_Week,B3950&lt;=Cal_End_Week),"YES","")</f>
        <v/>
      </c>
    </row>
    <row r="3951" customFormat="false" ht="15" hidden="false" customHeight="false" outlineLevel="0" collapsed="false">
      <c r="A3951" s="31" t="str">
        <f aca="false">Demand_History!C3951</f>
        <v>CLN-001</v>
      </c>
      <c r="B3951" s="31" t="n">
        <f aca="false">Demand_History!A3951</f>
        <v>102</v>
      </c>
      <c r="C3951" s="32" t="n">
        <f aca="false">Demand_History!D3951</f>
        <v>238</v>
      </c>
      <c r="D3951" s="33" t="n">
        <f aca="false">IF(B3951&gt;=2,C3950,"")</f>
        <v>234</v>
      </c>
      <c r="E3951" s="33" t="n">
        <f aca="false">IF(B3951&gt;=5,AVERAGE(C3947:C3950),"")</f>
        <v>212</v>
      </c>
      <c r="F3951" s="33" t="n">
        <f aca="false">IF(B3951&gt;=9,AVERAGE(C3943:C3950),"")</f>
        <v>211.25</v>
      </c>
      <c r="G3951" s="33" t="n">
        <f aca="false">IF(B3951=1,"",IF(B3951=2,C3950,SES_Alpha*C3950+(1-SES_Alpha)*G3950))</f>
        <v>215.354609392846</v>
      </c>
      <c r="H3951" s="33" t="n">
        <f aca="false">IF(D3951="","",D3951-C3951)</f>
        <v>-4</v>
      </c>
      <c r="I3951" s="33" t="n">
        <f aca="false">IF(E3951="","",E3951-C3951)</f>
        <v>-26</v>
      </c>
      <c r="J3951" s="33" t="n">
        <f aca="false">IF(F3951="","",F3951-C3951)</f>
        <v>-26.75</v>
      </c>
      <c r="K3951" s="33" t="n">
        <f aca="false">IF(G3951="","",G3951-C3951)</f>
        <v>-22.6453906071538</v>
      </c>
      <c r="L3951" s="33" t="n">
        <f aca="false">IF(H3951="","",ABS(H3951))</f>
        <v>4</v>
      </c>
      <c r="M3951" s="33" t="n">
        <f aca="false">IF(I3951="","",ABS(I3951))</f>
        <v>26</v>
      </c>
      <c r="N3951" s="33" t="n">
        <f aca="false">IF(J3951="","",ABS(J3951))</f>
        <v>26.75</v>
      </c>
      <c r="O3951" s="33" t="n">
        <f aca="false">IF(K3951="","",ABS(K3951))</f>
        <v>22.6453906071538</v>
      </c>
      <c r="P3951" s="34" t="str">
        <f aca="false">IF(B3951&gt;=Eval_Start_Week,"YES","")</f>
        <v>YES</v>
      </c>
      <c r="Q3951" s="34" t="str">
        <f aca="false">IF(AND(B3951&gt;=Cal_Start_Week,B3951&lt;=Cal_End_Week),"YES","")</f>
        <v/>
      </c>
    </row>
    <row r="3952" customFormat="false" ht="15" hidden="false" customHeight="false" outlineLevel="0" collapsed="false">
      <c r="A3952" s="31" t="str">
        <f aca="false">Demand_History!C3952</f>
        <v>CLN-001</v>
      </c>
      <c r="B3952" s="31" t="n">
        <f aca="false">Demand_History!A3952</f>
        <v>103</v>
      </c>
      <c r="C3952" s="32" t="n">
        <f aca="false">Demand_History!D3952</f>
        <v>207</v>
      </c>
      <c r="D3952" s="33" t="n">
        <f aca="false">IF(B3952&gt;=2,C3951,"")</f>
        <v>238</v>
      </c>
      <c r="E3952" s="33" t="n">
        <f aca="false">IF(B3952&gt;=5,AVERAGE(C3948:C3951),"")</f>
        <v>216.5</v>
      </c>
      <c r="F3952" s="33" t="n">
        <f aca="false">IF(B3952&gt;=9,AVERAGE(C3944:C3951),"")</f>
        <v>217.5</v>
      </c>
      <c r="G3952" s="33" t="n">
        <f aca="false">IF(B3952=1,"",IF(B3952=2,C3951,SES_Alpha*C3951+(1-SES_Alpha)*G3951))</f>
        <v>222.148226574992</v>
      </c>
      <c r="H3952" s="33" t="n">
        <f aca="false">IF(D3952="","",D3952-C3952)</f>
        <v>31</v>
      </c>
      <c r="I3952" s="33" t="n">
        <f aca="false">IF(E3952="","",E3952-C3952)</f>
        <v>9.5</v>
      </c>
      <c r="J3952" s="33" t="n">
        <f aca="false">IF(F3952="","",F3952-C3952)</f>
        <v>10.5</v>
      </c>
      <c r="K3952" s="33" t="n">
        <f aca="false">IF(G3952="","",G3952-C3952)</f>
        <v>15.1482265749923</v>
      </c>
      <c r="L3952" s="33" t="n">
        <f aca="false">IF(H3952="","",ABS(H3952))</f>
        <v>31</v>
      </c>
      <c r="M3952" s="33" t="n">
        <f aca="false">IF(I3952="","",ABS(I3952))</f>
        <v>9.5</v>
      </c>
      <c r="N3952" s="33" t="n">
        <f aca="false">IF(J3952="","",ABS(J3952))</f>
        <v>10.5</v>
      </c>
      <c r="O3952" s="33" t="n">
        <f aca="false">IF(K3952="","",ABS(K3952))</f>
        <v>15.1482265749923</v>
      </c>
      <c r="P3952" s="34" t="str">
        <f aca="false">IF(B3952&gt;=Eval_Start_Week,"YES","")</f>
        <v>YES</v>
      </c>
      <c r="Q3952" s="34" t="str">
        <f aca="false">IF(AND(B3952&gt;=Cal_Start_Week,B3952&lt;=Cal_End_Week),"YES","")</f>
        <v/>
      </c>
    </row>
    <row r="3953" customFormat="false" ht="15" hidden="false" customHeight="false" outlineLevel="0" collapsed="false">
      <c r="A3953" s="31" t="str">
        <f aca="false">Demand_History!C3953</f>
        <v>CLN-001</v>
      </c>
      <c r="B3953" s="31" t="n">
        <f aca="false">Demand_History!A3953</f>
        <v>104</v>
      </c>
      <c r="C3953" s="32" t="n">
        <f aca="false">Demand_History!D3953</f>
        <v>187</v>
      </c>
      <c r="D3953" s="33" t="n">
        <f aca="false">IF(B3953&gt;=2,C3952,"")</f>
        <v>207</v>
      </c>
      <c r="E3953" s="33" t="n">
        <f aca="false">IF(B3953&gt;=5,AVERAGE(C3949:C3952),"")</f>
        <v>219.25</v>
      </c>
      <c r="F3953" s="33" t="n">
        <f aca="false">IF(B3953&gt;=9,AVERAGE(C3945:C3952),"")</f>
        <v>214.875</v>
      </c>
      <c r="G3953" s="33" t="n">
        <f aca="false">IF(B3953=1,"",IF(B3953=2,C3952,SES_Alpha*C3952+(1-SES_Alpha)*G3952))</f>
        <v>217.603758602495</v>
      </c>
      <c r="H3953" s="33" t="n">
        <f aca="false">IF(D3953="","",D3953-C3953)</f>
        <v>20</v>
      </c>
      <c r="I3953" s="33" t="n">
        <f aca="false">IF(E3953="","",E3953-C3953)</f>
        <v>32.25</v>
      </c>
      <c r="J3953" s="33" t="n">
        <f aca="false">IF(F3953="","",F3953-C3953)</f>
        <v>27.875</v>
      </c>
      <c r="K3953" s="33" t="n">
        <f aca="false">IF(G3953="","",G3953-C3953)</f>
        <v>30.6037586024946</v>
      </c>
      <c r="L3953" s="33" t="n">
        <f aca="false">IF(H3953="","",ABS(H3953))</f>
        <v>20</v>
      </c>
      <c r="M3953" s="33" t="n">
        <f aca="false">IF(I3953="","",ABS(I3953))</f>
        <v>32.25</v>
      </c>
      <c r="N3953" s="33" t="n">
        <f aca="false">IF(J3953="","",ABS(J3953))</f>
        <v>27.875</v>
      </c>
      <c r="O3953" s="33" t="n">
        <f aca="false">IF(K3953="","",ABS(K3953))</f>
        <v>30.6037586024946</v>
      </c>
      <c r="P3953" s="34" t="str">
        <f aca="false">IF(B3953&gt;=Eval_Start_Week,"YES","")</f>
        <v>YES</v>
      </c>
      <c r="Q3953" s="34" t="str">
        <f aca="false">IF(AND(B3953&gt;=Cal_Start_Week,B3953&lt;=Cal_End_Week),"YES","")</f>
        <v/>
      </c>
    </row>
    <row r="3954" customFormat="false" ht="15" hidden="false" customHeight="false" outlineLevel="0" collapsed="false">
      <c r="A3954" s="31" t="str">
        <f aca="false">Demand_History!C3954</f>
        <v>CLN-002</v>
      </c>
      <c r="B3954" s="31" t="n">
        <f aca="false">Demand_History!A3954</f>
        <v>1</v>
      </c>
      <c r="C3954" s="32" t="n">
        <f aca="false">Demand_History!D3954</f>
        <v>185</v>
      </c>
      <c r="D3954" s="33" t="str">
        <f aca="false">IF(B3954&gt;=2,C3953,"")</f>
        <v/>
      </c>
      <c r="E3954" s="33" t="str">
        <f aca="false">IF(B3954&gt;=5,AVERAGE(C3950:C3953),"")</f>
        <v/>
      </c>
      <c r="F3954" s="33" t="str">
        <f aca="false">IF(B3954&gt;=9,AVERAGE(C3946:C3953),"")</f>
        <v/>
      </c>
      <c r="G3954" s="33" t="str">
        <f aca="false">IF(B3954=1,"",IF(B3954=2,C3953,SES_Alpha*C3953+(1-SES_Alpha)*G3953))</f>
        <v/>
      </c>
      <c r="H3954" s="33" t="str">
        <f aca="false">IF(D3954="","",D3954-C3954)</f>
        <v/>
      </c>
      <c r="I3954" s="33" t="str">
        <f aca="false">IF(E3954="","",E3954-C3954)</f>
        <v/>
      </c>
      <c r="J3954" s="33" t="str">
        <f aca="false">IF(F3954="","",F3954-C3954)</f>
        <v/>
      </c>
      <c r="K3954" s="33" t="str">
        <f aca="false">IF(G3954="","",G3954-C3954)</f>
        <v/>
      </c>
      <c r="L3954" s="33" t="str">
        <f aca="false">IF(H3954="","",ABS(H3954))</f>
        <v/>
      </c>
      <c r="M3954" s="33" t="str">
        <f aca="false">IF(I3954="","",ABS(I3954))</f>
        <v/>
      </c>
      <c r="N3954" s="33" t="str">
        <f aca="false">IF(J3954="","",ABS(J3954))</f>
        <v/>
      </c>
      <c r="O3954" s="33" t="str">
        <f aca="false">IF(K3954="","",ABS(K3954))</f>
        <v/>
      </c>
      <c r="P3954" s="34" t="str">
        <f aca="false">IF(B3954&gt;=Eval_Start_Week,"YES","")</f>
        <v/>
      </c>
      <c r="Q3954" s="34" t="str">
        <f aca="false">IF(AND(B3954&gt;=Cal_Start_Week,B3954&lt;=Cal_End_Week),"YES","")</f>
        <v/>
      </c>
    </row>
    <row r="3955" customFormat="false" ht="15" hidden="false" customHeight="false" outlineLevel="0" collapsed="false">
      <c r="A3955" s="31" t="str">
        <f aca="false">Demand_History!C3955</f>
        <v>CLN-002</v>
      </c>
      <c r="B3955" s="31" t="n">
        <f aca="false">Demand_History!A3955</f>
        <v>2</v>
      </c>
      <c r="C3955" s="32" t="n">
        <f aca="false">Demand_History!D3955</f>
        <v>168</v>
      </c>
      <c r="D3955" s="33" t="n">
        <f aca="false">IF(B3955&gt;=2,C3954,"")</f>
        <v>185</v>
      </c>
      <c r="E3955" s="33" t="str">
        <f aca="false">IF(B3955&gt;=5,AVERAGE(C3951:C3954),"")</f>
        <v/>
      </c>
      <c r="F3955" s="33" t="str">
        <f aca="false">IF(B3955&gt;=9,AVERAGE(C3947:C3954),"")</f>
        <v/>
      </c>
      <c r="G3955" s="33" t="n">
        <f aca="false">IF(B3955=1,"",IF(B3955=2,C3954,SES_Alpha*C3954+(1-SES_Alpha)*G3954))</f>
        <v>185</v>
      </c>
      <c r="H3955" s="33" t="n">
        <f aca="false">IF(D3955="","",D3955-C3955)</f>
        <v>17</v>
      </c>
      <c r="I3955" s="33" t="str">
        <f aca="false">IF(E3955="","",E3955-C3955)</f>
        <v/>
      </c>
      <c r="J3955" s="33" t="str">
        <f aca="false">IF(F3955="","",F3955-C3955)</f>
        <v/>
      </c>
      <c r="K3955" s="33" t="n">
        <f aca="false">IF(G3955="","",G3955-C3955)</f>
        <v>17</v>
      </c>
      <c r="L3955" s="33" t="n">
        <f aca="false">IF(H3955="","",ABS(H3955))</f>
        <v>17</v>
      </c>
      <c r="M3955" s="33" t="str">
        <f aca="false">IF(I3955="","",ABS(I3955))</f>
        <v/>
      </c>
      <c r="N3955" s="33" t="str">
        <f aca="false">IF(J3955="","",ABS(J3955))</f>
        <v/>
      </c>
      <c r="O3955" s="33" t="n">
        <f aca="false">IF(K3955="","",ABS(K3955))</f>
        <v>17</v>
      </c>
      <c r="P3955" s="34" t="str">
        <f aca="false">IF(B3955&gt;=Eval_Start_Week,"YES","")</f>
        <v/>
      </c>
      <c r="Q3955" s="34" t="str">
        <f aca="false">IF(AND(B3955&gt;=Cal_Start_Week,B3955&lt;=Cal_End_Week),"YES","")</f>
        <v/>
      </c>
    </row>
    <row r="3956" customFormat="false" ht="15" hidden="false" customHeight="false" outlineLevel="0" collapsed="false">
      <c r="A3956" s="31" t="str">
        <f aca="false">Demand_History!C3956</f>
        <v>CLN-002</v>
      </c>
      <c r="B3956" s="31" t="n">
        <f aca="false">Demand_History!A3956</f>
        <v>3</v>
      </c>
      <c r="C3956" s="32" t="n">
        <f aca="false">Demand_History!D3956</f>
        <v>135</v>
      </c>
      <c r="D3956" s="33" t="n">
        <f aca="false">IF(B3956&gt;=2,C3955,"")</f>
        <v>168</v>
      </c>
      <c r="E3956" s="33" t="str">
        <f aca="false">IF(B3956&gt;=5,AVERAGE(C3952:C3955),"")</f>
        <v/>
      </c>
      <c r="F3956" s="33" t="str">
        <f aca="false">IF(B3956&gt;=9,AVERAGE(C3948:C3955),"")</f>
        <v/>
      </c>
      <c r="G3956" s="33" t="n">
        <f aca="false">IF(B3956=1,"",IF(B3956=2,C3955,SES_Alpha*C3955+(1-SES_Alpha)*G3955))</f>
        <v>179.9</v>
      </c>
      <c r="H3956" s="33" t="n">
        <f aca="false">IF(D3956="","",D3956-C3956)</f>
        <v>33</v>
      </c>
      <c r="I3956" s="33" t="str">
        <f aca="false">IF(E3956="","",E3956-C3956)</f>
        <v/>
      </c>
      <c r="J3956" s="33" t="str">
        <f aca="false">IF(F3956="","",F3956-C3956)</f>
        <v/>
      </c>
      <c r="K3956" s="33" t="n">
        <f aca="false">IF(G3956="","",G3956-C3956)</f>
        <v>44.9</v>
      </c>
      <c r="L3956" s="33" t="n">
        <f aca="false">IF(H3956="","",ABS(H3956))</f>
        <v>33</v>
      </c>
      <c r="M3956" s="33" t="str">
        <f aca="false">IF(I3956="","",ABS(I3956))</f>
        <v/>
      </c>
      <c r="N3956" s="33" t="str">
        <f aca="false">IF(J3956="","",ABS(J3956))</f>
        <v/>
      </c>
      <c r="O3956" s="33" t="n">
        <f aca="false">IF(K3956="","",ABS(K3956))</f>
        <v>44.9</v>
      </c>
      <c r="P3956" s="34" t="str">
        <f aca="false">IF(B3956&gt;=Eval_Start_Week,"YES","")</f>
        <v/>
      </c>
      <c r="Q3956" s="34" t="str">
        <f aca="false">IF(AND(B3956&gt;=Cal_Start_Week,B3956&lt;=Cal_End_Week),"YES","")</f>
        <v/>
      </c>
    </row>
    <row r="3957" customFormat="false" ht="15" hidden="false" customHeight="false" outlineLevel="0" collapsed="false">
      <c r="A3957" s="31" t="str">
        <f aca="false">Demand_History!C3957</f>
        <v>CLN-002</v>
      </c>
      <c r="B3957" s="31" t="n">
        <f aca="false">Demand_History!A3957</f>
        <v>4</v>
      </c>
      <c r="C3957" s="32" t="n">
        <f aca="false">Demand_History!D3957</f>
        <v>145</v>
      </c>
      <c r="D3957" s="33" t="n">
        <f aca="false">IF(B3957&gt;=2,C3956,"")</f>
        <v>135</v>
      </c>
      <c r="E3957" s="33" t="str">
        <f aca="false">IF(B3957&gt;=5,AVERAGE(C3953:C3956),"")</f>
        <v/>
      </c>
      <c r="F3957" s="33" t="str">
        <f aca="false">IF(B3957&gt;=9,AVERAGE(C3949:C3956),"")</f>
        <v/>
      </c>
      <c r="G3957" s="33" t="n">
        <f aca="false">IF(B3957=1,"",IF(B3957=2,C3956,SES_Alpha*C3956+(1-SES_Alpha)*G3956))</f>
        <v>166.43</v>
      </c>
      <c r="H3957" s="33" t="n">
        <f aca="false">IF(D3957="","",D3957-C3957)</f>
        <v>-10</v>
      </c>
      <c r="I3957" s="33" t="str">
        <f aca="false">IF(E3957="","",E3957-C3957)</f>
        <v/>
      </c>
      <c r="J3957" s="33" t="str">
        <f aca="false">IF(F3957="","",F3957-C3957)</f>
        <v/>
      </c>
      <c r="K3957" s="33" t="n">
        <f aca="false">IF(G3957="","",G3957-C3957)</f>
        <v>21.43</v>
      </c>
      <c r="L3957" s="33" t="n">
        <f aca="false">IF(H3957="","",ABS(H3957))</f>
        <v>10</v>
      </c>
      <c r="M3957" s="33" t="str">
        <f aca="false">IF(I3957="","",ABS(I3957))</f>
        <v/>
      </c>
      <c r="N3957" s="33" t="str">
        <f aca="false">IF(J3957="","",ABS(J3957))</f>
        <v/>
      </c>
      <c r="O3957" s="33" t="n">
        <f aca="false">IF(K3957="","",ABS(K3957))</f>
        <v>21.43</v>
      </c>
      <c r="P3957" s="34" t="str">
        <f aca="false">IF(B3957&gt;=Eval_Start_Week,"YES","")</f>
        <v/>
      </c>
      <c r="Q3957" s="34" t="str">
        <f aca="false">IF(AND(B3957&gt;=Cal_Start_Week,B3957&lt;=Cal_End_Week),"YES","")</f>
        <v/>
      </c>
    </row>
    <row r="3958" customFormat="false" ht="15" hidden="false" customHeight="false" outlineLevel="0" collapsed="false">
      <c r="A3958" s="31" t="str">
        <f aca="false">Demand_History!C3958</f>
        <v>CLN-002</v>
      </c>
      <c r="B3958" s="31" t="n">
        <f aca="false">Demand_History!A3958</f>
        <v>5</v>
      </c>
      <c r="C3958" s="32" t="n">
        <f aca="false">Demand_History!D3958</f>
        <v>165</v>
      </c>
      <c r="D3958" s="33" t="n">
        <f aca="false">IF(B3958&gt;=2,C3957,"")</f>
        <v>145</v>
      </c>
      <c r="E3958" s="33" t="n">
        <f aca="false">IF(B3958&gt;=5,AVERAGE(C3954:C3957),"")</f>
        <v>158.25</v>
      </c>
      <c r="F3958" s="33" t="str">
        <f aca="false">IF(B3958&gt;=9,AVERAGE(C3950:C3957),"")</f>
        <v/>
      </c>
      <c r="G3958" s="33" t="n">
        <f aca="false">IF(B3958=1,"",IF(B3958=2,C3957,SES_Alpha*C3957+(1-SES_Alpha)*G3957))</f>
        <v>160.001</v>
      </c>
      <c r="H3958" s="33" t="n">
        <f aca="false">IF(D3958="","",D3958-C3958)</f>
        <v>-20</v>
      </c>
      <c r="I3958" s="33" t="n">
        <f aca="false">IF(E3958="","",E3958-C3958)</f>
        <v>-6.75</v>
      </c>
      <c r="J3958" s="33" t="str">
        <f aca="false">IF(F3958="","",F3958-C3958)</f>
        <v/>
      </c>
      <c r="K3958" s="33" t="n">
        <f aca="false">IF(G3958="","",G3958-C3958)</f>
        <v>-4.99900000000002</v>
      </c>
      <c r="L3958" s="33" t="n">
        <f aca="false">IF(H3958="","",ABS(H3958))</f>
        <v>20</v>
      </c>
      <c r="M3958" s="33" t="n">
        <f aca="false">IF(I3958="","",ABS(I3958))</f>
        <v>6.75</v>
      </c>
      <c r="N3958" s="33" t="str">
        <f aca="false">IF(J3958="","",ABS(J3958))</f>
        <v/>
      </c>
      <c r="O3958" s="33" t="n">
        <f aca="false">IF(K3958="","",ABS(K3958))</f>
        <v>4.99900000000002</v>
      </c>
      <c r="P3958" s="34" t="str">
        <f aca="false">IF(B3958&gt;=Eval_Start_Week,"YES","")</f>
        <v/>
      </c>
      <c r="Q3958" s="34" t="str">
        <f aca="false">IF(AND(B3958&gt;=Cal_Start_Week,B3958&lt;=Cal_End_Week),"YES","")</f>
        <v/>
      </c>
    </row>
    <row r="3959" customFormat="false" ht="15" hidden="false" customHeight="false" outlineLevel="0" collapsed="false">
      <c r="A3959" s="31" t="str">
        <f aca="false">Demand_History!C3959</f>
        <v>CLN-002</v>
      </c>
      <c r="B3959" s="31" t="n">
        <f aca="false">Demand_History!A3959</f>
        <v>6</v>
      </c>
      <c r="C3959" s="32" t="n">
        <f aca="false">Demand_History!D3959</f>
        <v>137</v>
      </c>
      <c r="D3959" s="33" t="n">
        <f aca="false">IF(B3959&gt;=2,C3958,"")</f>
        <v>165</v>
      </c>
      <c r="E3959" s="33" t="n">
        <f aca="false">IF(B3959&gt;=5,AVERAGE(C3955:C3958),"")</f>
        <v>153.25</v>
      </c>
      <c r="F3959" s="33" t="str">
        <f aca="false">IF(B3959&gt;=9,AVERAGE(C3951:C3958),"")</f>
        <v/>
      </c>
      <c r="G3959" s="33" t="n">
        <f aca="false">IF(B3959=1,"",IF(B3959=2,C3958,SES_Alpha*C3958+(1-SES_Alpha)*G3958))</f>
        <v>161.5007</v>
      </c>
      <c r="H3959" s="33" t="n">
        <f aca="false">IF(D3959="","",D3959-C3959)</f>
        <v>28</v>
      </c>
      <c r="I3959" s="33" t="n">
        <f aca="false">IF(E3959="","",E3959-C3959)</f>
        <v>16.25</v>
      </c>
      <c r="J3959" s="33" t="str">
        <f aca="false">IF(F3959="","",F3959-C3959)</f>
        <v/>
      </c>
      <c r="K3959" s="33" t="n">
        <f aca="false">IF(G3959="","",G3959-C3959)</f>
        <v>24.5007</v>
      </c>
      <c r="L3959" s="33" t="n">
        <f aca="false">IF(H3959="","",ABS(H3959))</f>
        <v>28</v>
      </c>
      <c r="M3959" s="33" t="n">
        <f aca="false">IF(I3959="","",ABS(I3959))</f>
        <v>16.25</v>
      </c>
      <c r="N3959" s="33" t="str">
        <f aca="false">IF(J3959="","",ABS(J3959))</f>
        <v/>
      </c>
      <c r="O3959" s="33" t="n">
        <f aca="false">IF(K3959="","",ABS(K3959))</f>
        <v>24.5007</v>
      </c>
      <c r="P3959" s="34" t="str">
        <f aca="false">IF(B3959&gt;=Eval_Start_Week,"YES","")</f>
        <v/>
      </c>
      <c r="Q3959" s="34" t="str">
        <f aca="false">IF(AND(B3959&gt;=Cal_Start_Week,B3959&lt;=Cal_End_Week),"YES","")</f>
        <v/>
      </c>
    </row>
    <row r="3960" customFormat="false" ht="15" hidden="false" customHeight="false" outlineLevel="0" collapsed="false">
      <c r="A3960" s="31" t="str">
        <f aca="false">Demand_History!C3960</f>
        <v>CLN-002</v>
      </c>
      <c r="B3960" s="31" t="n">
        <f aca="false">Demand_History!A3960</f>
        <v>7</v>
      </c>
      <c r="C3960" s="32" t="n">
        <f aca="false">Demand_History!D3960</f>
        <v>197</v>
      </c>
      <c r="D3960" s="33" t="n">
        <f aca="false">IF(B3960&gt;=2,C3959,"")</f>
        <v>137</v>
      </c>
      <c r="E3960" s="33" t="n">
        <f aca="false">IF(B3960&gt;=5,AVERAGE(C3956:C3959),"")</f>
        <v>145.5</v>
      </c>
      <c r="F3960" s="33" t="str">
        <f aca="false">IF(B3960&gt;=9,AVERAGE(C3952:C3959),"")</f>
        <v/>
      </c>
      <c r="G3960" s="33" t="n">
        <f aca="false">IF(B3960=1,"",IF(B3960=2,C3959,SES_Alpha*C3959+(1-SES_Alpha)*G3959))</f>
        <v>154.15049</v>
      </c>
      <c r="H3960" s="33" t="n">
        <f aca="false">IF(D3960="","",D3960-C3960)</f>
        <v>-60</v>
      </c>
      <c r="I3960" s="33" t="n">
        <f aca="false">IF(E3960="","",E3960-C3960)</f>
        <v>-51.5</v>
      </c>
      <c r="J3960" s="33" t="str">
        <f aca="false">IF(F3960="","",F3960-C3960)</f>
        <v/>
      </c>
      <c r="K3960" s="33" t="n">
        <f aca="false">IF(G3960="","",G3960-C3960)</f>
        <v>-42.84951</v>
      </c>
      <c r="L3960" s="33" t="n">
        <f aca="false">IF(H3960="","",ABS(H3960))</f>
        <v>60</v>
      </c>
      <c r="M3960" s="33" t="n">
        <f aca="false">IF(I3960="","",ABS(I3960))</f>
        <v>51.5</v>
      </c>
      <c r="N3960" s="33" t="str">
        <f aca="false">IF(J3960="","",ABS(J3960))</f>
        <v/>
      </c>
      <c r="O3960" s="33" t="n">
        <f aca="false">IF(K3960="","",ABS(K3960))</f>
        <v>42.84951</v>
      </c>
      <c r="P3960" s="34" t="str">
        <f aca="false">IF(B3960&gt;=Eval_Start_Week,"YES","")</f>
        <v/>
      </c>
      <c r="Q3960" s="34" t="str">
        <f aca="false">IF(AND(B3960&gt;=Cal_Start_Week,B3960&lt;=Cal_End_Week),"YES","")</f>
        <v/>
      </c>
    </row>
    <row r="3961" customFormat="false" ht="15" hidden="false" customHeight="false" outlineLevel="0" collapsed="false">
      <c r="A3961" s="31" t="str">
        <f aca="false">Demand_History!C3961</f>
        <v>CLN-002</v>
      </c>
      <c r="B3961" s="31" t="n">
        <f aca="false">Demand_History!A3961</f>
        <v>8</v>
      </c>
      <c r="C3961" s="32" t="n">
        <f aca="false">Demand_History!D3961</f>
        <v>162</v>
      </c>
      <c r="D3961" s="33" t="n">
        <f aca="false">IF(B3961&gt;=2,C3960,"")</f>
        <v>197</v>
      </c>
      <c r="E3961" s="33" t="n">
        <f aca="false">IF(B3961&gt;=5,AVERAGE(C3957:C3960),"")</f>
        <v>161</v>
      </c>
      <c r="F3961" s="33" t="str">
        <f aca="false">IF(B3961&gt;=9,AVERAGE(C3953:C3960),"")</f>
        <v/>
      </c>
      <c r="G3961" s="33" t="n">
        <f aca="false">IF(B3961=1,"",IF(B3961=2,C3960,SES_Alpha*C3960+(1-SES_Alpha)*G3960))</f>
        <v>167.005343</v>
      </c>
      <c r="H3961" s="33" t="n">
        <f aca="false">IF(D3961="","",D3961-C3961)</f>
        <v>35</v>
      </c>
      <c r="I3961" s="33" t="n">
        <f aca="false">IF(E3961="","",E3961-C3961)</f>
        <v>-1</v>
      </c>
      <c r="J3961" s="33" t="str">
        <f aca="false">IF(F3961="","",F3961-C3961)</f>
        <v/>
      </c>
      <c r="K3961" s="33" t="n">
        <f aca="false">IF(G3961="","",G3961-C3961)</f>
        <v>5.00534299999998</v>
      </c>
      <c r="L3961" s="33" t="n">
        <f aca="false">IF(H3961="","",ABS(H3961))</f>
        <v>35</v>
      </c>
      <c r="M3961" s="33" t="n">
        <f aca="false">IF(I3961="","",ABS(I3961))</f>
        <v>1</v>
      </c>
      <c r="N3961" s="33" t="str">
        <f aca="false">IF(J3961="","",ABS(J3961))</f>
        <v/>
      </c>
      <c r="O3961" s="33" t="n">
        <f aca="false">IF(K3961="","",ABS(K3961))</f>
        <v>5.00534299999998</v>
      </c>
      <c r="P3961" s="34" t="str">
        <f aca="false">IF(B3961&gt;=Eval_Start_Week,"YES","")</f>
        <v/>
      </c>
      <c r="Q3961" s="34" t="str">
        <f aca="false">IF(AND(B3961&gt;=Cal_Start_Week,B3961&lt;=Cal_End_Week),"YES","")</f>
        <v/>
      </c>
    </row>
    <row r="3962" customFormat="false" ht="15" hidden="false" customHeight="false" outlineLevel="0" collapsed="false">
      <c r="A3962" s="31" t="str">
        <f aca="false">Demand_History!C3962</f>
        <v>CLN-002</v>
      </c>
      <c r="B3962" s="31" t="n">
        <f aca="false">Demand_History!A3962</f>
        <v>9</v>
      </c>
      <c r="C3962" s="32" t="n">
        <f aca="false">Demand_History!D3962</f>
        <v>168</v>
      </c>
      <c r="D3962" s="33" t="n">
        <f aca="false">IF(B3962&gt;=2,C3961,"")</f>
        <v>162</v>
      </c>
      <c r="E3962" s="33" t="n">
        <f aca="false">IF(B3962&gt;=5,AVERAGE(C3958:C3961),"")</f>
        <v>165.25</v>
      </c>
      <c r="F3962" s="33" t="n">
        <f aca="false">IF(B3962&gt;=9,AVERAGE(C3954:C3961),"")</f>
        <v>161.75</v>
      </c>
      <c r="G3962" s="33" t="n">
        <f aca="false">IF(B3962=1,"",IF(B3962=2,C3961,SES_Alpha*C3961+(1-SES_Alpha)*G3961))</f>
        <v>165.5037401</v>
      </c>
      <c r="H3962" s="33" t="n">
        <f aca="false">IF(D3962="","",D3962-C3962)</f>
        <v>-6</v>
      </c>
      <c r="I3962" s="33" t="n">
        <f aca="false">IF(E3962="","",E3962-C3962)</f>
        <v>-2.75</v>
      </c>
      <c r="J3962" s="33" t="n">
        <f aca="false">IF(F3962="","",F3962-C3962)</f>
        <v>-6.25</v>
      </c>
      <c r="K3962" s="33" t="n">
        <f aca="false">IF(G3962="","",G3962-C3962)</f>
        <v>-2.49625990000001</v>
      </c>
      <c r="L3962" s="33" t="n">
        <f aca="false">IF(H3962="","",ABS(H3962))</f>
        <v>6</v>
      </c>
      <c r="M3962" s="33" t="n">
        <f aca="false">IF(I3962="","",ABS(I3962))</f>
        <v>2.75</v>
      </c>
      <c r="N3962" s="33" t="n">
        <f aca="false">IF(J3962="","",ABS(J3962))</f>
        <v>6.25</v>
      </c>
      <c r="O3962" s="33" t="n">
        <f aca="false">IF(K3962="","",ABS(K3962))</f>
        <v>2.49625990000001</v>
      </c>
      <c r="P3962" s="34" t="str">
        <f aca="false">IF(B3962&gt;=Eval_Start_Week,"YES","")</f>
        <v/>
      </c>
      <c r="Q3962" s="34" t="str">
        <f aca="false">IF(AND(B3962&gt;=Cal_Start_Week,B3962&lt;=Cal_End_Week),"YES","")</f>
        <v/>
      </c>
    </row>
    <row r="3963" customFormat="false" ht="15" hidden="false" customHeight="false" outlineLevel="0" collapsed="false">
      <c r="A3963" s="31" t="str">
        <f aca="false">Demand_History!C3963</f>
        <v>CLN-002</v>
      </c>
      <c r="B3963" s="31" t="n">
        <f aca="false">Demand_History!A3963</f>
        <v>10</v>
      </c>
      <c r="C3963" s="32" t="n">
        <f aca="false">Demand_History!D3963</f>
        <v>135</v>
      </c>
      <c r="D3963" s="33" t="n">
        <f aca="false">IF(B3963&gt;=2,C3962,"")</f>
        <v>168</v>
      </c>
      <c r="E3963" s="33" t="n">
        <f aca="false">IF(B3963&gt;=5,AVERAGE(C3959:C3962),"")</f>
        <v>166</v>
      </c>
      <c r="F3963" s="33" t="n">
        <f aca="false">IF(B3963&gt;=9,AVERAGE(C3955:C3962),"")</f>
        <v>159.625</v>
      </c>
      <c r="G3963" s="33" t="n">
        <f aca="false">IF(B3963=1,"",IF(B3963=2,C3962,SES_Alpha*C3962+(1-SES_Alpha)*G3962))</f>
        <v>166.25261807</v>
      </c>
      <c r="H3963" s="33" t="n">
        <f aca="false">IF(D3963="","",D3963-C3963)</f>
        <v>33</v>
      </c>
      <c r="I3963" s="33" t="n">
        <f aca="false">IF(E3963="","",E3963-C3963)</f>
        <v>31</v>
      </c>
      <c r="J3963" s="33" t="n">
        <f aca="false">IF(F3963="","",F3963-C3963)</f>
        <v>24.625</v>
      </c>
      <c r="K3963" s="33" t="n">
        <f aca="false">IF(G3963="","",G3963-C3963)</f>
        <v>31.25261807</v>
      </c>
      <c r="L3963" s="33" t="n">
        <f aca="false">IF(H3963="","",ABS(H3963))</f>
        <v>33</v>
      </c>
      <c r="M3963" s="33" t="n">
        <f aca="false">IF(I3963="","",ABS(I3963))</f>
        <v>31</v>
      </c>
      <c r="N3963" s="33" t="n">
        <f aca="false">IF(J3963="","",ABS(J3963))</f>
        <v>24.625</v>
      </c>
      <c r="O3963" s="33" t="n">
        <f aca="false">IF(K3963="","",ABS(K3963))</f>
        <v>31.25261807</v>
      </c>
      <c r="P3963" s="34" t="str">
        <f aca="false">IF(B3963&gt;=Eval_Start_Week,"YES","")</f>
        <v/>
      </c>
      <c r="Q3963" s="34" t="str">
        <f aca="false">IF(AND(B3963&gt;=Cal_Start_Week,B3963&lt;=Cal_End_Week),"YES","")</f>
        <v/>
      </c>
    </row>
    <row r="3964" customFormat="false" ht="15" hidden="false" customHeight="false" outlineLevel="0" collapsed="false">
      <c r="A3964" s="31" t="str">
        <f aca="false">Demand_History!C3964</f>
        <v>CLN-002</v>
      </c>
      <c r="B3964" s="31" t="n">
        <f aca="false">Demand_History!A3964</f>
        <v>11</v>
      </c>
      <c r="C3964" s="32" t="n">
        <f aca="false">Demand_History!D3964</f>
        <v>138</v>
      </c>
      <c r="D3964" s="33" t="n">
        <f aca="false">IF(B3964&gt;=2,C3963,"")</f>
        <v>135</v>
      </c>
      <c r="E3964" s="33" t="n">
        <f aca="false">IF(B3964&gt;=5,AVERAGE(C3960:C3963),"")</f>
        <v>165.5</v>
      </c>
      <c r="F3964" s="33" t="n">
        <f aca="false">IF(B3964&gt;=9,AVERAGE(C3956:C3963),"")</f>
        <v>155.5</v>
      </c>
      <c r="G3964" s="33" t="n">
        <f aca="false">IF(B3964=1,"",IF(B3964=2,C3963,SES_Alpha*C3963+(1-SES_Alpha)*G3963))</f>
        <v>156.876832649</v>
      </c>
      <c r="H3964" s="33" t="n">
        <f aca="false">IF(D3964="","",D3964-C3964)</f>
        <v>-3</v>
      </c>
      <c r="I3964" s="33" t="n">
        <f aca="false">IF(E3964="","",E3964-C3964)</f>
        <v>27.5</v>
      </c>
      <c r="J3964" s="33" t="n">
        <f aca="false">IF(F3964="","",F3964-C3964)</f>
        <v>17.5</v>
      </c>
      <c r="K3964" s="33" t="n">
        <f aca="false">IF(G3964="","",G3964-C3964)</f>
        <v>18.876832649</v>
      </c>
      <c r="L3964" s="33" t="n">
        <f aca="false">IF(H3964="","",ABS(H3964))</f>
        <v>3</v>
      </c>
      <c r="M3964" s="33" t="n">
        <f aca="false">IF(I3964="","",ABS(I3964))</f>
        <v>27.5</v>
      </c>
      <c r="N3964" s="33" t="n">
        <f aca="false">IF(J3964="","",ABS(J3964))</f>
        <v>17.5</v>
      </c>
      <c r="O3964" s="33" t="n">
        <f aca="false">IF(K3964="","",ABS(K3964))</f>
        <v>18.876832649</v>
      </c>
      <c r="P3964" s="34" t="str">
        <f aca="false">IF(B3964&gt;=Eval_Start_Week,"YES","")</f>
        <v/>
      </c>
      <c r="Q3964" s="34" t="str">
        <f aca="false">IF(AND(B3964&gt;=Cal_Start_Week,B3964&lt;=Cal_End_Week),"YES","")</f>
        <v/>
      </c>
    </row>
    <row r="3965" customFormat="false" ht="15" hidden="false" customHeight="false" outlineLevel="0" collapsed="false">
      <c r="A3965" s="31" t="str">
        <f aca="false">Demand_History!C3965</f>
        <v>CLN-002</v>
      </c>
      <c r="B3965" s="31" t="n">
        <f aca="false">Demand_History!A3965</f>
        <v>12</v>
      </c>
      <c r="C3965" s="32" t="n">
        <f aca="false">Demand_History!D3965</f>
        <v>141</v>
      </c>
      <c r="D3965" s="33" t="n">
        <f aca="false">IF(B3965&gt;=2,C3964,"")</f>
        <v>138</v>
      </c>
      <c r="E3965" s="33" t="n">
        <f aca="false">IF(B3965&gt;=5,AVERAGE(C3961:C3964),"")</f>
        <v>150.75</v>
      </c>
      <c r="F3965" s="33" t="n">
        <f aca="false">IF(B3965&gt;=9,AVERAGE(C3957:C3964),"")</f>
        <v>155.875</v>
      </c>
      <c r="G3965" s="33" t="n">
        <f aca="false">IF(B3965=1,"",IF(B3965=2,C3964,SES_Alpha*C3964+(1-SES_Alpha)*G3964))</f>
        <v>151.2137828543</v>
      </c>
      <c r="H3965" s="33" t="n">
        <f aca="false">IF(D3965="","",D3965-C3965)</f>
        <v>-3</v>
      </c>
      <c r="I3965" s="33" t="n">
        <f aca="false">IF(E3965="","",E3965-C3965)</f>
        <v>9.75</v>
      </c>
      <c r="J3965" s="33" t="n">
        <f aca="false">IF(F3965="","",F3965-C3965)</f>
        <v>14.875</v>
      </c>
      <c r="K3965" s="33" t="n">
        <f aca="false">IF(G3965="","",G3965-C3965)</f>
        <v>10.2137828543</v>
      </c>
      <c r="L3965" s="33" t="n">
        <f aca="false">IF(H3965="","",ABS(H3965))</f>
        <v>3</v>
      </c>
      <c r="M3965" s="33" t="n">
        <f aca="false">IF(I3965="","",ABS(I3965))</f>
        <v>9.75</v>
      </c>
      <c r="N3965" s="33" t="n">
        <f aca="false">IF(J3965="","",ABS(J3965))</f>
        <v>14.875</v>
      </c>
      <c r="O3965" s="33" t="n">
        <f aca="false">IF(K3965="","",ABS(K3965))</f>
        <v>10.2137828543</v>
      </c>
      <c r="P3965" s="34" t="str">
        <f aca="false">IF(B3965&gt;=Eval_Start_Week,"YES","")</f>
        <v/>
      </c>
      <c r="Q3965" s="34" t="str">
        <f aca="false">IF(AND(B3965&gt;=Cal_Start_Week,B3965&lt;=Cal_End_Week),"YES","")</f>
        <v/>
      </c>
    </row>
    <row r="3966" customFormat="false" ht="15" hidden="false" customHeight="false" outlineLevel="0" collapsed="false">
      <c r="A3966" s="31" t="str">
        <f aca="false">Demand_History!C3966</f>
        <v>CLN-002</v>
      </c>
      <c r="B3966" s="31" t="n">
        <f aca="false">Demand_History!A3966</f>
        <v>13</v>
      </c>
      <c r="C3966" s="32" t="n">
        <f aca="false">Demand_History!D3966</f>
        <v>166</v>
      </c>
      <c r="D3966" s="33" t="n">
        <f aca="false">IF(B3966&gt;=2,C3965,"")</f>
        <v>141</v>
      </c>
      <c r="E3966" s="33" t="n">
        <f aca="false">IF(B3966&gt;=5,AVERAGE(C3962:C3965),"")</f>
        <v>145.5</v>
      </c>
      <c r="F3966" s="33" t="n">
        <f aca="false">IF(B3966&gt;=9,AVERAGE(C3958:C3965),"")</f>
        <v>155.375</v>
      </c>
      <c r="G3966" s="33" t="n">
        <f aca="false">IF(B3966=1,"",IF(B3966=2,C3965,SES_Alpha*C3965+(1-SES_Alpha)*G3965))</f>
        <v>148.14964799801</v>
      </c>
      <c r="H3966" s="33" t="n">
        <f aca="false">IF(D3966="","",D3966-C3966)</f>
        <v>-25</v>
      </c>
      <c r="I3966" s="33" t="n">
        <f aca="false">IF(E3966="","",E3966-C3966)</f>
        <v>-20.5</v>
      </c>
      <c r="J3966" s="33" t="n">
        <f aca="false">IF(F3966="","",F3966-C3966)</f>
        <v>-10.625</v>
      </c>
      <c r="K3966" s="33" t="n">
        <f aca="false">IF(G3966="","",G3966-C3966)</f>
        <v>-17.85035200199</v>
      </c>
      <c r="L3966" s="33" t="n">
        <f aca="false">IF(H3966="","",ABS(H3966))</f>
        <v>25</v>
      </c>
      <c r="M3966" s="33" t="n">
        <f aca="false">IF(I3966="","",ABS(I3966))</f>
        <v>20.5</v>
      </c>
      <c r="N3966" s="33" t="n">
        <f aca="false">IF(J3966="","",ABS(J3966))</f>
        <v>10.625</v>
      </c>
      <c r="O3966" s="33" t="n">
        <f aca="false">IF(K3966="","",ABS(K3966))</f>
        <v>17.85035200199</v>
      </c>
      <c r="P3966" s="34" t="str">
        <f aca="false">IF(B3966&gt;=Eval_Start_Week,"YES","")</f>
        <v/>
      </c>
      <c r="Q3966" s="34" t="str">
        <f aca="false">IF(AND(B3966&gt;=Cal_Start_Week,B3966&lt;=Cal_End_Week),"YES","")</f>
        <v/>
      </c>
    </row>
    <row r="3967" customFormat="false" ht="15" hidden="false" customHeight="false" outlineLevel="0" collapsed="false">
      <c r="A3967" s="31" t="str">
        <f aca="false">Demand_History!C3967</f>
        <v>CLN-002</v>
      </c>
      <c r="B3967" s="31" t="n">
        <f aca="false">Demand_History!A3967</f>
        <v>14</v>
      </c>
      <c r="C3967" s="32" t="n">
        <f aca="false">Demand_History!D3967</f>
        <v>153</v>
      </c>
      <c r="D3967" s="33" t="n">
        <f aca="false">IF(B3967&gt;=2,C3966,"")</f>
        <v>166</v>
      </c>
      <c r="E3967" s="33" t="n">
        <f aca="false">IF(B3967&gt;=5,AVERAGE(C3963:C3966),"")</f>
        <v>145</v>
      </c>
      <c r="F3967" s="33" t="n">
        <f aca="false">IF(B3967&gt;=9,AVERAGE(C3959:C3966),"")</f>
        <v>155.5</v>
      </c>
      <c r="G3967" s="33" t="n">
        <f aca="false">IF(B3967=1,"",IF(B3967=2,C3966,SES_Alpha*C3966+(1-SES_Alpha)*G3966))</f>
        <v>153.504753598607</v>
      </c>
      <c r="H3967" s="33" t="n">
        <f aca="false">IF(D3967="","",D3967-C3967)</f>
        <v>13</v>
      </c>
      <c r="I3967" s="33" t="n">
        <f aca="false">IF(E3967="","",E3967-C3967)</f>
        <v>-8</v>
      </c>
      <c r="J3967" s="33" t="n">
        <f aca="false">IF(F3967="","",F3967-C3967)</f>
        <v>2.5</v>
      </c>
      <c r="K3967" s="33" t="n">
        <f aca="false">IF(G3967="","",G3967-C3967)</f>
        <v>0.504753598606982</v>
      </c>
      <c r="L3967" s="33" t="n">
        <f aca="false">IF(H3967="","",ABS(H3967))</f>
        <v>13</v>
      </c>
      <c r="M3967" s="33" t="n">
        <f aca="false">IF(I3967="","",ABS(I3967))</f>
        <v>8</v>
      </c>
      <c r="N3967" s="33" t="n">
        <f aca="false">IF(J3967="","",ABS(J3967))</f>
        <v>2.5</v>
      </c>
      <c r="O3967" s="33" t="n">
        <f aca="false">IF(K3967="","",ABS(K3967))</f>
        <v>0.504753598606982</v>
      </c>
      <c r="P3967" s="34" t="str">
        <f aca="false">IF(B3967&gt;=Eval_Start_Week,"YES","")</f>
        <v/>
      </c>
      <c r="Q3967" s="34" t="str">
        <f aca="false">IF(AND(B3967&gt;=Cal_Start_Week,B3967&lt;=Cal_End_Week),"YES","")</f>
        <v/>
      </c>
    </row>
    <row r="3968" customFormat="false" ht="15" hidden="false" customHeight="false" outlineLevel="0" collapsed="false">
      <c r="A3968" s="31" t="str">
        <f aca="false">Demand_History!C3968</f>
        <v>CLN-002</v>
      </c>
      <c r="B3968" s="31" t="n">
        <f aca="false">Demand_History!A3968</f>
        <v>15</v>
      </c>
      <c r="C3968" s="32" t="n">
        <f aca="false">Demand_History!D3968</f>
        <v>152</v>
      </c>
      <c r="D3968" s="33" t="n">
        <f aca="false">IF(B3968&gt;=2,C3967,"")</f>
        <v>153</v>
      </c>
      <c r="E3968" s="33" t="n">
        <f aca="false">IF(B3968&gt;=5,AVERAGE(C3964:C3967),"")</f>
        <v>149.5</v>
      </c>
      <c r="F3968" s="33" t="n">
        <f aca="false">IF(B3968&gt;=9,AVERAGE(C3960:C3967),"")</f>
        <v>157.5</v>
      </c>
      <c r="G3968" s="33" t="n">
        <f aca="false">IF(B3968=1,"",IF(B3968=2,C3967,SES_Alpha*C3967+(1-SES_Alpha)*G3967))</f>
        <v>153.353327519025</v>
      </c>
      <c r="H3968" s="33" t="n">
        <f aca="false">IF(D3968="","",D3968-C3968)</f>
        <v>1</v>
      </c>
      <c r="I3968" s="33" t="n">
        <f aca="false">IF(E3968="","",E3968-C3968)</f>
        <v>-2.5</v>
      </c>
      <c r="J3968" s="33" t="n">
        <f aca="false">IF(F3968="","",F3968-C3968)</f>
        <v>5.5</v>
      </c>
      <c r="K3968" s="33" t="n">
        <f aca="false">IF(G3968="","",G3968-C3968)</f>
        <v>1.35332751902487</v>
      </c>
      <c r="L3968" s="33" t="n">
        <f aca="false">IF(H3968="","",ABS(H3968))</f>
        <v>1</v>
      </c>
      <c r="M3968" s="33" t="n">
        <f aca="false">IF(I3968="","",ABS(I3968))</f>
        <v>2.5</v>
      </c>
      <c r="N3968" s="33" t="n">
        <f aca="false">IF(J3968="","",ABS(J3968))</f>
        <v>5.5</v>
      </c>
      <c r="O3968" s="33" t="n">
        <f aca="false">IF(K3968="","",ABS(K3968))</f>
        <v>1.35332751902487</v>
      </c>
      <c r="P3968" s="34" t="str">
        <f aca="false">IF(B3968&gt;=Eval_Start_Week,"YES","")</f>
        <v/>
      </c>
      <c r="Q3968" s="34" t="str">
        <f aca="false">IF(AND(B3968&gt;=Cal_Start_Week,B3968&lt;=Cal_End_Week),"YES","")</f>
        <v/>
      </c>
    </row>
    <row r="3969" customFormat="false" ht="15" hidden="false" customHeight="false" outlineLevel="0" collapsed="false">
      <c r="A3969" s="31" t="str">
        <f aca="false">Demand_History!C3969</f>
        <v>CLN-002</v>
      </c>
      <c r="B3969" s="31" t="n">
        <f aca="false">Demand_History!A3969</f>
        <v>16</v>
      </c>
      <c r="C3969" s="32" t="n">
        <f aca="false">Demand_History!D3969</f>
        <v>167</v>
      </c>
      <c r="D3969" s="33" t="n">
        <f aca="false">IF(B3969&gt;=2,C3968,"")</f>
        <v>152</v>
      </c>
      <c r="E3969" s="33" t="n">
        <f aca="false">IF(B3969&gt;=5,AVERAGE(C3965:C3968),"")</f>
        <v>153</v>
      </c>
      <c r="F3969" s="33" t="n">
        <f aca="false">IF(B3969&gt;=9,AVERAGE(C3961:C3968),"")</f>
        <v>151.875</v>
      </c>
      <c r="G3969" s="33" t="n">
        <f aca="false">IF(B3969=1,"",IF(B3969=2,C3968,SES_Alpha*C3968+(1-SES_Alpha)*G3968))</f>
        <v>152.947329263317</v>
      </c>
      <c r="H3969" s="33" t="n">
        <f aca="false">IF(D3969="","",D3969-C3969)</f>
        <v>-15</v>
      </c>
      <c r="I3969" s="33" t="n">
        <f aca="false">IF(E3969="","",E3969-C3969)</f>
        <v>-14</v>
      </c>
      <c r="J3969" s="33" t="n">
        <f aca="false">IF(F3969="","",F3969-C3969)</f>
        <v>-15.125</v>
      </c>
      <c r="K3969" s="33" t="n">
        <f aca="false">IF(G3969="","",G3969-C3969)</f>
        <v>-14.0526707366826</v>
      </c>
      <c r="L3969" s="33" t="n">
        <f aca="false">IF(H3969="","",ABS(H3969))</f>
        <v>15</v>
      </c>
      <c r="M3969" s="33" t="n">
        <f aca="false">IF(I3969="","",ABS(I3969))</f>
        <v>14</v>
      </c>
      <c r="N3969" s="33" t="n">
        <f aca="false">IF(J3969="","",ABS(J3969))</f>
        <v>15.125</v>
      </c>
      <c r="O3969" s="33" t="n">
        <f aca="false">IF(K3969="","",ABS(K3969))</f>
        <v>14.0526707366826</v>
      </c>
      <c r="P3969" s="34" t="str">
        <f aca="false">IF(B3969&gt;=Eval_Start_Week,"YES","")</f>
        <v/>
      </c>
      <c r="Q3969" s="34" t="str">
        <f aca="false">IF(AND(B3969&gt;=Cal_Start_Week,B3969&lt;=Cal_End_Week),"YES","")</f>
        <v/>
      </c>
    </row>
    <row r="3970" customFormat="false" ht="15" hidden="false" customHeight="false" outlineLevel="0" collapsed="false">
      <c r="A3970" s="31" t="str">
        <f aca="false">Demand_History!C3970</f>
        <v>CLN-002</v>
      </c>
      <c r="B3970" s="31" t="n">
        <f aca="false">Demand_History!A3970</f>
        <v>17</v>
      </c>
      <c r="C3970" s="32" t="n">
        <f aca="false">Demand_History!D3970</f>
        <v>164</v>
      </c>
      <c r="D3970" s="33" t="n">
        <f aca="false">IF(B3970&gt;=2,C3969,"")</f>
        <v>167</v>
      </c>
      <c r="E3970" s="33" t="n">
        <f aca="false">IF(B3970&gt;=5,AVERAGE(C3966:C3969),"")</f>
        <v>159.5</v>
      </c>
      <c r="F3970" s="33" t="n">
        <f aca="false">IF(B3970&gt;=9,AVERAGE(C3962:C3969),"")</f>
        <v>152.5</v>
      </c>
      <c r="G3970" s="33" t="n">
        <f aca="false">IF(B3970=1,"",IF(B3970=2,C3969,SES_Alpha*C3969+(1-SES_Alpha)*G3969))</f>
        <v>157.163130484322</v>
      </c>
      <c r="H3970" s="33" t="n">
        <f aca="false">IF(D3970="","",D3970-C3970)</f>
        <v>3</v>
      </c>
      <c r="I3970" s="33" t="n">
        <f aca="false">IF(E3970="","",E3970-C3970)</f>
        <v>-4.5</v>
      </c>
      <c r="J3970" s="33" t="n">
        <f aca="false">IF(F3970="","",F3970-C3970)</f>
        <v>-11.5</v>
      </c>
      <c r="K3970" s="33" t="n">
        <f aca="false">IF(G3970="","",G3970-C3970)</f>
        <v>-6.83686951567782</v>
      </c>
      <c r="L3970" s="33" t="n">
        <f aca="false">IF(H3970="","",ABS(H3970))</f>
        <v>3</v>
      </c>
      <c r="M3970" s="33" t="n">
        <f aca="false">IF(I3970="","",ABS(I3970))</f>
        <v>4.5</v>
      </c>
      <c r="N3970" s="33" t="n">
        <f aca="false">IF(J3970="","",ABS(J3970))</f>
        <v>11.5</v>
      </c>
      <c r="O3970" s="33" t="n">
        <f aca="false">IF(K3970="","",ABS(K3970))</f>
        <v>6.83686951567782</v>
      </c>
      <c r="P3970" s="34" t="str">
        <f aca="false">IF(B3970&gt;=Eval_Start_Week,"YES","")</f>
        <v/>
      </c>
      <c r="Q3970" s="34" t="str">
        <f aca="false">IF(AND(B3970&gt;=Cal_Start_Week,B3970&lt;=Cal_End_Week),"YES","")</f>
        <v/>
      </c>
    </row>
    <row r="3971" customFormat="false" ht="15" hidden="false" customHeight="false" outlineLevel="0" collapsed="false">
      <c r="A3971" s="31" t="str">
        <f aca="false">Demand_History!C3971</f>
        <v>CLN-002</v>
      </c>
      <c r="B3971" s="31" t="n">
        <f aca="false">Demand_History!A3971</f>
        <v>18</v>
      </c>
      <c r="C3971" s="32" t="n">
        <f aca="false">Demand_History!D3971</f>
        <v>194</v>
      </c>
      <c r="D3971" s="33" t="n">
        <f aca="false">IF(B3971&gt;=2,C3970,"")</f>
        <v>164</v>
      </c>
      <c r="E3971" s="33" t="n">
        <f aca="false">IF(B3971&gt;=5,AVERAGE(C3967:C3970),"")</f>
        <v>159</v>
      </c>
      <c r="F3971" s="33" t="n">
        <f aca="false">IF(B3971&gt;=9,AVERAGE(C3963:C3970),"")</f>
        <v>152</v>
      </c>
      <c r="G3971" s="33" t="n">
        <f aca="false">IF(B3971=1,"",IF(B3971=2,C3970,SES_Alpha*C3970+(1-SES_Alpha)*G3970))</f>
        <v>159.214191339026</v>
      </c>
      <c r="H3971" s="33" t="n">
        <f aca="false">IF(D3971="","",D3971-C3971)</f>
        <v>-30</v>
      </c>
      <c r="I3971" s="33" t="n">
        <f aca="false">IF(E3971="","",E3971-C3971)</f>
        <v>-35</v>
      </c>
      <c r="J3971" s="33" t="n">
        <f aca="false">IF(F3971="","",F3971-C3971)</f>
        <v>-42</v>
      </c>
      <c r="K3971" s="33" t="n">
        <f aca="false">IF(G3971="","",G3971-C3971)</f>
        <v>-34.7858086609745</v>
      </c>
      <c r="L3971" s="33" t="n">
        <f aca="false">IF(H3971="","",ABS(H3971))</f>
        <v>30</v>
      </c>
      <c r="M3971" s="33" t="n">
        <f aca="false">IF(I3971="","",ABS(I3971))</f>
        <v>35</v>
      </c>
      <c r="N3971" s="33" t="n">
        <f aca="false">IF(J3971="","",ABS(J3971))</f>
        <v>42</v>
      </c>
      <c r="O3971" s="33" t="n">
        <f aca="false">IF(K3971="","",ABS(K3971))</f>
        <v>34.7858086609745</v>
      </c>
      <c r="P3971" s="34" t="str">
        <f aca="false">IF(B3971&gt;=Eval_Start_Week,"YES","")</f>
        <v/>
      </c>
      <c r="Q3971" s="34" t="str">
        <f aca="false">IF(AND(B3971&gt;=Cal_Start_Week,B3971&lt;=Cal_End_Week),"YES","")</f>
        <v/>
      </c>
    </row>
    <row r="3972" customFormat="false" ht="15" hidden="false" customHeight="false" outlineLevel="0" collapsed="false">
      <c r="A3972" s="31" t="str">
        <f aca="false">Demand_History!C3972</f>
        <v>CLN-002</v>
      </c>
      <c r="B3972" s="31" t="n">
        <f aca="false">Demand_History!A3972</f>
        <v>19</v>
      </c>
      <c r="C3972" s="32" t="n">
        <f aca="false">Demand_History!D3972</f>
        <v>155</v>
      </c>
      <c r="D3972" s="33" t="n">
        <f aca="false">IF(B3972&gt;=2,C3971,"")</f>
        <v>194</v>
      </c>
      <c r="E3972" s="33" t="n">
        <f aca="false">IF(B3972&gt;=5,AVERAGE(C3968:C3971),"")</f>
        <v>169.25</v>
      </c>
      <c r="F3972" s="33" t="n">
        <f aca="false">IF(B3972&gt;=9,AVERAGE(C3964:C3971),"")</f>
        <v>159.375</v>
      </c>
      <c r="G3972" s="33" t="n">
        <f aca="false">IF(B3972=1,"",IF(B3972=2,C3971,SES_Alpha*C3971+(1-SES_Alpha)*G3971))</f>
        <v>169.649933937318</v>
      </c>
      <c r="H3972" s="33" t="n">
        <f aca="false">IF(D3972="","",D3972-C3972)</f>
        <v>39</v>
      </c>
      <c r="I3972" s="33" t="n">
        <f aca="false">IF(E3972="","",E3972-C3972)</f>
        <v>14.25</v>
      </c>
      <c r="J3972" s="33" t="n">
        <f aca="false">IF(F3972="","",F3972-C3972)</f>
        <v>4.375</v>
      </c>
      <c r="K3972" s="33" t="n">
        <f aca="false">IF(G3972="","",G3972-C3972)</f>
        <v>14.6499339373179</v>
      </c>
      <c r="L3972" s="33" t="n">
        <f aca="false">IF(H3972="","",ABS(H3972))</f>
        <v>39</v>
      </c>
      <c r="M3972" s="33" t="n">
        <f aca="false">IF(I3972="","",ABS(I3972))</f>
        <v>14.25</v>
      </c>
      <c r="N3972" s="33" t="n">
        <f aca="false">IF(J3972="","",ABS(J3972))</f>
        <v>4.375</v>
      </c>
      <c r="O3972" s="33" t="n">
        <f aca="false">IF(K3972="","",ABS(K3972))</f>
        <v>14.6499339373179</v>
      </c>
      <c r="P3972" s="34" t="str">
        <f aca="false">IF(B3972&gt;=Eval_Start_Week,"YES","")</f>
        <v/>
      </c>
      <c r="Q3972" s="34" t="str">
        <f aca="false">IF(AND(B3972&gt;=Cal_Start_Week,B3972&lt;=Cal_End_Week),"YES","")</f>
        <v/>
      </c>
    </row>
    <row r="3973" customFormat="false" ht="15" hidden="false" customHeight="false" outlineLevel="0" collapsed="false">
      <c r="A3973" s="31" t="str">
        <f aca="false">Demand_History!C3973</f>
        <v>CLN-002</v>
      </c>
      <c r="B3973" s="31" t="n">
        <f aca="false">Demand_History!A3973</f>
        <v>20</v>
      </c>
      <c r="C3973" s="32" t="n">
        <f aca="false">Demand_History!D3973</f>
        <v>135</v>
      </c>
      <c r="D3973" s="33" t="n">
        <f aca="false">IF(B3973&gt;=2,C3972,"")</f>
        <v>155</v>
      </c>
      <c r="E3973" s="33" t="n">
        <f aca="false">IF(B3973&gt;=5,AVERAGE(C3969:C3972),"")</f>
        <v>170</v>
      </c>
      <c r="F3973" s="33" t="n">
        <f aca="false">IF(B3973&gt;=9,AVERAGE(C3965:C3972),"")</f>
        <v>161.5</v>
      </c>
      <c r="G3973" s="33" t="n">
        <f aca="false">IF(B3973=1,"",IF(B3973=2,C3972,SES_Alpha*C3972+(1-SES_Alpha)*G3972))</f>
        <v>165.254953756123</v>
      </c>
      <c r="H3973" s="33" t="n">
        <f aca="false">IF(D3973="","",D3973-C3973)</f>
        <v>20</v>
      </c>
      <c r="I3973" s="33" t="n">
        <f aca="false">IF(E3973="","",E3973-C3973)</f>
        <v>35</v>
      </c>
      <c r="J3973" s="33" t="n">
        <f aca="false">IF(F3973="","",F3973-C3973)</f>
        <v>26.5</v>
      </c>
      <c r="K3973" s="33" t="n">
        <f aca="false">IF(G3973="","",G3973-C3973)</f>
        <v>30.2549537561225</v>
      </c>
      <c r="L3973" s="33" t="n">
        <f aca="false">IF(H3973="","",ABS(H3973))</f>
        <v>20</v>
      </c>
      <c r="M3973" s="33" t="n">
        <f aca="false">IF(I3973="","",ABS(I3973))</f>
        <v>35</v>
      </c>
      <c r="N3973" s="33" t="n">
        <f aca="false">IF(J3973="","",ABS(J3973))</f>
        <v>26.5</v>
      </c>
      <c r="O3973" s="33" t="n">
        <f aca="false">IF(K3973="","",ABS(K3973))</f>
        <v>30.2549537561225</v>
      </c>
      <c r="P3973" s="34" t="str">
        <f aca="false">IF(B3973&gt;=Eval_Start_Week,"YES","")</f>
        <v/>
      </c>
      <c r="Q3973" s="34" t="str">
        <f aca="false">IF(AND(B3973&gt;=Cal_Start_Week,B3973&lt;=Cal_End_Week),"YES","")</f>
        <v/>
      </c>
    </row>
    <row r="3974" customFormat="false" ht="15" hidden="false" customHeight="false" outlineLevel="0" collapsed="false">
      <c r="A3974" s="31" t="str">
        <f aca="false">Demand_History!C3974</f>
        <v>CLN-002</v>
      </c>
      <c r="B3974" s="31" t="n">
        <f aca="false">Demand_History!A3974</f>
        <v>21</v>
      </c>
      <c r="C3974" s="32" t="n">
        <f aca="false">Demand_History!D3974</f>
        <v>159</v>
      </c>
      <c r="D3974" s="33" t="n">
        <f aca="false">IF(B3974&gt;=2,C3973,"")</f>
        <v>135</v>
      </c>
      <c r="E3974" s="33" t="n">
        <f aca="false">IF(B3974&gt;=5,AVERAGE(C3970:C3973),"")</f>
        <v>162</v>
      </c>
      <c r="F3974" s="33" t="n">
        <f aca="false">IF(B3974&gt;=9,AVERAGE(C3966:C3973),"")</f>
        <v>160.75</v>
      </c>
      <c r="G3974" s="33" t="n">
        <f aca="false">IF(B3974=1,"",IF(B3974=2,C3973,SES_Alpha*C3973+(1-SES_Alpha)*G3973))</f>
        <v>156.178467629286</v>
      </c>
      <c r="H3974" s="33" t="n">
        <f aca="false">IF(D3974="","",D3974-C3974)</f>
        <v>-24</v>
      </c>
      <c r="I3974" s="33" t="n">
        <f aca="false">IF(E3974="","",E3974-C3974)</f>
        <v>3</v>
      </c>
      <c r="J3974" s="33" t="n">
        <f aca="false">IF(F3974="","",F3974-C3974)</f>
        <v>1.75</v>
      </c>
      <c r="K3974" s="33" t="n">
        <f aca="false">IF(G3974="","",G3974-C3974)</f>
        <v>-2.82153237071427</v>
      </c>
      <c r="L3974" s="33" t="n">
        <f aca="false">IF(H3974="","",ABS(H3974))</f>
        <v>24</v>
      </c>
      <c r="M3974" s="33" t="n">
        <f aca="false">IF(I3974="","",ABS(I3974))</f>
        <v>3</v>
      </c>
      <c r="N3974" s="33" t="n">
        <f aca="false">IF(J3974="","",ABS(J3974))</f>
        <v>1.75</v>
      </c>
      <c r="O3974" s="33" t="n">
        <f aca="false">IF(K3974="","",ABS(K3974))</f>
        <v>2.82153237071427</v>
      </c>
      <c r="P3974" s="34" t="str">
        <f aca="false">IF(B3974&gt;=Eval_Start_Week,"YES","")</f>
        <v/>
      </c>
      <c r="Q3974" s="34" t="str">
        <f aca="false">IF(AND(B3974&gt;=Cal_Start_Week,B3974&lt;=Cal_End_Week),"YES","")</f>
        <v/>
      </c>
    </row>
    <row r="3975" customFormat="false" ht="15" hidden="false" customHeight="false" outlineLevel="0" collapsed="false">
      <c r="A3975" s="31" t="str">
        <f aca="false">Demand_History!C3975</f>
        <v>CLN-002</v>
      </c>
      <c r="B3975" s="31" t="n">
        <f aca="false">Demand_History!A3975</f>
        <v>22</v>
      </c>
      <c r="C3975" s="32" t="n">
        <f aca="false">Demand_History!D3975</f>
        <v>194</v>
      </c>
      <c r="D3975" s="33" t="n">
        <f aca="false">IF(B3975&gt;=2,C3974,"")</f>
        <v>159</v>
      </c>
      <c r="E3975" s="33" t="n">
        <f aca="false">IF(B3975&gt;=5,AVERAGE(C3971:C3974),"")</f>
        <v>160.75</v>
      </c>
      <c r="F3975" s="33" t="n">
        <f aca="false">IF(B3975&gt;=9,AVERAGE(C3967:C3974),"")</f>
        <v>159.875</v>
      </c>
      <c r="G3975" s="33" t="n">
        <f aca="false">IF(B3975=1,"",IF(B3975=2,C3974,SES_Alpha*C3974+(1-SES_Alpha)*G3974))</f>
        <v>157.0249273405</v>
      </c>
      <c r="H3975" s="33" t="n">
        <f aca="false">IF(D3975="","",D3975-C3975)</f>
        <v>-35</v>
      </c>
      <c r="I3975" s="33" t="n">
        <f aca="false">IF(E3975="","",E3975-C3975)</f>
        <v>-33.25</v>
      </c>
      <c r="J3975" s="33" t="n">
        <f aca="false">IF(F3975="","",F3975-C3975)</f>
        <v>-34.125</v>
      </c>
      <c r="K3975" s="33" t="n">
        <f aca="false">IF(G3975="","",G3975-C3975)</f>
        <v>-36.9750726595</v>
      </c>
      <c r="L3975" s="33" t="n">
        <f aca="false">IF(H3975="","",ABS(H3975))</f>
        <v>35</v>
      </c>
      <c r="M3975" s="33" t="n">
        <f aca="false">IF(I3975="","",ABS(I3975))</f>
        <v>33.25</v>
      </c>
      <c r="N3975" s="33" t="n">
        <f aca="false">IF(J3975="","",ABS(J3975))</f>
        <v>34.125</v>
      </c>
      <c r="O3975" s="33" t="n">
        <f aca="false">IF(K3975="","",ABS(K3975))</f>
        <v>36.9750726595</v>
      </c>
      <c r="P3975" s="34" t="str">
        <f aca="false">IF(B3975&gt;=Eval_Start_Week,"YES","")</f>
        <v/>
      </c>
      <c r="Q3975" s="34" t="str">
        <f aca="false">IF(AND(B3975&gt;=Cal_Start_Week,B3975&lt;=Cal_End_Week),"YES","")</f>
        <v/>
      </c>
    </row>
    <row r="3976" customFormat="false" ht="15" hidden="false" customHeight="false" outlineLevel="0" collapsed="false">
      <c r="A3976" s="31" t="str">
        <f aca="false">Demand_History!C3976</f>
        <v>CLN-002</v>
      </c>
      <c r="B3976" s="31" t="n">
        <f aca="false">Demand_History!A3976</f>
        <v>23</v>
      </c>
      <c r="C3976" s="32" t="n">
        <f aca="false">Demand_History!D3976</f>
        <v>146</v>
      </c>
      <c r="D3976" s="33" t="n">
        <f aca="false">IF(B3976&gt;=2,C3975,"")</f>
        <v>194</v>
      </c>
      <c r="E3976" s="33" t="n">
        <f aca="false">IF(B3976&gt;=5,AVERAGE(C3972:C3975),"")</f>
        <v>160.75</v>
      </c>
      <c r="F3976" s="33" t="n">
        <f aca="false">IF(B3976&gt;=9,AVERAGE(C3968:C3975),"")</f>
        <v>165</v>
      </c>
      <c r="G3976" s="33" t="n">
        <f aca="false">IF(B3976=1,"",IF(B3976=2,C3975,SES_Alpha*C3975+(1-SES_Alpha)*G3975))</f>
        <v>168.11744913835</v>
      </c>
      <c r="H3976" s="33" t="n">
        <f aca="false">IF(D3976="","",D3976-C3976)</f>
        <v>48</v>
      </c>
      <c r="I3976" s="33" t="n">
        <f aca="false">IF(E3976="","",E3976-C3976)</f>
        <v>14.75</v>
      </c>
      <c r="J3976" s="33" t="n">
        <f aca="false">IF(F3976="","",F3976-C3976)</f>
        <v>19</v>
      </c>
      <c r="K3976" s="33" t="n">
        <f aca="false">IF(G3976="","",G3976-C3976)</f>
        <v>22.11744913835</v>
      </c>
      <c r="L3976" s="33" t="n">
        <f aca="false">IF(H3976="","",ABS(H3976))</f>
        <v>48</v>
      </c>
      <c r="M3976" s="33" t="n">
        <f aca="false">IF(I3976="","",ABS(I3976))</f>
        <v>14.75</v>
      </c>
      <c r="N3976" s="33" t="n">
        <f aca="false">IF(J3976="","",ABS(J3976))</f>
        <v>19</v>
      </c>
      <c r="O3976" s="33" t="n">
        <f aca="false">IF(K3976="","",ABS(K3976))</f>
        <v>22.11744913835</v>
      </c>
      <c r="P3976" s="34" t="str">
        <f aca="false">IF(B3976&gt;=Eval_Start_Week,"YES","")</f>
        <v/>
      </c>
      <c r="Q3976" s="34" t="str">
        <f aca="false">IF(AND(B3976&gt;=Cal_Start_Week,B3976&lt;=Cal_End_Week),"YES","")</f>
        <v/>
      </c>
    </row>
    <row r="3977" customFormat="false" ht="15" hidden="false" customHeight="false" outlineLevel="0" collapsed="false">
      <c r="A3977" s="31" t="str">
        <f aca="false">Demand_History!C3977</f>
        <v>CLN-002</v>
      </c>
      <c r="B3977" s="31" t="n">
        <f aca="false">Demand_History!A3977</f>
        <v>24</v>
      </c>
      <c r="C3977" s="32" t="n">
        <f aca="false">Demand_History!D3977</f>
        <v>160</v>
      </c>
      <c r="D3977" s="33" t="n">
        <f aca="false">IF(B3977&gt;=2,C3976,"")</f>
        <v>146</v>
      </c>
      <c r="E3977" s="33" t="n">
        <f aca="false">IF(B3977&gt;=5,AVERAGE(C3973:C3976),"")</f>
        <v>158.5</v>
      </c>
      <c r="F3977" s="33" t="n">
        <f aca="false">IF(B3977&gt;=9,AVERAGE(C3969:C3976),"")</f>
        <v>164.25</v>
      </c>
      <c r="G3977" s="33" t="n">
        <f aca="false">IF(B3977=1,"",IF(B3977=2,C3976,SES_Alpha*C3976+(1-SES_Alpha)*G3976))</f>
        <v>161.482214396845</v>
      </c>
      <c r="H3977" s="33" t="n">
        <f aca="false">IF(D3977="","",D3977-C3977)</f>
        <v>-14</v>
      </c>
      <c r="I3977" s="33" t="n">
        <f aca="false">IF(E3977="","",E3977-C3977)</f>
        <v>-1.5</v>
      </c>
      <c r="J3977" s="33" t="n">
        <f aca="false">IF(F3977="","",F3977-C3977)</f>
        <v>4.25</v>
      </c>
      <c r="K3977" s="33" t="n">
        <f aca="false">IF(G3977="","",G3977-C3977)</f>
        <v>1.482214396845</v>
      </c>
      <c r="L3977" s="33" t="n">
        <f aca="false">IF(H3977="","",ABS(H3977))</f>
        <v>14</v>
      </c>
      <c r="M3977" s="33" t="n">
        <f aca="false">IF(I3977="","",ABS(I3977))</f>
        <v>1.5</v>
      </c>
      <c r="N3977" s="33" t="n">
        <f aca="false">IF(J3977="","",ABS(J3977))</f>
        <v>4.25</v>
      </c>
      <c r="O3977" s="33" t="n">
        <f aca="false">IF(K3977="","",ABS(K3977))</f>
        <v>1.482214396845</v>
      </c>
      <c r="P3977" s="34" t="str">
        <f aca="false">IF(B3977&gt;=Eval_Start_Week,"YES","")</f>
        <v/>
      </c>
      <c r="Q3977" s="34" t="str">
        <f aca="false">IF(AND(B3977&gt;=Cal_Start_Week,B3977&lt;=Cal_End_Week),"YES","")</f>
        <v/>
      </c>
    </row>
    <row r="3978" customFormat="false" ht="15" hidden="false" customHeight="false" outlineLevel="0" collapsed="false">
      <c r="A3978" s="31" t="str">
        <f aca="false">Demand_History!C3978</f>
        <v>CLN-002</v>
      </c>
      <c r="B3978" s="31" t="n">
        <f aca="false">Demand_History!A3978</f>
        <v>25</v>
      </c>
      <c r="C3978" s="32" t="n">
        <f aca="false">Demand_History!D3978</f>
        <v>151</v>
      </c>
      <c r="D3978" s="33" t="n">
        <f aca="false">IF(B3978&gt;=2,C3977,"")</f>
        <v>160</v>
      </c>
      <c r="E3978" s="33" t="n">
        <f aca="false">IF(B3978&gt;=5,AVERAGE(C3974:C3977),"")</f>
        <v>164.75</v>
      </c>
      <c r="F3978" s="33" t="n">
        <f aca="false">IF(B3978&gt;=9,AVERAGE(C3970:C3977),"")</f>
        <v>163.375</v>
      </c>
      <c r="G3978" s="33" t="n">
        <f aca="false">IF(B3978=1,"",IF(B3978=2,C3977,SES_Alpha*C3977+(1-SES_Alpha)*G3977))</f>
        <v>161.037550077791</v>
      </c>
      <c r="H3978" s="33" t="n">
        <f aca="false">IF(D3978="","",D3978-C3978)</f>
        <v>9</v>
      </c>
      <c r="I3978" s="33" t="n">
        <f aca="false">IF(E3978="","",E3978-C3978)</f>
        <v>13.75</v>
      </c>
      <c r="J3978" s="33" t="n">
        <f aca="false">IF(F3978="","",F3978-C3978)</f>
        <v>12.375</v>
      </c>
      <c r="K3978" s="33" t="n">
        <f aca="false">IF(G3978="","",G3978-C3978)</f>
        <v>10.0375500777915</v>
      </c>
      <c r="L3978" s="33" t="n">
        <f aca="false">IF(H3978="","",ABS(H3978))</f>
        <v>9</v>
      </c>
      <c r="M3978" s="33" t="n">
        <f aca="false">IF(I3978="","",ABS(I3978))</f>
        <v>13.75</v>
      </c>
      <c r="N3978" s="33" t="n">
        <f aca="false">IF(J3978="","",ABS(J3978))</f>
        <v>12.375</v>
      </c>
      <c r="O3978" s="33" t="n">
        <f aca="false">IF(K3978="","",ABS(K3978))</f>
        <v>10.0375500777915</v>
      </c>
      <c r="P3978" s="34" t="str">
        <f aca="false">IF(B3978&gt;=Eval_Start_Week,"YES","")</f>
        <v/>
      </c>
      <c r="Q3978" s="34" t="str">
        <f aca="false">IF(AND(B3978&gt;=Cal_Start_Week,B3978&lt;=Cal_End_Week),"YES","")</f>
        <v/>
      </c>
    </row>
    <row r="3979" customFormat="false" ht="15" hidden="false" customHeight="false" outlineLevel="0" collapsed="false">
      <c r="A3979" s="31" t="str">
        <f aca="false">Demand_History!C3979</f>
        <v>CLN-002</v>
      </c>
      <c r="B3979" s="31" t="n">
        <f aca="false">Demand_History!A3979</f>
        <v>26</v>
      </c>
      <c r="C3979" s="32" t="n">
        <f aca="false">Demand_History!D3979</f>
        <v>169</v>
      </c>
      <c r="D3979" s="33" t="n">
        <f aca="false">IF(B3979&gt;=2,C3978,"")</f>
        <v>151</v>
      </c>
      <c r="E3979" s="33" t="n">
        <f aca="false">IF(B3979&gt;=5,AVERAGE(C3975:C3978),"")</f>
        <v>162.75</v>
      </c>
      <c r="F3979" s="33" t="n">
        <f aca="false">IF(B3979&gt;=9,AVERAGE(C3971:C3978),"")</f>
        <v>161.75</v>
      </c>
      <c r="G3979" s="33" t="n">
        <f aca="false">IF(B3979=1,"",IF(B3979=2,C3978,SES_Alpha*C3978+(1-SES_Alpha)*G3978))</f>
        <v>158.026285054454</v>
      </c>
      <c r="H3979" s="33" t="n">
        <f aca="false">IF(D3979="","",D3979-C3979)</f>
        <v>-18</v>
      </c>
      <c r="I3979" s="33" t="n">
        <f aca="false">IF(E3979="","",E3979-C3979)</f>
        <v>-6.25</v>
      </c>
      <c r="J3979" s="33" t="n">
        <f aca="false">IF(F3979="","",F3979-C3979)</f>
        <v>-7.25</v>
      </c>
      <c r="K3979" s="33" t="n">
        <f aca="false">IF(G3979="","",G3979-C3979)</f>
        <v>-10.973714945546</v>
      </c>
      <c r="L3979" s="33" t="n">
        <f aca="false">IF(H3979="","",ABS(H3979))</f>
        <v>18</v>
      </c>
      <c r="M3979" s="33" t="n">
        <f aca="false">IF(I3979="","",ABS(I3979))</f>
        <v>6.25</v>
      </c>
      <c r="N3979" s="33" t="n">
        <f aca="false">IF(J3979="","",ABS(J3979))</f>
        <v>7.25</v>
      </c>
      <c r="O3979" s="33" t="n">
        <f aca="false">IF(K3979="","",ABS(K3979))</f>
        <v>10.973714945546</v>
      </c>
      <c r="P3979" s="34" t="str">
        <f aca="false">IF(B3979&gt;=Eval_Start_Week,"YES","")</f>
        <v/>
      </c>
      <c r="Q3979" s="34" t="str">
        <f aca="false">IF(AND(B3979&gt;=Cal_Start_Week,B3979&lt;=Cal_End_Week),"YES","")</f>
        <v/>
      </c>
    </row>
    <row r="3980" customFormat="false" ht="15" hidden="false" customHeight="false" outlineLevel="0" collapsed="false">
      <c r="A3980" s="31" t="str">
        <f aca="false">Demand_History!C3980</f>
        <v>CLN-002</v>
      </c>
      <c r="B3980" s="31" t="n">
        <f aca="false">Demand_History!A3980</f>
        <v>27</v>
      </c>
      <c r="C3980" s="32" t="n">
        <f aca="false">Demand_History!D3980</f>
        <v>165</v>
      </c>
      <c r="D3980" s="33" t="n">
        <f aca="false">IF(B3980&gt;=2,C3979,"")</f>
        <v>169</v>
      </c>
      <c r="E3980" s="33" t="n">
        <f aca="false">IF(B3980&gt;=5,AVERAGE(C3976:C3979),"")</f>
        <v>156.5</v>
      </c>
      <c r="F3980" s="33" t="n">
        <f aca="false">IF(B3980&gt;=9,AVERAGE(C3972:C3979),"")</f>
        <v>158.625</v>
      </c>
      <c r="G3980" s="33" t="n">
        <f aca="false">IF(B3980=1,"",IF(B3980=2,C3979,SES_Alpha*C3979+(1-SES_Alpha)*G3979))</f>
        <v>161.318399538118</v>
      </c>
      <c r="H3980" s="33" t="n">
        <f aca="false">IF(D3980="","",D3980-C3980)</f>
        <v>4</v>
      </c>
      <c r="I3980" s="33" t="n">
        <f aca="false">IF(E3980="","",E3980-C3980)</f>
        <v>-8.5</v>
      </c>
      <c r="J3980" s="33" t="n">
        <f aca="false">IF(F3980="","",F3980-C3980)</f>
        <v>-6.375</v>
      </c>
      <c r="K3980" s="33" t="n">
        <f aca="false">IF(G3980="","",G3980-C3980)</f>
        <v>-3.6816004618822</v>
      </c>
      <c r="L3980" s="33" t="n">
        <f aca="false">IF(H3980="","",ABS(H3980))</f>
        <v>4</v>
      </c>
      <c r="M3980" s="33" t="n">
        <f aca="false">IF(I3980="","",ABS(I3980))</f>
        <v>8.5</v>
      </c>
      <c r="N3980" s="33" t="n">
        <f aca="false">IF(J3980="","",ABS(J3980))</f>
        <v>6.375</v>
      </c>
      <c r="O3980" s="33" t="n">
        <f aca="false">IF(K3980="","",ABS(K3980))</f>
        <v>3.6816004618822</v>
      </c>
      <c r="P3980" s="34" t="str">
        <f aca="false">IF(B3980&gt;=Eval_Start_Week,"YES","")</f>
        <v/>
      </c>
      <c r="Q3980" s="34" t="str">
        <f aca="false">IF(AND(B3980&gt;=Cal_Start_Week,B3980&lt;=Cal_End_Week),"YES","")</f>
        <v/>
      </c>
    </row>
    <row r="3981" customFormat="false" ht="15" hidden="false" customHeight="false" outlineLevel="0" collapsed="false">
      <c r="A3981" s="31" t="str">
        <f aca="false">Demand_History!C3981</f>
        <v>CLN-002</v>
      </c>
      <c r="B3981" s="31" t="n">
        <f aca="false">Demand_History!A3981</f>
        <v>28</v>
      </c>
      <c r="C3981" s="32" t="n">
        <f aca="false">Demand_History!D3981</f>
        <v>140</v>
      </c>
      <c r="D3981" s="33" t="n">
        <f aca="false">IF(B3981&gt;=2,C3980,"")</f>
        <v>165</v>
      </c>
      <c r="E3981" s="33" t="n">
        <f aca="false">IF(B3981&gt;=5,AVERAGE(C3977:C3980),"")</f>
        <v>161.25</v>
      </c>
      <c r="F3981" s="33" t="n">
        <f aca="false">IF(B3981&gt;=9,AVERAGE(C3973:C3980),"")</f>
        <v>159.875</v>
      </c>
      <c r="G3981" s="33" t="n">
        <f aca="false">IF(B3981=1,"",IF(B3981=2,C3980,SES_Alpha*C3980+(1-SES_Alpha)*G3980))</f>
        <v>162.422879676682</v>
      </c>
      <c r="H3981" s="33" t="n">
        <f aca="false">IF(D3981="","",D3981-C3981)</f>
        <v>25</v>
      </c>
      <c r="I3981" s="33" t="n">
        <f aca="false">IF(E3981="","",E3981-C3981)</f>
        <v>21.25</v>
      </c>
      <c r="J3981" s="33" t="n">
        <f aca="false">IF(F3981="","",F3981-C3981)</f>
        <v>19.875</v>
      </c>
      <c r="K3981" s="33" t="n">
        <f aca="false">IF(G3981="","",G3981-C3981)</f>
        <v>22.4228796766824</v>
      </c>
      <c r="L3981" s="33" t="n">
        <f aca="false">IF(H3981="","",ABS(H3981))</f>
        <v>25</v>
      </c>
      <c r="M3981" s="33" t="n">
        <f aca="false">IF(I3981="","",ABS(I3981))</f>
        <v>21.25</v>
      </c>
      <c r="N3981" s="33" t="n">
        <f aca="false">IF(J3981="","",ABS(J3981))</f>
        <v>19.875</v>
      </c>
      <c r="O3981" s="33" t="n">
        <f aca="false">IF(K3981="","",ABS(K3981))</f>
        <v>22.4228796766824</v>
      </c>
      <c r="P3981" s="34" t="str">
        <f aca="false">IF(B3981&gt;=Eval_Start_Week,"YES","")</f>
        <v/>
      </c>
      <c r="Q3981" s="34" t="str">
        <f aca="false">IF(AND(B3981&gt;=Cal_Start_Week,B3981&lt;=Cal_End_Week),"YES","")</f>
        <v/>
      </c>
    </row>
    <row r="3982" customFormat="false" ht="15" hidden="false" customHeight="false" outlineLevel="0" collapsed="false">
      <c r="A3982" s="31" t="str">
        <f aca="false">Demand_History!C3982</f>
        <v>CLN-002</v>
      </c>
      <c r="B3982" s="31" t="n">
        <f aca="false">Demand_History!A3982</f>
        <v>29</v>
      </c>
      <c r="C3982" s="32" t="n">
        <f aca="false">Demand_History!D3982</f>
        <v>154</v>
      </c>
      <c r="D3982" s="33" t="n">
        <f aca="false">IF(B3982&gt;=2,C3981,"")</f>
        <v>140</v>
      </c>
      <c r="E3982" s="33" t="n">
        <f aca="false">IF(B3982&gt;=5,AVERAGE(C3978:C3981),"")</f>
        <v>156.25</v>
      </c>
      <c r="F3982" s="33" t="n">
        <f aca="false">IF(B3982&gt;=9,AVERAGE(C3974:C3981),"")</f>
        <v>160.5</v>
      </c>
      <c r="G3982" s="33" t="n">
        <f aca="false">IF(B3982=1,"",IF(B3982=2,C3981,SES_Alpha*C3981+(1-SES_Alpha)*G3981))</f>
        <v>155.696015773678</v>
      </c>
      <c r="H3982" s="33" t="n">
        <f aca="false">IF(D3982="","",D3982-C3982)</f>
        <v>-14</v>
      </c>
      <c r="I3982" s="33" t="n">
        <f aca="false">IF(E3982="","",E3982-C3982)</f>
        <v>2.25</v>
      </c>
      <c r="J3982" s="33" t="n">
        <f aca="false">IF(F3982="","",F3982-C3982)</f>
        <v>6.5</v>
      </c>
      <c r="K3982" s="33" t="n">
        <f aca="false">IF(G3982="","",G3982-C3982)</f>
        <v>1.69601577367769</v>
      </c>
      <c r="L3982" s="33" t="n">
        <f aca="false">IF(H3982="","",ABS(H3982))</f>
        <v>14</v>
      </c>
      <c r="M3982" s="33" t="n">
        <f aca="false">IF(I3982="","",ABS(I3982))</f>
        <v>2.25</v>
      </c>
      <c r="N3982" s="33" t="n">
        <f aca="false">IF(J3982="","",ABS(J3982))</f>
        <v>6.5</v>
      </c>
      <c r="O3982" s="33" t="n">
        <f aca="false">IF(K3982="","",ABS(K3982))</f>
        <v>1.69601577367769</v>
      </c>
      <c r="P3982" s="34" t="str">
        <f aca="false">IF(B3982&gt;=Eval_Start_Week,"YES","")</f>
        <v/>
      </c>
      <c r="Q3982" s="34" t="str">
        <f aca="false">IF(AND(B3982&gt;=Cal_Start_Week,B3982&lt;=Cal_End_Week),"YES","")</f>
        <v/>
      </c>
    </row>
    <row r="3983" customFormat="false" ht="15" hidden="false" customHeight="false" outlineLevel="0" collapsed="false">
      <c r="A3983" s="31" t="str">
        <f aca="false">Demand_History!C3983</f>
        <v>CLN-002</v>
      </c>
      <c r="B3983" s="31" t="n">
        <f aca="false">Demand_History!A3983</f>
        <v>30</v>
      </c>
      <c r="C3983" s="32" t="n">
        <f aca="false">Demand_History!D3983</f>
        <v>181</v>
      </c>
      <c r="D3983" s="33" t="n">
        <f aca="false">IF(B3983&gt;=2,C3982,"")</f>
        <v>154</v>
      </c>
      <c r="E3983" s="33" t="n">
        <f aca="false">IF(B3983&gt;=5,AVERAGE(C3979:C3982),"")</f>
        <v>157</v>
      </c>
      <c r="F3983" s="33" t="n">
        <f aca="false">IF(B3983&gt;=9,AVERAGE(C3975:C3982),"")</f>
        <v>159.875</v>
      </c>
      <c r="G3983" s="33" t="n">
        <f aca="false">IF(B3983=1,"",IF(B3983=2,C3982,SES_Alpha*C3982+(1-SES_Alpha)*G3982))</f>
        <v>155.187211041574</v>
      </c>
      <c r="H3983" s="33" t="n">
        <f aca="false">IF(D3983="","",D3983-C3983)</f>
        <v>-27</v>
      </c>
      <c r="I3983" s="33" t="n">
        <f aca="false">IF(E3983="","",E3983-C3983)</f>
        <v>-24</v>
      </c>
      <c r="J3983" s="33" t="n">
        <f aca="false">IF(F3983="","",F3983-C3983)</f>
        <v>-21.125</v>
      </c>
      <c r="K3983" s="33" t="n">
        <f aca="false">IF(G3983="","",G3983-C3983)</f>
        <v>-25.8127889584256</v>
      </c>
      <c r="L3983" s="33" t="n">
        <f aca="false">IF(H3983="","",ABS(H3983))</f>
        <v>27</v>
      </c>
      <c r="M3983" s="33" t="n">
        <f aca="false">IF(I3983="","",ABS(I3983))</f>
        <v>24</v>
      </c>
      <c r="N3983" s="33" t="n">
        <f aca="false">IF(J3983="","",ABS(J3983))</f>
        <v>21.125</v>
      </c>
      <c r="O3983" s="33" t="n">
        <f aca="false">IF(K3983="","",ABS(K3983))</f>
        <v>25.8127889584256</v>
      </c>
      <c r="P3983" s="34" t="str">
        <f aca="false">IF(B3983&gt;=Eval_Start_Week,"YES","")</f>
        <v/>
      </c>
      <c r="Q3983" s="34" t="str">
        <f aca="false">IF(AND(B3983&gt;=Cal_Start_Week,B3983&lt;=Cal_End_Week),"YES","")</f>
        <v/>
      </c>
    </row>
    <row r="3984" customFormat="false" ht="15" hidden="false" customHeight="false" outlineLevel="0" collapsed="false">
      <c r="A3984" s="31" t="str">
        <f aca="false">Demand_History!C3984</f>
        <v>CLN-002</v>
      </c>
      <c r="B3984" s="31" t="n">
        <f aca="false">Demand_History!A3984</f>
        <v>31</v>
      </c>
      <c r="C3984" s="32" t="n">
        <f aca="false">Demand_History!D3984</f>
        <v>185</v>
      </c>
      <c r="D3984" s="33" t="n">
        <f aca="false">IF(B3984&gt;=2,C3983,"")</f>
        <v>181</v>
      </c>
      <c r="E3984" s="33" t="n">
        <f aca="false">IF(B3984&gt;=5,AVERAGE(C3980:C3983),"")</f>
        <v>160</v>
      </c>
      <c r="F3984" s="33" t="n">
        <f aca="false">IF(B3984&gt;=9,AVERAGE(C3976:C3983),"")</f>
        <v>158.25</v>
      </c>
      <c r="G3984" s="33" t="n">
        <f aca="false">IF(B3984=1,"",IF(B3984=2,C3983,SES_Alpha*C3983+(1-SES_Alpha)*G3983))</f>
        <v>162.931047729102</v>
      </c>
      <c r="H3984" s="33" t="n">
        <f aca="false">IF(D3984="","",D3984-C3984)</f>
        <v>-4</v>
      </c>
      <c r="I3984" s="33" t="n">
        <f aca="false">IF(E3984="","",E3984-C3984)</f>
        <v>-25</v>
      </c>
      <c r="J3984" s="33" t="n">
        <f aca="false">IF(F3984="","",F3984-C3984)</f>
        <v>-26.75</v>
      </c>
      <c r="K3984" s="33" t="n">
        <f aca="false">IF(G3984="","",G3984-C3984)</f>
        <v>-22.068952270898</v>
      </c>
      <c r="L3984" s="33" t="n">
        <f aca="false">IF(H3984="","",ABS(H3984))</f>
        <v>4</v>
      </c>
      <c r="M3984" s="33" t="n">
        <f aca="false">IF(I3984="","",ABS(I3984))</f>
        <v>25</v>
      </c>
      <c r="N3984" s="33" t="n">
        <f aca="false">IF(J3984="","",ABS(J3984))</f>
        <v>26.75</v>
      </c>
      <c r="O3984" s="33" t="n">
        <f aca="false">IF(K3984="","",ABS(K3984))</f>
        <v>22.068952270898</v>
      </c>
      <c r="P3984" s="34" t="str">
        <f aca="false">IF(B3984&gt;=Eval_Start_Week,"YES","")</f>
        <v/>
      </c>
      <c r="Q3984" s="34" t="str">
        <f aca="false">IF(AND(B3984&gt;=Cal_Start_Week,B3984&lt;=Cal_End_Week),"YES","")</f>
        <v/>
      </c>
    </row>
    <row r="3985" customFormat="false" ht="15" hidden="false" customHeight="false" outlineLevel="0" collapsed="false">
      <c r="A3985" s="31" t="str">
        <f aca="false">Demand_History!C3985</f>
        <v>CLN-002</v>
      </c>
      <c r="B3985" s="31" t="n">
        <f aca="false">Demand_History!A3985</f>
        <v>32</v>
      </c>
      <c r="C3985" s="32" t="n">
        <f aca="false">Demand_History!D3985</f>
        <v>181</v>
      </c>
      <c r="D3985" s="33" t="n">
        <f aca="false">IF(B3985&gt;=2,C3984,"")</f>
        <v>185</v>
      </c>
      <c r="E3985" s="33" t="n">
        <f aca="false">IF(B3985&gt;=5,AVERAGE(C3981:C3984),"")</f>
        <v>165</v>
      </c>
      <c r="F3985" s="33" t="n">
        <f aca="false">IF(B3985&gt;=9,AVERAGE(C3977:C3984),"")</f>
        <v>163.125</v>
      </c>
      <c r="G3985" s="33" t="n">
        <f aca="false">IF(B3985=1,"",IF(B3985=2,C3984,SES_Alpha*C3984+(1-SES_Alpha)*G3984))</f>
        <v>169.551733410371</v>
      </c>
      <c r="H3985" s="33" t="n">
        <f aca="false">IF(D3985="","",D3985-C3985)</f>
        <v>4</v>
      </c>
      <c r="I3985" s="33" t="n">
        <f aca="false">IF(E3985="","",E3985-C3985)</f>
        <v>-16</v>
      </c>
      <c r="J3985" s="33" t="n">
        <f aca="false">IF(F3985="","",F3985-C3985)</f>
        <v>-17.875</v>
      </c>
      <c r="K3985" s="33" t="n">
        <f aca="false">IF(G3985="","",G3985-C3985)</f>
        <v>-11.4482665896286</v>
      </c>
      <c r="L3985" s="33" t="n">
        <f aca="false">IF(H3985="","",ABS(H3985))</f>
        <v>4</v>
      </c>
      <c r="M3985" s="33" t="n">
        <f aca="false">IF(I3985="","",ABS(I3985))</f>
        <v>16</v>
      </c>
      <c r="N3985" s="33" t="n">
        <f aca="false">IF(J3985="","",ABS(J3985))</f>
        <v>17.875</v>
      </c>
      <c r="O3985" s="33" t="n">
        <f aca="false">IF(K3985="","",ABS(K3985))</f>
        <v>11.4482665896286</v>
      </c>
      <c r="P3985" s="34" t="str">
        <f aca="false">IF(B3985&gt;=Eval_Start_Week,"YES","")</f>
        <v/>
      </c>
      <c r="Q3985" s="34" t="str">
        <f aca="false">IF(AND(B3985&gt;=Cal_Start_Week,B3985&lt;=Cal_End_Week),"YES","")</f>
        <v/>
      </c>
    </row>
    <row r="3986" customFormat="false" ht="15" hidden="false" customHeight="false" outlineLevel="0" collapsed="false">
      <c r="A3986" s="31" t="str">
        <f aca="false">Demand_History!C3986</f>
        <v>CLN-002</v>
      </c>
      <c r="B3986" s="31" t="n">
        <f aca="false">Demand_History!A3986</f>
        <v>33</v>
      </c>
      <c r="C3986" s="32" t="n">
        <f aca="false">Demand_History!D3986</f>
        <v>179</v>
      </c>
      <c r="D3986" s="33" t="n">
        <f aca="false">IF(B3986&gt;=2,C3985,"")</f>
        <v>181</v>
      </c>
      <c r="E3986" s="33" t="n">
        <f aca="false">IF(B3986&gt;=5,AVERAGE(C3982:C3985),"")</f>
        <v>175.25</v>
      </c>
      <c r="F3986" s="33" t="n">
        <f aca="false">IF(B3986&gt;=9,AVERAGE(C3978:C3985),"")</f>
        <v>165.75</v>
      </c>
      <c r="G3986" s="33" t="n">
        <f aca="false">IF(B3986=1,"",IF(B3986=2,C3985,SES_Alpha*C3985+(1-SES_Alpha)*G3985))</f>
        <v>172.98621338726</v>
      </c>
      <c r="H3986" s="33" t="n">
        <f aca="false">IF(D3986="","",D3986-C3986)</f>
        <v>2</v>
      </c>
      <c r="I3986" s="33" t="n">
        <f aca="false">IF(E3986="","",E3986-C3986)</f>
        <v>-3.75</v>
      </c>
      <c r="J3986" s="33" t="n">
        <f aca="false">IF(F3986="","",F3986-C3986)</f>
        <v>-13.25</v>
      </c>
      <c r="K3986" s="33" t="n">
        <f aca="false">IF(G3986="","",G3986-C3986)</f>
        <v>-6.01378661274003</v>
      </c>
      <c r="L3986" s="33" t="n">
        <f aca="false">IF(H3986="","",ABS(H3986))</f>
        <v>2</v>
      </c>
      <c r="M3986" s="33" t="n">
        <f aca="false">IF(I3986="","",ABS(I3986))</f>
        <v>3.75</v>
      </c>
      <c r="N3986" s="33" t="n">
        <f aca="false">IF(J3986="","",ABS(J3986))</f>
        <v>13.25</v>
      </c>
      <c r="O3986" s="33" t="n">
        <f aca="false">IF(K3986="","",ABS(K3986))</f>
        <v>6.01378661274003</v>
      </c>
      <c r="P3986" s="34" t="str">
        <f aca="false">IF(B3986&gt;=Eval_Start_Week,"YES","")</f>
        <v/>
      </c>
      <c r="Q3986" s="34" t="str">
        <f aca="false">IF(AND(B3986&gt;=Cal_Start_Week,B3986&lt;=Cal_End_Week),"YES","")</f>
        <v/>
      </c>
    </row>
    <row r="3987" customFormat="false" ht="15" hidden="false" customHeight="false" outlineLevel="0" collapsed="false">
      <c r="A3987" s="31" t="str">
        <f aca="false">Demand_History!C3987</f>
        <v>CLN-002</v>
      </c>
      <c r="B3987" s="31" t="n">
        <f aca="false">Demand_History!A3987</f>
        <v>34</v>
      </c>
      <c r="C3987" s="32" t="n">
        <f aca="false">Demand_History!D3987</f>
        <v>151</v>
      </c>
      <c r="D3987" s="33" t="n">
        <f aca="false">IF(B3987&gt;=2,C3986,"")</f>
        <v>179</v>
      </c>
      <c r="E3987" s="33" t="n">
        <f aca="false">IF(B3987&gt;=5,AVERAGE(C3983:C3986),"")</f>
        <v>181.5</v>
      </c>
      <c r="F3987" s="33" t="n">
        <f aca="false">IF(B3987&gt;=9,AVERAGE(C3979:C3986),"")</f>
        <v>169.25</v>
      </c>
      <c r="G3987" s="33" t="n">
        <f aca="false">IF(B3987=1,"",IF(B3987=2,C3986,SES_Alpha*C3986+(1-SES_Alpha)*G3986))</f>
        <v>174.790349371082</v>
      </c>
      <c r="H3987" s="33" t="n">
        <f aca="false">IF(D3987="","",D3987-C3987)</f>
        <v>28</v>
      </c>
      <c r="I3987" s="33" t="n">
        <f aca="false">IF(E3987="","",E3987-C3987)</f>
        <v>30.5</v>
      </c>
      <c r="J3987" s="33" t="n">
        <f aca="false">IF(F3987="","",F3987-C3987)</f>
        <v>18.25</v>
      </c>
      <c r="K3987" s="33" t="n">
        <f aca="false">IF(G3987="","",G3987-C3987)</f>
        <v>23.790349371082</v>
      </c>
      <c r="L3987" s="33" t="n">
        <f aca="false">IF(H3987="","",ABS(H3987))</f>
        <v>28</v>
      </c>
      <c r="M3987" s="33" t="n">
        <f aca="false">IF(I3987="","",ABS(I3987))</f>
        <v>30.5</v>
      </c>
      <c r="N3987" s="33" t="n">
        <f aca="false">IF(J3987="","",ABS(J3987))</f>
        <v>18.25</v>
      </c>
      <c r="O3987" s="33" t="n">
        <f aca="false">IF(K3987="","",ABS(K3987))</f>
        <v>23.790349371082</v>
      </c>
      <c r="P3987" s="34" t="str">
        <f aca="false">IF(B3987&gt;=Eval_Start_Week,"YES","")</f>
        <v/>
      </c>
      <c r="Q3987" s="34" t="str">
        <f aca="false">IF(AND(B3987&gt;=Cal_Start_Week,B3987&lt;=Cal_End_Week),"YES","")</f>
        <v/>
      </c>
    </row>
    <row r="3988" customFormat="false" ht="15" hidden="false" customHeight="false" outlineLevel="0" collapsed="false">
      <c r="A3988" s="31" t="str">
        <f aca="false">Demand_History!C3988</f>
        <v>CLN-002</v>
      </c>
      <c r="B3988" s="31" t="n">
        <f aca="false">Demand_History!A3988</f>
        <v>35</v>
      </c>
      <c r="C3988" s="32" t="n">
        <f aca="false">Demand_History!D3988</f>
        <v>151</v>
      </c>
      <c r="D3988" s="33" t="n">
        <f aca="false">IF(B3988&gt;=2,C3987,"")</f>
        <v>151</v>
      </c>
      <c r="E3988" s="33" t="n">
        <f aca="false">IF(B3988&gt;=5,AVERAGE(C3984:C3987),"")</f>
        <v>174</v>
      </c>
      <c r="F3988" s="33" t="n">
        <f aca="false">IF(B3988&gt;=9,AVERAGE(C3980:C3987),"")</f>
        <v>167</v>
      </c>
      <c r="G3988" s="33" t="n">
        <f aca="false">IF(B3988=1,"",IF(B3988=2,C3987,SES_Alpha*C3987+(1-SES_Alpha)*G3987))</f>
        <v>167.653244559757</v>
      </c>
      <c r="H3988" s="33" t="n">
        <f aca="false">IF(D3988="","",D3988-C3988)</f>
        <v>0</v>
      </c>
      <c r="I3988" s="33" t="n">
        <f aca="false">IF(E3988="","",E3988-C3988)</f>
        <v>23</v>
      </c>
      <c r="J3988" s="33" t="n">
        <f aca="false">IF(F3988="","",F3988-C3988)</f>
        <v>16</v>
      </c>
      <c r="K3988" s="33" t="n">
        <f aca="false">IF(G3988="","",G3988-C3988)</f>
        <v>16.6532445597574</v>
      </c>
      <c r="L3988" s="33" t="n">
        <f aca="false">IF(H3988="","",ABS(H3988))</f>
        <v>0</v>
      </c>
      <c r="M3988" s="33" t="n">
        <f aca="false">IF(I3988="","",ABS(I3988))</f>
        <v>23</v>
      </c>
      <c r="N3988" s="33" t="n">
        <f aca="false">IF(J3988="","",ABS(J3988))</f>
        <v>16</v>
      </c>
      <c r="O3988" s="33" t="n">
        <f aca="false">IF(K3988="","",ABS(K3988))</f>
        <v>16.6532445597574</v>
      </c>
      <c r="P3988" s="34" t="str">
        <f aca="false">IF(B3988&gt;=Eval_Start_Week,"YES","")</f>
        <v/>
      </c>
      <c r="Q3988" s="34" t="str">
        <f aca="false">IF(AND(B3988&gt;=Cal_Start_Week,B3988&lt;=Cal_End_Week),"YES","")</f>
        <v/>
      </c>
    </row>
    <row r="3989" customFormat="false" ht="15" hidden="false" customHeight="false" outlineLevel="0" collapsed="false">
      <c r="A3989" s="31" t="str">
        <f aca="false">Demand_History!C3989</f>
        <v>CLN-002</v>
      </c>
      <c r="B3989" s="31" t="n">
        <f aca="false">Demand_History!A3989</f>
        <v>36</v>
      </c>
      <c r="C3989" s="32" t="n">
        <f aca="false">Demand_History!D3989</f>
        <v>181</v>
      </c>
      <c r="D3989" s="33" t="n">
        <f aca="false">IF(B3989&gt;=2,C3988,"")</f>
        <v>151</v>
      </c>
      <c r="E3989" s="33" t="n">
        <f aca="false">IF(B3989&gt;=5,AVERAGE(C3985:C3988),"")</f>
        <v>165.5</v>
      </c>
      <c r="F3989" s="33" t="n">
        <f aca="false">IF(B3989&gt;=9,AVERAGE(C3981:C3988),"")</f>
        <v>165.25</v>
      </c>
      <c r="G3989" s="33" t="n">
        <f aca="false">IF(B3989=1,"",IF(B3989=2,C3988,SES_Alpha*C3988+(1-SES_Alpha)*G3988))</f>
        <v>162.65727119183</v>
      </c>
      <c r="H3989" s="33" t="n">
        <f aca="false">IF(D3989="","",D3989-C3989)</f>
        <v>-30</v>
      </c>
      <c r="I3989" s="33" t="n">
        <f aca="false">IF(E3989="","",E3989-C3989)</f>
        <v>-15.5</v>
      </c>
      <c r="J3989" s="33" t="n">
        <f aca="false">IF(F3989="","",F3989-C3989)</f>
        <v>-15.75</v>
      </c>
      <c r="K3989" s="33" t="n">
        <f aca="false">IF(G3989="","",G3989-C3989)</f>
        <v>-18.3427288081699</v>
      </c>
      <c r="L3989" s="33" t="n">
        <f aca="false">IF(H3989="","",ABS(H3989))</f>
        <v>30</v>
      </c>
      <c r="M3989" s="33" t="n">
        <f aca="false">IF(I3989="","",ABS(I3989))</f>
        <v>15.5</v>
      </c>
      <c r="N3989" s="33" t="n">
        <f aca="false">IF(J3989="","",ABS(J3989))</f>
        <v>15.75</v>
      </c>
      <c r="O3989" s="33" t="n">
        <f aca="false">IF(K3989="","",ABS(K3989))</f>
        <v>18.3427288081699</v>
      </c>
      <c r="P3989" s="34" t="str">
        <f aca="false">IF(B3989&gt;=Eval_Start_Week,"YES","")</f>
        <v/>
      </c>
      <c r="Q3989" s="34" t="str">
        <f aca="false">IF(AND(B3989&gt;=Cal_Start_Week,B3989&lt;=Cal_End_Week),"YES","")</f>
        <v/>
      </c>
    </row>
    <row r="3990" customFormat="false" ht="15" hidden="false" customHeight="false" outlineLevel="0" collapsed="false">
      <c r="A3990" s="31" t="str">
        <f aca="false">Demand_History!C3990</f>
        <v>CLN-002</v>
      </c>
      <c r="B3990" s="31" t="n">
        <f aca="false">Demand_History!A3990</f>
        <v>37</v>
      </c>
      <c r="C3990" s="32" t="n">
        <f aca="false">Demand_History!D3990</f>
        <v>132</v>
      </c>
      <c r="D3990" s="33" t="n">
        <f aca="false">IF(B3990&gt;=2,C3989,"")</f>
        <v>181</v>
      </c>
      <c r="E3990" s="33" t="n">
        <f aca="false">IF(B3990&gt;=5,AVERAGE(C3986:C3989),"")</f>
        <v>165.5</v>
      </c>
      <c r="F3990" s="33" t="n">
        <f aca="false">IF(B3990&gt;=9,AVERAGE(C3982:C3989),"")</f>
        <v>170.375</v>
      </c>
      <c r="G3990" s="33" t="n">
        <f aca="false">IF(B3990=1,"",IF(B3990=2,C3989,SES_Alpha*C3989+(1-SES_Alpha)*G3989))</f>
        <v>168.160089834281</v>
      </c>
      <c r="H3990" s="33" t="n">
        <f aca="false">IF(D3990="","",D3990-C3990)</f>
        <v>49</v>
      </c>
      <c r="I3990" s="33" t="n">
        <f aca="false">IF(E3990="","",E3990-C3990)</f>
        <v>33.5</v>
      </c>
      <c r="J3990" s="33" t="n">
        <f aca="false">IF(F3990="","",F3990-C3990)</f>
        <v>38.375</v>
      </c>
      <c r="K3990" s="33" t="n">
        <f aca="false">IF(G3990="","",G3990-C3990)</f>
        <v>36.1600898342811</v>
      </c>
      <c r="L3990" s="33" t="n">
        <f aca="false">IF(H3990="","",ABS(H3990))</f>
        <v>49</v>
      </c>
      <c r="M3990" s="33" t="n">
        <f aca="false">IF(I3990="","",ABS(I3990))</f>
        <v>33.5</v>
      </c>
      <c r="N3990" s="33" t="n">
        <f aca="false">IF(J3990="","",ABS(J3990))</f>
        <v>38.375</v>
      </c>
      <c r="O3990" s="33" t="n">
        <f aca="false">IF(K3990="","",ABS(K3990))</f>
        <v>36.1600898342811</v>
      </c>
      <c r="P3990" s="34" t="str">
        <f aca="false">IF(B3990&gt;=Eval_Start_Week,"YES","")</f>
        <v/>
      </c>
      <c r="Q3990" s="34" t="str">
        <f aca="false">IF(AND(B3990&gt;=Cal_Start_Week,B3990&lt;=Cal_End_Week),"YES","")</f>
        <v>YES</v>
      </c>
    </row>
    <row r="3991" customFormat="false" ht="15" hidden="false" customHeight="false" outlineLevel="0" collapsed="false">
      <c r="A3991" s="31" t="str">
        <f aca="false">Demand_History!C3991</f>
        <v>CLN-002</v>
      </c>
      <c r="B3991" s="31" t="n">
        <f aca="false">Demand_History!A3991</f>
        <v>38</v>
      </c>
      <c r="C3991" s="32" t="n">
        <f aca="false">Demand_History!D3991</f>
        <v>158</v>
      </c>
      <c r="D3991" s="33" t="n">
        <f aca="false">IF(B3991&gt;=2,C3990,"")</f>
        <v>132</v>
      </c>
      <c r="E3991" s="33" t="n">
        <f aca="false">IF(B3991&gt;=5,AVERAGE(C3987:C3990),"")</f>
        <v>153.75</v>
      </c>
      <c r="F3991" s="33" t="n">
        <f aca="false">IF(B3991&gt;=9,AVERAGE(C3983:C3990),"")</f>
        <v>167.625</v>
      </c>
      <c r="G3991" s="33" t="n">
        <f aca="false">IF(B3991=1,"",IF(B3991=2,C3990,SES_Alpha*C3990+(1-SES_Alpha)*G3990))</f>
        <v>157.312062883997</v>
      </c>
      <c r="H3991" s="33" t="n">
        <f aca="false">IF(D3991="","",D3991-C3991)</f>
        <v>-26</v>
      </c>
      <c r="I3991" s="33" t="n">
        <f aca="false">IF(E3991="","",E3991-C3991)</f>
        <v>-4.25</v>
      </c>
      <c r="J3991" s="33" t="n">
        <f aca="false">IF(F3991="","",F3991-C3991)</f>
        <v>9.625</v>
      </c>
      <c r="K3991" s="33" t="n">
        <f aca="false">IF(G3991="","",G3991-C3991)</f>
        <v>-0.687937116003241</v>
      </c>
      <c r="L3991" s="33" t="n">
        <f aca="false">IF(H3991="","",ABS(H3991))</f>
        <v>26</v>
      </c>
      <c r="M3991" s="33" t="n">
        <f aca="false">IF(I3991="","",ABS(I3991))</f>
        <v>4.25</v>
      </c>
      <c r="N3991" s="33" t="n">
        <f aca="false">IF(J3991="","",ABS(J3991))</f>
        <v>9.625</v>
      </c>
      <c r="O3991" s="33" t="n">
        <f aca="false">IF(K3991="","",ABS(K3991))</f>
        <v>0.687937116003241</v>
      </c>
      <c r="P3991" s="34" t="str">
        <f aca="false">IF(B3991&gt;=Eval_Start_Week,"YES","")</f>
        <v/>
      </c>
      <c r="Q3991" s="34" t="str">
        <f aca="false">IF(AND(B3991&gt;=Cal_Start_Week,B3991&lt;=Cal_End_Week),"YES","")</f>
        <v>YES</v>
      </c>
    </row>
    <row r="3992" customFormat="false" ht="15" hidden="false" customHeight="false" outlineLevel="0" collapsed="false">
      <c r="A3992" s="31" t="str">
        <f aca="false">Demand_History!C3992</f>
        <v>CLN-002</v>
      </c>
      <c r="B3992" s="31" t="n">
        <f aca="false">Demand_History!A3992</f>
        <v>39</v>
      </c>
      <c r="C3992" s="32" t="n">
        <f aca="false">Demand_History!D3992</f>
        <v>116</v>
      </c>
      <c r="D3992" s="33" t="n">
        <f aca="false">IF(B3992&gt;=2,C3991,"")</f>
        <v>158</v>
      </c>
      <c r="E3992" s="33" t="n">
        <f aca="false">IF(B3992&gt;=5,AVERAGE(C3988:C3991),"")</f>
        <v>155.5</v>
      </c>
      <c r="F3992" s="33" t="n">
        <f aca="false">IF(B3992&gt;=9,AVERAGE(C3984:C3991),"")</f>
        <v>164.75</v>
      </c>
      <c r="G3992" s="33" t="n">
        <f aca="false">IF(B3992=1,"",IF(B3992=2,C3991,SES_Alpha*C3991+(1-SES_Alpha)*G3991))</f>
        <v>157.518444018798</v>
      </c>
      <c r="H3992" s="33" t="n">
        <f aca="false">IF(D3992="","",D3992-C3992)</f>
        <v>42</v>
      </c>
      <c r="I3992" s="33" t="n">
        <f aca="false">IF(E3992="","",E3992-C3992)</f>
        <v>39.5</v>
      </c>
      <c r="J3992" s="33" t="n">
        <f aca="false">IF(F3992="","",F3992-C3992)</f>
        <v>48.75</v>
      </c>
      <c r="K3992" s="33" t="n">
        <f aca="false">IF(G3992="","",G3992-C3992)</f>
        <v>41.5184440187977</v>
      </c>
      <c r="L3992" s="33" t="n">
        <f aca="false">IF(H3992="","",ABS(H3992))</f>
        <v>42</v>
      </c>
      <c r="M3992" s="33" t="n">
        <f aca="false">IF(I3992="","",ABS(I3992))</f>
        <v>39.5</v>
      </c>
      <c r="N3992" s="33" t="n">
        <f aca="false">IF(J3992="","",ABS(J3992))</f>
        <v>48.75</v>
      </c>
      <c r="O3992" s="33" t="n">
        <f aca="false">IF(K3992="","",ABS(K3992))</f>
        <v>41.5184440187977</v>
      </c>
      <c r="P3992" s="34" t="str">
        <f aca="false">IF(B3992&gt;=Eval_Start_Week,"YES","")</f>
        <v/>
      </c>
      <c r="Q3992" s="34" t="str">
        <f aca="false">IF(AND(B3992&gt;=Cal_Start_Week,B3992&lt;=Cal_End_Week),"YES","")</f>
        <v>YES</v>
      </c>
    </row>
    <row r="3993" customFormat="false" ht="15" hidden="false" customHeight="false" outlineLevel="0" collapsed="false">
      <c r="A3993" s="31" t="str">
        <f aca="false">Demand_History!C3993</f>
        <v>CLN-002</v>
      </c>
      <c r="B3993" s="31" t="n">
        <f aca="false">Demand_History!A3993</f>
        <v>40</v>
      </c>
      <c r="C3993" s="32" t="n">
        <f aca="false">Demand_History!D3993</f>
        <v>150</v>
      </c>
      <c r="D3993" s="33" t="n">
        <f aca="false">IF(B3993&gt;=2,C3992,"")</f>
        <v>116</v>
      </c>
      <c r="E3993" s="33" t="n">
        <f aca="false">IF(B3993&gt;=5,AVERAGE(C3989:C3992),"")</f>
        <v>146.75</v>
      </c>
      <c r="F3993" s="33" t="n">
        <f aca="false">IF(B3993&gt;=9,AVERAGE(C3985:C3992),"")</f>
        <v>156.125</v>
      </c>
      <c r="G3993" s="33" t="n">
        <f aca="false">IF(B3993=1,"",IF(B3993=2,C3992,SES_Alpha*C3992+(1-SES_Alpha)*G3992))</f>
        <v>145.062910813158</v>
      </c>
      <c r="H3993" s="33" t="n">
        <f aca="false">IF(D3993="","",D3993-C3993)</f>
        <v>-34</v>
      </c>
      <c r="I3993" s="33" t="n">
        <f aca="false">IF(E3993="","",E3993-C3993)</f>
        <v>-3.25</v>
      </c>
      <c r="J3993" s="33" t="n">
        <f aca="false">IF(F3993="","",F3993-C3993)</f>
        <v>6.125</v>
      </c>
      <c r="K3993" s="33" t="n">
        <f aca="false">IF(G3993="","",G3993-C3993)</f>
        <v>-4.9370891868416</v>
      </c>
      <c r="L3993" s="33" t="n">
        <f aca="false">IF(H3993="","",ABS(H3993))</f>
        <v>34</v>
      </c>
      <c r="M3993" s="33" t="n">
        <f aca="false">IF(I3993="","",ABS(I3993))</f>
        <v>3.25</v>
      </c>
      <c r="N3993" s="33" t="n">
        <f aca="false">IF(J3993="","",ABS(J3993))</f>
        <v>6.125</v>
      </c>
      <c r="O3993" s="33" t="n">
        <f aca="false">IF(K3993="","",ABS(K3993))</f>
        <v>4.9370891868416</v>
      </c>
      <c r="P3993" s="34" t="str">
        <f aca="false">IF(B3993&gt;=Eval_Start_Week,"YES","")</f>
        <v/>
      </c>
      <c r="Q3993" s="34" t="str">
        <f aca="false">IF(AND(B3993&gt;=Cal_Start_Week,B3993&lt;=Cal_End_Week),"YES","")</f>
        <v>YES</v>
      </c>
    </row>
    <row r="3994" customFormat="false" ht="15" hidden="false" customHeight="false" outlineLevel="0" collapsed="false">
      <c r="A3994" s="31" t="str">
        <f aca="false">Demand_History!C3994</f>
        <v>CLN-002</v>
      </c>
      <c r="B3994" s="31" t="n">
        <f aca="false">Demand_History!A3994</f>
        <v>41</v>
      </c>
      <c r="C3994" s="32" t="n">
        <f aca="false">Demand_History!D3994</f>
        <v>143</v>
      </c>
      <c r="D3994" s="33" t="n">
        <f aca="false">IF(B3994&gt;=2,C3993,"")</f>
        <v>150</v>
      </c>
      <c r="E3994" s="33" t="n">
        <f aca="false">IF(B3994&gt;=5,AVERAGE(C3990:C3993),"")</f>
        <v>139</v>
      </c>
      <c r="F3994" s="33" t="n">
        <f aca="false">IF(B3994&gt;=9,AVERAGE(C3986:C3993),"")</f>
        <v>152.25</v>
      </c>
      <c r="G3994" s="33" t="n">
        <f aca="false">IF(B3994=1,"",IF(B3994=2,C3993,SES_Alpha*C3993+(1-SES_Alpha)*G3993))</f>
        <v>146.544037569211</v>
      </c>
      <c r="H3994" s="33" t="n">
        <f aca="false">IF(D3994="","",D3994-C3994)</f>
        <v>7</v>
      </c>
      <c r="I3994" s="33" t="n">
        <f aca="false">IF(E3994="","",E3994-C3994)</f>
        <v>-4</v>
      </c>
      <c r="J3994" s="33" t="n">
        <f aca="false">IF(F3994="","",F3994-C3994)</f>
        <v>9.25</v>
      </c>
      <c r="K3994" s="33" t="n">
        <f aca="false">IF(G3994="","",G3994-C3994)</f>
        <v>3.54403756921087</v>
      </c>
      <c r="L3994" s="33" t="n">
        <f aca="false">IF(H3994="","",ABS(H3994))</f>
        <v>7</v>
      </c>
      <c r="M3994" s="33" t="n">
        <f aca="false">IF(I3994="","",ABS(I3994))</f>
        <v>4</v>
      </c>
      <c r="N3994" s="33" t="n">
        <f aca="false">IF(J3994="","",ABS(J3994))</f>
        <v>9.25</v>
      </c>
      <c r="O3994" s="33" t="n">
        <f aca="false">IF(K3994="","",ABS(K3994))</f>
        <v>3.54403756921087</v>
      </c>
      <c r="P3994" s="34" t="str">
        <f aca="false">IF(B3994&gt;=Eval_Start_Week,"YES","")</f>
        <v/>
      </c>
      <c r="Q3994" s="34" t="str">
        <f aca="false">IF(AND(B3994&gt;=Cal_Start_Week,B3994&lt;=Cal_End_Week),"YES","")</f>
        <v>YES</v>
      </c>
    </row>
    <row r="3995" customFormat="false" ht="15" hidden="false" customHeight="false" outlineLevel="0" collapsed="false">
      <c r="A3995" s="31" t="str">
        <f aca="false">Demand_History!C3995</f>
        <v>CLN-002</v>
      </c>
      <c r="B3995" s="31" t="n">
        <f aca="false">Demand_History!A3995</f>
        <v>42</v>
      </c>
      <c r="C3995" s="32" t="n">
        <f aca="false">Demand_History!D3995</f>
        <v>131</v>
      </c>
      <c r="D3995" s="33" t="n">
        <f aca="false">IF(B3995&gt;=2,C3994,"")</f>
        <v>143</v>
      </c>
      <c r="E3995" s="33" t="n">
        <f aca="false">IF(B3995&gt;=5,AVERAGE(C3991:C3994),"")</f>
        <v>141.75</v>
      </c>
      <c r="F3995" s="33" t="n">
        <f aca="false">IF(B3995&gt;=9,AVERAGE(C3987:C3994),"")</f>
        <v>147.75</v>
      </c>
      <c r="G3995" s="33" t="n">
        <f aca="false">IF(B3995=1,"",IF(B3995=2,C3994,SES_Alpha*C3994+(1-SES_Alpha)*G3994))</f>
        <v>145.480826298448</v>
      </c>
      <c r="H3995" s="33" t="n">
        <f aca="false">IF(D3995="","",D3995-C3995)</f>
        <v>12</v>
      </c>
      <c r="I3995" s="33" t="n">
        <f aca="false">IF(E3995="","",E3995-C3995)</f>
        <v>10.75</v>
      </c>
      <c r="J3995" s="33" t="n">
        <f aca="false">IF(F3995="","",F3995-C3995)</f>
        <v>16.75</v>
      </c>
      <c r="K3995" s="33" t="n">
        <f aca="false">IF(G3995="","",G3995-C3995)</f>
        <v>14.4808262984476</v>
      </c>
      <c r="L3995" s="33" t="n">
        <f aca="false">IF(H3995="","",ABS(H3995))</f>
        <v>12</v>
      </c>
      <c r="M3995" s="33" t="n">
        <f aca="false">IF(I3995="","",ABS(I3995))</f>
        <v>10.75</v>
      </c>
      <c r="N3995" s="33" t="n">
        <f aca="false">IF(J3995="","",ABS(J3995))</f>
        <v>16.75</v>
      </c>
      <c r="O3995" s="33" t="n">
        <f aca="false">IF(K3995="","",ABS(K3995))</f>
        <v>14.4808262984476</v>
      </c>
      <c r="P3995" s="34" t="str">
        <f aca="false">IF(B3995&gt;=Eval_Start_Week,"YES","")</f>
        <v/>
      </c>
      <c r="Q3995" s="34" t="str">
        <f aca="false">IF(AND(B3995&gt;=Cal_Start_Week,B3995&lt;=Cal_End_Week),"YES","")</f>
        <v>YES</v>
      </c>
    </row>
    <row r="3996" customFormat="false" ht="15" hidden="false" customHeight="false" outlineLevel="0" collapsed="false">
      <c r="A3996" s="31" t="str">
        <f aca="false">Demand_History!C3996</f>
        <v>CLN-002</v>
      </c>
      <c r="B3996" s="31" t="n">
        <f aca="false">Demand_History!A3996</f>
        <v>43</v>
      </c>
      <c r="C3996" s="32" t="n">
        <f aca="false">Demand_History!D3996</f>
        <v>173</v>
      </c>
      <c r="D3996" s="33" t="n">
        <f aca="false">IF(B3996&gt;=2,C3995,"")</f>
        <v>131</v>
      </c>
      <c r="E3996" s="33" t="n">
        <f aca="false">IF(B3996&gt;=5,AVERAGE(C3992:C3995),"")</f>
        <v>135</v>
      </c>
      <c r="F3996" s="33" t="n">
        <f aca="false">IF(B3996&gt;=9,AVERAGE(C3988:C3995),"")</f>
        <v>145.25</v>
      </c>
      <c r="G3996" s="33" t="n">
        <f aca="false">IF(B3996=1,"",IF(B3996=2,C3995,SES_Alpha*C3995+(1-SES_Alpha)*G3995))</f>
        <v>141.136578408913</v>
      </c>
      <c r="H3996" s="33" t="n">
        <f aca="false">IF(D3996="","",D3996-C3996)</f>
        <v>-42</v>
      </c>
      <c r="I3996" s="33" t="n">
        <f aca="false">IF(E3996="","",E3996-C3996)</f>
        <v>-38</v>
      </c>
      <c r="J3996" s="33" t="n">
        <f aca="false">IF(F3996="","",F3996-C3996)</f>
        <v>-27.75</v>
      </c>
      <c r="K3996" s="33" t="n">
        <f aca="false">IF(G3996="","",G3996-C3996)</f>
        <v>-31.8634215910867</v>
      </c>
      <c r="L3996" s="33" t="n">
        <f aca="false">IF(H3996="","",ABS(H3996))</f>
        <v>42</v>
      </c>
      <c r="M3996" s="33" t="n">
        <f aca="false">IF(I3996="","",ABS(I3996))</f>
        <v>38</v>
      </c>
      <c r="N3996" s="33" t="n">
        <f aca="false">IF(J3996="","",ABS(J3996))</f>
        <v>27.75</v>
      </c>
      <c r="O3996" s="33" t="n">
        <f aca="false">IF(K3996="","",ABS(K3996))</f>
        <v>31.8634215910867</v>
      </c>
      <c r="P3996" s="34" t="str">
        <f aca="false">IF(B3996&gt;=Eval_Start_Week,"YES","")</f>
        <v/>
      </c>
      <c r="Q3996" s="34" t="str">
        <f aca="false">IF(AND(B3996&gt;=Cal_Start_Week,B3996&lt;=Cal_End_Week),"YES","")</f>
        <v>YES</v>
      </c>
    </row>
    <row r="3997" customFormat="false" ht="15" hidden="false" customHeight="false" outlineLevel="0" collapsed="false">
      <c r="A3997" s="31" t="str">
        <f aca="false">Demand_History!C3997</f>
        <v>CLN-002</v>
      </c>
      <c r="B3997" s="31" t="n">
        <f aca="false">Demand_History!A3997</f>
        <v>44</v>
      </c>
      <c r="C3997" s="32" t="n">
        <f aca="false">Demand_History!D3997</f>
        <v>142</v>
      </c>
      <c r="D3997" s="33" t="n">
        <f aca="false">IF(B3997&gt;=2,C3996,"")</f>
        <v>173</v>
      </c>
      <c r="E3997" s="33" t="n">
        <f aca="false">IF(B3997&gt;=5,AVERAGE(C3993:C3996),"")</f>
        <v>149.25</v>
      </c>
      <c r="F3997" s="33" t="n">
        <f aca="false">IF(B3997&gt;=9,AVERAGE(C3989:C3996),"")</f>
        <v>148</v>
      </c>
      <c r="G3997" s="33" t="n">
        <f aca="false">IF(B3997=1,"",IF(B3997=2,C3996,SES_Alpha*C3996+(1-SES_Alpha)*G3996))</f>
        <v>150.695604886239</v>
      </c>
      <c r="H3997" s="33" t="n">
        <f aca="false">IF(D3997="","",D3997-C3997)</f>
        <v>31</v>
      </c>
      <c r="I3997" s="33" t="n">
        <f aca="false">IF(E3997="","",E3997-C3997)</f>
        <v>7.25</v>
      </c>
      <c r="J3997" s="33" t="n">
        <f aca="false">IF(F3997="","",F3997-C3997)</f>
        <v>6</v>
      </c>
      <c r="K3997" s="33" t="n">
        <f aca="false">IF(G3997="","",G3997-C3997)</f>
        <v>8.6956048862393</v>
      </c>
      <c r="L3997" s="33" t="n">
        <f aca="false">IF(H3997="","",ABS(H3997))</f>
        <v>31</v>
      </c>
      <c r="M3997" s="33" t="n">
        <f aca="false">IF(I3997="","",ABS(I3997))</f>
        <v>7.25</v>
      </c>
      <c r="N3997" s="33" t="n">
        <f aca="false">IF(J3997="","",ABS(J3997))</f>
        <v>6</v>
      </c>
      <c r="O3997" s="33" t="n">
        <f aca="false">IF(K3997="","",ABS(K3997))</f>
        <v>8.6956048862393</v>
      </c>
      <c r="P3997" s="34" t="str">
        <f aca="false">IF(B3997&gt;=Eval_Start_Week,"YES","")</f>
        <v/>
      </c>
      <c r="Q3997" s="34" t="str">
        <f aca="false">IF(AND(B3997&gt;=Cal_Start_Week,B3997&lt;=Cal_End_Week),"YES","")</f>
        <v>YES</v>
      </c>
    </row>
    <row r="3998" customFormat="false" ht="15" hidden="false" customHeight="false" outlineLevel="0" collapsed="false">
      <c r="A3998" s="31" t="str">
        <f aca="false">Demand_History!C3998</f>
        <v>CLN-002</v>
      </c>
      <c r="B3998" s="31" t="n">
        <f aca="false">Demand_History!A3998</f>
        <v>45</v>
      </c>
      <c r="C3998" s="32" t="n">
        <f aca="false">Demand_History!D3998</f>
        <v>151</v>
      </c>
      <c r="D3998" s="33" t="n">
        <f aca="false">IF(B3998&gt;=2,C3997,"")</f>
        <v>142</v>
      </c>
      <c r="E3998" s="33" t="n">
        <f aca="false">IF(B3998&gt;=5,AVERAGE(C3994:C3997),"")</f>
        <v>147.25</v>
      </c>
      <c r="F3998" s="33" t="n">
        <f aca="false">IF(B3998&gt;=9,AVERAGE(C3990:C3997),"")</f>
        <v>143.125</v>
      </c>
      <c r="G3998" s="33" t="n">
        <f aca="false">IF(B3998=1,"",IF(B3998=2,C3997,SES_Alpha*C3997+(1-SES_Alpha)*G3997))</f>
        <v>148.086923420368</v>
      </c>
      <c r="H3998" s="33" t="n">
        <f aca="false">IF(D3998="","",D3998-C3998)</f>
        <v>-9</v>
      </c>
      <c r="I3998" s="33" t="n">
        <f aca="false">IF(E3998="","",E3998-C3998)</f>
        <v>-3.75</v>
      </c>
      <c r="J3998" s="33" t="n">
        <f aca="false">IF(F3998="","",F3998-C3998)</f>
        <v>-7.875</v>
      </c>
      <c r="K3998" s="33" t="n">
        <f aca="false">IF(G3998="","",G3998-C3998)</f>
        <v>-2.9130765796325</v>
      </c>
      <c r="L3998" s="33" t="n">
        <f aca="false">IF(H3998="","",ABS(H3998))</f>
        <v>9</v>
      </c>
      <c r="M3998" s="33" t="n">
        <f aca="false">IF(I3998="","",ABS(I3998))</f>
        <v>3.75</v>
      </c>
      <c r="N3998" s="33" t="n">
        <f aca="false">IF(J3998="","",ABS(J3998))</f>
        <v>7.875</v>
      </c>
      <c r="O3998" s="33" t="n">
        <f aca="false">IF(K3998="","",ABS(K3998))</f>
        <v>2.9130765796325</v>
      </c>
      <c r="P3998" s="34" t="str">
        <f aca="false">IF(B3998&gt;=Eval_Start_Week,"YES","")</f>
        <v/>
      </c>
      <c r="Q3998" s="34" t="str">
        <f aca="false">IF(AND(B3998&gt;=Cal_Start_Week,B3998&lt;=Cal_End_Week),"YES","")</f>
        <v>YES</v>
      </c>
    </row>
    <row r="3999" customFormat="false" ht="15" hidden="false" customHeight="false" outlineLevel="0" collapsed="false">
      <c r="A3999" s="31" t="str">
        <f aca="false">Demand_History!C3999</f>
        <v>CLN-002</v>
      </c>
      <c r="B3999" s="31" t="n">
        <f aca="false">Demand_History!A3999</f>
        <v>46</v>
      </c>
      <c r="C3999" s="32" t="n">
        <f aca="false">Demand_History!D3999</f>
        <v>153</v>
      </c>
      <c r="D3999" s="33" t="n">
        <f aca="false">IF(B3999&gt;=2,C3998,"")</f>
        <v>151</v>
      </c>
      <c r="E3999" s="33" t="n">
        <f aca="false">IF(B3999&gt;=5,AVERAGE(C3995:C3998),"")</f>
        <v>149.25</v>
      </c>
      <c r="F3999" s="33" t="n">
        <f aca="false">IF(B3999&gt;=9,AVERAGE(C3991:C3998),"")</f>
        <v>145.5</v>
      </c>
      <c r="G3999" s="33" t="n">
        <f aca="false">IF(B3999=1,"",IF(B3999=2,C3998,SES_Alpha*C3998+(1-SES_Alpha)*G3998))</f>
        <v>148.960846394257</v>
      </c>
      <c r="H3999" s="33" t="n">
        <f aca="false">IF(D3999="","",D3999-C3999)</f>
        <v>-2</v>
      </c>
      <c r="I3999" s="33" t="n">
        <f aca="false">IF(E3999="","",E3999-C3999)</f>
        <v>-3.75</v>
      </c>
      <c r="J3999" s="33" t="n">
        <f aca="false">IF(F3999="","",F3999-C3999)</f>
        <v>-7.5</v>
      </c>
      <c r="K3999" s="33" t="n">
        <f aca="false">IF(G3999="","",G3999-C3999)</f>
        <v>-4.03915360574274</v>
      </c>
      <c r="L3999" s="33" t="n">
        <f aca="false">IF(H3999="","",ABS(H3999))</f>
        <v>2</v>
      </c>
      <c r="M3999" s="33" t="n">
        <f aca="false">IF(I3999="","",ABS(I3999))</f>
        <v>3.75</v>
      </c>
      <c r="N3999" s="33" t="n">
        <f aca="false">IF(J3999="","",ABS(J3999))</f>
        <v>7.5</v>
      </c>
      <c r="O3999" s="33" t="n">
        <f aca="false">IF(K3999="","",ABS(K3999))</f>
        <v>4.03915360574274</v>
      </c>
      <c r="P3999" s="34" t="str">
        <f aca="false">IF(B3999&gt;=Eval_Start_Week,"YES","")</f>
        <v/>
      </c>
      <c r="Q3999" s="34" t="str">
        <f aca="false">IF(AND(B3999&gt;=Cal_Start_Week,B3999&lt;=Cal_End_Week),"YES","")</f>
        <v>YES</v>
      </c>
    </row>
    <row r="4000" customFormat="false" ht="15" hidden="false" customHeight="false" outlineLevel="0" collapsed="false">
      <c r="A4000" s="31" t="str">
        <f aca="false">Demand_History!C4000</f>
        <v>CLN-002</v>
      </c>
      <c r="B4000" s="31" t="n">
        <f aca="false">Demand_History!A4000</f>
        <v>47</v>
      </c>
      <c r="C4000" s="32" t="n">
        <f aca="false">Demand_History!D4000</f>
        <v>142</v>
      </c>
      <c r="D4000" s="33" t="n">
        <f aca="false">IF(B4000&gt;=2,C3999,"")</f>
        <v>153</v>
      </c>
      <c r="E4000" s="33" t="n">
        <f aca="false">IF(B4000&gt;=5,AVERAGE(C3996:C3999),"")</f>
        <v>154.75</v>
      </c>
      <c r="F4000" s="33" t="n">
        <f aca="false">IF(B4000&gt;=9,AVERAGE(C3992:C3999),"")</f>
        <v>144.875</v>
      </c>
      <c r="G4000" s="33" t="n">
        <f aca="false">IF(B4000=1,"",IF(B4000=2,C3999,SES_Alpha*C3999+(1-SES_Alpha)*G3999))</f>
        <v>150.17259247598</v>
      </c>
      <c r="H4000" s="33" t="n">
        <f aca="false">IF(D4000="","",D4000-C4000)</f>
        <v>11</v>
      </c>
      <c r="I4000" s="33" t="n">
        <f aca="false">IF(E4000="","",E4000-C4000)</f>
        <v>12.75</v>
      </c>
      <c r="J4000" s="33" t="n">
        <f aca="false">IF(F4000="","",F4000-C4000)</f>
        <v>2.875</v>
      </c>
      <c r="K4000" s="33" t="n">
        <f aca="false">IF(G4000="","",G4000-C4000)</f>
        <v>8.17259247598008</v>
      </c>
      <c r="L4000" s="33" t="n">
        <f aca="false">IF(H4000="","",ABS(H4000))</f>
        <v>11</v>
      </c>
      <c r="M4000" s="33" t="n">
        <f aca="false">IF(I4000="","",ABS(I4000))</f>
        <v>12.75</v>
      </c>
      <c r="N4000" s="33" t="n">
        <f aca="false">IF(J4000="","",ABS(J4000))</f>
        <v>2.875</v>
      </c>
      <c r="O4000" s="33" t="n">
        <f aca="false">IF(K4000="","",ABS(K4000))</f>
        <v>8.17259247598008</v>
      </c>
      <c r="P4000" s="34" t="str">
        <f aca="false">IF(B4000&gt;=Eval_Start_Week,"YES","")</f>
        <v/>
      </c>
      <c r="Q4000" s="34" t="str">
        <f aca="false">IF(AND(B4000&gt;=Cal_Start_Week,B4000&lt;=Cal_End_Week),"YES","")</f>
        <v>YES</v>
      </c>
    </row>
    <row r="4001" customFormat="false" ht="15" hidden="false" customHeight="false" outlineLevel="0" collapsed="false">
      <c r="A4001" s="31" t="str">
        <f aca="false">Demand_History!C4001</f>
        <v>CLN-002</v>
      </c>
      <c r="B4001" s="31" t="n">
        <f aca="false">Demand_History!A4001</f>
        <v>48</v>
      </c>
      <c r="C4001" s="32" t="n">
        <f aca="false">Demand_History!D4001</f>
        <v>192</v>
      </c>
      <c r="D4001" s="33" t="n">
        <f aca="false">IF(B4001&gt;=2,C4000,"")</f>
        <v>142</v>
      </c>
      <c r="E4001" s="33" t="n">
        <f aca="false">IF(B4001&gt;=5,AVERAGE(C3997:C4000),"")</f>
        <v>147</v>
      </c>
      <c r="F4001" s="33" t="n">
        <f aca="false">IF(B4001&gt;=9,AVERAGE(C3993:C4000),"")</f>
        <v>148.125</v>
      </c>
      <c r="G4001" s="33" t="n">
        <f aca="false">IF(B4001=1,"",IF(B4001=2,C4000,SES_Alpha*C4000+(1-SES_Alpha)*G4000))</f>
        <v>147.720814733186</v>
      </c>
      <c r="H4001" s="33" t="n">
        <f aca="false">IF(D4001="","",D4001-C4001)</f>
        <v>-50</v>
      </c>
      <c r="I4001" s="33" t="n">
        <f aca="false">IF(E4001="","",E4001-C4001)</f>
        <v>-45</v>
      </c>
      <c r="J4001" s="33" t="n">
        <f aca="false">IF(F4001="","",F4001-C4001)</f>
        <v>-43.875</v>
      </c>
      <c r="K4001" s="33" t="n">
        <f aca="false">IF(G4001="","",G4001-C4001)</f>
        <v>-44.279185266814</v>
      </c>
      <c r="L4001" s="33" t="n">
        <f aca="false">IF(H4001="","",ABS(H4001))</f>
        <v>50</v>
      </c>
      <c r="M4001" s="33" t="n">
        <f aca="false">IF(I4001="","",ABS(I4001))</f>
        <v>45</v>
      </c>
      <c r="N4001" s="33" t="n">
        <f aca="false">IF(J4001="","",ABS(J4001))</f>
        <v>43.875</v>
      </c>
      <c r="O4001" s="33" t="n">
        <f aca="false">IF(K4001="","",ABS(K4001))</f>
        <v>44.279185266814</v>
      </c>
      <c r="P4001" s="34" t="str">
        <f aca="false">IF(B4001&gt;=Eval_Start_Week,"YES","")</f>
        <v/>
      </c>
      <c r="Q4001" s="34" t="str">
        <f aca="false">IF(AND(B4001&gt;=Cal_Start_Week,B4001&lt;=Cal_End_Week),"YES","")</f>
        <v>YES</v>
      </c>
    </row>
    <row r="4002" customFormat="false" ht="15" hidden="false" customHeight="false" outlineLevel="0" collapsed="false">
      <c r="A4002" s="31" t="str">
        <f aca="false">Demand_History!C4002</f>
        <v>CLN-002</v>
      </c>
      <c r="B4002" s="31" t="n">
        <f aca="false">Demand_History!A4002</f>
        <v>49</v>
      </c>
      <c r="C4002" s="32" t="n">
        <f aca="false">Demand_History!D4002</f>
        <v>148</v>
      </c>
      <c r="D4002" s="33" t="n">
        <f aca="false">IF(B4002&gt;=2,C4001,"")</f>
        <v>192</v>
      </c>
      <c r="E4002" s="33" t="n">
        <f aca="false">IF(B4002&gt;=5,AVERAGE(C3998:C4001),"")</f>
        <v>159.5</v>
      </c>
      <c r="F4002" s="33" t="n">
        <f aca="false">IF(B4002&gt;=9,AVERAGE(C3994:C4001),"")</f>
        <v>153.375</v>
      </c>
      <c r="G4002" s="33" t="n">
        <f aca="false">IF(B4002=1,"",IF(B4002=2,C4001,SES_Alpha*C4001+(1-SES_Alpha)*G4001))</f>
        <v>161.00457031323</v>
      </c>
      <c r="H4002" s="33" t="n">
        <f aca="false">IF(D4002="","",D4002-C4002)</f>
        <v>44</v>
      </c>
      <c r="I4002" s="33" t="n">
        <f aca="false">IF(E4002="","",E4002-C4002)</f>
        <v>11.5</v>
      </c>
      <c r="J4002" s="33" t="n">
        <f aca="false">IF(F4002="","",F4002-C4002)</f>
        <v>5.375</v>
      </c>
      <c r="K4002" s="33" t="n">
        <f aca="false">IF(G4002="","",G4002-C4002)</f>
        <v>13.0045703132302</v>
      </c>
      <c r="L4002" s="33" t="n">
        <f aca="false">IF(H4002="","",ABS(H4002))</f>
        <v>44</v>
      </c>
      <c r="M4002" s="33" t="n">
        <f aca="false">IF(I4002="","",ABS(I4002))</f>
        <v>11.5</v>
      </c>
      <c r="N4002" s="33" t="n">
        <f aca="false">IF(J4002="","",ABS(J4002))</f>
        <v>5.375</v>
      </c>
      <c r="O4002" s="33" t="n">
        <f aca="false">IF(K4002="","",ABS(K4002))</f>
        <v>13.0045703132302</v>
      </c>
      <c r="P4002" s="34" t="str">
        <f aca="false">IF(B4002&gt;=Eval_Start_Week,"YES","")</f>
        <v/>
      </c>
      <c r="Q4002" s="34" t="str">
        <f aca="false">IF(AND(B4002&gt;=Cal_Start_Week,B4002&lt;=Cal_End_Week),"YES","")</f>
        <v>YES</v>
      </c>
    </row>
    <row r="4003" customFormat="false" ht="15" hidden="false" customHeight="false" outlineLevel="0" collapsed="false">
      <c r="A4003" s="31" t="str">
        <f aca="false">Demand_History!C4003</f>
        <v>CLN-002</v>
      </c>
      <c r="B4003" s="31" t="n">
        <f aca="false">Demand_History!A4003</f>
        <v>50</v>
      </c>
      <c r="C4003" s="32" t="n">
        <f aca="false">Demand_History!D4003</f>
        <v>164</v>
      </c>
      <c r="D4003" s="33" t="n">
        <f aca="false">IF(B4003&gt;=2,C4002,"")</f>
        <v>148</v>
      </c>
      <c r="E4003" s="33" t="n">
        <f aca="false">IF(B4003&gt;=5,AVERAGE(C3999:C4002),"")</f>
        <v>158.75</v>
      </c>
      <c r="F4003" s="33" t="n">
        <f aca="false">IF(B4003&gt;=9,AVERAGE(C3995:C4002),"")</f>
        <v>154</v>
      </c>
      <c r="G4003" s="33" t="n">
        <f aca="false">IF(B4003=1,"",IF(B4003=2,C4002,SES_Alpha*C4002+(1-SES_Alpha)*G4002))</f>
        <v>157.103199219261</v>
      </c>
      <c r="H4003" s="33" t="n">
        <f aca="false">IF(D4003="","",D4003-C4003)</f>
        <v>-16</v>
      </c>
      <c r="I4003" s="33" t="n">
        <f aca="false">IF(E4003="","",E4003-C4003)</f>
        <v>-5.25</v>
      </c>
      <c r="J4003" s="33" t="n">
        <f aca="false">IF(F4003="","",F4003-C4003)</f>
        <v>-10</v>
      </c>
      <c r="K4003" s="33" t="n">
        <f aca="false">IF(G4003="","",G4003-C4003)</f>
        <v>-6.89680078073886</v>
      </c>
      <c r="L4003" s="33" t="n">
        <f aca="false">IF(H4003="","",ABS(H4003))</f>
        <v>16</v>
      </c>
      <c r="M4003" s="33" t="n">
        <f aca="false">IF(I4003="","",ABS(I4003))</f>
        <v>5.25</v>
      </c>
      <c r="N4003" s="33" t="n">
        <f aca="false">IF(J4003="","",ABS(J4003))</f>
        <v>10</v>
      </c>
      <c r="O4003" s="33" t="n">
        <f aca="false">IF(K4003="","",ABS(K4003))</f>
        <v>6.89680078073886</v>
      </c>
      <c r="P4003" s="34" t="str">
        <f aca="false">IF(B4003&gt;=Eval_Start_Week,"YES","")</f>
        <v/>
      </c>
      <c r="Q4003" s="34" t="str">
        <f aca="false">IF(AND(B4003&gt;=Cal_Start_Week,B4003&lt;=Cal_End_Week),"YES","")</f>
        <v>YES</v>
      </c>
    </row>
    <row r="4004" customFormat="false" ht="15" hidden="false" customHeight="false" outlineLevel="0" collapsed="false">
      <c r="A4004" s="31" t="str">
        <f aca="false">Demand_History!C4004</f>
        <v>CLN-002</v>
      </c>
      <c r="B4004" s="31" t="n">
        <f aca="false">Demand_History!A4004</f>
        <v>51</v>
      </c>
      <c r="C4004" s="32" t="n">
        <f aca="false">Demand_History!D4004</f>
        <v>129</v>
      </c>
      <c r="D4004" s="33" t="n">
        <f aca="false">IF(B4004&gt;=2,C4003,"")</f>
        <v>164</v>
      </c>
      <c r="E4004" s="33" t="n">
        <f aca="false">IF(B4004&gt;=5,AVERAGE(C4000:C4003),"")</f>
        <v>161.5</v>
      </c>
      <c r="F4004" s="33" t="n">
        <f aca="false">IF(B4004&gt;=9,AVERAGE(C3996:C4003),"")</f>
        <v>158.125</v>
      </c>
      <c r="G4004" s="33" t="n">
        <f aca="false">IF(B4004=1,"",IF(B4004=2,C4003,SES_Alpha*C4003+(1-SES_Alpha)*G4003))</f>
        <v>159.172239453483</v>
      </c>
      <c r="H4004" s="33" t="n">
        <f aca="false">IF(D4004="","",D4004-C4004)</f>
        <v>35</v>
      </c>
      <c r="I4004" s="33" t="n">
        <f aca="false">IF(E4004="","",E4004-C4004)</f>
        <v>32.5</v>
      </c>
      <c r="J4004" s="33" t="n">
        <f aca="false">IF(F4004="","",F4004-C4004)</f>
        <v>29.125</v>
      </c>
      <c r="K4004" s="33" t="n">
        <f aca="false">IF(G4004="","",G4004-C4004)</f>
        <v>30.1722394534828</v>
      </c>
      <c r="L4004" s="33" t="n">
        <f aca="false">IF(H4004="","",ABS(H4004))</f>
        <v>35</v>
      </c>
      <c r="M4004" s="33" t="n">
        <f aca="false">IF(I4004="","",ABS(I4004))</f>
        <v>32.5</v>
      </c>
      <c r="N4004" s="33" t="n">
        <f aca="false">IF(J4004="","",ABS(J4004))</f>
        <v>29.125</v>
      </c>
      <c r="O4004" s="33" t="n">
        <f aca="false">IF(K4004="","",ABS(K4004))</f>
        <v>30.1722394534828</v>
      </c>
      <c r="P4004" s="34" t="str">
        <f aca="false">IF(B4004&gt;=Eval_Start_Week,"YES","")</f>
        <v/>
      </c>
      <c r="Q4004" s="34" t="str">
        <f aca="false">IF(AND(B4004&gt;=Cal_Start_Week,B4004&lt;=Cal_End_Week),"YES","")</f>
        <v>YES</v>
      </c>
    </row>
    <row r="4005" customFormat="false" ht="15" hidden="false" customHeight="false" outlineLevel="0" collapsed="false">
      <c r="A4005" s="31" t="str">
        <f aca="false">Demand_History!C4005</f>
        <v>CLN-002</v>
      </c>
      <c r="B4005" s="31" t="n">
        <f aca="false">Demand_History!A4005</f>
        <v>52</v>
      </c>
      <c r="C4005" s="32" t="n">
        <f aca="false">Demand_History!D4005</f>
        <v>148</v>
      </c>
      <c r="D4005" s="33" t="n">
        <f aca="false">IF(B4005&gt;=2,C4004,"")</f>
        <v>129</v>
      </c>
      <c r="E4005" s="33" t="n">
        <f aca="false">IF(B4005&gt;=5,AVERAGE(C4001:C4004),"")</f>
        <v>158.25</v>
      </c>
      <c r="F4005" s="33" t="n">
        <f aca="false">IF(B4005&gt;=9,AVERAGE(C3997:C4004),"")</f>
        <v>152.625</v>
      </c>
      <c r="G4005" s="33" t="n">
        <f aca="false">IF(B4005=1,"",IF(B4005=2,C4004,SES_Alpha*C4004+(1-SES_Alpha)*G4004))</f>
        <v>150.120567617438</v>
      </c>
      <c r="H4005" s="33" t="n">
        <f aca="false">IF(D4005="","",D4005-C4005)</f>
        <v>-19</v>
      </c>
      <c r="I4005" s="33" t="n">
        <f aca="false">IF(E4005="","",E4005-C4005)</f>
        <v>10.25</v>
      </c>
      <c r="J4005" s="33" t="n">
        <f aca="false">IF(F4005="","",F4005-C4005)</f>
        <v>4.625</v>
      </c>
      <c r="K4005" s="33" t="n">
        <f aca="false">IF(G4005="","",G4005-C4005)</f>
        <v>2.12056761743796</v>
      </c>
      <c r="L4005" s="33" t="n">
        <f aca="false">IF(H4005="","",ABS(H4005))</f>
        <v>19</v>
      </c>
      <c r="M4005" s="33" t="n">
        <f aca="false">IF(I4005="","",ABS(I4005))</f>
        <v>10.25</v>
      </c>
      <c r="N4005" s="33" t="n">
        <f aca="false">IF(J4005="","",ABS(J4005))</f>
        <v>4.625</v>
      </c>
      <c r="O4005" s="33" t="n">
        <f aca="false">IF(K4005="","",ABS(K4005))</f>
        <v>2.12056761743796</v>
      </c>
      <c r="P4005" s="34" t="str">
        <f aca="false">IF(B4005&gt;=Eval_Start_Week,"YES","")</f>
        <v/>
      </c>
      <c r="Q4005" s="34" t="str">
        <f aca="false">IF(AND(B4005&gt;=Cal_Start_Week,B4005&lt;=Cal_End_Week),"YES","")</f>
        <v>YES</v>
      </c>
    </row>
    <row r="4006" customFormat="false" ht="15" hidden="false" customHeight="false" outlineLevel="0" collapsed="false">
      <c r="A4006" s="31" t="str">
        <f aca="false">Demand_History!C4006</f>
        <v>CLN-002</v>
      </c>
      <c r="B4006" s="31" t="n">
        <f aca="false">Demand_History!A4006</f>
        <v>53</v>
      </c>
      <c r="C4006" s="32" t="n">
        <f aca="false">Demand_History!D4006</f>
        <v>152</v>
      </c>
      <c r="D4006" s="33" t="n">
        <f aca="false">IF(B4006&gt;=2,C4005,"")</f>
        <v>148</v>
      </c>
      <c r="E4006" s="33" t="n">
        <f aca="false">IF(B4006&gt;=5,AVERAGE(C4002:C4005),"")</f>
        <v>147.25</v>
      </c>
      <c r="F4006" s="33" t="n">
        <f aca="false">IF(B4006&gt;=9,AVERAGE(C3998:C4005),"")</f>
        <v>153.375</v>
      </c>
      <c r="G4006" s="33" t="n">
        <f aca="false">IF(B4006=1,"",IF(B4006=2,C4005,SES_Alpha*C4005+(1-SES_Alpha)*G4005))</f>
        <v>149.484397332207</v>
      </c>
      <c r="H4006" s="33" t="n">
        <f aca="false">IF(D4006="","",D4006-C4006)</f>
        <v>-4</v>
      </c>
      <c r="I4006" s="33" t="n">
        <f aca="false">IF(E4006="","",E4006-C4006)</f>
        <v>-4.75</v>
      </c>
      <c r="J4006" s="33" t="n">
        <f aca="false">IF(F4006="","",F4006-C4006)</f>
        <v>1.375</v>
      </c>
      <c r="K4006" s="33" t="n">
        <f aca="false">IF(G4006="","",G4006-C4006)</f>
        <v>-2.51560266779345</v>
      </c>
      <c r="L4006" s="33" t="n">
        <f aca="false">IF(H4006="","",ABS(H4006))</f>
        <v>4</v>
      </c>
      <c r="M4006" s="33" t="n">
        <f aca="false">IF(I4006="","",ABS(I4006))</f>
        <v>4.75</v>
      </c>
      <c r="N4006" s="33" t="n">
        <f aca="false">IF(J4006="","",ABS(J4006))</f>
        <v>1.375</v>
      </c>
      <c r="O4006" s="33" t="n">
        <f aca="false">IF(K4006="","",ABS(K4006))</f>
        <v>2.51560266779345</v>
      </c>
      <c r="P4006" s="34" t="str">
        <f aca="false">IF(B4006&gt;=Eval_Start_Week,"YES","")</f>
        <v>YES</v>
      </c>
      <c r="Q4006" s="34" t="str">
        <f aca="false">IF(AND(B4006&gt;=Cal_Start_Week,B4006&lt;=Cal_End_Week),"YES","")</f>
        <v>YES</v>
      </c>
    </row>
    <row r="4007" customFormat="false" ht="15" hidden="false" customHeight="false" outlineLevel="0" collapsed="false">
      <c r="A4007" s="31" t="str">
        <f aca="false">Demand_History!C4007</f>
        <v>CLN-002</v>
      </c>
      <c r="B4007" s="31" t="n">
        <f aca="false">Demand_History!A4007</f>
        <v>54</v>
      </c>
      <c r="C4007" s="32" t="n">
        <f aca="false">Demand_History!D4007</f>
        <v>152</v>
      </c>
      <c r="D4007" s="33" t="n">
        <f aca="false">IF(B4007&gt;=2,C4006,"")</f>
        <v>152</v>
      </c>
      <c r="E4007" s="33" t="n">
        <f aca="false">IF(B4007&gt;=5,AVERAGE(C4003:C4006),"")</f>
        <v>148.25</v>
      </c>
      <c r="F4007" s="33" t="n">
        <f aca="false">IF(B4007&gt;=9,AVERAGE(C3999:C4006),"")</f>
        <v>153.5</v>
      </c>
      <c r="G4007" s="33" t="n">
        <f aca="false">IF(B4007=1,"",IF(B4007=2,C4006,SES_Alpha*C4006+(1-SES_Alpha)*G4006))</f>
        <v>150.239078132545</v>
      </c>
      <c r="H4007" s="33" t="n">
        <f aca="false">IF(D4007="","",D4007-C4007)</f>
        <v>0</v>
      </c>
      <c r="I4007" s="33" t="n">
        <f aca="false">IF(E4007="","",E4007-C4007)</f>
        <v>-3.75</v>
      </c>
      <c r="J4007" s="33" t="n">
        <f aca="false">IF(F4007="","",F4007-C4007)</f>
        <v>1.5</v>
      </c>
      <c r="K4007" s="33" t="n">
        <f aca="false">IF(G4007="","",G4007-C4007)</f>
        <v>-1.76092186745541</v>
      </c>
      <c r="L4007" s="33" t="n">
        <f aca="false">IF(H4007="","",ABS(H4007))</f>
        <v>0</v>
      </c>
      <c r="M4007" s="33" t="n">
        <f aca="false">IF(I4007="","",ABS(I4007))</f>
        <v>3.75</v>
      </c>
      <c r="N4007" s="33" t="n">
        <f aca="false">IF(J4007="","",ABS(J4007))</f>
        <v>1.5</v>
      </c>
      <c r="O4007" s="33" t="n">
        <f aca="false">IF(K4007="","",ABS(K4007))</f>
        <v>1.76092186745541</v>
      </c>
      <c r="P4007" s="34" t="str">
        <f aca="false">IF(B4007&gt;=Eval_Start_Week,"YES","")</f>
        <v>YES</v>
      </c>
      <c r="Q4007" s="34" t="str">
        <f aca="false">IF(AND(B4007&gt;=Cal_Start_Week,B4007&lt;=Cal_End_Week),"YES","")</f>
        <v>YES</v>
      </c>
    </row>
    <row r="4008" customFormat="false" ht="15" hidden="false" customHeight="false" outlineLevel="0" collapsed="false">
      <c r="A4008" s="31" t="str">
        <f aca="false">Demand_History!C4008</f>
        <v>CLN-002</v>
      </c>
      <c r="B4008" s="31" t="n">
        <f aca="false">Demand_History!A4008</f>
        <v>55</v>
      </c>
      <c r="C4008" s="32" t="n">
        <f aca="false">Demand_History!D4008</f>
        <v>146</v>
      </c>
      <c r="D4008" s="33" t="n">
        <f aca="false">IF(B4008&gt;=2,C4007,"")</f>
        <v>152</v>
      </c>
      <c r="E4008" s="33" t="n">
        <f aca="false">IF(B4008&gt;=5,AVERAGE(C4004:C4007),"")</f>
        <v>145.25</v>
      </c>
      <c r="F4008" s="33" t="n">
        <f aca="false">IF(B4008&gt;=9,AVERAGE(C4000:C4007),"")</f>
        <v>153.375</v>
      </c>
      <c r="G4008" s="33" t="n">
        <f aca="false">IF(B4008=1,"",IF(B4008=2,C4007,SES_Alpha*C4007+(1-SES_Alpha)*G4007))</f>
        <v>150.767354692781</v>
      </c>
      <c r="H4008" s="33" t="n">
        <f aca="false">IF(D4008="","",D4008-C4008)</f>
        <v>6</v>
      </c>
      <c r="I4008" s="33" t="n">
        <f aca="false">IF(E4008="","",E4008-C4008)</f>
        <v>-0.75</v>
      </c>
      <c r="J4008" s="33" t="n">
        <f aca="false">IF(F4008="","",F4008-C4008)</f>
        <v>7.375</v>
      </c>
      <c r="K4008" s="33" t="n">
        <f aca="false">IF(G4008="","",G4008-C4008)</f>
        <v>4.7673546927812</v>
      </c>
      <c r="L4008" s="33" t="n">
        <f aca="false">IF(H4008="","",ABS(H4008))</f>
        <v>6</v>
      </c>
      <c r="M4008" s="33" t="n">
        <f aca="false">IF(I4008="","",ABS(I4008))</f>
        <v>0.75</v>
      </c>
      <c r="N4008" s="33" t="n">
        <f aca="false">IF(J4008="","",ABS(J4008))</f>
        <v>7.375</v>
      </c>
      <c r="O4008" s="33" t="n">
        <f aca="false">IF(K4008="","",ABS(K4008))</f>
        <v>4.7673546927812</v>
      </c>
      <c r="P4008" s="34" t="str">
        <f aca="false">IF(B4008&gt;=Eval_Start_Week,"YES","")</f>
        <v>YES</v>
      </c>
      <c r="Q4008" s="34" t="str">
        <f aca="false">IF(AND(B4008&gt;=Cal_Start_Week,B4008&lt;=Cal_End_Week),"YES","")</f>
        <v>YES</v>
      </c>
    </row>
    <row r="4009" customFormat="false" ht="15" hidden="false" customHeight="false" outlineLevel="0" collapsed="false">
      <c r="A4009" s="31" t="str">
        <f aca="false">Demand_History!C4009</f>
        <v>CLN-002</v>
      </c>
      <c r="B4009" s="31" t="n">
        <f aca="false">Demand_History!A4009</f>
        <v>56</v>
      </c>
      <c r="C4009" s="32" t="n">
        <f aca="false">Demand_History!D4009</f>
        <v>163</v>
      </c>
      <c r="D4009" s="33" t="n">
        <f aca="false">IF(B4009&gt;=2,C4008,"")</f>
        <v>146</v>
      </c>
      <c r="E4009" s="33" t="n">
        <f aca="false">IF(B4009&gt;=5,AVERAGE(C4005:C4008),"")</f>
        <v>149.5</v>
      </c>
      <c r="F4009" s="33" t="n">
        <f aca="false">IF(B4009&gt;=9,AVERAGE(C4001:C4008),"")</f>
        <v>153.875</v>
      </c>
      <c r="G4009" s="33" t="n">
        <f aca="false">IF(B4009=1,"",IF(B4009=2,C4008,SES_Alpha*C4008+(1-SES_Alpha)*G4008))</f>
        <v>149.337148284947</v>
      </c>
      <c r="H4009" s="33" t="n">
        <f aca="false">IF(D4009="","",D4009-C4009)</f>
        <v>-17</v>
      </c>
      <c r="I4009" s="33" t="n">
        <f aca="false">IF(E4009="","",E4009-C4009)</f>
        <v>-13.5</v>
      </c>
      <c r="J4009" s="33" t="n">
        <f aca="false">IF(F4009="","",F4009-C4009)</f>
        <v>-9.125</v>
      </c>
      <c r="K4009" s="33" t="n">
        <f aca="false">IF(G4009="","",G4009-C4009)</f>
        <v>-13.6628517150532</v>
      </c>
      <c r="L4009" s="33" t="n">
        <f aca="false">IF(H4009="","",ABS(H4009))</f>
        <v>17</v>
      </c>
      <c r="M4009" s="33" t="n">
        <f aca="false">IF(I4009="","",ABS(I4009))</f>
        <v>13.5</v>
      </c>
      <c r="N4009" s="33" t="n">
        <f aca="false">IF(J4009="","",ABS(J4009))</f>
        <v>9.125</v>
      </c>
      <c r="O4009" s="33" t="n">
        <f aca="false">IF(K4009="","",ABS(K4009))</f>
        <v>13.6628517150532</v>
      </c>
      <c r="P4009" s="34" t="str">
        <f aca="false">IF(B4009&gt;=Eval_Start_Week,"YES","")</f>
        <v>YES</v>
      </c>
      <c r="Q4009" s="34" t="str">
        <f aca="false">IF(AND(B4009&gt;=Cal_Start_Week,B4009&lt;=Cal_End_Week),"YES","")</f>
        <v>YES</v>
      </c>
    </row>
    <row r="4010" customFormat="false" ht="15" hidden="false" customHeight="false" outlineLevel="0" collapsed="false">
      <c r="A4010" s="31" t="str">
        <f aca="false">Demand_History!C4010</f>
        <v>CLN-002</v>
      </c>
      <c r="B4010" s="31" t="n">
        <f aca="false">Demand_History!A4010</f>
        <v>57</v>
      </c>
      <c r="C4010" s="32" t="n">
        <f aca="false">Demand_History!D4010</f>
        <v>196</v>
      </c>
      <c r="D4010" s="33" t="n">
        <f aca="false">IF(B4010&gt;=2,C4009,"")</f>
        <v>163</v>
      </c>
      <c r="E4010" s="33" t="n">
        <f aca="false">IF(B4010&gt;=5,AVERAGE(C4006:C4009),"")</f>
        <v>153.25</v>
      </c>
      <c r="F4010" s="33" t="n">
        <f aca="false">IF(B4010&gt;=9,AVERAGE(C4002:C4009),"")</f>
        <v>150.25</v>
      </c>
      <c r="G4010" s="33" t="n">
        <f aca="false">IF(B4010=1,"",IF(B4010=2,C4009,SES_Alpha*C4009+(1-SES_Alpha)*G4009))</f>
        <v>153.436003799463</v>
      </c>
      <c r="H4010" s="33" t="n">
        <f aca="false">IF(D4010="","",D4010-C4010)</f>
        <v>-33</v>
      </c>
      <c r="I4010" s="33" t="n">
        <f aca="false">IF(E4010="","",E4010-C4010)</f>
        <v>-42.75</v>
      </c>
      <c r="J4010" s="33" t="n">
        <f aca="false">IF(F4010="","",F4010-C4010)</f>
        <v>-45.75</v>
      </c>
      <c r="K4010" s="33" t="n">
        <f aca="false">IF(G4010="","",G4010-C4010)</f>
        <v>-42.5639962005372</v>
      </c>
      <c r="L4010" s="33" t="n">
        <f aca="false">IF(H4010="","",ABS(H4010))</f>
        <v>33</v>
      </c>
      <c r="M4010" s="33" t="n">
        <f aca="false">IF(I4010="","",ABS(I4010))</f>
        <v>42.75</v>
      </c>
      <c r="N4010" s="33" t="n">
        <f aca="false">IF(J4010="","",ABS(J4010))</f>
        <v>45.75</v>
      </c>
      <c r="O4010" s="33" t="n">
        <f aca="false">IF(K4010="","",ABS(K4010))</f>
        <v>42.5639962005372</v>
      </c>
      <c r="P4010" s="34" t="str">
        <f aca="false">IF(B4010&gt;=Eval_Start_Week,"YES","")</f>
        <v>YES</v>
      </c>
      <c r="Q4010" s="34" t="str">
        <f aca="false">IF(AND(B4010&gt;=Cal_Start_Week,B4010&lt;=Cal_End_Week),"YES","")</f>
        <v>YES</v>
      </c>
    </row>
    <row r="4011" customFormat="false" ht="15" hidden="false" customHeight="false" outlineLevel="0" collapsed="false">
      <c r="A4011" s="31" t="str">
        <f aca="false">Demand_History!C4011</f>
        <v>CLN-002</v>
      </c>
      <c r="B4011" s="31" t="n">
        <f aca="false">Demand_History!A4011</f>
        <v>58</v>
      </c>
      <c r="C4011" s="32" t="n">
        <f aca="false">Demand_History!D4011</f>
        <v>156</v>
      </c>
      <c r="D4011" s="33" t="n">
        <f aca="false">IF(B4011&gt;=2,C4010,"")</f>
        <v>196</v>
      </c>
      <c r="E4011" s="33" t="n">
        <f aca="false">IF(B4011&gt;=5,AVERAGE(C4007:C4010),"")</f>
        <v>164.25</v>
      </c>
      <c r="F4011" s="33" t="n">
        <f aca="false">IF(B4011&gt;=9,AVERAGE(C4003:C4010),"")</f>
        <v>156.25</v>
      </c>
      <c r="G4011" s="33" t="n">
        <f aca="false">IF(B4011=1,"",IF(B4011=2,C4010,SES_Alpha*C4010+(1-SES_Alpha)*G4010))</f>
        <v>166.205202659624</v>
      </c>
      <c r="H4011" s="33" t="n">
        <f aca="false">IF(D4011="","",D4011-C4011)</f>
        <v>40</v>
      </c>
      <c r="I4011" s="33" t="n">
        <f aca="false">IF(E4011="","",E4011-C4011)</f>
        <v>8.25</v>
      </c>
      <c r="J4011" s="33" t="n">
        <f aca="false">IF(F4011="","",F4011-C4011)</f>
        <v>0.25</v>
      </c>
      <c r="K4011" s="33" t="n">
        <f aca="false">IF(G4011="","",G4011-C4011)</f>
        <v>10.2052026596239</v>
      </c>
      <c r="L4011" s="33" t="n">
        <f aca="false">IF(H4011="","",ABS(H4011))</f>
        <v>40</v>
      </c>
      <c r="M4011" s="33" t="n">
        <f aca="false">IF(I4011="","",ABS(I4011))</f>
        <v>8.25</v>
      </c>
      <c r="N4011" s="33" t="n">
        <f aca="false">IF(J4011="","",ABS(J4011))</f>
        <v>0.25</v>
      </c>
      <c r="O4011" s="33" t="n">
        <f aca="false">IF(K4011="","",ABS(K4011))</f>
        <v>10.2052026596239</v>
      </c>
      <c r="P4011" s="34" t="str">
        <f aca="false">IF(B4011&gt;=Eval_Start_Week,"YES","")</f>
        <v>YES</v>
      </c>
      <c r="Q4011" s="34" t="str">
        <f aca="false">IF(AND(B4011&gt;=Cal_Start_Week,B4011&lt;=Cal_End_Week),"YES","")</f>
        <v>YES</v>
      </c>
    </row>
    <row r="4012" customFormat="false" ht="15" hidden="false" customHeight="false" outlineLevel="0" collapsed="false">
      <c r="A4012" s="31" t="str">
        <f aca="false">Demand_History!C4012</f>
        <v>CLN-002</v>
      </c>
      <c r="B4012" s="31" t="n">
        <f aca="false">Demand_History!A4012</f>
        <v>59</v>
      </c>
      <c r="C4012" s="32" t="n">
        <f aca="false">Demand_History!D4012</f>
        <v>156</v>
      </c>
      <c r="D4012" s="33" t="n">
        <f aca="false">IF(B4012&gt;=2,C4011,"")</f>
        <v>156</v>
      </c>
      <c r="E4012" s="33" t="n">
        <f aca="false">IF(B4012&gt;=5,AVERAGE(C4008:C4011),"")</f>
        <v>165.25</v>
      </c>
      <c r="F4012" s="33" t="n">
        <f aca="false">IF(B4012&gt;=9,AVERAGE(C4004:C4011),"")</f>
        <v>155.25</v>
      </c>
      <c r="G4012" s="33" t="n">
        <f aca="false">IF(B4012=1,"",IF(B4012=2,C4011,SES_Alpha*C4011+(1-SES_Alpha)*G4011))</f>
        <v>163.143641861737</v>
      </c>
      <c r="H4012" s="33" t="n">
        <f aca="false">IF(D4012="","",D4012-C4012)</f>
        <v>0</v>
      </c>
      <c r="I4012" s="33" t="n">
        <f aca="false">IF(E4012="","",E4012-C4012)</f>
        <v>9.25</v>
      </c>
      <c r="J4012" s="33" t="n">
        <f aca="false">IF(F4012="","",F4012-C4012)</f>
        <v>-0.75</v>
      </c>
      <c r="K4012" s="33" t="n">
        <f aca="false">IF(G4012="","",G4012-C4012)</f>
        <v>7.14364186173674</v>
      </c>
      <c r="L4012" s="33" t="n">
        <f aca="false">IF(H4012="","",ABS(H4012))</f>
        <v>0</v>
      </c>
      <c r="M4012" s="33" t="n">
        <f aca="false">IF(I4012="","",ABS(I4012))</f>
        <v>9.25</v>
      </c>
      <c r="N4012" s="33" t="n">
        <f aca="false">IF(J4012="","",ABS(J4012))</f>
        <v>0.75</v>
      </c>
      <c r="O4012" s="33" t="n">
        <f aca="false">IF(K4012="","",ABS(K4012))</f>
        <v>7.14364186173674</v>
      </c>
      <c r="P4012" s="34" t="str">
        <f aca="false">IF(B4012&gt;=Eval_Start_Week,"YES","")</f>
        <v>YES</v>
      </c>
      <c r="Q4012" s="34" t="str">
        <f aca="false">IF(AND(B4012&gt;=Cal_Start_Week,B4012&lt;=Cal_End_Week),"YES","")</f>
        <v>YES</v>
      </c>
    </row>
    <row r="4013" customFormat="false" ht="15" hidden="false" customHeight="false" outlineLevel="0" collapsed="false">
      <c r="A4013" s="31" t="str">
        <f aca="false">Demand_History!C4013</f>
        <v>CLN-002</v>
      </c>
      <c r="B4013" s="31" t="n">
        <f aca="false">Demand_History!A4013</f>
        <v>60</v>
      </c>
      <c r="C4013" s="32" t="n">
        <f aca="false">Demand_History!D4013</f>
        <v>150</v>
      </c>
      <c r="D4013" s="33" t="n">
        <f aca="false">IF(B4013&gt;=2,C4012,"")</f>
        <v>156</v>
      </c>
      <c r="E4013" s="33" t="n">
        <f aca="false">IF(B4013&gt;=5,AVERAGE(C4009:C4012),"")</f>
        <v>167.75</v>
      </c>
      <c r="F4013" s="33" t="n">
        <f aca="false">IF(B4013&gt;=9,AVERAGE(C4005:C4012),"")</f>
        <v>158.625</v>
      </c>
      <c r="G4013" s="33" t="n">
        <f aca="false">IF(B4013=1,"",IF(B4013=2,C4012,SES_Alpha*C4012+(1-SES_Alpha)*G4012))</f>
        <v>161.000549303216</v>
      </c>
      <c r="H4013" s="33" t="n">
        <f aca="false">IF(D4013="","",D4013-C4013)</f>
        <v>6</v>
      </c>
      <c r="I4013" s="33" t="n">
        <f aca="false">IF(E4013="","",E4013-C4013)</f>
        <v>17.75</v>
      </c>
      <c r="J4013" s="33" t="n">
        <f aca="false">IF(F4013="","",F4013-C4013)</f>
        <v>8.625</v>
      </c>
      <c r="K4013" s="33" t="n">
        <f aca="false">IF(G4013="","",G4013-C4013)</f>
        <v>11.0005493032157</v>
      </c>
      <c r="L4013" s="33" t="n">
        <f aca="false">IF(H4013="","",ABS(H4013))</f>
        <v>6</v>
      </c>
      <c r="M4013" s="33" t="n">
        <f aca="false">IF(I4013="","",ABS(I4013))</f>
        <v>17.75</v>
      </c>
      <c r="N4013" s="33" t="n">
        <f aca="false">IF(J4013="","",ABS(J4013))</f>
        <v>8.625</v>
      </c>
      <c r="O4013" s="33" t="n">
        <f aca="false">IF(K4013="","",ABS(K4013))</f>
        <v>11.0005493032157</v>
      </c>
      <c r="P4013" s="34" t="str">
        <f aca="false">IF(B4013&gt;=Eval_Start_Week,"YES","")</f>
        <v>YES</v>
      </c>
      <c r="Q4013" s="34" t="str">
        <f aca="false">IF(AND(B4013&gt;=Cal_Start_Week,B4013&lt;=Cal_End_Week),"YES","")</f>
        <v>YES</v>
      </c>
    </row>
    <row r="4014" customFormat="false" ht="15" hidden="false" customHeight="false" outlineLevel="0" collapsed="false">
      <c r="A4014" s="31" t="str">
        <f aca="false">Demand_History!C4014</f>
        <v>CLN-002</v>
      </c>
      <c r="B4014" s="31" t="n">
        <f aca="false">Demand_History!A4014</f>
        <v>61</v>
      </c>
      <c r="C4014" s="32" t="n">
        <f aca="false">Demand_History!D4014</f>
        <v>219</v>
      </c>
      <c r="D4014" s="33" t="n">
        <f aca="false">IF(B4014&gt;=2,C4013,"")</f>
        <v>150</v>
      </c>
      <c r="E4014" s="33" t="n">
        <f aca="false">IF(B4014&gt;=5,AVERAGE(C4010:C4013),"")</f>
        <v>164.5</v>
      </c>
      <c r="F4014" s="33" t="n">
        <f aca="false">IF(B4014&gt;=9,AVERAGE(C4006:C4013),"")</f>
        <v>158.875</v>
      </c>
      <c r="G4014" s="33" t="n">
        <f aca="false">IF(B4014=1,"",IF(B4014=2,C4013,SES_Alpha*C4013+(1-SES_Alpha)*G4013))</f>
        <v>157.700384512251</v>
      </c>
      <c r="H4014" s="33" t="n">
        <f aca="false">IF(D4014="","",D4014-C4014)</f>
        <v>-69</v>
      </c>
      <c r="I4014" s="33" t="n">
        <f aca="false">IF(E4014="","",E4014-C4014)</f>
        <v>-54.5</v>
      </c>
      <c r="J4014" s="33" t="n">
        <f aca="false">IF(F4014="","",F4014-C4014)</f>
        <v>-60.125</v>
      </c>
      <c r="K4014" s="33" t="n">
        <f aca="false">IF(G4014="","",G4014-C4014)</f>
        <v>-61.299615487749</v>
      </c>
      <c r="L4014" s="33" t="n">
        <f aca="false">IF(H4014="","",ABS(H4014))</f>
        <v>69</v>
      </c>
      <c r="M4014" s="33" t="n">
        <f aca="false">IF(I4014="","",ABS(I4014))</f>
        <v>54.5</v>
      </c>
      <c r="N4014" s="33" t="n">
        <f aca="false">IF(J4014="","",ABS(J4014))</f>
        <v>60.125</v>
      </c>
      <c r="O4014" s="33" t="n">
        <f aca="false">IF(K4014="","",ABS(K4014))</f>
        <v>61.299615487749</v>
      </c>
      <c r="P4014" s="34" t="str">
        <f aca="false">IF(B4014&gt;=Eval_Start_Week,"YES","")</f>
        <v>YES</v>
      </c>
      <c r="Q4014" s="34" t="str">
        <f aca="false">IF(AND(B4014&gt;=Cal_Start_Week,B4014&lt;=Cal_End_Week),"YES","")</f>
        <v>YES</v>
      </c>
    </row>
    <row r="4015" customFormat="false" ht="15" hidden="false" customHeight="false" outlineLevel="0" collapsed="false">
      <c r="A4015" s="31" t="str">
        <f aca="false">Demand_History!C4015</f>
        <v>CLN-002</v>
      </c>
      <c r="B4015" s="31" t="n">
        <f aca="false">Demand_History!A4015</f>
        <v>62</v>
      </c>
      <c r="C4015" s="32" t="n">
        <f aca="false">Demand_History!D4015</f>
        <v>197</v>
      </c>
      <c r="D4015" s="33" t="n">
        <f aca="false">IF(B4015&gt;=2,C4014,"")</f>
        <v>219</v>
      </c>
      <c r="E4015" s="33" t="n">
        <f aca="false">IF(B4015&gt;=5,AVERAGE(C4011:C4014),"")</f>
        <v>170.25</v>
      </c>
      <c r="F4015" s="33" t="n">
        <f aca="false">IF(B4015&gt;=9,AVERAGE(C4007:C4014),"")</f>
        <v>167.25</v>
      </c>
      <c r="G4015" s="33" t="n">
        <f aca="false">IF(B4015=1,"",IF(B4015=2,C4014,SES_Alpha*C4014+(1-SES_Alpha)*G4014))</f>
        <v>176.090269158576</v>
      </c>
      <c r="H4015" s="33" t="n">
        <f aca="false">IF(D4015="","",D4015-C4015)</f>
        <v>22</v>
      </c>
      <c r="I4015" s="33" t="n">
        <f aca="false">IF(E4015="","",E4015-C4015)</f>
        <v>-26.75</v>
      </c>
      <c r="J4015" s="33" t="n">
        <f aca="false">IF(F4015="","",F4015-C4015)</f>
        <v>-29.75</v>
      </c>
      <c r="K4015" s="33" t="n">
        <f aca="false">IF(G4015="","",G4015-C4015)</f>
        <v>-20.9097308414243</v>
      </c>
      <c r="L4015" s="33" t="n">
        <f aca="false">IF(H4015="","",ABS(H4015))</f>
        <v>22</v>
      </c>
      <c r="M4015" s="33" t="n">
        <f aca="false">IF(I4015="","",ABS(I4015))</f>
        <v>26.75</v>
      </c>
      <c r="N4015" s="33" t="n">
        <f aca="false">IF(J4015="","",ABS(J4015))</f>
        <v>29.75</v>
      </c>
      <c r="O4015" s="33" t="n">
        <f aca="false">IF(K4015="","",ABS(K4015))</f>
        <v>20.9097308414243</v>
      </c>
      <c r="P4015" s="34" t="str">
        <f aca="false">IF(B4015&gt;=Eval_Start_Week,"YES","")</f>
        <v>YES</v>
      </c>
      <c r="Q4015" s="34" t="str">
        <f aca="false">IF(AND(B4015&gt;=Cal_Start_Week,B4015&lt;=Cal_End_Week),"YES","")</f>
        <v>YES</v>
      </c>
    </row>
    <row r="4016" customFormat="false" ht="15" hidden="false" customHeight="false" outlineLevel="0" collapsed="false">
      <c r="A4016" s="31" t="str">
        <f aca="false">Demand_History!C4016</f>
        <v>CLN-002</v>
      </c>
      <c r="B4016" s="31" t="n">
        <f aca="false">Demand_History!A4016</f>
        <v>63</v>
      </c>
      <c r="C4016" s="32" t="n">
        <f aca="false">Demand_History!D4016</f>
        <v>172</v>
      </c>
      <c r="D4016" s="33" t="n">
        <f aca="false">IF(B4016&gt;=2,C4015,"")</f>
        <v>197</v>
      </c>
      <c r="E4016" s="33" t="n">
        <f aca="false">IF(B4016&gt;=5,AVERAGE(C4012:C4015),"")</f>
        <v>180.5</v>
      </c>
      <c r="F4016" s="33" t="n">
        <f aca="false">IF(B4016&gt;=9,AVERAGE(C4008:C4015),"")</f>
        <v>172.875</v>
      </c>
      <c r="G4016" s="33" t="n">
        <f aca="false">IF(B4016=1,"",IF(B4016=2,C4015,SES_Alpha*C4015+(1-SES_Alpha)*G4015))</f>
        <v>182.363188411003</v>
      </c>
      <c r="H4016" s="33" t="n">
        <f aca="false">IF(D4016="","",D4016-C4016)</f>
        <v>25</v>
      </c>
      <c r="I4016" s="33" t="n">
        <f aca="false">IF(E4016="","",E4016-C4016)</f>
        <v>8.5</v>
      </c>
      <c r="J4016" s="33" t="n">
        <f aca="false">IF(F4016="","",F4016-C4016)</f>
        <v>0.875</v>
      </c>
      <c r="K4016" s="33" t="n">
        <f aca="false">IF(G4016="","",G4016-C4016)</f>
        <v>10.363188411003</v>
      </c>
      <c r="L4016" s="33" t="n">
        <f aca="false">IF(H4016="","",ABS(H4016))</f>
        <v>25</v>
      </c>
      <c r="M4016" s="33" t="n">
        <f aca="false">IF(I4016="","",ABS(I4016))</f>
        <v>8.5</v>
      </c>
      <c r="N4016" s="33" t="n">
        <f aca="false">IF(J4016="","",ABS(J4016))</f>
        <v>0.875</v>
      </c>
      <c r="O4016" s="33" t="n">
        <f aca="false">IF(K4016="","",ABS(K4016))</f>
        <v>10.363188411003</v>
      </c>
      <c r="P4016" s="34" t="str">
        <f aca="false">IF(B4016&gt;=Eval_Start_Week,"YES","")</f>
        <v>YES</v>
      </c>
      <c r="Q4016" s="34" t="str">
        <f aca="false">IF(AND(B4016&gt;=Cal_Start_Week,B4016&lt;=Cal_End_Week),"YES","")</f>
        <v>YES</v>
      </c>
    </row>
    <row r="4017" customFormat="false" ht="15" hidden="false" customHeight="false" outlineLevel="0" collapsed="false">
      <c r="A4017" s="31" t="str">
        <f aca="false">Demand_History!C4017</f>
        <v>CLN-002</v>
      </c>
      <c r="B4017" s="31" t="n">
        <f aca="false">Demand_History!A4017</f>
        <v>64</v>
      </c>
      <c r="C4017" s="32" t="n">
        <f aca="false">Demand_History!D4017</f>
        <v>176</v>
      </c>
      <c r="D4017" s="33" t="n">
        <f aca="false">IF(B4017&gt;=2,C4016,"")</f>
        <v>172</v>
      </c>
      <c r="E4017" s="33" t="n">
        <f aca="false">IF(B4017&gt;=5,AVERAGE(C4013:C4016),"")</f>
        <v>184.5</v>
      </c>
      <c r="F4017" s="33" t="n">
        <f aca="false">IF(B4017&gt;=9,AVERAGE(C4009:C4016),"")</f>
        <v>176.125</v>
      </c>
      <c r="G4017" s="33" t="n">
        <f aca="false">IF(B4017=1,"",IF(B4017=2,C4016,SES_Alpha*C4016+(1-SES_Alpha)*G4016))</f>
        <v>179.254231887702</v>
      </c>
      <c r="H4017" s="33" t="n">
        <f aca="false">IF(D4017="","",D4017-C4017)</f>
        <v>-4</v>
      </c>
      <c r="I4017" s="33" t="n">
        <f aca="false">IF(E4017="","",E4017-C4017)</f>
        <v>8.5</v>
      </c>
      <c r="J4017" s="33" t="n">
        <f aca="false">IF(F4017="","",F4017-C4017)</f>
        <v>0.125</v>
      </c>
      <c r="K4017" s="33" t="n">
        <f aca="false">IF(G4017="","",G4017-C4017)</f>
        <v>3.25423188770208</v>
      </c>
      <c r="L4017" s="33" t="n">
        <f aca="false">IF(H4017="","",ABS(H4017))</f>
        <v>4</v>
      </c>
      <c r="M4017" s="33" t="n">
        <f aca="false">IF(I4017="","",ABS(I4017))</f>
        <v>8.5</v>
      </c>
      <c r="N4017" s="33" t="n">
        <f aca="false">IF(J4017="","",ABS(J4017))</f>
        <v>0.125</v>
      </c>
      <c r="O4017" s="33" t="n">
        <f aca="false">IF(K4017="","",ABS(K4017))</f>
        <v>3.25423188770208</v>
      </c>
      <c r="P4017" s="34" t="str">
        <f aca="false">IF(B4017&gt;=Eval_Start_Week,"YES","")</f>
        <v>YES</v>
      </c>
      <c r="Q4017" s="34" t="str">
        <f aca="false">IF(AND(B4017&gt;=Cal_Start_Week,B4017&lt;=Cal_End_Week),"YES","")</f>
        <v>YES</v>
      </c>
    </row>
    <row r="4018" customFormat="false" ht="15" hidden="false" customHeight="false" outlineLevel="0" collapsed="false">
      <c r="A4018" s="31" t="str">
        <f aca="false">Demand_History!C4018</f>
        <v>CLN-002</v>
      </c>
      <c r="B4018" s="31" t="n">
        <f aca="false">Demand_History!A4018</f>
        <v>65</v>
      </c>
      <c r="C4018" s="32" t="n">
        <f aca="false">Demand_History!D4018</f>
        <v>143</v>
      </c>
      <c r="D4018" s="33" t="n">
        <f aca="false">IF(B4018&gt;=2,C4017,"")</f>
        <v>176</v>
      </c>
      <c r="E4018" s="33" t="n">
        <f aca="false">IF(B4018&gt;=5,AVERAGE(C4014:C4017),"")</f>
        <v>191</v>
      </c>
      <c r="F4018" s="33" t="n">
        <f aca="false">IF(B4018&gt;=9,AVERAGE(C4010:C4017),"")</f>
        <v>177.75</v>
      </c>
      <c r="G4018" s="33" t="n">
        <f aca="false">IF(B4018=1,"",IF(B4018=2,C4017,SES_Alpha*C4017+(1-SES_Alpha)*G4017))</f>
        <v>178.277962321391</v>
      </c>
      <c r="H4018" s="33" t="n">
        <f aca="false">IF(D4018="","",D4018-C4018)</f>
        <v>33</v>
      </c>
      <c r="I4018" s="33" t="n">
        <f aca="false">IF(E4018="","",E4018-C4018)</f>
        <v>48</v>
      </c>
      <c r="J4018" s="33" t="n">
        <f aca="false">IF(F4018="","",F4018-C4018)</f>
        <v>34.75</v>
      </c>
      <c r="K4018" s="33" t="n">
        <f aca="false">IF(G4018="","",G4018-C4018)</f>
        <v>35.2779623213914</v>
      </c>
      <c r="L4018" s="33" t="n">
        <f aca="false">IF(H4018="","",ABS(H4018))</f>
        <v>33</v>
      </c>
      <c r="M4018" s="33" t="n">
        <f aca="false">IF(I4018="","",ABS(I4018))</f>
        <v>48</v>
      </c>
      <c r="N4018" s="33" t="n">
        <f aca="false">IF(J4018="","",ABS(J4018))</f>
        <v>34.75</v>
      </c>
      <c r="O4018" s="33" t="n">
        <f aca="false">IF(K4018="","",ABS(K4018))</f>
        <v>35.2779623213914</v>
      </c>
      <c r="P4018" s="34" t="str">
        <f aca="false">IF(B4018&gt;=Eval_Start_Week,"YES","")</f>
        <v>YES</v>
      </c>
      <c r="Q4018" s="34" t="str">
        <f aca="false">IF(AND(B4018&gt;=Cal_Start_Week,B4018&lt;=Cal_End_Week),"YES","")</f>
        <v>YES</v>
      </c>
    </row>
    <row r="4019" customFormat="false" ht="15" hidden="false" customHeight="false" outlineLevel="0" collapsed="false">
      <c r="A4019" s="31" t="str">
        <f aca="false">Demand_History!C4019</f>
        <v>CLN-002</v>
      </c>
      <c r="B4019" s="31" t="n">
        <f aca="false">Demand_History!A4019</f>
        <v>66</v>
      </c>
      <c r="C4019" s="32" t="n">
        <f aca="false">Demand_History!D4019</f>
        <v>156</v>
      </c>
      <c r="D4019" s="33" t="n">
        <f aca="false">IF(B4019&gt;=2,C4018,"")</f>
        <v>143</v>
      </c>
      <c r="E4019" s="33" t="n">
        <f aca="false">IF(B4019&gt;=5,AVERAGE(C4015:C4018),"")</f>
        <v>172</v>
      </c>
      <c r="F4019" s="33" t="n">
        <f aca="false">IF(B4019&gt;=9,AVERAGE(C4011:C4018),"")</f>
        <v>171.125</v>
      </c>
      <c r="G4019" s="33" t="n">
        <f aca="false">IF(B4019=1,"",IF(B4019=2,C4018,SES_Alpha*C4018+(1-SES_Alpha)*G4018))</f>
        <v>167.694573624974</v>
      </c>
      <c r="H4019" s="33" t="n">
        <f aca="false">IF(D4019="","",D4019-C4019)</f>
        <v>-13</v>
      </c>
      <c r="I4019" s="33" t="n">
        <f aca="false">IF(E4019="","",E4019-C4019)</f>
        <v>16</v>
      </c>
      <c r="J4019" s="33" t="n">
        <f aca="false">IF(F4019="","",F4019-C4019)</f>
        <v>15.125</v>
      </c>
      <c r="K4019" s="33" t="n">
        <f aca="false">IF(G4019="","",G4019-C4019)</f>
        <v>11.694573624974</v>
      </c>
      <c r="L4019" s="33" t="n">
        <f aca="false">IF(H4019="","",ABS(H4019))</f>
        <v>13</v>
      </c>
      <c r="M4019" s="33" t="n">
        <f aca="false">IF(I4019="","",ABS(I4019))</f>
        <v>16</v>
      </c>
      <c r="N4019" s="33" t="n">
        <f aca="false">IF(J4019="","",ABS(J4019))</f>
        <v>15.125</v>
      </c>
      <c r="O4019" s="33" t="n">
        <f aca="false">IF(K4019="","",ABS(K4019))</f>
        <v>11.694573624974</v>
      </c>
      <c r="P4019" s="34" t="str">
        <f aca="false">IF(B4019&gt;=Eval_Start_Week,"YES","")</f>
        <v>YES</v>
      </c>
      <c r="Q4019" s="34" t="str">
        <f aca="false">IF(AND(B4019&gt;=Cal_Start_Week,B4019&lt;=Cal_End_Week),"YES","")</f>
        <v>YES</v>
      </c>
    </row>
    <row r="4020" customFormat="false" ht="15" hidden="false" customHeight="false" outlineLevel="0" collapsed="false">
      <c r="A4020" s="31" t="str">
        <f aca="false">Demand_History!C4020</f>
        <v>CLN-002</v>
      </c>
      <c r="B4020" s="31" t="n">
        <f aca="false">Demand_History!A4020</f>
        <v>67</v>
      </c>
      <c r="C4020" s="32" t="n">
        <f aca="false">Demand_History!D4020</f>
        <v>164</v>
      </c>
      <c r="D4020" s="33" t="n">
        <f aca="false">IF(B4020&gt;=2,C4019,"")</f>
        <v>156</v>
      </c>
      <c r="E4020" s="33" t="n">
        <f aca="false">IF(B4020&gt;=5,AVERAGE(C4016:C4019),"")</f>
        <v>161.75</v>
      </c>
      <c r="F4020" s="33" t="n">
        <f aca="false">IF(B4020&gt;=9,AVERAGE(C4012:C4019),"")</f>
        <v>171.125</v>
      </c>
      <c r="G4020" s="33" t="n">
        <f aca="false">IF(B4020=1,"",IF(B4020=2,C4019,SES_Alpha*C4019+(1-SES_Alpha)*G4019))</f>
        <v>164.186201537482</v>
      </c>
      <c r="H4020" s="33" t="n">
        <f aca="false">IF(D4020="","",D4020-C4020)</f>
        <v>-8</v>
      </c>
      <c r="I4020" s="33" t="n">
        <f aca="false">IF(E4020="","",E4020-C4020)</f>
        <v>-2.25</v>
      </c>
      <c r="J4020" s="33" t="n">
        <f aca="false">IF(F4020="","",F4020-C4020)</f>
        <v>7.125</v>
      </c>
      <c r="K4020" s="33" t="n">
        <f aca="false">IF(G4020="","",G4020-C4020)</f>
        <v>0.186201537481793</v>
      </c>
      <c r="L4020" s="33" t="n">
        <f aca="false">IF(H4020="","",ABS(H4020))</f>
        <v>8</v>
      </c>
      <c r="M4020" s="33" t="n">
        <f aca="false">IF(I4020="","",ABS(I4020))</f>
        <v>2.25</v>
      </c>
      <c r="N4020" s="33" t="n">
        <f aca="false">IF(J4020="","",ABS(J4020))</f>
        <v>7.125</v>
      </c>
      <c r="O4020" s="33" t="n">
        <f aca="false">IF(K4020="","",ABS(K4020))</f>
        <v>0.186201537481793</v>
      </c>
      <c r="P4020" s="34" t="str">
        <f aca="false">IF(B4020&gt;=Eval_Start_Week,"YES","")</f>
        <v>YES</v>
      </c>
      <c r="Q4020" s="34" t="str">
        <f aca="false">IF(AND(B4020&gt;=Cal_Start_Week,B4020&lt;=Cal_End_Week),"YES","")</f>
        <v>YES</v>
      </c>
    </row>
    <row r="4021" customFormat="false" ht="15" hidden="false" customHeight="false" outlineLevel="0" collapsed="false">
      <c r="A4021" s="31" t="str">
        <f aca="false">Demand_History!C4021</f>
        <v>CLN-002</v>
      </c>
      <c r="B4021" s="31" t="n">
        <f aca="false">Demand_History!A4021</f>
        <v>68</v>
      </c>
      <c r="C4021" s="32" t="n">
        <f aca="false">Demand_History!D4021</f>
        <v>162</v>
      </c>
      <c r="D4021" s="33" t="n">
        <f aca="false">IF(B4021&gt;=2,C4020,"")</f>
        <v>164</v>
      </c>
      <c r="E4021" s="33" t="n">
        <f aca="false">IF(B4021&gt;=5,AVERAGE(C4017:C4020),"")</f>
        <v>159.75</v>
      </c>
      <c r="F4021" s="33" t="n">
        <f aca="false">IF(B4021&gt;=9,AVERAGE(C4013:C4020),"")</f>
        <v>172.125</v>
      </c>
      <c r="G4021" s="33" t="n">
        <f aca="false">IF(B4021=1,"",IF(B4021=2,C4020,SES_Alpha*C4020+(1-SES_Alpha)*G4020))</f>
        <v>164.130341076237</v>
      </c>
      <c r="H4021" s="33" t="n">
        <f aca="false">IF(D4021="","",D4021-C4021)</f>
        <v>2</v>
      </c>
      <c r="I4021" s="33" t="n">
        <f aca="false">IF(E4021="","",E4021-C4021)</f>
        <v>-2.25</v>
      </c>
      <c r="J4021" s="33" t="n">
        <f aca="false">IF(F4021="","",F4021-C4021)</f>
        <v>10.125</v>
      </c>
      <c r="K4021" s="33" t="n">
        <f aca="false">IF(G4021="","",G4021-C4021)</f>
        <v>2.13034107623724</v>
      </c>
      <c r="L4021" s="33" t="n">
        <f aca="false">IF(H4021="","",ABS(H4021))</f>
        <v>2</v>
      </c>
      <c r="M4021" s="33" t="n">
        <f aca="false">IF(I4021="","",ABS(I4021))</f>
        <v>2.25</v>
      </c>
      <c r="N4021" s="33" t="n">
        <f aca="false">IF(J4021="","",ABS(J4021))</f>
        <v>10.125</v>
      </c>
      <c r="O4021" s="33" t="n">
        <f aca="false">IF(K4021="","",ABS(K4021))</f>
        <v>2.13034107623724</v>
      </c>
      <c r="P4021" s="34" t="str">
        <f aca="false">IF(B4021&gt;=Eval_Start_Week,"YES","")</f>
        <v>YES</v>
      </c>
      <c r="Q4021" s="34" t="str">
        <f aca="false">IF(AND(B4021&gt;=Cal_Start_Week,B4021&lt;=Cal_End_Week),"YES","")</f>
        <v>YES</v>
      </c>
    </row>
    <row r="4022" customFormat="false" ht="15" hidden="false" customHeight="false" outlineLevel="0" collapsed="false">
      <c r="A4022" s="31" t="str">
        <f aca="false">Demand_History!C4022</f>
        <v>CLN-002</v>
      </c>
      <c r="B4022" s="31" t="n">
        <f aca="false">Demand_History!A4022</f>
        <v>69</v>
      </c>
      <c r="C4022" s="32" t="n">
        <f aca="false">Demand_History!D4022</f>
        <v>139</v>
      </c>
      <c r="D4022" s="33" t="n">
        <f aca="false">IF(B4022&gt;=2,C4021,"")</f>
        <v>162</v>
      </c>
      <c r="E4022" s="33" t="n">
        <f aca="false">IF(B4022&gt;=5,AVERAGE(C4018:C4021),"")</f>
        <v>156.25</v>
      </c>
      <c r="F4022" s="33" t="n">
        <f aca="false">IF(B4022&gt;=9,AVERAGE(C4014:C4021),"")</f>
        <v>173.625</v>
      </c>
      <c r="G4022" s="33" t="n">
        <f aca="false">IF(B4022=1,"",IF(B4022=2,C4021,SES_Alpha*C4021+(1-SES_Alpha)*G4021))</f>
        <v>163.491238753366</v>
      </c>
      <c r="H4022" s="33" t="n">
        <f aca="false">IF(D4022="","",D4022-C4022)</f>
        <v>23</v>
      </c>
      <c r="I4022" s="33" t="n">
        <f aca="false">IF(E4022="","",E4022-C4022)</f>
        <v>17.25</v>
      </c>
      <c r="J4022" s="33" t="n">
        <f aca="false">IF(F4022="","",F4022-C4022)</f>
        <v>34.625</v>
      </c>
      <c r="K4022" s="33" t="n">
        <f aca="false">IF(G4022="","",G4022-C4022)</f>
        <v>24.4912387533661</v>
      </c>
      <c r="L4022" s="33" t="n">
        <f aca="false">IF(H4022="","",ABS(H4022))</f>
        <v>23</v>
      </c>
      <c r="M4022" s="33" t="n">
        <f aca="false">IF(I4022="","",ABS(I4022))</f>
        <v>17.25</v>
      </c>
      <c r="N4022" s="33" t="n">
        <f aca="false">IF(J4022="","",ABS(J4022))</f>
        <v>34.625</v>
      </c>
      <c r="O4022" s="33" t="n">
        <f aca="false">IF(K4022="","",ABS(K4022))</f>
        <v>24.4912387533661</v>
      </c>
      <c r="P4022" s="34" t="str">
        <f aca="false">IF(B4022&gt;=Eval_Start_Week,"YES","")</f>
        <v>YES</v>
      </c>
      <c r="Q4022" s="34" t="str">
        <f aca="false">IF(AND(B4022&gt;=Cal_Start_Week,B4022&lt;=Cal_End_Week),"YES","")</f>
        <v>YES</v>
      </c>
    </row>
    <row r="4023" customFormat="false" ht="15" hidden="false" customHeight="false" outlineLevel="0" collapsed="false">
      <c r="A4023" s="31" t="str">
        <f aca="false">Demand_History!C4023</f>
        <v>CLN-002</v>
      </c>
      <c r="B4023" s="31" t="n">
        <f aca="false">Demand_History!A4023</f>
        <v>70</v>
      </c>
      <c r="C4023" s="32" t="n">
        <f aca="false">Demand_History!D4023</f>
        <v>141</v>
      </c>
      <c r="D4023" s="33" t="n">
        <f aca="false">IF(B4023&gt;=2,C4022,"")</f>
        <v>139</v>
      </c>
      <c r="E4023" s="33" t="n">
        <f aca="false">IF(B4023&gt;=5,AVERAGE(C4019:C4022),"")</f>
        <v>155.25</v>
      </c>
      <c r="F4023" s="33" t="n">
        <f aca="false">IF(B4023&gt;=9,AVERAGE(C4015:C4022),"")</f>
        <v>163.625</v>
      </c>
      <c r="G4023" s="33" t="n">
        <f aca="false">IF(B4023=1,"",IF(B4023=2,C4022,SES_Alpha*C4022+(1-SES_Alpha)*G4022))</f>
        <v>156.143867127356</v>
      </c>
      <c r="H4023" s="33" t="n">
        <f aca="false">IF(D4023="","",D4023-C4023)</f>
        <v>-2</v>
      </c>
      <c r="I4023" s="33" t="n">
        <f aca="false">IF(E4023="","",E4023-C4023)</f>
        <v>14.25</v>
      </c>
      <c r="J4023" s="33" t="n">
        <f aca="false">IF(F4023="","",F4023-C4023)</f>
        <v>22.625</v>
      </c>
      <c r="K4023" s="33" t="n">
        <f aca="false">IF(G4023="","",G4023-C4023)</f>
        <v>15.1438671273562</v>
      </c>
      <c r="L4023" s="33" t="n">
        <f aca="false">IF(H4023="","",ABS(H4023))</f>
        <v>2</v>
      </c>
      <c r="M4023" s="33" t="n">
        <f aca="false">IF(I4023="","",ABS(I4023))</f>
        <v>14.25</v>
      </c>
      <c r="N4023" s="33" t="n">
        <f aca="false">IF(J4023="","",ABS(J4023))</f>
        <v>22.625</v>
      </c>
      <c r="O4023" s="33" t="n">
        <f aca="false">IF(K4023="","",ABS(K4023))</f>
        <v>15.1438671273562</v>
      </c>
      <c r="P4023" s="34" t="str">
        <f aca="false">IF(B4023&gt;=Eval_Start_Week,"YES","")</f>
        <v>YES</v>
      </c>
      <c r="Q4023" s="34" t="str">
        <f aca="false">IF(AND(B4023&gt;=Cal_Start_Week,B4023&lt;=Cal_End_Week),"YES","")</f>
        <v>YES</v>
      </c>
    </row>
    <row r="4024" customFormat="false" ht="15" hidden="false" customHeight="false" outlineLevel="0" collapsed="false">
      <c r="A4024" s="31" t="str">
        <f aca="false">Demand_History!C4024</f>
        <v>CLN-002</v>
      </c>
      <c r="B4024" s="31" t="n">
        <f aca="false">Demand_History!A4024</f>
        <v>71</v>
      </c>
      <c r="C4024" s="32" t="n">
        <f aca="false">Demand_History!D4024</f>
        <v>171</v>
      </c>
      <c r="D4024" s="33" t="n">
        <f aca="false">IF(B4024&gt;=2,C4023,"")</f>
        <v>141</v>
      </c>
      <c r="E4024" s="33" t="n">
        <f aca="false">IF(B4024&gt;=5,AVERAGE(C4020:C4023),"")</f>
        <v>151.5</v>
      </c>
      <c r="F4024" s="33" t="n">
        <f aca="false">IF(B4024&gt;=9,AVERAGE(C4016:C4023),"")</f>
        <v>156.625</v>
      </c>
      <c r="G4024" s="33" t="n">
        <f aca="false">IF(B4024=1,"",IF(B4024=2,C4023,SES_Alpha*C4023+(1-SES_Alpha)*G4023))</f>
        <v>151.600706989149</v>
      </c>
      <c r="H4024" s="33" t="n">
        <f aca="false">IF(D4024="","",D4024-C4024)</f>
        <v>-30</v>
      </c>
      <c r="I4024" s="33" t="n">
        <f aca="false">IF(E4024="","",E4024-C4024)</f>
        <v>-19.5</v>
      </c>
      <c r="J4024" s="33" t="n">
        <f aca="false">IF(F4024="","",F4024-C4024)</f>
        <v>-14.375</v>
      </c>
      <c r="K4024" s="33" t="n">
        <f aca="false">IF(G4024="","",G4024-C4024)</f>
        <v>-19.3992930108506</v>
      </c>
      <c r="L4024" s="33" t="n">
        <f aca="false">IF(H4024="","",ABS(H4024))</f>
        <v>30</v>
      </c>
      <c r="M4024" s="33" t="n">
        <f aca="false">IF(I4024="","",ABS(I4024))</f>
        <v>19.5</v>
      </c>
      <c r="N4024" s="33" t="n">
        <f aca="false">IF(J4024="","",ABS(J4024))</f>
        <v>14.375</v>
      </c>
      <c r="O4024" s="33" t="n">
        <f aca="false">IF(K4024="","",ABS(K4024))</f>
        <v>19.3992930108506</v>
      </c>
      <c r="P4024" s="34" t="str">
        <f aca="false">IF(B4024&gt;=Eval_Start_Week,"YES","")</f>
        <v>YES</v>
      </c>
      <c r="Q4024" s="34" t="str">
        <f aca="false">IF(AND(B4024&gt;=Cal_Start_Week,B4024&lt;=Cal_End_Week),"YES","")</f>
        <v>YES</v>
      </c>
    </row>
    <row r="4025" customFormat="false" ht="15" hidden="false" customHeight="false" outlineLevel="0" collapsed="false">
      <c r="A4025" s="31" t="str">
        <f aca="false">Demand_History!C4025</f>
        <v>CLN-002</v>
      </c>
      <c r="B4025" s="31" t="n">
        <f aca="false">Demand_History!A4025</f>
        <v>72</v>
      </c>
      <c r="C4025" s="32" t="n">
        <f aca="false">Demand_History!D4025</f>
        <v>167</v>
      </c>
      <c r="D4025" s="33" t="n">
        <f aca="false">IF(B4025&gt;=2,C4024,"")</f>
        <v>171</v>
      </c>
      <c r="E4025" s="33" t="n">
        <f aca="false">IF(B4025&gt;=5,AVERAGE(C4021:C4024),"")</f>
        <v>153.25</v>
      </c>
      <c r="F4025" s="33" t="n">
        <f aca="false">IF(B4025&gt;=9,AVERAGE(C4017:C4024),"")</f>
        <v>156.5</v>
      </c>
      <c r="G4025" s="33" t="n">
        <f aca="false">IF(B4025=1,"",IF(B4025=2,C4024,SES_Alpha*C4024+(1-SES_Alpha)*G4024))</f>
        <v>157.420494892405</v>
      </c>
      <c r="H4025" s="33" t="n">
        <f aca="false">IF(D4025="","",D4025-C4025)</f>
        <v>4</v>
      </c>
      <c r="I4025" s="33" t="n">
        <f aca="false">IF(E4025="","",E4025-C4025)</f>
        <v>-13.75</v>
      </c>
      <c r="J4025" s="33" t="n">
        <f aca="false">IF(F4025="","",F4025-C4025)</f>
        <v>-10.5</v>
      </c>
      <c r="K4025" s="33" t="n">
        <f aca="false">IF(G4025="","",G4025-C4025)</f>
        <v>-9.57950510759545</v>
      </c>
      <c r="L4025" s="33" t="n">
        <f aca="false">IF(H4025="","",ABS(H4025))</f>
        <v>4</v>
      </c>
      <c r="M4025" s="33" t="n">
        <f aca="false">IF(I4025="","",ABS(I4025))</f>
        <v>13.75</v>
      </c>
      <c r="N4025" s="33" t="n">
        <f aca="false">IF(J4025="","",ABS(J4025))</f>
        <v>10.5</v>
      </c>
      <c r="O4025" s="33" t="n">
        <f aca="false">IF(K4025="","",ABS(K4025))</f>
        <v>9.57950510759545</v>
      </c>
      <c r="P4025" s="34" t="str">
        <f aca="false">IF(B4025&gt;=Eval_Start_Week,"YES","")</f>
        <v>YES</v>
      </c>
      <c r="Q4025" s="34" t="str">
        <f aca="false">IF(AND(B4025&gt;=Cal_Start_Week,B4025&lt;=Cal_End_Week),"YES","")</f>
        <v>YES</v>
      </c>
    </row>
    <row r="4026" customFormat="false" ht="15" hidden="false" customHeight="false" outlineLevel="0" collapsed="false">
      <c r="A4026" s="31" t="str">
        <f aca="false">Demand_History!C4026</f>
        <v>CLN-002</v>
      </c>
      <c r="B4026" s="31" t="n">
        <f aca="false">Demand_History!A4026</f>
        <v>73</v>
      </c>
      <c r="C4026" s="32" t="n">
        <f aca="false">Demand_History!D4026</f>
        <v>110</v>
      </c>
      <c r="D4026" s="33" t="n">
        <f aca="false">IF(B4026&gt;=2,C4025,"")</f>
        <v>167</v>
      </c>
      <c r="E4026" s="33" t="n">
        <f aca="false">IF(B4026&gt;=5,AVERAGE(C4022:C4025),"")</f>
        <v>154.5</v>
      </c>
      <c r="F4026" s="33" t="n">
        <f aca="false">IF(B4026&gt;=9,AVERAGE(C4018:C4025),"")</f>
        <v>155.375</v>
      </c>
      <c r="G4026" s="33" t="n">
        <f aca="false">IF(B4026=1,"",IF(B4026=2,C4025,SES_Alpha*C4025+(1-SES_Alpha)*G4025))</f>
        <v>160.294346424683</v>
      </c>
      <c r="H4026" s="33" t="n">
        <f aca="false">IF(D4026="","",D4026-C4026)</f>
        <v>57</v>
      </c>
      <c r="I4026" s="33" t="n">
        <f aca="false">IF(E4026="","",E4026-C4026)</f>
        <v>44.5</v>
      </c>
      <c r="J4026" s="33" t="n">
        <f aca="false">IF(F4026="","",F4026-C4026)</f>
        <v>45.375</v>
      </c>
      <c r="K4026" s="33" t="n">
        <f aca="false">IF(G4026="","",G4026-C4026)</f>
        <v>50.2943464246832</v>
      </c>
      <c r="L4026" s="33" t="n">
        <f aca="false">IF(H4026="","",ABS(H4026))</f>
        <v>57</v>
      </c>
      <c r="M4026" s="33" t="n">
        <f aca="false">IF(I4026="","",ABS(I4026))</f>
        <v>44.5</v>
      </c>
      <c r="N4026" s="33" t="n">
        <f aca="false">IF(J4026="","",ABS(J4026))</f>
        <v>45.375</v>
      </c>
      <c r="O4026" s="33" t="n">
        <f aca="false">IF(K4026="","",ABS(K4026))</f>
        <v>50.2943464246832</v>
      </c>
      <c r="P4026" s="34" t="str">
        <f aca="false">IF(B4026&gt;=Eval_Start_Week,"YES","")</f>
        <v>YES</v>
      </c>
      <c r="Q4026" s="34" t="str">
        <f aca="false">IF(AND(B4026&gt;=Cal_Start_Week,B4026&lt;=Cal_End_Week),"YES","")</f>
        <v>YES</v>
      </c>
    </row>
    <row r="4027" customFormat="false" ht="15" hidden="false" customHeight="false" outlineLevel="0" collapsed="false">
      <c r="A4027" s="31" t="str">
        <f aca="false">Demand_History!C4027</f>
        <v>CLN-002</v>
      </c>
      <c r="B4027" s="31" t="n">
        <f aca="false">Demand_History!A4027</f>
        <v>74</v>
      </c>
      <c r="C4027" s="32" t="n">
        <f aca="false">Demand_History!D4027</f>
        <v>161</v>
      </c>
      <c r="D4027" s="33" t="n">
        <f aca="false">IF(B4027&gt;=2,C4026,"")</f>
        <v>110</v>
      </c>
      <c r="E4027" s="33" t="n">
        <f aca="false">IF(B4027&gt;=5,AVERAGE(C4023:C4026),"")</f>
        <v>147.25</v>
      </c>
      <c r="F4027" s="33" t="n">
        <f aca="false">IF(B4027&gt;=9,AVERAGE(C4019:C4026),"")</f>
        <v>151.25</v>
      </c>
      <c r="G4027" s="33" t="n">
        <f aca="false">IF(B4027=1,"",IF(B4027=2,C4026,SES_Alpha*C4026+(1-SES_Alpha)*G4026))</f>
        <v>145.206042497278</v>
      </c>
      <c r="H4027" s="33" t="n">
        <f aca="false">IF(D4027="","",D4027-C4027)</f>
        <v>-51</v>
      </c>
      <c r="I4027" s="33" t="n">
        <f aca="false">IF(E4027="","",E4027-C4027)</f>
        <v>-13.75</v>
      </c>
      <c r="J4027" s="33" t="n">
        <f aca="false">IF(F4027="","",F4027-C4027)</f>
        <v>-9.75</v>
      </c>
      <c r="K4027" s="33" t="n">
        <f aca="false">IF(G4027="","",G4027-C4027)</f>
        <v>-15.7939575027218</v>
      </c>
      <c r="L4027" s="33" t="n">
        <f aca="false">IF(H4027="","",ABS(H4027))</f>
        <v>51</v>
      </c>
      <c r="M4027" s="33" t="n">
        <f aca="false">IF(I4027="","",ABS(I4027))</f>
        <v>13.75</v>
      </c>
      <c r="N4027" s="33" t="n">
        <f aca="false">IF(J4027="","",ABS(J4027))</f>
        <v>9.75</v>
      </c>
      <c r="O4027" s="33" t="n">
        <f aca="false">IF(K4027="","",ABS(K4027))</f>
        <v>15.7939575027218</v>
      </c>
      <c r="P4027" s="34" t="str">
        <f aca="false">IF(B4027&gt;=Eval_Start_Week,"YES","")</f>
        <v>YES</v>
      </c>
      <c r="Q4027" s="34" t="str">
        <f aca="false">IF(AND(B4027&gt;=Cal_Start_Week,B4027&lt;=Cal_End_Week),"YES","")</f>
        <v>YES</v>
      </c>
    </row>
    <row r="4028" customFormat="false" ht="15" hidden="false" customHeight="false" outlineLevel="0" collapsed="false">
      <c r="A4028" s="31" t="str">
        <f aca="false">Demand_History!C4028</f>
        <v>CLN-002</v>
      </c>
      <c r="B4028" s="31" t="n">
        <f aca="false">Demand_History!A4028</f>
        <v>75</v>
      </c>
      <c r="C4028" s="32" t="n">
        <f aca="false">Demand_History!D4028</f>
        <v>189</v>
      </c>
      <c r="D4028" s="33" t="n">
        <f aca="false">IF(B4028&gt;=2,C4027,"")</f>
        <v>161</v>
      </c>
      <c r="E4028" s="33" t="n">
        <f aca="false">IF(B4028&gt;=5,AVERAGE(C4024:C4027),"")</f>
        <v>152.25</v>
      </c>
      <c r="F4028" s="33" t="n">
        <f aca="false">IF(B4028&gt;=9,AVERAGE(C4020:C4027),"")</f>
        <v>151.875</v>
      </c>
      <c r="G4028" s="33" t="n">
        <f aca="false">IF(B4028=1,"",IF(B4028=2,C4027,SES_Alpha*C4027+(1-SES_Alpha)*G4027))</f>
        <v>149.944229748095</v>
      </c>
      <c r="H4028" s="33" t="n">
        <f aca="false">IF(D4028="","",D4028-C4028)</f>
        <v>-28</v>
      </c>
      <c r="I4028" s="33" t="n">
        <f aca="false">IF(E4028="","",E4028-C4028)</f>
        <v>-36.75</v>
      </c>
      <c r="J4028" s="33" t="n">
        <f aca="false">IF(F4028="","",F4028-C4028)</f>
        <v>-37.125</v>
      </c>
      <c r="K4028" s="33" t="n">
        <f aca="false">IF(G4028="","",G4028-C4028)</f>
        <v>-39.0557702519053</v>
      </c>
      <c r="L4028" s="33" t="n">
        <f aca="false">IF(H4028="","",ABS(H4028))</f>
        <v>28</v>
      </c>
      <c r="M4028" s="33" t="n">
        <f aca="false">IF(I4028="","",ABS(I4028))</f>
        <v>36.75</v>
      </c>
      <c r="N4028" s="33" t="n">
        <f aca="false">IF(J4028="","",ABS(J4028))</f>
        <v>37.125</v>
      </c>
      <c r="O4028" s="33" t="n">
        <f aca="false">IF(K4028="","",ABS(K4028))</f>
        <v>39.0557702519053</v>
      </c>
      <c r="P4028" s="34" t="str">
        <f aca="false">IF(B4028&gt;=Eval_Start_Week,"YES","")</f>
        <v>YES</v>
      </c>
      <c r="Q4028" s="34" t="str">
        <f aca="false">IF(AND(B4028&gt;=Cal_Start_Week,B4028&lt;=Cal_End_Week),"YES","")</f>
        <v>YES</v>
      </c>
    </row>
    <row r="4029" customFormat="false" ht="15" hidden="false" customHeight="false" outlineLevel="0" collapsed="false">
      <c r="A4029" s="31" t="str">
        <f aca="false">Demand_History!C4029</f>
        <v>CLN-002</v>
      </c>
      <c r="B4029" s="31" t="n">
        <f aca="false">Demand_History!A4029</f>
        <v>76</v>
      </c>
      <c r="C4029" s="32" t="n">
        <f aca="false">Demand_History!D4029</f>
        <v>144</v>
      </c>
      <c r="D4029" s="33" t="n">
        <f aca="false">IF(B4029&gt;=2,C4028,"")</f>
        <v>189</v>
      </c>
      <c r="E4029" s="33" t="n">
        <f aca="false">IF(B4029&gt;=5,AVERAGE(C4025:C4028),"")</f>
        <v>156.75</v>
      </c>
      <c r="F4029" s="33" t="n">
        <f aca="false">IF(B4029&gt;=9,AVERAGE(C4021:C4028),"")</f>
        <v>155</v>
      </c>
      <c r="G4029" s="33" t="n">
        <f aca="false">IF(B4029=1,"",IF(B4029=2,C4028,SES_Alpha*C4028+(1-SES_Alpha)*G4028))</f>
        <v>161.660960823666</v>
      </c>
      <c r="H4029" s="33" t="n">
        <f aca="false">IF(D4029="","",D4029-C4029)</f>
        <v>45</v>
      </c>
      <c r="I4029" s="33" t="n">
        <f aca="false">IF(E4029="","",E4029-C4029)</f>
        <v>12.75</v>
      </c>
      <c r="J4029" s="33" t="n">
        <f aca="false">IF(F4029="","",F4029-C4029)</f>
        <v>11</v>
      </c>
      <c r="K4029" s="33" t="n">
        <f aca="false">IF(G4029="","",G4029-C4029)</f>
        <v>17.6609608236663</v>
      </c>
      <c r="L4029" s="33" t="n">
        <f aca="false">IF(H4029="","",ABS(H4029))</f>
        <v>45</v>
      </c>
      <c r="M4029" s="33" t="n">
        <f aca="false">IF(I4029="","",ABS(I4029))</f>
        <v>12.75</v>
      </c>
      <c r="N4029" s="33" t="n">
        <f aca="false">IF(J4029="","",ABS(J4029))</f>
        <v>11</v>
      </c>
      <c r="O4029" s="33" t="n">
        <f aca="false">IF(K4029="","",ABS(K4029))</f>
        <v>17.6609608236663</v>
      </c>
      <c r="P4029" s="34" t="str">
        <f aca="false">IF(B4029&gt;=Eval_Start_Week,"YES","")</f>
        <v>YES</v>
      </c>
      <c r="Q4029" s="34" t="str">
        <f aca="false">IF(AND(B4029&gt;=Cal_Start_Week,B4029&lt;=Cal_End_Week),"YES","")</f>
        <v>YES</v>
      </c>
    </row>
    <row r="4030" customFormat="false" ht="15" hidden="false" customHeight="false" outlineLevel="0" collapsed="false">
      <c r="A4030" s="31" t="str">
        <f aca="false">Demand_History!C4030</f>
        <v>CLN-002</v>
      </c>
      <c r="B4030" s="31" t="n">
        <f aca="false">Demand_History!A4030</f>
        <v>77</v>
      </c>
      <c r="C4030" s="32" t="n">
        <f aca="false">Demand_History!D4030</f>
        <v>165</v>
      </c>
      <c r="D4030" s="33" t="n">
        <f aca="false">IF(B4030&gt;=2,C4029,"")</f>
        <v>144</v>
      </c>
      <c r="E4030" s="33" t="n">
        <f aca="false">IF(B4030&gt;=5,AVERAGE(C4026:C4029),"")</f>
        <v>151</v>
      </c>
      <c r="F4030" s="33" t="n">
        <f aca="false">IF(B4030&gt;=9,AVERAGE(C4022:C4029),"")</f>
        <v>152.75</v>
      </c>
      <c r="G4030" s="33" t="n">
        <f aca="false">IF(B4030=1,"",IF(B4030=2,C4029,SES_Alpha*C4029+(1-SES_Alpha)*G4029))</f>
        <v>156.362672576566</v>
      </c>
      <c r="H4030" s="33" t="n">
        <f aca="false">IF(D4030="","",D4030-C4030)</f>
        <v>-21</v>
      </c>
      <c r="I4030" s="33" t="n">
        <f aca="false">IF(E4030="","",E4030-C4030)</f>
        <v>-14</v>
      </c>
      <c r="J4030" s="33" t="n">
        <f aca="false">IF(F4030="","",F4030-C4030)</f>
        <v>-12.25</v>
      </c>
      <c r="K4030" s="33" t="n">
        <f aca="false">IF(G4030="","",G4030-C4030)</f>
        <v>-8.63732742343359</v>
      </c>
      <c r="L4030" s="33" t="n">
        <f aca="false">IF(H4030="","",ABS(H4030))</f>
        <v>21</v>
      </c>
      <c r="M4030" s="33" t="n">
        <f aca="false">IF(I4030="","",ABS(I4030))</f>
        <v>14</v>
      </c>
      <c r="N4030" s="33" t="n">
        <f aca="false">IF(J4030="","",ABS(J4030))</f>
        <v>12.25</v>
      </c>
      <c r="O4030" s="33" t="n">
        <f aca="false">IF(K4030="","",ABS(K4030))</f>
        <v>8.63732742343359</v>
      </c>
      <c r="P4030" s="34" t="str">
        <f aca="false">IF(B4030&gt;=Eval_Start_Week,"YES","")</f>
        <v>YES</v>
      </c>
      <c r="Q4030" s="34" t="str">
        <f aca="false">IF(AND(B4030&gt;=Cal_Start_Week,B4030&lt;=Cal_End_Week),"YES","")</f>
        <v>YES</v>
      </c>
    </row>
    <row r="4031" customFormat="false" ht="15" hidden="false" customHeight="false" outlineLevel="0" collapsed="false">
      <c r="A4031" s="31" t="str">
        <f aca="false">Demand_History!C4031</f>
        <v>CLN-002</v>
      </c>
      <c r="B4031" s="31" t="n">
        <f aca="false">Demand_History!A4031</f>
        <v>78</v>
      </c>
      <c r="C4031" s="32" t="n">
        <f aca="false">Demand_History!D4031</f>
        <v>125</v>
      </c>
      <c r="D4031" s="33" t="n">
        <f aca="false">IF(B4031&gt;=2,C4030,"")</f>
        <v>165</v>
      </c>
      <c r="E4031" s="33" t="n">
        <f aca="false">IF(B4031&gt;=5,AVERAGE(C4027:C4030),"")</f>
        <v>164.75</v>
      </c>
      <c r="F4031" s="33" t="n">
        <f aca="false">IF(B4031&gt;=9,AVERAGE(C4023:C4030),"")</f>
        <v>156</v>
      </c>
      <c r="G4031" s="33" t="n">
        <f aca="false">IF(B4031=1,"",IF(B4031=2,C4030,SES_Alpha*C4030+(1-SES_Alpha)*G4030))</f>
        <v>158.953870803597</v>
      </c>
      <c r="H4031" s="33" t="n">
        <f aca="false">IF(D4031="","",D4031-C4031)</f>
        <v>40</v>
      </c>
      <c r="I4031" s="33" t="n">
        <f aca="false">IF(E4031="","",E4031-C4031)</f>
        <v>39.75</v>
      </c>
      <c r="J4031" s="33" t="n">
        <f aca="false">IF(F4031="","",F4031-C4031)</f>
        <v>31</v>
      </c>
      <c r="K4031" s="33" t="n">
        <f aca="false">IF(G4031="","",G4031-C4031)</f>
        <v>33.9538708035965</v>
      </c>
      <c r="L4031" s="33" t="n">
        <f aca="false">IF(H4031="","",ABS(H4031))</f>
        <v>40</v>
      </c>
      <c r="M4031" s="33" t="n">
        <f aca="false">IF(I4031="","",ABS(I4031))</f>
        <v>39.75</v>
      </c>
      <c r="N4031" s="33" t="n">
        <f aca="false">IF(J4031="","",ABS(J4031))</f>
        <v>31</v>
      </c>
      <c r="O4031" s="33" t="n">
        <f aca="false">IF(K4031="","",ABS(K4031))</f>
        <v>33.9538708035965</v>
      </c>
      <c r="P4031" s="34" t="str">
        <f aca="false">IF(B4031&gt;=Eval_Start_Week,"YES","")</f>
        <v>YES</v>
      </c>
      <c r="Q4031" s="34" t="str">
        <f aca="false">IF(AND(B4031&gt;=Cal_Start_Week,B4031&lt;=Cal_End_Week),"YES","")</f>
        <v>YES</v>
      </c>
    </row>
    <row r="4032" customFormat="false" ht="15" hidden="false" customHeight="false" outlineLevel="0" collapsed="false">
      <c r="A4032" s="31" t="str">
        <f aca="false">Demand_History!C4032</f>
        <v>CLN-002</v>
      </c>
      <c r="B4032" s="31" t="n">
        <f aca="false">Demand_History!A4032</f>
        <v>79</v>
      </c>
      <c r="C4032" s="32" t="n">
        <f aca="false">Demand_History!D4032</f>
        <v>179</v>
      </c>
      <c r="D4032" s="33" t="n">
        <f aca="false">IF(B4032&gt;=2,C4031,"")</f>
        <v>125</v>
      </c>
      <c r="E4032" s="33" t="n">
        <f aca="false">IF(B4032&gt;=5,AVERAGE(C4028:C4031),"")</f>
        <v>155.75</v>
      </c>
      <c r="F4032" s="33" t="n">
        <f aca="false">IF(B4032&gt;=9,AVERAGE(C4024:C4031),"")</f>
        <v>154</v>
      </c>
      <c r="G4032" s="33" t="n">
        <f aca="false">IF(B4032=1,"",IF(B4032=2,C4031,SES_Alpha*C4031+(1-SES_Alpha)*G4031))</f>
        <v>148.767709562518</v>
      </c>
      <c r="H4032" s="33" t="n">
        <f aca="false">IF(D4032="","",D4032-C4032)</f>
        <v>-54</v>
      </c>
      <c r="I4032" s="33" t="n">
        <f aca="false">IF(E4032="","",E4032-C4032)</f>
        <v>-23.25</v>
      </c>
      <c r="J4032" s="33" t="n">
        <f aca="false">IF(F4032="","",F4032-C4032)</f>
        <v>-25</v>
      </c>
      <c r="K4032" s="33" t="n">
        <f aca="false">IF(G4032="","",G4032-C4032)</f>
        <v>-30.2322904374824</v>
      </c>
      <c r="L4032" s="33" t="n">
        <f aca="false">IF(H4032="","",ABS(H4032))</f>
        <v>54</v>
      </c>
      <c r="M4032" s="33" t="n">
        <f aca="false">IF(I4032="","",ABS(I4032))</f>
        <v>23.25</v>
      </c>
      <c r="N4032" s="33" t="n">
        <f aca="false">IF(J4032="","",ABS(J4032))</f>
        <v>25</v>
      </c>
      <c r="O4032" s="33" t="n">
        <f aca="false">IF(K4032="","",ABS(K4032))</f>
        <v>30.2322904374824</v>
      </c>
      <c r="P4032" s="34" t="str">
        <f aca="false">IF(B4032&gt;=Eval_Start_Week,"YES","")</f>
        <v>YES</v>
      </c>
      <c r="Q4032" s="34" t="str">
        <f aca="false">IF(AND(B4032&gt;=Cal_Start_Week,B4032&lt;=Cal_End_Week),"YES","")</f>
        <v>YES</v>
      </c>
    </row>
    <row r="4033" customFormat="false" ht="15" hidden="false" customHeight="false" outlineLevel="0" collapsed="false">
      <c r="A4033" s="31" t="str">
        <f aca="false">Demand_History!C4033</f>
        <v>CLN-002</v>
      </c>
      <c r="B4033" s="31" t="n">
        <f aca="false">Demand_History!A4033</f>
        <v>80</v>
      </c>
      <c r="C4033" s="32" t="n">
        <f aca="false">Demand_History!D4033</f>
        <v>133</v>
      </c>
      <c r="D4033" s="33" t="n">
        <f aca="false">IF(B4033&gt;=2,C4032,"")</f>
        <v>179</v>
      </c>
      <c r="E4033" s="33" t="n">
        <f aca="false">IF(B4033&gt;=5,AVERAGE(C4029:C4032),"")</f>
        <v>153.25</v>
      </c>
      <c r="F4033" s="33" t="n">
        <f aca="false">IF(B4033&gt;=9,AVERAGE(C4025:C4032),"")</f>
        <v>155</v>
      </c>
      <c r="G4033" s="33" t="n">
        <f aca="false">IF(B4033=1,"",IF(B4033=2,C4032,SES_Alpha*C4032+(1-SES_Alpha)*G4032))</f>
        <v>157.837396693762</v>
      </c>
      <c r="H4033" s="33" t="n">
        <f aca="false">IF(D4033="","",D4033-C4033)</f>
        <v>46</v>
      </c>
      <c r="I4033" s="33" t="n">
        <f aca="false">IF(E4033="","",E4033-C4033)</f>
        <v>20.25</v>
      </c>
      <c r="J4033" s="33" t="n">
        <f aca="false">IF(F4033="","",F4033-C4033)</f>
        <v>22</v>
      </c>
      <c r="K4033" s="33" t="n">
        <f aca="false">IF(G4033="","",G4033-C4033)</f>
        <v>24.8373966937623</v>
      </c>
      <c r="L4033" s="33" t="n">
        <f aca="false">IF(H4033="","",ABS(H4033))</f>
        <v>46</v>
      </c>
      <c r="M4033" s="33" t="n">
        <f aca="false">IF(I4033="","",ABS(I4033))</f>
        <v>20.25</v>
      </c>
      <c r="N4033" s="33" t="n">
        <f aca="false">IF(J4033="","",ABS(J4033))</f>
        <v>22</v>
      </c>
      <c r="O4033" s="33" t="n">
        <f aca="false">IF(K4033="","",ABS(K4033))</f>
        <v>24.8373966937623</v>
      </c>
      <c r="P4033" s="34" t="str">
        <f aca="false">IF(B4033&gt;=Eval_Start_Week,"YES","")</f>
        <v>YES</v>
      </c>
      <c r="Q4033" s="34" t="str">
        <f aca="false">IF(AND(B4033&gt;=Cal_Start_Week,B4033&lt;=Cal_End_Week),"YES","")</f>
        <v>YES</v>
      </c>
    </row>
    <row r="4034" customFormat="false" ht="15" hidden="false" customHeight="false" outlineLevel="0" collapsed="false">
      <c r="A4034" s="31" t="str">
        <f aca="false">Demand_History!C4034</f>
        <v>CLN-002</v>
      </c>
      <c r="B4034" s="31" t="n">
        <f aca="false">Demand_History!A4034</f>
        <v>81</v>
      </c>
      <c r="C4034" s="32" t="n">
        <f aca="false">Demand_History!D4034</f>
        <v>130</v>
      </c>
      <c r="D4034" s="33" t="n">
        <f aca="false">IF(B4034&gt;=2,C4033,"")</f>
        <v>133</v>
      </c>
      <c r="E4034" s="33" t="n">
        <f aca="false">IF(B4034&gt;=5,AVERAGE(C4030:C4033),"")</f>
        <v>150.5</v>
      </c>
      <c r="F4034" s="33" t="n">
        <f aca="false">IF(B4034&gt;=9,AVERAGE(C4026:C4033),"")</f>
        <v>150.75</v>
      </c>
      <c r="G4034" s="33" t="n">
        <f aca="false">IF(B4034=1,"",IF(B4034=2,C4033,SES_Alpha*C4033+(1-SES_Alpha)*G4033))</f>
        <v>150.386177685634</v>
      </c>
      <c r="H4034" s="33" t="n">
        <f aca="false">IF(D4034="","",D4034-C4034)</f>
        <v>3</v>
      </c>
      <c r="I4034" s="33" t="n">
        <f aca="false">IF(E4034="","",E4034-C4034)</f>
        <v>20.5</v>
      </c>
      <c r="J4034" s="33" t="n">
        <f aca="false">IF(F4034="","",F4034-C4034)</f>
        <v>20.75</v>
      </c>
      <c r="K4034" s="33" t="n">
        <f aca="false">IF(G4034="","",G4034-C4034)</f>
        <v>20.3861776856336</v>
      </c>
      <c r="L4034" s="33" t="n">
        <f aca="false">IF(H4034="","",ABS(H4034))</f>
        <v>3</v>
      </c>
      <c r="M4034" s="33" t="n">
        <f aca="false">IF(I4034="","",ABS(I4034))</f>
        <v>20.5</v>
      </c>
      <c r="N4034" s="33" t="n">
        <f aca="false">IF(J4034="","",ABS(J4034))</f>
        <v>20.75</v>
      </c>
      <c r="O4034" s="33" t="n">
        <f aca="false">IF(K4034="","",ABS(K4034))</f>
        <v>20.3861776856336</v>
      </c>
      <c r="P4034" s="34" t="str">
        <f aca="false">IF(B4034&gt;=Eval_Start_Week,"YES","")</f>
        <v>YES</v>
      </c>
      <c r="Q4034" s="34" t="str">
        <f aca="false">IF(AND(B4034&gt;=Cal_Start_Week,B4034&lt;=Cal_End_Week),"YES","")</f>
        <v>YES</v>
      </c>
    </row>
    <row r="4035" customFormat="false" ht="15" hidden="false" customHeight="false" outlineLevel="0" collapsed="false">
      <c r="A4035" s="31" t="str">
        <f aca="false">Demand_History!C4035</f>
        <v>CLN-002</v>
      </c>
      <c r="B4035" s="31" t="n">
        <f aca="false">Demand_History!A4035</f>
        <v>82</v>
      </c>
      <c r="C4035" s="32" t="n">
        <f aca="false">Demand_History!D4035</f>
        <v>152</v>
      </c>
      <c r="D4035" s="33" t="n">
        <f aca="false">IF(B4035&gt;=2,C4034,"")</f>
        <v>130</v>
      </c>
      <c r="E4035" s="33" t="n">
        <f aca="false">IF(B4035&gt;=5,AVERAGE(C4031:C4034),"")</f>
        <v>141.75</v>
      </c>
      <c r="F4035" s="33" t="n">
        <f aca="false">IF(B4035&gt;=9,AVERAGE(C4027:C4034),"")</f>
        <v>153.25</v>
      </c>
      <c r="G4035" s="33" t="n">
        <f aca="false">IF(B4035=1,"",IF(B4035=2,C4034,SES_Alpha*C4034+(1-SES_Alpha)*G4034))</f>
        <v>144.270324379944</v>
      </c>
      <c r="H4035" s="33" t="n">
        <f aca="false">IF(D4035="","",D4035-C4035)</f>
        <v>-22</v>
      </c>
      <c r="I4035" s="33" t="n">
        <f aca="false">IF(E4035="","",E4035-C4035)</f>
        <v>-10.25</v>
      </c>
      <c r="J4035" s="33" t="n">
        <f aca="false">IF(F4035="","",F4035-C4035)</f>
        <v>1.25</v>
      </c>
      <c r="K4035" s="33" t="n">
        <f aca="false">IF(G4035="","",G4035-C4035)</f>
        <v>-7.7296756200565</v>
      </c>
      <c r="L4035" s="33" t="n">
        <f aca="false">IF(H4035="","",ABS(H4035))</f>
        <v>22</v>
      </c>
      <c r="M4035" s="33" t="n">
        <f aca="false">IF(I4035="","",ABS(I4035))</f>
        <v>10.25</v>
      </c>
      <c r="N4035" s="33" t="n">
        <f aca="false">IF(J4035="","",ABS(J4035))</f>
        <v>1.25</v>
      </c>
      <c r="O4035" s="33" t="n">
        <f aca="false">IF(K4035="","",ABS(K4035))</f>
        <v>7.7296756200565</v>
      </c>
      <c r="P4035" s="34" t="str">
        <f aca="false">IF(B4035&gt;=Eval_Start_Week,"YES","")</f>
        <v>YES</v>
      </c>
      <c r="Q4035" s="34" t="str">
        <f aca="false">IF(AND(B4035&gt;=Cal_Start_Week,B4035&lt;=Cal_End_Week),"YES","")</f>
        <v>YES</v>
      </c>
    </row>
    <row r="4036" customFormat="false" ht="15" hidden="false" customHeight="false" outlineLevel="0" collapsed="false">
      <c r="A4036" s="31" t="str">
        <f aca="false">Demand_History!C4036</f>
        <v>CLN-002</v>
      </c>
      <c r="B4036" s="31" t="n">
        <f aca="false">Demand_History!A4036</f>
        <v>83</v>
      </c>
      <c r="C4036" s="32" t="n">
        <f aca="false">Demand_History!D4036</f>
        <v>215</v>
      </c>
      <c r="D4036" s="33" t="n">
        <f aca="false">IF(B4036&gt;=2,C4035,"")</f>
        <v>152</v>
      </c>
      <c r="E4036" s="33" t="n">
        <f aca="false">IF(B4036&gt;=5,AVERAGE(C4032:C4035),"")</f>
        <v>148.5</v>
      </c>
      <c r="F4036" s="33" t="n">
        <f aca="false">IF(B4036&gt;=9,AVERAGE(C4028:C4035),"")</f>
        <v>152.125</v>
      </c>
      <c r="G4036" s="33" t="n">
        <f aca="false">IF(B4036=1,"",IF(B4036=2,C4035,SES_Alpha*C4035+(1-SES_Alpha)*G4035))</f>
        <v>146.58922706596</v>
      </c>
      <c r="H4036" s="33" t="n">
        <f aca="false">IF(D4036="","",D4036-C4036)</f>
        <v>-63</v>
      </c>
      <c r="I4036" s="33" t="n">
        <f aca="false">IF(E4036="","",E4036-C4036)</f>
        <v>-66.5</v>
      </c>
      <c r="J4036" s="33" t="n">
        <f aca="false">IF(F4036="","",F4036-C4036)</f>
        <v>-62.875</v>
      </c>
      <c r="K4036" s="33" t="n">
        <f aca="false">IF(G4036="","",G4036-C4036)</f>
        <v>-68.4107729340396</v>
      </c>
      <c r="L4036" s="33" t="n">
        <f aca="false">IF(H4036="","",ABS(H4036))</f>
        <v>63</v>
      </c>
      <c r="M4036" s="33" t="n">
        <f aca="false">IF(I4036="","",ABS(I4036))</f>
        <v>66.5</v>
      </c>
      <c r="N4036" s="33" t="n">
        <f aca="false">IF(J4036="","",ABS(J4036))</f>
        <v>62.875</v>
      </c>
      <c r="O4036" s="33" t="n">
        <f aca="false">IF(K4036="","",ABS(K4036))</f>
        <v>68.4107729340396</v>
      </c>
      <c r="P4036" s="34" t="str">
        <f aca="false">IF(B4036&gt;=Eval_Start_Week,"YES","")</f>
        <v>YES</v>
      </c>
      <c r="Q4036" s="34" t="str">
        <f aca="false">IF(AND(B4036&gt;=Cal_Start_Week,B4036&lt;=Cal_End_Week),"YES","")</f>
        <v>YES</v>
      </c>
    </row>
    <row r="4037" customFormat="false" ht="15" hidden="false" customHeight="false" outlineLevel="0" collapsed="false">
      <c r="A4037" s="31" t="str">
        <f aca="false">Demand_History!C4037</f>
        <v>CLN-002</v>
      </c>
      <c r="B4037" s="31" t="n">
        <f aca="false">Demand_History!A4037</f>
        <v>84</v>
      </c>
      <c r="C4037" s="32" t="n">
        <f aca="false">Demand_History!D4037</f>
        <v>145</v>
      </c>
      <c r="D4037" s="33" t="n">
        <f aca="false">IF(B4037&gt;=2,C4036,"")</f>
        <v>215</v>
      </c>
      <c r="E4037" s="33" t="n">
        <f aca="false">IF(B4037&gt;=5,AVERAGE(C4033:C4036),"")</f>
        <v>157.5</v>
      </c>
      <c r="F4037" s="33" t="n">
        <f aca="false">IF(B4037&gt;=9,AVERAGE(C4029:C4036),"")</f>
        <v>155.375</v>
      </c>
      <c r="G4037" s="33" t="n">
        <f aca="false">IF(B4037=1,"",IF(B4037=2,C4036,SES_Alpha*C4036+(1-SES_Alpha)*G4036))</f>
        <v>167.112458946172</v>
      </c>
      <c r="H4037" s="33" t="n">
        <f aca="false">IF(D4037="","",D4037-C4037)</f>
        <v>70</v>
      </c>
      <c r="I4037" s="33" t="n">
        <f aca="false">IF(E4037="","",E4037-C4037)</f>
        <v>12.5</v>
      </c>
      <c r="J4037" s="33" t="n">
        <f aca="false">IF(F4037="","",F4037-C4037)</f>
        <v>10.375</v>
      </c>
      <c r="K4037" s="33" t="n">
        <f aca="false">IF(G4037="","",G4037-C4037)</f>
        <v>22.1124589461723</v>
      </c>
      <c r="L4037" s="33" t="n">
        <f aca="false">IF(H4037="","",ABS(H4037))</f>
        <v>70</v>
      </c>
      <c r="M4037" s="33" t="n">
        <f aca="false">IF(I4037="","",ABS(I4037))</f>
        <v>12.5</v>
      </c>
      <c r="N4037" s="33" t="n">
        <f aca="false">IF(J4037="","",ABS(J4037))</f>
        <v>10.375</v>
      </c>
      <c r="O4037" s="33" t="n">
        <f aca="false">IF(K4037="","",ABS(K4037))</f>
        <v>22.1124589461723</v>
      </c>
      <c r="P4037" s="34" t="str">
        <f aca="false">IF(B4037&gt;=Eval_Start_Week,"YES","")</f>
        <v>YES</v>
      </c>
      <c r="Q4037" s="34" t="str">
        <f aca="false">IF(AND(B4037&gt;=Cal_Start_Week,B4037&lt;=Cal_End_Week),"YES","")</f>
        <v>YES</v>
      </c>
    </row>
    <row r="4038" customFormat="false" ht="15" hidden="false" customHeight="false" outlineLevel="0" collapsed="false">
      <c r="A4038" s="31" t="str">
        <f aca="false">Demand_History!C4038</f>
        <v>CLN-002</v>
      </c>
      <c r="B4038" s="31" t="n">
        <f aca="false">Demand_History!A4038</f>
        <v>85</v>
      </c>
      <c r="C4038" s="32" t="n">
        <f aca="false">Demand_History!D4038</f>
        <v>130</v>
      </c>
      <c r="D4038" s="33" t="n">
        <f aca="false">IF(B4038&gt;=2,C4037,"")</f>
        <v>145</v>
      </c>
      <c r="E4038" s="33" t="n">
        <f aca="false">IF(B4038&gt;=5,AVERAGE(C4034:C4037),"")</f>
        <v>160.5</v>
      </c>
      <c r="F4038" s="33" t="n">
        <f aca="false">IF(B4038&gt;=9,AVERAGE(C4030:C4037),"")</f>
        <v>155.5</v>
      </c>
      <c r="G4038" s="33" t="n">
        <f aca="false">IF(B4038=1,"",IF(B4038=2,C4037,SES_Alpha*C4037+(1-SES_Alpha)*G4037))</f>
        <v>160.478721262321</v>
      </c>
      <c r="H4038" s="33" t="n">
        <f aca="false">IF(D4038="","",D4038-C4038)</f>
        <v>15</v>
      </c>
      <c r="I4038" s="33" t="n">
        <f aca="false">IF(E4038="","",E4038-C4038)</f>
        <v>30.5</v>
      </c>
      <c r="J4038" s="33" t="n">
        <f aca="false">IF(F4038="","",F4038-C4038)</f>
        <v>25.5</v>
      </c>
      <c r="K4038" s="33" t="n">
        <f aca="false">IF(G4038="","",G4038-C4038)</f>
        <v>30.4787212623206</v>
      </c>
      <c r="L4038" s="33" t="n">
        <f aca="false">IF(H4038="","",ABS(H4038))</f>
        <v>15</v>
      </c>
      <c r="M4038" s="33" t="n">
        <f aca="false">IF(I4038="","",ABS(I4038))</f>
        <v>30.5</v>
      </c>
      <c r="N4038" s="33" t="n">
        <f aca="false">IF(J4038="","",ABS(J4038))</f>
        <v>25.5</v>
      </c>
      <c r="O4038" s="33" t="n">
        <f aca="false">IF(K4038="","",ABS(K4038))</f>
        <v>30.4787212623206</v>
      </c>
      <c r="P4038" s="34" t="str">
        <f aca="false">IF(B4038&gt;=Eval_Start_Week,"YES","")</f>
        <v>YES</v>
      </c>
      <c r="Q4038" s="34" t="str">
        <f aca="false">IF(AND(B4038&gt;=Cal_Start_Week,B4038&lt;=Cal_End_Week),"YES","")</f>
        <v>YES</v>
      </c>
    </row>
    <row r="4039" customFormat="false" ht="15" hidden="false" customHeight="false" outlineLevel="0" collapsed="false">
      <c r="A4039" s="31" t="str">
        <f aca="false">Demand_History!C4039</f>
        <v>CLN-002</v>
      </c>
      <c r="B4039" s="31" t="n">
        <f aca="false">Demand_History!A4039</f>
        <v>86</v>
      </c>
      <c r="C4039" s="32" t="n">
        <f aca="false">Demand_History!D4039</f>
        <v>170</v>
      </c>
      <c r="D4039" s="33" t="n">
        <f aca="false">IF(B4039&gt;=2,C4038,"")</f>
        <v>130</v>
      </c>
      <c r="E4039" s="33" t="n">
        <f aca="false">IF(B4039&gt;=5,AVERAGE(C4035:C4038),"")</f>
        <v>160.5</v>
      </c>
      <c r="F4039" s="33" t="n">
        <f aca="false">IF(B4039&gt;=9,AVERAGE(C4031:C4038),"")</f>
        <v>151.125</v>
      </c>
      <c r="G4039" s="33" t="n">
        <f aca="false">IF(B4039=1,"",IF(B4039=2,C4038,SES_Alpha*C4038+(1-SES_Alpha)*G4038))</f>
        <v>151.335104883624</v>
      </c>
      <c r="H4039" s="33" t="n">
        <f aca="false">IF(D4039="","",D4039-C4039)</f>
        <v>-40</v>
      </c>
      <c r="I4039" s="33" t="n">
        <f aca="false">IF(E4039="","",E4039-C4039)</f>
        <v>-9.5</v>
      </c>
      <c r="J4039" s="33" t="n">
        <f aca="false">IF(F4039="","",F4039-C4039)</f>
        <v>-18.875</v>
      </c>
      <c r="K4039" s="33" t="n">
        <f aca="false">IF(G4039="","",G4039-C4039)</f>
        <v>-18.6648951163756</v>
      </c>
      <c r="L4039" s="33" t="n">
        <f aca="false">IF(H4039="","",ABS(H4039))</f>
        <v>40</v>
      </c>
      <c r="M4039" s="33" t="n">
        <f aca="false">IF(I4039="","",ABS(I4039))</f>
        <v>9.5</v>
      </c>
      <c r="N4039" s="33" t="n">
        <f aca="false">IF(J4039="","",ABS(J4039))</f>
        <v>18.875</v>
      </c>
      <c r="O4039" s="33" t="n">
        <f aca="false">IF(K4039="","",ABS(K4039))</f>
        <v>18.6648951163756</v>
      </c>
      <c r="P4039" s="34" t="str">
        <f aca="false">IF(B4039&gt;=Eval_Start_Week,"YES","")</f>
        <v>YES</v>
      </c>
      <c r="Q4039" s="34" t="str">
        <f aca="false">IF(AND(B4039&gt;=Cal_Start_Week,B4039&lt;=Cal_End_Week),"YES","")</f>
        <v>YES</v>
      </c>
    </row>
    <row r="4040" customFormat="false" ht="15" hidden="false" customHeight="false" outlineLevel="0" collapsed="false">
      <c r="A4040" s="31" t="str">
        <f aca="false">Demand_History!C4040</f>
        <v>CLN-002</v>
      </c>
      <c r="B4040" s="31" t="n">
        <f aca="false">Demand_History!A4040</f>
        <v>87</v>
      </c>
      <c r="C4040" s="32" t="n">
        <f aca="false">Demand_History!D4040</f>
        <v>165</v>
      </c>
      <c r="D4040" s="33" t="n">
        <f aca="false">IF(B4040&gt;=2,C4039,"")</f>
        <v>170</v>
      </c>
      <c r="E4040" s="33" t="n">
        <f aca="false">IF(B4040&gt;=5,AVERAGE(C4036:C4039),"")</f>
        <v>165</v>
      </c>
      <c r="F4040" s="33" t="n">
        <f aca="false">IF(B4040&gt;=9,AVERAGE(C4032:C4039),"")</f>
        <v>156.75</v>
      </c>
      <c r="G4040" s="33" t="n">
        <f aca="false">IF(B4040=1,"",IF(B4040=2,C4039,SES_Alpha*C4039+(1-SES_Alpha)*G4039))</f>
        <v>156.934573418537</v>
      </c>
      <c r="H4040" s="33" t="n">
        <f aca="false">IF(D4040="","",D4040-C4040)</f>
        <v>5</v>
      </c>
      <c r="I4040" s="33" t="n">
        <f aca="false">IF(E4040="","",E4040-C4040)</f>
        <v>0</v>
      </c>
      <c r="J4040" s="33" t="n">
        <f aca="false">IF(F4040="","",F4040-C4040)</f>
        <v>-8.25</v>
      </c>
      <c r="K4040" s="33" t="n">
        <f aca="false">IF(G4040="","",G4040-C4040)</f>
        <v>-8.06542658146293</v>
      </c>
      <c r="L4040" s="33" t="n">
        <f aca="false">IF(H4040="","",ABS(H4040))</f>
        <v>5</v>
      </c>
      <c r="M4040" s="33" t="n">
        <f aca="false">IF(I4040="","",ABS(I4040))</f>
        <v>0</v>
      </c>
      <c r="N4040" s="33" t="n">
        <f aca="false">IF(J4040="","",ABS(J4040))</f>
        <v>8.25</v>
      </c>
      <c r="O4040" s="33" t="n">
        <f aca="false">IF(K4040="","",ABS(K4040))</f>
        <v>8.06542658146293</v>
      </c>
      <c r="P4040" s="34" t="str">
        <f aca="false">IF(B4040&gt;=Eval_Start_Week,"YES","")</f>
        <v>YES</v>
      </c>
      <c r="Q4040" s="34" t="str">
        <f aca="false">IF(AND(B4040&gt;=Cal_Start_Week,B4040&lt;=Cal_End_Week),"YES","")</f>
        <v>YES</v>
      </c>
    </row>
    <row r="4041" customFormat="false" ht="15" hidden="false" customHeight="false" outlineLevel="0" collapsed="false">
      <c r="A4041" s="31" t="str">
        <f aca="false">Demand_History!C4041</f>
        <v>CLN-002</v>
      </c>
      <c r="B4041" s="31" t="n">
        <f aca="false">Demand_History!A4041</f>
        <v>88</v>
      </c>
      <c r="C4041" s="32" t="n">
        <f aca="false">Demand_History!D4041</f>
        <v>198</v>
      </c>
      <c r="D4041" s="33" t="n">
        <f aca="false">IF(B4041&gt;=2,C4040,"")</f>
        <v>165</v>
      </c>
      <c r="E4041" s="33" t="n">
        <f aca="false">IF(B4041&gt;=5,AVERAGE(C4037:C4040),"")</f>
        <v>152.5</v>
      </c>
      <c r="F4041" s="33" t="n">
        <f aca="false">IF(B4041&gt;=9,AVERAGE(C4033:C4040),"")</f>
        <v>155</v>
      </c>
      <c r="G4041" s="33" t="n">
        <f aca="false">IF(B4041=1,"",IF(B4041=2,C4040,SES_Alpha*C4040+(1-SES_Alpha)*G4040))</f>
        <v>159.354201392976</v>
      </c>
      <c r="H4041" s="33" t="n">
        <f aca="false">IF(D4041="","",D4041-C4041)</f>
        <v>-33</v>
      </c>
      <c r="I4041" s="33" t="n">
        <f aca="false">IF(E4041="","",E4041-C4041)</f>
        <v>-45.5</v>
      </c>
      <c r="J4041" s="33" t="n">
        <f aca="false">IF(F4041="","",F4041-C4041)</f>
        <v>-43</v>
      </c>
      <c r="K4041" s="33" t="n">
        <f aca="false">IF(G4041="","",G4041-C4041)</f>
        <v>-38.6457986070241</v>
      </c>
      <c r="L4041" s="33" t="n">
        <f aca="false">IF(H4041="","",ABS(H4041))</f>
        <v>33</v>
      </c>
      <c r="M4041" s="33" t="n">
        <f aca="false">IF(I4041="","",ABS(I4041))</f>
        <v>45.5</v>
      </c>
      <c r="N4041" s="33" t="n">
        <f aca="false">IF(J4041="","",ABS(J4041))</f>
        <v>43</v>
      </c>
      <c r="O4041" s="33" t="n">
        <f aca="false">IF(K4041="","",ABS(K4041))</f>
        <v>38.6457986070241</v>
      </c>
      <c r="P4041" s="34" t="str">
        <f aca="false">IF(B4041&gt;=Eval_Start_Week,"YES","")</f>
        <v>YES</v>
      </c>
      <c r="Q4041" s="34" t="str">
        <f aca="false">IF(AND(B4041&gt;=Cal_Start_Week,B4041&lt;=Cal_End_Week),"YES","")</f>
        <v>YES</v>
      </c>
    </row>
    <row r="4042" customFormat="false" ht="15" hidden="false" customHeight="false" outlineLevel="0" collapsed="false">
      <c r="A4042" s="31" t="str">
        <f aca="false">Demand_History!C4042</f>
        <v>CLN-002</v>
      </c>
      <c r="B4042" s="31" t="n">
        <f aca="false">Demand_History!A4042</f>
        <v>89</v>
      </c>
      <c r="C4042" s="32" t="n">
        <f aca="false">Demand_History!D4042</f>
        <v>130</v>
      </c>
      <c r="D4042" s="33" t="n">
        <f aca="false">IF(B4042&gt;=2,C4041,"")</f>
        <v>198</v>
      </c>
      <c r="E4042" s="33" t="n">
        <f aca="false">IF(B4042&gt;=5,AVERAGE(C4038:C4041),"")</f>
        <v>165.75</v>
      </c>
      <c r="F4042" s="33" t="n">
        <f aca="false">IF(B4042&gt;=9,AVERAGE(C4034:C4041),"")</f>
        <v>163.125</v>
      </c>
      <c r="G4042" s="33" t="n">
        <f aca="false">IF(B4042=1,"",IF(B4042=2,C4041,SES_Alpha*C4041+(1-SES_Alpha)*G4041))</f>
        <v>170.947940975083</v>
      </c>
      <c r="H4042" s="33" t="n">
        <f aca="false">IF(D4042="","",D4042-C4042)</f>
        <v>68</v>
      </c>
      <c r="I4042" s="33" t="n">
        <f aca="false">IF(E4042="","",E4042-C4042)</f>
        <v>35.75</v>
      </c>
      <c r="J4042" s="33" t="n">
        <f aca="false">IF(F4042="","",F4042-C4042)</f>
        <v>33.125</v>
      </c>
      <c r="K4042" s="33" t="n">
        <f aca="false">IF(G4042="","",G4042-C4042)</f>
        <v>40.9479409750832</v>
      </c>
      <c r="L4042" s="33" t="n">
        <f aca="false">IF(H4042="","",ABS(H4042))</f>
        <v>68</v>
      </c>
      <c r="M4042" s="33" t="n">
        <f aca="false">IF(I4042="","",ABS(I4042))</f>
        <v>35.75</v>
      </c>
      <c r="N4042" s="33" t="n">
        <f aca="false">IF(J4042="","",ABS(J4042))</f>
        <v>33.125</v>
      </c>
      <c r="O4042" s="33" t="n">
        <f aca="false">IF(K4042="","",ABS(K4042))</f>
        <v>40.9479409750832</v>
      </c>
      <c r="P4042" s="34" t="str">
        <f aca="false">IF(B4042&gt;=Eval_Start_Week,"YES","")</f>
        <v>YES</v>
      </c>
      <c r="Q4042" s="34" t="str">
        <f aca="false">IF(AND(B4042&gt;=Cal_Start_Week,B4042&lt;=Cal_End_Week),"YES","")</f>
        <v/>
      </c>
    </row>
    <row r="4043" customFormat="false" ht="15" hidden="false" customHeight="false" outlineLevel="0" collapsed="false">
      <c r="A4043" s="31" t="str">
        <f aca="false">Demand_History!C4043</f>
        <v>CLN-002</v>
      </c>
      <c r="B4043" s="31" t="n">
        <f aca="false">Demand_History!A4043</f>
        <v>90</v>
      </c>
      <c r="C4043" s="32" t="n">
        <f aca="false">Demand_History!D4043</f>
        <v>122</v>
      </c>
      <c r="D4043" s="33" t="n">
        <f aca="false">IF(B4043&gt;=2,C4042,"")</f>
        <v>130</v>
      </c>
      <c r="E4043" s="33" t="n">
        <f aca="false">IF(B4043&gt;=5,AVERAGE(C4039:C4042),"")</f>
        <v>165.75</v>
      </c>
      <c r="F4043" s="33" t="n">
        <f aca="false">IF(B4043&gt;=9,AVERAGE(C4035:C4042),"")</f>
        <v>163.125</v>
      </c>
      <c r="G4043" s="33" t="n">
        <f aca="false">IF(B4043=1,"",IF(B4043=2,C4042,SES_Alpha*C4042+(1-SES_Alpha)*G4042))</f>
        <v>158.663558682558</v>
      </c>
      <c r="H4043" s="33" t="n">
        <f aca="false">IF(D4043="","",D4043-C4043)</f>
        <v>8</v>
      </c>
      <c r="I4043" s="33" t="n">
        <f aca="false">IF(E4043="","",E4043-C4043)</f>
        <v>43.75</v>
      </c>
      <c r="J4043" s="33" t="n">
        <f aca="false">IF(F4043="","",F4043-C4043)</f>
        <v>41.125</v>
      </c>
      <c r="K4043" s="33" t="n">
        <f aca="false">IF(G4043="","",G4043-C4043)</f>
        <v>36.6635586825582</v>
      </c>
      <c r="L4043" s="33" t="n">
        <f aca="false">IF(H4043="","",ABS(H4043))</f>
        <v>8</v>
      </c>
      <c r="M4043" s="33" t="n">
        <f aca="false">IF(I4043="","",ABS(I4043))</f>
        <v>43.75</v>
      </c>
      <c r="N4043" s="33" t="n">
        <f aca="false">IF(J4043="","",ABS(J4043))</f>
        <v>41.125</v>
      </c>
      <c r="O4043" s="33" t="n">
        <f aca="false">IF(K4043="","",ABS(K4043))</f>
        <v>36.6635586825582</v>
      </c>
      <c r="P4043" s="34" t="str">
        <f aca="false">IF(B4043&gt;=Eval_Start_Week,"YES","")</f>
        <v>YES</v>
      </c>
      <c r="Q4043" s="34" t="str">
        <f aca="false">IF(AND(B4043&gt;=Cal_Start_Week,B4043&lt;=Cal_End_Week),"YES","")</f>
        <v/>
      </c>
    </row>
    <row r="4044" customFormat="false" ht="15" hidden="false" customHeight="false" outlineLevel="0" collapsed="false">
      <c r="A4044" s="31" t="str">
        <f aca="false">Demand_History!C4044</f>
        <v>CLN-002</v>
      </c>
      <c r="B4044" s="31" t="n">
        <f aca="false">Demand_History!A4044</f>
        <v>91</v>
      </c>
      <c r="C4044" s="32" t="n">
        <f aca="false">Demand_History!D4044</f>
        <v>152</v>
      </c>
      <c r="D4044" s="33" t="n">
        <f aca="false">IF(B4044&gt;=2,C4043,"")</f>
        <v>122</v>
      </c>
      <c r="E4044" s="33" t="n">
        <f aca="false">IF(B4044&gt;=5,AVERAGE(C4040:C4043),"")</f>
        <v>153.75</v>
      </c>
      <c r="F4044" s="33" t="n">
        <f aca="false">IF(B4044&gt;=9,AVERAGE(C4036:C4043),"")</f>
        <v>159.375</v>
      </c>
      <c r="G4044" s="33" t="n">
        <f aca="false">IF(B4044=1,"",IF(B4044=2,C4043,SES_Alpha*C4043+(1-SES_Alpha)*G4043))</f>
        <v>147.664491077791</v>
      </c>
      <c r="H4044" s="33" t="n">
        <f aca="false">IF(D4044="","",D4044-C4044)</f>
        <v>-30</v>
      </c>
      <c r="I4044" s="33" t="n">
        <f aca="false">IF(E4044="","",E4044-C4044)</f>
        <v>1.75</v>
      </c>
      <c r="J4044" s="33" t="n">
        <f aca="false">IF(F4044="","",F4044-C4044)</f>
        <v>7.375</v>
      </c>
      <c r="K4044" s="33" t="n">
        <f aca="false">IF(G4044="","",G4044-C4044)</f>
        <v>-4.33550892220927</v>
      </c>
      <c r="L4044" s="33" t="n">
        <f aca="false">IF(H4044="","",ABS(H4044))</f>
        <v>30</v>
      </c>
      <c r="M4044" s="33" t="n">
        <f aca="false">IF(I4044="","",ABS(I4044))</f>
        <v>1.75</v>
      </c>
      <c r="N4044" s="33" t="n">
        <f aca="false">IF(J4044="","",ABS(J4044))</f>
        <v>7.375</v>
      </c>
      <c r="O4044" s="33" t="n">
        <f aca="false">IF(K4044="","",ABS(K4044))</f>
        <v>4.33550892220927</v>
      </c>
      <c r="P4044" s="34" t="str">
        <f aca="false">IF(B4044&gt;=Eval_Start_Week,"YES","")</f>
        <v>YES</v>
      </c>
      <c r="Q4044" s="34" t="str">
        <f aca="false">IF(AND(B4044&gt;=Cal_Start_Week,B4044&lt;=Cal_End_Week),"YES","")</f>
        <v/>
      </c>
    </row>
    <row r="4045" customFormat="false" ht="15" hidden="false" customHeight="false" outlineLevel="0" collapsed="false">
      <c r="A4045" s="31" t="str">
        <f aca="false">Demand_History!C4045</f>
        <v>CLN-002</v>
      </c>
      <c r="B4045" s="31" t="n">
        <f aca="false">Demand_History!A4045</f>
        <v>92</v>
      </c>
      <c r="C4045" s="32" t="n">
        <f aca="false">Demand_History!D4045</f>
        <v>168</v>
      </c>
      <c r="D4045" s="33" t="n">
        <f aca="false">IF(B4045&gt;=2,C4044,"")</f>
        <v>152</v>
      </c>
      <c r="E4045" s="33" t="n">
        <f aca="false">IF(B4045&gt;=5,AVERAGE(C4041:C4044),"")</f>
        <v>150.5</v>
      </c>
      <c r="F4045" s="33" t="n">
        <f aca="false">IF(B4045&gt;=9,AVERAGE(C4037:C4044),"")</f>
        <v>151.5</v>
      </c>
      <c r="G4045" s="33" t="n">
        <f aca="false">IF(B4045=1,"",IF(B4045=2,C4044,SES_Alpha*C4044+(1-SES_Alpha)*G4044))</f>
        <v>148.965143754454</v>
      </c>
      <c r="H4045" s="33" t="n">
        <f aca="false">IF(D4045="","",D4045-C4045)</f>
        <v>-16</v>
      </c>
      <c r="I4045" s="33" t="n">
        <f aca="false">IF(E4045="","",E4045-C4045)</f>
        <v>-17.5</v>
      </c>
      <c r="J4045" s="33" t="n">
        <f aca="false">IF(F4045="","",F4045-C4045)</f>
        <v>-16.5</v>
      </c>
      <c r="K4045" s="33" t="n">
        <f aca="false">IF(G4045="","",G4045-C4045)</f>
        <v>-19.0348562455465</v>
      </c>
      <c r="L4045" s="33" t="n">
        <f aca="false">IF(H4045="","",ABS(H4045))</f>
        <v>16</v>
      </c>
      <c r="M4045" s="33" t="n">
        <f aca="false">IF(I4045="","",ABS(I4045))</f>
        <v>17.5</v>
      </c>
      <c r="N4045" s="33" t="n">
        <f aca="false">IF(J4045="","",ABS(J4045))</f>
        <v>16.5</v>
      </c>
      <c r="O4045" s="33" t="n">
        <f aca="false">IF(K4045="","",ABS(K4045))</f>
        <v>19.0348562455465</v>
      </c>
      <c r="P4045" s="34" t="str">
        <f aca="false">IF(B4045&gt;=Eval_Start_Week,"YES","")</f>
        <v>YES</v>
      </c>
      <c r="Q4045" s="34" t="str">
        <f aca="false">IF(AND(B4045&gt;=Cal_Start_Week,B4045&lt;=Cal_End_Week),"YES","")</f>
        <v/>
      </c>
    </row>
    <row r="4046" customFormat="false" ht="15" hidden="false" customHeight="false" outlineLevel="0" collapsed="false">
      <c r="A4046" s="31" t="str">
        <f aca="false">Demand_History!C4046</f>
        <v>CLN-002</v>
      </c>
      <c r="B4046" s="31" t="n">
        <f aca="false">Demand_History!A4046</f>
        <v>93</v>
      </c>
      <c r="C4046" s="32" t="n">
        <f aca="false">Demand_History!D4046</f>
        <v>168</v>
      </c>
      <c r="D4046" s="33" t="n">
        <f aca="false">IF(B4046&gt;=2,C4045,"")</f>
        <v>168</v>
      </c>
      <c r="E4046" s="33" t="n">
        <f aca="false">IF(B4046&gt;=5,AVERAGE(C4042:C4045),"")</f>
        <v>143</v>
      </c>
      <c r="F4046" s="33" t="n">
        <f aca="false">IF(B4046&gt;=9,AVERAGE(C4038:C4045),"")</f>
        <v>154.375</v>
      </c>
      <c r="G4046" s="33" t="n">
        <f aca="false">IF(B4046=1,"",IF(B4046=2,C4045,SES_Alpha*C4045+(1-SES_Alpha)*G4045))</f>
        <v>154.675600628117</v>
      </c>
      <c r="H4046" s="33" t="n">
        <f aca="false">IF(D4046="","",D4046-C4046)</f>
        <v>0</v>
      </c>
      <c r="I4046" s="33" t="n">
        <f aca="false">IF(E4046="","",E4046-C4046)</f>
        <v>-25</v>
      </c>
      <c r="J4046" s="33" t="n">
        <f aca="false">IF(F4046="","",F4046-C4046)</f>
        <v>-13.625</v>
      </c>
      <c r="K4046" s="33" t="n">
        <f aca="false">IF(G4046="","",G4046-C4046)</f>
        <v>-13.3243993718826</v>
      </c>
      <c r="L4046" s="33" t="n">
        <f aca="false">IF(H4046="","",ABS(H4046))</f>
        <v>0</v>
      </c>
      <c r="M4046" s="33" t="n">
        <f aca="false">IF(I4046="","",ABS(I4046))</f>
        <v>25</v>
      </c>
      <c r="N4046" s="33" t="n">
        <f aca="false">IF(J4046="","",ABS(J4046))</f>
        <v>13.625</v>
      </c>
      <c r="O4046" s="33" t="n">
        <f aca="false">IF(K4046="","",ABS(K4046))</f>
        <v>13.3243993718826</v>
      </c>
      <c r="P4046" s="34" t="str">
        <f aca="false">IF(B4046&gt;=Eval_Start_Week,"YES","")</f>
        <v>YES</v>
      </c>
      <c r="Q4046" s="34" t="str">
        <f aca="false">IF(AND(B4046&gt;=Cal_Start_Week,B4046&lt;=Cal_End_Week),"YES","")</f>
        <v/>
      </c>
    </row>
    <row r="4047" customFormat="false" ht="15" hidden="false" customHeight="false" outlineLevel="0" collapsed="false">
      <c r="A4047" s="31" t="str">
        <f aca="false">Demand_History!C4047</f>
        <v>CLN-002</v>
      </c>
      <c r="B4047" s="31" t="n">
        <f aca="false">Demand_History!A4047</f>
        <v>94</v>
      </c>
      <c r="C4047" s="32" t="n">
        <f aca="false">Demand_History!D4047</f>
        <v>185</v>
      </c>
      <c r="D4047" s="33" t="n">
        <f aca="false">IF(B4047&gt;=2,C4046,"")</f>
        <v>168</v>
      </c>
      <c r="E4047" s="33" t="n">
        <f aca="false">IF(B4047&gt;=5,AVERAGE(C4043:C4046),"")</f>
        <v>152.5</v>
      </c>
      <c r="F4047" s="33" t="n">
        <f aca="false">IF(B4047&gt;=9,AVERAGE(C4039:C4046),"")</f>
        <v>159.125</v>
      </c>
      <c r="G4047" s="33" t="n">
        <f aca="false">IF(B4047=1,"",IF(B4047=2,C4046,SES_Alpha*C4046+(1-SES_Alpha)*G4046))</f>
        <v>158.672920439682</v>
      </c>
      <c r="H4047" s="33" t="n">
        <f aca="false">IF(D4047="","",D4047-C4047)</f>
        <v>-17</v>
      </c>
      <c r="I4047" s="33" t="n">
        <f aca="false">IF(E4047="","",E4047-C4047)</f>
        <v>-32.5</v>
      </c>
      <c r="J4047" s="33" t="n">
        <f aca="false">IF(F4047="","",F4047-C4047)</f>
        <v>-25.875</v>
      </c>
      <c r="K4047" s="33" t="n">
        <f aca="false">IF(G4047="","",G4047-C4047)</f>
        <v>-26.3270795603178</v>
      </c>
      <c r="L4047" s="33" t="n">
        <f aca="false">IF(H4047="","",ABS(H4047))</f>
        <v>17</v>
      </c>
      <c r="M4047" s="33" t="n">
        <f aca="false">IF(I4047="","",ABS(I4047))</f>
        <v>32.5</v>
      </c>
      <c r="N4047" s="33" t="n">
        <f aca="false">IF(J4047="","",ABS(J4047))</f>
        <v>25.875</v>
      </c>
      <c r="O4047" s="33" t="n">
        <f aca="false">IF(K4047="","",ABS(K4047))</f>
        <v>26.3270795603178</v>
      </c>
      <c r="P4047" s="34" t="str">
        <f aca="false">IF(B4047&gt;=Eval_Start_Week,"YES","")</f>
        <v>YES</v>
      </c>
      <c r="Q4047" s="34" t="str">
        <f aca="false">IF(AND(B4047&gt;=Cal_Start_Week,B4047&lt;=Cal_End_Week),"YES","")</f>
        <v/>
      </c>
    </row>
    <row r="4048" customFormat="false" ht="15" hidden="false" customHeight="false" outlineLevel="0" collapsed="false">
      <c r="A4048" s="31" t="str">
        <f aca="false">Demand_History!C4048</f>
        <v>CLN-002</v>
      </c>
      <c r="B4048" s="31" t="n">
        <f aca="false">Demand_History!A4048</f>
        <v>95</v>
      </c>
      <c r="C4048" s="32" t="n">
        <f aca="false">Demand_History!D4048</f>
        <v>124</v>
      </c>
      <c r="D4048" s="33" t="n">
        <f aca="false">IF(B4048&gt;=2,C4047,"")</f>
        <v>185</v>
      </c>
      <c r="E4048" s="33" t="n">
        <f aca="false">IF(B4048&gt;=5,AVERAGE(C4044:C4047),"")</f>
        <v>168.25</v>
      </c>
      <c r="F4048" s="33" t="n">
        <f aca="false">IF(B4048&gt;=9,AVERAGE(C4040:C4047),"")</f>
        <v>161</v>
      </c>
      <c r="G4048" s="33" t="n">
        <f aca="false">IF(B4048=1,"",IF(B4048=2,C4047,SES_Alpha*C4047+(1-SES_Alpha)*G4047))</f>
        <v>166.571044307778</v>
      </c>
      <c r="H4048" s="33" t="n">
        <f aca="false">IF(D4048="","",D4048-C4048)</f>
        <v>61</v>
      </c>
      <c r="I4048" s="33" t="n">
        <f aca="false">IF(E4048="","",E4048-C4048)</f>
        <v>44.25</v>
      </c>
      <c r="J4048" s="33" t="n">
        <f aca="false">IF(F4048="","",F4048-C4048)</f>
        <v>37</v>
      </c>
      <c r="K4048" s="33" t="n">
        <f aca="false">IF(G4048="","",G4048-C4048)</f>
        <v>42.5710443077775</v>
      </c>
      <c r="L4048" s="33" t="n">
        <f aca="false">IF(H4048="","",ABS(H4048))</f>
        <v>61</v>
      </c>
      <c r="M4048" s="33" t="n">
        <f aca="false">IF(I4048="","",ABS(I4048))</f>
        <v>44.25</v>
      </c>
      <c r="N4048" s="33" t="n">
        <f aca="false">IF(J4048="","",ABS(J4048))</f>
        <v>37</v>
      </c>
      <c r="O4048" s="33" t="n">
        <f aca="false">IF(K4048="","",ABS(K4048))</f>
        <v>42.5710443077775</v>
      </c>
      <c r="P4048" s="34" t="str">
        <f aca="false">IF(B4048&gt;=Eval_Start_Week,"YES","")</f>
        <v>YES</v>
      </c>
      <c r="Q4048" s="34" t="str">
        <f aca="false">IF(AND(B4048&gt;=Cal_Start_Week,B4048&lt;=Cal_End_Week),"YES","")</f>
        <v/>
      </c>
    </row>
    <row r="4049" customFormat="false" ht="15" hidden="false" customHeight="false" outlineLevel="0" collapsed="false">
      <c r="A4049" s="31" t="str">
        <f aca="false">Demand_History!C4049</f>
        <v>CLN-002</v>
      </c>
      <c r="B4049" s="31" t="n">
        <f aca="false">Demand_History!A4049</f>
        <v>96</v>
      </c>
      <c r="C4049" s="32" t="n">
        <f aca="false">Demand_History!D4049</f>
        <v>140</v>
      </c>
      <c r="D4049" s="33" t="n">
        <f aca="false">IF(B4049&gt;=2,C4048,"")</f>
        <v>124</v>
      </c>
      <c r="E4049" s="33" t="n">
        <f aca="false">IF(B4049&gt;=5,AVERAGE(C4045:C4048),"")</f>
        <v>161.25</v>
      </c>
      <c r="F4049" s="33" t="n">
        <f aca="false">IF(B4049&gt;=9,AVERAGE(C4041:C4048),"")</f>
        <v>155.875</v>
      </c>
      <c r="G4049" s="33" t="n">
        <f aca="false">IF(B4049=1,"",IF(B4049=2,C4048,SES_Alpha*C4048+(1-SES_Alpha)*G4048))</f>
        <v>153.799731015444</v>
      </c>
      <c r="H4049" s="33" t="n">
        <f aca="false">IF(D4049="","",D4049-C4049)</f>
        <v>-16</v>
      </c>
      <c r="I4049" s="33" t="n">
        <f aca="false">IF(E4049="","",E4049-C4049)</f>
        <v>21.25</v>
      </c>
      <c r="J4049" s="33" t="n">
        <f aca="false">IF(F4049="","",F4049-C4049)</f>
        <v>15.875</v>
      </c>
      <c r="K4049" s="33" t="n">
        <f aca="false">IF(G4049="","",G4049-C4049)</f>
        <v>13.7997310154443</v>
      </c>
      <c r="L4049" s="33" t="n">
        <f aca="false">IF(H4049="","",ABS(H4049))</f>
        <v>16</v>
      </c>
      <c r="M4049" s="33" t="n">
        <f aca="false">IF(I4049="","",ABS(I4049))</f>
        <v>21.25</v>
      </c>
      <c r="N4049" s="33" t="n">
        <f aca="false">IF(J4049="","",ABS(J4049))</f>
        <v>15.875</v>
      </c>
      <c r="O4049" s="33" t="n">
        <f aca="false">IF(K4049="","",ABS(K4049))</f>
        <v>13.7997310154443</v>
      </c>
      <c r="P4049" s="34" t="str">
        <f aca="false">IF(B4049&gt;=Eval_Start_Week,"YES","")</f>
        <v>YES</v>
      </c>
      <c r="Q4049" s="34" t="str">
        <f aca="false">IF(AND(B4049&gt;=Cal_Start_Week,B4049&lt;=Cal_End_Week),"YES","")</f>
        <v/>
      </c>
    </row>
    <row r="4050" customFormat="false" ht="15" hidden="false" customHeight="false" outlineLevel="0" collapsed="false">
      <c r="A4050" s="31" t="str">
        <f aca="false">Demand_History!C4050</f>
        <v>CLN-002</v>
      </c>
      <c r="B4050" s="31" t="n">
        <f aca="false">Demand_History!A4050</f>
        <v>97</v>
      </c>
      <c r="C4050" s="32" t="n">
        <f aca="false">Demand_History!D4050</f>
        <v>156</v>
      </c>
      <c r="D4050" s="33" t="n">
        <f aca="false">IF(B4050&gt;=2,C4049,"")</f>
        <v>140</v>
      </c>
      <c r="E4050" s="33" t="n">
        <f aca="false">IF(B4050&gt;=5,AVERAGE(C4046:C4049),"")</f>
        <v>154.25</v>
      </c>
      <c r="F4050" s="33" t="n">
        <f aca="false">IF(B4050&gt;=9,AVERAGE(C4042:C4049),"")</f>
        <v>148.625</v>
      </c>
      <c r="G4050" s="33" t="n">
        <f aca="false">IF(B4050=1,"",IF(B4050=2,C4049,SES_Alpha*C4049+(1-SES_Alpha)*G4049))</f>
        <v>149.659811710811</v>
      </c>
      <c r="H4050" s="33" t="n">
        <f aca="false">IF(D4050="","",D4050-C4050)</f>
        <v>-16</v>
      </c>
      <c r="I4050" s="33" t="n">
        <f aca="false">IF(E4050="","",E4050-C4050)</f>
        <v>-1.75</v>
      </c>
      <c r="J4050" s="33" t="n">
        <f aca="false">IF(F4050="","",F4050-C4050)</f>
        <v>-7.375</v>
      </c>
      <c r="K4050" s="33" t="n">
        <f aca="false">IF(G4050="","",G4050-C4050)</f>
        <v>-6.34018828918903</v>
      </c>
      <c r="L4050" s="33" t="n">
        <f aca="false">IF(H4050="","",ABS(H4050))</f>
        <v>16</v>
      </c>
      <c r="M4050" s="33" t="n">
        <f aca="false">IF(I4050="","",ABS(I4050))</f>
        <v>1.75</v>
      </c>
      <c r="N4050" s="33" t="n">
        <f aca="false">IF(J4050="","",ABS(J4050))</f>
        <v>7.375</v>
      </c>
      <c r="O4050" s="33" t="n">
        <f aca="false">IF(K4050="","",ABS(K4050))</f>
        <v>6.34018828918903</v>
      </c>
      <c r="P4050" s="34" t="str">
        <f aca="false">IF(B4050&gt;=Eval_Start_Week,"YES","")</f>
        <v>YES</v>
      </c>
      <c r="Q4050" s="34" t="str">
        <f aca="false">IF(AND(B4050&gt;=Cal_Start_Week,B4050&lt;=Cal_End_Week),"YES","")</f>
        <v/>
      </c>
    </row>
    <row r="4051" customFormat="false" ht="15" hidden="false" customHeight="false" outlineLevel="0" collapsed="false">
      <c r="A4051" s="31" t="str">
        <f aca="false">Demand_History!C4051</f>
        <v>CLN-002</v>
      </c>
      <c r="B4051" s="31" t="n">
        <f aca="false">Demand_History!A4051</f>
        <v>98</v>
      </c>
      <c r="C4051" s="32" t="n">
        <f aca="false">Demand_History!D4051</f>
        <v>179</v>
      </c>
      <c r="D4051" s="33" t="n">
        <f aca="false">IF(B4051&gt;=2,C4050,"")</f>
        <v>156</v>
      </c>
      <c r="E4051" s="33" t="n">
        <f aca="false">IF(B4051&gt;=5,AVERAGE(C4047:C4050),"")</f>
        <v>151.25</v>
      </c>
      <c r="F4051" s="33" t="n">
        <f aca="false">IF(B4051&gt;=9,AVERAGE(C4043:C4050),"")</f>
        <v>151.875</v>
      </c>
      <c r="G4051" s="33" t="n">
        <f aca="false">IF(B4051=1,"",IF(B4051=2,C4050,SES_Alpha*C4050+(1-SES_Alpha)*G4050))</f>
        <v>151.561868197568</v>
      </c>
      <c r="H4051" s="33" t="n">
        <f aca="false">IF(D4051="","",D4051-C4051)</f>
        <v>-23</v>
      </c>
      <c r="I4051" s="33" t="n">
        <f aca="false">IF(E4051="","",E4051-C4051)</f>
        <v>-27.75</v>
      </c>
      <c r="J4051" s="33" t="n">
        <f aca="false">IF(F4051="","",F4051-C4051)</f>
        <v>-27.125</v>
      </c>
      <c r="K4051" s="33" t="n">
        <f aca="false">IF(G4051="","",G4051-C4051)</f>
        <v>-27.4381318024323</v>
      </c>
      <c r="L4051" s="33" t="n">
        <f aca="false">IF(H4051="","",ABS(H4051))</f>
        <v>23</v>
      </c>
      <c r="M4051" s="33" t="n">
        <f aca="false">IF(I4051="","",ABS(I4051))</f>
        <v>27.75</v>
      </c>
      <c r="N4051" s="33" t="n">
        <f aca="false">IF(J4051="","",ABS(J4051))</f>
        <v>27.125</v>
      </c>
      <c r="O4051" s="33" t="n">
        <f aca="false">IF(K4051="","",ABS(K4051))</f>
        <v>27.4381318024323</v>
      </c>
      <c r="P4051" s="34" t="str">
        <f aca="false">IF(B4051&gt;=Eval_Start_Week,"YES","")</f>
        <v>YES</v>
      </c>
      <c r="Q4051" s="34" t="str">
        <f aca="false">IF(AND(B4051&gt;=Cal_Start_Week,B4051&lt;=Cal_End_Week),"YES","")</f>
        <v/>
      </c>
    </row>
    <row r="4052" customFormat="false" ht="15" hidden="false" customHeight="false" outlineLevel="0" collapsed="false">
      <c r="A4052" s="31" t="str">
        <f aca="false">Demand_History!C4052</f>
        <v>CLN-002</v>
      </c>
      <c r="B4052" s="31" t="n">
        <f aca="false">Demand_History!A4052</f>
        <v>99</v>
      </c>
      <c r="C4052" s="32" t="n">
        <f aca="false">Demand_History!D4052</f>
        <v>170</v>
      </c>
      <c r="D4052" s="33" t="n">
        <f aca="false">IF(B4052&gt;=2,C4051,"")</f>
        <v>179</v>
      </c>
      <c r="E4052" s="33" t="n">
        <f aca="false">IF(B4052&gt;=5,AVERAGE(C4048:C4051),"")</f>
        <v>149.75</v>
      </c>
      <c r="F4052" s="33" t="n">
        <f aca="false">IF(B4052&gt;=9,AVERAGE(C4044:C4051),"")</f>
        <v>159</v>
      </c>
      <c r="G4052" s="33" t="n">
        <f aca="false">IF(B4052=1,"",IF(B4052=2,C4051,SES_Alpha*C4051+(1-SES_Alpha)*G4051))</f>
        <v>159.793307738297</v>
      </c>
      <c r="H4052" s="33" t="n">
        <f aca="false">IF(D4052="","",D4052-C4052)</f>
        <v>9</v>
      </c>
      <c r="I4052" s="33" t="n">
        <f aca="false">IF(E4052="","",E4052-C4052)</f>
        <v>-20.25</v>
      </c>
      <c r="J4052" s="33" t="n">
        <f aca="false">IF(F4052="","",F4052-C4052)</f>
        <v>-11</v>
      </c>
      <c r="K4052" s="33" t="n">
        <f aca="false">IF(G4052="","",G4052-C4052)</f>
        <v>-10.2066922617026</v>
      </c>
      <c r="L4052" s="33" t="n">
        <f aca="false">IF(H4052="","",ABS(H4052))</f>
        <v>9</v>
      </c>
      <c r="M4052" s="33" t="n">
        <f aca="false">IF(I4052="","",ABS(I4052))</f>
        <v>20.25</v>
      </c>
      <c r="N4052" s="33" t="n">
        <f aca="false">IF(J4052="","",ABS(J4052))</f>
        <v>11</v>
      </c>
      <c r="O4052" s="33" t="n">
        <f aca="false">IF(K4052="","",ABS(K4052))</f>
        <v>10.2066922617026</v>
      </c>
      <c r="P4052" s="34" t="str">
        <f aca="false">IF(B4052&gt;=Eval_Start_Week,"YES","")</f>
        <v>YES</v>
      </c>
      <c r="Q4052" s="34" t="str">
        <f aca="false">IF(AND(B4052&gt;=Cal_Start_Week,B4052&lt;=Cal_End_Week),"YES","")</f>
        <v/>
      </c>
    </row>
    <row r="4053" customFormat="false" ht="15" hidden="false" customHeight="false" outlineLevel="0" collapsed="false">
      <c r="A4053" s="31" t="str">
        <f aca="false">Demand_History!C4053</f>
        <v>CLN-002</v>
      </c>
      <c r="B4053" s="31" t="n">
        <f aca="false">Demand_History!A4053</f>
        <v>100</v>
      </c>
      <c r="C4053" s="32" t="n">
        <f aca="false">Demand_History!D4053</f>
        <v>149</v>
      </c>
      <c r="D4053" s="33" t="n">
        <f aca="false">IF(B4053&gt;=2,C4052,"")</f>
        <v>170</v>
      </c>
      <c r="E4053" s="33" t="n">
        <f aca="false">IF(B4053&gt;=5,AVERAGE(C4049:C4052),"")</f>
        <v>161.25</v>
      </c>
      <c r="F4053" s="33" t="n">
        <f aca="false">IF(B4053&gt;=9,AVERAGE(C4045:C4052),"")</f>
        <v>161.25</v>
      </c>
      <c r="G4053" s="33" t="n">
        <f aca="false">IF(B4053=1,"",IF(B4053=2,C4052,SES_Alpha*C4052+(1-SES_Alpha)*G4052))</f>
        <v>162.855315416808</v>
      </c>
      <c r="H4053" s="33" t="n">
        <f aca="false">IF(D4053="","",D4053-C4053)</f>
        <v>21</v>
      </c>
      <c r="I4053" s="33" t="n">
        <f aca="false">IF(E4053="","",E4053-C4053)</f>
        <v>12.25</v>
      </c>
      <c r="J4053" s="33" t="n">
        <f aca="false">IF(F4053="","",F4053-C4053)</f>
        <v>12.25</v>
      </c>
      <c r="K4053" s="33" t="n">
        <f aca="false">IF(G4053="","",G4053-C4053)</f>
        <v>13.8553154168081</v>
      </c>
      <c r="L4053" s="33" t="n">
        <f aca="false">IF(H4053="","",ABS(H4053))</f>
        <v>21</v>
      </c>
      <c r="M4053" s="33" t="n">
        <f aca="false">IF(I4053="","",ABS(I4053))</f>
        <v>12.25</v>
      </c>
      <c r="N4053" s="33" t="n">
        <f aca="false">IF(J4053="","",ABS(J4053))</f>
        <v>12.25</v>
      </c>
      <c r="O4053" s="33" t="n">
        <f aca="false">IF(K4053="","",ABS(K4053))</f>
        <v>13.8553154168081</v>
      </c>
      <c r="P4053" s="34" t="str">
        <f aca="false">IF(B4053&gt;=Eval_Start_Week,"YES","")</f>
        <v>YES</v>
      </c>
      <c r="Q4053" s="34" t="str">
        <f aca="false">IF(AND(B4053&gt;=Cal_Start_Week,B4053&lt;=Cal_End_Week),"YES","")</f>
        <v/>
      </c>
    </row>
    <row r="4054" customFormat="false" ht="15" hidden="false" customHeight="false" outlineLevel="0" collapsed="false">
      <c r="A4054" s="31" t="str">
        <f aca="false">Demand_History!C4054</f>
        <v>CLN-002</v>
      </c>
      <c r="B4054" s="31" t="n">
        <f aca="false">Demand_History!A4054</f>
        <v>101</v>
      </c>
      <c r="C4054" s="32" t="n">
        <f aca="false">Demand_History!D4054</f>
        <v>135</v>
      </c>
      <c r="D4054" s="33" t="n">
        <f aca="false">IF(B4054&gt;=2,C4053,"")</f>
        <v>149</v>
      </c>
      <c r="E4054" s="33" t="n">
        <f aca="false">IF(B4054&gt;=5,AVERAGE(C4050:C4053),"")</f>
        <v>163.5</v>
      </c>
      <c r="F4054" s="33" t="n">
        <f aca="false">IF(B4054&gt;=9,AVERAGE(C4046:C4053),"")</f>
        <v>158.875</v>
      </c>
      <c r="G4054" s="33" t="n">
        <f aca="false">IF(B4054=1,"",IF(B4054=2,C4053,SES_Alpha*C4053+(1-SES_Alpha)*G4053))</f>
        <v>158.698720791766</v>
      </c>
      <c r="H4054" s="33" t="n">
        <f aca="false">IF(D4054="","",D4054-C4054)</f>
        <v>14</v>
      </c>
      <c r="I4054" s="33" t="n">
        <f aca="false">IF(E4054="","",E4054-C4054)</f>
        <v>28.5</v>
      </c>
      <c r="J4054" s="33" t="n">
        <f aca="false">IF(F4054="","",F4054-C4054)</f>
        <v>23.875</v>
      </c>
      <c r="K4054" s="33" t="n">
        <f aca="false">IF(G4054="","",G4054-C4054)</f>
        <v>23.6987207917657</v>
      </c>
      <c r="L4054" s="33" t="n">
        <f aca="false">IF(H4054="","",ABS(H4054))</f>
        <v>14</v>
      </c>
      <c r="M4054" s="33" t="n">
        <f aca="false">IF(I4054="","",ABS(I4054))</f>
        <v>28.5</v>
      </c>
      <c r="N4054" s="33" t="n">
        <f aca="false">IF(J4054="","",ABS(J4054))</f>
        <v>23.875</v>
      </c>
      <c r="O4054" s="33" t="n">
        <f aca="false">IF(K4054="","",ABS(K4054))</f>
        <v>23.6987207917657</v>
      </c>
      <c r="P4054" s="34" t="str">
        <f aca="false">IF(B4054&gt;=Eval_Start_Week,"YES","")</f>
        <v>YES</v>
      </c>
      <c r="Q4054" s="34" t="str">
        <f aca="false">IF(AND(B4054&gt;=Cal_Start_Week,B4054&lt;=Cal_End_Week),"YES","")</f>
        <v/>
      </c>
    </row>
    <row r="4055" customFormat="false" ht="15" hidden="false" customHeight="false" outlineLevel="0" collapsed="false">
      <c r="A4055" s="31" t="str">
        <f aca="false">Demand_History!C4055</f>
        <v>CLN-002</v>
      </c>
      <c r="B4055" s="31" t="n">
        <f aca="false">Demand_History!A4055</f>
        <v>102</v>
      </c>
      <c r="C4055" s="32" t="n">
        <f aca="false">Demand_History!D4055</f>
        <v>180</v>
      </c>
      <c r="D4055" s="33" t="n">
        <f aca="false">IF(B4055&gt;=2,C4054,"")</f>
        <v>135</v>
      </c>
      <c r="E4055" s="33" t="n">
        <f aca="false">IF(B4055&gt;=5,AVERAGE(C4051:C4054),"")</f>
        <v>158.25</v>
      </c>
      <c r="F4055" s="33" t="n">
        <f aca="false">IF(B4055&gt;=9,AVERAGE(C4047:C4054),"")</f>
        <v>154.75</v>
      </c>
      <c r="G4055" s="33" t="n">
        <f aca="false">IF(B4055=1,"",IF(B4055=2,C4054,SES_Alpha*C4054+(1-SES_Alpha)*G4054))</f>
        <v>151.589104554236</v>
      </c>
      <c r="H4055" s="33" t="n">
        <f aca="false">IF(D4055="","",D4055-C4055)</f>
        <v>-45</v>
      </c>
      <c r="I4055" s="33" t="n">
        <f aca="false">IF(E4055="","",E4055-C4055)</f>
        <v>-21.75</v>
      </c>
      <c r="J4055" s="33" t="n">
        <f aca="false">IF(F4055="","",F4055-C4055)</f>
        <v>-25.25</v>
      </c>
      <c r="K4055" s="33" t="n">
        <f aca="false">IF(G4055="","",G4055-C4055)</f>
        <v>-28.410895445764</v>
      </c>
      <c r="L4055" s="33" t="n">
        <f aca="false">IF(H4055="","",ABS(H4055))</f>
        <v>45</v>
      </c>
      <c r="M4055" s="33" t="n">
        <f aca="false">IF(I4055="","",ABS(I4055))</f>
        <v>21.75</v>
      </c>
      <c r="N4055" s="33" t="n">
        <f aca="false">IF(J4055="","",ABS(J4055))</f>
        <v>25.25</v>
      </c>
      <c r="O4055" s="33" t="n">
        <f aca="false">IF(K4055="","",ABS(K4055))</f>
        <v>28.410895445764</v>
      </c>
      <c r="P4055" s="34" t="str">
        <f aca="false">IF(B4055&gt;=Eval_Start_Week,"YES","")</f>
        <v>YES</v>
      </c>
      <c r="Q4055" s="34" t="str">
        <f aca="false">IF(AND(B4055&gt;=Cal_Start_Week,B4055&lt;=Cal_End_Week),"YES","")</f>
        <v/>
      </c>
    </row>
    <row r="4056" customFormat="false" ht="15" hidden="false" customHeight="false" outlineLevel="0" collapsed="false">
      <c r="A4056" s="31" t="str">
        <f aca="false">Demand_History!C4056</f>
        <v>CLN-002</v>
      </c>
      <c r="B4056" s="31" t="n">
        <f aca="false">Demand_History!A4056</f>
        <v>103</v>
      </c>
      <c r="C4056" s="32" t="n">
        <f aca="false">Demand_History!D4056</f>
        <v>181</v>
      </c>
      <c r="D4056" s="33" t="n">
        <f aca="false">IF(B4056&gt;=2,C4055,"")</f>
        <v>180</v>
      </c>
      <c r="E4056" s="33" t="n">
        <f aca="false">IF(B4056&gt;=5,AVERAGE(C4052:C4055),"")</f>
        <v>158.5</v>
      </c>
      <c r="F4056" s="33" t="n">
        <f aca="false">IF(B4056&gt;=9,AVERAGE(C4048:C4055),"")</f>
        <v>154.125</v>
      </c>
      <c r="G4056" s="33" t="n">
        <f aca="false">IF(B4056=1,"",IF(B4056=2,C4055,SES_Alpha*C4055+(1-SES_Alpha)*G4055))</f>
        <v>160.112373187965</v>
      </c>
      <c r="H4056" s="33" t="n">
        <f aca="false">IF(D4056="","",D4056-C4056)</f>
        <v>-1</v>
      </c>
      <c r="I4056" s="33" t="n">
        <f aca="false">IF(E4056="","",E4056-C4056)</f>
        <v>-22.5</v>
      </c>
      <c r="J4056" s="33" t="n">
        <f aca="false">IF(F4056="","",F4056-C4056)</f>
        <v>-26.875</v>
      </c>
      <c r="K4056" s="33" t="n">
        <f aca="false">IF(G4056="","",G4056-C4056)</f>
        <v>-20.8876268120348</v>
      </c>
      <c r="L4056" s="33" t="n">
        <f aca="false">IF(H4056="","",ABS(H4056))</f>
        <v>1</v>
      </c>
      <c r="M4056" s="33" t="n">
        <f aca="false">IF(I4056="","",ABS(I4056))</f>
        <v>22.5</v>
      </c>
      <c r="N4056" s="33" t="n">
        <f aca="false">IF(J4056="","",ABS(J4056))</f>
        <v>26.875</v>
      </c>
      <c r="O4056" s="33" t="n">
        <f aca="false">IF(K4056="","",ABS(K4056))</f>
        <v>20.8876268120348</v>
      </c>
      <c r="P4056" s="34" t="str">
        <f aca="false">IF(B4056&gt;=Eval_Start_Week,"YES","")</f>
        <v>YES</v>
      </c>
      <c r="Q4056" s="34" t="str">
        <f aca="false">IF(AND(B4056&gt;=Cal_Start_Week,B4056&lt;=Cal_End_Week),"YES","")</f>
        <v/>
      </c>
    </row>
    <row r="4057" customFormat="false" ht="15" hidden="false" customHeight="false" outlineLevel="0" collapsed="false">
      <c r="A4057" s="31" t="str">
        <f aca="false">Demand_History!C4057</f>
        <v>CLN-002</v>
      </c>
      <c r="B4057" s="31" t="n">
        <f aca="false">Demand_History!A4057</f>
        <v>104</v>
      </c>
      <c r="C4057" s="32" t="n">
        <f aca="false">Demand_History!D4057</f>
        <v>223</v>
      </c>
      <c r="D4057" s="33" t="n">
        <f aca="false">IF(B4057&gt;=2,C4056,"")</f>
        <v>181</v>
      </c>
      <c r="E4057" s="33" t="n">
        <f aca="false">IF(B4057&gt;=5,AVERAGE(C4053:C4056),"")</f>
        <v>161.25</v>
      </c>
      <c r="F4057" s="33" t="n">
        <f aca="false">IF(B4057&gt;=9,AVERAGE(C4049:C4056),"")</f>
        <v>161.25</v>
      </c>
      <c r="G4057" s="33" t="n">
        <f aca="false">IF(B4057=1,"",IF(B4057=2,C4056,SES_Alpha*C4056+(1-SES_Alpha)*G4056))</f>
        <v>166.378661231576</v>
      </c>
      <c r="H4057" s="33" t="n">
        <f aca="false">IF(D4057="","",D4057-C4057)</f>
        <v>-42</v>
      </c>
      <c r="I4057" s="33" t="n">
        <f aca="false">IF(E4057="","",E4057-C4057)</f>
        <v>-61.75</v>
      </c>
      <c r="J4057" s="33" t="n">
        <f aca="false">IF(F4057="","",F4057-C4057)</f>
        <v>-61.75</v>
      </c>
      <c r="K4057" s="33" t="n">
        <f aca="false">IF(G4057="","",G4057-C4057)</f>
        <v>-56.6213387684244</v>
      </c>
      <c r="L4057" s="33" t="n">
        <f aca="false">IF(H4057="","",ABS(H4057))</f>
        <v>42</v>
      </c>
      <c r="M4057" s="33" t="n">
        <f aca="false">IF(I4057="","",ABS(I4057))</f>
        <v>61.75</v>
      </c>
      <c r="N4057" s="33" t="n">
        <f aca="false">IF(J4057="","",ABS(J4057))</f>
        <v>61.75</v>
      </c>
      <c r="O4057" s="33" t="n">
        <f aca="false">IF(K4057="","",ABS(K4057))</f>
        <v>56.6213387684244</v>
      </c>
      <c r="P4057" s="34" t="str">
        <f aca="false">IF(B4057&gt;=Eval_Start_Week,"YES","")</f>
        <v>YES</v>
      </c>
      <c r="Q4057" s="34" t="str">
        <f aca="false">IF(AND(B4057&gt;=Cal_Start_Week,B4057&lt;=Cal_End_Week),"YES","")</f>
        <v/>
      </c>
    </row>
    <row r="4058" customFormat="false" ht="15" hidden="false" customHeight="false" outlineLevel="0" collapsed="false">
      <c r="A4058" s="31" t="str">
        <f aca="false">Demand_History!C4058</f>
        <v>CLN-003</v>
      </c>
      <c r="B4058" s="31" t="n">
        <f aca="false">Demand_History!A4058</f>
        <v>1</v>
      </c>
      <c r="C4058" s="32" t="n">
        <f aca="false">Demand_History!D4058</f>
        <v>88</v>
      </c>
      <c r="D4058" s="33" t="str">
        <f aca="false">IF(B4058&gt;=2,C4057,"")</f>
        <v/>
      </c>
      <c r="E4058" s="33" t="str">
        <f aca="false">IF(B4058&gt;=5,AVERAGE(C4054:C4057),"")</f>
        <v/>
      </c>
      <c r="F4058" s="33" t="str">
        <f aca="false">IF(B4058&gt;=9,AVERAGE(C4050:C4057),"")</f>
        <v/>
      </c>
      <c r="G4058" s="33" t="str">
        <f aca="false">IF(B4058=1,"",IF(B4058=2,C4057,SES_Alpha*C4057+(1-SES_Alpha)*G4057))</f>
        <v/>
      </c>
      <c r="H4058" s="33" t="str">
        <f aca="false">IF(D4058="","",D4058-C4058)</f>
        <v/>
      </c>
      <c r="I4058" s="33" t="str">
        <f aca="false">IF(E4058="","",E4058-C4058)</f>
        <v/>
      </c>
      <c r="J4058" s="33" t="str">
        <f aca="false">IF(F4058="","",F4058-C4058)</f>
        <v/>
      </c>
      <c r="K4058" s="33" t="str">
        <f aca="false">IF(G4058="","",G4058-C4058)</f>
        <v/>
      </c>
      <c r="L4058" s="33" t="str">
        <f aca="false">IF(H4058="","",ABS(H4058))</f>
        <v/>
      </c>
      <c r="M4058" s="33" t="str">
        <f aca="false">IF(I4058="","",ABS(I4058))</f>
        <v/>
      </c>
      <c r="N4058" s="33" t="str">
        <f aca="false">IF(J4058="","",ABS(J4058))</f>
        <v/>
      </c>
      <c r="O4058" s="33" t="str">
        <f aca="false">IF(K4058="","",ABS(K4058))</f>
        <v/>
      </c>
      <c r="P4058" s="34" t="str">
        <f aca="false">IF(B4058&gt;=Eval_Start_Week,"YES","")</f>
        <v/>
      </c>
      <c r="Q4058" s="34" t="str">
        <f aca="false">IF(AND(B4058&gt;=Cal_Start_Week,B4058&lt;=Cal_End_Week),"YES","")</f>
        <v/>
      </c>
    </row>
    <row r="4059" customFormat="false" ht="15" hidden="false" customHeight="false" outlineLevel="0" collapsed="false">
      <c r="A4059" s="31" t="str">
        <f aca="false">Demand_History!C4059</f>
        <v>CLN-003</v>
      </c>
      <c r="B4059" s="31" t="n">
        <f aca="false">Demand_History!A4059</f>
        <v>2</v>
      </c>
      <c r="C4059" s="32" t="n">
        <f aca="false">Demand_History!D4059</f>
        <v>112</v>
      </c>
      <c r="D4059" s="33" t="n">
        <f aca="false">IF(B4059&gt;=2,C4058,"")</f>
        <v>88</v>
      </c>
      <c r="E4059" s="33" t="str">
        <f aca="false">IF(B4059&gt;=5,AVERAGE(C4055:C4058),"")</f>
        <v/>
      </c>
      <c r="F4059" s="33" t="str">
        <f aca="false">IF(B4059&gt;=9,AVERAGE(C4051:C4058),"")</f>
        <v/>
      </c>
      <c r="G4059" s="33" t="n">
        <f aca="false">IF(B4059=1,"",IF(B4059=2,C4058,SES_Alpha*C4058+(1-SES_Alpha)*G4058))</f>
        <v>88</v>
      </c>
      <c r="H4059" s="33" t="n">
        <f aca="false">IF(D4059="","",D4059-C4059)</f>
        <v>-24</v>
      </c>
      <c r="I4059" s="33" t="str">
        <f aca="false">IF(E4059="","",E4059-C4059)</f>
        <v/>
      </c>
      <c r="J4059" s="33" t="str">
        <f aca="false">IF(F4059="","",F4059-C4059)</f>
        <v/>
      </c>
      <c r="K4059" s="33" t="n">
        <f aca="false">IF(G4059="","",G4059-C4059)</f>
        <v>-24</v>
      </c>
      <c r="L4059" s="33" t="n">
        <f aca="false">IF(H4059="","",ABS(H4059))</f>
        <v>24</v>
      </c>
      <c r="M4059" s="33" t="str">
        <f aca="false">IF(I4059="","",ABS(I4059))</f>
        <v/>
      </c>
      <c r="N4059" s="33" t="str">
        <f aca="false">IF(J4059="","",ABS(J4059))</f>
        <v/>
      </c>
      <c r="O4059" s="33" t="n">
        <f aca="false">IF(K4059="","",ABS(K4059))</f>
        <v>24</v>
      </c>
      <c r="P4059" s="34" t="str">
        <f aca="false">IF(B4059&gt;=Eval_Start_Week,"YES","")</f>
        <v/>
      </c>
      <c r="Q4059" s="34" t="str">
        <f aca="false">IF(AND(B4059&gt;=Cal_Start_Week,B4059&lt;=Cal_End_Week),"YES","")</f>
        <v/>
      </c>
    </row>
    <row r="4060" customFormat="false" ht="15" hidden="false" customHeight="false" outlineLevel="0" collapsed="false">
      <c r="A4060" s="31" t="str">
        <f aca="false">Demand_History!C4060</f>
        <v>CLN-003</v>
      </c>
      <c r="B4060" s="31" t="n">
        <f aca="false">Demand_History!A4060</f>
        <v>3</v>
      </c>
      <c r="C4060" s="32" t="n">
        <f aca="false">Demand_History!D4060</f>
        <v>77</v>
      </c>
      <c r="D4060" s="33" t="n">
        <f aca="false">IF(B4060&gt;=2,C4059,"")</f>
        <v>112</v>
      </c>
      <c r="E4060" s="33" t="str">
        <f aca="false">IF(B4060&gt;=5,AVERAGE(C4056:C4059),"")</f>
        <v/>
      </c>
      <c r="F4060" s="33" t="str">
        <f aca="false">IF(B4060&gt;=9,AVERAGE(C4052:C4059),"")</f>
        <v/>
      </c>
      <c r="G4060" s="33" t="n">
        <f aca="false">IF(B4060=1,"",IF(B4060=2,C4059,SES_Alpha*C4059+(1-SES_Alpha)*G4059))</f>
        <v>95.2</v>
      </c>
      <c r="H4060" s="33" t="n">
        <f aca="false">IF(D4060="","",D4060-C4060)</f>
        <v>35</v>
      </c>
      <c r="I4060" s="33" t="str">
        <f aca="false">IF(E4060="","",E4060-C4060)</f>
        <v/>
      </c>
      <c r="J4060" s="33" t="str">
        <f aca="false">IF(F4060="","",F4060-C4060)</f>
        <v/>
      </c>
      <c r="K4060" s="33" t="n">
        <f aca="false">IF(G4060="","",G4060-C4060)</f>
        <v>18.2</v>
      </c>
      <c r="L4060" s="33" t="n">
        <f aca="false">IF(H4060="","",ABS(H4060))</f>
        <v>35</v>
      </c>
      <c r="M4060" s="33" t="str">
        <f aca="false">IF(I4060="","",ABS(I4060))</f>
        <v/>
      </c>
      <c r="N4060" s="33" t="str">
        <f aca="false">IF(J4060="","",ABS(J4060))</f>
        <v/>
      </c>
      <c r="O4060" s="33" t="n">
        <f aca="false">IF(K4060="","",ABS(K4060))</f>
        <v>18.2</v>
      </c>
      <c r="P4060" s="34" t="str">
        <f aca="false">IF(B4060&gt;=Eval_Start_Week,"YES","")</f>
        <v/>
      </c>
      <c r="Q4060" s="34" t="str">
        <f aca="false">IF(AND(B4060&gt;=Cal_Start_Week,B4060&lt;=Cal_End_Week),"YES","")</f>
        <v/>
      </c>
    </row>
    <row r="4061" customFormat="false" ht="15" hidden="false" customHeight="false" outlineLevel="0" collapsed="false">
      <c r="A4061" s="31" t="str">
        <f aca="false">Demand_History!C4061</f>
        <v>CLN-003</v>
      </c>
      <c r="B4061" s="31" t="n">
        <f aca="false">Demand_History!A4061</f>
        <v>4</v>
      </c>
      <c r="C4061" s="32" t="n">
        <f aca="false">Demand_History!D4061</f>
        <v>87</v>
      </c>
      <c r="D4061" s="33" t="n">
        <f aca="false">IF(B4061&gt;=2,C4060,"")</f>
        <v>77</v>
      </c>
      <c r="E4061" s="33" t="str">
        <f aca="false">IF(B4061&gt;=5,AVERAGE(C4057:C4060),"")</f>
        <v/>
      </c>
      <c r="F4061" s="33" t="str">
        <f aca="false">IF(B4061&gt;=9,AVERAGE(C4053:C4060),"")</f>
        <v/>
      </c>
      <c r="G4061" s="33" t="n">
        <f aca="false">IF(B4061=1,"",IF(B4061=2,C4060,SES_Alpha*C4060+(1-SES_Alpha)*G4060))</f>
        <v>89.74</v>
      </c>
      <c r="H4061" s="33" t="n">
        <f aca="false">IF(D4061="","",D4061-C4061)</f>
        <v>-10</v>
      </c>
      <c r="I4061" s="33" t="str">
        <f aca="false">IF(E4061="","",E4061-C4061)</f>
        <v/>
      </c>
      <c r="J4061" s="33" t="str">
        <f aca="false">IF(F4061="","",F4061-C4061)</f>
        <v/>
      </c>
      <c r="K4061" s="33" t="n">
        <f aca="false">IF(G4061="","",G4061-C4061)</f>
        <v>2.73999999999998</v>
      </c>
      <c r="L4061" s="33" t="n">
        <f aca="false">IF(H4061="","",ABS(H4061))</f>
        <v>10</v>
      </c>
      <c r="M4061" s="33" t="str">
        <f aca="false">IF(I4061="","",ABS(I4061))</f>
        <v/>
      </c>
      <c r="N4061" s="33" t="str">
        <f aca="false">IF(J4061="","",ABS(J4061))</f>
        <v/>
      </c>
      <c r="O4061" s="33" t="n">
        <f aca="false">IF(K4061="","",ABS(K4061))</f>
        <v>2.73999999999998</v>
      </c>
      <c r="P4061" s="34" t="str">
        <f aca="false">IF(B4061&gt;=Eval_Start_Week,"YES","")</f>
        <v/>
      </c>
      <c r="Q4061" s="34" t="str">
        <f aca="false">IF(AND(B4061&gt;=Cal_Start_Week,B4061&lt;=Cal_End_Week),"YES","")</f>
        <v/>
      </c>
    </row>
    <row r="4062" customFormat="false" ht="15" hidden="false" customHeight="false" outlineLevel="0" collapsed="false">
      <c r="A4062" s="31" t="str">
        <f aca="false">Demand_History!C4062</f>
        <v>CLN-003</v>
      </c>
      <c r="B4062" s="31" t="n">
        <f aca="false">Demand_History!A4062</f>
        <v>5</v>
      </c>
      <c r="C4062" s="32" t="n">
        <f aca="false">Demand_History!D4062</f>
        <v>86</v>
      </c>
      <c r="D4062" s="33" t="n">
        <f aca="false">IF(B4062&gt;=2,C4061,"")</f>
        <v>87</v>
      </c>
      <c r="E4062" s="33" t="n">
        <f aca="false">IF(B4062&gt;=5,AVERAGE(C4058:C4061),"")</f>
        <v>91</v>
      </c>
      <c r="F4062" s="33" t="str">
        <f aca="false">IF(B4062&gt;=9,AVERAGE(C4054:C4061),"")</f>
        <v/>
      </c>
      <c r="G4062" s="33" t="n">
        <f aca="false">IF(B4062=1,"",IF(B4062=2,C4061,SES_Alpha*C4061+(1-SES_Alpha)*G4061))</f>
        <v>88.918</v>
      </c>
      <c r="H4062" s="33" t="n">
        <f aca="false">IF(D4062="","",D4062-C4062)</f>
        <v>1</v>
      </c>
      <c r="I4062" s="33" t="n">
        <f aca="false">IF(E4062="","",E4062-C4062)</f>
        <v>5</v>
      </c>
      <c r="J4062" s="33" t="str">
        <f aca="false">IF(F4062="","",F4062-C4062)</f>
        <v/>
      </c>
      <c r="K4062" s="33" t="n">
        <f aca="false">IF(G4062="","",G4062-C4062)</f>
        <v>2.91799999999998</v>
      </c>
      <c r="L4062" s="33" t="n">
        <f aca="false">IF(H4062="","",ABS(H4062))</f>
        <v>1</v>
      </c>
      <c r="M4062" s="33" t="n">
        <f aca="false">IF(I4062="","",ABS(I4062))</f>
        <v>5</v>
      </c>
      <c r="N4062" s="33" t="str">
        <f aca="false">IF(J4062="","",ABS(J4062))</f>
        <v/>
      </c>
      <c r="O4062" s="33" t="n">
        <f aca="false">IF(K4062="","",ABS(K4062))</f>
        <v>2.91799999999998</v>
      </c>
      <c r="P4062" s="34" t="str">
        <f aca="false">IF(B4062&gt;=Eval_Start_Week,"YES","")</f>
        <v/>
      </c>
      <c r="Q4062" s="34" t="str">
        <f aca="false">IF(AND(B4062&gt;=Cal_Start_Week,B4062&lt;=Cal_End_Week),"YES","")</f>
        <v/>
      </c>
    </row>
    <row r="4063" customFormat="false" ht="15" hidden="false" customHeight="false" outlineLevel="0" collapsed="false">
      <c r="A4063" s="31" t="str">
        <f aca="false">Demand_History!C4063</f>
        <v>CLN-003</v>
      </c>
      <c r="B4063" s="31" t="n">
        <f aca="false">Demand_History!A4063</f>
        <v>6</v>
      </c>
      <c r="C4063" s="32" t="n">
        <f aca="false">Demand_History!D4063</f>
        <v>90</v>
      </c>
      <c r="D4063" s="33" t="n">
        <f aca="false">IF(B4063&gt;=2,C4062,"")</f>
        <v>86</v>
      </c>
      <c r="E4063" s="33" t="n">
        <f aca="false">IF(B4063&gt;=5,AVERAGE(C4059:C4062),"")</f>
        <v>90.5</v>
      </c>
      <c r="F4063" s="33" t="str">
        <f aca="false">IF(B4063&gt;=9,AVERAGE(C4055:C4062),"")</f>
        <v/>
      </c>
      <c r="G4063" s="33" t="n">
        <f aca="false">IF(B4063=1,"",IF(B4063=2,C4062,SES_Alpha*C4062+(1-SES_Alpha)*G4062))</f>
        <v>88.0426</v>
      </c>
      <c r="H4063" s="33" t="n">
        <f aca="false">IF(D4063="","",D4063-C4063)</f>
        <v>-4</v>
      </c>
      <c r="I4063" s="33" t="n">
        <f aca="false">IF(E4063="","",E4063-C4063)</f>
        <v>0.5</v>
      </c>
      <c r="J4063" s="33" t="str">
        <f aca="false">IF(F4063="","",F4063-C4063)</f>
        <v/>
      </c>
      <c r="K4063" s="33" t="n">
        <f aca="false">IF(G4063="","",G4063-C4063)</f>
        <v>-1.95740000000002</v>
      </c>
      <c r="L4063" s="33" t="n">
        <f aca="false">IF(H4063="","",ABS(H4063))</f>
        <v>4</v>
      </c>
      <c r="M4063" s="33" t="n">
        <f aca="false">IF(I4063="","",ABS(I4063))</f>
        <v>0.5</v>
      </c>
      <c r="N4063" s="33" t="str">
        <f aca="false">IF(J4063="","",ABS(J4063))</f>
        <v/>
      </c>
      <c r="O4063" s="33" t="n">
        <f aca="false">IF(K4063="","",ABS(K4063))</f>
        <v>1.95740000000002</v>
      </c>
      <c r="P4063" s="34" t="str">
        <f aca="false">IF(B4063&gt;=Eval_Start_Week,"YES","")</f>
        <v/>
      </c>
      <c r="Q4063" s="34" t="str">
        <f aca="false">IF(AND(B4063&gt;=Cal_Start_Week,B4063&lt;=Cal_End_Week),"YES","")</f>
        <v/>
      </c>
    </row>
    <row r="4064" customFormat="false" ht="15" hidden="false" customHeight="false" outlineLevel="0" collapsed="false">
      <c r="A4064" s="31" t="str">
        <f aca="false">Demand_History!C4064</f>
        <v>CLN-003</v>
      </c>
      <c r="B4064" s="31" t="n">
        <f aca="false">Demand_History!A4064</f>
        <v>7</v>
      </c>
      <c r="C4064" s="32" t="n">
        <f aca="false">Demand_History!D4064</f>
        <v>85</v>
      </c>
      <c r="D4064" s="33" t="n">
        <f aca="false">IF(B4064&gt;=2,C4063,"")</f>
        <v>90</v>
      </c>
      <c r="E4064" s="33" t="n">
        <f aca="false">IF(B4064&gt;=5,AVERAGE(C4060:C4063),"")</f>
        <v>85</v>
      </c>
      <c r="F4064" s="33" t="str">
        <f aca="false">IF(B4064&gt;=9,AVERAGE(C4056:C4063),"")</f>
        <v/>
      </c>
      <c r="G4064" s="33" t="n">
        <f aca="false">IF(B4064=1,"",IF(B4064=2,C4063,SES_Alpha*C4063+(1-SES_Alpha)*G4063))</f>
        <v>88.62982</v>
      </c>
      <c r="H4064" s="33" t="n">
        <f aca="false">IF(D4064="","",D4064-C4064)</f>
        <v>5</v>
      </c>
      <c r="I4064" s="33" t="n">
        <f aca="false">IF(E4064="","",E4064-C4064)</f>
        <v>0</v>
      </c>
      <c r="J4064" s="33" t="str">
        <f aca="false">IF(F4064="","",F4064-C4064)</f>
        <v/>
      </c>
      <c r="K4064" s="33" t="n">
        <f aca="false">IF(G4064="","",G4064-C4064)</f>
        <v>3.62981999999998</v>
      </c>
      <c r="L4064" s="33" t="n">
        <f aca="false">IF(H4064="","",ABS(H4064))</f>
        <v>5</v>
      </c>
      <c r="M4064" s="33" t="n">
        <f aca="false">IF(I4064="","",ABS(I4064))</f>
        <v>0</v>
      </c>
      <c r="N4064" s="33" t="str">
        <f aca="false">IF(J4064="","",ABS(J4064))</f>
        <v/>
      </c>
      <c r="O4064" s="33" t="n">
        <f aca="false">IF(K4064="","",ABS(K4064))</f>
        <v>3.62981999999998</v>
      </c>
      <c r="P4064" s="34" t="str">
        <f aca="false">IF(B4064&gt;=Eval_Start_Week,"YES","")</f>
        <v/>
      </c>
      <c r="Q4064" s="34" t="str">
        <f aca="false">IF(AND(B4064&gt;=Cal_Start_Week,B4064&lt;=Cal_End_Week),"YES","")</f>
        <v/>
      </c>
    </row>
    <row r="4065" customFormat="false" ht="15" hidden="false" customHeight="false" outlineLevel="0" collapsed="false">
      <c r="A4065" s="31" t="str">
        <f aca="false">Demand_History!C4065</f>
        <v>CLN-003</v>
      </c>
      <c r="B4065" s="31" t="n">
        <f aca="false">Demand_History!A4065</f>
        <v>8</v>
      </c>
      <c r="C4065" s="32" t="n">
        <f aca="false">Demand_History!D4065</f>
        <v>90</v>
      </c>
      <c r="D4065" s="33" t="n">
        <f aca="false">IF(B4065&gt;=2,C4064,"")</f>
        <v>85</v>
      </c>
      <c r="E4065" s="33" t="n">
        <f aca="false">IF(B4065&gt;=5,AVERAGE(C4061:C4064),"")</f>
        <v>87</v>
      </c>
      <c r="F4065" s="33" t="str">
        <f aca="false">IF(B4065&gt;=9,AVERAGE(C4057:C4064),"")</f>
        <v/>
      </c>
      <c r="G4065" s="33" t="n">
        <f aca="false">IF(B4065=1,"",IF(B4065=2,C4064,SES_Alpha*C4064+(1-SES_Alpha)*G4064))</f>
        <v>87.540874</v>
      </c>
      <c r="H4065" s="33" t="n">
        <f aca="false">IF(D4065="","",D4065-C4065)</f>
        <v>-5</v>
      </c>
      <c r="I4065" s="33" t="n">
        <f aca="false">IF(E4065="","",E4065-C4065)</f>
        <v>-3</v>
      </c>
      <c r="J4065" s="33" t="str">
        <f aca="false">IF(F4065="","",F4065-C4065)</f>
        <v/>
      </c>
      <c r="K4065" s="33" t="n">
        <f aca="false">IF(G4065="","",G4065-C4065)</f>
        <v>-2.45912600000003</v>
      </c>
      <c r="L4065" s="33" t="n">
        <f aca="false">IF(H4065="","",ABS(H4065))</f>
        <v>5</v>
      </c>
      <c r="M4065" s="33" t="n">
        <f aca="false">IF(I4065="","",ABS(I4065))</f>
        <v>3</v>
      </c>
      <c r="N4065" s="33" t="str">
        <f aca="false">IF(J4065="","",ABS(J4065))</f>
        <v/>
      </c>
      <c r="O4065" s="33" t="n">
        <f aca="false">IF(K4065="","",ABS(K4065))</f>
        <v>2.45912600000003</v>
      </c>
      <c r="P4065" s="34" t="str">
        <f aca="false">IF(B4065&gt;=Eval_Start_Week,"YES","")</f>
        <v/>
      </c>
      <c r="Q4065" s="34" t="str">
        <f aca="false">IF(AND(B4065&gt;=Cal_Start_Week,B4065&lt;=Cal_End_Week),"YES","")</f>
        <v/>
      </c>
    </row>
    <row r="4066" customFormat="false" ht="15" hidden="false" customHeight="false" outlineLevel="0" collapsed="false">
      <c r="A4066" s="31" t="str">
        <f aca="false">Demand_History!C4066</f>
        <v>CLN-003</v>
      </c>
      <c r="B4066" s="31" t="n">
        <f aca="false">Demand_History!A4066</f>
        <v>9</v>
      </c>
      <c r="C4066" s="32" t="n">
        <f aca="false">Demand_History!D4066</f>
        <v>98</v>
      </c>
      <c r="D4066" s="33" t="n">
        <f aca="false">IF(B4066&gt;=2,C4065,"")</f>
        <v>90</v>
      </c>
      <c r="E4066" s="33" t="n">
        <f aca="false">IF(B4066&gt;=5,AVERAGE(C4062:C4065),"")</f>
        <v>87.75</v>
      </c>
      <c r="F4066" s="33" t="n">
        <f aca="false">IF(B4066&gt;=9,AVERAGE(C4058:C4065),"")</f>
        <v>89.375</v>
      </c>
      <c r="G4066" s="33" t="n">
        <f aca="false">IF(B4066=1,"",IF(B4066=2,C4065,SES_Alpha*C4065+(1-SES_Alpha)*G4065))</f>
        <v>88.2786118</v>
      </c>
      <c r="H4066" s="33" t="n">
        <f aca="false">IF(D4066="","",D4066-C4066)</f>
        <v>-8</v>
      </c>
      <c r="I4066" s="33" t="n">
        <f aca="false">IF(E4066="","",E4066-C4066)</f>
        <v>-10.25</v>
      </c>
      <c r="J4066" s="33" t="n">
        <f aca="false">IF(F4066="","",F4066-C4066)</f>
        <v>-8.625</v>
      </c>
      <c r="K4066" s="33" t="n">
        <f aca="false">IF(G4066="","",G4066-C4066)</f>
        <v>-9.72138820000002</v>
      </c>
      <c r="L4066" s="33" t="n">
        <f aca="false">IF(H4066="","",ABS(H4066))</f>
        <v>8</v>
      </c>
      <c r="M4066" s="33" t="n">
        <f aca="false">IF(I4066="","",ABS(I4066))</f>
        <v>10.25</v>
      </c>
      <c r="N4066" s="33" t="n">
        <f aca="false">IF(J4066="","",ABS(J4066))</f>
        <v>8.625</v>
      </c>
      <c r="O4066" s="33" t="n">
        <f aca="false">IF(K4066="","",ABS(K4066))</f>
        <v>9.72138820000002</v>
      </c>
      <c r="P4066" s="34" t="str">
        <f aca="false">IF(B4066&gt;=Eval_Start_Week,"YES","")</f>
        <v/>
      </c>
      <c r="Q4066" s="34" t="str">
        <f aca="false">IF(AND(B4066&gt;=Cal_Start_Week,B4066&lt;=Cal_End_Week),"YES","")</f>
        <v/>
      </c>
    </row>
    <row r="4067" customFormat="false" ht="15" hidden="false" customHeight="false" outlineLevel="0" collapsed="false">
      <c r="A4067" s="31" t="str">
        <f aca="false">Demand_History!C4067</f>
        <v>CLN-003</v>
      </c>
      <c r="B4067" s="31" t="n">
        <f aca="false">Demand_History!A4067</f>
        <v>10</v>
      </c>
      <c r="C4067" s="32" t="n">
        <f aca="false">Demand_History!D4067</f>
        <v>94</v>
      </c>
      <c r="D4067" s="33" t="n">
        <f aca="false">IF(B4067&gt;=2,C4066,"")</f>
        <v>98</v>
      </c>
      <c r="E4067" s="33" t="n">
        <f aca="false">IF(B4067&gt;=5,AVERAGE(C4063:C4066),"")</f>
        <v>90.75</v>
      </c>
      <c r="F4067" s="33" t="n">
        <f aca="false">IF(B4067&gt;=9,AVERAGE(C4059:C4066),"")</f>
        <v>90.625</v>
      </c>
      <c r="G4067" s="33" t="n">
        <f aca="false">IF(B4067=1,"",IF(B4067=2,C4066,SES_Alpha*C4066+(1-SES_Alpha)*G4066))</f>
        <v>91.19502826</v>
      </c>
      <c r="H4067" s="33" t="n">
        <f aca="false">IF(D4067="","",D4067-C4067)</f>
        <v>4</v>
      </c>
      <c r="I4067" s="33" t="n">
        <f aca="false">IF(E4067="","",E4067-C4067)</f>
        <v>-3.25</v>
      </c>
      <c r="J4067" s="33" t="n">
        <f aca="false">IF(F4067="","",F4067-C4067)</f>
        <v>-3.375</v>
      </c>
      <c r="K4067" s="33" t="n">
        <f aca="false">IF(G4067="","",G4067-C4067)</f>
        <v>-2.80497174000001</v>
      </c>
      <c r="L4067" s="33" t="n">
        <f aca="false">IF(H4067="","",ABS(H4067))</f>
        <v>4</v>
      </c>
      <c r="M4067" s="33" t="n">
        <f aca="false">IF(I4067="","",ABS(I4067))</f>
        <v>3.25</v>
      </c>
      <c r="N4067" s="33" t="n">
        <f aca="false">IF(J4067="","",ABS(J4067))</f>
        <v>3.375</v>
      </c>
      <c r="O4067" s="33" t="n">
        <f aca="false">IF(K4067="","",ABS(K4067))</f>
        <v>2.80497174000001</v>
      </c>
      <c r="P4067" s="34" t="str">
        <f aca="false">IF(B4067&gt;=Eval_Start_Week,"YES","")</f>
        <v/>
      </c>
      <c r="Q4067" s="34" t="str">
        <f aca="false">IF(AND(B4067&gt;=Cal_Start_Week,B4067&lt;=Cal_End_Week),"YES","")</f>
        <v/>
      </c>
    </row>
    <row r="4068" customFormat="false" ht="15" hidden="false" customHeight="false" outlineLevel="0" collapsed="false">
      <c r="A4068" s="31" t="str">
        <f aca="false">Demand_History!C4068</f>
        <v>CLN-003</v>
      </c>
      <c r="B4068" s="31" t="n">
        <f aca="false">Demand_History!A4068</f>
        <v>11</v>
      </c>
      <c r="C4068" s="32" t="n">
        <f aca="false">Demand_History!D4068</f>
        <v>110</v>
      </c>
      <c r="D4068" s="33" t="n">
        <f aca="false">IF(B4068&gt;=2,C4067,"")</f>
        <v>94</v>
      </c>
      <c r="E4068" s="33" t="n">
        <f aca="false">IF(B4068&gt;=5,AVERAGE(C4064:C4067),"")</f>
        <v>91.75</v>
      </c>
      <c r="F4068" s="33" t="n">
        <f aca="false">IF(B4068&gt;=9,AVERAGE(C4060:C4067),"")</f>
        <v>88.375</v>
      </c>
      <c r="G4068" s="33" t="n">
        <f aca="false">IF(B4068=1,"",IF(B4068=2,C4067,SES_Alpha*C4067+(1-SES_Alpha)*G4067))</f>
        <v>92.036519782</v>
      </c>
      <c r="H4068" s="33" t="n">
        <f aca="false">IF(D4068="","",D4068-C4068)</f>
        <v>-16</v>
      </c>
      <c r="I4068" s="33" t="n">
        <f aca="false">IF(E4068="","",E4068-C4068)</f>
        <v>-18.25</v>
      </c>
      <c r="J4068" s="33" t="n">
        <f aca="false">IF(F4068="","",F4068-C4068)</f>
        <v>-21.625</v>
      </c>
      <c r="K4068" s="33" t="n">
        <f aca="false">IF(G4068="","",G4068-C4068)</f>
        <v>-17.963480218</v>
      </c>
      <c r="L4068" s="33" t="n">
        <f aca="false">IF(H4068="","",ABS(H4068))</f>
        <v>16</v>
      </c>
      <c r="M4068" s="33" t="n">
        <f aca="false">IF(I4068="","",ABS(I4068))</f>
        <v>18.25</v>
      </c>
      <c r="N4068" s="33" t="n">
        <f aca="false">IF(J4068="","",ABS(J4068))</f>
        <v>21.625</v>
      </c>
      <c r="O4068" s="33" t="n">
        <f aca="false">IF(K4068="","",ABS(K4068))</f>
        <v>17.963480218</v>
      </c>
      <c r="P4068" s="34" t="str">
        <f aca="false">IF(B4068&gt;=Eval_Start_Week,"YES","")</f>
        <v/>
      </c>
      <c r="Q4068" s="34" t="str">
        <f aca="false">IF(AND(B4068&gt;=Cal_Start_Week,B4068&lt;=Cal_End_Week),"YES","")</f>
        <v/>
      </c>
    </row>
    <row r="4069" customFormat="false" ht="15" hidden="false" customHeight="false" outlineLevel="0" collapsed="false">
      <c r="A4069" s="31" t="str">
        <f aca="false">Demand_History!C4069</f>
        <v>CLN-003</v>
      </c>
      <c r="B4069" s="31" t="n">
        <f aca="false">Demand_History!A4069</f>
        <v>12</v>
      </c>
      <c r="C4069" s="32" t="n">
        <f aca="false">Demand_History!D4069</f>
        <v>101</v>
      </c>
      <c r="D4069" s="33" t="n">
        <f aca="false">IF(B4069&gt;=2,C4068,"")</f>
        <v>110</v>
      </c>
      <c r="E4069" s="33" t="n">
        <f aca="false">IF(B4069&gt;=5,AVERAGE(C4065:C4068),"")</f>
        <v>98</v>
      </c>
      <c r="F4069" s="33" t="n">
        <f aca="false">IF(B4069&gt;=9,AVERAGE(C4061:C4068),"")</f>
        <v>92.5</v>
      </c>
      <c r="G4069" s="33" t="n">
        <f aca="false">IF(B4069=1,"",IF(B4069=2,C4068,SES_Alpha*C4068+(1-SES_Alpha)*G4068))</f>
        <v>97.4255638474</v>
      </c>
      <c r="H4069" s="33" t="n">
        <f aca="false">IF(D4069="","",D4069-C4069)</f>
        <v>9</v>
      </c>
      <c r="I4069" s="33" t="n">
        <f aca="false">IF(E4069="","",E4069-C4069)</f>
        <v>-3</v>
      </c>
      <c r="J4069" s="33" t="n">
        <f aca="false">IF(F4069="","",F4069-C4069)</f>
        <v>-8.5</v>
      </c>
      <c r="K4069" s="33" t="n">
        <f aca="false">IF(G4069="","",G4069-C4069)</f>
        <v>-3.57443615260002</v>
      </c>
      <c r="L4069" s="33" t="n">
        <f aca="false">IF(H4069="","",ABS(H4069))</f>
        <v>9</v>
      </c>
      <c r="M4069" s="33" t="n">
        <f aca="false">IF(I4069="","",ABS(I4069))</f>
        <v>3</v>
      </c>
      <c r="N4069" s="33" t="n">
        <f aca="false">IF(J4069="","",ABS(J4069))</f>
        <v>8.5</v>
      </c>
      <c r="O4069" s="33" t="n">
        <f aca="false">IF(K4069="","",ABS(K4069))</f>
        <v>3.57443615260002</v>
      </c>
      <c r="P4069" s="34" t="str">
        <f aca="false">IF(B4069&gt;=Eval_Start_Week,"YES","")</f>
        <v/>
      </c>
      <c r="Q4069" s="34" t="str">
        <f aca="false">IF(AND(B4069&gt;=Cal_Start_Week,B4069&lt;=Cal_End_Week),"YES","")</f>
        <v/>
      </c>
    </row>
    <row r="4070" customFormat="false" ht="15" hidden="false" customHeight="false" outlineLevel="0" collapsed="false">
      <c r="A4070" s="31" t="str">
        <f aca="false">Demand_History!C4070</f>
        <v>CLN-003</v>
      </c>
      <c r="B4070" s="31" t="n">
        <f aca="false">Demand_History!A4070</f>
        <v>13</v>
      </c>
      <c r="C4070" s="32" t="n">
        <f aca="false">Demand_History!D4070</f>
        <v>103</v>
      </c>
      <c r="D4070" s="33" t="n">
        <f aca="false">IF(B4070&gt;=2,C4069,"")</f>
        <v>101</v>
      </c>
      <c r="E4070" s="33" t="n">
        <f aca="false">IF(B4070&gt;=5,AVERAGE(C4066:C4069),"")</f>
        <v>100.75</v>
      </c>
      <c r="F4070" s="33" t="n">
        <f aca="false">IF(B4070&gt;=9,AVERAGE(C4062:C4069),"")</f>
        <v>94.25</v>
      </c>
      <c r="G4070" s="33" t="n">
        <f aca="false">IF(B4070=1,"",IF(B4070=2,C4069,SES_Alpha*C4069+(1-SES_Alpha)*G4069))</f>
        <v>98.49789469318</v>
      </c>
      <c r="H4070" s="33" t="n">
        <f aca="false">IF(D4070="","",D4070-C4070)</f>
        <v>-2</v>
      </c>
      <c r="I4070" s="33" t="n">
        <f aca="false">IF(E4070="","",E4070-C4070)</f>
        <v>-2.25</v>
      </c>
      <c r="J4070" s="33" t="n">
        <f aca="false">IF(F4070="","",F4070-C4070)</f>
        <v>-8.75</v>
      </c>
      <c r="K4070" s="33" t="n">
        <f aca="false">IF(G4070="","",G4070-C4070)</f>
        <v>-4.50210530682001</v>
      </c>
      <c r="L4070" s="33" t="n">
        <f aca="false">IF(H4070="","",ABS(H4070))</f>
        <v>2</v>
      </c>
      <c r="M4070" s="33" t="n">
        <f aca="false">IF(I4070="","",ABS(I4070))</f>
        <v>2.25</v>
      </c>
      <c r="N4070" s="33" t="n">
        <f aca="false">IF(J4070="","",ABS(J4070))</f>
        <v>8.75</v>
      </c>
      <c r="O4070" s="33" t="n">
        <f aca="false">IF(K4070="","",ABS(K4070))</f>
        <v>4.50210530682001</v>
      </c>
      <c r="P4070" s="34" t="str">
        <f aca="false">IF(B4070&gt;=Eval_Start_Week,"YES","")</f>
        <v/>
      </c>
      <c r="Q4070" s="34" t="str">
        <f aca="false">IF(AND(B4070&gt;=Cal_Start_Week,B4070&lt;=Cal_End_Week),"YES","")</f>
        <v/>
      </c>
    </row>
    <row r="4071" customFormat="false" ht="15" hidden="false" customHeight="false" outlineLevel="0" collapsed="false">
      <c r="A4071" s="31" t="str">
        <f aca="false">Demand_History!C4071</f>
        <v>CLN-003</v>
      </c>
      <c r="B4071" s="31" t="n">
        <f aca="false">Demand_History!A4071</f>
        <v>14</v>
      </c>
      <c r="C4071" s="32" t="n">
        <f aca="false">Demand_History!D4071</f>
        <v>125</v>
      </c>
      <c r="D4071" s="33" t="n">
        <f aca="false">IF(B4071&gt;=2,C4070,"")</f>
        <v>103</v>
      </c>
      <c r="E4071" s="33" t="n">
        <f aca="false">IF(B4071&gt;=5,AVERAGE(C4067:C4070),"")</f>
        <v>102</v>
      </c>
      <c r="F4071" s="33" t="n">
        <f aca="false">IF(B4071&gt;=9,AVERAGE(C4063:C4070),"")</f>
        <v>96.375</v>
      </c>
      <c r="G4071" s="33" t="n">
        <f aca="false">IF(B4071=1,"",IF(B4071=2,C4070,SES_Alpha*C4070+(1-SES_Alpha)*G4070))</f>
        <v>99.848526285226</v>
      </c>
      <c r="H4071" s="33" t="n">
        <f aca="false">IF(D4071="","",D4071-C4071)</f>
        <v>-22</v>
      </c>
      <c r="I4071" s="33" t="n">
        <f aca="false">IF(E4071="","",E4071-C4071)</f>
        <v>-23</v>
      </c>
      <c r="J4071" s="33" t="n">
        <f aca="false">IF(F4071="","",F4071-C4071)</f>
        <v>-28.625</v>
      </c>
      <c r="K4071" s="33" t="n">
        <f aca="false">IF(G4071="","",G4071-C4071)</f>
        <v>-25.151473714774</v>
      </c>
      <c r="L4071" s="33" t="n">
        <f aca="false">IF(H4071="","",ABS(H4071))</f>
        <v>22</v>
      </c>
      <c r="M4071" s="33" t="n">
        <f aca="false">IF(I4071="","",ABS(I4071))</f>
        <v>23</v>
      </c>
      <c r="N4071" s="33" t="n">
        <f aca="false">IF(J4071="","",ABS(J4071))</f>
        <v>28.625</v>
      </c>
      <c r="O4071" s="33" t="n">
        <f aca="false">IF(K4071="","",ABS(K4071))</f>
        <v>25.151473714774</v>
      </c>
      <c r="P4071" s="34" t="str">
        <f aca="false">IF(B4071&gt;=Eval_Start_Week,"YES","")</f>
        <v/>
      </c>
      <c r="Q4071" s="34" t="str">
        <f aca="false">IF(AND(B4071&gt;=Cal_Start_Week,B4071&lt;=Cal_End_Week),"YES","")</f>
        <v/>
      </c>
    </row>
    <row r="4072" customFormat="false" ht="15" hidden="false" customHeight="false" outlineLevel="0" collapsed="false">
      <c r="A4072" s="31" t="str">
        <f aca="false">Demand_History!C4072</f>
        <v>CLN-003</v>
      </c>
      <c r="B4072" s="31" t="n">
        <f aca="false">Demand_History!A4072</f>
        <v>15</v>
      </c>
      <c r="C4072" s="32" t="n">
        <f aca="false">Demand_History!D4072</f>
        <v>109</v>
      </c>
      <c r="D4072" s="33" t="n">
        <f aca="false">IF(B4072&gt;=2,C4071,"")</f>
        <v>125</v>
      </c>
      <c r="E4072" s="33" t="n">
        <f aca="false">IF(B4072&gt;=5,AVERAGE(C4068:C4071),"")</f>
        <v>109.75</v>
      </c>
      <c r="F4072" s="33" t="n">
        <f aca="false">IF(B4072&gt;=9,AVERAGE(C4064:C4071),"")</f>
        <v>100.75</v>
      </c>
      <c r="G4072" s="33" t="n">
        <f aca="false">IF(B4072=1,"",IF(B4072=2,C4071,SES_Alpha*C4071+(1-SES_Alpha)*G4071))</f>
        <v>107.393968399658</v>
      </c>
      <c r="H4072" s="33" t="n">
        <f aca="false">IF(D4072="","",D4072-C4072)</f>
        <v>16</v>
      </c>
      <c r="I4072" s="33" t="n">
        <f aca="false">IF(E4072="","",E4072-C4072)</f>
        <v>0.75</v>
      </c>
      <c r="J4072" s="33" t="n">
        <f aca="false">IF(F4072="","",F4072-C4072)</f>
        <v>-8.25</v>
      </c>
      <c r="K4072" s="33" t="n">
        <f aca="false">IF(G4072="","",G4072-C4072)</f>
        <v>-1.60603160034182</v>
      </c>
      <c r="L4072" s="33" t="n">
        <f aca="false">IF(H4072="","",ABS(H4072))</f>
        <v>16</v>
      </c>
      <c r="M4072" s="33" t="n">
        <f aca="false">IF(I4072="","",ABS(I4072))</f>
        <v>0.75</v>
      </c>
      <c r="N4072" s="33" t="n">
        <f aca="false">IF(J4072="","",ABS(J4072))</f>
        <v>8.25</v>
      </c>
      <c r="O4072" s="33" t="n">
        <f aca="false">IF(K4072="","",ABS(K4072))</f>
        <v>1.60603160034182</v>
      </c>
      <c r="P4072" s="34" t="str">
        <f aca="false">IF(B4072&gt;=Eval_Start_Week,"YES","")</f>
        <v/>
      </c>
      <c r="Q4072" s="34" t="str">
        <f aca="false">IF(AND(B4072&gt;=Cal_Start_Week,B4072&lt;=Cal_End_Week),"YES","")</f>
        <v/>
      </c>
    </row>
    <row r="4073" customFormat="false" ht="15" hidden="false" customHeight="false" outlineLevel="0" collapsed="false">
      <c r="A4073" s="31" t="str">
        <f aca="false">Demand_History!C4073</f>
        <v>CLN-003</v>
      </c>
      <c r="B4073" s="31" t="n">
        <f aca="false">Demand_History!A4073</f>
        <v>16</v>
      </c>
      <c r="C4073" s="32" t="n">
        <f aca="false">Demand_History!D4073</f>
        <v>108</v>
      </c>
      <c r="D4073" s="33" t="n">
        <f aca="false">IF(B4073&gt;=2,C4072,"")</f>
        <v>109</v>
      </c>
      <c r="E4073" s="33" t="n">
        <f aca="false">IF(B4073&gt;=5,AVERAGE(C4069:C4072),"")</f>
        <v>109.5</v>
      </c>
      <c r="F4073" s="33" t="n">
        <f aca="false">IF(B4073&gt;=9,AVERAGE(C4065:C4072),"")</f>
        <v>103.75</v>
      </c>
      <c r="G4073" s="33" t="n">
        <f aca="false">IF(B4073=1,"",IF(B4073=2,C4072,SES_Alpha*C4072+(1-SES_Alpha)*G4072))</f>
        <v>107.875777879761</v>
      </c>
      <c r="H4073" s="33" t="n">
        <f aca="false">IF(D4073="","",D4073-C4073)</f>
        <v>1</v>
      </c>
      <c r="I4073" s="33" t="n">
        <f aca="false">IF(E4073="","",E4073-C4073)</f>
        <v>1.5</v>
      </c>
      <c r="J4073" s="33" t="n">
        <f aca="false">IF(F4073="","",F4073-C4073)</f>
        <v>-4.25</v>
      </c>
      <c r="K4073" s="33" t="n">
        <f aca="false">IF(G4073="","",G4073-C4073)</f>
        <v>-0.124222120239295</v>
      </c>
      <c r="L4073" s="33" t="n">
        <f aca="false">IF(H4073="","",ABS(H4073))</f>
        <v>1</v>
      </c>
      <c r="M4073" s="33" t="n">
        <f aca="false">IF(I4073="","",ABS(I4073))</f>
        <v>1.5</v>
      </c>
      <c r="N4073" s="33" t="n">
        <f aca="false">IF(J4073="","",ABS(J4073))</f>
        <v>4.25</v>
      </c>
      <c r="O4073" s="33" t="n">
        <f aca="false">IF(K4073="","",ABS(K4073))</f>
        <v>0.124222120239295</v>
      </c>
      <c r="P4073" s="34" t="str">
        <f aca="false">IF(B4073&gt;=Eval_Start_Week,"YES","")</f>
        <v/>
      </c>
      <c r="Q4073" s="34" t="str">
        <f aca="false">IF(AND(B4073&gt;=Cal_Start_Week,B4073&lt;=Cal_End_Week),"YES","")</f>
        <v/>
      </c>
    </row>
    <row r="4074" customFormat="false" ht="15" hidden="false" customHeight="false" outlineLevel="0" collapsed="false">
      <c r="A4074" s="31" t="str">
        <f aca="false">Demand_History!C4074</f>
        <v>CLN-003</v>
      </c>
      <c r="B4074" s="31" t="n">
        <f aca="false">Demand_History!A4074</f>
        <v>17</v>
      </c>
      <c r="C4074" s="32" t="n">
        <f aca="false">Demand_History!D4074</f>
        <v>107</v>
      </c>
      <c r="D4074" s="33" t="n">
        <f aca="false">IF(B4074&gt;=2,C4073,"")</f>
        <v>108</v>
      </c>
      <c r="E4074" s="33" t="n">
        <f aca="false">IF(B4074&gt;=5,AVERAGE(C4070:C4073),"")</f>
        <v>111.25</v>
      </c>
      <c r="F4074" s="33" t="n">
        <f aca="false">IF(B4074&gt;=9,AVERAGE(C4066:C4073),"")</f>
        <v>106</v>
      </c>
      <c r="G4074" s="33" t="n">
        <f aca="false">IF(B4074=1,"",IF(B4074=2,C4073,SES_Alpha*C4073+(1-SES_Alpha)*G4073))</f>
        <v>107.913044515833</v>
      </c>
      <c r="H4074" s="33" t="n">
        <f aca="false">IF(D4074="","",D4074-C4074)</f>
        <v>1</v>
      </c>
      <c r="I4074" s="33" t="n">
        <f aca="false">IF(E4074="","",E4074-C4074)</f>
        <v>4.25</v>
      </c>
      <c r="J4074" s="33" t="n">
        <f aca="false">IF(F4074="","",F4074-C4074)</f>
        <v>-1</v>
      </c>
      <c r="K4074" s="33" t="n">
        <f aca="false">IF(G4074="","",G4074-C4074)</f>
        <v>0.913044515832496</v>
      </c>
      <c r="L4074" s="33" t="n">
        <f aca="false">IF(H4074="","",ABS(H4074))</f>
        <v>1</v>
      </c>
      <c r="M4074" s="33" t="n">
        <f aca="false">IF(I4074="","",ABS(I4074))</f>
        <v>4.25</v>
      </c>
      <c r="N4074" s="33" t="n">
        <f aca="false">IF(J4074="","",ABS(J4074))</f>
        <v>1</v>
      </c>
      <c r="O4074" s="33" t="n">
        <f aca="false">IF(K4074="","",ABS(K4074))</f>
        <v>0.913044515832496</v>
      </c>
      <c r="P4074" s="34" t="str">
        <f aca="false">IF(B4074&gt;=Eval_Start_Week,"YES","")</f>
        <v/>
      </c>
      <c r="Q4074" s="34" t="str">
        <f aca="false">IF(AND(B4074&gt;=Cal_Start_Week,B4074&lt;=Cal_End_Week),"YES","")</f>
        <v/>
      </c>
    </row>
    <row r="4075" customFormat="false" ht="15" hidden="false" customHeight="false" outlineLevel="0" collapsed="false">
      <c r="A4075" s="31" t="str">
        <f aca="false">Demand_History!C4075</f>
        <v>CLN-003</v>
      </c>
      <c r="B4075" s="31" t="n">
        <f aca="false">Demand_History!A4075</f>
        <v>18</v>
      </c>
      <c r="C4075" s="32" t="n">
        <f aca="false">Demand_History!D4075</f>
        <v>109</v>
      </c>
      <c r="D4075" s="33" t="n">
        <f aca="false">IF(B4075&gt;=2,C4074,"")</f>
        <v>107</v>
      </c>
      <c r="E4075" s="33" t="n">
        <f aca="false">IF(B4075&gt;=5,AVERAGE(C4071:C4074),"")</f>
        <v>112.25</v>
      </c>
      <c r="F4075" s="33" t="n">
        <f aca="false">IF(B4075&gt;=9,AVERAGE(C4067:C4074),"")</f>
        <v>107.125</v>
      </c>
      <c r="G4075" s="33" t="n">
        <f aca="false">IF(B4075=1,"",IF(B4075=2,C4074,SES_Alpha*C4074+(1-SES_Alpha)*G4074))</f>
        <v>107.639131161083</v>
      </c>
      <c r="H4075" s="33" t="n">
        <f aca="false">IF(D4075="","",D4075-C4075)</f>
        <v>-2</v>
      </c>
      <c r="I4075" s="33" t="n">
        <f aca="false">IF(E4075="","",E4075-C4075)</f>
        <v>3.25</v>
      </c>
      <c r="J4075" s="33" t="n">
        <f aca="false">IF(F4075="","",F4075-C4075)</f>
        <v>-1.875</v>
      </c>
      <c r="K4075" s="33" t="n">
        <f aca="false">IF(G4075="","",G4075-C4075)</f>
        <v>-1.36086883891727</v>
      </c>
      <c r="L4075" s="33" t="n">
        <f aca="false">IF(H4075="","",ABS(H4075))</f>
        <v>2</v>
      </c>
      <c r="M4075" s="33" t="n">
        <f aca="false">IF(I4075="","",ABS(I4075))</f>
        <v>3.25</v>
      </c>
      <c r="N4075" s="33" t="n">
        <f aca="false">IF(J4075="","",ABS(J4075))</f>
        <v>1.875</v>
      </c>
      <c r="O4075" s="33" t="n">
        <f aca="false">IF(K4075="","",ABS(K4075))</f>
        <v>1.36086883891727</v>
      </c>
      <c r="P4075" s="34" t="str">
        <f aca="false">IF(B4075&gt;=Eval_Start_Week,"YES","")</f>
        <v/>
      </c>
      <c r="Q4075" s="34" t="str">
        <f aca="false">IF(AND(B4075&gt;=Cal_Start_Week,B4075&lt;=Cal_End_Week),"YES","")</f>
        <v/>
      </c>
    </row>
    <row r="4076" customFormat="false" ht="15" hidden="false" customHeight="false" outlineLevel="0" collapsed="false">
      <c r="A4076" s="31" t="str">
        <f aca="false">Demand_History!C4076</f>
        <v>CLN-003</v>
      </c>
      <c r="B4076" s="31" t="n">
        <f aca="false">Demand_History!A4076</f>
        <v>19</v>
      </c>
      <c r="C4076" s="32" t="n">
        <f aca="false">Demand_History!D4076</f>
        <v>117</v>
      </c>
      <c r="D4076" s="33" t="n">
        <f aca="false">IF(B4076&gt;=2,C4075,"")</f>
        <v>109</v>
      </c>
      <c r="E4076" s="33" t="n">
        <f aca="false">IF(B4076&gt;=5,AVERAGE(C4072:C4075),"")</f>
        <v>108.25</v>
      </c>
      <c r="F4076" s="33" t="n">
        <f aca="false">IF(B4076&gt;=9,AVERAGE(C4068:C4075),"")</f>
        <v>109</v>
      </c>
      <c r="G4076" s="33" t="n">
        <f aca="false">IF(B4076=1,"",IF(B4076=2,C4075,SES_Alpha*C4075+(1-SES_Alpha)*G4075))</f>
        <v>108.047391812758</v>
      </c>
      <c r="H4076" s="33" t="n">
        <f aca="false">IF(D4076="","",D4076-C4076)</f>
        <v>-8</v>
      </c>
      <c r="I4076" s="33" t="n">
        <f aca="false">IF(E4076="","",E4076-C4076)</f>
        <v>-8.75</v>
      </c>
      <c r="J4076" s="33" t="n">
        <f aca="false">IF(F4076="","",F4076-C4076)</f>
        <v>-8</v>
      </c>
      <c r="K4076" s="33" t="n">
        <f aca="false">IF(G4076="","",G4076-C4076)</f>
        <v>-8.95260818724211</v>
      </c>
      <c r="L4076" s="33" t="n">
        <f aca="false">IF(H4076="","",ABS(H4076))</f>
        <v>8</v>
      </c>
      <c r="M4076" s="33" t="n">
        <f aca="false">IF(I4076="","",ABS(I4076))</f>
        <v>8.75</v>
      </c>
      <c r="N4076" s="33" t="n">
        <f aca="false">IF(J4076="","",ABS(J4076))</f>
        <v>8</v>
      </c>
      <c r="O4076" s="33" t="n">
        <f aca="false">IF(K4076="","",ABS(K4076))</f>
        <v>8.95260818724211</v>
      </c>
      <c r="P4076" s="34" t="str">
        <f aca="false">IF(B4076&gt;=Eval_Start_Week,"YES","")</f>
        <v/>
      </c>
      <c r="Q4076" s="34" t="str">
        <f aca="false">IF(AND(B4076&gt;=Cal_Start_Week,B4076&lt;=Cal_End_Week),"YES","")</f>
        <v/>
      </c>
    </row>
    <row r="4077" customFormat="false" ht="15" hidden="false" customHeight="false" outlineLevel="0" collapsed="false">
      <c r="A4077" s="31" t="str">
        <f aca="false">Demand_History!C4077</f>
        <v>CLN-003</v>
      </c>
      <c r="B4077" s="31" t="n">
        <f aca="false">Demand_History!A4077</f>
        <v>20</v>
      </c>
      <c r="C4077" s="32" t="n">
        <f aca="false">Demand_History!D4077</f>
        <v>98</v>
      </c>
      <c r="D4077" s="33" t="n">
        <f aca="false">IF(B4077&gt;=2,C4076,"")</f>
        <v>117</v>
      </c>
      <c r="E4077" s="33" t="n">
        <f aca="false">IF(B4077&gt;=5,AVERAGE(C4073:C4076),"")</f>
        <v>110.25</v>
      </c>
      <c r="F4077" s="33" t="n">
        <f aca="false">IF(B4077&gt;=9,AVERAGE(C4069:C4076),"")</f>
        <v>109.875</v>
      </c>
      <c r="G4077" s="33" t="n">
        <f aca="false">IF(B4077=1,"",IF(B4077=2,C4076,SES_Alpha*C4076+(1-SES_Alpha)*G4076))</f>
        <v>110.733174268931</v>
      </c>
      <c r="H4077" s="33" t="n">
        <f aca="false">IF(D4077="","",D4077-C4077)</f>
        <v>19</v>
      </c>
      <c r="I4077" s="33" t="n">
        <f aca="false">IF(E4077="","",E4077-C4077)</f>
        <v>12.25</v>
      </c>
      <c r="J4077" s="33" t="n">
        <f aca="false">IF(F4077="","",F4077-C4077)</f>
        <v>11.875</v>
      </c>
      <c r="K4077" s="33" t="n">
        <f aca="false">IF(G4077="","",G4077-C4077)</f>
        <v>12.7331742689305</v>
      </c>
      <c r="L4077" s="33" t="n">
        <f aca="false">IF(H4077="","",ABS(H4077))</f>
        <v>19</v>
      </c>
      <c r="M4077" s="33" t="n">
        <f aca="false">IF(I4077="","",ABS(I4077))</f>
        <v>12.25</v>
      </c>
      <c r="N4077" s="33" t="n">
        <f aca="false">IF(J4077="","",ABS(J4077))</f>
        <v>11.875</v>
      </c>
      <c r="O4077" s="33" t="n">
        <f aca="false">IF(K4077="","",ABS(K4077))</f>
        <v>12.7331742689305</v>
      </c>
      <c r="P4077" s="34" t="str">
        <f aca="false">IF(B4077&gt;=Eval_Start_Week,"YES","")</f>
        <v/>
      </c>
      <c r="Q4077" s="34" t="str">
        <f aca="false">IF(AND(B4077&gt;=Cal_Start_Week,B4077&lt;=Cal_End_Week),"YES","")</f>
        <v/>
      </c>
    </row>
    <row r="4078" customFormat="false" ht="15" hidden="false" customHeight="false" outlineLevel="0" collapsed="false">
      <c r="A4078" s="31" t="str">
        <f aca="false">Demand_History!C4078</f>
        <v>CLN-003</v>
      </c>
      <c r="B4078" s="31" t="n">
        <f aca="false">Demand_History!A4078</f>
        <v>21</v>
      </c>
      <c r="C4078" s="32" t="n">
        <f aca="false">Demand_History!D4078</f>
        <v>128</v>
      </c>
      <c r="D4078" s="33" t="n">
        <f aca="false">IF(B4078&gt;=2,C4077,"")</f>
        <v>98</v>
      </c>
      <c r="E4078" s="33" t="n">
        <f aca="false">IF(B4078&gt;=5,AVERAGE(C4074:C4077),"")</f>
        <v>107.75</v>
      </c>
      <c r="F4078" s="33" t="n">
        <f aca="false">IF(B4078&gt;=9,AVERAGE(C4070:C4077),"")</f>
        <v>109.5</v>
      </c>
      <c r="G4078" s="33" t="n">
        <f aca="false">IF(B4078=1,"",IF(B4078=2,C4077,SES_Alpha*C4077+(1-SES_Alpha)*G4077))</f>
        <v>106.913221988251</v>
      </c>
      <c r="H4078" s="33" t="n">
        <f aca="false">IF(D4078="","",D4078-C4078)</f>
        <v>-30</v>
      </c>
      <c r="I4078" s="33" t="n">
        <f aca="false">IF(E4078="","",E4078-C4078)</f>
        <v>-20.25</v>
      </c>
      <c r="J4078" s="33" t="n">
        <f aca="false">IF(F4078="","",F4078-C4078)</f>
        <v>-18.5</v>
      </c>
      <c r="K4078" s="33" t="n">
        <f aca="false">IF(G4078="","",G4078-C4078)</f>
        <v>-21.0867780117486</v>
      </c>
      <c r="L4078" s="33" t="n">
        <f aca="false">IF(H4078="","",ABS(H4078))</f>
        <v>30</v>
      </c>
      <c r="M4078" s="33" t="n">
        <f aca="false">IF(I4078="","",ABS(I4078))</f>
        <v>20.25</v>
      </c>
      <c r="N4078" s="33" t="n">
        <f aca="false">IF(J4078="","",ABS(J4078))</f>
        <v>18.5</v>
      </c>
      <c r="O4078" s="33" t="n">
        <f aca="false">IF(K4078="","",ABS(K4078))</f>
        <v>21.0867780117486</v>
      </c>
      <c r="P4078" s="34" t="str">
        <f aca="false">IF(B4078&gt;=Eval_Start_Week,"YES","")</f>
        <v/>
      </c>
      <c r="Q4078" s="34" t="str">
        <f aca="false">IF(AND(B4078&gt;=Cal_Start_Week,B4078&lt;=Cal_End_Week),"YES","")</f>
        <v/>
      </c>
    </row>
    <row r="4079" customFormat="false" ht="15" hidden="false" customHeight="false" outlineLevel="0" collapsed="false">
      <c r="A4079" s="31" t="str">
        <f aca="false">Demand_History!C4079</f>
        <v>CLN-003</v>
      </c>
      <c r="B4079" s="31" t="n">
        <f aca="false">Demand_History!A4079</f>
        <v>22</v>
      </c>
      <c r="C4079" s="32" t="n">
        <f aca="false">Demand_History!D4079</f>
        <v>136</v>
      </c>
      <c r="D4079" s="33" t="n">
        <f aca="false">IF(B4079&gt;=2,C4078,"")</f>
        <v>128</v>
      </c>
      <c r="E4079" s="33" t="n">
        <f aca="false">IF(B4079&gt;=5,AVERAGE(C4075:C4078),"")</f>
        <v>113</v>
      </c>
      <c r="F4079" s="33" t="n">
        <f aca="false">IF(B4079&gt;=9,AVERAGE(C4071:C4078),"")</f>
        <v>112.625</v>
      </c>
      <c r="G4079" s="33" t="n">
        <f aca="false">IF(B4079=1,"",IF(B4079=2,C4078,SES_Alpha*C4078+(1-SES_Alpha)*G4078))</f>
        <v>113.239255391776</v>
      </c>
      <c r="H4079" s="33" t="n">
        <f aca="false">IF(D4079="","",D4079-C4079)</f>
        <v>-8</v>
      </c>
      <c r="I4079" s="33" t="n">
        <f aca="false">IF(E4079="","",E4079-C4079)</f>
        <v>-23</v>
      </c>
      <c r="J4079" s="33" t="n">
        <f aca="false">IF(F4079="","",F4079-C4079)</f>
        <v>-23.375</v>
      </c>
      <c r="K4079" s="33" t="n">
        <f aca="false">IF(G4079="","",G4079-C4079)</f>
        <v>-22.7607446082241</v>
      </c>
      <c r="L4079" s="33" t="n">
        <f aca="false">IF(H4079="","",ABS(H4079))</f>
        <v>8</v>
      </c>
      <c r="M4079" s="33" t="n">
        <f aca="false">IF(I4079="","",ABS(I4079))</f>
        <v>23</v>
      </c>
      <c r="N4079" s="33" t="n">
        <f aca="false">IF(J4079="","",ABS(J4079))</f>
        <v>23.375</v>
      </c>
      <c r="O4079" s="33" t="n">
        <f aca="false">IF(K4079="","",ABS(K4079))</f>
        <v>22.7607446082241</v>
      </c>
      <c r="P4079" s="34" t="str">
        <f aca="false">IF(B4079&gt;=Eval_Start_Week,"YES","")</f>
        <v/>
      </c>
      <c r="Q4079" s="34" t="str">
        <f aca="false">IF(AND(B4079&gt;=Cal_Start_Week,B4079&lt;=Cal_End_Week),"YES","")</f>
        <v/>
      </c>
    </row>
    <row r="4080" customFormat="false" ht="15" hidden="false" customHeight="false" outlineLevel="0" collapsed="false">
      <c r="A4080" s="31" t="str">
        <f aca="false">Demand_History!C4080</f>
        <v>CLN-003</v>
      </c>
      <c r="B4080" s="31" t="n">
        <f aca="false">Demand_History!A4080</f>
        <v>23</v>
      </c>
      <c r="C4080" s="32" t="n">
        <f aca="false">Demand_History!D4080</f>
        <v>131</v>
      </c>
      <c r="D4080" s="33" t="n">
        <f aca="false">IF(B4080&gt;=2,C4079,"")</f>
        <v>136</v>
      </c>
      <c r="E4080" s="33" t="n">
        <f aca="false">IF(B4080&gt;=5,AVERAGE(C4076:C4079),"")</f>
        <v>119.75</v>
      </c>
      <c r="F4080" s="33" t="n">
        <f aca="false">IF(B4080&gt;=9,AVERAGE(C4072:C4079),"")</f>
        <v>114</v>
      </c>
      <c r="G4080" s="33" t="n">
        <f aca="false">IF(B4080=1,"",IF(B4080=2,C4079,SES_Alpha*C4079+(1-SES_Alpha)*G4079))</f>
        <v>120.067478774243</v>
      </c>
      <c r="H4080" s="33" t="n">
        <f aca="false">IF(D4080="","",D4080-C4080)</f>
        <v>5</v>
      </c>
      <c r="I4080" s="33" t="n">
        <f aca="false">IF(E4080="","",E4080-C4080)</f>
        <v>-11.25</v>
      </c>
      <c r="J4080" s="33" t="n">
        <f aca="false">IF(F4080="","",F4080-C4080)</f>
        <v>-17</v>
      </c>
      <c r="K4080" s="33" t="n">
        <f aca="false">IF(G4080="","",G4080-C4080)</f>
        <v>-10.9325212257568</v>
      </c>
      <c r="L4080" s="33" t="n">
        <f aca="false">IF(H4080="","",ABS(H4080))</f>
        <v>5</v>
      </c>
      <c r="M4080" s="33" t="n">
        <f aca="false">IF(I4080="","",ABS(I4080))</f>
        <v>11.25</v>
      </c>
      <c r="N4080" s="33" t="n">
        <f aca="false">IF(J4080="","",ABS(J4080))</f>
        <v>17</v>
      </c>
      <c r="O4080" s="33" t="n">
        <f aca="false">IF(K4080="","",ABS(K4080))</f>
        <v>10.9325212257568</v>
      </c>
      <c r="P4080" s="34" t="str">
        <f aca="false">IF(B4080&gt;=Eval_Start_Week,"YES","")</f>
        <v/>
      </c>
      <c r="Q4080" s="34" t="str">
        <f aca="false">IF(AND(B4080&gt;=Cal_Start_Week,B4080&lt;=Cal_End_Week),"YES","")</f>
        <v/>
      </c>
    </row>
    <row r="4081" customFormat="false" ht="15" hidden="false" customHeight="false" outlineLevel="0" collapsed="false">
      <c r="A4081" s="31" t="str">
        <f aca="false">Demand_History!C4081</f>
        <v>CLN-003</v>
      </c>
      <c r="B4081" s="31" t="n">
        <f aca="false">Demand_History!A4081</f>
        <v>24</v>
      </c>
      <c r="C4081" s="32" t="n">
        <f aca="false">Demand_History!D4081</f>
        <v>106</v>
      </c>
      <c r="D4081" s="33" t="n">
        <f aca="false">IF(B4081&gt;=2,C4080,"")</f>
        <v>131</v>
      </c>
      <c r="E4081" s="33" t="n">
        <f aca="false">IF(B4081&gt;=5,AVERAGE(C4077:C4080),"")</f>
        <v>123.25</v>
      </c>
      <c r="F4081" s="33" t="n">
        <f aca="false">IF(B4081&gt;=9,AVERAGE(C4073:C4080),"")</f>
        <v>116.75</v>
      </c>
      <c r="G4081" s="33" t="n">
        <f aca="false">IF(B4081=1,"",IF(B4081=2,C4080,SES_Alpha*C4080+(1-SES_Alpha)*G4080))</f>
        <v>123.34723514197</v>
      </c>
      <c r="H4081" s="33" t="n">
        <f aca="false">IF(D4081="","",D4081-C4081)</f>
        <v>25</v>
      </c>
      <c r="I4081" s="33" t="n">
        <f aca="false">IF(E4081="","",E4081-C4081)</f>
        <v>17.25</v>
      </c>
      <c r="J4081" s="33" t="n">
        <f aca="false">IF(F4081="","",F4081-C4081)</f>
        <v>10.75</v>
      </c>
      <c r="K4081" s="33" t="n">
        <f aca="false">IF(G4081="","",G4081-C4081)</f>
        <v>17.3472351419702</v>
      </c>
      <c r="L4081" s="33" t="n">
        <f aca="false">IF(H4081="","",ABS(H4081))</f>
        <v>25</v>
      </c>
      <c r="M4081" s="33" t="n">
        <f aca="false">IF(I4081="","",ABS(I4081))</f>
        <v>17.25</v>
      </c>
      <c r="N4081" s="33" t="n">
        <f aca="false">IF(J4081="","",ABS(J4081))</f>
        <v>10.75</v>
      </c>
      <c r="O4081" s="33" t="n">
        <f aca="false">IF(K4081="","",ABS(K4081))</f>
        <v>17.3472351419702</v>
      </c>
      <c r="P4081" s="34" t="str">
        <f aca="false">IF(B4081&gt;=Eval_Start_Week,"YES","")</f>
        <v/>
      </c>
      <c r="Q4081" s="34" t="str">
        <f aca="false">IF(AND(B4081&gt;=Cal_Start_Week,B4081&lt;=Cal_End_Week),"YES","")</f>
        <v/>
      </c>
    </row>
    <row r="4082" customFormat="false" ht="15" hidden="false" customHeight="false" outlineLevel="0" collapsed="false">
      <c r="A4082" s="31" t="str">
        <f aca="false">Demand_History!C4082</f>
        <v>CLN-003</v>
      </c>
      <c r="B4082" s="31" t="n">
        <f aca="false">Demand_History!A4082</f>
        <v>25</v>
      </c>
      <c r="C4082" s="32" t="n">
        <f aca="false">Demand_History!D4082</f>
        <v>90</v>
      </c>
      <c r="D4082" s="33" t="n">
        <f aca="false">IF(B4082&gt;=2,C4081,"")</f>
        <v>106</v>
      </c>
      <c r="E4082" s="33" t="n">
        <f aca="false">IF(B4082&gt;=5,AVERAGE(C4078:C4081),"")</f>
        <v>125.25</v>
      </c>
      <c r="F4082" s="33" t="n">
        <f aca="false">IF(B4082&gt;=9,AVERAGE(C4074:C4081),"")</f>
        <v>116.5</v>
      </c>
      <c r="G4082" s="33" t="n">
        <f aca="false">IF(B4082=1,"",IF(B4082=2,C4081,SES_Alpha*C4081+(1-SES_Alpha)*G4081))</f>
        <v>118.143064599379</v>
      </c>
      <c r="H4082" s="33" t="n">
        <f aca="false">IF(D4082="","",D4082-C4082)</f>
        <v>16</v>
      </c>
      <c r="I4082" s="33" t="n">
        <f aca="false">IF(E4082="","",E4082-C4082)</f>
        <v>35.25</v>
      </c>
      <c r="J4082" s="33" t="n">
        <f aca="false">IF(F4082="","",F4082-C4082)</f>
        <v>26.5</v>
      </c>
      <c r="K4082" s="33" t="n">
        <f aca="false">IF(G4082="","",G4082-C4082)</f>
        <v>28.1430645993791</v>
      </c>
      <c r="L4082" s="33" t="n">
        <f aca="false">IF(H4082="","",ABS(H4082))</f>
        <v>16</v>
      </c>
      <c r="M4082" s="33" t="n">
        <f aca="false">IF(I4082="","",ABS(I4082))</f>
        <v>35.25</v>
      </c>
      <c r="N4082" s="33" t="n">
        <f aca="false">IF(J4082="","",ABS(J4082))</f>
        <v>26.5</v>
      </c>
      <c r="O4082" s="33" t="n">
        <f aca="false">IF(K4082="","",ABS(K4082))</f>
        <v>28.1430645993791</v>
      </c>
      <c r="P4082" s="34" t="str">
        <f aca="false">IF(B4082&gt;=Eval_Start_Week,"YES","")</f>
        <v/>
      </c>
      <c r="Q4082" s="34" t="str">
        <f aca="false">IF(AND(B4082&gt;=Cal_Start_Week,B4082&lt;=Cal_End_Week),"YES","")</f>
        <v/>
      </c>
    </row>
    <row r="4083" customFormat="false" ht="15" hidden="false" customHeight="false" outlineLevel="0" collapsed="false">
      <c r="A4083" s="31" t="str">
        <f aca="false">Demand_History!C4083</f>
        <v>CLN-003</v>
      </c>
      <c r="B4083" s="31" t="n">
        <f aca="false">Demand_History!A4083</f>
        <v>26</v>
      </c>
      <c r="C4083" s="32" t="n">
        <f aca="false">Demand_History!D4083</f>
        <v>109</v>
      </c>
      <c r="D4083" s="33" t="n">
        <f aca="false">IF(B4083&gt;=2,C4082,"")</f>
        <v>90</v>
      </c>
      <c r="E4083" s="33" t="n">
        <f aca="false">IF(B4083&gt;=5,AVERAGE(C4079:C4082),"")</f>
        <v>115.75</v>
      </c>
      <c r="F4083" s="33" t="n">
        <f aca="false">IF(B4083&gt;=9,AVERAGE(C4075:C4082),"")</f>
        <v>114.375</v>
      </c>
      <c r="G4083" s="33" t="n">
        <f aca="false">IF(B4083=1,"",IF(B4083=2,C4082,SES_Alpha*C4082+(1-SES_Alpha)*G4082))</f>
        <v>109.700145219565</v>
      </c>
      <c r="H4083" s="33" t="n">
        <f aca="false">IF(D4083="","",D4083-C4083)</f>
        <v>-19</v>
      </c>
      <c r="I4083" s="33" t="n">
        <f aca="false">IF(E4083="","",E4083-C4083)</f>
        <v>6.75</v>
      </c>
      <c r="J4083" s="33" t="n">
        <f aca="false">IF(F4083="","",F4083-C4083)</f>
        <v>5.375</v>
      </c>
      <c r="K4083" s="33" t="n">
        <f aca="false">IF(G4083="","",G4083-C4083)</f>
        <v>0.700145219565385</v>
      </c>
      <c r="L4083" s="33" t="n">
        <f aca="false">IF(H4083="","",ABS(H4083))</f>
        <v>19</v>
      </c>
      <c r="M4083" s="33" t="n">
        <f aca="false">IF(I4083="","",ABS(I4083))</f>
        <v>6.75</v>
      </c>
      <c r="N4083" s="33" t="n">
        <f aca="false">IF(J4083="","",ABS(J4083))</f>
        <v>5.375</v>
      </c>
      <c r="O4083" s="33" t="n">
        <f aca="false">IF(K4083="","",ABS(K4083))</f>
        <v>0.700145219565385</v>
      </c>
      <c r="P4083" s="34" t="str">
        <f aca="false">IF(B4083&gt;=Eval_Start_Week,"YES","")</f>
        <v/>
      </c>
      <c r="Q4083" s="34" t="str">
        <f aca="false">IF(AND(B4083&gt;=Cal_Start_Week,B4083&lt;=Cal_End_Week),"YES","")</f>
        <v/>
      </c>
    </row>
    <row r="4084" customFormat="false" ht="15" hidden="false" customHeight="false" outlineLevel="0" collapsed="false">
      <c r="A4084" s="31" t="str">
        <f aca="false">Demand_History!C4084</f>
        <v>CLN-003</v>
      </c>
      <c r="B4084" s="31" t="n">
        <f aca="false">Demand_History!A4084</f>
        <v>27</v>
      </c>
      <c r="C4084" s="32" t="n">
        <f aca="false">Demand_History!D4084</f>
        <v>120</v>
      </c>
      <c r="D4084" s="33" t="n">
        <f aca="false">IF(B4084&gt;=2,C4083,"")</f>
        <v>109</v>
      </c>
      <c r="E4084" s="33" t="n">
        <f aca="false">IF(B4084&gt;=5,AVERAGE(C4080:C4083),"")</f>
        <v>109</v>
      </c>
      <c r="F4084" s="33" t="n">
        <f aca="false">IF(B4084&gt;=9,AVERAGE(C4076:C4083),"")</f>
        <v>114.375</v>
      </c>
      <c r="G4084" s="33" t="n">
        <f aca="false">IF(B4084=1,"",IF(B4084=2,C4083,SES_Alpha*C4083+(1-SES_Alpha)*G4083))</f>
        <v>109.490101653696</v>
      </c>
      <c r="H4084" s="33" t="n">
        <f aca="false">IF(D4084="","",D4084-C4084)</f>
        <v>-11</v>
      </c>
      <c r="I4084" s="33" t="n">
        <f aca="false">IF(E4084="","",E4084-C4084)</f>
        <v>-11</v>
      </c>
      <c r="J4084" s="33" t="n">
        <f aca="false">IF(F4084="","",F4084-C4084)</f>
        <v>-5.625</v>
      </c>
      <c r="K4084" s="33" t="n">
        <f aca="false">IF(G4084="","",G4084-C4084)</f>
        <v>-10.5098983463042</v>
      </c>
      <c r="L4084" s="33" t="n">
        <f aca="false">IF(H4084="","",ABS(H4084))</f>
        <v>11</v>
      </c>
      <c r="M4084" s="33" t="n">
        <f aca="false">IF(I4084="","",ABS(I4084))</f>
        <v>11</v>
      </c>
      <c r="N4084" s="33" t="n">
        <f aca="false">IF(J4084="","",ABS(J4084))</f>
        <v>5.625</v>
      </c>
      <c r="O4084" s="33" t="n">
        <f aca="false">IF(K4084="","",ABS(K4084))</f>
        <v>10.5098983463042</v>
      </c>
      <c r="P4084" s="34" t="str">
        <f aca="false">IF(B4084&gt;=Eval_Start_Week,"YES","")</f>
        <v/>
      </c>
      <c r="Q4084" s="34" t="str">
        <f aca="false">IF(AND(B4084&gt;=Cal_Start_Week,B4084&lt;=Cal_End_Week),"YES","")</f>
        <v/>
      </c>
    </row>
    <row r="4085" customFormat="false" ht="15" hidden="false" customHeight="false" outlineLevel="0" collapsed="false">
      <c r="A4085" s="31" t="str">
        <f aca="false">Demand_History!C4085</f>
        <v>CLN-003</v>
      </c>
      <c r="B4085" s="31" t="n">
        <f aca="false">Demand_History!A4085</f>
        <v>28</v>
      </c>
      <c r="C4085" s="32" t="n">
        <f aca="false">Demand_History!D4085</f>
        <v>131</v>
      </c>
      <c r="D4085" s="33" t="n">
        <f aca="false">IF(B4085&gt;=2,C4084,"")</f>
        <v>120</v>
      </c>
      <c r="E4085" s="33" t="n">
        <f aca="false">IF(B4085&gt;=5,AVERAGE(C4081:C4084),"")</f>
        <v>106.25</v>
      </c>
      <c r="F4085" s="33" t="n">
        <f aca="false">IF(B4085&gt;=9,AVERAGE(C4077:C4084),"")</f>
        <v>114.75</v>
      </c>
      <c r="G4085" s="33" t="n">
        <f aca="false">IF(B4085=1,"",IF(B4085=2,C4084,SES_Alpha*C4084+(1-SES_Alpha)*G4084))</f>
        <v>112.643071157587</v>
      </c>
      <c r="H4085" s="33" t="n">
        <f aca="false">IF(D4085="","",D4085-C4085)</f>
        <v>-11</v>
      </c>
      <c r="I4085" s="33" t="n">
        <f aca="false">IF(E4085="","",E4085-C4085)</f>
        <v>-24.75</v>
      </c>
      <c r="J4085" s="33" t="n">
        <f aca="false">IF(F4085="","",F4085-C4085)</f>
        <v>-16.25</v>
      </c>
      <c r="K4085" s="33" t="n">
        <f aca="false">IF(G4085="","",G4085-C4085)</f>
        <v>-18.356928842413</v>
      </c>
      <c r="L4085" s="33" t="n">
        <f aca="false">IF(H4085="","",ABS(H4085))</f>
        <v>11</v>
      </c>
      <c r="M4085" s="33" t="n">
        <f aca="false">IF(I4085="","",ABS(I4085))</f>
        <v>24.75</v>
      </c>
      <c r="N4085" s="33" t="n">
        <f aca="false">IF(J4085="","",ABS(J4085))</f>
        <v>16.25</v>
      </c>
      <c r="O4085" s="33" t="n">
        <f aca="false">IF(K4085="","",ABS(K4085))</f>
        <v>18.356928842413</v>
      </c>
      <c r="P4085" s="34" t="str">
        <f aca="false">IF(B4085&gt;=Eval_Start_Week,"YES","")</f>
        <v/>
      </c>
      <c r="Q4085" s="34" t="str">
        <f aca="false">IF(AND(B4085&gt;=Cal_Start_Week,B4085&lt;=Cal_End_Week),"YES","")</f>
        <v/>
      </c>
    </row>
    <row r="4086" customFormat="false" ht="15" hidden="false" customHeight="false" outlineLevel="0" collapsed="false">
      <c r="A4086" s="31" t="str">
        <f aca="false">Demand_History!C4086</f>
        <v>CLN-003</v>
      </c>
      <c r="B4086" s="31" t="n">
        <f aca="false">Demand_History!A4086</f>
        <v>29</v>
      </c>
      <c r="C4086" s="32" t="n">
        <f aca="false">Demand_History!D4086</f>
        <v>116</v>
      </c>
      <c r="D4086" s="33" t="n">
        <f aca="false">IF(B4086&gt;=2,C4085,"")</f>
        <v>131</v>
      </c>
      <c r="E4086" s="33" t="n">
        <f aca="false">IF(B4086&gt;=5,AVERAGE(C4082:C4085),"")</f>
        <v>112.5</v>
      </c>
      <c r="F4086" s="33" t="n">
        <f aca="false">IF(B4086&gt;=9,AVERAGE(C4078:C4085),"")</f>
        <v>118.875</v>
      </c>
      <c r="G4086" s="33" t="n">
        <f aca="false">IF(B4086=1,"",IF(B4086=2,C4085,SES_Alpha*C4085+(1-SES_Alpha)*G4085))</f>
        <v>118.150149810311</v>
      </c>
      <c r="H4086" s="33" t="n">
        <f aca="false">IF(D4086="","",D4086-C4086)</f>
        <v>15</v>
      </c>
      <c r="I4086" s="33" t="n">
        <f aca="false">IF(E4086="","",E4086-C4086)</f>
        <v>-3.5</v>
      </c>
      <c r="J4086" s="33" t="n">
        <f aca="false">IF(F4086="","",F4086-C4086)</f>
        <v>2.875</v>
      </c>
      <c r="K4086" s="33" t="n">
        <f aca="false">IF(G4086="","",G4086-C4086)</f>
        <v>2.15014981031091</v>
      </c>
      <c r="L4086" s="33" t="n">
        <f aca="false">IF(H4086="","",ABS(H4086))</f>
        <v>15</v>
      </c>
      <c r="M4086" s="33" t="n">
        <f aca="false">IF(I4086="","",ABS(I4086))</f>
        <v>3.5</v>
      </c>
      <c r="N4086" s="33" t="n">
        <f aca="false">IF(J4086="","",ABS(J4086))</f>
        <v>2.875</v>
      </c>
      <c r="O4086" s="33" t="n">
        <f aca="false">IF(K4086="","",ABS(K4086))</f>
        <v>2.15014981031091</v>
      </c>
      <c r="P4086" s="34" t="str">
        <f aca="false">IF(B4086&gt;=Eval_Start_Week,"YES","")</f>
        <v/>
      </c>
      <c r="Q4086" s="34" t="str">
        <f aca="false">IF(AND(B4086&gt;=Cal_Start_Week,B4086&lt;=Cal_End_Week),"YES","")</f>
        <v/>
      </c>
    </row>
    <row r="4087" customFormat="false" ht="15" hidden="false" customHeight="false" outlineLevel="0" collapsed="false">
      <c r="A4087" s="31" t="str">
        <f aca="false">Demand_History!C4087</f>
        <v>CLN-003</v>
      </c>
      <c r="B4087" s="31" t="n">
        <f aca="false">Demand_History!A4087</f>
        <v>30</v>
      </c>
      <c r="C4087" s="32" t="n">
        <f aca="false">Demand_History!D4087</f>
        <v>115</v>
      </c>
      <c r="D4087" s="33" t="n">
        <f aca="false">IF(B4087&gt;=2,C4086,"")</f>
        <v>116</v>
      </c>
      <c r="E4087" s="33" t="n">
        <f aca="false">IF(B4087&gt;=5,AVERAGE(C4083:C4086),"")</f>
        <v>119</v>
      </c>
      <c r="F4087" s="33" t="n">
        <f aca="false">IF(B4087&gt;=9,AVERAGE(C4079:C4086),"")</f>
        <v>117.375</v>
      </c>
      <c r="G4087" s="33" t="n">
        <f aca="false">IF(B4087=1,"",IF(B4087=2,C4086,SES_Alpha*C4086+(1-SES_Alpha)*G4086))</f>
        <v>117.505104867218</v>
      </c>
      <c r="H4087" s="33" t="n">
        <f aca="false">IF(D4087="","",D4087-C4087)</f>
        <v>1</v>
      </c>
      <c r="I4087" s="33" t="n">
        <f aca="false">IF(E4087="","",E4087-C4087)</f>
        <v>4</v>
      </c>
      <c r="J4087" s="33" t="n">
        <f aca="false">IF(F4087="","",F4087-C4087)</f>
        <v>2.375</v>
      </c>
      <c r="K4087" s="33" t="n">
        <f aca="false">IF(G4087="","",G4087-C4087)</f>
        <v>2.50510486721763</v>
      </c>
      <c r="L4087" s="33" t="n">
        <f aca="false">IF(H4087="","",ABS(H4087))</f>
        <v>1</v>
      </c>
      <c r="M4087" s="33" t="n">
        <f aca="false">IF(I4087="","",ABS(I4087))</f>
        <v>4</v>
      </c>
      <c r="N4087" s="33" t="n">
        <f aca="false">IF(J4087="","",ABS(J4087))</f>
        <v>2.375</v>
      </c>
      <c r="O4087" s="33" t="n">
        <f aca="false">IF(K4087="","",ABS(K4087))</f>
        <v>2.50510486721763</v>
      </c>
      <c r="P4087" s="34" t="str">
        <f aca="false">IF(B4087&gt;=Eval_Start_Week,"YES","")</f>
        <v/>
      </c>
      <c r="Q4087" s="34" t="str">
        <f aca="false">IF(AND(B4087&gt;=Cal_Start_Week,B4087&lt;=Cal_End_Week),"YES","")</f>
        <v/>
      </c>
    </row>
    <row r="4088" customFormat="false" ht="15" hidden="false" customHeight="false" outlineLevel="0" collapsed="false">
      <c r="A4088" s="31" t="str">
        <f aca="false">Demand_History!C4088</f>
        <v>CLN-003</v>
      </c>
      <c r="B4088" s="31" t="n">
        <f aca="false">Demand_History!A4088</f>
        <v>31</v>
      </c>
      <c r="C4088" s="32" t="n">
        <f aca="false">Demand_History!D4088</f>
        <v>146</v>
      </c>
      <c r="D4088" s="33" t="n">
        <f aca="false">IF(B4088&gt;=2,C4087,"")</f>
        <v>115</v>
      </c>
      <c r="E4088" s="33" t="n">
        <f aca="false">IF(B4088&gt;=5,AVERAGE(C4084:C4087),"")</f>
        <v>120.5</v>
      </c>
      <c r="F4088" s="33" t="n">
        <f aca="false">IF(B4088&gt;=9,AVERAGE(C4080:C4087),"")</f>
        <v>114.75</v>
      </c>
      <c r="G4088" s="33" t="n">
        <f aca="false">IF(B4088=1,"",IF(B4088=2,C4087,SES_Alpha*C4087+(1-SES_Alpha)*G4087))</f>
        <v>116.753573407052</v>
      </c>
      <c r="H4088" s="33" t="n">
        <f aca="false">IF(D4088="","",D4088-C4088)</f>
        <v>-31</v>
      </c>
      <c r="I4088" s="33" t="n">
        <f aca="false">IF(E4088="","",E4088-C4088)</f>
        <v>-25.5</v>
      </c>
      <c r="J4088" s="33" t="n">
        <f aca="false">IF(F4088="","",F4088-C4088)</f>
        <v>-31.25</v>
      </c>
      <c r="K4088" s="33" t="n">
        <f aca="false">IF(G4088="","",G4088-C4088)</f>
        <v>-29.2464265929477</v>
      </c>
      <c r="L4088" s="33" t="n">
        <f aca="false">IF(H4088="","",ABS(H4088))</f>
        <v>31</v>
      </c>
      <c r="M4088" s="33" t="n">
        <f aca="false">IF(I4088="","",ABS(I4088))</f>
        <v>25.5</v>
      </c>
      <c r="N4088" s="33" t="n">
        <f aca="false">IF(J4088="","",ABS(J4088))</f>
        <v>31.25</v>
      </c>
      <c r="O4088" s="33" t="n">
        <f aca="false">IF(K4088="","",ABS(K4088))</f>
        <v>29.2464265929477</v>
      </c>
      <c r="P4088" s="34" t="str">
        <f aca="false">IF(B4088&gt;=Eval_Start_Week,"YES","")</f>
        <v/>
      </c>
      <c r="Q4088" s="34" t="str">
        <f aca="false">IF(AND(B4088&gt;=Cal_Start_Week,B4088&lt;=Cal_End_Week),"YES","")</f>
        <v/>
      </c>
    </row>
    <row r="4089" customFormat="false" ht="15" hidden="false" customHeight="false" outlineLevel="0" collapsed="false">
      <c r="A4089" s="31" t="str">
        <f aca="false">Demand_History!C4089</f>
        <v>CLN-003</v>
      </c>
      <c r="B4089" s="31" t="n">
        <f aca="false">Demand_History!A4089</f>
        <v>32</v>
      </c>
      <c r="C4089" s="32" t="n">
        <f aca="false">Demand_History!D4089</f>
        <v>111</v>
      </c>
      <c r="D4089" s="33" t="n">
        <f aca="false">IF(B4089&gt;=2,C4088,"")</f>
        <v>146</v>
      </c>
      <c r="E4089" s="33" t="n">
        <f aca="false">IF(B4089&gt;=5,AVERAGE(C4085:C4088),"")</f>
        <v>127</v>
      </c>
      <c r="F4089" s="33" t="n">
        <f aca="false">IF(B4089&gt;=9,AVERAGE(C4081:C4088),"")</f>
        <v>116.625</v>
      </c>
      <c r="G4089" s="33" t="n">
        <f aca="false">IF(B4089=1,"",IF(B4089=2,C4088,SES_Alpha*C4088+(1-SES_Alpha)*G4088))</f>
        <v>125.527501384937</v>
      </c>
      <c r="H4089" s="33" t="n">
        <f aca="false">IF(D4089="","",D4089-C4089)</f>
        <v>35</v>
      </c>
      <c r="I4089" s="33" t="n">
        <f aca="false">IF(E4089="","",E4089-C4089)</f>
        <v>16</v>
      </c>
      <c r="J4089" s="33" t="n">
        <f aca="false">IF(F4089="","",F4089-C4089)</f>
        <v>5.625</v>
      </c>
      <c r="K4089" s="33" t="n">
        <f aca="false">IF(G4089="","",G4089-C4089)</f>
        <v>14.5275013849366</v>
      </c>
      <c r="L4089" s="33" t="n">
        <f aca="false">IF(H4089="","",ABS(H4089))</f>
        <v>35</v>
      </c>
      <c r="M4089" s="33" t="n">
        <f aca="false">IF(I4089="","",ABS(I4089))</f>
        <v>16</v>
      </c>
      <c r="N4089" s="33" t="n">
        <f aca="false">IF(J4089="","",ABS(J4089))</f>
        <v>5.625</v>
      </c>
      <c r="O4089" s="33" t="n">
        <f aca="false">IF(K4089="","",ABS(K4089))</f>
        <v>14.5275013849366</v>
      </c>
      <c r="P4089" s="34" t="str">
        <f aca="false">IF(B4089&gt;=Eval_Start_Week,"YES","")</f>
        <v/>
      </c>
      <c r="Q4089" s="34" t="str">
        <f aca="false">IF(AND(B4089&gt;=Cal_Start_Week,B4089&lt;=Cal_End_Week),"YES","")</f>
        <v/>
      </c>
    </row>
    <row r="4090" customFormat="false" ht="15" hidden="false" customHeight="false" outlineLevel="0" collapsed="false">
      <c r="A4090" s="31" t="str">
        <f aca="false">Demand_History!C4090</f>
        <v>CLN-003</v>
      </c>
      <c r="B4090" s="31" t="n">
        <f aca="false">Demand_History!A4090</f>
        <v>33</v>
      </c>
      <c r="C4090" s="32" t="n">
        <f aca="false">Demand_History!D4090</f>
        <v>141</v>
      </c>
      <c r="D4090" s="33" t="n">
        <f aca="false">IF(B4090&gt;=2,C4089,"")</f>
        <v>111</v>
      </c>
      <c r="E4090" s="33" t="n">
        <f aca="false">IF(B4090&gt;=5,AVERAGE(C4086:C4089),"")</f>
        <v>122</v>
      </c>
      <c r="F4090" s="33" t="n">
        <f aca="false">IF(B4090&gt;=9,AVERAGE(C4082:C4089),"")</f>
        <v>117.25</v>
      </c>
      <c r="G4090" s="33" t="n">
        <f aca="false">IF(B4090=1,"",IF(B4090=2,C4089,SES_Alpha*C4089+(1-SES_Alpha)*G4089))</f>
        <v>121.169250969456</v>
      </c>
      <c r="H4090" s="33" t="n">
        <f aca="false">IF(D4090="","",D4090-C4090)</f>
        <v>-30</v>
      </c>
      <c r="I4090" s="33" t="n">
        <f aca="false">IF(E4090="","",E4090-C4090)</f>
        <v>-19</v>
      </c>
      <c r="J4090" s="33" t="n">
        <f aca="false">IF(F4090="","",F4090-C4090)</f>
        <v>-23.75</v>
      </c>
      <c r="K4090" s="33" t="n">
        <f aca="false">IF(G4090="","",G4090-C4090)</f>
        <v>-19.8307490305444</v>
      </c>
      <c r="L4090" s="33" t="n">
        <f aca="false">IF(H4090="","",ABS(H4090))</f>
        <v>30</v>
      </c>
      <c r="M4090" s="33" t="n">
        <f aca="false">IF(I4090="","",ABS(I4090))</f>
        <v>19</v>
      </c>
      <c r="N4090" s="33" t="n">
        <f aca="false">IF(J4090="","",ABS(J4090))</f>
        <v>23.75</v>
      </c>
      <c r="O4090" s="33" t="n">
        <f aca="false">IF(K4090="","",ABS(K4090))</f>
        <v>19.8307490305444</v>
      </c>
      <c r="P4090" s="34" t="str">
        <f aca="false">IF(B4090&gt;=Eval_Start_Week,"YES","")</f>
        <v/>
      </c>
      <c r="Q4090" s="34" t="str">
        <f aca="false">IF(AND(B4090&gt;=Cal_Start_Week,B4090&lt;=Cal_End_Week),"YES","")</f>
        <v/>
      </c>
    </row>
    <row r="4091" customFormat="false" ht="15" hidden="false" customHeight="false" outlineLevel="0" collapsed="false">
      <c r="A4091" s="31" t="str">
        <f aca="false">Demand_History!C4091</f>
        <v>CLN-003</v>
      </c>
      <c r="B4091" s="31" t="n">
        <f aca="false">Demand_History!A4091</f>
        <v>34</v>
      </c>
      <c r="C4091" s="32" t="n">
        <f aca="false">Demand_History!D4091</f>
        <v>140</v>
      </c>
      <c r="D4091" s="33" t="n">
        <f aca="false">IF(B4091&gt;=2,C4090,"")</f>
        <v>141</v>
      </c>
      <c r="E4091" s="33" t="n">
        <f aca="false">IF(B4091&gt;=5,AVERAGE(C4087:C4090),"")</f>
        <v>128.25</v>
      </c>
      <c r="F4091" s="33" t="n">
        <f aca="false">IF(B4091&gt;=9,AVERAGE(C4083:C4090),"")</f>
        <v>123.625</v>
      </c>
      <c r="G4091" s="33" t="n">
        <f aca="false">IF(B4091=1,"",IF(B4091=2,C4090,SES_Alpha*C4090+(1-SES_Alpha)*G4090))</f>
        <v>127.118475678619</v>
      </c>
      <c r="H4091" s="33" t="n">
        <f aca="false">IF(D4091="","",D4091-C4091)</f>
        <v>1</v>
      </c>
      <c r="I4091" s="33" t="n">
        <f aca="false">IF(E4091="","",E4091-C4091)</f>
        <v>-11.75</v>
      </c>
      <c r="J4091" s="33" t="n">
        <f aca="false">IF(F4091="","",F4091-C4091)</f>
        <v>-16.375</v>
      </c>
      <c r="K4091" s="33" t="n">
        <f aca="false">IF(G4091="","",G4091-C4091)</f>
        <v>-12.8815243213811</v>
      </c>
      <c r="L4091" s="33" t="n">
        <f aca="false">IF(H4091="","",ABS(H4091))</f>
        <v>1</v>
      </c>
      <c r="M4091" s="33" t="n">
        <f aca="false">IF(I4091="","",ABS(I4091))</f>
        <v>11.75</v>
      </c>
      <c r="N4091" s="33" t="n">
        <f aca="false">IF(J4091="","",ABS(J4091))</f>
        <v>16.375</v>
      </c>
      <c r="O4091" s="33" t="n">
        <f aca="false">IF(K4091="","",ABS(K4091))</f>
        <v>12.8815243213811</v>
      </c>
      <c r="P4091" s="34" t="str">
        <f aca="false">IF(B4091&gt;=Eval_Start_Week,"YES","")</f>
        <v/>
      </c>
      <c r="Q4091" s="34" t="str">
        <f aca="false">IF(AND(B4091&gt;=Cal_Start_Week,B4091&lt;=Cal_End_Week),"YES","")</f>
        <v/>
      </c>
    </row>
    <row r="4092" customFormat="false" ht="15" hidden="false" customHeight="false" outlineLevel="0" collapsed="false">
      <c r="A4092" s="31" t="str">
        <f aca="false">Demand_History!C4092</f>
        <v>CLN-003</v>
      </c>
      <c r="B4092" s="31" t="n">
        <f aca="false">Demand_History!A4092</f>
        <v>35</v>
      </c>
      <c r="C4092" s="32" t="n">
        <f aca="false">Demand_History!D4092</f>
        <v>102</v>
      </c>
      <c r="D4092" s="33" t="n">
        <f aca="false">IF(B4092&gt;=2,C4091,"")</f>
        <v>140</v>
      </c>
      <c r="E4092" s="33" t="n">
        <f aca="false">IF(B4092&gt;=5,AVERAGE(C4088:C4091),"")</f>
        <v>134.5</v>
      </c>
      <c r="F4092" s="33" t="n">
        <f aca="false">IF(B4092&gt;=9,AVERAGE(C4084:C4091),"")</f>
        <v>127.5</v>
      </c>
      <c r="G4092" s="33" t="n">
        <f aca="false">IF(B4092=1,"",IF(B4092=2,C4091,SES_Alpha*C4091+(1-SES_Alpha)*G4091))</f>
        <v>130.982932975033</v>
      </c>
      <c r="H4092" s="33" t="n">
        <f aca="false">IF(D4092="","",D4092-C4092)</f>
        <v>38</v>
      </c>
      <c r="I4092" s="33" t="n">
        <f aca="false">IF(E4092="","",E4092-C4092)</f>
        <v>32.5</v>
      </c>
      <c r="J4092" s="33" t="n">
        <f aca="false">IF(F4092="","",F4092-C4092)</f>
        <v>25.5</v>
      </c>
      <c r="K4092" s="33" t="n">
        <f aca="false">IF(G4092="","",G4092-C4092)</f>
        <v>28.9829329750332</v>
      </c>
      <c r="L4092" s="33" t="n">
        <f aca="false">IF(H4092="","",ABS(H4092))</f>
        <v>38</v>
      </c>
      <c r="M4092" s="33" t="n">
        <f aca="false">IF(I4092="","",ABS(I4092))</f>
        <v>32.5</v>
      </c>
      <c r="N4092" s="33" t="n">
        <f aca="false">IF(J4092="","",ABS(J4092))</f>
        <v>25.5</v>
      </c>
      <c r="O4092" s="33" t="n">
        <f aca="false">IF(K4092="","",ABS(K4092))</f>
        <v>28.9829329750332</v>
      </c>
      <c r="P4092" s="34" t="str">
        <f aca="false">IF(B4092&gt;=Eval_Start_Week,"YES","")</f>
        <v/>
      </c>
      <c r="Q4092" s="34" t="str">
        <f aca="false">IF(AND(B4092&gt;=Cal_Start_Week,B4092&lt;=Cal_End_Week),"YES","")</f>
        <v/>
      </c>
    </row>
    <row r="4093" customFormat="false" ht="15" hidden="false" customHeight="false" outlineLevel="0" collapsed="false">
      <c r="A4093" s="31" t="str">
        <f aca="false">Demand_History!C4093</f>
        <v>CLN-003</v>
      </c>
      <c r="B4093" s="31" t="n">
        <f aca="false">Demand_History!A4093</f>
        <v>36</v>
      </c>
      <c r="C4093" s="32" t="n">
        <f aca="false">Demand_History!D4093</f>
        <v>131</v>
      </c>
      <c r="D4093" s="33" t="n">
        <f aca="false">IF(B4093&gt;=2,C4092,"")</f>
        <v>102</v>
      </c>
      <c r="E4093" s="33" t="n">
        <f aca="false">IF(B4093&gt;=5,AVERAGE(C4089:C4092),"")</f>
        <v>123.5</v>
      </c>
      <c r="F4093" s="33" t="n">
        <f aca="false">IF(B4093&gt;=9,AVERAGE(C4085:C4092),"")</f>
        <v>125.25</v>
      </c>
      <c r="G4093" s="33" t="n">
        <f aca="false">IF(B4093=1,"",IF(B4093=2,C4092,SES_Alpha*C4092+(1-SES_Alpha)*G4092))</f>
        <v>122.288053082523</v>
      </c>
      <c r="H4093" s="33" t="n">
        <f aca="false">IF(D4093="","",D4093-C4093)</f>
        <v>-29</v>
      </c>
      <c r="I4093" s="33" t="n">
        <f aca="false">IF(E4093="","",E4093-C4093)</f>
        <v>-7.5</v>
      </c>
      <c r="J4093" s="33" t="n">
        <f aca="false">IF(F4093="","",F4093-C4093)</f>
        <v>-5.75</v>
      </c>
      <c r="K4093" s="33" t="n">
        <f aca="false">IF(G4093="","",G4093-C4093)</f>
        <v>-8.71194691747675</v>
      </c>
      <c r="L4093" s="33" t="n">
        <f aca="false">IF(H4093="","",ABS(H4093))</f>
        <v>29</v>
      </c>
      <c r="M4093" s="33" t="n">
        <f aca="false">IF(I4093="","",ABS(I4093))</f>
        <v>7.5</v>
      </c>
      <c r="N4093" s="33" t="n">
        <f aca="false">IF(J4093="","",ABS(J4093))</f>
        <v>5.75</v>
      </c>
      <c r="O4093" s="33" t="n">
        <f aca="false">IF(K4093="","",ABS(K4093))</f>
        <v>8.71194691747675</v>
      </c>
      <c r="P4093" s="34" t="str">
        <f aca="false">IF(B4093&gt;=Eval_Start_Week,"YES","")</f>
        <v/>
      </c>
      <c r="Q4093" s="34" t="str">
        <f aca="false">IF(AND(B4093&gt;=Cal_Start_Week,B4093&lt;=Cal_End_Week),"YES","")</f>
        <v/>
      </c>
    </row>
    <row r="4094" customFormat="false" ht="15" hidden="false" customHeight="false" outlineLevel="0" collapsed="false">
      <c r="A4094" s="31" t="str">
        <f aca="false">Demand_History!C4094</f>
        <v>CLN-003</v>
      </c>
      <c r="B4094" s="31" t="n">
        <f aca="false">Demand_History!A4094</f>
        <v>37</v>
      </c>
      <c r="C4094" s="32" t="n">
        <f aca="false">Demand_History!D4094</f>
        <v>117</v>
      </c>
      <c r="D4094" s="33" t="n">
        <f aca="false">IF(B4094&gt;=2,C4093,"")</f>
        <v>131</v>
      </c>
      <c r="E4094" s="33" t="n">
        <f aca="false">IF(B4094&gt;=5,AVERAGE(C4090:C4093),"")</f>
        <v>128.5</v>
      </c>
      <c r="F4094" s="33" t="n">
        <f aca="false">IF(B4094&gt;=9,AVERAGE(C4086:C4093),"")</f>
        <v>125.25</v>
      </c>
      <c r="G4094" s="33" t="n">
        <f aca="false">IF(B4094=1,"",IF(B4094=2,C4093,SES_Alpha*C4093+(1-SES_Alpha)*G4093))</f>
        <v>124.901637157766</v>
      </c>
      <c r="H4094" s="33" t="n">
        <f aca="false">IF(D4094="","",D4094-C4094)</f>
        <v>14</v>
      </c>
      <c r="I4094" s="33" t="n">
        <f aca="false">IF(E4094="","",E4094-C4094)</f>
        <v>11.5</v>
      </c>
      <c r="J4094" s="33" t="n">
        <f aca="false">IF(F4094="","",F4094-C4094)</f>
        <v>8.25</v>
      </c>
      <c r="K4094" s="33" t="n">
        <f aca="false">IF(G4094="","",G4094-C4094)</f>
        <v>7.90163715776626</v>
      </c>
      <c r="L4094" s="33" t="n">
        <f aca="false">IF(H4094="","",ABS(H4094))</f>
        <v>14</v>
      </c>
      <c r="M4094" s="33" t="n">
        <f aca="false">IF(I4094="","",ABS(I4094))</f>
        <v>11.5</v>
      </c>
      <c r="N4094" s="33" t="n">
        <f aca="false">IF(J4094="","",ABS(J4094))</f>
        <v>8.25</v>
      </c>
      <c r="O4094" s="33" t="n">
        <f aca="false">IF(K4094="","",ABS(K4094))</f>
        <v>7.90163715776626</v>
      </c>
      <c r="P4094" s="34" t="str">
        <f aca="false">IF(B4094&gt;=Eval_Start_Week,"YES","")</f>
        <v/>
      </c>
      <c r="Q4094" s="34" t="str">
        <f aca="false">IF(AND(B4094&gt;=Cal_Start_Week,B4094&lt;=Cal_End_Week),"YES","")</f>
        <v>YES</v>
      </c>
    </row>
    <row r="4095" customFormat="false" ht="15" hidden="false" customHeight="false" outlineLevel="0" collapsed="false">
      <c r="A4095" s="31" t="str">
        <f aca="false">Demand_History!C4095</f>
        <v>CLN-003</v>
      </c>
      <c r="B4095" s="31" t="n">
        <f aca="false">Demand_History!A4095</f>
        <v>38</v>
      </c>
      <c r="C4095" s="32" t="n">
        <f aca="false">Demand_History!D4095</f>
        <v>111</v>
      </c>
      <c r="D4095" s="33" t="n">
        <f aca="false">IF(B4095&gt;=2,C4094,"")</f>
        <v>117</v>
      </c>
      <c r="E4095" s="33" t="n">
        <f aca="false">IF(B4095&gt;=5,AVERAGE(C4091:C4094),"")</f>
        <v>122.5</v>
      </c>
      <c r="F4095" s="33" t="n">
        <f aca="false">IF(B4095&gt;=9,AVERAGE(C4087:C4094),"")</f>
        <v>125.375</v>
      </c>
      <c r="G4095" s="33" t="n">
        <f aca="false">IF(B4095=1,"",IF(B4095=2,C4094,SES_Alpha*C4094+(1-SES_Alpha)*G4094))</f>
        <v>122.531146010436</v>
      </c>
      <c r="H4095" s="33" t="n">
        <f aca="false">IF(D4095="","",D4095-C4095)</f>
        <v>6</v>
      </c>
      <c r="I4095" s="33" t="n">
        <f aca="false">IF(E4095="","",E4095-C4095)</f>
        <v>11.5</v>
      </c>
      <c r="J4095" s="33" t="n">
        <f aca="false">IF(F4095="","",F4095-C4095)</f>
        <v>14.375</v>
      </c>
      <c r="K4095" s="33" t="n">
        <f aca="false">IF(G4095="","",G4095-C4095)</f>
        <v>11.5311460104364</v>
      </c>
      <c r="L4095" s="33" t="n">
        <f aca="false">IF(H4095="","",ABS(H4095))</f>
        <v>6</v>
      </c>
      <c r="M4095" s="33" t="n">
        <f aca="false">IF(I4095="","",ABS(I4095))</f>
        <v>11.5</v>
      </c>
      <c r="N4095" s="33" t="n">
        <f aca="false">IF(J4095="","",ABS(J4095))</f>
        <v>14.375</v>
      </c>
      <c r="O4095" s="33" t="n">
        <f aca="false">IF(K4095="","",ABS(K4095))</f>
        <v>11.5311460104364</v>
      </c>
      <c r="P4095" s="34" t="str">
        <f aca="false">IF(B4095&gt;=Eval_Start_Week,"YES","")</f>
        <v/>
      </c>
      <c r="Q4095" s="34" t="str">
        <f aca="false">IF(AND(B4095&gt;=Cal_Start_Week,B4095&lt;=Cal_End_Week),"YES","")</f>
        <v>YES</v>
      </c>
    </row>
    <row r="4096" customFormat="false" ht="15" hidden="false" customHeight="false" outlineLevel="0" collapsed="false">
      <c r="A4096" s="31" t="str">
        <f aca="false">Demand_History!C4096</f>
        <v>CLN-003</v>
      </c>
      <c r="B4096" s="31" t="n">
        <f aca="false">Demand_History!A4096</f>
        <v>39</v>
      </c>
      <c r="C4096" s="32" t="n">
        <f aca="false">Demand_History!D4096</f>
        <v>96</v>
      </c>
      <c r="D4096" s="33" t="n">
        <f aca="false">IF(B4096&gt;=2,C4095,"")</f>
        <v>111</v>
      </c>
      <c r="E4096" s="33" t="n">
        <f aca="false">IF(B4096&gt;=5,AVERAGE(C4092:C4095),"")</f>
        <v>115.25</v>
      </c>
      <c r="F4096" s="33" t="n">
        <f aca="false">IF(B4096&gt;=9,AVERAGE(C4088:C4095),"")</f>
        <v>124.875</v>
      </c>
      <c r="G4096" s="33" t="n">
        <f aca="false">IF(B4096=1,"",IF(B4096=2,C4095,SES_Alpha*C4095+(1-SES_Alpha)*G4095))</f>
        <v>119.071802207305</v>
      </c>
      <c r="H4096" s="33" t="n">
        <f aca="false">IF(D4096="","",D4096-C4096)</f>
        <v>15</v>
      </c>
      <c r="I4096" s="33" t="n">
        <f aca="false">IF(E4096="","",E4096-C4096)</f>
        <v>19.25</v>
      </c>
      <c r="J4096" s="33" t="n">
        <f aca="false">IF(F4096="","",F4096-C4096)</f>
        <v>28.875</v>
      </c>
      <c r="K4096" s="33" t="n">
        <f aca="false">IF(G4096="","",G4096-C4096)</f>
        <v>23.0718022073055</v>
      </c>
      <c r="L4096" s="33" t="n">
        <f aca="false">IF(H4096="","",ABS(H4096))</f>
        <v>15</v>
      </c>
      <c r="M4096" s="33" t="n">
        <f aca="false">IF(I4096="","",ABS(I4096))</f>
        <v>19.25</v>
      </c>
      <c r="N4096" s="33" t="n">
        <f aca="false">IF(J4096="","",ABS(J4096))</f>
        <v>28.875</v>
      </c>
      <c r="O4096" s="33" t="n">
        <f aca="false">IF(K4096="","",ABS(K4096))</f>
        <v>23.0718022073055</v>
      </c>
      <c r="P4096" s="34" t="str">
        <f aca="false">IF(B4096&gt;=Eval_Start_Week,"YES","")</f>
        <v/>
      </c>
      <c r="Q4096" s="34" t="str">
        <f aca="false">IF(AND(B4096&gt;=Cal_Start_Week,B4096&lt;=Cal_End_Week),"YES","")</f>
        <v>YES</v>
      </c>
    </row>
    <row r="4097" customFormat="false" ht="15" hidden="false" customHeight="false" outlineLevel="0" collapsed="false">
      <c r="A4097" s="31" t="str">
        <f aca="false">Demand_History!C4097</f>
        <v>CLN-003</v>
      </c>
      <c r="B4097" s="31" t="n">
        <f aca="false">Demand_History!A4097</f>
        <v>40</v>
      </c>
      <c r="C4097" s="32" t="n">
        <f aca="false">Demand_History!D4097</f>
        <v>102</v>
      </c>
      <c r="D4097" s="33" t="n">
        <f aca="false">IF(B4097&gt;=2,C4096,"")</f>
        <v>96</v>
      </c>
      <c r="E4097" s="33" t="n">
        <f aca="false">IF(B4097&gt;=5,AVERAGE(C4093:C4096),"")</f>
        <v>113.75</v>
      </c>
      <c r="F4097" s="33" t="n">
        <f aca="false">IF(B4097&gt;=9,AVERAGE(C4089:C4096),"")</f>
        <v>118.625</v>
      </c>
      <c r="G4097" s="33" t="n">
        <f aca="false">IF(B4097=1,"",IF(B4097=2,C4096,SES_Alpha*C4096+(1-SES_Alpha)*G4096))</f>
        <v>112.150261545114</v>
      </c>
      <c r="H4097" s="33" t="n">
        <f aca="false">IF(D4097="","",D4097-C4097)</f>
        <v>-6</v>
      </c>
      <c r="I4097" s="33" t="n">
        <f aca="false">IF(E4097="","",E4097-C4097)</f>
        <v>11.75</v>
      </c>
      <c r="J4097" s="33" t="n">
        <f aca="false">IF(F4097="","",F4097-C4097)</f>
        <v>16.625</v>
      </c>
      <c r="K4097" s="33" t="n">
        <f aca="false">IF(G4097="","",G4097-C4097)</f>
        <v>10.1502615451138</v>
      </c>
      <c r="L4097" s="33" t="n">
        <f aca="false">IF(H4097="","",ABS(H4097))</f>
        <v>6</v>
      </c>
      <c r="M4097" s="33" t="n">
        <f aca="false">IF(I4097="","",ABS(I4097))</f>
        <v>11.75</v>
      </c>
      <c r="N4097" s="33" t="n">
        <f aca="false">IF(J4097="","",ABS(J4097))</f>
        <v>16.625</v>
      </c>
      <c r="O4097" s="33" t="n">
        <f aca="false">IF(K4097="","",ABS(K4097))</f>
        <v>10.1502615451138</v>
      </c>
      <c r="P4097" s="34" t="str">
        <f aca="false">IF(B4097&gt;=Eval_Start_Week,"YES","")</f>
        <v/>
      </c>
      <c r="Q4097" s="34" t="str">
        <f aca="false">IF(AND(B4097&gt;=Cal_Start_Week,B4097&lt;=Cal_End_Week),"YES","")</f>
        <v>YES</v>
      </c>
    </row>
    <row r="4098" customFormat="false" ht="15" hidden="false" customHeight="false" outlineLevel="0" collapsed="false">
      <c r="A4098" s="31" t="str">
        <f aca="false">Demand_History!C4098</f>
        <v>CLN-003</v>
      </c>
      <c r="B4098" s="31" t="n">
        <f aca="false">Demand_History!A4098</f>
        <v>41</v>
      </c>
      <c r="C4098" s="32" t="n">
        <f aca="false">Demand_History!D4098</f>
        <v>139</v>
      </c>
      <c r="D4098" s="33" t="n">
        <f aca="false">IF(B4098&gt;=2,C4097,"")</f>
        <v>102</v>
      </c>
      <c r="E4098" s="33" t="n">
        <f aca="false">IF(B4098&gt;=5,AVERAGE(C4094:C4097),"")</f>
        <v>106.5</v>
      </c>
      <c r="F4098" s="33" t="n">
        <f aca="false">IF(B4098&gt;=9,AVERAGE(C4090:C4097),"")</f>
        <v>117.5</v>
      </c>
      <c r="G4098" s="33" t="n">
        <f aca="false">IF(B4098=1,"",IF(B4098=2,C4097,SES_Alpha*C4097+(1-SES_Alpha)*G4097))</f>
        <v>109.10518308158</v>
      </c>
      <c r="H4098" s="33" t="n">
        <f aca="false">IF(D4098="","",D4098-C4098)</f>
        <v>-37</v>
      </c>
      <c r="I4098" s="33" t="n">
        <f aca="false">IF(E4098="","",E4098-C4098)</f>
        <v>-32.5</v>
      </c>
      <c r="J4098" s="33" t="n">
        <f aca="false">IF(F4098="","",F4098-C4098)</f>
        <v>-21.5</v>
      </c>
      <c r="K4098" s="33" t="n">
        <f aca="false">IF(G4098="","",G4098-C4098)</f>
        <v>-29.8948169184203</v>
      </c>
      <c r="L4098" s="33" t="n">
        <f aca="false">IF(H4098="","",ABS(H4098))</f>
        <v>37</v>
      </c>
      <c r="M4098" s="33" t="n">
        <f aca="false">IF(I4098="","",ABS(I4098))</f>
        <v>32.5</v>
      </c>
      <c r="N4098" s="33" t="n">
        <f aca="false">IF(J4098="","",ABS(J4098))</f>
        <v>21.5</v>
      </c>
      <c r="O4098" s="33" t="n">
        <f aca="false">IF(K4098="","",ABS(K4098))</f>
        <v>29.8948169184203</v>
      </c>
      <c r="P4098" s="34" t="str">
        <f aca="false">IF(B4098&gt;=Eval_Start_Week,"YES","")</f>
        <v/>
      </c>
      <c r="Q4098" s="34" t="str">
        <f aca="false">IF(AND(B4098&gt;=Cal_Start_Week,B4098&lt;=Cal_End_Week),"YES","")</f>
        <v>YES</v>
      </c>
    </row>
    <row r="4099" customFormat="false" ht="15" hidden="false" customHeight="false" outlineLevel="0" collapsed="false">
      <c r="A4099" s="31" t="str">
        <f aca="false">Demand_History!C4099</f>
        <v>CLN-003</v>
      </c>
      <c r="B4099" s="31" t="n">
        <f aca="false">Demand_History!A4099</f>
        <v>42</v>
      </c>
      <c r="C4099" s="32" t="n">
        <f aca="false">Demand_History!D4099</f>
        <v>125</v>
      </c>
      <c r="D4099" s="33" t="n">
        <f aca="false">IF(B4099&gt;=2,C4098,"")</f>
        <v>139</v>
      </c>
      <c r="E4099" s="33" t="n">
        <f aca="false">IF(B4099&gt;=5,AVERAGE(C4095:C4098),"")</f>
        <v>112</v>
      </c>
      <c r="F4099" s="33" t="n">
        <f aca="false">IF(B4099&gt;=9,AVERAGE(C4091:C4098),"")</f>
        <v>117.25</v>
      </c>
      <c r="G4099" s="33" t="n">
        <f aca="false">IF(B4099=1,"",IF(B4099=2,C4098,SES_Alpha*C4098+(1-SES_Alpha)*G4098))</f>
        <v>118.073628157106</v>
      </c>
      <c r="H4099" s="33" t="n">
        <f aca="false">IF(D4099="","",D4099-C4099)</f>
        <v>14</v>
      </c>
      <c r="I4099" s="33" t="n">
        <f aca="false">IF(E4099="","",E4099-C4099)</f>
        <v>-13</v>
      </c>
      <c r="J4099" s="33" t="n">
        <f aca="false">IF(F4099="","",F4099-C4099)</f>
        <v>-7.75</v>
      </c>
      <c r="K4099" s="33" t="n">
        <f aca="false">IF(G4099="","",G4099-C4099)</f>
        <v>-6.92637184289424</v>
      </c>
      <c r="L4099" s="33" t="n">
        <f aca="false">IF(H4099="","",ABS(H4099))</f>
        <v>14</v>
      </c>
      <c r="M4099" s="33" t="n">
        <f aca="false">IF(I4099="","",ABS(I4099))</f>
        <v>13</v>
      </c>
      <c r="N4099" s="33" t="n">
        <f aca="false">IF(J4099="","",ABS(J4099))</f>
        <v>7.75</v>
      </c>
      <c r="O4099" s="33" t="n">
        <f aca="false">IF(K4099="","",ABS(K4099))</f>
        <v>6.92637184289424</v>
      </c>
      <c r="P4099" s="34" t="str">
        <f aca="false">IF(B4099&gt;=Eval_Start_Week,"YES","")</f>
        <v/>
      </c>
      <c r="Q4099" s="34" t="str">
        <f aca="false">IF(AND(B4099&gt;=Cal_Start_Week,B4099&lt;=Cal_End_Week),"YES","")</f>
        <v>YES</v>
      </c>
    </row>
    <row r="4100" customFormat="false" ht="15" hidden="false" customHeight="false" outlineLevel="0" collapsed="false">
      <c r="A4100" s="31" t="str">
        <f aca="false">Demand_History!C4100</f>
        <v>CLN-003</v>
      </c>
      <c r="B4100" s="31" t="n">
        <f aca="false">Demand_History!A4100</f>
        <v>43</v>
      </c>
      <c r="C4100" s="32" t="n">
        <f aca="false">Demand_History!D4100</f>
        <v>138</v>
      </c>
      <c r="D4100" s="33" t="n">
        <f aca="false">IF(B4100&gt;=2,C4099,"")</f>
        <v>125</v>
      </c>
      <c r="E4100" s="33" t="n">
        <f aca="false">IF(B4100&gt;=5,AVERAGE(C4096:C4099),"")</f>
        <v>115.5</v>
      </c>
      <c r="F4100" s="33" t="n">
        <f aca="false">IF(B4100&gt;=9,AVERAGE(C4092:C4099),"")</f>
        <v>115.375</v>
      </c>
      <c r="G4100" s="33" t="n">
        <f aca="false">IF(B4100=1,"",IF(B4100=2,C4099,SES_Alpha*C4099+(1-SES_Alpha)*G4099))</f>
        <v>120.151539709974</v>
      </c>
      <c r="H4100" s="33" t="n">
        <f aca="false">IF(D4100="","",D4100-C4100)</f>
        <v>-13</v>
      </c>
      <c r="I4100" s="33" t="n">
        <f aca="false">IF(E4100="","",E4100-C4100)</f>
        <v>-22.5</v>
      </c>
      <c r="J4100" s="33" t="n">
        <f aca="false">IF(F4100="","",F4100-C4100)</f>
        <v>-22.625</v>
      </c>
      <c r="K4100" s="33" t="n">
        <f aca="false">IF(G4100="","",G4100-C4100)</f>
        <v>-17.848460290026</v>
      </c>
      <c r="L4100" s="33" t="n">
        <f aca="false">IF(H4100="","",ABS(H4100))</f>
        <v>13</v>
      </c>
      <c r="M4100" s="33" t="n">
        <f aca="false">IF(I4100="","",ABS(I4100))</f>
        <v>22.5</v>
      </c>
      <c r="N4100" s="33" t="n">
        <f aca="false">IF(J4100="","",ABS(J4100))</f>
        <v>22.625</v>
      </c>
      <c r="O4100" s="33" t="n">
        <f aca="false">IF(K4100="","",ABS(K4100))</f>
        <v>17.848460290026</v>
      </c>
      <c r="P4100" s="34" t="str">
        <f aca="false">IF(B4100&gt;=Eval_Start_Week,"YES","")</f>
        <v/>
      </c>
      <c r="Q4100" s="34" t="str">
        <f aca="false">IF(AND(B4100&gt;=Cal_Start_Week,B4100&lt;=Cal_End_Week),"YES","")</f>
        <v>YES</v>
      </c>
    </row>
    <row r="4101" customFormat="false" ht="15" hidden="false" customHeight="false" outlineLevel="0" collapsed="false">
      <c r="A4101" s="31" t="str">
        <f aca="false">Demand_History!C4101</f>
        <v>CLN-003</v>
      </c>
      <c r="B4101" s="31" t="n">
        <f aca="false">Demand_History!A4101</f>
        <v>44</v>
      </c>
      <c r="C4101" s="32" t="n">
        <f aca="false">Demand_History!D4101</f>
        <v>115</v>
      </c>
      <c r="D4101" s="33" t="n">
        <f aca="false">IF(B4101&gt;=2,C4100,"")</f>
        <v>138</v>
      </c>
      <c r="E4101" s="33" t="n">
        <f aca="false">IF(B4101&gt;=5,AVERAGE(C4097:C4100),"")</f>
        <v>126</v>
      </c>
      <c r="F4101" s="33" t="n">
        <f aca="false">IF(B4101&gt;=9,AVERAGE(C4093:C4100),"")</f>
        <v>119.875</v>
      </c>
      <c r="G4101" s="33" t="n">
        <f aca="false">IF(B4101=1,"",IF(B4101=2,C4100,SES_Alpha*C4100+(1-SES_Alpha)*G4100))</f>
        <v>125.506077796982</v>
      </c>
      <c r="H4101" s="33" t="n">
        <f aca="false">IF(D4101="","",D4101-C4101)</f>
        <v>23</v>
      </c>
      <c r="I4101" s="33" t="n">
        <f aca="false">IF(E4101="","",E4101-C4101)</f>
        <v>11</v>
      </c>
      <c r="J4101" s="33" t="n">
        <f aca="false">IF(F4101="","",F4101-C4101)</f>
        <v>4.875</v>
      </c>
      <c r="K4101" s="33" t="n">
        <f aca="false">IF(G4101="","",G4101-C4101)</f>
        <v>10.5060777969818</v>
      </c>
      <c r="L4101" s="33" t="n">
        <f aca="false">IF(H4101="","",ABS(H4101))</f>
        <v>23</v>
      </c>
      <c r="M4101" s="33" t="n">
        <f aca="false">IF(I4101="","",ABS(I4101))</f>
        <v>11</v>
      </c>
      <c r="N4101" s="33" t="n">
        <f aca="false">IF(J4101="","",ABS(J4101))</f>
        <v>4.875</v>
      </c>
      <c r="O4101" s="33" t="n">
        <f aca="false">IF(K4101="","",ABS(K4101))</f>
        <v>10.5060777969818</v>
      </c>
      <c r="P4101" s="34" t="str">
        <f aca="false">IF(B4101&gt;=Eval_Start_Week,"YES","")</f>
        <v/>
      </c>
      <c r="Q4101" s="34" t="str">
        <f aca="false">IF(AND(B4101&gt;=Cal_Start_Week,B4101&lt;=Cal_End_Week),"YES","")</f>
        <v>YES</v>
      </c>
    </row>
    <row r="4102" customFormat="false" ht="15" hidden="false" customHeight="false" outlineLevel="0" collapsed="false">
      <c r="A4102" s="31" t="str">
        <f aca="false">Demand_History!C4102</f>
        <v>CLN-003</v>
      </c>
      <c r="B4102" s="31" t="n">
        <f aca="false">Demand_History!A4102</f>
        <v>45</v>
      </c>
      <c r="C4102" s="32" t="n">
        <f aca="false">Demand_History!D4102</f>
        <v>129</v>
      </c>
      <c r="D4102" s="33" t="n">
        <f aca="false">IF(B4102&gt;=2,C4101,"")</f>
        <v>115</v>
      </c>
      <c r="E4102" s="33" t="n">
        <f aca="false">IF(B4102&gt;=5,AVERAGE(C4098:C4101),"")</f>
        <v>129.25</v>
      </c>
      <c r="F4102" s="33" t="n">
        <f aca="false">IF(B4102&gt;=9,AVERAGE(C4094:C4101),"")</f>
        <v>117.875</v>
      </c>
      <c r="G4102" s="33" t="n">
        <f aca="false">IF(B4102=1,"",IF(B4102=2,C4101,SES_Alpha*C4101+(1-SES_Alpha)*G4101))</f>
        <v>122.354254457887</v>
      </c>
      <c r="H4102" s="33" t="n">
        <f aca="false">IF(D4102="","",D4102-C4102)</f>
        <v>-14</v>
      </c>
      <c r="I4102" s="33" t="n">
        <f aca="false">IF(E4102="","",E4102-C4102)</f>
        <v>0.25</v>
      </c>
      <c r="J4102" s="33" t="n">
        <f aca="false">IF(F4102="","",F4102-C4102)</f>
        <v>-11.125</v>
      </c>
      <c r="K4102" s="33" t="n">
        <f aca="false">IF(G4102="","",G4102-C4102)</f>
        <v>-6.64574554211272</v>
      </c>
      <c r="L4102" s="33" t="n">
        <f aca="false">IF(H4102="","",ABS(H4102))</f>
        <v>14</v>
      </c>
      <c r="M4102" s="33" t="n">
        <f aca="false">IF(I4102="","",ABS(I4102))</f>
        <v>0.25</v>
      </c>
      <c r="N4102" s="33" t="n">
        <f aca="false">IF(J4102="","",ABS(J4102))</f>
        <v>11.125</v>
      </c>
      <c r="O4102" s="33" t="n">
        <f aca="false">IF(K4102="","",ABS(K4102))</f>
        <v>6.64574554211272</v>
      </c>
      <c r="P4102" s="34" t="str">
        <f aca="false">IF(B4102&gt;=Eval_Start_Week,"YES","")</f>
        <v/>
      </c>
      <c r="Q4102" s="34" t="str">
        <f aca="false">IF(AND(B4102&gt;=Cal_Start_Week,B4102&lt;=Cal_End_Week),"YES","")</f>
        <v>YES</v>
      </c>
    </row>
    <row r="4103" customFormat="false" ht="15" hidden="false" customHeight="false" outlineLevel="0" collapsed="false">
      <c r="A4103" s="31" t="str">
        <f aca="false">Demand_History!C4103</f>
        <v>CLN-003</v>
      </c>
      <c r="B4103" s="31" t="n">
        <f aca="false">Demand_History!A4103</f>
        <v>46</v>
      </c>
      <c r="C4103" s="32" t="n">
        <f aca="false">Demand_History!D4103</f>
        <v>131</v>
      </c>
      <c r="D4103" s="33" t="n">
        <f aca="false">IF(B4103&gt;=2,C4102,"")</f>
        <v>129</v>
      </c>
      <c r="E4103" s="33" t="n">
        <f aca="false">IF(B4103&gt;=5,AVERAGE(C4099:C4102),"")</f>
        <v>126.75</v>
      </c>
      <c r="F4103" s="33" t="n">
        <f aca="false">IF(B4103&gt;=9,AVERAGE(C4095:C4102),"")</f>
        <v>119.375</v>
      </c>
      <c r="G4103" s="33" t="n">
        <f aca="false">IF(B4103=1,"",IF(B4103=2,C4102,SES_Alpha*C4102+(1-SES_Alpha)*G4102))</f>
        <v>124.347978120521</v>
      </c>
      <c r="H4103" s="33" t="n">
        <f aca="false">IF(D4103="","",D4103-C4103)</f>
        <v>-2</v>
      </c>
      <c r="I4103" s="33" t="n">
        <f aca="false">IF(E4103="","",E4103-C4103)</f>
        <v>-4.25</v>
      </c>
      <c r="J4103" s="33" t="n">
        <f aca="false">IF(F4103="","",F4103-C4103)</f>
        <v>-11.625</v>
      </c>
      <c r="K4103" s="33" t="n">
        <f aca="false">IF(G4103="","",G4103-C4103)</f>
        <v>-6.65202187947892</v>
      </c>
      <c r="L4103" s="33" t="n">
        <f aca="false">IF(H4103="","",ABS(H4103))</f>
        <v>2</v>
      </c>
      <c r="M4103" s="33" t="n">
        <f aca="false">IF(I4103="","",ABS(I4103))</f>
        <v>4.25</v>
      </c>
      <c r="N4103" s="33" t="n">
        <f aca="false">IF(J4103="","",ABS(J4103))</f>
        <v>11.625</v>
      </c>
      <c r="O4103" s="33" t="n">
        <f aca="false">IF(K4103="","",ABS(K4103))</f>
        <v>6.65202187947892</v>
      </c>
      <c r="P4103" s="34" t="str">
        <f aca="false">IF(B4103&gt;=Eval_Start_Week,"YES","")</f>
        <v/>
      </c>
      <c r="Q4103" s="34" t="str">
        <f aca="false">IF(AND(B4103&gt;=Cal_Start_Week,B4103&lt;=Cal_End_Week),"YES","")</f>
        <v>YES</v>
      </c>
    </row>
    <row r="4104" customFormat="false" ht="15" hidden="false" customHeight="false" outlineLevel="0" collapsed="false">
      <c r="A4104" s="31" t="str">
        <f aca="false">Demand_History!C4104</f>
        <v>CLN-003</v>
      </c>
      <c r="B4104" s="31" t="n">
        <f aca="false">Demand_History!A4104</f>
        <v>47</v>
      </c>
      <c r="C4104" s="32" t="n">
        <f aca="false">Demand_History!D4104</f>
        <v>108</v>
      </c>
      <c r="D4104" s="33" t="n">
        <f aca="false">IF(B4104&gt;=2,C4103,"")</f>
        <v>131</v>
      </c>
      <c r="E4104" s="33" t="n">
        <f aca="false">IF(B4104&gt;=5,AVERAGE(C4100:C4103),"")</f>
        <v>128.25</v>
      </c>
      <c r="F4104" s="33" t="n">
        <f aca="false">IF(B4104&gt;=9,AVERAGE(C4096:C4103),"")</f>
        <v>121.875</v>
      </c>
      <c r="G4104" s="33" t="n">
        <f aca="false">IF(B4104=1,"",IF(B4104=2,C4103,SES_Alpha*C4103+(1-SES_Alpha)*G4103))</f>
        <v>126.343584684365</v>
      </c>
      <c r="H4104" s="33" t="n">
        <f aca="false">IF(D4104="","",D4104-C4104)</f>
        <v>23</v>
      </c>
      <c r="I4104" s="33" t="n">
        <f aca="false">IF(E4104="","",E4104-C4104)</f>
        <v>20.25</v>
      </c>
      <c r="J4104" s="33" t="n">
        <f aca="false">IF(F4104="","",F4104-C4104)</f>
        <v>13.875</v>
      </c>
      <c r="K4104" s="33" t="n">
        <f aca="false">IF(G4104="","",G4104-C4104)</f>
        <v>18.3435846843647</v>
      </c>
      <c r="L4104" s="33" t="n">
        <f aca="false">IF(H4104="","",ABS(H4104))</f>
        <v>23</v>
      </c>
      <c r="M4104" s="33" t="n">
        <f aca="false">IF(I4104="","",ABS(I4104))</f>
        <v>20.25</v>
      </c>
      <c r="N4104" s="33" t="n">
        <f aca="false">IF(J4104="","",ABS(J4104))</f>
        <v>13.875</v>
      </c>
      <c r="O4104" s="33" t="n">
        <f aca="false">IF(K4104="","",ABS(K4104))</f>
        <v>18.3435846843647</v>
      </c>
      <c r="P4104" s="34" t="str">
        <f aca="false">IF(B4104&gt;=Eval_Start_Week,"YES","")</f>
        <v/>
      </c>
      <c r="Q4104" s="34" t="str">
        <f aca="false">IF(AND(B4104&gt;=Cal_Start_Week,B4104&lt;=Cal_End_Week),"YES","")</f>
        <v>YES</v>
      </c>
    </row>
    <row r="4105" customFormat="false" ht="15" hidden="false" customHeight="false" outlineLevel="0" collapsed="false">
      <c r="A4105" s="31" t="str">
        <f aca="false">Demand_History!C4105</f>
        <v>CLN-003</v>
      </c>
      <c r="B4105" s="31" t="n">
        <f aca="false">Demand_History!A4105</f>
        <v>48</v>
      </c>
      <c r="C4105" s="32" t="n">
        <f aca="false">Demand_History!D4105</f>
        <v>107</v>
      </c>
      <c r="D4105" s="33" t="n">
        <f aca="false">IF(B4105&gt;=2,C4104,"")</f>
        <v>108</v>
      </c>
      <c r="E4105" s="33" t="n">
        <f aca="false">IF(B4105&gt;=5,AVERAGE(C4101:C4104),"")</f>
        <v>120.75</v>
      </c>
      <c r="F4105" s="33" t="n">
        <f aca="false">IF(B4105&gt;=9,AVERAGE(C4097:C4104),"")</f>
        <v>123.375</v>
      </c>
      <c r="G4105" s="33" t="n">
        <f aca="false">IF(B4105=1,"",IF(B4105=2,C4104,SES_Alpha*C4104+(1-SES_Alpha)*G4104))</f>
        <v>120.840509279055</v>
      </c>
      <c r="H4105" s="33" t="n">
        <f aca="false">IF(D4105="","",D4105-C4105)</f>
        <v>1</v>
      </c>
      <c r="I4105" s="33" t="n">
        <f aca="false">IF(E4105="","",E4105-C4105)</f>
        <v>13.75</v>
      </c>
      <c r="J4105" s="33" t="n">
        <f aca="false">IF(F4105="","",F4105-C4105)</f>
        <v>16.375</v>
      </c>
      <c r="K4105" s="33" t="n">
        <f aca="false">IF(G4105="","",G4105-C4105)</f>
        <v>13.8405092790553</v>
      </c>
      <c r="L4105" s="33" t="n">
        <f aca="false">IF(H4105="","",ABS(H4105))</f>
        <v>1</v>
      </c>
      <c r="M4105" s="33" t="n">
        <f aca="false">IF(I4105="","",ABS(I4105))</f>
        <v>13.75</v>
      </c>
      <c r="N4105" s="33" t="n">
        <f aca="false">IF(J4105="","",ABS(J4105))</f>
        <v>16.375</v>
      </c>
      <c r="O4105" s="33" t="n">
        <f aca="false">IF(K4105="","",ABS(K4105))</f>
        <v>13.8405092790553</v>
      </c>
      <c r="P4105" s="34" t="str">
        <f aca="false">IF(B4105&gt;=Eval_Start_Week,"YES","")</f>
        <v/>
      </c>
      <c r="Q4105" s="34" t="str">
        <f aca="false">IF(AND(B4105&gt;=Cal_Start_Week,B4105&lt;=Cal_End_Week),"YES","")</f>
        <v>YES</v>
      </c>
    </row>
    <row r="4106" customFormat="false" ht="15" hidden="false" customHeight="false" outlineLevel="0" collapsed="false">
      <c r="A4106" s="31" t="str">
        <f aca="false">Demand_History!C4106</f>
        <v>CLN-003</v>
      </c>
      <c r="B4106" s="31" t="n">
        <f aca="false">Demand_History!A4106</f>
        <v>49</v>
      </c>
      <c r="C4106" s="32" t="n">
        <f aca="false">Demand_History!D4106</f>
        <v>148</v>
      </c>
      <c r="D4106" s="33" t="n">
        <f aca="false">IF(B4106&gt;=2,C4105,"")</f>
        <v>107</v>
      </c>
      <c r="E4106" s="33" t="n">
        <f aca="false">IF(B4106&gt;=5,AVERAGE(C4102:C4105),"")</f>
        <v>118.75</v>
      </c>
      <c r="F4106" s="33" t="n">
        <f aca="false">IF(B4106&gt;=9,AVERAGE(C4098:C4105),"")</f>
        <v>124</v>
      </c>
      <c r="G4106" s="33" t="n">
        <f aca="false">IF(B4106=1,"",IF(B4106=2,C4105,SES_Alpha*C4105+(1-SES_Alpha)*G4105))</f>
        <v>116.688356495339</v>
      </c>
      <c r="H4106" s="33" t="n">
        <f aca="false">IF(D4106="","",D4106-C4106)</f>
        <v>-41</v>
      </c>
      <c r="I4106" s="33" t="n">
        <f aca="false">IF(E4106="","",E4106-C4106)</f>
        <v>-29.25</v>
      </c>
      <c r="J4106" s="33" t="n">
        <f aca="false">IF(F4106="","",F4106-C4106)</f>
        <v>-24</v>
      </c>
      <c r="K4106" s="33" t="n">
        <f aca="false">IF(G4106="","",G4106-C4106)</f>
        <v>-31.3116435046613</v>
      </c>
      <c r="L4106" s="33" t="n">
        <f aca="false">IF(H4106="","",ABS(H4106))</f>
        <v>41</v>
      </c>
      <c r="M4106" s="33" t="n">
        <f aca="false">IF(I4106="","",ABS(I4106))</f>
        <v>29.25</v>
      </c>
      <c r="N4106" s="33" t="n">
        <f aca="false">IF(J4106="","",ABS(J4106))</f>
        <v>24</v>
      </c>
      <c r="O4106" s="33" t="n">
        <f aca="false">IF(K4106="","",ABS(K4106))</f>
        <v>31.3116435046613</v>
      </c>
      <c r="P4106" s="34" t="str">
        <f aca="false">IF(B4106&gt;=Eval_Start_Week,"YES","")</f>
        <v/>
      </c>
      <c r="Q4106" s="34" t="str">
        <f aca="false">IF(AND(B4106&gt;=Cal_Start_Week,B4106&lt;=Cal_End_Week),"YES","")</f>
        <v>YES</v>
      </c>
    </row>
    <row r="4107" customFormat="false" ht="15" hidden="false" customHeight="false" outlineLevel="0" collapsed="false">
      <c r="A4107" s="31" t="str">
        <f aca="false">Demand_History!C4107</f>
        <v>CLN-003</v>
      </c>
      <c r="B4107" s="31" t="n">
        <f aca="false">Demand_History!A4107</f>
        <v>50</v>
      </c>
      <c r="C4107" s="32" t="n">
        <f aca="false">Demand_History!D4107</f>
        <v>143</v>
      </c>
      <c r="D4107" s="33" t="n">
        <f aca="false">IF(B4107&gt;=2,C4106,"")</f>
        <v>148</v>
      </c>
      <c r="E4107" s="33" t="n">
        <f aca="false">IF(B4107&gt;=5,AVERAGE(C4103:C4106),"")</f>
        <v>123.5</v>
      </c>
      <c r="F4107" s="33" t="n">
        <f aca="false">IF(B4107&gt;=9,AVERAGE(C4099:C4106),"")</f>
        <v>125.125</v>
      </c>
      <c r="G4107" s="33" t="n">
        <f aca="false">IF(B4107=1,"",IF(B4107=2,C4106,SES_Alpha*C4106+(1-SES_Alpha)*G4106))</f>
        <v>126.081849546737</v>
      </c>
      <c r="H4107" s="33" t="n">
        <f aca="false">IF(D4107="","",D4107-C4107)</f>
        <v>5</v>
      </c>
      <c r="I4107" s="33" t="n">
        <f aca="false">IF(E4107="","",E4107-C4107)</f>
        <v>-19.5</v>
      </c>
      <c r="J4107" s="33" t="n">
        <f aca="false">IF(F4107="","",F4107-C4107)</f>
        <v>-17.875</v>
      </c>
      <c r="K4107" s="33" t="n">
        <f aca="false">IF(G4107="","",G4107-C4107)</f>
        <v>-16.9181504532629</v>
      </c>
      <c r="L4107" s="33" t="n">
        <f aca="false">IF(H4107="","",ABS(H4107))</f>
        <v>5</v>
      </c>
      <c r="M4107" s="33" t="n">
        <f aca="false">IF(I4107="","",ABS(I4107))</f>
        <v>19.5</v>
      </c>
      <c r="N4107" s="33" t="n">
        <f aca="false">IF(J4107="","",ABS(J4107))</f>
        <v>17.875</v>
      </c>
      <c r="O4107" s="33" t="n">
        <f aca="false">IF(K4107="","",ABS(K4107))</f>
        <v>16.9181504532629</v>
      </c>
      <c r="P4107" s="34" t="str">
        <f aca="false">IF(B4107&gt;=Eval_Start_Week,"YES","")</f>
        <v/>
      </c>
      <c r="Q4107" s="34" t="str">
        <f aca="false">IF(AND(B4107&gt;=Cal_Start_Week,B4107&lt;=Cal_End_Week),"YES","")</f>
        <v>YES</v>
      </c>
    </row>
    <row r="4108" customFormat="false" ht="15" hidden="false" customHeight="false" outlineLevel="0" collapsed="false">
      <c r="A4108" s="31" t="str">
        <f aca="false">Demand_History!C4108</f>
        <v>CLN-003</v>
      </c>
      <c r="B4108" s="31" t="n">
        <f aca="false">Demand_History!A4108</f>
        <v>51</v>
      </c>
      <c r="C4108" s="32" t="n">
        <f aca="false">Demand_History!D4108</f>
        <v>123</v>
      </c>
      <c r="D4108" s="33" t="n">
        <f aca="false">IF(B4108&gt;=2,C4107,"")</f>
        <v>143</v>
      </c>
      <c r="E4108" s="33" t="n">
        <f aca="false">IF(B4108&gt;=5,AVERAGE(C4104:C4107),"")</f>
        <v>126.5</v>
      </c>
      <c r="F4108" s="33" t="n">
        <f aca="false">IF(B4108&gt;=9,AVERAGE(C4100:C4107),"")</f>
        <v>127.375</v>
      </c>
      <c r="G4108" s="33" t="n">
        <f aca="false">IF(B4108=1,"",IF(B4108=2,C4107,SES_Alpha*C4107+(1-SES_Alpha)*G4107))</f>
        <v>131.157294682716</v>
      </c>
      <c r="H4108" s="33" t="n">
        <f aca="false">IF(D4108="","",D4108-C4108)</f>
        <v>20</v>
      </c>
      <c r="I4108" s="33" t="n">
        <f aca="false">IF(E4108="","",E4108-C4108)</f>
        <v>3.5</v>
      </c>
      <c r="J4108" s="33" t="n">
        <f aca="false">IF(F4108="","",F4108-C4108)</f>
        <v>4.375</v>
      </c>
      <c r="K4108" s="33" t="n">
        <f aca="false">IF(G4108="","",G4108-C4108)</f>
        <v>8.15729468271596</v>
      </c>
      <c r="L4108" s="33" t="n">
        <f aca="false">IF(H4108="","",ABS(H4108))</f>
        <v>20</v>
      </c>
      <c r="M4108" s="33" t="n">
        <f aca="false">IF(I4108="","",ABS(I4108))</f>
        <v>3.5</v>
      </c>
      <c r="N4108" s="33" t="n">
        <f aca="false">IF(J4108="","",ABS(J4108))</f>
        <v>4.375</v>
      </c>
      <c r="O4108" s="33" t="n">
        <f aca="false">IF(K4108="","",ABS(K4108))</f>
        <v>8.15729468271596</v>
      </c>
      <c r="P4108" s="34" t="str">
        <f aca="false">IF(B4108&gt;=Eval_Start_Week,"YES","")</f>
        <v/>
      </c>
      <c r="Q4108" s="34" t="str">
        <f aca="false">IF(AND(B4108&gt;=Cal_Start_Week,B4108&lt;=Cal_End_Week),"YES","")</f>
        <v>YES</v>
      </c>
    </row>
    <row r="4109" customFormat="false" ht="15" hidden="false" customHeight="false" outlineLevel="0" collapsed="false">
      <c r="A4109" s="31" t="str">
        <f aca="false">Demand_History!C4109</f>
        <v>CLN-003</v>
      </c>
      <c r="B4109" s="31" t="n">
        <f aca="false">Demand_History!A4109</f>
        <v>52</v>
      </c>
      <c r="C4109" s="32" t="n">
        <f aca="false">Demand_History!D4109</f>
        <v>140</v>
      </c>
      <c r="D4109" s="33" t="n">
        <f aca="false">IF(B4109&gt;=2,C4108,"")</f>
        <v>123</v>
      </c>
      <c r="E4109" s="33" t="n">
        <f aca="false">IF(B4109&gt;=5,AVERAGE(C4105:C4108),"")</f>
        <v>130.25</v>
      </c>
      <c r="F4109" s="33" t="n">
        <f aca="false">IF(B4109&gt;=9,AVERAGE(C4101:C4108),"")</f>
        <v>125.5</v>
      </c>
      <c r="G4109" s="33" t="n">
        <f aca="false">IF(B4109=1,"",IF(B4109=2,C4108,SES_Alpha*C4108+(1-SES_Alpha)*G4108))</f>
        <v>128.710106277901</v>
      </c>
      <c r="H4109" s="33" t="n">
        <f aca="false">IF(D4109="","",D4109-C4109)</f>
        <v>-17</v>
      </c>
      <c r="I4109" s="33" t="n">
        <f aca="false">IF(E4109="","",E4109-C4109)</f>
        <v>-9.75</v>
      </c>
      <c r="J4109" s="33" t="n">
        <f aca="false">IF(F4109="","",F4109-C4109)</f>
        <v>-14.5</v>
      </c>
      <c r="K4109" s="33" t="n">
        <f aca="false">IF(G4109="","",G4109-C4109)</f>
        <v>-11.2898937220988</v>
      </c>
      <c r="L4109" s="33" t="n">
        <f aca="false">IF(H4109="","",ABS(H4109))</f>
        <v>17</v>
      </c>
      <c r="M4109" s="33" t="n">
        <f aca="false">IF(I4109="","",ABS(I4109))</f>
        <v>9.75</v>
      </c>
      <c r="N4109" s="33" t="n">
        <f aca="false">IF(J4109="","",ABS(J4109))</f>
        <v>14.5</v>
      </c>
      <c r="O4109" s="33" t="n">
        <f aca="false">IF(K4109="","",ABS(K4109))</f>
        <v>11.2898937220988</v>
      </c>
      <c r="P4109" s="34" t="str">
        <f aca="false">IF(B4109&gt;=Eval_Start_Week,"YES","")</f>
        <v/>
      </c>
      <c r="Q4109" s="34" t="str">
        <f aca="false">IF(AND(B4109&gt;=Cal_Start_Week,B4109&lt;=Cal_End_Week),"YES","")</f>
        <v>YES</v>
      </c>
    </row>
    <row r="4110" customFormat="false" ht="15" hidden="false" customHeight="false" outlineLevel="0" collapsed="false">
      <c r="A4110" s="31" t="str">
        <f aca="false">Demand_History!C4110</f>
        <v>CLN-003</v>
      </c>
      <c r="B4110" s="31" t="n">
        <f aca="false">Demand_History!A4110</f>
        <v>53</v>
      </c>
      <c r="C4110" s="32" t="n">
        <f aca="false">Demand_History!D4110</f>
        <v>157</v>
      </c>
      <c r="D4110" s="33" t="n">
        <f aca="false">IF(B4110&gt;=2,C4109,"")</f>
        <v>140</v>
      </c>
      <c r="E4110" s="33" t="n">
        <f aca="false">IF(B4110&gt;=5,AVERAGE(C4106:C4109),"")</f>
        <v>138.5</v>
      </c>
      <c r="F4110" s="33" t="n">
        <f aca="false">IF(B4110&gt;=9,AVERAGE(C4102:C4109),"")</f>
        <v>128.625</v>
      </c>
      <c r="G4110" s="33" t="n">
        <f aca="false">IF(B4110=1,"",IF(B4110=2,C4109,SES_Alpha*C4109+(1-SES_Alpha)*G4109))</f>
        <v>132.097074394531</v>
      </c>
      <c r="H4110" s="33" t="n">
        <f aca="false">IF(D4110="","",D4110-C4110)</f>
        <v>-17</v>
      </c>
      <c r="I4110" s="33" t="n">
        <f aca="false">IF(E4110="","",E4110-C4110)</f>
        <v>-18.5</v>
      </c>
      <c r="J4110" s="33" t="n">
        <f aca="false">IF(F4110="","",F4110-C4110)</f>
        <v>-28.375</v>
      </c>
      <c r="K4110" s="33" t="n">
        <f aca="false">IF(G4110="","",G4110-C4110)</f>
        <v>-24.9029256054692</v>
      </c>
      <c r="L4110" s="33" t="n">
        <f aca="false">IF(H4110="","",ABS(H4110))</f>
        <v>17</v>
      </c>
      <c r="M4110" s="33" t="n">
        <f aca="false">IF(I4110="","",ABS(I4110))</f>
        <v>18.5</v>
      </c>
      <c r="N4110" s="33" t="n">
        <f aca="false">IF(J4110="","",ABS(J4110))</f>
        <v>28.375</v>
      </c>
      <c r="O4110" s="33" t="n">
        <f aca="false">IF(K4110="","",ABS(K4110))</f>
        <v>24.9029256054692</v>
      </c>
      <c r="P4110" s="34" t="str">
        <f aca="false">IF(B4110&gt;=Eval_Start_Week,"YES","")</f>
        <v>YES</v>
      </c>
      <c r="Q4110" s="34" t="str">
        <f aca="false">IF(AND(B4110&gt;=Cal_Start_Week,B4110&lt;=Cal_End_Week),"YES","")</f>
        <v>YES</v>
      </c>
    </row>
    <row r="4111" customFormat="false" ht="15" hidden="false" customHeight="false" outlineLevel="0" collapsed="false">
      <c r="A4111" s="31" t="str">
        <f aca="false">Demand_History!C4111</f>
        <v>CLN-003</v>
      </c>
      <c r="B4111" s="31" t="n">
        <f aca="false">Demand_History!A4111</f>
        <v>54</v>
      </c>
      <c r="C4111" s="32" t="n">
        <f aca="false">Demand_History!D4111</f>
        <v>181</v>
      </c>
      <c r="D4111" s="33" t="n">
        <f aca="false">IF(B4111&gt;=2,C4110,"")</f>
        <v>157</v>
      </c>
      <c r="E4111" s="33" t="n">
        <f aca="false">IF(B4111&gt;=5,AVERAGE(C4107:C4110),"")</f>
        <v>140.75</v>
      </c>
      <c r="F4111" s="33" t="n">
        <f aca="false">IF(B4111&gt;=9,AVERAGE(C4103:C4110),"")</f>
        <v>132.125</v>
      </c>
      <c r="G4111" s="33" t="n">
        <f aca="false">IF(B4111=1,"",IF(B4111=2,C4110,SES_Alpha*C4110+(1-SES_Alpha)*G4110))</f>
        <v>139.567952076172</v>
      </c>
      <c r="H4111" s="33" t="n">
        <f aca="false">IF(D4111="","",D4111-C4111)</f>
        <v>-24</v>
      </c>
      <c r="I4111" s="33" t="n">
        <f aca="false">IF(E4111="","",E4111-C4111)</f>
        <v>-40.25</v>
      </c>
      <c r="J4111" s="33" t="n">
        <f aca="false">IF(F4111="","",F4111-C4111)</f>
        <v>-48.875</v>
      </c>
      <c r="K4111" s="33" t="n">
        <f aca="false">IF(G4111="","",G4111-C4111)</f>
        <v>-41.4320479238284</v>
      </c>
      <c r="L4111" s="33" t="n">
        <f aca="false">IF(H4111="","",ABS(H4111))</f>
        <v>24</v>
      </c>
      <c r="M4111" s="33" t="n">
        <f aca="false">IF(I4111="","",ABS(I4111))</f>
        <v>40.25</v>
      </c>
      <c r="N4111" s="33" t="n">
        <f aca="false">IF(J4111="","",ABS(J4111))</f>
        <v>48.875</v>
      </c>
      <c r="O4111" s="33" t="n">
        <f aca="false">IF(K4111="","",ABS(K4111))</f>
        <v>41.4320479238284</v>
      </c>
      <c r="P4111" s="34" t="str">
        <f aca="false">IF(B4111&gt;=Eval_Start_Week,"YES","")</f>
        <v>YES</v>
      </c>
      <c r="Q4111" s="34" t="str">
        <f aca="false">IF(AND(B4111&gt;=Cal_Start_Week,B4111&lt;=Cal_End_Week),"YES","")</f>
        <v>YES</v>
      </c>
    </row>
    <row r="4112" customFormat="false" ht="15" hidden="false" customHeight="false" outlineLevel="0" collapsed="false">
      <c r="A4112" s="31" t="str">
        <f aca="false">Demand_History!C4112</f>
        <v>CLN-003</v>
      </c>
      <c r="B4112" s="31" t="n">
        <f aca="false">Demand_History!A4112</f>
        <v>55</v>
      </c>
      <c r="C4112" s="32" t="n">
        <f aca="false">Demand_History!D4112</f>
        <v>128</v>
      </c>
      <c r="D4112" s="33" t="n">
        <f aca="false">IF(B4112&gt;=2,C4111,"")</f>
        <v>181</v>
      </c>
      <c r="E4112" s="33" t="n">
        <f aca="false">IF(B4112&gt;=5,AVERAGE(C4108:C4111),"")</f>
        <v>150.25</v>
      </c>
      <c r="F4112" s="33" t="n">
        <f aca="false">IF(B4112&gt;=9,AVERAGE(C4104:C4111),"")</f>
        <v>138.375</v>
      </c>
      <c r="G4112" s="33" t="n">
        <f aca="false">IF(B4112=1,"",IF(B4112=2,C4111,SES_Alpha*C4111+(1-SES_Alpha)*G4111))</f>
        <v>151.99756645332</v>
      </c>
      <c r="H4112" s="33" t="n">
        <f aca="false">IF(D4112="","",D4112-C4112)</f>
        <v>53</v>
      </c>
      <c r="I4112" s="33" t="n">
        <f aca="false">IF(E4112="","",E4112-C4112)</f>
        <v>22.25</v>
      </c>
      <c r="J4112" s="33" t="n">
        <f aca="false">IF(F4112="","",F4112-C4112)</f>
        <v>10.375</v>
      </c>
      <c r="K4112" s="33" t="n">
        <f aca="false">IF(G4112="","",G4112-C4112)</f>
        <v>23.9975664533201</v>
      </c>
      <c r="L4112" s="33" t="n">
        <f aca="false">IF(H4112="","",ABS(H4112))</f>
        <v>53</v>
      </c>
      <c r="M4112" s="33" t="n">
        <f aca="false">IF(I4112="","",ABS(I4112))</f>
        <v>22.25</v>
      </c>
      <c r="N4112" s="33" t="n">
        <f aca="false">IF(J4112="","",ABS(J4112))</f>
        <v>10.375</v>
      </c>
      <c r="O4112" s="33" t="n">
        <f aca="false">IF(K4112="","",ABS(K4112))</f>
        <v>23.9975664533201</v>
      </c>
      <c r="P4112" s="34" t="str">
        <f aca="false">IF(B4112&gt;=Eval_Start_Week,"YES","")</f>
        <v>YES</v>
      </c>
      <c r="Q4112" s="34" t="str">
        <f aca="false">IF(AND(B4112&gt;=Cal_Start_Week,B4112&lt;=Cal_End_Week),"YES","")</f>
        <v>YES</v>
      </c>
    </row>
    <row r="4113" customFormat="false" ht="15" hidden="false" customHeight="false" outlineLevel="0" collapsed="false">
      <c r="A4113" s="31" t="str">
        <f aca="false">Demand_History!C4113</f>
        <v>CLN-003</v>
      </c>
      <c r="B4113" s="31" t="n">
        <f aca="false">Demand_History!A4113</f>
        <v>56</v>
      </c>
      <c r="C4113" s="32" t="n">
        <f aca="false">Demand_History!D4113</f>
        <v>159</v>
      </c>
      <c r="D4113" s="33" t="n">
        <f aca="false">IF(B4113&gt;=2,C4112,"")</f>
        <v>128</v>
      </c>
      <c r="E4113" s="33" t="n">
        <f aca="false">IF(B4113&gt;=5,AVERAGE(C4109:C4112),"")</f>
        <v>151.5</v>
      </c>
      <c r="F4113" s="33" t="n">
        <f aca="false">IF(B4113&gt;=9,AVERAGE(C4105:C4112),"")</f>
        <v>140.875</v>
      </c>
      <c r="G4113" s="33" t="n">
        <f aca="false">IF(B4113=1,"",IF(B4113=2,C4112,SES_Alpha*C4112+(1-SES_Alpha)*G4112))</f>
        <v>144.798296517324</v>
      </c>
      <c r="H4113" s="33" t="n">
        <f aca="false">IF(D4113="","",D4113-C4113)</f>
        <v>-31</v>
      </c>
      <c r="I4113" s="33" t="n">
        <f aca="false">IF(E4113="","",E4113-C4113)</f>
        <v>-7.5</v>
      </c>
      <c r="J4113" s="33" t="n">
        <f aca="false">IF(F4113="","",F4113-C4113)</f>
        <v>-18.125</v>
      </c>
      <c r="K4113" s="33" t="n">
        <f aca="false">IF(G4113="","",G4113-C4113)</f>
        <v>-14.201703482676</v>
      </c>
      <c r="L4113" s="33" t="n">
        <f aca="false">IF(H4113="","",ABS(H4113))</f>
        <v>31</v>
      </c>
      <c r="M4113" s="33" t="n">
        <f aca="false">IF(I4113="","",ABS(I4113))</f>
        <v>7.5</v>
      </c>
      <c r="N4113" s="33" t="n">
        <f aca="false">IF(J4113="","",ABS(J4113))</f>
        <v>18.125</v>
      </c>
      <c r="O4113" s="33" t="n">
        <f aca="false">IF(K4113="","",ABS(K4113))</f>
        <v>14.201703482676</v>
      </c>
      <c r="P4113" s="34" t="str">
        <f aca="false">IF(B4113&gt;=Eval_Start_Week,"YES","")</f>
        <v>YES</v>
      </c>
      <c r="Q4113" s="34" t="str">
        <f aca="false">IF(AND(B4113&gt;=Cal_Start_Week,B4113&lt;=Cal_End_Week),"YES","")</f>
        <v>YES</v>
      </c>
    </row>
    <row r="4114" customFormat="false" ht="15" hidden="false" customHeight="false" outlineLevel="0" collapsed="false">
      <c r="A4114" s="31" t="str">
        <f aca="false">Demand_History!C4114</f>
        <v>CLN-003</v>
      </c>
      <c r="B4114" s="31" t="n">
        <f aca="false">Demand_History!A4114</f>
        <v>57</v>
      </c>
      <c r="C4114" s="32" t="n">
        <f aca="false">Demand_History!D4114</f>
        <v>191</v>
      </c>
      <c r="D4114" s="33" t="n">
        <f aca="false">IF(B4114&gt;=2,C4113,"")</f>
        <v>159</v>
      </c>
      <c r="E4114" s="33" t="n">
        <f aca="false">IF(B4114&gt;=5,AVERAGE(C4110:C4113),"")</f>
        <v>156.25</v>
      </c>
      <c r="F4114" s="33" t="n">
        <f aca="false">IF(B4114&gt;=9,AVERAGE(C4106:C4113),"")</f>
        <v>147.375</v>
      </c>
      <c r="G4114" s="33" t="n">
        <f aca="false">IF(B4114=1,"",IF(B4114=2,C4113,SES_Alpha*C4113+(1-SES_Alpha)*G4113))</f>
        <v>149.058807562127</v>
      </c>
      <c r="H4114" s="33" t="n">
        <f aca="false">IF(D4114="","",D4114-C4114)</f>
        <v>-32</v>
      </c>
      <c r="I4114" s="33" t="n">
        <f aca="false">IF(E4114="","",E4114-C4114)</f>
        <v>-34.75</v>
      </c>
      <c r="J4114" s="33" t="n">
        <f aca="false">IF(F4114="","",F4114-C4114)</f>
        <v>-43.625</v>
      </c>
      <c r="K4114" s="33" t="n">
        <f aca="false">IF(G4114="","",G4114-C4114)</f>
        <v>-41.9411924378732</v>
      </c>
      <c r="L4114" s="33" t="n">
        <f aca="false">IF(H4114="","",ABS(H4114))</f>
        <v>32</v>
      </c>
      <c r="M4114" s="33" t="n">
        <f aca="false">IF(I4114="","",ABS(I4114))</f>
        <v>34.75</v>
      </c>
      <c r="N4114" s="33" t="n">
        <f aca="false">IF(J4114="","",ABS(J4114))</f>
        <v>43.625</v>
      </c>
      <c r="O4114" s="33" t="n">
        <f aca="false">IF(K4114="","",ABS(K4114))</f>
        <v>41.9411924378732</v>
      </c>
      <c r="P4114" s="34" t="str">
        <f aca="false">IF(B4114&gt;=Eval_Start_Week,"YES","")</f>
        <v>YES</v>
      </c>
      <c r="Q4114" s="34" t="str">
        <f aca="false">IF(AND(B4114&gt;=Cal_Start_Week,B4114&lt;=Cal_End_Week),"YES","")</f>
        <v>YES</v>
      </c>
    </row>
    <row r="4115" customFormat="false" ht="15" hidden="false" customHeight="false" outlineLevel="0" collapsed="false">
      <c r="A4115" s="31" t="str">
        <f aca="false">Demand_History!C4115</f>
        <v>CLN-003</v>
      </c>
      <c r="B4115" s="31" t="n">
        <f aca="false">Demand_History!A4115</f>
        <v>58</v>
      </c>
      <c r="C4115" s="32" t="n">
        <f aca="false">Demand_History!D4115</f>
        <v>150</v>
      </c>
      <c r="D4115" s="33" t="n">
        <f aca="false">IF(B4115&gt;=2,C4114,"")</f>
        <v>191</v>
      </c>
      <c r="E4115" s="33" t="n">
        <f aca="false">IF(B4115&gt;=5,AVERAGE(C4111:C4114),"")</f>
        <v>164.75</v>
      </c>
      <c r="F4115" s="33" t="n">
        <f aca="false">IF(B4115&gt;=9,AVERAGE(C4107:C4114),"")</f>
        <v>152.75</v>
      </c>
      <c r="G4115" s="33" t="n">
        <f aca="false">IF(B4115=1,"",IF(B4115=2,C4114,SES_Alpha*C4114+(1-SES_Alpha)*G4114))</f>
        <v>161.641165293489</v>
      </c>
      <c r="H4115" s="33" t="n">
        <f aca="false">IF(D4115="","",D4115-C4115)</f>
        <v>41</v>
      </c>
      <c r="I4115" s="33" t="n">
        <f aca="false">IF(E4115="","",E4115-C4115)</f>
        <v>14.75</v>
      </c>
      <c r="J4115" s="33" t="n">
        <f aca="false">IF(F4115="","",F4115-C4115)</f>
        <v>2.75</v>
      </c>
      <c r="K4115" s="33" t="n">
        <f aca="false">IF(G4115="","",G4115-C4115)</f>
        <v>11.6411652934888</v>
      </c>
      <c r="L4115" s="33" t="n">
        <f aca="false">IF(H4115="","",ABS(H4115))</f>
        <v>41</v>
      </c>
      <c r="M4115" s="33" t="n">
        <f aca="false">IF(I4115="","",ABS(I4115))</f>
        <v>14.75</v>
      </c>
      <c r="N4115" s="33" t="n">
        <f aca="false">IF(J4115="","",ABS(J4115))</f>
        <v>2.75</v>
      </c>
      <c r="O4115" s="33" t="n">
        <f aca="false">IF(K4115="","",ABS(K4115))</f>
        <v>11.6411652934888</v>
      </c>
      <c r="P4115" s="34" t="str">
        <f aca="false">IF(B4115&gt;=Eval_Start_Week,"YES","")</f>
        <v>YES</v>
      </c>
      <c r="Q4115" s="34" t="str">
        <f aca="false">IF(AND(B4115&gt;=Cal_Start_Week,B4115&lt;=Cal_End_Week),"YES","")</f>
        <v>YES</v>
      </c>
    </row>
    <row r="4116" customFormat="false" ht="15" hidden="false" customHeight="false" outlineLevel="0" collapsed="false">
      <c r="A4116" s="31" t="str">
        <f aca="false">Demand_History!C4116</f>
        <v>CLN-003</v>
      </c>
      <c r="B4116" s="31" t="n">
        <f aca="false">Demand_History!A4116</f>
        <v>59</v>
      </c>
      <c r="C4116" s="32" t="n">
        <f aca="false">Demand_History!D4116</f>
        <v>180</v>
      </c>
      <c r="D4116" s="33" t="n">
        <f aca="false">IF(B4116&gt;=2,C4115,"")</f>
        <v>150</v>
      </c>
      <c r="E4116" s="33" t="n">
        <f aca="false">IF(B4116&gt;=5,AVERAGE(C4112:C4115),"")</f>
        <v>157</v>
      </c>
      <c r="F4116" s="33" t="n">
        <f aca="false">IF(B4116&gt;=9,AVERAGE(C4108:C4115),"")</f>
        <v>153.625</v>
      </c>
      <c r="G4116" s="33" t="n">
        <f aca="false">IF(B4116=1,"",IF(B4116=2,C4115,SES_Alpha*C4115+(1-SES_Alpha)*G4115))</f>
        <v>158.148815705442</v>
      </c>
      <c r="H4116" s="33" t="n">
        <f aca="false">IF(D4116="","",D4116-C4116)</f>
        <v>-30</v>
      </c>
      <c r="I4116" s="33" t="n">
        <f aca="false">IF(E4116="","",E4116-C4116)</f>
        <v>-23</v>
      </c>
      <c r="J4116" s="33" t="n">
        <f aca="false">IF(F4116="","",F4116-C4116)</f>
        <v>-26.375</v>
      </c>
      <c r="K4116" s="33" t="n">
        <f aca="false">IF(G4116="","",G4116-C4116)</f>
        <v>-21.8511842945579</v>
      </c>
      <c r="L4116" s="33" t="n">
        <f aca="false">IF(H4116="","",ABS(H4116))</f>
        <v>30</v>
      </c>
      <c r="M4116" s="33" t="n">
        <f aca="false">IF(I4116="","",ABS(I4116))</f>
        <v>23</v>
      </c>
      <c r="N4116" s="33" t="n">
        <f aca="false">IF(J4116="","",ABS(J4116))</f>
        <v>26.375</v>
      </c>
      <c r="O4116" s="33" t="n">
        <f aca="false">IF(K4116="","",ABS(K4116))</f>
        <v>21.8511842945579</v>
      </c>
      <c r="P4116" s="34" t="str">
        <f aca="false">IF(B4116&gt;=Eval_Start_Week,"YES","")</f>
        <v>YES</v>
      </c>
      <c r="Q4116" s="34" t="str">
        <f aca="false">IF(AND(B4116&gt;=Cal_Start_Week,B4116&lt;=Cal_End_Week),"YES","")</f>
        <v>YES</v>
      </c>
    </row>
    <row r="4117" customFormat="false" ht="15" hidden="false" customHeight="false" outlineLevel="0" collapsed="false">
      <c r="A4117" s="31" t="str">
        <f aca="false">Demand_History!C4117</f>
        <v>CLN-003</v>
      </c>
      <c r="B4117" s="31" t="n">
        <f aca="false">Demand_History!A4117</f>
        <v>60</v>
      </c>
      <c r="C4117" s="32" t="n">
        <f aca="false">Demand_History!D4117</f>
        <v>97</v>
      </c>
      <c r="D4117" s="33" t="n">
        <f aca="false">IF(B4117&gt;=2,C4116,"")</f>
        <v>180</v>
      </c>
      <c r="E4117" s="33" t="n">
        <f aca="false">IF(B4117&gt;=5,AVERAGE(C4113:C4116),"")</f>
        <v>170</v>
      </c>
      <c r="F4117" s="33" t="n">
        <f aca="false">IF(B4117&gt;=9,AVERAGE(C4109:C4116),"")</f>
        <v>160.75</v>
      </c>
      <c r="G4117" s="33" t="n">
        <f aca="false">IF(B4117=1,"",IF(B4117=2,C4116,SES_Alpha*C4116+(1-SES_Alpha)*G4116))</f>
        <v>164.70417099381</v>
      </c>
      <c r="H4117" s="33" t="n">
        <f aca="false">IF(D4117="","",D4117-C4117)</f>
        <v>83</v>
      </c>
      <c r="I4117" s="33" t="n">
        <f aca="false">IF(E4117="","",E4117-C4117)</f>
        <v>73</v>
      </c>
      <c r="J4117" s="33" t="n">
        <f aca="false">IF(F4117="","",F4117-C4117)</f>
        <v>63.75</v>
      </c>
      <c r="K4117" s="33" t="n">
        <f aca="false">IF(G4117="","",G4117-C4117)</f>
        <v>67.7041709938095</v>
      </c>
      <c r="L4117" s="33" t="n">
        <f aca="false">IF(H4117="","",ABS(H4117))</f>
        <v>83</v>
      </c>
      <c r="M4117" s="33" t="n">
        <f aca="false">IF(I4117="","",ABS(I4117))</f>
        <v>73</v>
      </c>
      <c r="N4117" s="33" t="n">
        <f aca="false">IF(J4117="","",ABS(J4117))</f>
        <v>63.75</v>
      </c>
      <c r="O4117" s="33" t="n">
        <f aca="false">IF(K4117="","",ABS(K4117))</f>
        <v>67.7041709938095</v>
      </c>
      <c r="P4117" s="34" t="str">
        <f aca="false">IF(B4117&gt;=Eval_Start_Week,"YES","")</f>
        <v>YES</v>
      </c>
      <c r="Q4117" s="34" t="str">
        <f aca="false">IF(AND(B4117&gt;=Cal_Start_Week,B4117&lt;=Cal_End_Week),"YES","")</f>
        <v>YES</v>
      </c>
    </row>
    <row r="4118" customFormat="false" ht="15" hidden="false" customHeight="false" outlineLevel="0" collapsed="false">
      <c r="A4118" s="31" t="str">
        <f aca="false">Demand_History!C4118</f>
        <v>CLN-003</v>
      </c>
      <c r="B4118" s="31" t="n">
        <f aca="false">Demand_History!A4118</f>
        <v>61</v>
      </c>
      <c r="C4118" s="32" t="n">
        <f aca="false">Demand_History!D4118</f>
        <v>182</v>
      </c>
      <c r="D4118" s="33" t="n">
        <f aca="false">IF(B4118&gt;=2,C4117,"")</f>
        <v>97</v>
      </c>
      <c r="E4118" s="33" t="n">
        <f aca="false">IF(B4118&gt;=5,AVERAGE(C4114:C4117),"")</f>
        <v>154.5</v>
      </c>
      <c r="F4118" s="33" t="n">
        <f aca="false">IF(B4118&gt;=9,AVERAGE(C4110:C4117),"")</f>
        <v>155.375</v>
      </c>
      <c r="G4118" s="33" t="n">
        <f aca="false">IF(B4118=1,"",IF(B4118=2,C4117,SES_Alpha*C4117+(1-SES_Alpha)*G4117))</f>
        <v>144.392919695667</v>
      </c>
      <c r="H4118" s="33" t="n">
        <f aca="false">IF(D4118="","",D4118-C4118)</f>
        <v>-85</v>
      </c>
      <c r="I4118" s="33" t="n">
        <f aca="false">IF(E4118="","",E4118-C4118)</f>
        <v>-27.5</v>
      </c>
      <c r="J4118" s="33" t="n">
        <f aca="false">IF(F4118="","",F4118-C4118)</f>
        <v>-26.625</v>
      </c>
      <c r="K4118" s="33" t="n">
        <f aca="false">IF(G4118="","",G4118-C4118)</f>
        <v>-37.6070803043334</v>
      </c>
      <c r="L4118" s="33" t="n">
        <f aca="false">IF(H4118="","",ABS(H4118))</f>
        <v>85</v>
      </c>
      <c r="M4118" s="33" t="n">
        <f aca="false">IF(I4118="","",ABS(I4118))</f>
        <v>27.5</v>
      </c>
      <c r="N4118" s="33" t="n">
        <f aca="false">IF(J4118="","",ABS(J4118))</f>
        <v>26.625</v>
      </c>
      <c r="O4118" s="33" t="n">
        <f aca="false">IF(K4118="","",ABS(K4118))</f>
        <v>37.6070803043334</v>
      </c>
      <c r="P4118" s="34" t="str">
        <f aca="false">IF(B4118&gt;=Eval_Start_Week,"YES","")</f>
        <v>YES</v>
      </c>
      <c r="Q4118" s="34" t="str">
        <f aca="false">IF(AND(B4118&gt;=Cal_Start_Week,B4118&lt;=Cal_End_Week),"YES","")</f>
        <v>YES</v>
      </c>
    </row>
    <row r="4119" customFormat="false" ht="15" hidden="false" customHeight="false" outlineLevel="0" collapsed="false">
      <c r="A4119" s="31" t="str">
        <f aca="false">Demand_History!C4119</f>
        <v>CLN-003</v>
      </c>
      <c r="B4119" s="31" t="n">
        <f aca="false">Demand_History!A4119</f>
        <v>62</v>
      </c>
      <c r="C4119" s="32" t="n">
        <f aca="false">Demand_History!D4119</f>
        <v>152</v>
      </c>
      <c r="D4119" s="33" t="n">
        <f aca="false">IF(B4119&gt;=2,C4118,"")</f>
        <v>182</v>
      </c>
      <c r="E4119" s="33" t="n">
        <f aca="false">IF(B4119&gt;=5,AVERAGE(C4115:C4118),"")</f>
        <v>152.25</v>
      </c>
      <c r="F4119" s="33" t="n">
        <f aca="false">IF(B4119&gt;=9,AVERAGE(C4111:C4118),"")</f>
        <v>158.5</v>
      </c>
      <c r="G4119" s="33" t="n">
        <f aca="false">IF(B4119=1,"",IF(B4119=2,C4118,SES_Alpha*C4118+(1-SES_Alpha)*G4118))</f>
        <v>155.675043786967</v>
      </c>
      <c r="H4119" s="33" t="n">
        <f aca="false">IF(D4119="","",D4119-C4119)</f>
        <v>30</v>
      </c>
      <c r="I4119" s="33" t="n">
        <f aca="false">IF(E4119="","",E4119-C4119)</f>
        <v>0.25</v>
      </c>
      <c r="J4119" s="33" t="n">
        <f aca="false">IF(F4119="","",F4119-C4119)</f>
        <v>6.5</v>
      </c>
      <c r="K4119" s="33" t="n">
        <f aca="false">IF(G4119="","",G4119-C4119)</f>
        <v>3.67504378696665</v>
      </c>
      <c r="L4119" s="33" t="n">
        <f aca="false">IF(H4119="","",ABS(H4119))</f>
        <v>30</v>
      </c>
      <c r="M4119" s="33" t="n">
        <f aca="false">IF(I4119="","",ABS(I4119))</f>
        <v>0.25</v>
      </c>
      <c r="N4119" s="33" t="n">
        <f aca="false">IF(J4119="","",ABS(J4119))</f>
        <v>6.5</v>
      </c>
      <c r="O4119" s="33" t="n">
        <f aca="false">IF(K4119="","",ABS(K4119))</f>
        <v>3.67504378696665</v>
      </c>
      <c r="P4119" s="34" t="str">
        <f aca="false">IF(B4119&gt;=Eval_Start_Week,"YES","")</f>
        <v>YES</v>
      </c>
      <c r="Q4119" s="34" t="str">
        <f aca="false">IF(AND(B4119&gt;=Cal_Start_Week,B4119&lt;=Cal_End_Week),"YES","")</f>
        <v>YES</v>
      </c>
    </row>
    <row r="4120" customFormat="false" ht="15" hidden="false" customHeight="false" outlineLevel="0" collapsed="false">
      <c r="A4120" s="31" t="str">
        <f aca="false">Demand_History!C4120</f>
        <v>CLN-003</v>
      </c>
      <c r="B4120" s="31" t="n">
        <f aca="false">Demand_History!A4120</f>
        <v>63</v>
      </c>
      <c r="C4120" s="32" t="n">
        <f aca="false">Demand_History!D4120</f>
        <v>114</v>
      </c>
      <c r="D4120" s="33" t="n">
        <f aca="false">IF(B4120&gt;=2,C4119,"")</f>
        <v>152</v>
      </c>
      <c r="E4120" s="33" t="n">
        <f aca="false">IF(B4120&gt;=5,AVERAGE(C4116:C4119),"")</f>
        <v>152.75</v>
      </c>
      <c r="F4120" s="33" t="n">
        <f aca="false">IF(B4120&gt;=9,AVERAGE(C4112:C4119),"")</f>
        <v>154.875</v>
      </c>
      <c r="G4120" s="33" t="n">
        <f aca="false">IF(B4120=1,"",IF(B4120=2,C4119,SES_Alpha*C4119+(1-SES_Alpha)*G4119))</f>
        <v>154.572530650877</v>
      </c>
      <c r="H4120" s="33" t="n">
        <f aca="false">IF(D4120="","",D4120-C4120)</f>
        <v>38</v>
      </c>
      <c r="I4120" s="33" t="n">
        <f aca="false">IF(E4120="","",E4120-C4120)</f>
        <v>38.75</v>
      </c>
      <c r="J4120" s="33" t="n">
        <f aca="false">IF(F4120="","",F4120-C4120)</f>
        <v>40.875</v>
      </c>
      <c r="K4120" s="33" t="n">
        <f aca="false">IF(G4120="","",G4120-C4120)</f>
        <v>40.5725306508766</v>
      </c>
      <c r="L4120" s="33" t="n">
        <f aca="false">IF(H4120="","",ABS(H4120))</f>
        <v>38</v>
      </c>
      <c r="M4120" s="33" t="n">
        <f aca="false">IF(I4120="","",ABS(I4120))</f>
        <v>38.75</v>
      </c>
      <c r="N4120" s="33" t="n">
        <f aca="false">IF(J4120="","",ABS(J4120))</f>
        <v>40.875</v>
      </c>
      <c r="O4120" s="33" t="n">
        <f aca="false">IF(K4120="","",ABS(K4120))</f>
        <v>40.5725306508766</v>
      </c>
      <c r="P4120" s="34" t="str">
        <f aca="false">IF(B4120&gt;=Eval_Start_Week,"YES","")</f>
        <v>YES</v>
      </c>
      <c r="Q4120" s="34" t="str">
        <f aca="false">IF(AND(B4120&gt;=Cal_Start_Week,B4120&lt;=Cal_End_Week),"YES","")</f>
        <v>YES</v>
      </c>
    </row>
    <row r="4121" customFormat="false" ht="15" hidden="false" customHeight="false" outlineLevel="0" collapsed="false">
      <c r="A4121" s="31" t="str">
        <f aca="false">Demand_History!C4121</f>
        <v>CLN-003</v>
      </c>
      <c r="B4121" s="31" t="n">
        <f aca="false">Demand_History!A4121</f>
        <v>64</v>
      </c>
      <c r="C4121" s="32" t="n">
        <f aca="false">Demand_History!D4121</f>
        <v>171</v>
      </c>
      <c r="D4121" s="33" t="n">
        <f aca="false">IF(B4121&gt;=2,C4120,"")</f>
        <v>114</v>
      </c>
      <c r="E4121" s="33" t="n">
        <f aca="false">IF(B4121&gt;=5,AVERAGE(C4117:C4120),"")</f>
        <v>136.25</v>
      </c>
      <c r="F4121" s="33" t="n">
        <f aca="false">IF(B4121&gt;=9,AVERAGE(C4113:C4120),"")</f>
        <v>153.125</v>
      </c>
      <c r="G4121" s="33" t="n">
        <f aca="false">IF(B4121=1,"",IF(B4121=2,C4120,SES_Alpha*C4120+(1-SES_Alpha)*G4120))</f>
        <v>142.400771455614</v>
      </c>
      <c r="H4121" s="33" t="n">
        <f aca="false">IF(D4121="","",D4121-C4121)</f>
        <v>-57</v>
      </c>
      <c r="I4121" s="33" t="n">
        <f aca="false">IF(E4121="","",E4121-C4121)</f>
        <v>-34.75</v>
      </c>
      <c r="J4121" s="33" t="n">
        <f aca="false">IF(F4121="","",F4121-C4121)</f>
        <v>-17.875</v>
      </c>
      <c r="K4121" s="33" t="n">
        <f aca="false">IF(G4121="","",G4121-C4121)</f>
        <v>-28.5992285443864</v>
      </c>
      <c r="L4121" s="33" t="n">
        <f aca="false">IF(H4121="","",ABS(H4121))</f>
        <v>57</v>
      </c>
      <c r="M4121" s="33" t="n">
        <f aca="false">IF(I4121="","",ABS(I4121))</f>
        <v>34.75</v>
      </c>
      <c r="N4121" s="33" t="n">
        <f aca="false">IF(J4121="","",ABS(J4121))</f>
        <v>17.875</v>
      </c>
      <c r="O4121" s="33" t="n">
        <f aca="false">IF(K4121="","",ABS(K4121))</f>
        <v>28.5992285443864</v>
      </c>
      <c r="P4121" s="34" t="str">
        <f aca="false">IF(B4121&gt;=Eval_Start_Week,"YES","")</f>
        <v>YES</v>
      </c>
      <c r="Q4121" s="34" t="str">
        <f aca="false">IF(AND(B4121&gt;=Cal_Start_Week,B4121&lt;=Cal_End_Week),"YES","")</f>
        <v>YES</v>
      </c>
    </row>
    <row r="4122" customFormat="false" ht="15" hidden="false" customHeight="false" outlineLevel="0" collapsed="false">
      <c r="A4122" s="31" t="str">
        <f aca="false">Demand_History!C4122</f>
        <v>CLN-003</v>
      </c>
      <c r="B4122" s="31" t="n">
        <f aca="false">Demand_History!A4122</f>
        <v>65</v>
      </c>
      <c r="C4122" s="32" t="n">
        <f aca="false">Demand_History!D4122</f>
        <v>178</v>
      </c>
      <c r="D4122" s="33" t="n">
        <f aca="false">IF(B4122&gt;=2,C4121,"")</f>
        <v>171</v>
      </c>
      <c r="E4122" s="33" t="n">
        <f aca="false">IF(B4122&gt;=5,AVERAGE(C4118:C4121),"")</f>
        <v>154.75</v>
      </c>
      <c r="F4122" s="33" t="n">
        <f aca="false">IF(B4122&gt;=9,AVERAGE(C4114:C4121),"")</f>
        <v>154.625</v>
      </c>
      <c r="G4122" s="33" t="n">
        <f aca="false">IF(B4122=1,"",IF(B4122=2,C4121,SES_Alpha*C4121+(1-SES_Alpha)*G4121))</f>
        <v>150.98054001893</v>
      </c>
      <c r="H4122" s="33" t="n">
        <f aca="false">IF(D4122="","",D4122-C4122)</f>
        <v>-7</v>
      </c>
      <c r="I4122" s="33" t="n">
        <f aca="false">IF(E4122="","",E4122-C4122)</f>
        <v>-23.25</v>
      </c>
      <c r="J4122" s="33" t="n">
        <f aca="false">IF(F4122="","",F4122-C4122)</f>
        <v>-23.375</v>
      </c>
      <c r="K4122" s="33" t="n">
        <f aca="false">IF(G4122="","",G4122-C4122)</f>
        <v>-27.0194599810705</v>
      </c>
      <c r="L4122" s="33" t="n">
        <f aca="false">IF(H4122="","",ABS(H4122))</f>
        <v>7</v>
      </c>
      <c r="M4122" s="33" t="n">
        <f aca="false">IF(I4122="","",ABS(I4122))</f>
        <v>23.25</v>
      </c>
      <c r="N4122" s="33" t="n">
        <f aca="false">IF(J4122="","",ABS(J4122))</f>
        <v>23.375</v>
      </c>
      <c r="O4122" s="33" t="n">
        <f aca="false">IF(K4122="","",ABS(K4122))</f>
        <v>27.0194599810705</v>
      </c>
      <c r="P4122" s="34" t="str">
        <f aca="false">IF(B4122&gt;=Eval_Start_Week,"YES","")</f>
        <v>YES</v>
      </c>
      <c r="Q4122" s="34" t="str">
        <f aca="false">IF(AND(B4122&gt;=Cal_Start_Week,B4122&lt;=Cal_End_Week),"YES","")</f>
        <v>YES</v>
      </c>
    </row>
    <row r="4123" customFormat="false" ht="15" hidden="false" customHeight="false" outlineLevel="0" collapsed="false">
      <c r="A4123" s="31" t="str">
        <f aca="false">Demand_History!C4123</f>
        <v>CLN-003</v>
      </c>
      <c r="B4123" s="31" t="n">
        <f aca="false">Demand_History!A4123</f>
        <v>66</v>
      </c>
      <c r="C4123" s="32" t="n">
        <f aca="false">Demand_History!D4123</f>
        <v>183</v>
      </c>
      <c r="D4123" s="33" t="n">
        <f aca="false">IF(B4123&gt;=2,C4122,"")</f>
        <v>178</v>
      </c>
      <c r="E4123" s="33" t="n">
        <f aca="false">IF(B4123&gt;=5,AVERAGE(C4119:C4122),"")</f>
        <v>153.75</v>
      </c>
      <c r="F4123" s="33" t="n">
        <f aca="false">IF(B4123&gt;=9,AVERAGE(C4115:C4122),"")</f>
        <v>153</v>
      </c>
      <c r="G4123" s="33" t="n">
        <f aca="false">IF(B4123=1,"",IF(B4123=2,C4122,SES_Alpha*C4122+(1-SES_Alpha)*G4122))</f>
        <v>159.086378013251</v>
      </c>
      <c r="H4123" s="33" t="n">
        <f aca="false">IF(D4123="","",D4123-C4123)</f>
        <v>-5</v>
      </c>
      <c r="I4123" s="33" t="n">
        <f aca="false">IF(E4123="","",E4123-C4123)</f>
        <v>-29.25</v>
      </c>
      <c r="J4123" s="33" t="n">
        <f aca="false">IF(F4123="","",F4123-C4123)</f>
        <v>-30</v>
      </c>
      <c r="K4123" s="33" t="n">
        <f aca="false">IF(G4123="","",G4123-C4123)</f>
        <v>-23.9136219867493</v>
      </c>
      <c r="L4123" s="33" t="n">
        <f aca="false">IF(H4123="","",ABS(H4123))</f>
        <v>5</v>
      </c>
      <c r="M4123" s="33" t="n">
        <f aca="false">IF(I4123="","",ABS(I4123))</f>
        <v>29.25</v>
      </c>
      <c r="N4123" s="33" t="n">
        <f aca="false">IF(J4123="","",ABS(J4123))</f>
        <v>30</v>
      </c>
      <c r="O4123" s="33" t="n">
        <f aca="false">IF(K4123="","",ABS(K4123))</f>
        <v>23.9136219867493</v>
      </c>
      <c r="P4123" s="34" t="str">
        <f aca="false">IF(B4123&gt;=Eval_Start_Week,"YES","")</f>
        <v>YES</v>
      </c>
      <c r="Q4123" s="34" t="str">
        <f aca="false">IF(AND(B4123&gt;=Cal_Start_Week,B4123&lt;=Cal_End_Week),"YES","")</f>
        <v>YES</v>
      </c>
    </row>
    <row r="4124" customFormat="false" ht="15" hidden="false" customHeight="false" outlineLevel="0" collapsed="false">
      <c r="A4124" s="31" t="str">
        <f aca="false">Demand_History!C4124</f>
        <v>CLN-003</v>
      </c>
      <c r="B4124" s="31" t="n">
        <f aca="false">Demand_History!A4124</f>
        <v>67</v>
      </c>
      <c r="C4124" s="32" t="n">
        <f aca="false">Demand_History!D4124</f>
        <v>184</v>
      </c>
      <c r="D4124" s="33" t="n">
        <f aca="false">IF(B4124&gt;=2,C4123,"")</f>
        <v>183</v>
      </c>
      <c r="E4124" s="33" t="n">
        <f aca="false">IF(B4124&gt;=5,AVERAGE(C4120:C4123),"")</f>
        <v>161.5</v>
      </c>
      <c r="F4124" s="33" t="n">
        <f aca="false">IF(B4124&gt;=9,AVERAGE(C4116:C4123),"")</f>
        <v>157.125</v>
      </c>
      <c r="G4124" s="33" t="n">
        <f aca="false">IF(B4124=1,"",IF(B4124=2,C4123,SES_Alpha*C4123+(1-SES_Alpha)*G4123))</f>
        <v>166.260464609275</v>
      </c>
      <c r="H4124" s="33" t="n">
        <f aca="false">IF(D4124="","",D4124-C4124)</f>
        <v>-1</v>
      </c>
      <c r="I4124" s="33" t="n">
        <f aca="false">IF(E4124="","",E4124-C4124)</f>
        <v>-22.5</v>
      </c>
      <c r="J4124" s="33" t="n">
        <f aca="false">IF(F4124="","",F4124-C4124)</f>
        <v>-26.875</v>
      </c>
      <c r="K4124" s="33" t="n">
        <f aca="false">IF(G4124="","",G4124-C4124)</f>
        <v>-17.7395353907245</v>
      </c>
      <c r="L4124" s="33" t="n">
        <f aca="false">IF(H4124="","",ABS(H4124))</f>
        <v>1</v>
      </c>
      <c r="M4124" s="33" t="n">
        <f aca="false">IF(I4124="","",ABS(I4124))</f>
        <v>22.5</v>
      </c>
      <c r="N4124" s="33" t="n">
        <f aca="false">IF(J4124="","",ABS(J4124))</f>
        <v>26.875</v>
      </c>
      <c r="O4124" s="33" t="n">
        <f aca="false">IF(K4124="","",ABS(K4124))</f>
        <v>17.7395353907245</v>
      </c>
      <c r="P4124" s="34" t="str">
        <f aca="false">IF(B4124&gt;=Eval_Start_Week,"YES","")</f>
        <v>YES</v>
      </c>
      <c r="Q4124" s="34" t="str">
        <f aca="false">IF(AND(B4124&gt;=Cal_Start_Week,B4124&lt;=Cal_End_Week),"YES","")</f>
        <v>YES</v>
      </c>
    </row>
    <row r="4125" customFormat="false" ht="15" hidden="false" customHeight="false" outlineLevel="0" collapsed="false">
      <c r="A4125" s="31" t="str">
        <f aca="false">Demand_History!C4125</f>
        <v>CLN-003</v>
      </c>
      <c r="B4125" s="31" t="n">
        <f aca="false">Demand_History!A4125</f>
        <v>68</v>
      </c>
      <c r="C4125" s="32" t="n">
        <f aca="false">Demand_History!D4125</f>
        <v>158</v>
      </c>
      <c r="D4125" s="33" t="n">
        <f aca="false">IF(B4125&gt;=2,C4124,"")</f>
        <v>184</v>
      </c>
      <c r="E4125" s="33" t="n">
        <f aca="false">IF(B4125&gt;=5,AVERAGE(C4121:C4124),"")</f>
        <v>179</v>
      </c>
      <c r="F4125" s="33" t="n">
        <f aca="false">IF(B4125&gt;=9,AVERAGE(C4117:C4124),"")</f>
        <v>157.625</v>
      </c>
      <c r="G4125" s="33" t="n">
        <f aca="false">IF(B4125=1,"",IF(B4125=2,C4124,SES_Alpha*C4124+(1-SES_Alpha)*G4124))</f>
        <v>171.582325226493</v>
      </c>
      <c r="H4125" s="33" t="n">
        <f aca="false">IF(D4125="","",D4125-C4125)</f>
        <v>26</v>
      </c>
      <c r="I4125" s="33" t="n">
        <f aca="false">IF(E4125="","",E4125-C4125)</f>
        <v>21</v>
      </c>
      <c r="J4125" s="33" t="n">
        <f aca="false">IF(F4125="","",F4125-C4125)</f>
        <v>-0.375</v>
      </c>
      <c r="K4125" s="33" t="n">
        <f aca="false">IF(G4125="","",G4125-C4125)</f>
        <v>13.5823252264928</v>
      </c>
      <c r="L4125" s="33" t="n">
        <f aca="false">IF(H4125="","",ABS(H4125))</f>
        <v>26</v>
      </c>
      <c r="M4125" s="33" t="n">
        <f aca="false">IF(I4125="","",ABS(I4125))</f>
        <v>21</v>
      </c>
      <c r="N4125" s="33" t="n">
        <f aca="false">IF(J4125="","",ABS(J4125))</f>
        <v>0.375</v>
      </c>
      <c r="O4125" s="33" t="n">
        <f aca="false">IF(K4125="","",ABS(K4125))</f>
        <v>13.5823252264928</v>
      </c>
      <c r="P4125" s="34" t="str">
        <f aca="false">IF(B4125&gt;=Eval_Start_Week,"YES","")</f>
        <v>YES</v>
      </c>
      <c r="Q4125" s="34" t="str">
        <f aca="false">IF(AND(B4125&gt;=Cal_Start_Week,B4125&lt;=Cal_End_Week),"YES","")</f>
        <v>YES</v>
      </c>
    </row>
    <row r="4126" customFormat="false" ht="15" hidden="false" customHeight="false" outlineLevel="0" collapsed="false">
      <c r="A4126" s="31" t="str">
        <f aca="false">Demand_History!C4126</f>
        <v>CLN-003</v>
      </c>
      <c r="B4126" s="31" t="n">
        <f aca="false">Demand_History!A4126</f>
        <v>69</v>
      </c>
      <c r="C4126" s="32" t="n">
        <f aca="false">Demand_History!D4126</f>
        <v>143</v>
      </c>
      <c r="D4126" s="33" t="n">
        <f aca="false">IF(B4126&gt;=2,C4125,"")</f>
        <v>158</v>
      </c>
      <c r="E4126" s="33" t="n">
        <f aca="false">IF(B4126&gt;=5,AVERAGE(C4122:C4125),"")</f>
        <v>175.75</v>
      </c>
      <c r="F4126" s="33" t="n">
        <f aca="false">IF(B4126&gt;=9,AVERAGE(C4118:C4125),"")</f>
        <v>165.25</v>
      </c>
      <c r="G4126" s="33" t="n">
        <f aca="false">IF(B4126=1,"",IF(B4126=2,C4125,SES_Alpha*C4125+(1-SES_Alpha)*G4125))</f>
        <v>167.507627658545</v>
      </c>
      <c r="H4126" s="33" t="n">
        <f aca="false">IF(D4126="","",D4126-C4126)</f>
        <v>15</v>
      </c>
      <c r="I4126" s="33" t="n">
        <f aca="false">IF(E4126="","",E4126-C4126)</f>
        <v>32.75</v>
      </c>
      <c r="J4126" s="33" t="n">
        <f aca="false">IF(F4126="","",F4126-C4126)</f>
        <v>22.25</v>
      </c>
      <c r="K4126" s="33" t="n">
        <f aca="false">IF(G4126="","",G4126-C4126)</f>
        <v>24.5076276585449</v>
      </c>
      <c r="L4126" s="33" t="n">
        <f aca="false">IF(H4126="","",ABS(H4126))</f>
        <v>15</v>
      </c>
      <c r="M4126" s="33" t="n">
        <f aca="false">IF(I4126="","",ABS(I4126))</f>
        <v>32.75</v>
      </c>
      <c r="N4126" s="33" t="n">
        <f aca="false">IF(J4126="","",ABS(J4126))</f>
        <v>22.25</v>
      </c>
      <c r="O4126" s="33" t="n">
        <f aca="false">IF(K4126="","",ABS(K4126))</f>
        <v>24.5076276585449</v>
      </c>
      <c r="P4126" s="34" t="str">
        <f aca="false">IF(B4126&gt;=Eval_Start_Week,"YES","")</f>
        <v>YES</v>
      </c>
      <c r="Q4126" s="34" t="str">
        <f aca="false">IF(AND(B4126&gt;=Cal_Start_Week,B4126&lt;=Cal_End_Week),"YES","")</f>
        <v>YES</v>
      </c>
    </row>
    <row r="4127" customFormat="false" ht="15" hidden="false" customHeight="false" outlineLevel="0" collapsed="false">
      <c r="A4127" s="31" t="str">
        <f aca="false">Demand_History!C4127</f>
        <v>CLN-003</v>
      </c>
      <c r="B4127" s="31" t="n">
        <f aca="false">Demand_History!A4127</f>
        <v>70</v>
      </c>
      <c r="C4127" s="32" t="n">
        <f aca="false">Demand_History!D4127</f>
        <v>150</v>
      </c>
      <c r="D4127" s="33" t="n">
        <f aca="false">IF(B4127&gt;=2,C4126,"")</f>
        <v>143</v>
      </c>
      <c r="E4127" s="33" t="n">
        <f aca="false">IF(B4127&gt;=5,AVERAGE(C4123:C4126),"")</f>
        <v>167</v>
      </c>
      <c r="F4127" s="33" t="n">
        <f aca="false">IF(B4127&gt;=9,AVERAGE(C4119:C4126),"")</f>
        <v>160.375</v>
      </c>
      <c r="G4127" s="33" t="n">
        <f aca="false">IF(B4127=1,"",IF(B4127=2,C4126,SES_Alpha*C4126+(1-SES_Alpha)*G4126))</f>
        <v>160.155339360981</v>
      </c>
      <c r="H4127" s="33" t="n">
        <f aca="false">IF(D4127="","",D4127-C4127)</f>
        <v>-7</v>
      </c>
      <c r="I4127" s="33" t="n">
        <f aca="false">IF(E4127="","",E4127-C4127)</f>
        <v>17</v>
      </c>
      <c r="J4127" s="33" t="n">
        <f aca="false">IF(F4127="","",F4127-C4127)</f>
        <v>10.375</v>
      </c>
      <c r="K4127" s="33" t="n">
        <f aca="false">IF(G4127="","",G4127-C4127)</f>
        <v>10.1553393609815</v>
      </c>
      <c r="L4127" s="33" t="n">
        <f aca="false">IF(H4127="","",ABS(H4127))</f>
        <v>7</v>
      </c>
      <c r="M4127" s="33" t="n">
        <f aca="false">IF(I4127="","",ABS(I4127))</f>
        <v>17</v>
      </c>
      <c r="N4127" s="33" t="n">
        <f aca="false">IF(J4127="","",ABS(J4127))</f>
        <v>10.375</v>
      </c>
      <c r="O4127" s="33" t="n">
        <f aca="false">IF(K4127="","",ABS(K4127))</f>
        <v>10.1553393609815</v>
      </c>
      <c r="P4127" s="34" t="str">
        <f aca="false">IF(B4127&gt;=Eval_Start_Week,"YES","")</f>
        <v>YES</v>
      </c>
      <c r="Q4127" s="34" t="str">
        <f aca="false">IF(AND(B4127&gt;=Cal_Start_Week,B4127&lt;=Cal_End_Week),"YES","")</f>
        <v>YES</v>
      </c>
    </row>
    <row r="4128" customFormat="false" ht="15" hidden="false" customHeight="false" outlineLevel="0" collapsed="false">
      <c r="A4128" s="31" t="str">
        <f aca="false">Demand_History!C4128</f>
        <v>CLN-003</v>
      </c>
      <c r="B4128" s="31" t="n">
        <f aca="false">Demand_History!A4128</f>
        <v>71</v>
      </c>
      <c r="C4128" s="32" t="n">
        <f aca="false">Demand_History!D4128</f>
        <v>161</v>
      </c>
      <c r="D4128" s="33" t="n">
        <f aca="false">IF(B4128&gt;=2,C4127,"")</f>
        <v>150</v>
      </c>
      <c r="E4128" s="33" t="n">
        <f aca="false">IF(B4128&gt;=5,AVERAGE(C4124:C4127),"")</f>
        <v>158.75</v>
      </c>
      <c r="F4128" s="33" t="n">
        <f aca="false">IF(B4128&gt;=9,AVERAGE(C4120:C4127),"")</f>
        <v>160.125</v>
      </c>
      <c r="G4128" s="33" t="n">
        <f aca="false">IF(B4128=1,"",IF(B4128=2,C4127,SES_Alpha*C4127+(1-SES_Alpha)*G4127))</f>
        <v>157.108737552687</v>
      </c>
      <c r="H4128" s="33" t="n">
        <f aca="false">IF(D4128="","",D4128-C4128)</f>
        <v>-11</v>
      </c>
      <c r="I4128" s="33" t="n">
        <f aca="false">IF(E4128="","",E4128-C4128)</f>
        <v>-2.25</v>
      </c>
      <c r="J4128" s="33" t="n">
        <f aca="false">IF(F4128="","",F4128-C4128)</f>
        <v>-0.875</v>
      </c>
      <c r="K4128" s="33" t="n">
        <f aca="false">IF(G4128="","",G4128-C4128)</f>
        <v>-3.89126244731298</v>
      </c>
      <c r="L4128" s="33" t="n">
        <f aca="false">IF(H4128="","",ABS(H4128))</f>
        <v>11</v>
      </c>
      <c r="M4128" s="33" t="n">
        <f aca="false">IF(I4128="","",ABS(I4128))</f>
        <v>2.25</v>
      </c>
      <c r="N4128" s="33" t="n">
        <f aca="false">IF(J4128="","",ABS(J4128))</f>
        <v>0.875</v>
      </c>
      <c r="O4128" s="33" t="n">
        <f aca="false">IF(K4128="","",ABS(K4128))</f>
        <v>3.89126244731298</v>
      </c>
      <c r="P4128" s="34" t="str">
        <f aca="false">IF(B4128&gt;=Eval_Start_Week,"YES","")</f>
        <v>YES</v>
      </c>
      <c r="Q4128" s="34" t="str">
        <f aca="false">IF(AND(B4128&gt;=Cal_Start_Week,B4128&lt;=Cal_End_Week),"YES","")</f>
        <v>YES</v>
      </c>
    </row>
    <row r="4129" customFormat="false" ht="15" hidden="false" customHeight="false" outlineLevel="0" collapsed="false">
      <c r="A4129" s="31" t="str">
        <f aca="false">Demand_History!C4129</f>
        <v>CLN-003</v>
      </c>
      <c r="B4129" s="31" t="n">
        <f aca="false">Demand_History!A4129</f>
        <v>72</v>
      </c>
      <c r="C4129" s="32" t="n">
        <f aca="false">Demand_History!D4129</f>
        <v>172</v>
      </c>
      <c r="D4129" s="33" t="n">
        <f aca="false">IF(B4129&gt;=2,C4128,"")</f>
        <v>161</v>
      </c>
      <c r="E4129" s="33" t="n">
        <f aca="false">IF(B4129&gt;=5,AVERAGE(C4125:C4128),"")</f>
        <v>153</v>
      </c>
      <c r="F4129" s="33" t="n">
        <f aca="false">IF(B4129&gt;=9,AVERAGE(C4121:C4128),"")</f>
        <v>166</v>
      </c>
      <c r="G4129" s="33" t="n">
        <f aca="false">IF(B4129=1,"",IF(B4129=2,C4128,SES_Alpha*C4128+(1-SES_Alpha)*G4128))</f>
        <v>158.276116286881</v>
      </c>
      <c r="H4129" s="33" t="n">
        <f aca="false">IF(D4129="","",D4129-C4129)</f>
        <v>-11</v>
      </c>
      <c r="I4129" s="33" t="n">
        <f aca="false">IF(E4129="","",E4129-C4129)</f>
        <v>-19</v>
      </c>
      <c r="J4129" s="33" t="n">
        <f aca="false">IF(F4129="","",F4129-C4129)</f>
        <v>-6</v>
      </c>
      <c r="K4129" s="33" t="n">
        <f aca="false">IF(G4129="","",G4129-C4129)</f>
        <v>-13.7238837131191</v>
      </c>
      <c r="L4129" s="33" t="n">
        <f aca="false">IF(H4129="","",ABS(H4129))</f>
        <v>11</v>
      </c>
      <c r="M4129" s="33" t="n">
        <f aca="false">IF(I4129="","",ABS(I4129))</f>
        <v>19</v>
      </c>
      <c r="N4129" s="33" t="n">
        <f aca="false">IF(J4129="","",ABS(J4129))</f>
        <v>6</v>
      </c>
      <c r="O4129" s="33" t="n">
        <f aca="false">IF(K4129="","",ABS(K4129))</f>
        <v>13.7238837131191</v>
      </c>
      <c r="P4129" s="34" t="str">
        <f aca="false">IF(B4129&gt;=Eval_Start_Week,"YES","")</f>
        <v>YES</v>
      </c>
      <c r="Q4129" s="34" t="str">
        <f aca="false">IF(AND(B4129&gt;=Cal_Start_Week,B4129&lt;=Cal_End_Week),"YES","")</f>
        <v>YES</v>
      </c>
    </row>
    <row r="4130" customFormat="false" ht="15" hidden="false" customHeight="false" outlineLevel="0" collapsed="false">
      <c r="A4130" s="31" t="str">
        <f aca="false">Demand_History!C4130</f>
        <v>CLN-003</v>
      </c>
      <c r="B4130" s="31" t="n">
        <f aca="false">Demand_History!A4130</f>
        <v>73</v>
      </c>
      <c r="C4130" s="32" t="n">
        <f aca="false">Demand_History!D4130</f>
        <v>153</v>
      </c>
      <c r="D4130" s="33" t="n">
        <f aca="false">IF(B4130&gt;=2,C4129,"")</f>
        <v>172</v>
      </c>
      <c r="E4130" s="33" t="n">
        <f aca="false">IF(B4130&gt;=5,AVERAGE(C4126:C4129),"")</f>
        <v>156.5</v>
      </c>
      <c r="F4130" s="33" t="n">
        <f aca="false">IF(B4130&gt;=9,AVERAGE(C4122:C4129),"")</f>
        <v>166.125</v>
      </c>
      <c r="G4130" s="33" t="n">
        <f aca="false">IF(B4130=1,"",IF(B4130=2,C4129,SES_Alpha*C4129+(1-SES_Alpha)*G4129))</f>
        <v>162.393281400817</v>
      </c>
      <c r="H4130" s="33" t="n">
        <f aca="false">IF(D4130="","",D4130-C4130)</f>
        <v>19</v>
      </c>
      <c r="I4130" s="33" t="n">
        <f aca="false">IF(E4130="","",E4130-C4130)</f>
        <v>3.5</v>
      </c>
      <c r="J4130" s="33" t="n">
        <f aca="false">IF(F4130="","",F4130-C4130)</f>
        <v>13.125</v>
      </c>
      <c r="K4130" s="33" t="n">
        <f aca="false">IF(G4130="","",G4130-C4130)</f>
        <v>9.39328140081662</v>
      </c>
      <c r="L4130" s="33" t="n">
        <f aca="false">IF(H4130="","",ABS(H4130))</f>
        <v>19</v>
      </c>
      <c r="M4130" s="33" t="n">
        <f aca="false">IF(I4130="","",ABS(I4130))</f>
        <v>3.5</v>
      </c>
      <c r="N4130" s="33" t="n">
        <f aca="false">IF(J4130="","",ABS(J4130))</f>
        <v>13.125</v>
      </c>
      <c r="O4130" s="33" t="n">
        <f aca="false">IF(K4130="","",ABS(K4130))</f>
        <v>9.39328140081662</v>
      </c>
      <c r="P4130" s="34" t="str">
        <f aca="false">IF(B4130&gt;=Eval_Start_Week,"YES","")</f>
        <v>YES</v>
      </c>
      <c r="Q4130" s="34" t="str">
        <f aca="false">IF(AND(B4130&gt;=Cal_Start_Week,B4130&lt;=Cal_End_Week),"YES","")</f>
        <v>YES</v>
      </c>
    </row>
    <row r="4131" customFormat="false" ht="15" hidden="false" customHeight="false" outlineLevel="0" collapsed="false">
      <c r="A4131" s="31" t="str">
        <f aca="false">Demand_History!C4131</f>
        <v>CLN-003</v>
      </c>
      <c r="B4131" s="31" t="n">
        <f aca="false">Demand_History!A4131</f>
        <v>74</v>
      </c>
      <c r="C4131" s="32" t="n">
        <f aca="false">Demand_History!D4131</f>
        <v>166</v>
      </c>
      <c r="D4131" s="33" t="n">
        <f aca="false">IF(B4131&gt;=2,C4130,"")</f>
        <v>153</v>
      </c>
      <c r="E4131" s="33" t="n">
        <f aca="false">IF(B4131&gt;=5,AVERAGE(C4127:C4130),"")</f>
        <v>159</v>
      </c>
      <c r="F4131" s="33" t="n">
        <f aca="false">IF(B4131&gt;=9,AVERAGE(C4123:C4130),"")</f>
        <v>163</v>
      </c>
      <c r="G4131" s="33" t="n">
        <f aca="false">IF(B4131=1,"",IF(B4131=2,C4130,SES_Alpha*C4130+(1-SES_Alpha)*G4130))</f>
        <v>159.575296980572</v>
      </c>
      <c r="H4131" s="33" t="n">
        <f aca="false">IF(D4131="","",D4131-C4131)</f>
        <v>-13</v>
      </c>
      <c r="I4131" s="33" t="n">
        <f aca="false">IF(E4131="","",E4131-C4131)</f>
        <v>-7</v>
      </c>
      <c r="J4131" s="33" t="n">
        <f aca="false">IF(F4131="","",F4131-C4131)</f>
        <v>-3</v>
      </c>
      <c r="K4131" s="33" t="n">
        <f aca="false">IF(G4131="","",G4131-C4131)</f>
        <v>-6.42470301942836</v>
      </c>
      <c r="L4131" s="33" t="n">
        <f aca="false">IF(H4131="","",ABS(H4131))</f>
        <v>13</v>
      </c>
      <c r="M4131" s="33" t="n">
        <f aca="false">IF(I4131="","",ABS(I4131))</f>
        <v>7</v>
      </c>
      <c r="N4131" s="33" t="n">
        <f aca="false">IF(J4131="","",ABS(J4131))</f>
        <v>3</v>
      </c>
      <c r="O4131" s="33" t="n">
        <f aca="false">IF(K4131="","",ABS(K4131))</f>
        <v>6.42470301942836</v>
      </c>
      <c r="P4131" s="34" t="str">
        <f aca="false">IF(B4131&gt;=Eval_Start_Week,"YES","")</f>
        <v>YES</v>
      </c>
      <c r="Q4131" s="34" t="str">
        <f aca="false">IF(AND(B4131&gt;=Cal_Start_Week,B4131&lt;=Cal_End_Week),"YES","")</f>
        <v>YES</v>
      </c>
    </row>
    <row r="4132" customFormat="false" ht="15" hidden="false" customHeight="false" outlineLevel="0" collapsed="false">
      <c r="A4132" s="31" t="str">
        <f aca="false">Demand_History!C4132</f>
        <v>CLN-003</v>
      </c>
      <c r="B4132" s="31" t="n">
        <f aca="false">Demand_History!A4132</f>
        <v>75</v>
      </c>
      <c r="C4132" s="32" t="n">
        <f aca="false">Demand_History!D4132</f>
        <v>186</v>
      </c>
      <c r="D4132" s="33" t="n">
        <f aca="false">IF(B4132&gt;=2,C4131,"")</f>
        <v>166</v>
      </c>
      <c r="E4132" s="33" t="n">
        <f aca="false">IF(B4132&gt;=5,AVERAGE(C4128:C4131),"")</f>
        <v>163</v>
      </c>
      <c r="F4132" s="33" t="n">
        <f aca="false">IF(B4132&gt;=9,AVERAGE(C4124:C4131),"")</f>
        <v>160.875</v>
      </c>
      <c r="G4132" s="33" t="n">
        <f aca="false">IF(B4132=1,"",IF(B4132=2,C4131,SES_Alpha*C4131+(1-SES_Alpha)*G4131))</f>
        <v>161.5027078864</v>
      </c>
      <c r="H4132" s="33" t="n">
        <f aca="false">IF(D4132="","",D4132-C4132)</f>
        <v>-20</v>
      </c>
      <c r="I4132" s="33" t="n">
        <f aca="false">IF(E4132="","",E4132-C4132)</f>
        <v>-23</v>
      </c>
      <c r="J4132" s="33" t="n">
        <f aca="false">IF(F4132="","",F4132-C4132)</f>
        <v>-25.125</v>
      </c>
      <c r="K4132" s="33" t="n">
        <f aca="false">IF(G4132="","",G4132-C4132)</f>
        <v>-24.4972921135999</v>
      </c>
      <c r="L4132" s="33" t="n">
        <f aca="false">IF(H4132="","",ABS(H4132))</f>
        <v>20</v>
      </c>
      <c r="M4132" s="33" t="n">
        <f aca="false">IF(I4132="","",ABS(I4132))</f>
        <v>23</v>
      </c>
      <c r="N4132" s="33" t="n">
        <f aca="false">IF(J4132="","",ABS(J4132))</f>
        <v>25.125</v>
      </c>
      <c r="O4132" s="33" t="n">
        <f aca="false">IF(K4132="","",ABS(K4132))</f>
        <v>24.4972921135999</v>
      </c>
      <c r="P4132" s="34" t="str">
        <f aca="false">IF(B4132&gt;=Eval_Start_Week,"YES","")</f>
        <v>YES</v>
      </c>
      <c r="Q4132" s="34" t="str">
        <f aca="false">IF(AND(B4132&gt;=Cal_Start_Week,B4132&lt;=Cal_End_Week),"YES","")</f>
        <v>YES</v>
      </c>
    </row>
    <row r="4133" customFormat="false" ht="15" hidden="false" customHeight="false" outlineLevel="0" collapsed="false">
      <c r="A4133" s="31" t="str">
        <f aca="false">Demand_History!C4133</f>
        <v>CLN-003</v>
      </c>
      <c r="B4133" s="31" t="n">
        <f aca="false">Demand_History!A4133</f>
        <v>76</v>
      </c>
      <c r="C4133" s="32" t="n">
        <f aca="false">Demand_History!D4133</f>
        <v>174</v>
      </c>
      <c r="D4133" s="33" t="n">
        <f aca="false">IF(B4133&gt;=2,C4132,"")</f>
        <v>186</v>
      </c>
      <c r="E4133" s="33" t="n">
        <f aca="false">IF(B4133&gt;=5,AVERAGE(C4129:C4132),"")</f>
        <v>169.25</v>
      </c>
      <c r="F4133" s="33" t="n">
        <f aca="false">IF(B4133&gt;=9,AVERAGE(C4125:C4132),"")</f>
        <v>161.125</v>
      </c>
      <c r="G4133" s="33" t="n">
        <f aca="false">IF(B4133=1,"",IF(B4133=2,C4132,SES_Alpha*C4132+(1-SES_Alpha)*G4132))</f>
        <v>168.85189552048</v>
      </c>
      <c r="H4133" s="33" t="n">
        <f aca="false">IF(D4133="","",D4133-C4133)</f>
        <v>12</v>
      </c>
      <c r="I4133" s="33" t="n">
        <f aca="false">IF(E4133="","",E4133-C4133)</f>
        <v>-4.75</v>
      </c>
      <c r="J4133" s="33" t="n">
        <f aca="false">IF(F4133="","",F4133-C4133)</f>
        <v>-12.875</v>
      </c>
      <c r="K4133" s="33" t="n">
        <f aca="false">IF(G4133="","",G4133-C4133)</f>
        <v>-5.14810447951993</v>
      </c>
      <c r="L4133" s="33" t="n">
        <f aca="false">IF(H4133="","",ABS(H4133))</f>
        <v>12</v>
      </c>
      <c r="M4133" s="33" t="n">
        <f aca="false">IF(I4133="","",ABS(I4133))</f>
        <v>4.75</v>
      </c>
      <c r="N4133" s="33" t="n">
        <f aca="false">IF(J4133="","",ABS(J4133))</f>
        <v>12.875</v>
      </c>
      <c r="O4133" s="33" t="n">
        <f aca="false">IF(K4133="","",ABS(K4133))</f>
        <v>5.14810447951993</v>
      </c>
      <c r="P4133" s="34" t="str">
        <f aca="false">IF(B4133&gt;=Eval_Start_Week,"YES","")</f>
        <v>YES</v>
      </c>
      <c r="Q4133" s="34" t="str">
        <f aca="false">IF(AND(B4133&gt;=Cal_Start_Week,B4133&lt;=Cal_End_Week),"YES","")</f>
        <v>YES</v>
      </c>
    </row>
    <row r="4134" customFormat="false" ht="15" hidden="false" customHeight="false" outlineLevel="0" collapsed="false">
      <c r="A4134" s="31" t="str">
        <f aca="false">Demand_History!C4134</f>
        <v>CLN-003</v>
      </c>
      <c r="B4134" s="31" t="n">
        <f aca="false">Demand_History!A4134</f>
        <v>77</v>
      </c>
      <c r="C4134" s="32" t="n">
        <f aca="false">Demand_History!D4134</f>
        <v>221</v>
      </c>
      <c r="D4134" s="33" t="n">
        <f aca="false">IF(B4134&gt;=2,C4133,"")</f>
        <v>174</v>
      </c>
      <c r="E4134" s="33" t="n">
        <f aca="false">IF(B4134&gt;=5,AVERAGE(C4130:C4133),"")</f>
        <v>169.75</v>
      </c>
      <c r="F4134" s="33" t="n">
        <f aca="false">IF(B4134&gt;=9,AVERAGE(C4126:C4133),"")</f>
        <v>163.125</v>
      </c>
      <c r="G4134" s="33" t="n">
        <f aca="false">IF(B4134=1,"",IF(B4134=2,C4133,SES_Alpha*C4133+(1-SES_Alpha)*G4133))</f>
        <v>170.396326864336</v>
      </c>
      <c r="H4134" s="33" t="n">
        <f aca="false">IF(D4134="","",D4134-C4134)</f>
        <v>-47</v>
      </c>
      <c r="I4134" s="33" t="n">
        <f aca="false">IF(E4134="","",E4134-C4134)</f>
        <v>-51.25</v>
      </c>
      <c r="J4134" s="33" t="n">
        <f aca="false">IF(F4134="","",F4134-C4134)</f>
        <v>-57.875</v>
      </c>
      <c r="K4134" s="33" t="n">
        <f aca="false">IF(G4134="","",G4134-C4134)</f>
        <v>-50.603673135664</v>
      </c>
      <c r="L4134" s="33" t="n">
        <f aca="false">IF(H4134="","",ABS(H4134))</f>
        <v>47</v>
      </c>
      <c r="M4134" s="33" t="n">
        <f aca="false">IF(I4134="","",ABS(I4134))</f>
        <v>51.25</v>
      </c>
      <c r="N4134" s="33" t="n">
        <f aca="false">IF(J4134="","",ABS(J4134))</f>
        <v>57.875</v>
      </c>
      <c r="O4134" s="33" t="n">
        <f aca="false">IF(K4134="","",ABS(K4134))</f>
        <v>50.603673135664</v>
      </c>
      <c r="P4134" s="34" t="str">
        <f aca="false">IF(B4134&gt;=Eval_Start_Week,"YES","")</f>
        <v>YES</v>
      </c>
      <c r="Q4134" s="34" t="str">
        <f aca="false">IF(AND(B4134&gt;=Cal_Start_Week,B4134&lt;=Cal_End_Week),"YES","")</f>
        <v>YES</v>
      </c>
    </row>
    <row r="4135" customFormat="false" ht="15" hidden="false" customHeight="false" outlineLevel="0" collapsed="false">
      <c r="A4135" s="31" t="str">
        <f aca="false">Demand_History!C4135</f>
        <v>CLN-003</v>
      </c>
      <c r="B4135" s="31" t="n">
        <f aca="false">Demand_History!A4135</f>
        <v>78</v>
      </c>
      <c r="C4135" s="32" t="n">
        <f aca="false">Demand_History!D4135</f>
        <v>219</v>
      </c>
      <c r="D4135" s="33" t="n">
        <f aca="false">IF(B4135&gt;=2,C4134,"")</f>
        <v>221</v>
      </c>
      <c r="E4135" s="33" t="n">
        <f aca="false">IF(B4135&gt;=5,AVERAGE(C4131:C4134),"")</f>
        <v>186.75</v>
      </c>
      <c r="F4135" s="33" t="n">
        <f aca="false">IF(B4135&gt;=9,AVERAGE(C4127:C4134),"")</f>
        <v>172.875</v>
      </c>
      <c r="G4135" s="33" t="n">
        <f aca="false">IF(B4135=1,"",IF(B4135=2,C4134,SES_Alpha*C4134+(1-SES_Alpha)*G4134))</f>
        <v>185.577428805035</v>
      </c>
      <c r="H4135" s="33" t="n">
        <f aca="false">IF(D4135="","",D4135-C4135)</f>
        <v>2</v>
      </c>
      <c r="I4135" s="33" t="n">
        <f aca="false">IF(E4135="","",E4135-C4135)</f>
        <v>-32.25</v>
      </c>
      <c r="J4135" s="33" t="n">
        <f aca="false">IF(F4135="","",F4135-C4135)</f>
        <v>-46.125</v>
      </c>
      <c r="K4135" s="33" t="n">
        <f aca="false">IF(G4135="","",G4135-C4135)</f>
        <v>-33.4225711949648</v>
      </c>
      <c r="L4135" s="33" t="n">
        <f aca="false">IF(H4135="","",ABS(H4135))</f>
        <v>2</v>
      </c>
      <c r="M4135" s="33" t="n">
        <f aca="false">IF(I4135="","",ABS(I4135))</f>
        <v>32.25</v>
      </c>
      <c r="N4135" s="33" t="n">
        <f aca="false">IF(J4135="","",ABS(J4135))</f>
        <v>46.125</v>
      </c>
      <c r="O4135" s="33" t="n">
        <f aca="false">IF(K4135="","",ABS(K4135))</f>
        <v>33.4225711949648</v>
      </c>
      <c r="P4135" s="34" t="str">
        <f aca="false">IF(B4135&gt;=Eval_Start_Week,"YES","")</f>
        <v>YES</v>
      </c>
      <c r="Q4135" s="34" t="str">
        <f aca="false">IF(AND(B4135&gt;=Cal_Start_Week,B4135&lt;=Cal_End_Week),"YES","")</f>
        <v>YES</v>
      </c>
    </row>
    <row r="4136" customFormat="false" ht="15" hidden="false" customHeight="false" outlineLevel="0" collapsed="false">
      <c r="A4136" s="31" t="str">
        <f aca="false">Demand_History!C4136</f>
        <v>CLN-003</v>
      </c>
      <c r="B4136" s="31" t="n">
        <f aca="false">Demand_History!A4136</f>
        <v>79</v>
      </c>
      <c r="C4136" s="32" t="n">
        <f aca="false">Demand_History!D4136</f>
        <v>143</v>
      </c>
      <c r="D4136" s="33" t="n">
        <f aca="false">IF(B4136&gt;=2,C4135,"")</f>
        <v>219</v>
      </c>
      <c r="E4136" s="33" t="n">
        <f aca="false">IF(B4136&gt;=5,AVERAGE(C4132:C4135),"")</f>
        <v>200</v>
      </c>
      <c r="F4136" s="33" t="n">
        <f aca="false">IF(B4136&gt;=9,AVERAGE(C4128:C4135),"")</f>
        <v>181.5</v>
      </c>
      <c r="G4136" s="33" t="n">
        <f aca="false">IF(B4136=1,"",IF(B4136=2,C4135,SES_Alpha*C4135+(1-SES_Alpha)*G4135))</f>
        <v>195.604200163525</v>
      </c>
      <c r="H4136" s="33" t="n">
        <f aca="false">IF(D4136="","",D4136-C4136)</f>
        <v>76</v>
      </c>
      <c r="I4136" s="33" t="n">
        <f aca="false">IF(E4136="","",E4136-C4136)</f>
        <v>57</v>
      </c>
      <c r="J4136" s="33" t="n">
        <f aca="false">IF(F4136="","",F4136-C4136)</f>
        <v>38.5</v>
      </c>
      <c r="K4136" s="33" t="n">
        <f aca="false">IF(G4136="","",G4136-C4136)</f>
        <v>52.6042001635246</v>
      </c>
      <c r="L4136" s="33" t="n">
        <f aca="false">IF(H4136="","",ABS(H4136))</f>
        <v>76</v>
      </c>
      <c r="M4136" s="33" t="n">
        <f aca="false">IF(I4136="","",ABS(I4136))</f>
        <v>57</v>
      </c>
      <c r="N4136" s="33" t="n">
        <f aca="false">IF(J4136="","",ABS(J4136))</f>
        <v>38.5</v>
      </c>
      <c r="O4136" s="33" t="n">
        <f aca="false">IF(K4136="","",ABS(K4136))</f>
        <v>52.6042001635246</v>
      </c>
      <c r="P4136" s="34" t="str">
        <f aca="false">IF(B4136&gt;=Eval_Start_Week,"YES","")</f>
        <v>YES</v>
      </c>
      <c r="Q4136" s="34" t="str">
        <f aca="false">IF(AND(B4136&gt;=Cal_Start_Week,B4136&lt;=Cal_End_Week),"YES","")</f>
        <v>YES</v>
      </c>
    </row>
    <row r="4137" customFormat="false" ht="15" hidden="false" customHeight="false" outlineLevel="0" collapsed="false">
      <c r="A4137" s="31" t="str">
        <f aca="false">Demand_History!C4137</f>
        <v>CLN-003</v>
      </c>
      <c r="B4137" s="31" t="n">
        <f aca="false">Demand_History!A4137</f>
        <v>80</v>
      </c>
      <c r="C4137" s="32" t="n">
        <f aca="false">Demand_History!D4137</f>
        <v>157</v>
      </c>
      <c r="D4137" s="33" t="n">
        <f aca="false">IF(B4137&gt;=2,C4136,"")</f>
        <v>143</v>
      </c>
      <c r="E4137" s="33" t="n">
        <f aca="false">IF(B4137&gt;=5,AVERAGE(C4133:C4136),"")</f>
        <v>189.25</v>
      </c>
      <c r="F4137" s="33" t="n">
        <f aca="false">IF(B4137&gt;=9,AVERAGE(C4129:C4136),"")</f>
        <v>179.25</v>
      </c>
      <c r="G4137" s="33" t="n">
        <f aca="false">IF(B4137=1,"",IF(B4137=2,C4136,SES_Alpha*C4136+(1-SES_Alpha)*G4136))</f>
        <v>179.822940114467</v>
      </c>
      <c r="H4137" s="33" t="n">
        <f aca="false">IF(D4137="","",D4137-C4137)</f>
        <v>-14</v>
      </c>
      <c r="I4137" s="33" t="n">
        <f aca="false">IF(E4137="","",E4137-C4137)</f>
        <v>32.25</v>
      </c>
      <c r="J4137" s="33" t="n">
        <f aca="false">IF(F4137="","",F4137-C4137)</f>
        <v>22.25</v>
      </c>
      <c r="K4137" s="33" t="n">
        <f aca="false">IF(G4137="","",G4137-C4137)</f>
        <v>22.8229401144672</v>
      </c>
      <c r="L4137" s="33" t="n">
        <f aca="false">IF(H4137="","",ABS(H4137))</f>
        <v>14</v>
      </c>
      <c r="M4137" s="33" t="n">
        <f aca="false">IF(I4137="","",ABS(I4137))</f>
        <v>32.25</v>
      </c>
      <c r="N4137" s="33" t="n">
        <f aca="false">IF(J4137="","",ABS(J4137))</f>
        <v>22.25</v>
      </c>
      <c r="O4137" s="33" t="n">
        <f aca="false">IF(K4137="","",ABS(K4137))</f>
        <v>22.8229401144672</v>
      </c>
      <c r="P4137" s="34" t="str">
        <f aca="false">IF(B4137&gt;=Eval_Start_Week,"YES","")</f>
        <v>YES</v>
      </c>
      <c r="Q4137" s="34" t="str">
        <f aca="false">IF(AND(B4137&gt;=Cal_Start_Week,B4137&lt;=Cal_End_Week),"YES","")</f>
        <v>YES</v>
      </c>
    </row>
    <row r="4138" customFormat="false" ht="15" hidden="false" customHeight="false" outlineLevel="0" collapsed="false">
      <c r="A4138" s="31" t="str">
        <f aca="false">Demand_History!C4138</f>
        <v>CLN-003</v>
      </c>
      <c r="B4138" s="31" t="n">
        <f aca="false">Demand_History!A4138</f>
        <v>81</v>
      </c>
      <c r="C4138" s="32" t="n">
        <f aca="false">Demand_History!D4138</f>
        <v>141</v>
      </c>
      <c r="D4138" s="33" t="n">
        <f aca="false">IF(B4138&gt;=2,C4137,"")</f>
        <v>157</v>
      </c>
      <c r="E4138" s="33" t="n">
        <f aca="false">IF(B4138&gt;=5,AVERAGE(C4134:C4137),"")</f>
        <v>185</v>
      </c>
      <c r="F4138" s="33" t="n">
        <f aca="false">IF(B4138&gt;=9,AVERAGE(C4130:C4137),"")</f>
        <v>177.375</v>
      </c>
      <c r="G4138" s="33" t="n">
        <f aca="false">IF(B4138=1,"",IF(B4138=2,C4137,SES_Alpha*C4137+(1-SES_Alpha)*G4137))</f>
        <v>172.976058080127</v>
      </c>
      <c r="H4138" s="33" t="n">
        <f aca="false">IF(D4138="","",D4138-C4138)</f>
        <v>16</v>
      </c>
      <c r="I4138" s="33" t="n">
        <f aca="false">IF(E4138="","",E4138-C4138)</f>
        <v>44</v>
      </c>
      <c r="J4138" s="33" t="n">
        <f aca="false">IF(F4138="","",F4138-C4138)</f>
        <v>36.375</v>
      </c>
      <c r="K4138" s="33" t="n">
        <f aca="false">IF(G4138="","",G4138-C4138)</f>
        <v>31.976058080127</v>
      </c>
      <c r="L4138" s="33" t="n">
        <f aca="false">IF(H4138="","",ABS(H4138))</f>
        <v>16</v>
      </c>
      <c r="M4138" s="33" t="n">
        <f aca="false">IF(I4138="","",ABS(I4138))</f>
        <v>44</v>
      </c>
      <c r="N4138" s="33" t="n">
        <f aca="false">IF(J4138="","",ABS(J4138))</f>
        <v>36.375</v>
      </c>
      <c r="O4138" s="33" t="n">
        <f aca="false">IF(K4138="","",ABS(K4138))</f>
        <v>31.976058080127</v>
      </c>
      <c r="P4138" s="34" t="str">
        <f aca="false">IF(B4138&gt;=Eval_Start_Week,"YES","")</f>
        <v>YES</v>
      </c>
      <c r="Q4138" s="34" t="str">
        <f aca="false">IF(AND(B4138&gt;=Cal_Start_Week,B4138&lt;=Cal_End_Week),"YES","")</f>
        <v>YES</v>
      </c>
    </row>
    <row r="4139" customFormat="false" ht="15" hidden="false" customHeight="false" outlineLevel="0" collapsed="false">
      <c r="A4139" s="31" t="str">
        <f aca="false">Demand_History!C4139</f>
        <v>CLN-003</v>
      </c>
      <c r="B4139" s="31" t="n">
        <f aca="false">Demand_History!A4139</f>
        <v>82</v>
      </c>
      <c r="C4139" s="32" t="n">
        <f aca="false">Demand_History!D4139</f>
        <v>145</v>
      </c>
      <c r="D4139" s="33" t="n">
        <f aca="false">IF(B4139&gt;=2,C4138,"")</f>
        <v>141</v>
      </c>
      <c r="E4139" s="33" t="n">
        <f aca="false">IF(B4139&gt;=5,AVERAGE(C4135:C4138),"")</f>
        <v>165</v>
      </c>
      <c r="F4139" s="33" t="n">
        <f aca="false">IF(B4139&gt;=9,AVERAGE(C4131:C4138),"")</f>
        <v>175.875</v>
      </c>
      <c r="G4139" s="33" t="n">
        <f aca="false">IF(B4139=1,"",IF(B4139=2,C4138,SES_Alpha*C4138+(1-SES_Alpha)*G4138))</f>
        <v>163.383240656089</v>
      </c>
      <c r="H4139" s="33" t="n">
        <f aca="false">IF(D4139="","",D4139-C4139)</f>
        <v>-4</v>
      </c>
      <c r="I4139" s="33" t="n">
        <f aca="false">IF(E4139="","",E4139-C4139)</f>
        <v>20</v>
      </c>
      <c r="J4139" s="33" t="n">
        <f aca="false">IF(F4139="","",F4139-C4139)</f>
        <v>30.875</v>
      </c>
      <c r="K4139" s="33" t="n">
        <f aca="false">IF(G4139="","",G4139-C4139)</f>
        <v>18.3832406560889</v>
      </c>
      <c r="L4139" s="33" t="n">
        <f aca="false">IF(H4139="","",ABS(H4139))</f>
        <v>4</v>
      </c>
      <c r="M4139" s="33" t="n">
        <f aca="false">IF(I4139="","",ABS(I4139))</f>
        <v>20</v>
      </c>
      <c r="N4139" s="33" t="n">
        <f aca="false">IF(J4139="","",ABS(J4139))</f>
        <v>30.875</v>
      </c>
      <c r="O4139" s="33" t="n">
        <f aca="false">IF(K4139="","",ABS(K4139))</f>
        <v>18.3832406560889</v>
      </c>
      <c r="P4139" s="34" t="str">
        <f aca="false">IF(B4139&gt;=Eval_Start_Week,"YES","")</f>
        <v>YES</v>
      </c>
      <c r="Q4139" s="34" t="str">
        <f aca="false">IF(AND(B4139&gt;=Cal_Start_Week,B4139&lt;=Cal_End_Week),"YES","")</f>
        <v>YES</v>
      </c>
    </row>
    <row r="4140" customFormat="false" ht="15" hidden="false" customHeight="false" outlineLevel="0" collapsed="false">
      <c r="A4140" s="31" t="str">
        <f aca="false">Demand_History!C4140</f>
        <v>CLN-003</v>
      </c>
      <c r="B4140" s="31" t="n">
        <f aca="false">Demand_History!A4140</f>
        <v>83</v>
      </c>
      <c r="C4140" s="32" t="n">
        <f aca="false">Demand_History!D4140</f>
        <v>187</v>
      </c>
      <c r="D4140" s="33" t="n">
        <f aca="false">IF(B4140&gt;=2,C4139,"")</f>
        <v>145</v>
      </c>
      <c r="E4140" s="33" t="n">
        <f aca="false">IF(B4140&gt;=5,AVERAGE(C4136:C4139),"")</f>
        <v>146.5</v>
      </c>
      <c r="F4140" s="33" t="n">
        <f aca="false">IF(B4140&gt;=9,AVERAGE(C4132:C4139),"")</f>
        <v>173.25</v>
      </c>
      <c r="G4140" s="33" t="n">
        <f aca="false">IF(B4140=1,"",IF(B4140=2,C4139,SES_Alpha*C4139+(1-SES_Alpha)*G4139))</f>
        <v>157.868268459262</v>
      </c>
      <c r="H4140" s="33" t="n">
        <f aca="false">IF(D4140="","",D4140-C4140)</f>
        <v>-42</v>
      </c>
      <c r="I4140" s="33" t="n">
        <f aca="false">IF(E4140="","",E4140-C4140)</f>
        <v>-40.5</v>
      </c>
      <c r="J4140" s="33" t="n">
        <f aca="false">IF(F4140="","",F4140-C4140)</f>
        <v>-13.75</v>
      </c>
      <c r="K4140" s="33" t="n">
        <f aca="false">IF(G4140="","",G4140-C4140)</f>
        <v>-29.1317315407378</v>
      </c>
      <c r="L4140" s="33" t="n">
        <f aca="false">IF(H4140="","",ABS(H4140))</f>
        <v>42</v>
      </c>
      <c r="M4140" s="33" t="n">
        <f aca="false">IF(I4140="","",ABS(I4140))</f>
        <v>40.5</v>
      </c>
      <c r="N4140" s="33" t="n">
        <f aca="false">IF(J4140="","",ABS(J4140))</f>
        <v>13.75</v>
      </c>
      <c r="O4140" s="33" t="n">
        <f aca="false">IF(K4140="","",ABS(K4140))</f>
        <v>29.1317315407378</v>
      </c>
      <c r="P4140" s="34" t="str">
        <f aca="false">IF(B4140&gt;=Eval_Start_Week,"YES","")</f>
        <v>YES</v>
      </c>
      <c r="Q4140" s="34" t="str">
        <f aca="false">IF(AND(B4140&gt;=Cal_Start_Week,B4140&lt;=Cal_End_Week),"YES","")</f>
        <v>YES</v>
      </c>
    </row>
    <row r="4141" customFormat="false" ht="15" hidden="false" customHeight="false" outlineLevel="0" collapsed="false">
      <c r="A4141" s="31" t="str">
        <f aca="false">Demand_History!C4141</f>
        <v>CLN-003</v>
      </c>
      <c r="B4141" s="31" t="n">
        <f aca="false">Demand_History!A4141</f>
        <v>84</v>
      </c>
      <c r="C4141" s="32" t="n">
        <f aca="false">Demand_History!D4141</f>
        <v>151</v>
      </c>
      <c r="D4141" s="33" t="n">
        <f aca="false">IF(B4141&gt;=2,C4140,"")</f>
        <v>187</v>
      </c>
      <c r="E4141" s="33" t="n">
        <f aca="false">IF(B4141&gt;=5,AVERAGE(C4137:C4140),"")</f>
        <v>157.5</v>
      </c>
      <c r="F4141" s="33" t="n">
        <f aca="false">IF(B4141&gt;=9,AVERAGE(C4133:C4140),"")</f>
        <v>173.375</v>
      </c>
      <c r="G4141" s="33" t="n">
        <f aca="false">IF(B4141=1,"",IF(B4141=2,C4140,SES_Alpha*C4140+(1-SES_Alpha)*G4140))</f>
        <v>166.607787921484</v>
      </c>
      <c r="H4141" s="33" t="n">
        <f aca="false">IF(D4141="","",D4141-C4141)</f>
        <v>36</v>
      </c>
      <c r="I4141" s="33" t="n">
        <f aca="false">IF(E4141="","",E4141-C4141)</f>
        <v>6.5</v>
      </c>
      <c r="J4141" s="33" t="n">
        <f aca="false">IF(F4141="","",F4141-C4141)</f>
        <v>22.375</v>
      </c>
      <c r="K4141" s="33" t="n">
        <f aca="false">IF(G4141="","",G4141-C4141)</f>
        <v>15.6077879214835</v>
      </c>
      <c r="L4141" s="33" t="n">
        <f aca="false">IF(H4141="","",ABS(H4141))</f>
        <v>36</v>
      </c>
      <c r="M4141" s="33" t="n">
        <f aca="false">IF(I4141="","",ABS(I4141))</f>
        <v>6.5</v>
      </c>
      <c r="N4141" s="33" t="n">
        <f aca="false">IF(J4141="","",ABS(J4141))</f>
        <v>22.375</v>
      </c>
      <c r="O4141" s="33" t="n">
        <f aca="false">IF(K4141="","",ABS(K4141))</f>
        <v>15.6077879214835</v>
      </c>
      <c r="P4141" s="34" t="str">
        <f aca="false">IF(B4141&gt;=Eval_Start_Week,"YES","")</f>
        <v>YES</v>
      </c>
      <c r="Q4141" s="34" t="str">
        <f aca="false">IF(AND(B4141&gt;=Cal_Start_Week,B4141&lt;=Cal_End_Week),"YES","")</f>
        <v>YES</v>
      </c>
    </row>
    <row r="4142" customFormat="false" ht="15" hidden="false" customHeight="false" outlineLevel="0" collapsed="false">
      <c r="A4142" s="31" t="str">
        <f aca="false">Demand_History!C4142</f>
        <v>CLN-003</v>
      </c>
      <c r="B4142" s="31" t="n">
        <f aca="false">Demand_History!A4142</f>
        <v>85</v>
      </c>
      <c r="C4142" s="32" t="n">
        <f aca="false">Demand_History!D4142</f>
        <v>151</v>
      </c>
      <c r="D4142" s="33" t="n">
        <f aca="false">IF(B4142&gt;=2,C4141,"")</f>
        <v>151</v>
      </c>
      <c r="E4142" s="33" t="n">
        <f aca="false">IF(B4142&gt;=5,AVERAGE(C4138:C4141),"")</f>
        <v>156</v>
      </c>
      <c r="F4142" s="33" t="n">
        <f aca="false">IF(B4142&gt;=9,AVERAGE(C4134:C4141),"")</f>
        <v>170.5</v>
      </c>
      <c r="G4142" s="33" t="n">
        <f aca="false">IF(B4142=1,"",IF(B4142=2,C4141,SES_Alpha*C4141+(1-SES_Alpha)*G4141))</f>
        <v>161.925451545038</v>
      </c>
      <c r="H4142" s="33" t="n">
        <f aca="false">IF(D4142="","",D4142-C4142)</f>
        <v>0</v>
      </c>
      <c r="I4142" s="33" t="n">
        <f aca="false">IF(E4142="","",E4142-C4142)</f>
        <v>5</v>
      </c>
      <c r="J4142" s="33" t="n">
        <f aca="false">IF(F4142="","",F4142-C4142)</f>
        <v>19.5</v>
      </c>
      <c r="K4142" s="33" t="n">
        <f aca="false">IF(G4142="","",G4142-C4142)</f>
        <v>10.9254515450385</v>
      </c>
      <c r="L4142" s="33" t="n">
        <f aca="false">IF(H4142="","",ABS(H4142))</f>
        <v>0</v>
      </c>
      <c r="M4142" s="33" t="n">
        <f aca="false">IF(I4142="","",ABS(I4142))</f>
        <v>5</v>
      </c>
      <c r="N4142" s="33" t="n">
        <f aca="false">IF(J4142="","",ABS(J4142))</f>
        <v>19.5</v>
      </c>
      <c r="O4142" s="33" t="n">
        <f aca="false">IF(K4142="","",ABS(K4142))</f>
        <v>10.9254515450385</v>
      </c>
      <c r="P4142" s="34" t="str">
        <f aca="false">IF(B4142&gt;=Eval_Start_Week,"YES","")</f>
        <v>YES</v>
      </c>
      <c r="Q4142" s="34" t="str">
        <f aca="false">IF(AND(B4142&gt;=Cal_Start_Week,B4142&lt;=Cal_End_Week),"YES","")</f>
        <v>YES</v>
      </c>
    </row>
    <row r="4143" customFormat="false" ht="15" hidden="false" customHeight="false" outlineLevel="0" collapsed="false">
      <c r="A4143" s="31" t="str">
        <f aca="false">Demand_History!C4143</f>
        <v>CLN-003</v>
      </c>
      <c r="B4143" s="31" t="n">
        <f aca="false">Demand_History!A4143</f>
        <v>86</v>
      </c>
      <c r="C4143" s="32" t="n">
        <f aca="false">Demand_History!D4143</f>
        <v>170</v>
      </c>
      <c r="D4143" s="33" t="n">
        <f aca="false">IF(B4143&gt;=2,C4142,"")</f>
        <v>151</v>
      </c>
      <c r="E4143" s="33" t="n">
        <f aca="false">IF(B4143&gt;=5,AVERAGE(C4139:C4142),"")</f>
        <v>158.5</v>
      </c>
      <c r="F4143" s="33" t="n">
        <f aca="false">IF(B4143&gt;=9,AVERAGE(C4135:C4142),"")</f>
        <v>161.75</v>
      </c>
      <c r="G4143" s="33" t="n">
        <f aca="false">IF(B4143=1,"",IF(B4143=2,C4142,SES_Alpha*C4142+(1-SES_Alpha)*G4142))</f>
        <v>158.647816081527</v>
      </c>
      <c r="H4143" s="33" t="n">
        <f aca="false">IF(D4143="","",D4143-C4143)</f>
        <v>-19</v>
      </c>
      <c r="I4143" s="33" t="n">
        <f aca="false">IF(E4143="","",E4143-C4143)</f>
        <v>-11.5</v>
      </c>
      <c r="J4143" s="33" t="n">
        <f aca="false">IF(F4143="","",F4143-C4143)</f>
        <v>-8.25</v>
      </c>
      <c r="K4143" s="33" t="n">
        <f aca="false">IF(G4143="","",G4143-C4143)</f>
        <v>-11.3521839184731</v>
      </c>
      <c r="L4143" s="33" t="n">
        <f aca="false">IF(H4143="","",ABS(H4143))</f>
        <v>19</v>
      </c>
      <c r="M4143" s="33" t="n">
        <f aca="false">IF(I4143="","",ABS(I4143))</f>
        <v>11.5</v>
      </c>
      <c r="N4143" s="33" t="n">
        <f aca="false">IF(J4143="","",ABS(J4143))</f>
        <v>8.25</v>
      </c>
      <c r="O4143" s="33" t="n">
        <f aca="false">IF(K4143="","",ABS(K4143))</f>
        <v>11.3521839184731</v>
      </c>
      <c r="P4143" s="34" t="str">
        <f aca="false">IF(B4143&gt;=Eval_Start_Week,"YES","")</f>
        <v>YES</v>
      </c>
      <c r="Q4143" s="34" t="str">
        <f aca="false">IF(AND(B4143&gt;=Cal_Start_Week,B4143&lt;=Cal_End_Week),"YES","")</f>
        <v>YES</v>
      </c>
    </row>
    <row r="4144" customFormat="false" ht="15" hidden="false" customHeight="false" outlineLevel="0" collapsed="false">
      <c r="A4144" s="31" t="str">
        <f aca="false">Demand_History!C4144</f>
        <v>CLN-003</v>
      </c>
      <c r="B4144" s="31" t="n">
        <f aca="false">Demand_History!A4144</f>
        <v>87</v>
      </c>
      <c r="C4144" s="32" t="n">
        <f aca="false">Demand_History!D4144</f>
        <v>198</v>
      </c>
      <c r="D4144" s="33" t="n">
        <f aca="false">IF(B4144&gt;=2,C4143,"")</f>
        <v>170</v>
      </c>
      <c r="E4144" s="33" t="n">
        <f aca="false">IF(B4144&gt;=5,AVERAGE(C4140:C4143),"")</f>
        <v>164.75</v>
      </c>
      <c r="F4144" s="33" t="n">
        <f aca="false">IF(B4144&gt;=9,AVERAGE(C4136:C4143),"")</f>
        <v>155.625</v>
      </c>
      <c r="G4144" s="33" t="n">
        <f aca="false">IF(B4144=1,"",IF(B4144=2,C4143,SES_Alpha*C4143+(1-SES_Alpha)*G4143))</f>
        <v>162.053471257069</v>
      </c>
      <c r="H4144" s="33" t="n">
        <f aca="false">IF(D4144="","",D4144-C4144)</f>
        <v>-28</v>
      </c>
      <c r="I4144" s="33" t="n">
        <f aca="false">IF(E4144="","",E4144-C4144)</f>
        <v>-33.25</v>
      </c>
      <c r="J4144" s="33" t="n">
        <f aca="false">IF(F4144="","",F4144-C4144)</f>
        <v>-42.375</v>
      </c>
      <c r="K4144" s="33" t="n">
        <f aca="false">IF(G4144="","",G4144-C4144)</f>
        <v>-35.9465287429312</v>
      </c>
      <c r="L4144" s="33" t="n">
        <f aca="false">IF(H4144="","",ABS(H4144))</f>
        <v>28</v>
      </c>
      <c r="M4144" s="33" t="n">
        <f aca="false">IF(I4144="","",ABS(I4144))</f>
        <v>33.25</v>
      </c>
      <c r="N4144" s="33" t="n">
        <f aca="false">IF(J4144="","",ABS(J4144))</f>
        <v>42.375</v>
      </c>
      <c r="O4144" s="33" t="n">
        <f aca="false">IF(K4144="","",ABS(K4144))</f>
        <v>35.9465287429312</v>
      </c>
      <c r="P4144" s="34" t="str">
        <f aca="false">IF(B4144&gt;=Eval_Start_Week,"YES","")</f>
        <v>YES</v>
      </c>
      <c r="Q4144" s="34" t="str">
        <f aca="false">IF(AND(B4144&gt;=Cal_Start_Week,B4144&lt;=Cal_End_Week),"YES","")</f>
        <v>YES</v>
      </c>
    </row>
    <row r="4145" customFormat="false" ht="15" hidden="false" customHeight="false" outlineLevel="0" collapsed="false">
      <c r="A4145" s="31" t="str">
        <f aca="false">Demand_History!C4145</f>
        <v>CLN-003</v>
      </c>
      <c r="B4145" s="31" t="n">
        <f aca="false">Demand_History!A4145</f>
        <v>88</v>
      </c>
      <c r="C4145" s="32" t="n">
        <f aca="false">Demand_History!D4145</f>
        <v>170</v>
      </c>
      <c r="D4145" s="33" t="n">
        <f aca="false">IF(B4145&gt;=2,C4144,"")</f>
        <v>198</v>
      </c>
      <c r="E4145" s="33" t="n">
        <f aca="false">IF(B4145&gt;=5,AVERAGE(C4141:C4144),"")</f>
        <v>167.5</v>
      </c>
      <c r="F4145" s="33" t="n">
        <f aca="false">IF(B4145&gt;=9,AVERAGE(C4137:C4144),"")</f>
        <v>162.5</v>
      </c>
      <c r="G4145" s="33" t="n">
        <f aca="false">IF(B4145=1,"",IF(B4145=2,C4144,SES_Alpha*C4144+(1-SES_Alpha)*G4144))</f>
        <v>172.837429879948</v>
      </c>
      <c r="H4145" s="33" t="n">
        <f aca="false">IF(D4145="","",D4145-C4145)</f>
        <v>28</v>
      </c>
      <c r="I4145" s="33" t="n">
        <f aca="false">IF(E4145="","",E4145-C4145)</f>
        <v>-2.5</v>
      </c>
      <c r="J4145" s="33" t="n">
        <f aca="false">IF(F4145="","",F4145-C4145)</f>
        <v>-7.5</v>
      </c>
      <c r="K4145" s="33" t="n">
        <f aca="false">IF(G4145="","",G4145-C4145)</f>
        <v>2.83742987994819</v>
      </c>
      <c r="L4145" s="33" t="n">
        <f aca="false">IF(H4145="","",ABS(H4145))</f>
        <v>28</v>
      </c>
      <c r="M4145" s="33" t="n">
        <f aca="false">IF(I4145="","",ABS(I4145))</f>
        <v>2.5</v>
      </c>
      <c r="N4145" s="33" t="n">
        <f aca="false">IF(J4145="","",ABS(J4145))</f>
        <v>7.5</v>
      </c>
      <c r="O4145" s="33" t="n">
        <f aca="false">IF(K4145="","",ABS(K4145))</f>
        <v>2.83742987994819</v>
      </c>
      <c r="P4145" s="34" t="str">
        <f aca="false">IF(B4145&gt;=Eval_Start_Week,"YES","")</f>
        <v>YES</v>
      </c>
      <c r="Q4145" s="34" t="str">
        <f aca="false">IF(AND(B4145&gt;=Cal_Start_Week,B4145&lt;=Cal_End_Week),"YES","")</f>
        <v>YES</v>
      </c>
    </row>
    <row r="4146" customFormat="false" ht="15" hidden="false" customHeight="false" outlineLevel="0" collapsed="false">
      <c r="A4146" s="31" t="str">
        <f aca="false">Demand_History!C4146</f>
        <v>CLN-003</v>
      </c>
      <c r="B4146" s="31" t="n">
        <f aca="false">Demand_History!A4146</f>
        <v>89</v>
      </c>
      <c r="C4146" s="32" t="n">
        <f aca="false">Demand_History!D4146</f>
        <v>171</v>
      </c>
      <c r="D4146" s="33" t="n">
        <f aca="false">IF(B4146&gt;=2,C4145,"")</f>
        <v>170</v>
      </c>
      <c r="E4146" s="33" t="n">
        <f aca="false">IF(B4146&gt;=5,AVERAGE(C4142:C4145),"")</f>
        <v>172.25</v>
      </c>
      <c r="F4146" s="33" t="n">
        <f aca="false">IF(B4146&gt;=9,AVERAGE(C4138:C4145),"")</f>
        <v>164.125</v>
      </c>
      <c r="G4146" s="33" t="n">
        <f aca="false">IF(B4146=1,"",IF(B4146=2,C4145,SES_Alpha*C4145+(1-SES_Alpha)*G4145))</f>
        <v>171.986200915964</v>
      </c>
      <c r="H4146" s="33" t="n">
        <f aca="false">IF(D4146="","",D4146-C4146)</f>
        <v>-1</v>
      </c>
      <c r="I4146" s="33" t="n">
        <f aca="false">IF(E4146="","",E4146-C4146)</f>
        <v>1.25</v>
      </c>
      <c r="J4146" s="33" t="n">
        <f aca="false">IF(F4146="","",F4146-C4146)</f>
        <v>-6.875</v>
      </c>
      <c r="K4146" s="33" t="n">
        <f aca="false">IF(G4146="","",G4146-C4146)</f>
        <v>0.986200915963707</v>
      </c>
      <c r="L4146" s="33" t="n">
        <f aca="false">IF(H4146="","",ABS(H4146))</f>
        <v>1</v>
      </c>
      <c r="M4146" s="33" t="n">
        <f aca="false">IF(I4146="","",ABS(I4146))</f>
        <v>1.25</v>
      </c>
      <c r="N4146" s="33" t="n">
        <f aca="false">IF(J4146="","",ABS(J4146))</f>
        <v>6.875</v>
      </c>
      <c r="O4146" s="33" t="n">
        <f aca="false">IF(K4146="","",ABS(K4146))</f>
        <v>0.986200915963707</v>
      </c>
      <c r="P4146" s="34" t="str">
        <f aca="false">IF(B4146&gt;=Eval_Start_Week,"YES","")</f>
        <v>YES</v>
      </c>
      <c r="Q4146" s="34" t="str">
        <f aca="false">IF(AND(B4146&gt;=Cal_Start_Week,B4146&lt;=Cal_End_Week),"YES","")</f>
        <v/>
      </c>
    </row>
    <row r="4147" customFormat="false" ht="15" hidden="false" customHeight="false" outlineLevel="0" collapsed="false">
      <c r="A4147" s="31" t="str">
        <f aca="false">Demand_History!C4147</f>
        <v>CLN-003</v>
      </c>
      <c r="B4147" s="31" t="n">
        <f aca="false">Demand_History!A4147</f>
        <v>90</v>
      </c>
      <c r="C4147" s="32" t="n">
        <f aca="false">Demand_History!D4147</f>
        <v>204</v>
      </c>
      <c r="D4147" s="33" t="n">
        <f aca="false">IF(B4147&gt;=2,C4146,"")</f>
        <v>171</v>
      </c>
      <c r="E4147" s="33" t="n">
        <f aca="false">IF(B4147&gt;=5,AVERAGE(C4143:C4146),"")</f>
        <v>177.25</v>
      </c>
      <c r="F4147" s="33" t="n">
        <f aca="false">IF(B4147&gt;=9,AVERAGE(C4139:C4146),"")</f>
        <v>167.875</v>
      </c>
      <c r="G4147" s="33" t="n">
        <f aca="false">IF(B4147=1,"",IF(B4147=2,C4146,SES_Alpha*C4146+(1-SES_Alpha)*G4146))</f>
        <v>171.690340641175</v>
      </c>
      <c r="H4147" s="33" t="n">
        <f aca="false">IF(D4147="","",D4147-C4147)</f>
        <v>-33</v>
      </c>
      <c r="I4147" s="33" t="n">
        <f aca="false">IF(E4147="","",E4147-C4147)</f>
        <v>-26.75</v>
      </c>
      <c r="J4147" s="33" t="n">
        <f aca="false">IF(F4147="","",F4147-C4147)</f>
        <v>-36.125</v>
      </c>
      <c r="K4147" s="33" t="n">
        <f aca="false">IF(G4147="","",G4147-C4147)</f>
        <v>-32.3096593588254</v>
      </c>
      <c r="L4147" s="33" t="n">
        <f aca="false">IF(H4147="","",ABS(H4147))</f>
        <v>33</v>
      </c>
      <c r="M4147" s="33" t="n">
        <f aca="false">IF(I4147="","",ABS(I4147))</f>
        <v>26.75</v>
      </c>
      <c r="N4147" s="33" t="n">
        <f aca="false">IF(J4147="","",ABS(J4147))</f>
        <v>36.125</v>
      </c>
      <c r="O4147" s="33" t="n">
        <f aca="false">IF(K4147="","",ABS(K4147))</f>
        <v>32.3096593588254</v>
      </c>
      <c r="P4147" s="34" t="str">
        <f aca="false">IF(B4147&gt;=Eval_Start_Week,"YES","")</f>
        <v>YES</v>
      </c>
      <c r="Q4147" s="34" t="str">
        <f aca="false">IF(AND(B4147&gt;=Cal_Start_Week,B4147&lt;=Cal_End_Week),"YES","")</f>
        <v/>
      </c>
    </row>
    <row r="4148" customFormat="false" ht="15" hidden="false" customHeight="false" outlineLevel="0" collapsed="false">
      <c r="A4148" s="31" t="str">
        <f aca="false">Demand_History!C4148</f>
        <v>CLN-003</v>
      </c>
      <c r="B4148" s="31" t="n">
        <f aca="false">Demand_History!A4148</f>
        <v>91</v>
      </c>
      <c r="C4148" s="32" t="n">
        <f aca="false">Demand_History!D4148</f>
        <v>194</v>
      </c>
      <c r="D4148" s="33" t="n">
        <f aca="false">IF(B4148&gt;=2,C4147,"")</f>
        <v>204</v>
      </c>
      <c r="E4148" s="33" t="n">
        <f aca="false">IF(B4148&gt;=5,AVERAGE(C4144:C4147),"")</f>
        <v>185.75</v>
      </c>
      <c r="F4148" s="33" t="n">
        <f aca="false">IF(B4148&gt;=9,AVERAGE(C4140:C4147),"")</f>
        <v>175.25</v>
      </c>
      <c r="G4148" s="33" t="n">
        <f aca="false">IF(B4148=1,"",IF(B4148=2,C4147,SES_Alpha*C4147+(1-SES_Alpha)*G4147))</f>
        <v>181.383238448822</v>
      </c>
      <c r="H4148" s="33" t="n">
        <f aca="false">IF(D4148="","",D4148-C4148)</f>
        <v>10</v>
      </c>
      <c r="I4148" s="33" t="n">
        <f aca="false">IF(E4148="","",E4148-C4148)</f>
        <v>-8.25</v>
      </c>
      <c r="J4148" s="33" t="n">
        <f aca="false">IF(F4148="","",F4148-C4148)</f>
        <v>-18.75</v>
      </c>
      <c r="K4148" s="33" t="n">
        <f aca="false">IF(G4148="","",G4148-C4148)</f>
        <v>-12.6167615511778</v>
      </c>
      <c r="L4148" s="33" t="n">
        <f aca="false">IF(H4148="","",ABS(H4148))</f>
        <v>10</v>
      </c>
      <c r="M4148" s="33" t="n">
        <f aca="false">IF(I4148="","",ABS(I4148))</f>
        <v>8.25</v>
      </c>
      <c r="N4148" s="33" t="n">
        <f aca="false">IF(J4148="","",ABS(J4148))</f>
        <v>18.75</v>
      </c>
      <c r="O4148" s="33" t="n">
        <f aca="false">IF(K4148="","",ABS(K4148))</f>
        <v>12.6167615511778</v>
      </c>
      <c r="P4148" s="34" t="str">
        <f aca="false">IF(B4148&gt;=Eval_Start_Week,"YES","")</f>
        <v>YES</v>
      </c>
      <c r="Q4148" s="34" t="str">
        <f aca="false">IF(AND(B4148&gt;=Cal_Start_Week,B4148&lt;=Cal_End_Week),"YES","")</f>
        <v/>
      </c>
    </row>
    <row r="4149" customFormat="false" ht="15" hidden="false" customHeight="false" outlineLevel="0" collapsed="false">
      <c r="A4149" s="31" t="str">
        <f aca="false">Demand_History!C4149</f>
        <v>CLN-003</v>
      </c>
      <c r="B4149" s="31" t="n">
        <f aca="false">Demand_History!A4149</f>
        <v>92</v>
      </c>
      <c r="C4149" s="32" t="n">
        <f aca="false">Demand_History!D4149</f>
        <v>195</v>
      </c>
      <c r="D4149" s="33" t="n">
        <f aca="false">IF(B4149&gt;=2,C4148,"")</f>
        <v>194</v>
      </c>
      <c r="E4149" s="33" t="n">
        <f aca="false">IF(B4149&gt;=5,AVERAGE(C4145:C4148),"")</f>
        <v>184.75</v>
      </c>
      <c r="F4149" s="33" t="n">
        <f aca="false">IF(B4149&gt;=9,AVERAGE(C4141:C4148),"")</f>
        <v>176.125</v>
      </c>
      <c r="G4149" s="33" t="n">
        <f aca="false">IF(B4149=1,"",IF(B4149=2,C4148,SES_Alpha*C4148+(1-SES_Alpha)*G4148))</f>
        <v>185.168266914176</v>
      </c>
      <c r="H4149" s="33" t="n">
        <f aca="false">IF(D4149="","",D4149-C4149)</f>
        <v>-1</v>
      </c>
      <c r="I4149" s="33" t="n">
        <f aca="false">IF(E4149="","",E4149-C4149)</f>
        <v>-10.25</v>
      </c>
      <c r="J4149" s="33" t="n">
        <f aca="false">IF(F4149="","",F4149-C4149)</f>
        <v>-18.875</v>
      </c>
      <c r="K4149" s="33" t="n">
        <f aca="false">IF(G4149="","",G4149-C4149)</f>
        <v>-9.83173308582448</v>
      </c>
      <c r="L4149" s="33" t="n">
        <f aca="false">IF(H4149="","",ABS(H4149))</f>
        <v>1</v>
      </c>
      <c r="M4149" s="33" t="n">
        <f aca="false">IF(I4149="","",ABS(I4149))</f>
        <v>10.25</v>
      </c>
      <c r="N4149" s="33" t="n">
        <f aca="false">IF(J4149="","",ABS(J4149))</f>
        <v>18.875</v>
      </c>
      <c r="O4149" s="33" t="n">
        <f aca="false">IF(K4149="","",ABS(K4149))</f>
        <v>9.83173308582448</v>
      </c>
      <c r="P4149" s="34" t="str">
        <f aca="false">IF(B4149&gt;=Eval_Start_Week,"YES","")</f>
        <v>YES</v>
      </c>
      <c r="Q4149" s="34" t="str">
        <f aca="false">IF(AND(B4149&gt;=Cal_Start_Week,B4149&lt;=Cal_End_Week),"YES","")</f>
        <v/>
      </c>
    </row>
    <row r="4150" customFormat="false" ht="15" hidden="false" customHeight="false" outlineLevel="0" collapsed="false">
      <c r="A4150" s="31" t="str">
        <f aca="false">Demand_History!C4150</f>
        <v>CLN-003</v>
      </c>
      <c r="B4150" s="31" t="n">
        <f aca="false">Demand_History!A4150</f>
        <v>93</v>
      </c>
      <c r="C4150" s="32" t="n">
        <f aca="false">Demand_History!D4150</f>
        <v>208</v>
      </c>
      <c r="D4150" s="33" t="n">
        <f aca="false">IF(B4150&gt;=2,C4149,"")</f>
        <v>195</v>
      </c>
      <c r="E4150" s="33" t="n">
        <f aca="false">IF(B4150&gt;=5,AVERAGE(C4146:C4149),"")</f>
        <v>191</v>
      </c>
      <c r="F4150" s="33" t="n">
        <f aca="false">IF(B4150&gt;=9,AVERAGE(C4142:C4149),"")</f>
        <v>181.625</v>
      </c>
      <c r="G4150" s="33" t="n">
        <f aca="false">IF(B4150=1,"",IF(B4150=2,C4149,SES_Alpha*C4149+(1-SES_Alpha)*G4149))</f>
        <v>188.117786839923</v>
      </c>
      <c r="H4150" s="33" t="n">
        <f aca="false">IF(D4150="","",D4150-C4150)</f>
        <v>-13</v>
      </c>
      <c r="I4150" s="33" t="n">
        <f aca="false">IF(E4150="","",E4150-C4150)</f>
        <v>-17</v>
      </c>
      <c r="J4150" s="33" t="n">
        <f aca="false">IF(F4150="","",F4150-C4150)</f>
        <v>-26.375</v>
      </c>
      <c r="K4150" s="33" t="n">
        <f aca="false">IF(G4150="","",G4150-C4150)</f>
        <v>-19.8822131600772</v>
      </c>
      <c r="L4150" s="33" t="n">
        <f aca="false">IF(H4150="","",ABS(H4150))</f>
        <v>13</v>
      </c>
      <c r="M4150" s="33" t="n">
        <f aca="false">IF(I4150="","",ABS(I4150))</f>
        <v>17</v>
      </c>
      <c r="N4150" s="33" t="n">
        <f aca="false">IF(J4150="","",ABS(J4150))</f>
        <v>26.375</v>
      </c>
      <c r="O4150" s="33" t="n">
        <f aca="false">IF(K4150="","",ABS(K4150))</f>
        <v>19.8822131600772</v>
      </c>
      <c r="P4150" s="34" t="str">
        <f aca="false">IF(B4150&gt;=Eval_Start_Week,"YES","")</f>
        <v>YES</v>
      </c>
      <c r="Q4150" s="34" t="str">
        <f aca="false">IF(AND(B4150&gt;=Cal_Start_Week,B4150&lt;=Cal_End_Week),"YES","")</f>
        <v/>
      </c>
    </row>
    <row r="4151" customFormat="false" ht="15" hidden="false" customHeight="false" outlineLevel="0" collapsed="false">
      <c r="A4151" s="31" t="str">
        <f aca="false">Demand_History!C4151</f>
        <v>CLN-003</v>
      </c>
      <c r="B4151" s="31" t="n">
        <f aca="false">Demand_History!A4151</f>
        <v>94</v>
      </c>
      <c r="C4151" s="32" t="n">
        <f aca="false">Demand_History!D4151</f>
        <v>159</v>
      </c>
      <c r="D4151" s="33" t="n">
        <f aca="false">IF(B4151&gt;=2,C4150,"")</f>
        <v>208</v>
      </c>
      <c r="E4151" s="33" t="n">
        <f aca="false">IF(B4151&gt;=5,AVERAGE(C4147:C4150),"")</f>
        <v>200.25</v>
      </c>
      <c r="F4151" s="33" t="n">
        <f aca="false">IF(B4151&gt;=9,AVERAGE(C4143:C4150),"")</f>
        <v>188.75</v>
      </c>
      <c r="G4151" s="33" t="n">
        <f aca="false">IF(B4151=1,"",IF(B4151=2,C4150,SES_Alpha*C4150+(1-SES_Alpha)*G4150))</f>
        <v>194.082450787946</v>
      </c>
      <c r="H4151" s="33" t="n">
        <f aca="false">IF(D4151="","",D4151-C4151)</f>
        <v>49</v>
      </c>
      <c r="I4151" s="33" t="n">
        <f aca="false">IF(E4151="","",E4151-C4151)</f>
        <v>41.25</v>
      </c>
      <c r="J4151" s="33" t="n">
        <f aca="false">IF(F4151="","",F4151-C4151)</f>
        <v>29.75</v>
      </c>
      <c r="K4151" s="33" t="n">
        <f aca="false">IF(G4151="","",G4151-C4151)</f>
        <v>35.082450787946</v>
      </c>
      <c r="L4151" s="33" t="n">
        <f aca="false">IF(H4151="","",ABS(H4151))</f>
        <v>49</v>
      </c>
      <c r="M4151" s="33" t="n">
        <f aca="false">IF(I4151="","",ABS(I4151))</f>
        <v>41.25</v>
      </c>
      <c r="N4151" s="33" t="n">
        <f aca="false">IF(J4151="","",ABS(J4151))</f>
        <v>29.75</v>
      </c>
      <c r="O4151" s="33" t="n">
        <f aca="false">IF(K4151="","",ABS(K4151))</f>
        <v>35.082450787946</v>
      </c>
      <c r="P4151" s="34" t="str">
        <f aca="false">IF(B4151&gt;=Eval_Start_Week,"YES","")</f>
        <v>YES</v>
      </c>
      <c r="Q4151" s="34" t="str">
        <f aca="false">IF(AND(B4151&gt;=Cal_Start_Week,B4151&lt;=Cal_End_Week),"YES","")</f>
        <v/>
      </c>
    </row>
    <row r="4152" customFormat="false" ht="15" hidden="false" customHeight="false" outlineLevel="0" collapsed="false">
      <c r="A4152" s="31" t="str">
        <f aca="false">Demand_History!C4152</f>
        <v>CLN-003</v>
      </c>
      <c r="B4152" s="31" t="n">
        <f aca="false">Demand_History!A4152</f>
        <v>95</v>
      </c>
      <c r="C4152" s="32" t="n">
        <f aca="false">Demand_History!D4152</f>
        <v>192</v>
      </c>
      <c r="D4152" s="33" t="n">
        <f aca="false">IF(B4152&gt;=2,C4151,"")</f>
        <v>159</v>
      </c>
      <c r="E4152" s="33" t="n">
        <f aca="false">IF(B4152&gt;=5,AVERAGE(C4148:C4151),"")</f>
        <v>189</v>
      </c>
      <c r="F4152" s="33" t="n">
        <f aca="false">IF(B4152&gt;=9,AVERAGE(C4144:C4151),"")</f>
        <v>187.375</v>
      </c>
      <c r="G4152" s="33" t="n">
        <f aca="false">IF(B4152=1,"",IF(B4152=2,C4151,SES_Alpha*C4151+(1-SES_Alpha)*G4151))</f>
        <v>183.557715551562</v>
      </c>
      <c r="H4152" s="33" t="n">
        <f aca="false">IF(D4152="","",D4152-C4152)</f>
        <v>-33</v>
      </c>
      <c r="I4152" s="33" t="n">
        <f aca="false">IF(E4152="","",E4152-C4152)</f>
        <v>-3</v>
      </c>
      <c r="J4152" s="33" t="n">
        <f aca="false">IF(F4152="","",F4152-C4152)</f>
        <v>-4.625</v>
      </c>
      <c r="K4152" s="33" t="n">
        <f aca="false">IF(G4152="","",G4152-C4152)</f>
        <v>-8.44228444843782</v>
      </c>
      <c r="L4152" s="33" t="n">
        <f aca="false">IF(H4152="","",ABS(H4152))</f>
        <v>33</v>
      </c>
      <c r="M4152" s="33" t="n">
        <f aca="false">IF(I4152="","",ABS(I4152))</f>
        <v>3</v>
      </c>
      <c r="N4152" s="33" t="n">
        <f aca="false">IF(J4152="","",ABS(J4152))</f>
        <v>4.625</v>
      </c>
      <c r="O4152" s="33" t="n">
        <f aca="false">IF(K4152="","",ABS(K4152))</f>
        <v>8.44228444843782</v>
      </c>
      <c r="P4152" s="34" t="str">
        <f aca="false">IF(B4152&gt;=Eval_Start_Week,"YES","")</f>
        <v>YES</v>
      </c>
      <c r="Q4152" s="34" t="str">
        <f aca="false">IF(AND(B4152&gt;=Cal_Start_Week,B4152&lt;=Cal_End_Week),"YES","")</f>
        <v/>
      </c>
    </row>
    <row r="4153" customFormat="false" ht="15" hidden="false" customHeight="false" outlineLevel="0" collapsed="false">
      <c r="A4153" s="31" t="str">
        <f aca="false">Demand_History!C4153</f>
        <v>CLN-003</v>
      </c>
      <c r="B4153" s="31" t="n">
        <f aca="false">Demand_History!A4153</f>
        <v>96</v>
      </c>
      <c r="C4153" s="32" t="n">
        <f aca="false">Demand_History!D4153</f>
        <v>171</v>
      </c>
      <c r="D4153" s="33" t="n">
        <f aca="false">IF(B4153&gt;=2,C4152,"")</f>
        <v>192</v>
      </c>
      <c r="E4153" s="33" t="n">
        <f aca="false">IF(B4153&gt;=5,AVERAGE(C4149:C4152),"")</f>
        <v>188.5</v>
      </c>
      <c r="F4153" s="33" t="n">
        <f aca="false">IF(B4153&gt;=9,AVERAGE(C4145:C4152),"")</f>
        <v>186.625</v>
      </c>
      <c r="G4153" s="33" t="n">
        <f aca="false">IF(B4153=1,"",IF(B4153=2,C4152,SES_Alpha*C4152+(1-SES_Alpha)*G4152))</f>
        <v>186.090400886094</v>
      </c>
      <c r="H4153" s="33" t="n">
        <f aca="false">IF(D4153="","",D4153-C4153)</f>
        <v>21</v>
      </c>
      <c r="I4153" s="33" t="n">
        <f aca="false">IF(E4153="","",E4153-C4153)</f>
        <v>17.5</v>
      </c>
      <c r="J4153" s="33" t="n">
        <f aca="false">IF(F4153="","",F4153-C4153)</f>
        <v>15.625</v>
      </c>
      <c r="K4153" s="33" t="n">
        <f aca="false">IF(G4153="","",G4153-C4153)</f>
        <v>15.0904008860935</v>
      </c>
      <c r="L4153" s="33" t="n">
        <f aca="false">IF(H4153="","",ABS(H4153))</f>
        <v>21</v>
      </c>
      <c r="M4153" s="33" t="n">
        <f aca="false">IF(I4153="","",ABS(I4153))</f>
        <v>17.5</v>
      </c>
      <c r="N4153" s="33" t="n">
        <f aca="false">IF(J4153="","",ABS(J4153))</f>
        <v>15.625</v>
      </c>
      <c r="O4153" s="33" t="n">
        <f aca="false">IF(K4153="","",ABS(K4153))</f>
        <v>15.0904008860935</v>
      </c>
      <c r="P4153" s="34" t="str">
        <f aca="false">IF(B4153&gt;=Eval_Start_Week,"YES","")</f>
        <v>YES</v>
      </c>
      <c r="Q4153" s="34" t="str">
        <f aca="false">IF(AND(B4153&gt;=Cal_Start_Week,B4153&lt;=Cal_End_Week),"YES","")</f>
        <v/>
      </c>
    </row>
    <row r="4154" customFormat="false" ht="15" hidden="false" customHeight="false" outlineLevel="0" collapsed="false">
      <c r="A4154" s="31" t="str">
        <f aca="false">Demand_History!C4154</f>
        <v>CLN-003</v>
      </c>
      <c r="B4154" s="31" t="n">
        <f aca="false">Demand_History!A4154</f>
        <v>97</v>
      </c>
      <c r="C4154" s="32" t="n">
        <f aca="false">Demand_History!D4154</f>
        <v>215</v>
      </c>
      <c r="D4154" s="33" t="n">
        <f aca="false">IF(B4154&gt;=2,C4153,"")</f>
        <v>171</v>
      </c>
      <c r="E4154" s="33" t="n">
        <f aca="false">IF(B4154&gt;=5,AVERAGE(C4150:C4153),"")</f>
        <v>182.5</v>
      </c>
      <c r="F4154" s="33" t="n">
        <f aca="false">IF(B4154&gt;=9,AVERAGE(C4146:C4153),"")</f>
        <v>186.75</v>
      </c>
      <c r="G4154" s="33" t="n">
        <f aca="false">IF(B4154=1,"",IF(B4154=2,C4153,SES_Alpha*C4153+(1-SES_Alpha)*G4153))</f>
        <v>181.563280620265</v>
      </c>
      <c r="H4154" s="33" t="n">
        <f aca="false">IF(D4154="","",D4154-C4154)</f>
        <v>-44</v>
      </c>
      <c r="I4154" s="33" t="n">
        <f aca="false">IF(E4154="","",E4154-C4154)</f>
        <v>-32.5</v>
      </c>
      <c r="J4154" s="33" t="n">
        <f aca="false">IF(F4154="","",F4154-C4154)</f>
        <v>-28.25</v>
      </c>
      <c r="K4154" s="33" t="n">
        <f aca="false">IF(G4154="","",G4154-C4154)</f>
        <v>-33.4367193797345</v>
      </c>
      <c r="L4154" s="33" t="n">
        <f aca="false">IF(H4154="","",ABS(H4154))</f>
        <v>44</v>
      </c>
      <c r="M4154" s="33" t="n">
        <f aca="false">IF(I4154="","",ABS(I4154))</f>
        <v>32.5</v>
      </c>
      <c r="N4154" s="33" t="n">
        <f aca="false">IF(J4154="","",ABS(J4154))</f>
        <v>28.25</v>
      </c>
      <c r="O4154" s="33" t="n">
        <f aca="false">IF(K4154="","",ABS(K4154))</f>
        <v>33.4367193797345</v>
      </c>
      <c r="P4154" s="34" t="str">
        <f aca="false">IF(B4154&gt;=Eval_Start_Week,"YES","")</f>
        <v>YES</v>
      </c>
      <c r="Q4154" s="34" t="str">
        <f aca="false">IF(AND(B4154&gt;=Cal_Start_Week,B4154&lt;=Cal_End_Week),"YES","")</f>
        <v/>
      </c>
    </row>
    <row r="4155" customFormat="false" ht="15" hidden="false" customHeight="false" outlineLevel="0" collapsed="false">
      <c r="A4155" s="31" t="str">
        <f aca="false">Demand_History!C4155</f>
        <v>CLN-003</v>
      </c>
      <c r="B4155" s="31" t="n">
        <f aca="false">Demand_History!A4155</f>
        <v>98</v>
      </c>
      <c r="C4155" s="32" t="n">
        <f aca="false">Demand_History!D4155</f>
        <v>210</v>
      </c>
      <c r="D4155" s="33" t="n">
        <f aca="false">IF(B4155&gt;=2,C4154,"")</f>
        <v>215</v>
      </c>
      <c r="E4155" s="33" t="n">
        <f aca="false">IF(B4155&gt;=5,AVERAGE(C4151:C4154),"")</f>
        <v>184.25</v>
      </c>
      <c r="F4155" s="33" t="n">
        <f aca="false">IF(B4155&gt;=9,AVERAGE(C4147:C4154),"")</f>
        <v>192.25</v>
      </c>
      <c r="G4155" s="33" t="n">
        <f aca="false">IF(B4155=1,"",IF(B4155=2,C4154,SES_Alpha*C4154+(1-SES_Alpha)*G4154))</f>
        <v>191.594296434186</v>
      </c>
      <c r="H4155" s="33" t="n">
        <f aca="false">IF(D4155="","",D4155-C4155)</f>
        <v>5</v>
      </c>
      <c r="I4155" s="33" t="n">
        <f aca="false">IF(E4155="","",E4155-C4155)</f>
        <v>-25.75</v>
      </c>
      <c r="J4155" s="33" t="n">
        <f aca="false">IF(F4155="","",F4155-C4155)</f>
        <v>-17.75</v>
      </c>
      <c r="K4155" s="33" t="n">
        <f aca="false">IF(G4155="","",G4155-C4155)</f>
        <v>-18.4057035658142</v>
      </c>
      <c r="L4155" s="33" t="n">
        <f aca="false">IF(H4155="","",ABS(H4155))</f>
        <v>5</v>
      </c>
      <c r="M4155" s="33" t="n">
        <f aca="false">IF(I4155="","",ABS(I4155))</f>
        <v>25.75</v>
      </c>
      <c r="N4155" s="33" t="n">
        <f aca="false">IF(J4155="","",ABS(J4155))</f>
        <v>17.75</v>
      </c>
      <c r="O4155" s="33" t="n">
        <f aca="false">IF(K4155="","",ABS(K4155))</f>
        <v>18.4057035658142</v>
      </c>
      <c r="P4155" s="34" t="str">
        <f aca="false">IF(B4155&gt;=Eval_Start_Week,"YES","")</f>
        <v>YES</v>
      </c>
      <c r="Q4155" s="34" t="str">
        <f aca="false">IF(AND(B4155&gt;=Cal_Start_Week,B4155&lt;=Cal_End_Week),"YES","")</f>
        <v/>
      </c>
    </row>
    <row r="4156" customFormat="false" ht="15" hidden="false" customHeight="false" outlineLevel="0" collapsed="false">
      <c r="A4156" s="31" t="str">
        <f aca="false">Demand_History!C4156</f>
        <v>CLN-003</v>
      </c>
      <c r="B4156" s="31" t="n">
        <f aca="false">Demand_History!A4156</f>
        <v>99</v>
      </c>
      <c r="C4156" s="32" t="n">
        <f aca="false">Demand_History!D4156</f>
        <v>163</v>
      </c>
      <c r="D4156" s="33" t="n">
        <f aca="false">IF(B4156&gt;=2,C4155,"")</f>
        <v>210</v>
      </c>
      <c r="E4156" s="33" t="n">
        <f aca="false">IF(B4156&gt;=5,AVERAGE(C4152:C4155),"")</f>
        <v>197</v>
      </c>
      <c r="F4156" s="33" t="n">
        <f aca="false">IF(B4156&gt;=9,AVERAGE(C4148:C4155),"")</f>
        <v>193</v>
      </c>
      <c r="G4156" s="33" t="n">
        <f aca="false">IF(B4156=1,"",IF(B4156=2,C4155,SES_Alpha*C4155+(1-SES_Alpha)*G4155))</f>
        <v>197.11600750393</v>
      </c>
      <c r="H4156" s="33" t="n">
        <f aca="false">IF(D4156="","",D4156-C4156)</f>
        <v>47</v>
      </c>
      <c r="I4156" s="33" t="n">
        <f aca="false">IF(E4156="","",E4156-C4156)</f>
        <v>34</v>
      </c>
      <c r="J4156" s="33" t="n">
        <f aca="false">IF(F4156="","",F4156-C4156)</f>
        <v>30</v>
      </c>
      <c r="K4156" s="33" t="n">
        <f aca="false">IF(G4156="","",G4156-C4156)</f>
        <v>34.1160075039301</v>
      </c>
      <c r="L4156" s="33" t="n">
        <f aca="false">IF(H4156="","",ABS(H4156))</f>
        <v>47</v>
      </c>
      <c r="M4156" s="33" t="n">
        <f aca="false">IF(I4156="","",ABS(I4156))</f>
        <v>34</v>
      </c>
      <c r="N4156" s="33" t="n">
        <f aca="false">IF(J4156="","",ABS(J4156))</f>
        <v>30</v>
      </c>
      <c r="O4156" s="33" t="n">
        <f aca="false">IF(K4156="","",ABS(K4156))</f>
        <v>34.1160075039301</v>
      </c>
      <c r="P4156" s="34" t="str">
        <f aca="false">IF(B4156&gt;=Eval_Start_Week,"YES","")</f>
        <v>YES</v>
      </c>
      <c r="Q4156" s="34" t="str">
        <f aca="false">IF(AND(B4156&gt;=Cal_Start_Week,B4156&lt;=Cal_End_Week),"YES","")</f>
        <v/>
      </c>
    </row>
    <row r="4157" customFormat="false" ht="15" hidden="false" customHeight="false" outlineLevel="0" collapsed="false">
      <c r="A4157" s="31" t="str">
        <f aca="false">Demand_History!C4157</f>
        <v>CLN-003</v>
      </c>
      <c r="B4157" s="31" t="n">
        <f aca="false">Demand_History!A4157</f>
        <v>100</v>
      </c>
      <c r="C4157" s="32" t="n">
        <f aca="false">Demand_History!D4157</f>
        <v>226</v>
      </c>
      <c r="D4157" s="33" t="n">
        <f aca="false">IF(B4157&gt;=2,C4156,"")</f>
        <v>163</v>
      </c>
      <c r="E4157" s="33" t="n">
        <f aca="false">IF(B4157&gt;=5,AVERAGE(C4153:C4156),"")</f>
        <v>189.75</v>
      </c>
      <c r="F4157" s="33" t="n">
        <f aca="false">IF(B4157&gt;=9,AVERAGE(C4149:C4156),"")</f>
        <v>189.125</v>
      </c>
      <c r="G4157" s="33" t="n">
        <f aca="false">IF(B4157=1,"",IF(B4157=2,C4156,SES_Alpha*C4156+(1-SES_Alpha)*G4156))</f>
        <v>186.881205252751</v>
      </c>
      <c r="H4157" s="33" t="n">
        <f aca="false">IF(D4157="","",D4157-C4157)</f>
        <v>-63</v>
      </c>
      <c r="I4157" s="33" t="n">
        <f aca="false">IF(E4157="","",E4157-C4157)</f>
        <v>-36.25</v>
      </c>
      <c r="J4157" s="33" t="n">
        <f aca="false">IF(F4157="","",F4157-C4157)</f>
        <v>-36.875</v>
      </c>
      <c r="K4157" s="33" t="n">
        <f aca="false">IF(G4157="","",G4157-C4157)</f>
        <v>-39.118794747249</v>
      </c>
      <c r="L4157" s="33" t="n">
        <f aca="false">IF(H4157="","",ABS(H4157))</f>
        <v>63</v>
      </c>
      <c r="M4157" s="33" t="n">
        <f aca="false">IF(I4157="","",ABS(I4157))</f>
        <v>36.25</v>
      </c>
      <c r="N4157" s="33" t="n">
        <f aca="false">IF(J4157="","",ABS(J4157))</f>
        <v>36.875</v>
      </c>
      <c r="O4157" s="33" t="n">
        <f aca="false">IF(K4157="","",ABS(K4157))</f>
        <v>39.118794747249</v>
      </c>
      <c r="P4157" s="34" t="str">
        <f aca="false">IF(B4157&gt;=Eval_Start_Week,"YES","")</f>
        <v>YES</v>
      </c>
      <c r="Q4157" s="34" t="str">
        <f aca="false">IF(AND(B4157&gt;=Cal_Start_Week,B4157&lt;=Cal_End_Week),"YES","")</f>
        <v/>
      </c>
    </row>
    <row r="4158" customFormat="false" ht="15" hidden="false" customHeight="false" outlineLevel="0" collapsed="false">
      <c r="A4158" s="31" t="str">
        <f aca="false">Demand_History!C4158</f>
        <v>CLN-003</v>
      </c>
      <c r="B4158" s="31" t="n">
        <f aca="false">Demand_History!A4158</f>
        <v>101</v>
      </c>
      <c r="C4158" s="32" t="n">
        <f aca="false">Demand_History!D4158</f>
        <v>161</v>
      </c>
      <c r="D4158" s="33" t="n">
        <f aca="false">IF(B4158&gt;=2,C4157,"")</f>
        <v>226</v>
      </c>
      <c r="E4158" s="33" t="n">
        <f aca="false">IF(B4158&gt;=5,AVERAGE(C4154:C4157),"")</f>
        <v>203.5</v>
      </c>
      <c r="F4158" s="33" t="n">
        <f aca="false">IF(B4158&gt;=9,AVERAGE(C4150:C4157),"")</f>
        <v>193</v>
      </c>
      <c r="G4158" s="33" t="n">
        <f aca="false">IF(B4158=1,"",IF(B4158=2,C4157,SES_Alpha*C4157+(1-SES_Alpha)*G4157))</f>
        <v>198.616843676926</v>
      </c>
      <c r="H4158" s="33" t="n">
        <f aca="false">IF(D4158="","",D4158-C4158)</f>
        <v>65</v>
      </c>
      <c r="I4158" s="33" t="n">
        <f aca="false">IF(E4158="","",E4158-C4158)</f>
        <v>42.5</v>
      </c>
      <c r="J4158" s="33" t="n">
        <f aca="false">IF(F4158="","",F4158-C4158)</f>
        <v>32</v>
      </c>
      <c r="K4158" s="33" t="n">
        <f aca="false">IF(G4158="","",G4158-C4158)</f>
        <v>37.6168436769257</v>
      </c>
      <c r="L4158" s="33" t="n">
        <f aca="false">IF(H4158="","",ABS(H4158))</f>
        <v>65</v>
      </c>
      <c r="M4158" s="33" t="n">
        <f aca="false">IF(I4158="","",ABS(I4158))</f>
        <v>42.5</v>
      </c>
      <c r="N4158" s="33" t="n">
        <f aca="false">IF(J4158="","",ABS(J4158))</f>
        <v>32</v>
      </c>
      <c r="O4158" s="33" t="n">
        <f aca="false">IF(K4158="","",ABS(K4158))</f>
        <v>37.6168436769257</v>
      </c>
      <c r="P4158" s="34" t="str">
        <f aca="false">IF(B4158&gt;=Eval_Start_Week,"YES","")</f>
        <v>YES</v>
      </c>
      <c r="Q4158" s="34" t="str">
        <f aca="false">IF(AND(B4158&gt;=Cal_Start_Week,B4158&lt;=Cal_End_Week),"YES","")</f>
        <v/>
      </c>
    </row>
    <row r="4159" customFormat="false" ht="15" hidden="false" customHeight="false" outlineLevel="0" collapsed="false">
      <c r="A4159" s="31" t="str">
        <f aca="false">Demand_History!C4159</f>
        <v>CLN-003</v>
      </c>
      <c r="B4159" s="31" t="n">
        <f aca="false">Demand_History!A4159</f>
        <v>102</v>
      </c>
      <c r="C4159" s="32" t="n">
        <f aca="false">Demand_History!D4159</f>
        <v>224</v>
      </c>
      <c r="D4159" s="33" t="n">
        <f aca="false">IF(B4159&gt;=2,C4158,"")</f>
        <v>161</v>
      </c>
      <c r="E4159" s="33" t="n">
        <f aca="false">IF(B4159&gt;=5,AVERAGE(C4155:C4158),"")</f>
        <v>190</v>
      </c>
      <c r="F4159" s="33" t="n">
        <f aca="false">IF(B4159&gt;=9,AVERAGE(C4151:C4158),"")</f>
        <v>187.125</v>
      </c>
      <c r="G4159" s="33" t="n">
        <f aca="false">IF(B4159=1,"",IF(B4159=2,C4158,SES_Alpha*C4158+(1-SES_Alpha)*G4158))</f>
        <v>187.331790573848</v>
      </c>
      <c r="H4159" s="33" t="n">
        <f aca="false">IF(D4159="","",D4159-C4159)</f>
        <v>-63</v>
      </c>
      <c r="I4159" s="33" t="n">
        <f aca="false">IF(E4159="","",E4159-C4159)</f>
        <v>-34</v>
      </c>
      <c r="J4159" s="33" t="n">
        <f aca="false">IF(F4159="","",F4159-C4159)</f>
        <v>-36.875</v>
      </c>
      <c r="K4159" s="33" t="n">
        <f aca="false">IF(G4159="","",G4159-C4159)</f>
        <v>-36.668209426152</v>
      </c>
      <c r="L4159" s="33" t="n">
        <f aca="false">IF(H4159="","",ABS(H4159))</f>
        <v>63</v>
      </c>
      <c r="M4159" s="33" t="n">
        <f aca="false">IF(I4159="","",ABS(I4159))</f>
        <v>34</v>
      </c>
      <c r="N4159" s="33" t="n">
        <f aca="false">IF(J4159="","",ABS(J4159))</f>
        <v>36.875</v>
      </c>
      <c r="O4159" s="33" t="n">
        <f aca="false">IF(K4159="","",ABS(K4159))</f>
        <v>36.668209426152</v>
      </c>
      <c r="P4159" s="34" t="str">
        <f aca="false">IF(B4159&gt;=Eval_Start_Week,"YES","")</f>
        <v>YES</v>
      </c>
      <c r="Q4159" s="34" t="str">
        <f aca="false">IF(AND(B4159&gt;=Cal_Start_Week,B4159&lt;=Cal_End_Week),"YES","")</f>
        <v/>
      </c>
    </row>
    <row r="4160" customFormat="false" ht="15" hidden="false" customHeight="false" outlineLevel="0" collapsed="false">
      <c r="A4160" s="31" t="str">
        <f aca="false">Demand_History!C4160</f>
        <v>CLN-003</v>
      </c>
      <c r="B4160" s="31" t="n">
        <f aca="false">Demand_History!A4160</f>
        <v>103</v>
      </c>
      <c r="C4160" s="32" t="n">
        <f aca="false">Demand_History!D4160</f>
        <v>200</v>
      </c>
      <c r="D4160" s="33" t="n">
        <f aca="false">IF(B4160&gt;=2,C4159,"")</f>
        <v>224</v>
      </c>
      <c r="E4160" s="33" t="n">
        <f aca="false">IF(B4160&gt;=5,AVERAGE(C4156:C4159),"")</f>
        <v>193.5</v>
      </c>
      <c r="F4160" s="33" t="n">
        <f aca="false">IF(B4160&gt;=9,AVERAGE(C4152:C4159),"")</f>
        <v>195.25</v>
      </c>
      <c r="G4160" s="33" t="n">
        <f aca="false">IF(B4160=1,"",IF(B4160=2,C4159,SES_Alpha*C4159+(1-SES_Alpha)*G4159))</f>
        <v>198.332253401694</v>
      </c>
      <c r="H4160" s="33" t="n">
        <f aca="false">IF(D4160="","",D4160-C4160)</f>
        <v>24</v>
      </c>
      <c r="I4160" s="33" t="n">
        <f aca="false">IF(E4160="","",E4160-C4160)</f>
        <v>-6.5</v>
      </c>
      <c r="J4160" s="33" t="n">
        <f aca="false">IF(F4160="","",F4160-C4160)</f>
        <v>-4.75</v>
      </c>
      <c r="K4160" s="33" t="n">
        <f aca="false">IF(G4160="","",G4160-C4160)</f>
        <v>-1.66774659830645</v>
      </c>
      <c r="L4160" s="33" t="n">
        <f aca="false">IF(H4160="","",ABS(H4160))</f>
        <v>24</v>
      </c>
      <c r="M4160" s="33" t="n">
        <f aca="false">IF(I4160="","",ABS(I4160))</f>
        <v>6.5</v>
      </c>
      <c r="N4160" s="33" t="n">
        <f aca="false">IF(J4160="","",ABS(J4160))</f>
        <v>4.75</v>
      </c>
      <c r="O4160" s="33" t="n">
        <f aca="false">IF(K4160="","",ABS(K4160))</f>
        <v>1.66774659830645</v>
      </c>
      <c r="P4160" s="34" t="str">
        <f aca="false">IF(B4160&gt;=Eval_Start_Week,"YES","")</f>
        <v>YES</v>
      </c>
      <c r="Q4160" s="34" t="str">
        <f aca="false">IF(AND(B4160&gt;=Cal_Start_Week,B4160&lt;=Cal_End_Week),"YES","")</f>
        <v/>
      </c>
    </row>
    <row r="4161" customFormat="false" ht="15" hidden="false" customHeight="false" outlineLevel="0" collapsed="false">
      <c r="A4161" s="31" t="str">
        <f aca="false">Demand_History!C4161</f>
        <v>CLN-003</v>
      </c>
      <c r="B4161" s="31" t="n">
        <f aca="false">Demand_History!A4161</f>
        <v>104</v>
      </c>
      <c r="C4161" s="32" t="n">
        <f aca="false">Demand_History!D4161</f>
        <v>172</v>
      </c>
      <c r="D4161" s="33" t="n">
        <f aca="false">IF(B4161&gt;=2,C4160,"")</f>
        <v>200</v>
      </c>
      <c r="E4161" s="33" t="n">
        <f aca="false">IF(B4161&gt;=5,AVERAGE(C4157:C4160),"")</f>
        <v>202.75</v>
      </c>
      <c r="F4161" s="33" t="n">
        <f aca="false">IF(B4161&gt;=9,AVERAGE(C4153:C4160),"")</f>
        <v>196.25</v>
      </c>
      <c r="G4161" s="33" t="n">
        <f aca="false">IF(B4161=1,"",IF(B4161=2,C4160,SES_Alpha*C4160+(1-SES_Alpha)*G4160))</f>
        <v>198.832577381185</v>
      </c>
      <c r="H4161" s="33" t="n">
        <f aca="false">IF(D4161="","",D4161-C4161)</f>
        <v>28</v>
      </c>
      <c r="I4161" s="33" t="n">
        <f aca="false">IF(E4161="","",E4161-C4161)</f>
        <v>30.75</v>
      </c>
      <c r="J4161" s="33" t="n">
        <f aca="false">IF(F4161="","",F4161-C4161)</f>
        <v>24.25</v>
      </c>
      <c r="K4161" s="33" t="n">
        <f aca="false">IF(G4161="","",G4161-C4161)</f>
        <v>26.8325773811855</v>
      </c>
      <c r="L4161" s="33" t="n">
        <f aca="false">IF(H4161="","",ABS(H4161))</f>
        <v>28</v>
      </c>
      <c r="M4161" s="33" t="n">
        <f aca="false">IF(I4161="","",ABS(I4161))</f>
        <v>30.75</v>
      </c>
      <c r="N4161" s="33" t="n">
        <f aca="false">IF(J4161="","",ABS(J4161))</f>
        <v>24.25</v>
      </c>
      <c r="O4161" s="33" t="n">
        <f aca="false">IF(K4161="","",ABS(K4161))</f>
        <v>26.8325773811855</v>
      </c>
      <c r="P4161" s="34" t="str">
        <f aca="false">IF(B4161&gt;=Eval_Start_Week,"YES","")</f>
        <v>YES</v>
      </c>
      <c r="Q4161" s="34" t="str">
        <f aca="false">IF(AND(B4161&gt;=Cal_Start_Week,B4161&lt;=Cal_End_Week),"YES","")</f>
        <v/>
      </c>
    </row>
    <row r="4162" customFormat="false" ht="15" hidden="false" customHeight="false" outlineLevel="0" collapsed="false">
      <c r="A4162" s="31" t="str">
        <f aca="false">Demand_History!C4162</f>
        <v>CLN-004</v>
      </c>
      <c r="B4162" s="31" t="n">
        <f aca="false">Demand_History!A4162</f>
        <v>1</v>
      </c>
      <c r="C4162" s="32" t="n">
        <f aca="false">Demand_History!D4162</f>
        <v>80</v>
      </c>
      <c r="D4162" s="33" t="str">
        <f aca="false">IF(B4162&gt;=2,C4161,"")</f>
        <v/>
      </c>
      <c r="E4162" s="33" t="str">
        <f aca="false">IF(B4162&gt;=5,AVERAGE(C4158:C4161),"")</f>
        <v/>
      </c>
      <c r="F4162" s="33" t="str">
        <f aca="false">IF(B4162&gt;=9,AVERAGE(C4154:C4161),"")</f>
        <v/>
      </c>
      <c r="G4162" s="33" t="str">
        <f aca="false">IF(B4162=1,"",IF(B4162=2,C4161,SES_Alpha*C4161+(1-SES_Alpha)*G4161))</f>
        <v/>
      </c>
      <c r="H4162" s="33" t="str">
        <f aca="false">IF(D4162="","",D4162-C4162)</f>
        <v/>
      </c>
      <c r="I4162" s="33" t="str">
        <f aca="false">IF(E4162="","",E4162-C4162)</f>
        <v/>
      </c>
      <c r="J4162" s="33" t="str">
        <f aca="false">IF(F4162="","",F4162-C4162)</f>
        <v/>
      </c>
      <c r="K4162" s="33" t="str">
        <f aca="false">IF(G4162="","",G4162-C4162)</f>
        <v/>
      </c>
      <c r="L4162" s="33" t="str">
        <f aca="false">IF(H4162="","",ABS(H4162))</f>
        <v/>
      </c>
      <c r="M4162" s="33" t="str">
        <f aca="false">IF(I4162="","",ABS(I4162))</f>
        <v/>
      </c>
      <c r="N4162" s="33" t="str">
        <f aca="false">IF(J4162="","",ABS(J4162))</f>
        <v/>
      </c>
      <c r="O4162" s="33" t="str">
        <f aca="false">IF(K4162="","",ABS(K4162))</f>
        <v/>
      </c>
      <c r="P4162" s="34" t="str">
        <f aca="false">IF(B4162&gt;=Eval_Start_Week,"YES","")</f>
        <v/>
      </c>
      <c r="Q4162" s="34" t="str">
        <f aca="false">IF(AND(B4162&gt;=Cal_Start_Week,B4162&lt;=Cal_End_Week),"YES","")</f>
        <v/>
      </c>
    </row>
    <row r="4163" customFormat="false" ht="15" hidden="false" customHeight="false" outlineLevel="0" collapsed="false">
      <c r="A4163" s="31" t="str">
        <f aca="false">Demand_History!C4163</f>
        <v>CLN-004</v>
      </c>
      <c r="B4163" s="31" t="n">
        <f aca="false">Demand_History!A4163</f>
        <v>2</v>
      </c>
      <c r="C4163" s="32" t="n">
        <f aca="false">Demand_History!D4163</f>
        <v>88</v>
      </c>
      <c r="D4163" s="33" t="n">
        <f aca="false">IF(B4163&gt;=2,C4162,"")</f>
        <v>80</v>
      </c>
      <c r="E4163" s="33" t="str">
        <f aca="false">IF(B4163&gt;=5,AVERAGE(C4159:C4162),"")</f>
        <v/>
      </c>
      <c r="F4163" s="33" t="str">
        <f aca="false">IF(B4163&gt;=9,AVERAGE(C4155:C4162),"")</f>
        <v/>
      </c>
      <c r="G4163" s="33" t="n">
        <f aca="false">IF(B4163=1,"",IF(B4163=2,C4162,SES_Alpha*C4162+(1-SES_Alpha)*G4162))</f>
        <v>80</v>
      </c>
      <c r="H4163" s="33" t="n">
        <f aca="false">IF(D4163="","",D4163-C4163)</f>
        <v>-8</v>
      </c>
      <c r="I4163" s="33" t="str">
        <f aca="false">IF(E4163="","",E4163-C4163)</f>
        <v/>
      </c>
      <c r="J4163" s="33" t="str">
        <f aca="false">IF(F4163="","",F4163-C4163)</f>
        <v/>
      </c>
      <c r="K4163" s="33" t="n">
        <f aca="false">IF(G4163="","",G4163-C4163)</f>
        <v>-8</v>
      </c>
      <c r="L4163" s="33" t="n">
        <f aca="false">IF(H4163="","",ABS(H4163))</f>
        <v>8</v>
      </c>
      <c r="M4163" s="33" t="str">
        <f aca="false">IF(I4163="","",ABS(I4163))</f>
        <v/>
      </c>
      <c r="N4163" s="33" t="str">
        <f aca="false">IF(J4163="","",ABS(J4163))</f>
        <v/>
      </c>
      <c r="O4163" s="33" t="n">
        <f aca="false">IF(K4163="","",ABS(K4163))</f>
        <v>8</v>
      </c>
      <c r="P4163" s="34" t="str">
        <f aca="false">IF(B4163&gt;=Eval_Start_Week,"YES","")</f>
        <v/>
      </c>
      <c r="Q4163" s="34" t="str">
        <f aca="false">IF(AND(B4163&gt;=Cal_Start_Week,B4163&lt;=Cal_End_Week),"YES","")</f>
        <v/>
      </c>
    </row>
    <row r="4164" customFormat="false" ht="15" hidden="false" customHeight="false" outlineLevel="0" collapsed="false">
      <c r="A4164" s="31" t="str">
        <f aca="false">Demand_History!C4164</f>
        <v>CLN-004</v>
      </c>
      <c r="B4164" s="31" t="n">
        <f aca="false">Demand_History!A4164</f>
        <v>3</v>
      </c>
      <c r="C4164" s="32" t="n">
        <f aca="false">Demand_History!D4164</f>
        <v>67</v>
      </c>
      <c r="D4164" s="33" t="n">
        <f aca="false">IF(B4164&gt;=2,C4163,"")</f>
        <v>88</v>
      </c>
      <c r="E4164" s="33" t="str">
        <f aca="false">IF(B4164&gt;=5,AVERAGE(C4160:C4163),"")</f>
        <v/>
      </c>
      <c r="F4164" s="33" t="str">
        <f aca="false">IF(B4164&gt;=9,AVERAGE(C4156:C4163),"")</f>
        <v/>
      </c>
      <c r="G4164" s="33" t="n">
        <f aca="false">IF(B4164=1,"",IF(B4164=2,C4163,SES_Alpha*C4163+(1-SES_Alpha)*G4163))</f>
        <v>82.4</v>
      </c>
      <c r="H4164" s="33" t="n">
        <f aca="false">IF(D4164="","",D4164-C4164)</f>
        <v>21</v>
      </c>
      <c r="I4164" s="33" t="str">
        <f aca="false">IF(E4164="","",E4164-C4164)</f>
        <v/>
      </c>
      <c r="J4164" s="33" t="str">
        <f aca="false">IF(F4164="","",F4164-C4164)</f>
        <v/>
      </c>
      <c r="K4164" s="33" t="n">
        <f aca="false">IF(G4164="","",G4164-C4164)</f>
        <v>15.4</v>
      </c>
      <c r="L4164" s="33" t="n">
        <f aca="false">IF(H4164="","",ABS(H4164))</f>
        <v>21</v>
      </c>
      <c r="M4164" s="33" t="str">
        <f aca="false">IF(I4164="","",ABS(I4164))</f>
        <v/>
      </c>
      <c r="N4164" s="33" t="str">
        <f aca="false">IF(J4164="","",ABS(J4164))</f>
        <v/>
      </c>
      <c r="O4164" s="33" t="n">
        <f aca="false">IF(K4164="","",ABS(K4164))</f>
        <v>15.4</v>
      </c>
      <c r="P4164" s="34" t="str">
        <f aca="false">IF(B4164&gt;=Eval_Start_Week,"YES","")</f>
        <v/>
      </c>
      <c r="Q4164" s="34" t="str">
        <f aca="false">IF(AND(B4164&gt;=Cal_Start_Week,B4164&lt;=Cal_End_Week),"YES","")</f>
        <v/>
      </c>
    </row>
    <row r="4165" customFormat="false" ht="15" hidden="false" customHeight="false" outlineLevel="0" collapsed="false">
      <c r="A4165" s="31" t="str">
        <f aca="false">Demand_History!C4165</f>
        <v>CLN-004</v>
      </c>
      <c r="B4165" s="31" t="n">
        <f aca="false">Demand_History!A4165</f>
        <v>4</v>
      </c>
      <c r="C4165" s="32" t="n">
        <f aca="false">Demand_History!D4165</f>
        <v>107</v>
      </c>
      <c r="D4165" s="33" t="n">
        <f aca="false">IF(B4165&gt;=2,C4164,"")</f>
        <v>67</v>
      </c>
      <c r="E4165" s="33" t="str">
        <f aca="false">IF(B4165&gt;=5,AVERAGE(C4161:C4164),"")</f>
        <v/>
      </c>
      <c r="F4165" s="33" t="str">
        <f aca="false">IF(B4165&gt;=9,AVERAGE(C4157:C4164),"")</f>
        <v/>
      </c>
      <c r="G4165" s="33" t="n">
        <f aca="false">IF(B4165=1,"",IF(B4165=2,C4164,SES_Alpha*C4164+(1-SES_Alpha)*G4164))</f>
        <v>77.78</v>
      </c>
      <c r="H4165" s="33" t="n">
        <f aca="false">IF(D4165="","",D4165-C4165)</f>
        <v>-40</v>
      </c>
      <c r="I4165" s="33" t="str">
        <f aca="false">IF(E4165="","",E4165-C4165)</f>
        <v/>
      </c>
      <c r="J4165" s="33" t="str">
        <f aca="false">IF(F4165="","",F4165-C4165)</f>
        <v/>
      </c>
      <c r="K4165" s="33" t="n">
        <f aca="false">IF(G4165="","",G4165-C4165)</f>
        <v>-29.22</v>
      </c>
      <c r="L4165" s="33" t="n">
        <f aca="false">IF(H4165="","",ABS(H4165))</f>
        <v>40</v>
      </c>
      <c r="M4165" s="33" t="str">
        <f aca="false">IF(I4165="","",ABS(I4165))</f>
        <v/>
      </c>
      <c r="N4165" s="33" t="str">
        <f aca="false">IF(J4165="","",ABS(J4165))</f>
        <v/>
      </c>
      <c r="O4165" s="33" t="n">
        <f aca="false">IF(K4165="","",ABS(K4165))</f>
        <v>29.22</v>
      </c>
      <c r="P4165" s="34" t="str">
        <f aca="false">IF(B4165&gt;=Eval_Start_Week,"YES","")</f>
        <v/>
      </c>
      <c r="Q4165" s="34" t="str">
        <f aca="false">IF(AND(B4165&gt;=Cal_Start_Week,B4165&lt;=Cal_End_Week),"YES","")</f>
        <v/>
      </c>
    </row>
    <row r="4166" customFormat="false" ht="15" hidden="false" customHeight="false" outlineLevel="0" collapsed="false">
      <c r="A4166" s="31" t="str">
        <f aca="false">Demand_History!C4166</f>
        <v>CLN-004</v>
      </c>
      <c r="B4166" s="31" t="n">
        <f aca="false">Demand_History!A4166</f>
        <v>5</v>
      </c>
      <c r="C4166" s="32" t="n">
        <f aca="false">Demand_History!D4166</f>
        <v>46</v>
      </c>
      <c r="D4166" s="33" t="n">
        <f aca="false">IF(B4166&gt;=2,C4165,"")</f>
        <v>107</v>
      </c>
      <c r="E4166" s="33" t="n">
        <f aca="false">IF(B4166&gt;=5,AVERAGE(C4162:C4165),"")</f>
        <v>85.5</v>
      </c>
      <c r="F4166" s="33" t="str">
        <f aca="false">IF(B4166&gt;=9,AVERAGE(C4158:C4165),"")</f>
        <v/>
      </c>
      <c r="G4166" s="33" t="n">
        <f aca="false">IF(B4166=1,"",IF(B4166=2,C4165,SES_Alpha*C4165+(1-SES_Alpha)*G4165))</f>
        <v>86.546</v>
      </c>
      <c r="H4166" s="33" t="n">
        <f aca="false">IF(D4166="","",D4166-C4166)</f>
        <v>61</v>
      </c>
      <c r="I4166" s="33" t="n">
        <f aca="false">IF(E4166="","",E4166-C4166)</f>
        <v>39.5</v>
      </c>
      <c r="J4166" s="33" t="str">
        <f aca="false">IF(F4166="","",F4166-C4166)</f>
        <v/>
      </c>
      <c r="K4166" s="33" t="n">
        <f aca="false">IF(G4166="","",G4166-C4166)</f>
        <v>40.546</v>
      </c>
      <c r="L4166" s="33" t="n">
        <f aca="false">IF(H4166="","",ABS(H4166))</f>
        <v>61</v>
      </c>
      <c r="M4166" s="33" t="n">
        <f aca="false">IF(I4166="","",ABS(I4166))</f>
        <v>39.5</v>
      </c>
      <c r="N4166" s="33" t="str">
        <f aca="false">IF(J4166="","",ABS(J4166))</f>
        <v/>
      </c>
      <c r="O4166" s="33" t="n">
        <f aca="false">IF(K4166="","",ABS(K4166))</f>
        <v>40.546</v>
      </c>
      <c r="P4166" s="34" t="str">
        <f aca="false">IF(B4166&gt;=Eval_Start_Week,"YES","")</f>
        <v/>
      </c>
      <c r="Q4166" s="34" t="str">
        <f aca="false">IF(AND(B4166&gt;=Cal_Start_Week,B4166&lt;=Cal_End_Week),"YES","")</f>
        <v/>
      </c>
    </row>
    <row r="4167" customFormat="false" ht="15" hidden="false" customHeight="false" outlineLevel="0" collapsed="false">
      <c r="A4167" s="31" t="str">
        <f aca="false">Demand_History!C4167</f>
        <v>CLN-004</v>
      </c>
      <c r="B4167" s="31" t="n">
        <f aca="false">Demand_History!A4167</f>
        <v>6</v>
      </c>
      <c r="C4167" s="32" t="n">
        <f aca="false">Demand_History!D4167</f>
        <v>89</v>
      </c>
      <c r="D4167" s="33" t="n">
        <f aca="false">IF(B4167&gt;=2,C4166,"")</f>
        <v>46</v>
      </c>
      <c r="E4167" s="33" t="n">
        <f aca="false">IF(B4167&gt;=5,AVERAGE(C4163:C4166),"")</f>
        <v>77</v>
      </c>
      <c r="F4167" s="33" t="str">
        <f aca="false">IF(B4167&gt;=9,AVERAGE(C4159:C4166),"")</f>
        <v/>
      </c>
      <c r="G4167" s="33" t="n">
        <f aca="false">IF(B4167=1,"",IF(B4167=2,C4166,SES_Alpha*C4166+(1-SES_Alpha)*G4166))</f>
        <v>74.3822</v>
      </c>
      <c r="H4167" s="33" t="n">
        <f aca="false">IF(D4167="","",D4167-C4167)</f>
        <v>-43</v>
      </c>
      <c r="I4167" s="33" t="n">
        <f aca="false">IF(E4167="","",E4167-C4167)</f>
        <v>-12</v>
      </c>
      <c r="J4167" s="33" t="str">
        <f aca="false">IF(F4167="","",F4167-C4167)</f>
        <v/>
      </c>
      <c r="K4167" s="33" t="n">
        <f aca="false">IF(G4167="","",G4167-C4167)</f>
        <v>-14.6178</v>
      </c>
      <c r="L4167" s="33" t="n">
        <f aca="false">IF(H4167="","",ABS(H4167))</f>
        <v>43</v>
      </c>
      <c r="M4167" s="33" t="n">
        <f aca="false">IF(I4167="","",ABS(I4167))</f>
        <v>12</v>
      </c>
      <c r="N4167" s="33" t="str">
        <f aca="false">IF(J4167="","",ABS(J4167))</f>
        <v/>
      </c>
      <c r="O4167" s="33" t="n">
        <f aca="false">IF(K4167="","",ABS(K4167))</f>
        <v>14.6178</v>
      </c>
      <c r="P4167" s="34" t="str">
        <f aca="false">IF(B4167&gt;=Eval_Start_Week,"YES","")</f>
        <v/>
      </c>
      <c r="Q4167" s="34" t="str">
        <f aca="false">IF(AND(B4167&gt;=Cal_Start_Week,B4167&lt;=Cal_End_Week),"YES","")</f>
        <v/>
      </c>
    </row>
    <row r="4168" customFormat="false" ht="15" hidden="false" customHeight="false" outlineLevel="0" collapsed="false">
      <c r="A4168" s="31" t="str">
        <f aca="false">Demand_History!C4168</f>
        <v>CLN-004</v>
      </c>
      <c r="B4168" s="31" t="n">
        <f aca="false">Demand_History!A4168</f>
        <v>7</v>
      </c>
      <c r="C4168" s="32" t="n">
        <f aca="false">Demand_History!D4168</f>
        <v>89</v>
      </c>
      <c r="D4168" s="33" t="n">
        <f aca="false">IF(B4168&gt;=2,C4167,"")</f>
        <v>89</v>
      </c>
      <c r="E4168" s="33" t="n">
        <f aca="false">IF(B4168&gt;=5,AVERAGE(C4164:C4167),"")</f>
        <v>77.25</v>
      </c>
      <c r="F4168" s="33" t="str">
        <f aca="false">IF(B4168&gt;=9,AVERAGE(C4160:C4167),"")</f>
        <v/>
      </c>
      <c r="G4168" s="33" t="n">
        <f aca="false">IF(B4168=1,"",IF(B4168=2,C4167,SES_Alpha*C4167+(1-SES_Alpha)*G4167))</f>
        <v>78.76754</v>
      </c>
      <c r="H4168" s="33" t="n">
        <f aca="false">IF(D4168="","",D4168-C4168)</f>
        <v>0</v>
      </c>
      <c r="I4168" s="33" t="n">
        <f aca="false">IF(E4168="","",E4168-C4168)</f>
        <v>-11.75</v>
      </c>
      <c r="J4168" s="33" t="str">
        <f aca="false">IF(F4168="","",F4168-C4168)</f>
        <v/>
      </c>
      <c r="K4168" s="33" t="n">
        <f aca="false">IF(G4168="","",G4168-C4168)</f>
        <v>-10.23246</v>
      </c>
      <c r="L4168" s="33" t="n">
        <f aca="false">IF(H4168="","",ABS(H4168))</f>
        <v>0</v>
      </c>
      <c r="M4168" s="33" t="n">
        <f aca="false">IF(I4168="","",ABS(I4168))</f>
        <v>11.75</v>
      </c>
      <c r="N4168" s="33" t="str">
        <f aca="false">IF(J4168="","",ABS(J4168))</f>
        <v/>
      </c>
      <c r="O4168" s="33" t="n">
        <f aca="false">IF(K4168="","",ABS(K4168))</f>
        <v>10.23246</v>
      </c>
      <c r="P4168" s="34" t="str">
        <f aca="false">IF(B4168&gt;=Eval_Start_Week,"YES","")</f>
        <v/>
      </c>
      <c r="Q4168" s="34" t="str">
        <f aca="false">IF(AND(B4168&gt;=Cal_Start_Week,B4168&lt;=Cal_End_Week),"YES","")</f>
        <v/>
      </c>
    </row>
    <row r="4169" customFormat="false" ht="15" hidden="false" customHeight="false" outlineLevel="0" collapsed="false">
      <c r="A4169" s="31" t="str">
        <f aca="false">Demand_History!C4169</f>
        <v>CLN-004</v>
      </c>
      <c r="B4169" s="31" t="n">
        <f aca="false">Demand_History!A4169</f>
        <v>8</v>
      </c>
      <c r="C4169" s="32" t="n">
        <f aca="false">Demand_History!D4169</f>
        <v>31</v>
      </c>
      <c r="D4169" s="33" t="n">
        <f aca="false">IF(B4169&gt;=2,C4168,"")</f>
        <v>89</v>
      </c>
      <c r="E4169" s="33" t="n">
        <f aca="false">IF(B4169&gt;=5,AVERAGE(C4165:C4168),"")</f>
        <v>82.75</v>
      </c>
      <c r="F4169" s="33" t="str">
        <f aca="false">IF(B4169&gt;=9,AVERAGE(C4161:C4168),"")</f>
        <v/>
      </c>
      <c r="G4169" s="33" t="n">
        <f aca="false">IF(B4169=1,"",IF(B4169=2,C4168,SES_Alpha*C4168+(1-SES_Alpha)*G4168))</f>
        <v>81.837278</v>
      </c>
      <c r="H4169" s="33" t="n">
        <f aca="false">IF(D4169="","",D4169-C4169)</f>
        <v>58</v>
      </c>
      <c r="I4169" s="33" t="n">
        <f aca="false">IF(E4169="","",E4169-C4169)</f>
        <v>51.75</v>
      </c>
      <c r="J4169" s="33" t="str">
        <f aca="false">IF(F4169="","",F4169-C4169)</f>
        <v/>
      </c>
      <c r="K4169" s="33" t="n">
        <f aca="false">IF(G4169="","",G4169-C4169)</f>
        <v>50.837278</v>
      </c>
      <c r="L4169" s="33" t="n">
        <f aca="false">IF(H4169="","",ABS(H4169))</f>
        <v>58</v>
      </c>
      <c r="M4169" s="33" t="n">
        <f aca="false">IF(I4169="","",ABS(I4169))</f>
        <v>51.75</v>
      </c>
      <c r="N4169" s="33" t="str">
        <f aca="false">IF(J4169="","",ABS(J4169))</f>
        <v/>
      </c>
      <c r="O4169" s="33" t="n">
        <f aca="false">IF(K4169="","",ABS(K4169))</f>
        <v>50.837278</v>
      </c>
      <c r="P4169" s="34" t="str">
        <f aca="false">IF(B4169&gt;=Eval_Start_Week,"YES","")</f>
        <v/>
      </c>
      <c r="Q4169" s="34" t="str">
        <f aca="false">IF(AND(B4169&gt;=Cal_Start_Week,B4169&lt;=Cal_End_Week),"YES","")</f>
        <v/>
      </c>
    </row>
    <row r="4170" customFormat="false" ht="15" hidden="false" customHeight="false" outlineLevel="0" collapsed="false">
      <c r="A4170" s="31" t="str">
        <f aca="false">Demand_History!C4170</f>
        <v>CLN-004</v>
      </c>
      <c r="B4170" s="31" t="n">
        <f aca="false">Demand_History!A4170</f>
        <v>9</v>
      </c>
      <c r="C4170" s="32" t="n">
        <f aca="false">Demand_History!D4170</f>
        <v>99</v>
      </c>
      <c r="D4170" s="33" t="n">
        <f aca="false">IF(B4170&gt;=2,C4169,"")</f>
        <v>31</v>
      </c>
      <c r="E4170" s="33" t="n">
        <f aca="false">IF(B4170&gt;=5,AVERAGE(C4166:C4169),"")</f>
        <v>63.75</v>
      </c>
      <c r="F4170" s="33" t="n">
        <f aca="false">IF(B4170&gt;=9,AVERAGE(C4162:C4169),"")</f>
        <v>74.625</v>
      </c>
      <c r="G4170" s="33" t="n">
        <f aca="false">IF(B4170=1,"",IF(B4170=2,C4169,SES_Alpha*C4169+(1-SES_Alpha)*G4169))</f>
        <v>66.5860946</v>
      </c>
      <c r="H4170" s="33" t="n">
        <f aca="false">IF(D4170="","",D4170-C4170)</f>
        <v>-68</v>
      </c>
      <c r="I4170" s="33" t="n">
        <f aca="false">IF(E4170="","",E4170-C4170)</f>
        <v>-35.25</v>
      </c>
      <c r="J4170" s="33" t="n">
        <f aca="false">IF(F4170="","",F4170-C4170)</f>
        <v>-24.375</v>
      </c>
      <c r="K4170" s="33" t="n">
        <f aca="false">IF(G4170="","",G4170-C4170)</f>
        <v>-32.4139054</v>
      </c>
      <c r="L4170" s="33" t="n">
        <f aca="false">IF(H4170="","",ABS(H4170))</f>
        <v>68</v>
      </c>
      <c r="M4170" s="33" t="n">
        <f aca="false">IF(I4170="","",ABS(I4170))</f>
        <v>35.25</v>
      </c>
      <c r="N4170" s="33" t="n">
        <f aca="false">IF(J4170="","",ABS(J4170))</f>
        <v>24.375</v>
      </c>
      <c r="O4170" s="33" t="n">
        <f aca="false">IF(K4170="","",ABS(K4170))</f>
        <v>32.4139054</v>
      </c>
      <c r="P4170" s="34" t="str">
        <f aca="false">IF(B4170&gt;=Eval_Start_Week,"YES","")</f>
        <v/>
      </c>
      <c r="Q4170" s="34" t="str">
        <f aca="false">IF(AND(B4170&gt;=Cal_Start_Week,B4170&lt;=Cal_End_Week),"YES","")</f>
        <v/>
      </c>
    </row>
    <row r="4171" customFormat="false" ht="15" hidden="false" customHeight="false" outlineLevel="0" collapsed="false">
      <c r="A4171" s="31" t="str">
        <f aca="false">Demand_History!C4171</f>
        <v>CLN-004</v>
      </c>
      <c r="B4171" s="31" t="n">
        <f aca="false">Demand_History!A4171</f>
        <v>10</v>
      </c>
      <c r="C4171" s="32" t="n">
        <f aca="false">Demand_History!D4171</f>
        <v>50</v>
      </c>
      <c r="D4171" s="33" t="n">
        <f aca="false">IF(B4171&gt;=2,C4170,"")</f>
        <v>99</v>
      </c>
      <c r="E4171" s="33" t="n">
        <f aca="false">IF(B4171&gt;=5,AVERAGE(C4167:C4170),"")</f>
        <v>77</v>
      </c>
      <c r="F4171" s="33" t="n">
        <f aca="false">IF(B4171&gt;=9,AVERAGE(C4163:C4170),"")</f>
        <v>77</v>
      </c>
      <c r="G4171" s="33" t="n">
        <f aca="false">IF(B4171=1,"",IF(B4171=2,C4170,SES_Alpha*C4170+(1-SES_Alpha)*G4170))</f>
        <v>76.31026622</v>
      </c>
      <c r="H4171" s="33" t="n">
        <f aca="false">IF(D4171="","",D4171-C4171)</f>
        <v>49</v>
      </c>
      <c r="I4171" s="33" t="n">
        <f aca="false">IF(E4171="","",E4171-C4171)</f>
        <v>27</v>
      </c>
      <c r="J4171" s="33" t="n">
        <f aca="false">IF(F4171="","",F4171-C4171)</f>
        <v>27</v>
      </c>
      <c r="K4171" s="33" t="n">
        <f aca="false">IF(G4171="","",G4171-C4171)</f>
        <v>26.31026622</v>
      </c>
      <c r="L4171" s="33" t="n">
        <f aca="false">IF(H4171="","",ABS(H4171))</f>
        <v>49</v>
      </c>
      <c r="M4171" s="33" t="n">
        <f aca="false">IF(I4171="","",ABS(I4171))</f>
        <v>27</v>
      </c>
      <c r="N4171" s="33" t="n">
        <f aca="false">IF(J4171="","",ABS(J4171))</f>
        <v>27</v>
      </c>
      <c r="O4171" s="33" t="n">
        <f aca="false">IF(K4171="","",ABS(K4171))</f>
        <v>26.31026622</v>
      </c>
      <c r="P4171" s="34" t="str">
        <f aca="false">IF(B4171&gt;=Eval_Start_Week,"YES","")</f>
        <v/>
      </c>
      <c r="Q4171" s="34" t="str">
        <f aca="false">IF(AND(B4171&gt;=Cal_Start_Week,B4171&lt;=Cal_End_Week),"YES","")</f>
        <v/>
      </c>
    </row>
    <row r="4172" customFormat="false" ht="15" hidden="false" customHeight="false" outlineLevel="0" collapsed="false">
      <c r="A4172" s="31" t="str">
        <f aca="false">Demand_History!C4172</f>
        <v>CLN-004</v>
      </c>
      <c r="B4172" s="31" t="n">
        <f aca="false">Demand_History!A4172</f>
        <v>11</v>
      </c>
      <c r="C4172" s="32" t="n">
        <f aca="false">Demand_History!D4172</f>
        <v>12</v>
      </c>
      <c r="D4172" s="33" t="n">
        <f aca="false">IF(B4172&gt;=2,C4171,"")</f>
        <v>50</v>
      </c>
      <c r="E4172" s="33" t="n">
        <f aca="false">IF(B4172&gt;=5,AVERAGE(C4168:C4171),"")</f>
        <v>67.25</v>
      </c>
      <c r="F4172" s="33" t="n">
        <f aca="false">IF(B4172&gt;=9,AVERAGE(C4164:C4171),"")</f>
        <v>72.25</v>
      </c>
      <c r="G4172" s="33" t="n">
        <f aca="false">IF(B4172=1,"",IF(B4172=2,C4171,SES_Alpha*C4171+(1-SES_Alpha)*G4171))</f>
        <v>68.417186354</v>
      </c>
      <c r="H4172" s="33" t="n">
        <f aca="false">IF(D4172="","",D4172-C4172)</f>
        <v>38</v>
      </c>
      <c r="I4172" s="33" t="n">
        <f aca="false">IF(E4172="","",E4172-C4172)</f>
        <v>55.25</v>
      </c>
      <c r="J4172" s="33" t="n">
        <f aca="false">IF(F4172="","",F4172-C4172)</f>
        <v>60.25</v>
      </c>
      <c r="K4172" s="33" t="n">
        <f aca="false">IF(G4172="","",G4172-C4172)</f>
        <v>56.417186354</v>
      </c>
      <c r="L4172" s="33" t="n">
        <f aca="false">IF(H4172="","",ABS(H4172))</f>
        <v>38</v>
      </c>
      <c r="M4172" s="33" t="n">
        <f aca="false">IF(I4172="","",ABS(I4172))</f>
        <v>55.25</v>
      </c>
      <c r="N4172" s="33" t="n">
        <f aca="false">IF(J4172="","",ABS(J4172))</f>
        <v>60.25</v>
      </c>
      <c r="O4172" s="33" t="n">
        <f aca="false">IF(K4172="","",ABS(K4172))</f>
        <v>56.417186354</v>
      </c>
      <c r="P4172" s="34" t="str">
        <f aca="false">IF(B4172&gt;=Eval_Start_Week,"YES","")</f>
        <v/>
      </c>
      <c r="Q4172" s="34" t="str">
        <f aca="false">IF(AND(B4172&gt;=Cal_Start_Week,B4172&lt;=Cal_End_Week),"YES","")</f>
        <v/>
      </c>
    </row>
    <row r="4173" customFormat="false" ht="15" hidden="false" customHeight="false" outlineLevel="0" collapsed="false">
      <c r="A4173" s="31" t="str">
        <f aca="false">Demand_History!C4173</f>
        <v>CLN-004</v>
      </c>
      <c r="B4173" s="31" t="n">
        <f aca="false">Demand_History!A4173</f>
        <v>12</v>
      </c>
      <c r="C4173" s="32" t="n">
        <f aca="false">Demand_History!D4173</f>
        <v>70</v>
      </c>
      <c r="D4173" s="33" t="n">
        <f aca="false">IF(B4173&gt;=2,C4172,"")</f>
        <v>12</v>
      </c>
      <c r="E4173" s="33" t="n">
        <f aca="false">IF(B4173&gt;=5,AVERAGE(C4169:C4172),"")</f>
        <v>48</v>
      </c>
      <c r="F4173" s="33" t="n">
        <f aca="false">IF(B4173&gt;=9,AVERAGE(C4165:C4172),"")</f>
        <v>65.375</v>
      </c>
      <c r="G4173" s="33" t="n">
        <f aca="false">IF(B4173=1,"",IF(B4173=2,C4172,SES_Alpha*C4172+(1-SES_Alpha)*G4172))</f>
        <v>51.4920304478</v>
      </c>
      <c r="H4173" s="33" t="n">
        <f aca="false">IF(D4173="","",D4173-C4173)</f>
        <v>-58</v>
      </c>
      <c r="I4173" s="33" t="n">
        <f aca="false">IF(E4173="","",E4173-C4173)</f>
        <v>-22</v>
      </c>
      <c r="J4173" s="33" t="n">
        <f aca="false">IF(F4173="","",F4173-C4173)</f>
        <v>-4.625</v>
      </c>
      <c r="K4173" s="33" t="n">
        <f aca="false">IF(G4173="","",G4173-C4173)</f>
        <v>-18.5079695522</v>
      </c>
      <c r="L4173" s="33" t="n">
        <f aca="false">IF(H4173="","",ABS(H4173))</f>
        <v>58</v>
      </c>
      <c r="M4173" s="33" t="n">
        <f aca="false">IF(I4173="","",ABS(I4173))</f>
        <v>22</v>
      </c>
      <c r="N4173" s="33" t="n">
        <f aca="false">IF(J4173="","",ABS(J4173))</f>
        <v>4.625</v>
      </c>
      <c r="O4173" s="33" t="n">
        <f aca="false">IF(K4173="","",ABS(K4173))</f>
        <v>18.5079695522</v>
      </c>
      <c r="P4173" s="34" t="str">
        <f aca="false">IF(B4173&gt;=Eval_Start_Week,"YES","")</f>
        <v/>
      </c>
      <c r="Q4173" s="34" t="str">
        <f aca="false">IF(AND(B4173&gt;=Cal_Start_Week,B4173&lt;=Cal_End_Week),"YES","")</f>
        <v/>
      </c>
    </row>
    <row r="4174" customFormat="false" ht="15" hidden="false" customHeight="false" outlineLevel="0" collapsed="false">
      <c r="A4174" s="31" t="str">
        <f aca="false">Demand_History!C4174</f>
        <v>CLN-004</v>
      </c>
      <c r="B4174" s="31" t="n">
        <f aca="false">Demand_History!A4174</f>
        <v>13</v>
      </c>
      <c r="C4174" s="32" t="n">
        <f aca="false">Demand_History!D4174</f>
        <v>82</v>
      </c>
      <c r="D4174" s="33" t="n">
        <f aca="false">IF(B4174&gt;=2,C4173,"")</f>
        <v>70</v>
      </c>
      <c r="E4174" s="33" t="n">
        <f aca="false">IF(B4174&gt;=5,AVERAGE(C4170:C4173),"")</f>
        <v>57.75</v>
      </c>
      <c r="F4174" s="33" t="n">
        <f aca="false">IF(B4174&gt;=9,AVERAGE(C4166:C4173),"")</f>
        <v>60.75</v>
      </c>
      <c r="G4174" s="33" t="n">
        <f aca="false">IF(B4174=1,"",IF(B4174=2,C4173,SES_Alpha*C4173+(1-SES_Alpha)*G4173))</f>
        <v>57.04442131346</v>
      </c>
      <c r="H4174" s="33" t="n">
        <f aca="false">IF(D4174="","",D4174-C4174)</f>
        <v>-12</v>
      </c>
      <c r="I4174" s="33" t="n">
        <f aca="false">IF(E4174="","",E4174-C4174)</f>
        <v>-24.25</v>
      </c>
      <c r="J4174" s="33" t="n">
        <f aca="false">IF(F4174="","",F4174-C4174)</f>
        <v>-21.25</v>
      </c>
      <c r="K4174" s="33" t="n">
        <f aca="false">IF(G4174="","",G4174-C4174)</f>
        <v>-24.95557868654</v>
      </c>
      <c r="L4174" s="33" t="n">
        <f aca="false">IF(H4174="","",ABS(H4174))</f>
        <v>12</v>
      </c>
      <c r="M4174" s="33" t="n">
        <f aca="false">IF(I4174="","",ABS(I4174))</f>
        <v>24.25</v>
      </c>
      <c r="N4174" s="33" t="n">
        <f aca="false">IF(J4174="","",ABS(J4174))</f>
        <v>21.25</v>
      </c>
      <c r="O4174" s="33" t="n">
        <f aca="false">IF(K4174="","",ABS(K4174))</f>
        <v>24.95557868654</v>
      </c>
      <c r="P4174" s="34" t="str">
        <f aca="false">IF(B4174&gt;=Eval_Start_Week,"YES","")</f>
        <v/>
      </c>
      <c r="Q4174" s="34" t="str">
        <f aca="false">IF(AND(B4174&gt;=Cal_Start_Week,B4174&lt;=Cal_End_Week),"YES","")</f>
        <v/>
      </c>
    </row>
    <row r="4175" customFormat="false" ht="15" hidden="false" customHeight="false" outlineLevel="0" collapsed="false">
      <c r="A4175" s="31" t="str">
        <f aca="false">Demand_History!C4175</f>
        <v>CLN-004</v>
      </c>
      <c r="B4175" s="31" t="n">
        <f aca="false">Demand_History!A4175</f>
        <v>14</v>
      </c>
      <c r="C4175" s="32" t="n">
        <f aca="false">Demand_History!D4175</f>
        <v>117</v>
      </c>
      <c r="D4175" s="33" t="n">
        <f aca="false">IF(B4175&gt;=2,C4174,"")</f>
        <v>82</v>
      </c>
      <c r="E4175" s="33" t="n">
        <f aca="false">IF(B4175&gt;=5,AVERAGE(C4171:C4174),"")</f>
        <v>53.5</v>
      </c>
      <c r="F4175" s="33" t="n">
        <f aca="false">IF(B4175&gt;=9,AVERAGE(C4167:C4174),"")</f>
        <v>65.25</v>
      </c>
      <c r="G4175" s="33" t="n">
        <f aca="false">IF(B4175=1,"",IF(B4175=2,C4174,SES_Alpha*C4174+(1-SES_Alpha)*G4174))</f>
        <v>64.531094919422</v>
      </c>
      <c r="H4175" s="33" t="n">
        <f aca="false">IF(D4175="","",D4175-C4175)</f>
        <v>-35</v>
      </c>
      <c r="I4175" s="33" t="n">
        <f aca="false">IF(E4175="","",E4175-C4175)</f>
        <v>-63.5</v>
      </c>
      <c r="J4175" s="33" t="n">
        <f aca="false">IF(F4175="","",F4175-C4175)</f>
        <v>-51.75</v>
      </c>
      <c r="K4175" s="33" t="n">
        <f aca="false">IF(G4175="","",G4175-C4175)</f>
        <v>-52.468905080578</v>
      </c>
      <c r="L4175" s="33" t="n">
        <f aca="false">IF(H4175="","",ABS(H4175))</f>
        <v>35</v>
      </c>
      <c r="M4175" s="33" t="n">
        <f aca="false">IF(I4175="","",ABS(I4175))</f>
        <v>63.5</v>
      </c>
      <c r="N4175" s="33" t="n">
        <f aca="false">IF(J4175="","",ABS(J4175))</f>
        <v>51.75</v>
      </c>
      <c r="O4175" s="33" t="n">
        <f aca="false">IF(K4175="","",ABS(K4175))</f>
        <v>52.468905080578</v>
      </c>
      <c r="P4175" s="34" t="str">
        <f aca="false">IF(B4175&gt;=Eval_Start_Week,"YES","")</f>
        <v/>
      </c>
      <c r="Q4175" s="34" t="str">
        <f aca="false">IF(AND(B4175&gt;=Cal_Start_Week,B4175&lt;=Cal_End_Week),"YES","")</f>
        <v/>
      </c>
    </row>
    <row r="4176" customFormat="false" ht="15" hidden="false" customHeight="false" outlineLevel="0" collapsed="false">
      <c r="A4176" s="31" t="str">
        <f aca="false">Demand_History!C4176</f>
        <v>CLN-004</v>
      </c>
      <c r="B4176" s="31" t="n">
        <f aca="false">Demand_History!A4176</f>
        <v>15</v>
      </c>
      <c r="C4176" s="32" t="n">
        <f aca="false">Demand_History!D4176</f>
        <v>74</v>
      </c>
      <c r="D4176" s="33" t="n">
        <f aca="false">IF(B4176&gt;=2,C4175,"")</f>
        <v>117</v>
      </c>
      <c r="E4176" s="33" t="n">
        <f aca="false">IF(B4176&gt;=5,AVERAGE(C4172:C4175),"")</f>
        <v>70.25</v>
      </c>
      <c r="F4176" s="33" t="n">
        <f aca="false">IF(B4176&gt;=9,AVERAGE(C4168:C4175),"")</f>
        <v>68.75</v>
      </c>
      <c r="G4176" s="33" t="n">
        <f aca="false">IF(B4176=1,"",IF(B4176=2,C4175,SES_Alpha*C4175+(1-SES_Alpha)*G4175))</f>
        <v>80.2717664435954</v>
      </c>
      <c r="H4176" s="33" t="n">
        <f aca="false">IF(D4176="","",D4176-C4176)</f>
        <v>43</v>
      </c>
      <c r="I4176" s="33" t="n">
        <f aca="false">IF(E4176="","",E4176-C4176)</f>
        <v>-3.75</v>
      </c>
      <c r="J4176" s="33" t="n">
        <f aca="false">IF(F4176="","",F4176-C4176)</f>
        <v>-5.25</v>
      </c>
      <c r="K4176" s="33" t="n">
        <f aca="false">IF(G4176="","",G4176-C4176)</f>
        <v>6.2717664435954</v>
      </c>
      <c r="L4176" s="33" t="n">
        <f aca="false">IF(H4176="","",ABS(H4176))</f>
        <v>43</v>
      </c>
      <c r="M4176" s="33" t="n">
        <f aca="false">IF(I4176="","",ABS(I4176))</f>
        <v>3.75</v>
      </c>
      <c r="N4176" s="33" t="n">
        <f aca="false">IF(J4176="","",ABS(J4176))</f>
        <v>5.25</v>
      </c>
      <c r="O4176" s="33" t="n">
        <f aca="false">IF(K4176="","",ABS(K4176))</f>
        <v>6.2717664435954</v>
      </c>
      <c r="P4176" s="34" t="str">
        <f aca="false">IF(B4176&gt;=Eval_Start_Week,"YES","")</f>
        <v/>
      </c>
      <c r="Q4176" s="34" t="str">
        <f aca="false">IF(AND(B4176&gt;=Cal_Start_Week,B4176&lt;=Cal_End_Week),"YES","")</f>
        <v/>
      </c>
    </row>
    <row r="4177" customFormat="false" ht="15" hidden="false" customHeight="false" outlineLevel="0" collapsed="false">
      <c r="A4177" s="31" t="str">
        <f aca="false">Demand_History!C4177</f>
        <v>CLN-004</v>
      </c>
      <c r="B4177" s="31" t="n">
        <f aca="false">Demand_History!A4177</f>
        <v>16</v>
      </c>
      <c r="C4177" s="32" t="n">
        <f aca="false">Demand_History!D4177</f>
        <v>135</v>
      </c>
      <c r="D4177" s="33" t="n">
        <f aca="false">IF(B4177&gt;=2,C4176,"")</f>
        <v>74</v>
      </c>
      <c r="E4177" s="33" t="n">
        <f aca="false">IF(B4177&gt;=5,AVERAGE(C4173:C4176),"")</f>
        <v>85.75</v>
      </c>
      <c r="F4177" s="33" t="n">
        <f aca="false">IF(B4177&gt;=9,AVERAGE(C4169:C4176),"")</f>
        <v>66.875</v>
      </c>
      <c r="G4177" s="33" t="n">
        <f aca="false">IF(B4177=1,"",IF(B4177=2,C4176,SES_Alpha*C4176+(1-SES_Alpha)*G4176))</f>
        <v>78.3902365105168</v>
      </c>
      <c r="H4177" s="33" t="n">
        <f aca="false">IF(D4177="","",D4177-C4177)</f>
        <v>-61</v>
      </c>
      <c r="I4177" s="33" t="n">
        <f aca="false">IF(E4177="","",E4177-C4177)</f>
        <v>-49.25</v>
      </c>
      <c r="J4177" s="33" t="n">
        <f aca="false">IF(F4177="","",F4177-C4177)</f>
        <v>-68.125</v>
      </c>
      <c r="K4177" s="33" t="n">
        <f aca="false">IF(G4177="","",G4177-C4177)</f>
        <v>-56.6097634894832</v>
      </c>
      <c r="L4177" s="33" t="n">
        <f aca="false">IF(H4177="","",ABS(H4177))</f>
        <v>61</v>
      </c>
      <c r="M4177" s="33" t="n">
        <f aca="false">IF(I4177="","",ABS(I4177))</f>
        <v>49.25</v>
      </c>
      <c r="N4177" s="33" t="n">
        <f aca="false">IF(J4177="","",ABS(J4177))</f>
        <v>68.125</v>
      </c>
      <c r="O4177" s="33" t="n">
        <f aca="false">IF(K4177="","",ABS(K4177))</f>
        <v>56.6097634894832</v>
      </c>
      <c r="P4177" s="34" t="str">
        <f aca="false">IF(B4177&gt;=Eval_Start_Week,"YES","")</f>
        <v/>
      </c>
      <c r="Q4177" s="34" t="str">
        <f aca="false">IF(AND(B4177&gt;=Cal_Start_Week,B4177&lt;=Cal_End_Week),"YES","")</f>
        <v/>
      </c>
    </row>
    <row r="4178" customFormat="false" ht="15" hidden="false" customHeight="false" outlineLevel="0" collapsed="false">
      <c r="A4178" s="31" t="str">
        <f aca="false">Demand_History!C4178</f>
        <v>CLN-004</v>
      </c>
      <c r="B4178" s="31" t="n">
        <f aca="false">Demand_History!A4178</f>
        <v>17</v>
      </c>
      <c r="C4178" s="32" t="n">
        <f aca="false">Demand_History!D4178</f>
        <v>134</v>
      </c>
      <c r="D4178" s="33" t="n">
        <f aca="false">IF(B4178&gt;=2,C4177,"")</f>
        <v>135</v>
      </c>
      <c r="E4178" s="33" t="n">
        <f aca="false">IF(B4178&gt;=5,AVERAGE(C4174:C4177),"")</f>
        <v>102</v>
      </c>
      <c r="F4178" s="33" t="n">
        <f aca="false">IF(B4178&gt;=9,AVERAGE(C4170:C4177),"")</f>
        <v>79.875</v>
      </c>
      <c r="G4178" s="33" t="n">
        <f aca="false">IF(B4178=1,"",IF(B4178=2,C4177,SES_Alpha*C4177+(1-SES_Alpha)*G4177))</f>
        <v>95.3731655573617</v>
      </c>
      <c r="H4178" s="33" t="n">
        <f aca="false">IF(D4178="","",D4178-C4178)</f>
        <v>1</v>
      </c>
      <c r="I4178" s="33" t="n">
        <f aca="false">IF(E4178="","",E4178-C4178)</f>
        <v>-32</v>
      </c>
      <c r="J4178" s="33" t="n">
        <f aca="false">IF(F4178="","",F4178-C4178)</f>
        <v>-54.125</v>
      </c>
      <c r="K4178" s="33" t="n">
        <f aca="false">IF(G4178="","",G4178-C4178)</f>
        <v>-38.6268344426383</v>
      </c>
      <c r="L4178" s="33" t="n">
        <f aca="false">IF(H4178="","",ABS(H4178))</f>
        <v>1</v>
      </c>
      <c r="M4178" s="33" t="n">
        <f aca="false">IF(I4178="","",ABS(I4178))</f>
        <v>32</v>
      </c>
      <c r="N4178" s="33" t="n">
        <f aca="false">IF(J4178="","",ABS(J4178))</f>
        <v>54.125</v>
      </c>
      <c r="O4178" s="33" t="n">
        <f aca="false">IF(K4178="","",ABS(K4178))</f>
        <v>38.6268344426383</v>
      </c>
      <c r="P4178" s="34" t="str">
        <f aca="false">IF(B4178&gt;=Eval_Start_Week,"YES","")</f>
        <v/>
      </c>
      <c r="Q4178" s="34" t="str">
        <f aca="false">IF(AND(B4178&gt;=Cal_Start_Week,B4178&lt;=Cal_End_Week),"YES","")</f>
        <v/>
      </c>
    </row>
    <row r="4179" customFormat="false" ht="15" hidden="false" customHeight="false" outlineLevel="0" collapsed="false">
      <c r="A4179" s="31" t="str">
        <f aca="false">Demand_History!C4179</f>
        <v>CLN-004</v>
      </c>
      <c r="B4179" s="31" t="n">
        <f aca="false">Demand_History!A4179</f>
        <v>18</v>
      </c>
      <c r="C4179" s="32" t="n">
        <f aca="false">Demand_History!D4179</f>
        <v>123</v>
      </c>
      <c r="D4179" s="33" t="n">
        <f aca="false">IF(B4179&gt;=2,C4178,"")</f>
        <v>134</v>
      </c>
      <c r="E4179" s="33" t="n">
        <f aca="false">IF(B4179&gt;=5,AVERAGE(C4175:C4178),"")</f>
        <v>115</v>
      </c>
      <c r="F4179" s="33" t="n">
        <f aca="false">IF(B4179&gt;=9,AVERAGE(C4171:C4178),"")</f>
        <v>84.25</v>
      </c>
      <c r="G4179" s="33" t="n">
        <f aca="false">IF(B4179=1,"",IF(B4179=2,C4178,SES_Alpha*C4178+(1-SES_Alpha)*G4178))</f>
        <v>106.961215890153</v>
      </c>
      <c r="H4179" s="33" t="n">
        <f aca="false">IF(D4179="","",D4179-C4179)</f>
        <v>11</v>
      </c>
      <c r="I4179" s="33" t="n">
        <f aca="false">IF(E4179="","",E4179-C4179)</f>
        <v>-8</v>
      </c>
      <c r="J4179" s="33" t="n">
        <f aca="false">IF(F4179="","",F4179-C4179)</f>
        <v>-38.75</v>
      </c>
      <c r="K4179" s="33" t="n">
        <f aca="false">IF(G4179="","",G4179-C4179)</f>
        <v>-16.0387841098468</v>
      </c>
      <c r="L4179" s="33" t="n">
        <f aca="false">IF(H4179="","",ABS(H4179))</f>
        <v>11</v>
      </c>
      <c r="M4179" s="33" t="n">
        <f aca="false">IF(I4179="","",ABS(I4179))</f>
        <v>8</v>
      </c>
      <c r="N4179" s="33" t="n">
        <f aca="false">IF(J4179="","",ABS(J4179))</f>
        <v>38.75</v>
      </c>
      <c r="O4179" s="33" t="n">
        <f aca="false">IF(K4179="","",ABS(K4179))</f>
        <v>16.0387841098468</v>
      </c>
      <c r="P4179" s="34" t="str">
        <f aca="false">IF(B4179&gt;=Eval_Start_Week,"YES","")</f>
        <v/>
      </c>
      <c r="Q4179" s="34" t="str">
        <f aca="false">IF(AND(B4179&gt;=Cal_Start_Week,B4179&lt;=Cal_End_Week),"YES","")</f>
        <v/>
      </c>
    </row>
    <row r="4180" customFormat="false" ht="15" hidden="false" customHeight="false" outlineLevel="0" collapsed="false">
      <c r="A4180" s="31" t="str">
        <f aca="false">Demand_History!C4180</f>
        <v>CLN-004</v>
      </c>
      <c r="B4180" s="31" t="n">
        <f aca="false">Demand_History!A4180</f>
        <v>19</v>
      </c>
      <c r="C4180" s="32" t="n">
        <f aca="false">Demand_History!D4180</f>
        <v>130</v>
      </c>
      <c r="D4180" s="33" t="n">
        <f aca="false">IF(B4180&gt;=2,C4179,"")</f>
        <v>123</v>
      </c>
      <c r="E4180" s="33" t="n">
        <f aca="false">IF(B4180&gt;=5,AVERAGE(C4176:C4179),"")</f>
        <v>116.5</v>
      </c>
      <c r="F4180" s="33" t="n">
        <f aca="false">IF(B4180&gt;=9,AVERAGE(C4172:C4179),"")</f>
        <v>93.375</v>
      </c>
      <c r="G4180" s="33" t="n">
        <f aca="false">IF(B4180=1,"",IF(B4180=2,C4179,SES_Alpha*C4179+(1-SES_Alpha)*G4179))</f>
        <v>111.772851123107</v>
      </c>
      <c r="H4180" s="33" t="n">
        <f aca="false">IF(D4180="","",D4180-C4180)</f>
        <v>-7</v>
      </c>
      <c r="I4180" s="33" t="n">
        <f aca="false">IF(E4180="","",E4180-C4180)</f>
        <v>-13.5</v>
      </c>
      <c r="J4180" s="33" t="n">
        <f aca="false">IF(F4180="","",F4180-C4180)</f>
        <v>-36.625</v>
      </c>
      <c r="K4180" s="33" t="n">
        <f aca="false">IF(G4180="","",G4180-C4180)</f>
        <v>-18.2271488768928</v>
      </c>
      <c r="L4180" s="33" t="n">
        <f aca="false">IF(H4180="","",ABS(H4180))</f>
        <v>7</v>
      </c>
      <c r="M4180" s="33" t="n">
        <f aca="false">IF(I4180="","",ABS(I4180))</f>
        <v>13.5</v>
      </c>
      <c r="N4180" s="33" t="n">
        <f aca="false">IF(J4180="","",ABS(J4180))</f>
        <v>36.625</v>
      </c>
      <c r="O4180" s="33" t="n">
        <f aca="false">IF(K4180="","",ABS(K4180))</f>
        <v>18.2271488768928</v>
      </c>
      <c r="P4180" s="34" t="str">
        <f aca="false">IF(B4180&gt;=Eval_Start_Week,"YES","")</f>
        <v/>
      </c>
      <c r="Q4180" s="34" t="str">
        <f aca="false">IF(AND(B4180&gt;=Cal_Start_Week,B4180&lt;=Cal_End_Week),"YES","")</f>
        <v/>
      </c>
    </row>
    <row r="4181" customFormat="false" ht="15" hidden="false" customHeight="false" outlineLevel="0" collapsed="false">
      <c r="A4181" s="31" t="str">
        <f aca="false">Demand_History!C4181</f>
        <v>CLN-004</v>
      </c>
      <c r="B4181" s="31" t="n">
        <f aca="false">Demand_History!A4181</f>
        <v>20</v>
      </c>
      <c r="C4181" s="32" t="n">
        <f aca="false">Demand_History!D4181</f>
        <v>100</v>
      </c>
      <c r="D4181" s="33" t="n">
        <f aca="false">IF(B4181&gt;=2,C4180,"")</f>
        <v>130</v>
      </c>
      <c r="E4181" s="33" t="n">
        <f aca="false">IF(B4181&gt;=5,AVERAGE(C4177:C4180),"")</f>
        <v>130.5</v>
      </c>
      <c r="F4181" s="33" t="n">
        <f aca="false">IF(B4181&gt;=9,AVERAGE(C4173:C4180),"")</f>
        <v>108.125</v>
      </c>
      <c r="G4181" s="33" t="n">
        <f aca="false">IF(B4181=1,"",IF(B4181=2,C4180,SES_Alpha*C4180+(1-SES_Alpha)*G4180))</f>
        <v>117.240995786175</v>
      </c>
      <c r="H4181" s="33" t="n">
        <f aca="false">IF(D4181="","",D4181-C4181)</f>
        <v>30</v>
      </c>
      <c r="I4181" s="33" t="n">
        <f aca="false">IF(E4181="","",E4181-C4181)</f>
        <v>30.5</v>
      </c>
      <c r="J4181" s="33" t="n">
        <f aca="false">IF(F4181="","",F4181-C4181)</f>
        <v>8.125</v>
      </c>
      <c r="K4181" s="33" t="n">
        <f aca="false">IF(G4181="","",G4181-C4181)</f>
        <v>17.2409957861751</v>
      </c>
      <c r="L4181" s="33" t="n">
        <f aca="false">IF(H4181="","",ABS(H4181))</f>
        <v>30</v>
      </c>
      <c r="M4181" s="33" t="n">
        <f aca="false">IF(I4181="","",ABS(I4181))</f>
        <v>30.5</v>
      </c>
      <c r="N4181" s="33" t="n">
        <f aca="false">IF(J4181="","",ABS(J4181))</f>
        <v>8.125</v>
      </c>
      <c r="O4181" s="33" t="n">
        <f aca="false">IF(K4181="","",ABS(K4181))</f>
        <v>17.2409957861751</v>
      </c>
      <c r="P4181" s="34" t="str">
        <f aca="false">IF(B4181&gt;=Eval_Start_Week,"YES","")</f>
        <v/>
      </c>
      <c r="Q4181" s="34" t="str">
        <f aca="false">IF(AND(B4181&gt;=Cal_Start_Week,B4181&lt;=Cal_End_Week),"YES","")</f>
        <v/>
      </c>
    </row>
    <row r="4182" customFormat="false" ht="15" hidden="false" customHeight="false" outlineLevel="0" collapsed="false">
      <c r="A4182" s="31" t="str">
        <f aca="false">Demand_History!C4182</f>
        <v>CLN-004</v>
      </c>
      <c r="B4182" s="31" t="n">
        <f aca="false">Demand_History!A4182</f>
        <v>21</v>
      </c>
      <c r="C4182" s="32" t="n">
        <f aca="false">Demand_History!D4182</f>
        <v>72</v>
      </c>
      <c r="D4182" s="33" t="n">
        <f aca="false">IF(B4182&gt;=2,C4181,"")</f>
        <v>100</v>
      </c>
      <c r="E4182" s="33" t="n">
        <f aca="false">IF(B4182&gt;=5,AVERAGE(C4178:C4181),"")</f>
        <v>121.75</v>
      </c>
      <c r="F4182" s="33" t="n">
        <f aca="false">IF(B4182&gt;=9,AVERAGE(C4174:C4181),"")</f>
        <v>111.875</v>
      </c>
      <c r="G4182" s="33" t="n">
        <f aca="false">IF(B4182=1,"",IF(B4182=2,C4181,SES_Alpha*C4181+(1-SES_Alpha)*G4181))</f>
        <v>112.068697050323</v>
      </c>
      <c r="H4182" s="33" t="n">
        <f aca="false">IF(D4182="","",D4182-C4182)</f>
        <v>28</v>
      </c>
      <c r="I4182" s="33" t="n">
        <f aca="false">IF(E4182="","",E4182-C4182)</f>
        <v>49.75</v>
      </c>
      <c r="J4182" s="33" t="n">
        <f aca="false">IF(F4182="","",F4182-C4182)</f>
        <v>39.875</v>
      </c>
      <c r="K4182" s="33" t="n">
        <f aca="false">IF(G4182="","",G4182-C4182)</f>
        <v>40.0686970503225</v>
      </c>
      <c r="L4182" s="33" t="n">
        <f aca="false">IF(H4182="","",ABS(H4182))</f>
        <v>28</v>
      </c>
      <c r="M4182" s="33" t="n">
        <f aca="false">IF(I4182="","",ABS(I4182))</f>
        <v>49.75</v>
      </c>
      <c r="N4182" s="33" t="n">
        <f aca="false">IF(J4182="","",ABS(J4182))</f>
        <v>39.875</v>
      </c>
      <c r="O4182" s="33" t="n">
        <f aca="false">IF(K4182="","",ABS(K4182))</f>
        <v>40.0686970503225</v>
      </c>
      <c r="P4182" s="34" t="str">
        <f aca="false">IF(B4182&gt;=Eval_Start_Week,"YES","")</f>
        <v/>
      </c>
      <c r="Q4182" s="34" t="str">
        <f aca="false">IF(AND(B4182&gt;=Cal_Start_Week,B4182&lt;=Cal_End_Week),"YES","")</f>
        <v/>
      </c>
    </row>
    <row r="4183" customFormat="false" ht="15" hidden="false" customHeight="false" outlineLevel="0" collapsed="false">
      <c r="A4183" s="31" t="str">
        <f aca="false">Demand_History!C4183</f>
        <v>CLN-004</v>
      </c>
      <c r="B4183" s="31" t="n">
        <f aca="false">Demand_History!A4183</f>
        <v>22</v>
      </c>
      <c r="C4183" s="32" t="n">
        <f aca="false">Demand_History!D4183</f>
        <v>109</v>
      </c>
      <c r="D4183" s="33" t="n">
        <f aca="false">IF(B4183&gt;=2,C4182,"")</f>
        <v>72</v>
      </c>
      <c r="E4183" s="33" t="n">
        <f aca="false">IF(B4183&gt;=5,AVERAGE(C4179:C4182),"")</f>
        <v>106.25</v>
      </c>
      <c r="F4183" s="33" t="n">
        <f aca="false">IF(B4183&gt;=9,AVERAGE(C4175:C4182),"")</f>
        <v>110.625</v>
      </c>
      <c r="G4183" s="33" t="n">
        <f aca="false">IF(B4183=1,"",IF(B4183=2,C4182,SES_Alpha*C4182+(1-SES_Alpha)*G4182))</f>
        <v>100.048087935226</v>
      </c>
      <c r="H4183" s="33" t="n">
        <f aca="false">IF(D4183="","",D4183-C4183)</f>
        <v>-37</v>
      </c>
      <c r="I4183" s="33" t="n">
        <f aca="false">IF(E4183="","",E4183-C4183)</f>
        <v>-2.75</v>
      </c>
      <c r="J4183" s="33" t="n">
        <f aca="false">IF(F4183="","",F4183-C4183)</f>
        <v>1.625</v>
      </c>
      <c r="K4183" s="33" t="n">
        <f aca="false">IF(G4183="","",G4183-C4183)</f>
        <v>-8.95191206477423</v>
      </c>
      <c r="L4183" s="33" t="n">
        <f aca="false">IF(H4183="","",ABS(H4183))</f>
        <v>37</v>
      </c>
      <c r="M4183" s="33" t="n">
        <f aca="false">IF(I4183="","",ABS(I4183))</f>
        <v>2.75</v>
      </c>
      <c r="N4183" s="33" t="n">
        <f aca="false">IF(J4183="","",ABS(J4183))</f>
        <v>1.625</v>
      </c>
      <c r="O4183" s="33" t="n">
        <f aca="false">IF(K4183="","",ABS(K4183))</f>
        <v>8.95191206477423</v>
      </c>
      <c r="P4183" s="34" t="str">
        <f aca="false">IF(B4183&gt;=Eval_Start_Week,"YES","")</f>
        <v/>
      </c>
      <c r="Q4183" s="34" t="str">
        <f aca="false">IF(AND(B4183&gt;=Cal_Start_Week,B4183&lt;=Cal_End_Week),"YES","")</f>
        <v/>
      </c>
    </row>
    <row r="4184" customFormat="false" ht="15" hidden="false" customHeight="false" outlineLevel="0" collapsed="false">
      <c r="A4184" s="31" t="str">
        <f aca="false">Demand_History!C4184</f>
        <v>CLN-004</v>
      </c>
      <c r="B4184" s="31" t="n">
        <f aca="false">Demand_History!A4184</f>
        <v>23</v>
      </c>
      <c r="C4184" s="32" t="n">
        <f aca="false">Demand_History!D4184</f>
        <v>119</v>
      </c>
      <c r="D4184" s="33" t="n">
        <f aca="false">IF(B4184&gt;=2,C4183,"")</f>
        <v>109</v>
      </c>
      <c r="E4184" s="33" t="n">
        <f aca="false">IF(B4184&gt;=5,AVERAGE(C4180:C4183),"")</f>
        <v>102.75</v>
      </c>
      <c r="F4184" s="33" t="n">
        <f aca="false">IF(B4184&gt;=9,AVERAGE(C4176:C4183),"")</f>
        <v>109.625</v>
      </c>
      <c r="G4184" s="33" t="n">
        <f aca="false">IF(B4184=1,"",IF(B4184=2,C4183,SES_Alpha*C4183+(1-SES_Alpha)*G4183))</f>
        <v>102.733661554658</v>
      </c>
      <c r="H4184" s="33" t="n">
        <f aca="false">IF(D4184="","",D4184-C4184)</f>
        <v>-10</v>
      </c>
      <c r="I4184" s="33" t="n">
        <f aca="false">IF(E4184="","",E4184-C4184)</f>
        <v>-16.25</v>
      </c>
      <c r="J4184" s="33" t="n">
        <f aca="false">IF(F4184="","",F4184-C4184)</f>
        <v>-9.375</v>
      </c>
      <c r="K4184" s="33" t="n">
        <f aca="false">IF(G4184="","",G4184-C4184)</f>
        <v>-16.266338445342</v>
      </c>
      <c r="L4184" s="33" t="n">
        <f aca="false">IF(H4184="","",ABS(H4184))</f>
        <v>10</v>
      </c>
      <c r="M4184" s="33" t="n">
        <f aca="false">IF(I4184="","",ABS(I4184))</f>
        <v>16.25</v>
      </c>
      <c r="N4184" s="33" t="n">
        <f aca="false">IF(J4184="","",ABS(J4184))</f>
        <v>9.375</v>
      </c>
      <c r="O4184" s="33" t="n">
        <f aca="false">IF(K4184="","",ABS(K4184))</f>
        <v>16.266338445342</v>
      </c>
      <c r="P4184" s="34" t="str">
        <f aca="false">IF(B4184&gt;=Eval_Start_Week,"YES","")</f>
        <v/>
      </c>
      <c r="Q4184" s="34" t="str">
        <f aca="false">IF(AND(B4184&gt;=Cal_Start_Week,B4184&lt;=Cal_End_Week),"YES","")</f>
        <v/>
      </c>
    </row>
    <row r="4185" customFormat="false" ht="15" hidden="false" customHeight="false" outlineLevel="0" collapsed="false">
      <c r="A4185" s="31" t="str">
        <f aca="false">Demand_History!C4185</f>
        <v>CLN-004</v>
      </c>
      <c r="B4185" s="31" t="n">
        <f aca="false">Demand_History!A4185</f>
        <v>24</v>
      </c>
      <c r="C4185" s="32" t="n">
        <f aca="false">Demand_History!D4185</f>
        <v>96</v>
      </c>
      <c r="D4185" s="33" t="n">
        <f aca="false">IF(B4185&gt;=2,C4184,"")</f>
        <v>119</v>
      </c>
      <c r="E4185" s="33" t="n">
        <f aca="false">IF(B4185&gt;=5,AVERAGE(C4181:C4184),"")</f>
        <v>100</v>
      </c>
      <c r="F4185" s="33" t="n">
        <f aca="false">IF(B4185&gt;=9,AVERAGE(C4177:C4184),"")</f>
        <v>115.25</v>
      </c>
      <c r="G4185" s="33" t="n">
        <f aca="false">IF(B4185=1,"",IF(B4185=2,C4184,SES_Alpha*C4184+(1-SES_Alpha)*G4184))</f>
        <v>107.613563088261</v>
      </c>
      <c r="H4185" s="33" t="n">
        <f aca="false">IF(D4185="","",D4185-C4185)</f>
        <v>23</v>
      </c>
      <c r="I4185" s="33" t="n">
        <f aca="false">IF(E4185="","",E4185-C4185)</f>
        <v>4</v>
      </c>
      <c r="J4185" s="33" t="n">
        <f aca="false">IF(F4185="","",F4185-C4185)</f>
        <v>19.25</v>
      </c>
      <c r="K4185" s="33" t="n">
        <f aca="false">IF(G4185="","",G4185-C4185)</f>
        <v>11.6135630882606</v>
      </c>
      <c r="L4185" s="33" t="n">
        <f aca="false">IF(H4185="","",ABS(H4185))</f>
        <v>23</v>
      </c>
      <c r="M4185" s="33" t="n">
        <f aca="false">IF(I4185="","",ABS(I4185))</f>
        <v>4</v>
      </c>
      <c r="N4185" s="33" t="n">
        <f aca="false">IF(J4185="","",ABS(J4185))</f>
        <v>19.25</v>
      </c>
      <c r="O4185" s="33" t="n">
        <f aca="false">IF(K4185="","",ABS(K4185))</f>
        <v>11.6135630882606</v>
      </c>
      <c r="P4185" s="34" t="str">
        <f aca="false">IF(B4185&gt;=Eval_Start_Week,"YES","")</f>
        <v/>
      </c>
      <c r="Q4185" s="34" t="str">
        <f aca="false">IF(AND(B4185&gt;=Cal_Start_Week,B4185&lt;=Cal_End_Week),"YES","")</f>
        <v/>
      </c>
    </row>
    <row r="4186" customFormat="false" ht="15" hidden="false" customHeight="false" outlineLevel="0" collapsed="false">
      <c r="A4186" s="31" t="str">
        <f aca="false">Demand_History!C4186</f>
        <v>CLN-004</v>
      </c>
      <c r="B4186" s="31" t="n">
        <f aca="false">Demand_History!A4186</f>
        <v>25</v>
      </c>
      <c r="C4186" s="32" t="n">
        <f aca="false">Demand_History!D4186</f>
        <v>81</v>
      </c>
      <c r="D4186" s="33" t="n">
        <f aca="false">IF(B4186&gt;=2,C4185,"")</f>
        <v>96</v>
      </c>
      <c r="E4186" s="33" t="n">
        <f aca="false">IF(B4186&gt;=5,AVERAGE(C4182:C4185),"")</f>
        <v>99</v>
      </c>
      <c r="F4186" s="33" t="n">
        <f aca="false">IF(B4186&gt;=9,AVERAGE(C4178:C4185),"")</f>
        <v>110.375</v>
      </c>
      <c r="G4186" s="33" t="n">
        <f aca="false">IF(B4186=1,"",IF(B4186=2,C4185,SES_Alpha*C4185+(1-SES_Alpha)*G4185))</f>
        <v>104.129494161782</v>
      </c>
      <c r="H4186" s="33" t="n">
        <f aca="false">IF(D4186="","",D4186-C4186)</f>
        <v>15</v>
      </c>
      <c r="I4186" s="33" t="n">
        <f aca="false">IF(E4186="","",E4186-C4186)</f>
        <v>18</v>
      </c>
      <c r="J4186" s="33" t="n">
        <f aca="false">IF(F4186="","",F4186-C4186)</f>
        <v>29.375</v>
      </c>
      <c r="K4186" s="33" t="n">
        <f aca="false">IF(G4186="","",G4186-C4186)</f>
        <v>23.1294941617824</v>
      </c>
      <c r="L4186" s="33" t="n">
        <f aca="false">IF(H4186="","",ABS(H4186))</f>
        <v>15</v>
      </c>
      <c r="M4186" s="33" t="n">
        <f aca="false">IF(I4186="","",ABS(I4186))</f>
        <v>18</v>
      </c>
      <c r="N4186" s="33" t="n">
        <f aca="false">IF(J4186="","",ABS(J4186))</f>
        <v>29.375</v>
      </c>
      <c r="O4186" s="33" t="n">
        <f aca="false">IF(K4186="","",ABS(K4186))</f>
        <v>23.1294941617824</v>
      </c>
      <c r="P4186" s="34" t="str">
        <f aca="false">IF(B4186&gt;=Eval_Start_Week,"YES","")</f>
        <v/>
      </c>
      <c r="Q4186" s="34" t="str">
        <f aca="false">IF(AND(B4186&gt;=Cal_Start_Week,B4186&lt;=Cal_End_Week),"YES","")</f>
        <v/>
      </c>
    </row>
    <row r="4187" customFormat="false" ht="15" hidden="false" customHeight="false" outlineLevel="0" collapsed="false">
      <c r="A4187" s="31" t="str">
        <f aca="false">Demand_History!C4187</f>
        <v>CLN-004</v>
      </c>
      <c r="B4187" s="31" t="n">
        <f aca="false">Demand_History!A4187</f>
        <v>26</v>
      </c>
      <c r="C4187" s="32" t="n">
        <f aca="false">Demand_History!D4187</f>
        <v>40</v>
      </c>
      <c r="D4187" s="33" t="n">
        <f aca="false">IF(B4187&gt;=2,C4186,"")</f>
        <v>81</v>
      </c>
      <c r="E4187" s="33" t="n">
        <f aca="false">IF(B4187&gt;=5,AVERAGE(C4183:C4186),"")</f>
        <v>101.25</v>
      </c>
      <c r="F4187" s="33" t="n">
        <f aca="false">IF(B4187&gt;=9,AVERAGE(C4179:C4186),"")</f>
        <v>103.75</v>
      </c>
      <c r="G4187" s="33" t="n">
        <f aca="false">IF(B4187=1,"",IF(B4187=2,C4186,SES_Alpha*C4186+(1-SES_Alpha)*G4186))</f>
        <v>97.1906459132477</v>
      </c>
      <c r="H4187" s="33" t="n">
        <f aca="false">IF(D4187="","",D4187-C4187)</f>
        <v>41</v>
      </c>
      <c r="I4187" s="33" t="n">
        <f aca="false">IF(E4187="","",E4187-C4187)</f>
        <v>61.25</v>
      </c>
      <c r="J4187" s="33" t="n">
        <f aca="false">IF(F4187="","",F4187-C4187)</f>
        <v>63.75</v>
      </c>
      <c r="K4187" s="33" t="n">
        <f aca="false">IF(G4187="","",G4187-C4187)</f>
        <v>57.1906459132477</v>
      </c>
      <c r="L4187" s="33" t="n">
        <f aca="false">IF(H4187="","",ABS(H4187))</f>
        <v>41</v>
      </c>
      <c r="M4187" s="33" t="n">
        <f aca="false">IF(I4187="","",ABS(I4187))</f>
        <v>61.25</v>
      </c>
      <c r="N4187" s="33" t="n">
        <f aca="false">IF(J4187="","",ABS(J4187))</f>
        <v>63.75</v>
      </c>
      <c r="O4187" s="33" t="n">
        <f aca="false">IF(K4187="","",ABS(K4187))</f>
        <v>57.1906459132477</v>
      </c>
      <c r="P4187" s="34" t="str">
        <f aca="false">IF(B4187&gt;=Eval_Start_Week,"YES","")</f>
        <v/>
      </c>
      <c r="Q4187" s="34" t="str">
        <f aca="false">IF(AND(B4187&gt;=Cal_Start_Week,B4187&lt;=Cal_End_Week),"YES","")</f>
        <v/>
      </c>
    </row>
    <row r="4188" customFormat="false" ht="15" hidden="false" customHeight="false" outlineLevel="0" collapsed="false">
      <c r="A4188" s="31" t="str">
        <f aca="false">Demand_History!C4188</f>
        <v>CLN-004</v>
      </c>
      <c r="B4188" s="31" t="n">
        <f aca="false">Demand_History!A4188</f>
        <v>27</v>
      </c>
      <c r="C4188" s="32" t="n">
        <f aca="false">Demand_History!D4188</f>
        <v>110</v>
      </c>
      <c r="D4188" s="33" t="n">
        <f aca="false">IF(B4188&gt;=2,C4187,"")</f>
        <v>40</v>
      </c>
      <c r="E4188" s="33" t="n">
        <f aca="false">IF(B4188&gt;=5,AVERAGE(C4184:C4187),"")</f>
        <v>84</v>
      </c>
      <c r="F4188" s="33" t="n">
        <f aca="false">IF(B4188&gt;=9,AVERAGE(C4180:C4187),"")</f>
        <v>93.375</v>
      </c>
      <c r="G4188" s="33" t="n">
        <f aca="false">IF(B4188=1,"",IF(B4188=2,C4187,SES_Alpha*C4187+(1-SES_Alpha)*G4187))</f>
        <v>80.0334521392734</v>
      </c>
      <c r="H4188" s="33" t="n">
        <f aca="false">IF(D4188="","",D4188-C4188)</f>
        <v>-70</v>
      </c>
      <c r="I4188" s="33" t="n">
        <f aca="false">IF(E4188="","",E4188-C4188)</f>
        <v>-26</v>
      </c>
      <c r="J4188" s="33" t="n">
        <f aca="false">IF(F4188="","",F4188-C4188)</f>
        <v>-16.625</v>
      </c>
      <c r="K4188" s="33" t="n">
        <f aca="false">IF(G4188="","",G4188-C4188)</f>
        <v>-29.9665478607266</v>
      </c>
      <c r="L4188" s="33" t="n">
        <f aca="false">IF(H4188="","",ABS(H4188))</f>
        <v>70</v>
      </c>
      <c r="M4188" s="33" t="n">
        <f aca="false">IF(I4188="","",ABS(I4188))</f>
        <v>26</v>
      </c>
      <c r="N4188" s="33" t="n">
        <f aca="false">IF(J4188="","",ABS(J4188))</f>
        <v>16.625</v>
      </c>
      <c r="O4188" s="33" t="n">
        <f aca="false">IF(K4188="","",ABS(K4188))</f>
        <v>29.9665478607266</v>
      </c>
      <c r="P4188" s="34" t="str">
        <f aca="false">IF(B4188&gt;=Eval_Start_Week,"YES","")</f>
        <v/>
      </c>
      <c r="Q4188" s="34" t="str">
        <f aca="false">IF(AND(B4188&gt;=Cal_Start_Week,B4188&lt;=Cal_End_Week),"YES","")</f>
        <v/>
      </c>
    </row>
    <row r="4189" customFormat="false" ht="15" hidden="false" customHeight="false" outlineLevel="0" collapsed="false">
      <c r="A4189" s="31" t="str">
        <f aca="false">Demand_History!C4189</f>
        <v>CLN-004</v>
      </c>
      <c r="B4189" s="31" t="n">
        <f aca="false">Demand_History!A4189</f>
        <v>28</v>
      </c>
      <c r="C4189" s="32" t="n">
        <f aca="false">Demand_History!D4189</f>
        <v>100</v>
      </c>
      <c r="D4189" s="33" t="n">
        <f aca="false">IF(B4189&gt;=2,C4188,"")</f>
        <v>110</v>
      </c>
      <c r="E4189" s="33" t="n">
        <f aca="false">IF(B4189&gt;=5,AVERAGE(C4185:C4188),"")</f>
        <v>81.75</v>
      </c>
      <c r="F4189" s="33" t="n">
        <f aca="false">IF(B4189&gt;=9,AVERAGE(C4181:C4188),"")</f>
        <v>90.875</v>
      </c>
      <c r="G4189" s="33" t="n">
        <f aca="false">IF(B4189=1,"",IF(B4189=2,C4188,SES_Alpha*C4188+(1-SES_Alpha)*G4188))</f>
        <v>89.0234164974914</v>
      </c>
      <c r="H4189" s="33" t="n">
        <f aca="false">IF(D4189="","",D4189-C4189)</f>
        <v>10</v>
      </c>
      <c r="I4189" s="33" t="n">
        <f aca="false">IF(E4189="","",E4189-C4189)</f>
        <v>-18.25</v>
      </c>
      <c r="J4189" s="33" t="n">
        <f aca="false">IF(F4189="","",F4189-C4189)</f>
        <v>-9.125</v>
      </c>
      <c r="K4189" s="33" t="n">
        <f aca="false">IF(G4189="","",G4189-C4189)</f>
        <v>-10.9765835025086</v>
      </c>
      <c r="L4189" s="33" t="n">
        <f aca="false">IF(H4189="","",ABS(H4189))</f>
        <v>10</v>
      </c>
      <c r="M4189" s="33" t="n">
        <f aca="false">IF(I4189="","",ABS(I4189))</f>
        <v>18.25</v>
      </c>
      <c r="N4189" s="33" t="n">
        <f aca="false">IF(J4189="","",ABS(J4189))</f>
        <v>9.125</v>
      </c>
      <c r="O4189" s="33" t="n">
        <f aca="false">IF(K4189="","",ABS(K4189))</f>
        <v>10.9765835025086</v>
      </c>
      <c r="P4189" s="34" t="str">
        <f aca="false">IF(B4189&gt;=Eval_Start_Week,"YES","")</f>
        <v/>
      </c>
      <c r="Q4189" s="34" t="str">
        <f aca="false">IF(AND(B4189&gt;=Cal_Start_Week,B4189&lt;=Cal_End_Week),"YES","")</f>
        <v/>
      </c>
    </row>
    <row r="4190" customFormat="false" ht="15" hidden="false" customHeight="false" outlineLevel="0" collapsed="false">
      <c r="A4190" s="31" t="str">
        <f aca="false">Demand_History!C4190</f>
        <v>CLN-004</v>
      </c>
      <c r="B4190" s="31" t="n">
        <f aca="false">Demand_History!A4190</f>
        <v>29</v>
      </c>
      <c r="C4190" s="32" t="n">
        <f aca="false">Demand_History!D4190</f>
        <v>49</v>
      </c>
      <c r="D4190" s="33" t="n">
        <f aca="false">IF(B4190&gt;=2,C4189,"")</f>
        <v>100</v>
      </c>
      <c r="E4190" s="33" t="n">
        <f aca="false">IF(B4190&gt;=5,AVERAGE(C4186:C4189),"")</f>
        <v>82.75</v>
      </c>
      <c r="F4190" s="33" t="n">
        <f aca="false">IF(B4190&gt;=9,AVERAGE(C4182:C4189),"")</f>
        <v>90.875</v>
      </c>
      <c r="G4190" s="33" t="n">
        <f aca="false">IF(B4190=1,"",IF(B4190=2,C4189,SES_Alpha*C4189+(1-SES_Alpha)*G4189))</f>
        <v>92.3163915482439</v>
      </c>
      <c r="H4190" s="33" t="n">
        <f aca="false">IF(D4190="","",D4190-C4190)</f>
        <v>51</v>
      </c>
      <c r="I4190" s="33" t="n">
        <f aca="false">IF(E4190="","",E4190-C4190)</f>
        <v>33.75</v>
      </c>
      <c r="J4190" s="33" t="n">
        <f aca="false">IF(F4190="","",F4190-C4190)</f>
        <v>41.875</v>
      </c>
      <c r="K4190" s="33" t="n">
        <f aca="false">IF(G4190="","",G4190-C4190)</f>
        <v>43.3163915482439</v>
      </c>
      <c r="L4190" s="33" t="n">
        <f aca="false">IF(H4190="","",ABS(H4190))</f>
        <v>51</v>
      </c>
      <c r="M4190" s="33" t="n">
        <f aca="false">IF(I4190="","",ABS(I4190))</f>
        <v>33.75</v>
      </c>
      <c r="N4190" s="33" t="n">
        <f aca="false">IF(J4190="","",ABS(J4190))</f>
        <v>41.875</v>
      </c>
      <c r="O4190" s="33" t="n">
        <f aca="false">IF(K4190="","",ABS(K4190))</f>
        <v>43.3163915482439</v>
      </c>
      <c r="P4190" s="34" t="str">
        <f aca="false">IF(B4190&gt;=Eval_Start_Week,"YES","")</f>
        <v/>
      </c>
      <c r="Q4190" s="34" t="str">
        <f aca="false">IF(AND(B4190&gt;=Cal_Start_Week,B4190&lt;=Cal_End_Week),"YES","")</f>
        <v/>
      </c>
    </row>
    <row r="4191" customFormat="false" ht="15" hidden="false" customHeight="false" outlineLevel="0" collapsed="false">
      <c r="A4191" s="31" t="str">
        <f aca="false">Demand_History!C4191</f>
        <v>CLN-004</v>
      </c>
      <c r="B4191" s="31" t="n">
        <f aca="false">Demand_History!A4191</f>
        <v>30</v>
      </c>
      <c r="C4191" s="32" t="n">
        <f aca="false">Demand_History!D4191</f>
        <v>92</v>
      </c>
      <c r="D4191" s="33" t="n">
        <f aca="false">IF(B4191&gt;=2,C4190,"")</f>
        <v>49</v>
      </c>
      <c r="E4191" s="33" t="n">
        <f aca="false">IF(B4191&gt;=5,AVERAGE(C4187:C4190),"")</f>
        <v>74.75</v>
      </c>
      <c r="F4191" s="33" t="n">
        <f aca="false">IF(B4191&gt;=9,AVERAGE(C4183:C4190),"")</f>
        <v>88</v>
      </c>
      <c r="G4191" s="33" t="n">
        <f aca="false">IF(B4191=1,"",IF(B4191=2,C4190,SES_Alpha*C4190+(1-SES_Alpha)*G4190))</f>
        <v>79.3214740837708</v>
      </c>
      <c r="H4191" s="33" t="n">
        <f aca="false">IF(D4191="","",D4191-C4191)</f>
        <v>-43</v>
      </c>
      <c r="I4191" s="33" t="n">
        <f aca="false">IF(E4191="","",E4191-C4191)</f>
        <v>-17.25</v>
      </c>
      <c r="J4191" s="33" t="n">
        <f aca="false">IF(F4191="","",F4191-C4191)</f>
        <v>-4</v>
      </c>
      <c r="K4191" s="33" t="n">
        <f aca="false">IF(G4191="","",G4191-C4191)</f>
        <v>-12.6785259162292</v>
      </c>
      <c r="L4191" s="33" t="n">
        <f aca="false">IF(H4191="","",ABS(H4191))</f>
        <v>43</v>
      </c>
      <c r="M4191" s="33" t="n">
        <f aca="false">IF(I4191="","",ABS(I4191))</f>
        <v>17.25</v>
      </c>
      <c r="N4191" s="33" t="n">
        <f aca="false">IF(J4191="","",ABS(J4191))</f>
        <v>4</v>
      </c>
      <c r="O4191" s="33" t="n">
        <f aca="false">IF(K4191="","",ABS(K4191))</f>
        <v>12.6785259162292</v>
      </c>
      <c r="P4191" s="34" t="str">
        <f aca="false">IF(B4191&gt;=Eval_Start_Week,"YES","")</f>
        <v/>
      </c>
      <c r="Q4191" s="34" t="str">
        <f aca="false">IF(AND(B4191&gt;=Cal_Start_Week,B4191&lt;=Cal_End_Week),"YES","")</f>
        <v/>
      </c>
    </row>
    <row r="4192" customFormat="false" ht="15" hidden="false" customHeight="false" outlineLevel="0" collapsed="false">
      <c r="A4192" s="31" t="str">
        <f aca="false">Demand_History!C4192</f>
        <v>CLN-004</v>
      </c>
      <c r="B4192" s="31" t="n">
        <f aca="false">Demand_History!A4192</f>
        <v>31</v>
      </c>
      <c r="C4192" s="32" t="n">
        <f aca="false">Demand_History!D4192</f>
        <v>112</v>
      </c>
      <c r="D4192" s="33" t="n">
        <f aca="false">IF(B4192&gt;=2,C4191,"")</f>
        <v>92</v>
      </c>
      <c r="E4192" s="33" t="n">
        <f aca="false">IF(B4192&gt;=5,AVERAGE(C4188:C4191),"")</f>
        <v>87.75</v>
      </c>
      <c r="F4192" s="33" t="n">
        <f aca="false">IF(B4192&gt;=9,AVERAGE(C4184:C4191),"")</f>
        <v>85.875</v>
      </c>
      <c r="G4192" s="33" t="n">
        <f aca="false">IF(B4192=1,"",IF(B4192=2,C4191,SES_Alpha*C4191+(1-SES_Alpha)*G4191))</f>
        <v>83.1250318586395</v>
      </c>
      <c r="H4192" s="33" t="n">
        <f aca="false">IF(D4192="","",D4192-C4192)</f>
        <v>-20</v>
      </c>
      <c r="I4192" s="33" t="n">
        <f aca="false">IF(E4192="","",E4192-C4192)</f>
        <v>-24.25</v>
      </c>
      <c r="J4192" s="33" t="n">
        <f aca="false">IF(F4192="","",F4192-C4192)</f>
        <v>-26.125</v>
      </c>
      <c r="K4192" s="33" t="n">
        <f aca="false">IF(G4192="","",G4192-C4192)</f>
        <v>-28.8749681413605</v>
      </c>
      <c r="L4192" s="33" t="n">
        <f aca="false">IF(H4192="","",ABS(H4192))</f>
        <v>20</v>
      </c>
      <c r="M4192" s="33" t="n">
        <f aca="false">IF(I4192="","",ABS(I4192))</f>
        <v>24.25</v>
      </c>
      <c r="N4192" s="33" t="n">
        <f aca="false">IF(J4192="","",ABS(J4192))</f>
        <v>26.125</v>
      </c>
      <c r="O4192" s="33" t="n">
        <f aca="false">IF(K4192="","",ABS(K4192))</f>
        <v>28.8749681413605</v>
      </c>
      <c r="P4192" s="34" t="str">
        <f aca="false">IF(B4192&gt;=Eval_Start_Week,"YES","")</f>
        <v/>
      </c>
      <c r="Q4192" s="34" t="str">
        <f aca="false">IF(AND(B4192&gt;=Cal_Start_Week,B4192&lt;=Cal_End_Week),"YES","")</f>
        <v/>
      </c>
    </row>
    <row r="4193" customFormat="false" ht="15" hidden="false" customHeight="false" outlineLevel="0" collapsed="false">
      <c r="A4193" s="31" t="str">
        <f aca="false">Demand_History!C4193</f>
        <v>CLN-004</v>
      </c>
      <c r="B4193" s="31" t="n">
        <f aca="false">Demand_History!A4193</f>
        <v>32</v>
      </c>
      <c r="C4193" s="32" t="n">
        <f aca="false">Demand_History!D4193</f>
        <v>86</v>
      </c>
      <c r="D4193" s="33" t="n">
        <f aca="false">IF(B4193&gt;=2,C4192,"")</f>
        <v>112</v>
      </c>
      <c r="E4193" s="33" t="n">
        <f aca="false">IF(B4193&gt;=5,AVERAGE(C4189:C4192),"")</f>
        <v>88.25</v>
      </c>
      <c r="F4193" s="33" t="n">
        <f aca="false">IF(B4193&gt;=9,AVERAGE(C4185:C4192),"")</f>
        <v>85</v>
      </c>
      <c r="G4193" s="33" t="n">
        <f aca="false">IF(B4193=1,"",IF(B4193=2,C4192,SES_Alpha*C4192+(1-SES_Alpha)*G4192))</f>
        <v>91.7875223010477</v>
      </c>
      <c r="H4193" s="33" t="n">
        <f aca="false">IF(D4193="","",D4193-C4193)</f>
        <v>26</v>
      </c>
      <c r="I4193" s="33" t="n">
        <f aca="false">IF(E4193="","",E4193-C4193)</f>
        <v>2.25</v>
      </c>
      <c r="J4193" s="33" t="n">
        <f aca="false">IF(F4193="","",F4193-C4193)</f>
        <v>-1</v>
      </c>
      <c r="K4193" s="33" t="n">
        <f aca="false">IF(G4193="","",G4193-C4193)</f>
        <v>5.78752230104766</v>
      </c>
      <c r="L4193" s="33" t="n">
        <f aca="false">IF(H4193="","",ABS(H4193))</f>
        <v>26</v>
      </c>
      <c r="M4193" s="33" t="n">
        <f aca="false">IF(I4193="","",ABS(I4193))</f>
        <v>2.25</v>
      </c>
      <c r="N4193" s="33" t="n">
        <f aca="false">IF(J4193="","",ABS(J4193))</f>
        <v>1</v>
      </c>
      <c r="O4193" s="33" t="n">
        <f aca="false">IF(K4193="","",ABS(K4193))</f>
        <v>5.78752230104766</v>
      </c>
      <c r="P4193" s="34" t="str">
        <f aca="false">IF(B4193&gt;=Eval_Start_Week,"YES","")</f>
        <v/>
      </c>
      <c r="Q4193" s="34" t="str">
        <f aca="false">IF(AND(B4193&gt;=Cal_Start_Week,B4193&lt;=Cal_End_Week),"YES","")</f>
        <v/>
      </c>
    </row>
    <row r="4194" customFormat="false" ht="15" hidden="false" customHeight="false" outlineLevel="0" collapsed="false">
      <c r="A4194" s="31" t="str">
        <f aca="false">Demand_History!C4194</f>
        <v>CLN-004</v>
      </c>
      <c r="B4194" s="31" t="n">
        <f aca="false">Demand_History!A4194</f>
        <v>33</v>
      </c>
      <c r="C4194" s="32" t="n">
        <f aca="false">Demand_History!D4194</f>
        <v>113</v>
      </c>
      <c r="D4194" s="33" t="n">
        <f aca="false">IF(B4194&gt;=2,C4193,"")</f>
        <v>86</v>
      </c>
      <c r="E4194" s="33" t="n">
        <f aca="false">IF(B4194&gt;=5,AVERAGE(C4190:C4193),"")</f>
        <v>84.75</v>
      </c>
      <c r="F4194" s="33" t="n">
        <f aca="false">IF(B4194&gt;=9,AVERAGE(C4186:C4193),"")</f>
        <v>83.75</v>
      </c>
      <c r="G4194" s="33" t="n">
        <f aca="false">IF(B4194=1,"",IF(B4194=2,C4193,SES_Alpha*C4193+(1-SES_Alpha)*G4193))</f>
        <v>90.0512656107334</v>
      </c>
      <c r="H4194" s="33" t="n">
        <f aca="false">IF(D4194="","",D4194-C4194)</f>
        <v>-27</v>
      </c>
      <c r="I4194" s="33" t="n">
        <f aca="false">IF(E4194="","",E4194-C4194)</f>
        <v>-28.25</v>
      </c>
      <c r="J4194" s="33" t="n">
        <f aca="false">IF(F4194="","",F4194-C4194)</f>
        <v>-29.25</v>
      </c>
      <c r="K4194" s="33" t="n">
        <f aca="false">IF(G4194="","",G4194-C4194)</f>
        <v>-22.9487343892666</v>
      </c>
      <c r="L4194" s="33" t="n">
        <f aca="false">IF(H4194="","",ABS(H4194))</f>
        <v>27</v>
      </c>
      <c r="M4194" s="33" t="n">
        <f aca="false">IF(I4194="","",ABS(I4194))</f>
        <v>28.25</v>
      </c>
      <c r="N4194" s="33" t="n">
        <f aca="false">IF(J4194="","",ABS(J4194))</f>
        <v>29.25</v>
      </c>
      <c r="O4194" s="33" t="n">
        <f aca="false">IF(K4194="","",ABS(K4194))</f>
        <v>22.9487343892666</v>
      </c>
      <c r="P4194" s="34" t="str">
        <f aca="false">IF(B4194&gt;=Eval_Start_Week,"YES","")</f>
        <v/>
      </c>
      <c r="Q4194" s="34" t="str">
        <f aca="false">IF(AND(B4194&gt;=Cal_Start_Week,B4194&lt;=Cal_End_Week),"YES","")</f>
        <v/>
      </c>
    </row>
    <row r="4195" customFormat="false" ht="15" hidden="false" customHeight="false" outlineLevel="0" collapsed="false">
      <c r="A4195" s="31" t="str">
        <f aca="false">Demand_History!C4195</f>
        <v>CLN-004</v>
      </c>
      <c r="B4195" s="31" t="n">
        <f aca="false">Demand_History!A4195</f>
        <v>34</v>
      </c>
      <c r="C4195" s="32" t="n">
        <f aca="false">Demand_History!D4195</f>
        <v>113</v>
      </c>
      <c r="D4195" s="33" t="n">
        <f aca="false">IF(B4195&gt;=2,C4194,"")</f>
        <v>113</v>
      </c>
      <c r="E4195" s="33" t="n">
        <f aca="false">IF(B4195&gt;=5,AVERAGE(C4191:C4194),"")</f>
        <v>100.75</v>
      </c>
      <c r="F4195" s="33" t="n">
        <f aca="false">IF(B4195&gt;=9,AVERAGE(C4187:C4194),"")</f>
        <v>87.75</v>
      </c>
      <c r="G4195" s="33" t="n">
        <f aca="false">IF(B4195=1,"",IF(B4195=2,C4194,SES_Alpha*C4194+(1-SES_Alpha)*G4194))</f>
        <v>96.9358859275133</v>
      </c>
      <c r="H4195" s="33" t="n">
        <f aca="false">IF(D4195="","",D4195-C4195)</f>
        <v>0</v>
      </c>
      <c r="I4195" s="33" t="n">
        <f aca="false">IF(E4195="","",E4195-C4195)</f>
        <v>-12.25</v>
      </c>
      <c r="J4195" s="33" t="n">
        <f aca="false">IF(F4195="","",F4195-C4195)</f>
        <v>-25.25</v>
      </c>
      <c r="K4195" s="33" t="n">
        <f aca="false">IF(G4195="","",G4195-C4195)</f>
        <v>-16.0641140724867</v>
      </c>
      <c r="L4195" s="33" t="n">
        <f aca="false">IF(H4195="","",ABS(H4195))</f>
        <v>0</v>
      </c>
      <c r="M4195" s="33" t="n">
        <f aca="false">IF(I4195="","",ABS(I4195))</f>
        <v>12.25</v>
      </c>
      <c r="N4195" s="33" t="n">
        <f aca="false">IF(J4195="","",ABS(J4195))</f>
        <v>25.25</v>
      </c>
      <c r="O4195" s="33" t="n">
        <f aca="false">IF(K4195="","",ABS(K4195))</f>
        <v>16.0641140724867</v>
      </c>
      <c r="P4195" s="34" t="str">
        <f aca="false">IF(B4195&gt;=Eval_Start_Week,"YES","")</f>
        <v/>
      </c>
      <c r="Q4195" s="34" t="str">
        <f aca="false">IF(AND(B4195&gt;=Cal_Start_Week,B4195&lt;=Cal_End_Week),"YES","")</f>
        <v/>
      </c>
    </row>
    <row r="4196" customFormat="false" ht="15" hidden="false" customHeight="false" outlineLevel="0" collapsed="false">
      <c r="A4196" s="31" t="str">
        <f aca="false">Demand_History!C4196</f>
        <v>CLN-004</v>
      </c>
      <c r="B4196" s="31" t="n">
        <f aca="false">Demand_History!A4196</f>
        <v>35</v>
      </c>
      <c r="C4196" s="32" t="n">
        <f aca="false">Demand_History!D4196</f>
        <v>43</v>
      </c>
      <c r="D4196" s="33" t="n">
        <f aca="false">IF(B4196&gt;=2,C4195,"")</f>
        <v>113</v>
      </c>
      <c r="E4196" s="33" t="n">
        <f aca="false">IF(B4196&gt;=5,AVERAGE(C4192:C4195),"")</f>
        <v>106</v>
      </c>
      <c r="F4196" s="33" t="n">
        <f aca="false">IF(B4196&gt;=9,AVERAGE(C4188:C4195),"")</f>
        <v>96.875</v>
      </c>
      <c r="G4196" s="33" t="n">
        <f aca="false">IF(B4196=1,"",IF(B4196=2,C4195,SES_Alpha*C4195+(1-SES_Alpha)*G4195))</f>
        <v>101.755120149259</v>
      </c>
      <c r="H4196" s="33" t="n">
        <f aca="false">IF(D4196="","",D4196-C4196)</f>
        <v>70</v>
      </c>
      <c r="I4196" s="33" t="n">
        <f aca="false">IF(E4196="","",E4196-C4196)</f>
        <v>63</v>
      </c>
      <c r="J4196" s="33" t="n">
        <f aca="false">IF(F4196="","",F4196-C4196)</f>
        <v>53.875</v>
      </c>
      <c r="K4196" s="33" t="n">
        <f aca="false">IF(G4196="","",G4196-C4196)</f>
        <v>58.7551201492593</v>
      </c>
      <c r="L4196" s="33" t="n">
        <f aca="false">IF(H4196="","",ABS(H4196))</f>
        <v>70</v>
      </c>
      <c r="M4196" s="33" t="n">
        <f aca="false">IF(I4196="","",ABS(I4196))</f>
        <v>63</v>
      </c>
      <c r="N4196" s="33" t="n">
        <f aca="false">IF(J4196="","",ABS(J4196))</f>
        <v>53.875</v>
      </c>
      <c r="O4196" s="33" t="n">
        <f aca="false">IF(K4196="","",ABS(K4196))</f>
        <v>58.7551201492593</v>
      </c>
      <c r="P4196" s="34" t="str">
        <f aca="false">IF(B4196&gt;=Eval_Start_Week,"YES","")</f>
        <v/>
      </c>
      <c r="Q4196" s="34" t="str">
        <f aca="false">IF(AND(B4196&gt;=Cal_Start_Week,B4196&lt;=Cal_End_Week),"YES","")</f>
        <v/>
      </c>
    </row>
    <row r="4197" customFormat="false" ht="15" hidden="false" customHeight="false" outlineLevel="0" collapsed="false">
      <c r="A4197" s="31" t="str">
        <f aca="false">Demand_History!C4197</f>
        <v>CLN-004</v>
      </c>
      <c r="B4197" s="31" t="n">
        <f aca="false">Demand_History!A4197</f>
        <v>36</v>
      </c>
      <c r="C4197" s="32" t="n">
        <f aca="false">Demand_History!D4197</f>
        <v>80</v>
      </c>
      <c r="D4197" s="33" t="n">
        <f aca="false">IF(B4197&gt;=2,C4196,"")</f>
        <v>43</v>
      </c>
      <c r="E4197" s="33" t="n">
        <f aca="false">IF(B4197&gt;=5,AVERAGE(C4193:C4196),"")</f>
        <v>88.75</v>
      </c>
      <c r="F4197" s="33" t="n">
        <f aca="false">IF(B4197&gt;=9,AVERAGE(C4189:C4196),"")</f>
        <v>88.5</v>
      </c>
      <c r="G4197" s="33" t="n">
        <f aca="false">IF(B4197=1,"",IF(B4197=2,C4196,SES_Alpha*C4196+(1-SES_Alpha)*G4196))</f>
        <v>84.1285841044815</v>
      </c>
      <c r="H4197" s="33" t="n">
        <f aca="false">IF(D4197="","",D4197-C4197)</f>
        <v>-37</v>
      </c>
      <c r="I4197" s="33" t="n">
        <f aca="false">IF(E4197="","",E4197-C4197)</f>
        <v>8.75</v>
      </c>
      <c r="J4197" s="33" t="n">
        <f aca="false">IF(F4197="","",F4197-C4197)</f>
        <v>8.5</v>
      </c>
      <c r="K4197" s="33" t="n">
        <f aca="false">IF(G4197="","",G4197-C4197)</f>
        <v>4.12858410448153</v>
      </c>
      <c r="L4197" s="33" t="n">
        <f aca="false">IF(H4197="","",ABS(H4197))</f>
        <v>37</v>
      </c>
      <c r="M4197" s="33" t="n">
        <f aca="false">IF(I4197="","",ABS(I4197))</f>
        <v>8.75</v>
      </c>
      <c r="N4197" s="33" t="n">
        <f aca="false">IF(J4197="","",ABS(J4197))</f>
        <v>8.5</v>
      </c>
      <c r="O4197" s="33" t="n">
        <f aca="false">IF(K4197="","",ABS(K4197))</f>
        <v>4.12858410448153</v>
      </c>
      <c r="P4197" s="34" t="str">
        <f aca="false">IF(B4197&gt;=Eval_Start_Week,"YES","")</f>
        <v/>
      </c>
      <c r="Q4197" s="34" t="str">
        <f aca="false">IF(AND(B4197&gt;=Cal_Start_Week,B4197&lt;=Cal_End_Week),"YES","")</f>
        <v/>
      </c>
    </row>
    <row r="4198" customFormat="false" ht="15" hidden="false" customHeight="false" outlineLevel="0" collapsed="false">
      <c r="A4198" s="31" t="str">
        <f aca="false">Demand_History!C4198</f>
        <v>CLN-004</v>
      </c>
      <c r="B4198" s="31" t="n">
        <f aca="false">Demand_History!A4198</f>
        <v>37</v>
      </c>
      <c r="C4198" s="32" t="n">
        <f aca="false">Demand_History!D4198</f>
        <v>104</v>
      </c>
      <c r="D4198" s="33" t="n">
        <f aca="false">IF(B4198&gt;=2,C4197,"")</f>
        <v>80</v>
      </c>
      <c r="E4198" s="33" t="n">
        <f aca="false">IF(B4198&gt;=5,AVERAGE(C4194:C4197),"")</f>
        <v>87.25</v>
      </c>
      <c r="F4198" s="33" t="n">
        <f aca="false">IF(B4198&gt;=9,AVERAGE(C4190:C4197),"")</f>
        <v>86</v>
      </c>
      <c r="G4198" s="33" t="n">
        <f aca="false">IF(B4198=1,"",IF(B4198=2,C4197,SES_Alpha*C4197+(1-SES_Alpha)*G4197))</f>
        <v>82.8900088731371</v>
      </c>
      <c r="H4198" s="33" t="n">
        <f aca="false">IF(D4198="","",D4198-C4198)</f>
        <v>-24</v>
      </c>
      <c r="I4198" s="33" t="n">
        <f aca="false">IF(E4198="","",E4198-C4198)</f>
        <v>-16.75</v>
      </c>
      <c r="J4198" s="33" t="n">
        <f aca="false">IF(F4198="","",F4198-C4198)</f>
        <v>-18</v>
      </c>
      <c r="K4198" s="33" t="n">
        <f aca="false">IF(G4198="","",G4198-C4198)</f>
        <v>-21.1099911268629</v>
      </c>
      <c r="L4198" s="33" t="n">
        <f aca="false">IF(H4198="","",ABS(H4198))</f>
        <v>24</v>
      </c>
      <c r="M4198" s="33" t="n">
        <f aca="false">IF(I4198="","",ABS(I4198))</f>
        <v>16.75</v>
      </c>
      <c r="N4198" s="33" t="n">
        <f aca="false">IF(J4198="","",ABS(J4198))</f>
        <v>18</v>
      </c>
      <c r="O4198" s="33" t="n">
        <f aca="false">IF(K4198="","",ABS(K4198))</f>
        <v>21.1099911268629</v>
      </c>
      <c r="P4198" s="34" t="str">
        <f aca="false">IF(B4198&gt;=Eval_Start_Week,"YES","")</f>
        <v/>
      </c>
      <c r="Q4198" s="34" t="str">
        <f aca="false">IF(AND(B4198&gt;=Cal_Start_Week,B4198&lt;=Cal_End_Week),"YES","")</f>
        <v>YES</v>
      </c>
    </row>
    <row r="4199" customFormat="false" ht="15" hidden="false" customHeight="false" outlineLevel="0" collapsed="false">
      <c r="A4199" s="31" t="str">
        <f aca="false">Demand_History!C4199</f>
        <v>CLN-004</v>
      </c>
      <c r="B4199" s="31" t="n">
        <f aca="false">Demand_History!A4199</f>
        <v>38</v>
      </c>
      <c r="C4199" s="32" t="n">
        <f aca="false">Demand_History!D4199</f>
        <v>118</v>
      </c>
      <c r="D4199" s="33" t="n">
        <f aca="false">IF(B4199&gt;=2,C4198,"")</f>
        <v>104</v>
      </c>
      <c r="E4199" s="33" t="n">
        <f aca="false">IF(B4199&gt;=5,AVERAGE(C4195:C4198),"")</f>
        <v>85</v>
      </c>
      <c r="F4199" s="33" t="n">
        <f aca="false">IF(B4199&gt;=9,AVERAGE(C4191:C4198),"")</f>
        <v>92.875</v>
      </c>
      <c r="G4199" s="33" t="n">
        <f aca="false">IF(B4199=1,"",IF(B4199=2,C4198,SES_Alpha*C4198+(1-SES_Alpha)*G4198))</f>
        <v>89.223006211196</v>
      </c>
      <c r="H4199" s="33" t="n">
        <f aca="false">IF(D4199="","",D4199-C4199)</f>
        <v>-14</v>
      </c>
      <c r="I4199" s="33" t="n">
        <f aca="false">IF(E4199="","",E4199-C4199)</f>
        <v>-33</v>
      </c>
      <c r="J4199" s="33" t="n">
        <f aca="false">IF(F4199="","",F4199-C4199)</f>
        <v>-25.125</v>
      </c>
      <c r="K4199" s="33" t="n">
        <f aca="false">IF(G4199="","",G4199-C4199)</f>
        <v>-28.7769937888041</v>
      </c>
      <c r="L4199" s="33" t="n">
        <f aca="false">IF(H4199="","",ABS(H4199))</f>
        <v>14</v>
      </c>
      <c r="M4199" s="33" t="n">
        <f aca="false">IF(I4199="","",ABS(I4199))</f>
        <v>33</v>
      </c>
      <c r="N4199" s="33" t="n">
        <f aca="false">IF(J4199="","",ABS(J4199))</f>
        <v>25.125</v>
      </c>
      <c r="O4199" s="33" t="n">
        <f aca="false">IF(K4199="","",ABS(K4199))</f>
        <v>28.7769937888041</v>
      </c>
      <c r="P4199" s="34" t="str">
        <f aca="false">IF(B4199&gt;=Eval_Start_Week,"YES","")</f>
        <v/>
      </c>
      <c r="Q4199" s="34" t="str">
        <f aca="false">IF(AND(B4199&gt;=Cal_Start_Week,B4199&lt;=Cal_End_Week),"YES","")</f>
        <v>YES</v>
      </c>
    </row>
    <row r="4200" customFormat="false" ht="15" hidden="false" customHeight="false" outlineLevel="0" collapsed="false">
      <c r="A4200" s="31" t="str">
        <f aca="false">Demand_History!C4200</f>
        <v>CLN-004</v>
      </c>
      <c r="B4200" s="31" t="n">
        <f aca="false">Demand_History!A4200</f>
        <v>39</v>
      </c>
      <c r="C4200" s="32" t="n">
        <f aca="false">Demand_History!D4200</f>
        <v>133</v>
      </c>
      <c r="D4200" s="33" t="n">
        <f aca="false">IF(B4200&gt;=2,C4199,"")</f>
        <v>118</v>
      </c>
      <c r="E4200" s="33" t="n">
        <f aca="false">IF(B4200&gt;=5,AVERAGE(C4196:C4199),"")</f>
        <v>86.25</v>
      </c>
      <c r="F4200" s="33" t="n">
        <f aca="false">IF(B4200&gt;=9,AVERAGE(C4192:C4199),"")</f>
        <v>96.125</v>
      </c>
      <c r="G4200" s="33" t="n">
        <f aca="false">IF(B4200=1,"",IF(B4200=2,C4199,SES_Alpha*C4199+(1-SES_Alpha)*G4199))</f>
        <v>97.8561043478372</v>
      </c>
      <c r="H4200" s="33" t="n">
        <f aca="false">IF(D4200="","",D4200-C4200)</f>
        <v>-15</v>
      </c>
      <c r="I4200" s="33" t="n">
        <f aca="false">IF(E4200="","",E4200-C4200)</f>
        <v>-46.75</v>
      </c>
      <c r="J4200" s="33" t="n">
        <f aca="false">IF(F4200="","",F4200-C4200)</f>
        <v>-36.875</v>
      </c>
      <c r="K4200" s="33" t="n">
        <f aca="false">IF(G4200="","",G4200-C4200)</f>
        <v>-35.1438956521628</v>
      </c>
      <c r="L4200" s="33" t="n">
        <f aca="false">IF(H4200="","",ABS(H4200))</f>
        <v>15</v>
      </c>
      <c r="M4200" s="33" t="n">
        <f aca="false">IF(I4200="","",ABS(I4200))</f>
        <v>46.75</v>
      </c>
      <c r="N4200" s="33" t="n">
        <f aca="false">IF(J4200="","",ABS(J4200))</f>
        <v>36.875</v>
      </c>
      <c r="O4200" s="33" t="n">
        <f aca="false">IF(K4200="","",ABS(K4200))</f>
        <v>35.1438956521628</v>
      </c>
      <c r="P4200" s="34" t="str">
        <f aca="false">IF(B4200&gt;=Eval_Start_Week,"YES","")</f>
        <v/>
      </c>
      <c r="Q4200" s="34" t="str">
        <f aca="false">IF(AND(B4200&gt;=Cal_Start_Week,B4200&lt;=Cal_End_Week),"YES","")</f>
        <v>YES</v>
      </c>
    </row>
    <row r="4201" customFormat="false" ht="15" hidden="false" customHeight="false" outlineLevel="0" collapsed="false">
      <c r="A4201" s="31" t="str">
        <f aca="false">Demand_History!C4201</f>
        <v>CLN-004</v>
      </c>
      <c r="B4201" s="31" t="n">
        <f aca="false">Demand_History!A4201</f>
        <v>40</v>
      </c>
      <c r="C4201" s="32" t="n">
        <f aca="false">Demand_History!D4201</f>
        <v>29</v>
      </c>
      <c r="D4201" s="33" t="n">
        <f aca="false">IF(B4201&gt;=2,C4200,"")</f>
        <v>133</v>
      </c>
      <c r="E4201" s="33" t="n">
        <f aca="false">IF(B4201&gt;=5,AVERAGE(C4197:C4200),"")</f>
        <v>108.75</v>
      </c>
      <c r="F4201" s="33" t="n">
        <f aca="false">IF(B4201&gt;=9,AVERAGE(C4193:C4200),"")</f>
        <v>98.75</v>
      </c>
      <c r="G4201" s="33" t="n">
        <f aca="false">IF(B4201=1,"",IF(B4201=2,C4200,SES_Alpha*C4200+(1-SES_Alpha)*G4200))</f>
        <v>108.399273043486</v>
      </c>
      <c r="H4201" s="33" t="n">
        <f aca="false">IF(D4201="","",D4201-C4201)</f>
        <v>104</v>
      </c>
      <c r="I4201" s="33" t="n">
        <f aca="false">IF(E4201="","",E4201-C4201)</f>
        <v>79.75</v>
      </c>
      <c r="J4201" s="33" t="n">
        <f aca="false">IF(F4201="","",F4201-C4201)</f>
        <v>69.75</v>
      </c>
      <c r="K4201" s="33" t="n">
        <f aca="false">IF(G4201="","",G4201-C4201)</f>
        <v>79.399273043486</v>
      </c>
      <c r="L4201" s="33" t="n">
        <f aca="false">IF(H4201="","",ABS(H4201))</f>
        <v>104</v>
      </c>
      <c r="M4201" s="33" t="n">
        <f aca="false">IF(I4201="","",ABS(I4201))</f>
        <v>79.75</v>
      </c>
      <c r="N4201" s="33" t="n">
        <f aca="false">IF(J4201="","",ABS(J4201))</f>
        <v>69.75</v>
      </c>
      <c r="O4201" s="33" t="n">
        <f aca="false">IF(K4201="","",ABS(K4201))</f>
        <v>79.399273043486</v>
      </c>
      <c r="P4201" s="34" t="str">
        <f aca="false">IF(B4201&gt;=Eval_Start_Week,"YES","")</f>
        <v/>
      </c>
      <c r="Q4201" s="34" t="str">
        <f aca="false">IF(AND(B4201&gt;=Cal_Start_Week,B4201&lt;=Cal_End_Week),"YES","")</f>
        <v>YES</v>
      </c>
    </row>
    <row r="4202" customFormat="false" ht="15" hidden="false" customHeight="false" outlineLevel="0" collapsed="false">
      <c r="A4202" s="31" t="str">
        <f aca="false">Demand_History!C4202</f>
        <v>CLN-004</v>
      </c>
      <c r="B4202" s="31" t="n">
        <f aca="false">Demand_History!A4202</f>
        <v>41</v>
      </c>
      <c r="C4202" s="32" t="n">
        <f aca="false">Demand_History!D4202</f>
        <v>87</v>
      </c>
      <c r="D4202" s="33" t="n">
        <f aca="false">IF(B4202&gt;=2,C4201,"")</f>
        <v>29</v>
      </c>
      <c r="E4202" s="33" t="n">
        <f aca="false">IF(B4202&gt;=5,AVERAGE(C4198:C4201),"")</f>
        <v>96</v>
      </c>
      <c r="F4202" s="33" t="n">
        <f aca="false">IF(B4202&gt;=9,AVERAGE(C4194:C4201),"")</f>
        <v>91.625</v>
      </c>
      <c r="G4202" s="33" t="n">
        <f aca="false">IF(B4202=1,"",IF(B4202=2,C4201,SES_Alpha*C4201+(1-SES_Alpha)*G4201))</f>
        <v>84.5794911304402</v>
      </c>
      <c r="H4202" s="33" t="n">
        <f aca="false">IF(D4202="","",D4202-C4202)</f>
        <v>-58</v>
      </c>
      <c r="I4202" s="33" t="n">
        <f aca="false">IF(E4202="","",E4202-C4202)</f>
        <v>9</v>
      </c>
      <c r="J4202" s="33" t="n">
        <f aca="false">IF(F4202="","",F4202-C4202)</f>
        <v>4.625</v>
      </c>
      <c r="K4202" s="33" t="n">
        <f aca="false">IF(G4202="","",G4202-C4202)</f>
        <v>-2.4205088695598</v>
      </c>
      <c r="L4202" s="33" t="n">
        <f aca="false">IF(H4202="","",ABS(H4202))</f>
        <v>58</v>
      </c>
      <c r="M4202" s="33" t="n">
        <f aca="false">IF(I4202="","",ABS(I4202))</f>
        <v>9</v>
      </c>
      <c r="N4202" s="33" t="n">
        <f aca="false">IF(J4202="","",ABS(J4202))</f>
        <v>4.625</v>
      </c>
      <c r="O4202" s="33" t="n">
        <f aca="false">IF(K4202="","",ABS(K4202))</f>
        <v>2.4205088695598</v>
      </c>
      <c r="P4202" s="34" t="str">
        <f aca="false">IF(B4202&gt;=Eval_Start_Week,"YES","")</f>
        <v/>
      </c>
      <c r="Q4202" s="34" t="str">
        <f aca="false">IF(AND(B4202&gt;=Cal_Start_Week,B4202&lt;=Cal_End_Week),"YES","")</f>
        <v>YES</v>
      </c>
    </row>
    <row r="4203" customFormat="false" ht="15" hidden="false" customHeight="false" outlineLevel="0" collapsed="false">
      <c r="A4203" s="31" t="str">
        <f aca="false">Demand_History!C4203</f>
        <v>CLN-004</v>
      </c>
      <c r="B4203" s="31" t="n">
        <f aca="false">Demand_History!A4203</f>
        <v>42</v>
      </c>
      <c r="C4203" s="32" t="n">
        <f aca="false">Demand_History!D4203</f>
        <v>111</v>
      </c>
      <c r="D4203" s="33" t="n">
        <f aca="false">IF(B4203&gt;=2,C4202,"")</f>
        <v>87</v>
      </c>
      <c r="E4203" s="33" t="n">
        <f aca="false">IF(B4203&gt;=5,AVERAGE(C4199:C4202),"")</f>
        <v>91.75</v>
      </c>
      <c r="F4203" s="33" t="n">
        <f aca="false">IF(B4203&gt;=9,AVERAGE(C4195:C4202),"")</f>
        <v>88.375</v>
      </c>
      <c r="G4203" s="33" t="n">
        <f aca="false">IF(B4203=1,"",IF(B4203=2,C4202,SES_Alpha*C4202+(1-SES_Alpha)*G4202))</f>
        <v>85.3056437913081</v>
      </c>
      <c r="H4203" s="33" t="n">
        <f aca="false">IF(D4203="","",D4203-C4203)</f>
        <v>-24</v>
      </c>
      <c r="I4203" s="33" t="n">
        <f aca="false">IF(E4203="","",E4203-C4203)</f>
        <v>-19.25</v>
      </c>
      <c r="J4203" s="33" t="n">
        <f aca="false">IF(F4203="","",F4203-C4203)</f>
        <v>-22.625</v>
      </c>
      <c r="K4203" s="33" t="n">
        <f aca="false">IF(G4203="","",G4203-C4203)</f>
        <v>-25.6943562086919</v>
      </c>
      <c r="L4203" s="33" t="n">
        <f aca="false">IF(H4203="","",ABS(H4203))</f>
        <v>24</v>
      </c>
      <c r="M4203" s="33" t="n">
        <f aca="false">IF(I4203="","",ABS(I4203))</f>
        <v>19.25</v>
      </c>
      <c r="N4203" s="33" t="n">
        <f aca="false">IF(J4203="","",ABS(J4203))</f>
        <v>22.625</v>
      </c>
      <c r="O4203" s="33" t="n">
        <f aca="false">IF(K4203="","",ABS(K4203))</f>
        <v>25.6943562086919</v>
      </c>
      <c r="P4203" s="34" t="str">
        <f aca="false">IF(B4203&gt;=Eval_Start_Week,"YES","")</f>
        <v/>
      </c>
      <c r="Q4203" s="34" t="str">
        <f aca="false">IF(AND(B4203&gt;=Cal_Start_Week,B4203&lt;=Cal_End_Week),"YES","")</f>
        <v>YES</v>
      </c>
    </row>
    <row r="4204" customFormat="false" ht="15" hidden="false" customHeight="false" outlineLevel="0" collapsed="false">
      <c r="A4204" s="31" t="str">
        <f aca="false">Demand_History!C4204</f>
        <v>CLN-004</v>
      </c>
      <c r="B4204" s="31" t="n">
        <f aca="false">Demand_History!A4204</f>
        <v>43</v>
      </c>
      <c r="C4204" s="32" t="n">
        <f aca="false">Demand_History!D4204</f>
        <v>127</v>
      </c>
      <c r="D4204" s="33" t="n">
        <f aca="false">IF(B4204&gt;=2,C4203,"")</f>
        <v>111</v>
      </c>
      <c r="E4204" s="33" t="n">
        <f aca="false">IF(B4204&gt;=5,AVERAGE(C4200:C4203),"")</f>
        <v>90</v>
      </c>
      <c r="F4204" s="33" t="n">
        <f aca="false">IF(B4204&gt;=9,AVERAGE(C4196:C4203),"")</f>
        <v>88.125</v>
      </c>
      <c r="G4204" s="33" t="n">
        <f aca="false">IF(B4204=1,"",IF(B4204=2,C4203,SES_Alpha*C4203+(1-SES_Alpha)*G4203))</f>
        <v>93.0139506539157</v>
      </c>
      <c r="H4204" s="33" t="n">
        <f aca="false">IF(D4204="","",D4204-C4204)</f>
        <v>-16</v>
      </c>
      <c r="I4204" s="33" t="n">
        <f aca="false">IF(E4204="","",E4204-C4204)</f>
        <v>-37</v>
      </c>
      <c r="J4204" s="33" t="n">
        <f aca="false">IF(F4204="","",F4204-C4204)</f>
        <v>-38.875</v>
      </c>
      <c r="K4204" s="33" t="n">
        <f aca="false">IF(G4204="","",G4204-C4204)</f>
        <v>-33.9860493460843</v>
      </c>
      <c r="L4204" s="33" t="n">
        <f aca="false">IF(H4204="","",ABS(H4204))</f>
        <v>16</v>
      </c>
      <c r="M4204" s="33" t="n">
        <f aca="false">IF(I4204="","",ABS(I4204))</f>
        <v>37</v>
      </c>
      <c r="N4204" s="33" t="n">
        <f aca="false">IF(J4204="","",ABS(J4204))</f>
        <v>38.875</v>
      </c>
      <c r="O4204" s="33" t="n">
        <f aca="false">IF(K4204="","",ABS(K4204))</f>
        <v>33.9860493460843</v>
      </c>
      <c r="P4204" s="34" t="str">
        <f aca="false">IF(B4204&gt;=Eval_Start_Week,"YES","")</f>
        <v/>
      </c>
      <c r="Q4204" s="34" t="str">
        <f aca="false">IF(AND(B4204&gt;=Cal_Start_Week,B4204&lt;=Cal_End_Week),"YES","")</f>
        <v>YES</v>
      </c>
    </row>
    <row r="4205" customFormat="false" ht="15" hidden="false" customHeight="false" outlineLevel="0" collapsed="false">
      <c r="A4205" s="31" t="str">
        <f aca="false">Demand_History!C4205</f>
        <v>CLN-004</v>
      </c>
      <c r="B4205" s="31" t="n">
        <f aca="false">Demand_History!A4205</f>
        <v>44</v>
      </c>
      <c r="C4205" s="32" t="n">
        <f aca="false">Demand_History!D4205</f>
        <v>142</v>
      </c>
      <c r="D4205" s="33" t="n">
        <f aca="false">IF(B4205&gt;=2,C4204,"")</f>
        <v>127</v>
      </c>
      <c r="E4205" s="33" t="n">
        <f aca="false">IF(B4205&gt;=5,AVERAGE(C4201:C4204),"")</f>
        <v>88.5</v>
      </c>
      <c r="F4205" s="33" t="n">
        <f aca="false">IF(B4205&gt;=9,AVERAGE(C4197:C4204),"")</f>
        <v>98.625</v>
      </c>
      <c r="G4205" s="33" t="n">
        <f aca="false">IF(B4205=1,"",IF(B4205=2,C4204,SES_Alpha*C4204+(1-SES_Alpha)*G4204))</f>
        <v>103.209765457741</v>
      </c>
      <c r="H4205" s="33" t="n">
        <f aca="false">IF(D4205="","",D4205-C4205)</f>
        <v>-15</v>
      </c>
      <c r="I4205" s="33" t="n">
        <f aca="false">IF(E4205="","",E4205-C4205)</f>
        <v>-53.5</v>
      </c>
      <c r="J4205" s="33" t="n">
        <f aca="false">IF(F4205="","",F4205-C4205)</f>
        <v>-43.375</v>
      </c>
      <c r="K4205" s="33" t="n">
        <f aca="false">IF(G4205="","",G4205-C4205)</f>
        <v>-38.790234542259</v>
      </c>
      <c r="L4205" s="33" t="n">
        <f aca="false">IF(H4205="","",ABS(H4205))</f>
        <v>15</v>
      </c>
      <c r="M4205" s="33" t="n">
        <f aca="false">IF(I4205="","",ABS(I4205))</f>
        <v>53.5</v>
      </c>
      <c r="N4205" s="33" t="n">
        <f aca="false">IF(J4205="","",ABS(J4205))</f>
        <v>43.375</v>
      </c>
      <c r="O4205" s="33" t="n">
        <f aca="false">IF(K4205="","",ABS(K4205))</f>
        <v>38.790234542259</v>
      </c>
      <c r="P4205" s="34" t="str">
        <f aca="false">IF(B4205&gt;=Eval_Start_Week,"YES","")</f>
        <v/>
      </c>
      <c r="Q4205" s="34" t="str">
        <f aca="false">IF(AND(B4205&gt;=Cal_Start_Week,B4205&lt;=Cal_End_Week),"YES","")</f>
        <v>YES</v>
      </c>
    </row>
    <row r="4206" customFormat="false" ht="15" hidden="false" customHeight="false" outlineLevel="0" collapsed="false">
      <c r="A4206" s="31" t="str">
        <f aca="false">Demand_History!C4206</f>
        <v>CLN-004</v>
      </c>
      <c r="B4206" s="31" t="n">
        <f aca="false">Demand_History!A4206</f>
        <v>45</v>
      </c>
      <c r="C4206" s="32" t="n">
        <f aca="false">Demand_History!D4206</f>
        <v>60</v>
      </c>
      <c r="D4206" s="33" t="n">
        <f aca="false">IF(B4206&gt;=2,C4205,"")</f>
        <v>142</v>
      </c>
      <c r="E4206" s="33" t="n">
        <f aca="false">IF(B4206&gt;=5,AVERAGE(C4202:C4205),"")</f>
        <v>116.75</v>
      </c>
      <c r="F4206" s="33" t="n">
        <f aca="false">IF(B4206&gt;=9,AVERAGE(C4198:C4205),"")</f>
        <v>106.375</v>
      </c>
      <c r="G4206" s="33" t="n">
        <f aca="false">IF(B4206=1,"",IF(B4206=2,C4205,SES_Alpha*C4205+(1-SES_Alpha)*G4205))</f>
        <v>114.846835820419</v>
      </c>
      <c r="H4206" s="33" t="n">
        <f aca="false">IF(D4206="","",D4206-C4206)</f>
        <v>82</v>
      </c>
      <c r="I4206" s="33" t="n">
        <f aca="false">IF(E4206="","",E4206-C4206)</f>
        <v>56.75</v>
      </c>
      <c r="J4206" s="33" t="n">
        <f aca="false">IF(F4206="","",F4206-C4206)</f>
        <v>46.375</v>
      </c>
      <c r="K4206" s="33" t="n">
        <f aca="false">IF(G4206="","",G4206-C4206)</f>
        <v>54.8468358204187</v>
      </c>
      <c r="L4206" s="33" t="n">
        <f aca="false">IF(H4206="","",ABS(H4206))</f>
        <v>82</v>
      </c>
      <c r="M4206" s="33" t="n">
        <f aca="false">IF(I4206="","",ABS(I4206))</f>
        <v>56.75</v>
      </c>
      <c r="N4206" s="33" t="n">
        <f aca="false">IF(J4206="","",ABS(J4206))</f>
        <v>46.375</v>
      </c>
      <c r="O4206" s="33" t="n">
        <f aca="false">IF(K4206="","",ABS(K4206))</f>
        <v>54.8468358204187</v>
      </c>
      <c r="P4206" s="34" t="str">
        <f aca="false">IF(B4206&gt;=Eval_Start_Week,"YES","")</f>
        <v/>
      </c>
      <c r="Q4206" s="34" t="str">
        <f aca="false">IF(AND(B4206&gt;=Cal_Start_Week,B4206&lt;=Cal_End_Week),"YES","")</f>
        <v>YES</v>
      </c>
    </row>
    <row r="4207" customFormat="false" ht="15" hidden="false" customHeight="false" outlineLevel="0" collapsed="false">
      <c r="A4207" s="31" t="str">
        <f aca="false">Demand_History!C4207</f>
        <v>CLN-004</v>
      </c>
      <c r="B4207" s="31" t="n">
        <f aca="false">Demand_History!A4207</f>
        <v>46</v>
      </c>
      <c r="C4207" s="32" t="n">
        <f aca="false">Demand_History!D4207</f>
        <v>77</v>
      </c>
      <c r="D4207" s="33" t="n">
        <f aca="false">IF(B4207&gt;=2,C4206,"")</f>
        <v>60</v>
      </c>
      <c r="E4207" s="33" t="n">
        <f aca="false">IF(B4207&gt;=5,AVERAGE(C4203:C4206),"")</f>
        <v>110</v>
      </c>
      <c r="F4207" s="33" t="n">
        <f aca="false">IF(B4207&gt;=9,AVERAGE(C4199:C4206),"")</f>
        <v>100.875</v>
      </c>
      <c r="G4207" s="33" t="n">
        <f aca="false">IF(B4207=1,"",IF(B4207=2,C4206,SES_Alpha*C4206+(1-SES_Alpha)*G4206))</f>
        <v>98.3927850742931</v>
      </c>
      <c r="H4207" s="33" t="n">
        <f aca="false">IF(D4207="","",D4207-C4207)</f>
        <v>-17</v>
      </c>
      <c r="I4207" s="33" t="n">
        <f aca="false">IF(E4207="","",E4207-C4207)</f>
        <v>33</v>
      </c>
      <c r="J4207" s="33" t="n">
        <f aca="false">IF(F4207="","",F4207-C4207)</f>
        <v>23.875</v>
      </c>
      <c r="K4207" s="33" t="n">
        <f aca="false">IF(G4207="","",G4207-C4207)</f>
        <v>21.3927850742931</v>
      </c>
      <c r="L4207" s="33" t="n">
        <f aca="false">IF(H4207="","",ABS(H4207))</f>
        <v>17</v>
      </c>
      <c r="M4207" s="33" t="n">
        <f aca="false">IF(I4207="","",ABS(I4207))</f>
        <v>33</v>
      </c>
      <c r="N4207" s="33" t="n">
        <f aca="false">IF(J4207="","",ABS(J4207))</f>
        <v>23.875</v>
      </c>
      <c r="O4207" s="33" t="n">
        <f aca="false">IF(K4207="","",ABS(K4207))</f>
        <v>21.3927850742931</v>
      </c>
      <c r="P4207" s="34" t="str">
        <f aca="false">IF(B4207&gt;=Eval_Start_Week,"YES","")</f>
        <v/>
      </c>
      <c r="Q4207" s="34" t="str">
        <f aca="false">IF(AND(B4207&gt;=Cal_Start_Week,B4207&lt;=Cal_End_Week),"YES","")</f>
        <v>YES</v>
      </c>
    </row>
    <row r="4208" customFormat="false" ht="15" hidden="false" customHeight="false" outlineLevel="0" collapsed="false">
      <c r="A4208" s="31" t="str">
        <f aca="false">Demand_History!C4208</f>
        <v>CLN-004</v>
      </c>
      <c r="B4208" s="31" t="n">
        <f aca="false">Demand_History!A4208</f>
        <v>47</v>
      </c>
      <c r="C4208" s="32" t="n">
        <f aca="false">Demand_History!D4208</f>
        <v>56</v>
      </c>
      <c r="D4208" s="33" t="n">
        <f aca="false">IF(B4208&gt;=2,C4207,"")</f>
        <v>77</v>
      </c>
      <c r="E4208" s="33" t="n">
        <f aca="false">IF(B4208&gt;=5,AVERAGE(C4204:C4207),"")</f>
        <v>101.5</v>
      </c>
      <c r="F4208" s="33" t="n">
        <f aca="false">IF(B4208&gt;=9,AVERAGE(C4200:C4207),"")</f>
        <v>95.75</v>
      </c>
      <c r="G4208" s="33" t="n">
        <f aca="false">IF(B4208=1,"",IF(B4208=2,C4207,SES_Alpha*C4207+(1-SES_Alpha)*G4207))</f>
        <v>91.9749495520051</v>
      </c>
      <c r="H4208" s="33" t="n">
        <f aca="false">IF(D4208="","",D4208-C4208)</f>
        <v>21</v>
      </c>
      <c r="I4208" s="33" t="n">
        <f aca="false">IF(E4208="","",E4208-C4208)</f>
        <v>45.5</v>
      </c>
      <c r="J4208" s="33" t="n">
        <f aca="false">IF(F4208="","",F4208-C4208)</f>
        <v>39.75</v>
      </c>
      <c r="K4208" s="33" t="n">
        <f aca="false">IF(G4208="","",G4208-C4208)</f>
        <v>35.9749495520051</v>
      </c>
      <c r="L4208" s="33" t="n">
        <f aca="false">IF(H4208="","",ABS(H4208))</f>
        <v>21</v>
      </c>
      <c r="M4208" s="33" t="n">
        <f aca="false">IF(I4208="","",ABS(I4208))</f>
        <v>45.5</v>
      </c>
      <c r="N4208" s="33" t="n">
        <f aca="false">IF(J4208="","",ABS(J4208))</f>
        <v>39.75</v>
      </c>
      <c r="O4208" s="33" t="n">
        <f aca="false">IF(K4208="","",ABS(K4208))</f>
        <v>35.9749495520051</v>
      </c>
      <c r="P4208" s="34" t="str">
        <f aca="false">IF(B4208&gt;=Eval_Start_Week,"YES","")</f>
        <v/>
      </c>
      <c r="Q4208" s="34" t="str">
        <f aca="false">IF(AND(B4208&gt;=Cal_Start_Week,B4208&lt;=Cal_End_Week),"YES","")</f>
        <v>YES</v>
      </c>
    </row>
    <row r="4209" customFormat="false" ht="15" hidden="false" customHeight="false" outlineLevel="0" collapsed="false">
      <c r="A4209" s="31" t="str">
        <f aca="false">Demand_History!C4209</f>
        <v>CLN-004</v>
      </c>
      <c r="B4209" s="31" t="n">
        <f aca="false">Demand_History!A4209</f>
        <v>48</v>
      </c>
      <c r="C4209" s="32" t="n">
        <f aca="false">Demand_History!D4209</f>
        <v>115</v>
      </c>
      <c r="D4209" s="33" t="n">
        <f aca="false">IF(B4209&gt;=2,C4208,"")</f>
        <v>56</v>
      </c>
      <c r="E4209" s="33" t="n">
        <f aca="false">IF(B4209&gt;=5,AVERAGE(C4205:C4208),"")</f>
        <v>83.75</v>
      </c>
      <c r="F4209" s="33" t="n">
        <f aca="false">IF(B4209&gt;=9,AVERAGE(C4201:C4208),"")</f>
        <v>86.125</v>
      </c>
      <c r="G4209" s="33" t="n">
        <f aca="false">IF(B4209=1,"",IF(B4209=2,C4208,SES_Alpha*C4208+(1-SES_Alpha)*G4208))</f>
        <v>81.1824646864036</v>
      </c>
      <c r="H4209" s="33" t="n">
        <f aca="false">IF(D4209="","",D4209-C4209)</f>
        <v>-59</v>
      </c>
      <c r="I4209" s="33" t="n">
        <f aca="false">IF(E4209="","",E4209-C4209)</f>
        <v>-31.25</v>
      </c>
      <c r="J4209" s="33" t="n">
        <f aca="false">IF(F4209="","",F4209-C4209)</f>
        <v>-28.875</v>
      </c>
      <c r="K4209" s="33" t="n">
        <f aca="false">IF(G4209="","",G4209-C4209)</f>
        <v>-33.8175353135964</v>
      </c>
      <c r="L4209" s="33" t="n">
        <f aca="false">IF(H4209="","",ABS(H4209))</f>
        <v>59</v>
      </c>
      <c r="M4209" s="33" t="n">
        <f aca="false">IF(I4209="","",ABS(I4209))</f>
        <v>31.25</v>
      </c>
      <c r="N4209" s="33" t="n">
        <f aca="false">IF(J4209="","",ABS(J4209))</f>
        <v>28.875</v>
      </c>
      <c r="O4209" s="33" t="n">
        <f aca="false">IF(K4209="","",ABS(K4209))</f>
        <v>33.8175353135964</v>
      </c>
      <c r="P4209" s="34" t="str">
        <f aca="false">IF(B4209&gt;=Eval_Start_Week,"YES","")</f>
        <v/>
      </c>
      <c r="Q4209" s="34" t="str">
        <f aca="false">IF(AND(B4209&gt;=Cal_Start_Week,B4209&lt;=Cal_End_Week),"YES","")</f>
        <v>YES</v>
      </c>
    </row>
    <row r="4210" customFormat="false" ht="15" hidden="false" customHeight="false" outlineLevel="0" collapsed="false">
      <c r="A4210" s="31" t="str">
        <f aca="false">Demand_History!C4210</f>
        <v>CLN-004</v>
      </c>
      <c r="B4210" s="31" t="n">
        <f aca="false">Demand_History!A4210</f>
        <v>49</v>
      </c>
      <c r="C4210" s="32" t="n">
        <f aca="false">Demand_History!D4210</f>
        <v>48</v>
      </c>
      <c r="D4210" s="33" t="n">
        <f aca="false">IF(B4210&gt;=2,C4209,"")</f>
        <v>115</v>
      </c>
      <c r="E4210" s="33" t="n">
        <f aca="false">IF(B4210&gt;=5,AVERAGE(C4206:C4209),"")</f>
        <v>77</v>
      </c>
      <c r="F4210" s="33" t="n">
        <f aca="false">IF(B4210&gt;=9,AVERAGE(C4202:C4209),"")</f>
        <v>96.875</v>
      </c>
      <c r="G4210" s="33" t="n">
        <f aca="false">IF(B4210=1,"",IF(B4210=2,C4209,SES_Alpha*C4209+(1-SES_Alpha)*G4209))</f>
        <v>91.3277252804825</v>
      </c>
      <c r="H4210" s="33" t="n">
        <f aca="false">IF(D4210="","",D4210-C4210)</f>
        <v>67</v>
      </c>
      <c r="I4210" s="33" t="n">
        <f aca="false">IF(E4210="","",E4210-C4210)</f>
        <v>29</v>
      </c>
      <c r="J4210" s="33" t="n">
        <f aca="false">IF(F4210="","",F4210-C4210)</f>
        <v>48.875</v>
      </c>
      <c r="K4210" s="33" t="n">
        <f aca="false">IF(G4210="","",G4210-C4210)</f>
        <v>43.3277252804825</v>
      </c>
      <c r="L4210" s="33" t="n">
        <f aca="false">IF(H4210="","",ABS(H4210))</f>
        <v>67</v>
      </c>
      <c r="M4210" s="33" t="n">
        <f aca="false">IF(I4210="","",ABS(I4210))</f>
        <v>29</v>
      </c>
      <c r="N4210" s="33" t="n">
        <f aca="false">IF(J4210="","",ABS(J4210))</f>
        <v>48.875</v>
      </c>
      <c r="O4210" s="33" t="n">
        <f aca="false">IF(K4210="","",ABS(K4210))</f>
        <v>43.3277252804825</v>
      </c>
      <c r="P4210" s="34" t="str">
        <f aca="false">IF(B4210&gt;=Eval_Start_Week,"YES","")</f>
        <v/>
      </c>
      <c r="Q4210" s="34" t="str">
        <f aca="false">IF(AND(B4210&gt;=Cal_Start_Week,B4210&lt;=Cal_End_Week),"YES","")</f>
        <v>YES</v>
      </c>
    </row>
    <row r="4211" customFormat="false" ht="15" hidden="false" customHeight="false" outlineLevel="0" collapsed="false">
      <c r="A4211" s="31" t="str">
        <f aca="false">Demand_History!C4211</f>
        <v>CLN-004</v>
      </c>
      <c r="B4211" s="31" t="n">
        <f aca="false">Demand_History!A4211</f>
        <v>50</v>
      </c>
      <c r="C4211" s="32" t="n">
        <f aca="false">Demand_History!D4211</f>
        <v>126</v>
      </c>
      <c r="D4211" s="33" t="n">
        <f aca="false">IF(B4211&gt;=2,C4210,"")</f>
        <v>48</v>
      </c>
      <c r="E4211" s="33" t="n">
        <f aca="false">IF(B4211&gt;=5,AVERAGE(C4207:C4210),"")</f>
        <v>74</v>
      </c>
      <c r="F4211" s="33" t="n">
        <f aca="false">IF(B4211&gt;=9,AVERAGE(C4203:C4210),"")</f>
        <v>92</v>
      </c>
      <c r="G4211" s="33" t="n">
        <f aca="false">IF(B4211=1,"",IF(B4211=2,C4210,SES_Alpha*C4210+(1-SES_Alpha)*G4210))</f>
        <v>78.3294076963378</v>
      </c>
      <c r="H4211" s="33" t="n">
        <f aca="false">IF(D4211="","",D4211-C4211)</f>
        <v>-78</v>
      </c>
      <c r="I4211" s="33" t="n">
        <f aca="false">IF(E4211="","",E4211-C4211)</f>
        <v>-52</v>
      </c>
      <c r="J4211" s="33" t="n">
        <f aca="false">IF(F4211="","",F4211-C4211)</f>
        <v>-34</v>
      </c>
      <c r="K4211" s="33" t="n">
        <f aca="false">IF(G4211="","",G4211-C4211)</f>
        <v>-47.6705923036623</v>
      </c>
      <c r="L4211" s="33" t="n">
        <f aca="false">IF(H4211="","",ABS(H4211))</f>
        <v>78</v>
      </c>
      <c r="M4211" s="33" t="n">
        <f aca="false">IF(I4211="","",ABS(I4211))</f>
        <v>52</v>
      </c>
      <c r="N4211" s="33" t="n">
        <f aca="false">IF(J4211="","",ABS(J4211))</f>
        <v>34</v>
      </c>
      <c r="O4211" s="33" t="n">
        <f aca="false">IF(K4211="","",ABS(K4211))</f>
        <v>47.6705923036623</v>
      </c>
      <c r="P4211" s="34" t="str">
        <f aca="false">IF(B4211&gt;=Eval_Start_Week,"YES","")</f>
        <v/>
      </c>
      <c r="Q4211" s="34" t="str">
        <f aca="false">IF(AND(B4211&gt;=Cal_Start_Week,B4211&lt;=Cal_End_Week),"YES","")</f>
        <v>YES</v>
      </c>
    </row>
    <row r="4212" customFormat="false" ht="15" hidden="false" customHeight="false" outlineLevel="0" collapsed="false">
      <c r="A4212" s="31" t="str">
        <f aca="false">Demand_History!C4212</f>
        <v>CLN-004</v>
      </c>
      <c r="B4212" s="31" t="n">
        <f aca="false">Demand_History!A4212</f>
        <v>51</v>
      </c>
      <c r="C4212" s="32" t="n">
        <f aca="false">Demand_History!D4212</f>
        <v>118</v>
      </c>
      <c r="D4212" s="33" t="n">
        <f aca="false">IF(B4212&gt;=2,C4211,"")</f>
        <v>126</v>
      </c>
      <c r="E4212" s="33" t="n">
        <f aca="false">IF(B4212&gt;=5,AVERAGE(C4208:C4211),"")</f>
        <v>86.25</v>
      </c>
      <c r="F4212" s="33" t="n">
        <f aca="false">IF(B4212&gt;=9,AVERAGE(C4204:C4211),"")</f>
        <v>93.875</v>
      </c>
      <c r="G4212" s="33" t="n">
        <f aca="false">IF(B4212=1,"",IF(B4212=2,C4211,SES_Alpha*C4211+(1-SES_Alpha)*G4211))</f>
        <v>92.6305853874364</v>
      </c>
      <c r="H4212" s="33" t="n">
        <f aca="false">IF(D4212="","",D4212-C4212)</f>
        <v>8</v>
      </c>
      <c r="I4212" s="33" t="n">
        <f aca="false">IF(E4212="","",E4212-C4212)</f>
        <v>-31.75</v>
      </c>
      <c r="J4212" s="33" t="n">
        <f aca="false">IF(F4212="","",F4212-C4212)</f>
        <v>-24.125</v>
      </c>
      <c r="K4212" s="33" t="n">
        <f aca="false">IF(G4212="","",G4212-C4212)</f>
        <v>-25.3694146125636</v>
      </c>
      <c r="L4212" s="33" t="n">
        <f aca="false">IF(H4212="","",ABS(H4212))</f>
        <v>8</v>
      </c>
      <c r="M4212" s="33" t="n">
        <f aca="false">IF(I4212="","",ABS(I4212))</f>
        <v>31.75</v>
      </c>
      <c r="N4212" s="33" t="n">
        <f aca="false">IF(J4212="","",ABS(J4212))</f>
        <v>24.125</v>
      </c>
      <c r="O4212" s="33" t="n">
        <f aca="false">IF(K4212="","",ABS(K4212))</f>
        <v>25.3694146125636</v>
      </c>
      <c r="P4212" s="34" t="str">
        <f aca="false">IF(B4212&gt;=Eval_Start_Week,"YES","")</f>
        <v/>
      </c>
      <c r="Q4212" s="34" t="str">
        <f aca="false">IF(AND(B4212&gt;=Cal_Start_Week,B4212&lt;=Cal_End_Week),"YES","")</f>
        <v>YES</v>
      </c>
    </row>
    <row r="4213" customFormat="false" ht="15" hidden="false" customHeight="false" outlineLevel="0" collapsed="false">
      <c r="A4213" s="31" t="str">
        <f aca="false">Demand_History!C4213</f>
        <v>CLN-004</v>
      </c>
      <c r="B4213" s="31" t="n">
        <f aca="false">Demand_History!A4213</f>
        <v>52</v>
      </c>
      <c r="C4213" s="32" t="n">
        <f aca="false">Demand_History!D4213</f>
        <v>104</v>
      </c>
      <c r="D4213" s="33" t="n">
        <f aca="false">IF(B4213&gt;=2,C4212,"")</f>
        <v>118</v>
      </c>
      <c r="E4213" s="33" t="n">
        <f aca="false">IF(B4213&gt;=5,AVERAGE(C4209:C4212),"")</f>
        <v>101.75</v>
      </c>
      <c r="F4213" s="33" t="n">
        <f aca="false">IF(B4213&gt;=9,AVERAGE(C4205:C4212),"")</f>
        <v>92.75</v>
      </c>
      <c r="G4213" s="33" t="n">
        <f aca="false">IF(B4213=1,"",IF(B4213=2,C4212,SES_Alpha*C4212+(1-SES_Alpha)*G4212))</f>
        <v>100.241409771206</v>
      </c>
      <c r="H4213" s="33" t="n">
        <f aca="false">IF(D4213="","",D4213-C4213)</f>
        <v>14</v>
      </c>
      <c r="I4213" s="33" t="n">
        <f aca="false">IF(E4213="","",E4213-C4213)</f>
        <v>-2.25</v>
      </c>
      <c r="J4213" s="33" t="n">
        <f aca="false">IF(F4213="","",F4213-C4213)</f>
        <v>-11.25</v>
      </c>
      <c r="K4213" s="33" t="n">
        <f aca="false">IF(G4213="","",G4213-C4213)</f>
        <v>-3.7585902287945</v>
      </c>
      <c r="L4213" s="33" t="n">
        <f aca="false">IF(H4213="","",ABS(H4213))</f>
        <v>14</v>
      </c>
      <c r="M4213" s="33" t="n">
        <f aca="false">IF(I4213="","",ABS(I4213))</f>
        <v>2.25</v>
      </c>
      <c r="N4213" s="33" t="n">
        <f aca="false">IF(J4213="","",ABS(J4213))</f>
        <v>11.25</v>
      </c>
      <c r="O4213" s="33" t="n">
        <f aca="false">IF(K4213="","",ABS(K4213))</f>
        <v>3.7585902287945</v>
      </c>
      <c r="P4213" s="34" t="str">
        <f aca="false">IF(B4213&gt;=Eval_Start_Week,"YES","")</f>
        <v/>
      </c>
      <c r="Q4213" s="34" t="str">
        <f aca="false">IF(AND(B4213&gt;=Cal_Start_Week,B4213&lt;=Cal_End_Week),"YES","")</f>
        <v>YES</v>
      </c>
    </row>
    <row r="4214" customFormat="false" ht="15" hidden="false" customHeight="false" outlineLevel="0" collapsed="false">
      <c r="A4214" s="31" t="str">
        <f aca="false">Demand_History!C4214</f>
        <v>CLN-004</v>
      </c>
      <c r="B4214" s="31" t="n">
        <f aca="false">Demand_History!A4214</f>
        <v>53</v>
      </c>
      <c r="C4214" s="32" t="n">
        <f aca="false">Demand_History!D4214</f>
        <v>21</v>
      </c>
      <c r="D4214" s="33" t="n">
        <f aca="false">IF(B4214&gt;=2,C4213,"")</f>
        <v>104</v>
      </c>
      <c r="E4214" s="33" t="n">
        <f aca="false">IF(B4214&gt;=5,AVERAGE(C4210:C4213),"")</f>
        <v>99</v>
      </c>
      <c r="F4214" s="33" t="n">
        <f aca="false">IF(B4214&gt;=9,AVERAGE(C4206:C4213),"")</f>
        <v>88</v>
      </c>
      <c r="G4214" s="33" t="n">
        <f aca="false">IF(B4214=1,"",IF(B4214=2,C4213,SES_Alpha*C4213+(1-SES_Alpha)*G4213))</f>
        <v>101.368986839844</v>
      </c>
      <c r="H4214" s="33" t="n">
        <f aca="false">IF(D4214="","",D4214-C4214)</f>
        <v>83</v>
      </c>
      <c r="I4214" s="33" t="n">
        <f aca="false">IF(E4214="","",E4214-C4214)</f>
        <v>78</v>
      </c>
      <c r="J4214" s="33" t="n">
        <f aca="false">IF(F4214="","",F4214-C4214)</f>
        <v>67</v>
      </c>
      <c r="K4214" s="33" t="n">
        <f aca="false">IF(G4214="","",G4214-C4214)</f>
        <v>80.3689868398438</v>
      </c>
      <c r="L4214" s="33" t="n">
        <f aca="false">IF(H4214="","",ABS(H4214))</f>
        <v>83</v>
      </c>
      <c r="M4214" s="33" t="n">
        <f aca="false">IF(I4214="","",ABS(I4214))</f>
        <v>78</v>
      </c>
      <c r="N4214" s="33" t="n">
        <f aca="false">IF(J4214="","",ABS(J4214))</f>
        <v>67</v>
      </c>
      <c r="O4214" s="33" t="n">
        <f aca="false">IF(K4214="","",ABS(K4214))</f>
        <v>80.3689868398438</v>
      </c>
      <c r="P4214" s="34" t="str">
        <f aca="false">IF(B4214&gt;=Eval_Start_Week,"YES","")</f>
        <v>YES</v>
      </c>
      <c r="Q4214" s="34" t="str">
        <f aca="false">IF(AND(B4214&gt;=Cal_Start_Week,B4214&lt;=Cal_End_Week),"YES","")</f>
        <v>YES</v>
      </c>
    </row>
    <row r="4215" customFormat="false" ht="15" hidden="false" customHeight="false" outlineLevel="0" collapsed="false">
      <c r="A4215" s="31" t="str">
        <f aca="false">Demand_History!C4215</f>
        <v>CLN-004</v>
      </c>
      <c r="B4215" s="31" t="n">
        <f aca="false">Demand_History!A4215</f>
        <v>54</v>
      </c>
      <c r="C4215" s="32" t="n">
        <f aca="false">Demand_History!D4215</f>
        <v>68</v>
      </c>
      <c r="D4215" s="33" t="n">
        <f aca="false">IF(B4215&gt;=2,C4214,"")</f>
        <v>21</v>
      </c>
      <c r="E4215" s="33" t="n">
        <f aca="false">IF(B4215&gt;=5,AVERAGE(C4211:C4214),"")</f>
        <v>92.25</v>
      </c>
      <c r="F4215" s="33" t="n">
        <f aca="false">IF(B4215&gt;=9,AVERAGE(C4207:C4214),"")</f>
        <v>83.125</v>
      </c>
      <c r="G4215" s="33" t="n">
        <f aca="false">IF(B4215=1,"",IF(B4215=2,C4214,SES_Alpha*C4214+(1-SES_Alpha)*G4214))</f>
        <v>77.2582907878907</v>
      </c>
      <c r="H4215" s="33" t="n">
        <f aca="false">IF(D4215="","",D4215-C4215)</f>
        <v>-47</v>
      </c>
      <c r="I4215" s="33" t="n">
        <f aca="false">IF(E4215="","",E4215-C4215)</f>
        <v>24.25</v>
      </c>
      <c r="J4215" s="33" t="n">
        <f aca="false">IF(F4215="","",F4215-C4215)</f>
        <v>15.125</v>
      </c>
      <c r="K4215" s="33" t="n">
        <f aca="false">IF(G4215="","",G4215-C4215)</f>
        <v>9.25829078789069</v>
      </c>
      <c r="L4215" s="33" t="n">
        <f aca="false">IF(H4215="","",ABS(H4215))</f>
        <v>47</v>
      </c>
      <c r="M4215" s="33" t="n">
        <f aca="false">IF(I4215="","",ABS(I4215))</f>
        <v>24.25</v>
      </c>
      <c r="N4215" s="33" t="n">
        <f aca="false">IF(J4215="","",ABS(J4215))</f>
        <v>15.125</v>
      </c>
      <c r="O4215" s="33" t="n">
        <f aca="false">IF(K4215="","",ABS(K4215))</f>
        <v>9.25829078789069</v>
      </c>
      <c r="P4215" s="34" t="str">
        <f aca="false">IF(B4215&gt;=Eval_Start_Week,"YES","")</f>
        <v>YES</v>
      </c>
      <c r="Q4215" s="34" t="str">
        <f aca="false">IF(AND(B4215&gt;=Cal_Start_Week,B4215&lt;=Cal_End_Week),"YES","")</f>
        <v>YES</v>
      </c>
    </row>
    <row r="4216" customFormat="false" ht="15" hidden="false" customHeight="false" outlineLevel="0" collapsed="false">
      <c r="A4216" s="31" t="str">
        <f aca="false">Demand_History!C4216</f>
        <v>CLN-004</v>
      </c>
      <c r="B4216" s="31" t="n">
        <f aca="false">Demand_History!A4216</f>
        <v>55</v>
      </c>
      <c r="C4216" s="32" t="n">
        <f aca="false">Demand_History!D4216</f>
        <v>112</v>
      </c>
      <c r="D4216" s="33" t="n">
        <f aca="false">IF(B4216&gt;=2,C4215,"")</f>
        <v>68</v>
      </c>
      <c r="E4216" s="33" t="n">
        <f aca="false">IF(B4216&gt;=5,AVERAGE(C4212:C4215),"")</f>
        <v>77.75</v>
      </c>
      <c r="F4216" s="33" t="n">
        <f aca="false">IF(B4216&gt;=9,AVERAGE(C4208:C4215),"")</f>
        <v>82</v>
      </c>
      <c r="G4216" s="33" t="n">
        <f aca="false">IF(B4216=1,"",IF(B4216=2,C4215,SES_Alpha*C4215+(1-SES_Alpha)*G4215))</f>
        <v>74.4808035515235</v>
      </c>
      <c r="H4216" s="33" t="n">
        <f aca="false">IF(D4216="","",D4216-C4216)</f>
        <v>-44</v>
      </c>
      <c r="I4216" s="33" t="n">
        <f aca="false">IF(E4216="","",E4216-C4216)</f>
        <v>-34.25</v>
      </c>
      <c r="J4216" s="33" t="n">
        <f aca="false">IF(F4216="","",F4216-C4216)</f>
        <v>-30</v>
      </c>
      <c r="K4216" s="33" t="n">
        <f aca="false">IF(G4216="","",G4216-C4216)</f>
        <v>-37.5191964484765</v>
      </c>
      <c r="L4216" s="33" t="n">
        <f aca="false">IF(H4216="","",ABS(H4216))</f>
        <v>44</v>
      </c>
      <c r="M4216" s="33" t="n">
        <f aca="false">IF(I4216="","",ABS(I4216))</f>
        <v>34.25</v>
      </c>
      <c r="N4216" s="33" t="n">
        <f aca="false">IF(J4216="","",ABS(J4216))</f>
        <v>30</v>
      </c>
      <c r="O4216" s="33" t="n">
        <f aca="false">IF(K4216="","",ABS(K4216))</f>
        <v>37.5191964484765</v>
      </c>
      <c r="P4216" s="34" t="str">
        <f aca="false">IF(B4216&gt;=Eval_Start_Week,"YES","")</f>
        <v>YES</v>
      </c>
      <c r="Q4216" s="34" t="str">
        <f aca="false">IF(AND(B4216&gt;=Cal_Start_Week,B4216&lt;=Cal_End_Week),"YES","")</f>
        <v>YES</v>
      </c>
    </row>
    <row r="4217" customFormat="false" ht="15" hidden="false" customHeight="false" outlineLevel="0" collapsed="false">
      <c r="A4217" s="31" t="str">
        <f aca="false">Demand_History!C4217</f>
        <v>CLN-004</v>
      </c>
      <c r="B4217" s="31" t="n">
        <f aca="false">Demand_History!A4217</f>
        <v>56</v>
      </c>
      <c r="C4217" s="32" t="n">
        <f aca="false">Demand_History!D4217</f>
        <v>45</v>
      </c>
      <c r="D4217" s="33" t="n">
        <f aca="false">IF(B4217&gt;=2,C4216,"")</f>
        <v>112</v>
      </c>
      <c r="E4217" s="33" t="n">
        <f aca="false">IF(B4217&gt;=5,AVERAGE(C4213:C4216),"")</f>
        <v>76.25</v>
      </c>
      <c r="F4217" s="33" t="n">
        <f aca="false">IF(B4217&gt;=9,AVERAGE(C4209:C4216),"")</f>
        <v>89</v>
      </c>
      <c r="G4217" s="33" t="n">
        <f aca="false">IF(B4217=1,"",IF(B4217=2,C4216,SES_Alpha*C4216+(1-SES_Alpha)*G4216))</f>
        <v>85.7365624860664</v>
      </c>
      <c r="H4217" s="33" t="n">
        <f aca="false">IF(D4217="","",D4217-C4217)</f>
        <v>67</v>
      </c>
      <c r="I4217" s="33" t="n">
        <f aca="false">IF(E4217="","",E4217-C4217)</f>
        <v>31.25</v>
      </c>
      <c r="J4217" s="33" t="n">
        <f aca="false">IF(F4217="","",F4217-C4217)</f>
        <v>44</v>
      </c>
      <c r="K4217" s="33" t="n">
        <f aca="false">IF(G4217="","",G4217-C4217)</f>
        <v>40.7365624860664</v>
      </c>
      <c r="L4217" s="33" t="n">
        <f aca="false">IF(H4217="","",ABS(H4217))</f>
        <v>67</v>
      </c>
      <c r="M4217" s="33" t="n">
        <f aca="false">IF(I4217="","",ABS(I4217))</f>
        <v>31.25</v>
      </c>
      <c r="N4217" s="33" t="n">
        <f aca="false">IF(J4217="","",ABS(J4217))</f>
        <v>44</v>
      </c>
      <c r="O4217" s="33" t="n">
        <f aca="false">IF(K4217="","",ABS(K4217))</f>
        <v>40.7365624860664</v>
      </c>
      <c r="P4217" s="34" t="str">
        <f aca="false">IF(B4217&gt;=Eval_Start_Week,"YES","")</f>
        <v>YES</v>
      </c>
      <c r="Q4217" s="34" t="str">
        <f aca="false">IF(AND(B4217&gt;=Cal_Start_Week,B4217&lt;=Cal_End_Week),"YES","")</f>
        <v>YES</v>
      </c>
    </row>
    <row r="4218" customFormat="false" ht="15" hidden="false" customHeight="false" outlineLevel="0" collapsed="false">
      <c r="A4218" s="31" t="str">
        <f aca="false">Demand_History!C4218</f>
        <v>CLN-004</v>
      </c>
      <c r="B4218" s="31" t="n">
        <f aca="false">Demand_History!A4218</f>
        <v>57</v>
      </c>
      <c r="C4218" s="32" t="n">
        <f aca="false">Demand_History!D4218</f>
        <v>82</v>
      </c>
      <c r="D4218" s="33" t="n">
        <f aca="false">IF(B4218&gt;=2,C4217,"")</f>
        <v>45</v>
      </c>
      <c r="E4218" s="33" t="n">
        <f aca="false">IF(B4218&gt;=5,AVERAGE(C4214:C4217),"")</f>
        <v>61.5</v>
      </c>
      <c r="F4218" s="33" t="n">
        <f aca="false">IF(B4218&gt;=9,AVERAGE(C4210:C4217),"")</f>
        <v>80.25</v>
      </c>
      <c r="G4218" s="33" t="n">
        <f aca="false">IF(B4218=1,"",IF(B4218=2,C4217,SES_Alpha*C4217+(1-SES_Alpha)*G4217))</f>
        <v>73.5155937402465</v>
      </c>
      <c r="H4218" s="33" t="n">
        <f aca="false">IF(D4218="","",D4218-C4218)</f>
        <v>-37</v>
      </c>
      <c r="I4218" s="33" t="n">
        <f aca="false">IF(E4218="","",E4218-C4218)</f>
        <v>-20.5</v>
      </c>
      <c r="J4218" s="33" t="n">
        <f aca="false">IF(F4218="","",F4218-C4218)</f>
        <v>-1.75</v>
      </c>
      <c r="K4218" s="33" t="n">
        <f aca="false">IF(G4218="","",G4218-C4218)</f>
        <v>-8.4844062597535</v>
      </c>
      <c r="L4218" s="33" t="n">
        <f aca="false">IF(H4218="","",ABS(H4218))</f>
        <v>37</v>
      </c>
      <c r="M4218" s="33" t="n">
        <f aca="false">IF(I4218="","",ABS(I4218))</f>
        <v>20.5</v>
      </c>
      <c r="N4218" s="33" t="n">
        <f aca="false">IF(J4218="","",ABS(J4218))</f>
        <v>1.75</v>
      </c>
      <c r="O4218" s="33" t="n">
        <f aca="false">IF(K4218="","",ABS(K4218))</f>
        <v>8.4844062597535</v>
      </c>
      <c r="P4218" s="34" t="str">
        <f aca="false">IF(B4218&gt;=Eval_Start_Week,"YES","")</f>
        <v>YES</v>
      </c>
      <c r="Q4218" s="34" t="str">
        <f aca="false">IF(AND(B4218&gt;=Cal_Start_Week,B4218&lt;=Cal_End_Week),"YES","")</f>
        <v>YES</v>
      </c>
    </row>
    <row r="4219" customFormat="false" ht="15" hidden="false" customHeight="false" outlineLevel="0" collapsed="false">
      <c r="A4219" s="31" t="str">
        <f aca="false">Demand_History!C4219</f>
        <v>CLN-004</v>
      </c>
      <c r="B4219" s="31" t="n">
        <f aca="false">Demand_History!A4219</f>
        <v>58</v>
      </c>
      <c r="C4219" s="32" t="n">
        <f aca="false">Demand_History!D4219</f>
        <v>86</v>
      </c>
      <c r="D4219" s="33" t="n">
        <f aca="false">IF(B4219&gt;=2,C4218,"")</f>
        <v>82</v>
      </c>
      <c r="E4219" s="33" t="n">
        <f aca="false">IF(B4219&gt;=5,AVERAGE(C4215:C4218),"")</f>
        <v>76.75</v>
      </c>
      <c r="F4219" s="33" t="n">
        <f aca="false">IF(B4219&gt;=9,AVERAGE(C4211:C4218),"")</f>
        <v>84.5</v>
      </c>
      <c r="G4219" s="33" t="n">
        <f aca="false">IF(B4219=1,"",IF(B4219=2,C4218,SES_Alpha*C4218+(1-SES_Alpha)*G4218))</f>
        <v>76.0609156181725</v>
      </c>
      <c r="H4219" s="33" t="n">
        <f aca="false">IF(D4219="","",D4219-C4219)</f>
        <v>-4</v>
      </c>
      <c r="I4219" s="33" t="n">
        <f aca="false">IF(E4219="","",E4219-C4219)</f>
        <v>-9.25</v>
      </c>
      <c r="J4219" s="33" t="n">
        <f aca="false">IF(F4219="","",F4219-C4219)</f>
        <v>-1.5</v>
      </c>
      <c r="K4219" s="33" t="n">
        <f aca="false">IF(G4219="","",G4219-C4219)</f>
        <v>-9.93908438182746</v>
      </c>
      <c r="L4219" s="33" t="n">
        <f aca="false">IF(H4219="","",ABS(H4219))</f>
        <v>4</v>
      </c>
      <c r="M4219" s="33" t="n">
        <f aca="false">IF(I4219="","",ABS(I4219))</f>
        <v>9.25</v>
      </c>
      <c r="N4219" s="33" t="n">
        <f aca="false">IF(J4219="","",ABS(J4219))</f>
        <v>1.5</v>
      </c>
      <c r="O4219" s="33" t="n">
        <f aca="false">IF(K4219="","",ABS(K4219))</f>
        <v>9.93908438182746</v>
      </c>
      <c r="P4219" s="34" t="str">
        <f aca="false">IF(B4219&gt;=Eval_Start_Week,"YES","")</f>
        <v>YES</v>
      </c>
      <c r="Q4219" s="34" t="str">
        <f aca="false">IF(AND(B4219&gt;=Cal_Start_Week,B4219&lt;=Cal_End_Week),"YES","")</f>
        <v>YES</v>
      </c>
    </row>
    <row r="4220" customFormat="false" ht="15" hidden="false" customHeight="false" outlineLevel="0" collapsed="false">
      <c r="A4220" s="31" t="str">
        <f aca="false">Demand_History!C4220</f>
        <v>CLN-004</v>
      </c>
      <c r="B4220" s="31" t="n">
        <f aca="false">Demand_History!A4220</f>
        <v>59</v>
      </c>
      <c r="C4220" s="32" t="n">
        <f aca="false">Demand_History!D4220</f>
        <v>117</v>
      </c>
      <c r="D4220" s="33" t="n">
        <f aca="false">IF(B4220&gt;=2,C4219,"")</f>
        <v>86</v>
      </c>
      <c r="E4220" s="33" t="n">
        <f aca="false">IF(B4220&gt;=5,AVERAGE(C4216:C4219),"")</f>
        <v>81.25</v>
      </c>
      <c r="F4220" s="33" t="n">
        <f aca="false">IF(B4220&gt;=9,AVERAGE(C4212:C4219),"")</f>
        <v>79.5</v>
      </c>
      <c r="G4220" s="33" t="n">
        <f aca="false">IF(B4220=1,"",IF(B4220=2,C4219,SES_Alpha*C4219+(1-SES_Alpha)*G4219))</f>
        <v>79.0426409327208</v>
      </c>
      <c r="H4220" s="33" t="n">
        <f aca="false">IF(D4220="","",D4220-C4220)</f>
        <v>-31</v>
      </c>
      <c r="I4220" s="33" t="n">
        <f aca="false">IF(E4220="","",E4220-C4220)</f>
        <v>-35.75</v>
      </c>
      <c r="J4220" s="33" t="n">
        <f aca="false">IF(F4220="","",F4220-C4220)</f>
        <v>-37.5</v>
      </c>
      <c r="K4220" s="33" t="n">
        <f aca="false">IF(G4220="","",G4220-C4220)</f>
        <v>-37.9573590672792</v>
      </c>
      <c r="L4220" s="33" t="n">
        <f aca="false">IF(H4220="","",ABS(H4220))</f>
        <v>31</v>
      </c>
      <c r="M4220" s="33" t="n">
        <f aca="false">IF(I4220="","",ABS(I4220))</f>
        <v>35.75</v>
      </c>
      <c r="N4220" s="33" t="n">
        <f aca="false">IF(J4220="","",ABS(J4220))</f>
        <v>37.5</v>
      </c>
      <c r="O4220" s="33" t="n">
        <f aca="false">IF(K4220="","",ABS(K4220))</f>
        <v>37.9573590672792</v>
      </c>
      <c r="P4220" s="34" t="str">
        <f aca="false">IF(B4220&gt;=Eval_Start_Week,"YES","")</f>
        <v>YES</v>
      </c>
      <c r="Q4220" s="34" t="str">
        <f aca="false">IF(AND(B4220&gt;=Cal_Start_Week,B4220&lt;=Cal_End_Week),"YES","")</f>
        <v>YES</v>
      </c>
    </row>
    <row r="4221" customFormat="false" ht="15" hidden="false" customHeight="false" outlineLevel="0" collapsed="false">
      <c r="A4221" s="31" t="str">
        <f aca="false">Demand_History!C4221</f>
        <v>CLN-004</v>
      </c>
      <c r="B4221" s="31" t="n">
        <f aca="false">Demand_History!A4221</f>
        <v>60</v>
      </c>
      <c r="C4221" s="32" t="n">
        <f aca="false">Demand_History!D4221</f>
        <v>98</v>
      </c>
      <c r="D4221" s="33" t="n">
        <f aca="false">IF(B4221&gt;=2,C4220,"")</f>
        <v>117</v>
      </c>
      <c r="E4221" s="33" t="n">
        <f aca="false">IF(B4221&gt;=5,AVERAGE(C4217:C4220),"")</f>
        <v>82.5</v>
      </c>
      <c r="F4221" s="33" t="n">
        <f aca="false">IF(B4221&gt;=9,AVERAGE(C4213:C4220),"")</f>
        <v>79.375</v>
      </c>
      <c r="G4221" s="33" t="n">
        <f aca="false">IF(B4221=1,"",IF(B4221=2,C4220,SES_Alpha*C4220+(1-SES_Alpha)*G4220))</f>
        <v>90.4298486529045</v>
      </c>
      <c r="H4221" s="33" t="n">
        <f aca="false">IF(D4221="","",D4221-C4221)</f>
        <v>19</v>
      </c>
      <c r="I4221" s="33" t="n">
        <f aca="false">IF(E4221="","",E4221-C4221)</f>
        <v>-15.5</v>
      </c>
      <c r="J4221" s="33" t="n">
        <f aca="false">IF(F4221="","",F4221-C4221)</f>
        <v>-18.625</v>
      </c>
      <c r="K4221" s="33" t="n">
        <f aca="false">IF(G4221="","",G4221-C4221)</f>
        <v>-7.57015134709546</v>
      </c>
      <c r="L4221" s="33" t="n">
        <f aca="false">IF(H4221="","",ABS(H4221))</f>
        <v>19</v>
      </c>
      <c r="M4221" s="33" t="n">
        <f aca="false">IF(I4221="","",ABS(I4221))</f>
        <v>15.5</v>
      </c>
      <c r="N4221" s="33" t="n">
        <f aca="false">IF(J4221="","",ABS(J4221))</f>
        <v>18.625</v>
      </c>
      <c r="O4221" s="33" t="n">
        <f aca="false">IF(K4221="","",ABS(K4221))</f>
        <v>7.57015134709546</v>
      </c>
      <c r="P4221" s="34" t="str">
        <f aca="false">IF(B4221&gt;=Eval_Start_Week,"YES","")</f>
        <v>YES</v>
      </c>
      <c r="Q4221" s="34" t="str">
        <f aca="false">IF(AND(B4221&gt;=Cal_Start_Week,B4221&lt;=Cal_End_Week),"YES","")</f>
        <v>YES</v>
      </c>
    </row>
    <row r="4222" customFormat="false" ht="15" hidden="false" customHeight="false" outlineLevel="0" collapsed="false">
      <c r="A4222" s="31" t="str">
        <f aca="false">Demand_History!C4222</f>
        <v>CLN-004</v>
      </c>
      <c r="B4222" s="31" t="n">
        <f aca="false">Demand_History!A4222</f>
        <v>61</v>
      </c>
      <c r="C4222" s="32" t="n">
        <f aca="false">Demand_History!D4222</f>
        <v>98</v>
      </c>
      <c r="D4222" s="33" t="n">
        <f aca="false">IF(B4222&gt;=2,C4221,"")</f>
        <v>98</v>
      </c>
      <c r="E4222" s="33" t="n">
        <f aca="false">IF(B4222&gt;=5,AVERAGE(C4218:C4221),"")</f>
        <v>95.75</v>
      </c>
      <c r="F4222" s="33" t="n">
        <f aca="false">IF(B4222&gt;=9,AVERAGE(C4214:C4221),"")</f>
        <v>78.625</v>
      </c>
      <c r="G4222" s="33" t="n">
        <f aca="false">IF(B4222=1,"",IF(B4222=2,C4221,SES_Alpha*C4221+(1-SES_Alpha)*G4221))</f>
        <v>92.7008940570332</v>
      </c>
      <c r="H4222" s="33" t="n">
        <f aca="false">IF(D4222="","",D4222-C4222)</f>
        <v>0</v>
      </c>
      <c r="I4222" s="33" t="n">
        <f aca="false">IF(E4222="","",E4222-C4222)</f>
        <v>-2.25</v>
      </c>
      <c r="J4222" s="33" t="n">
        <f aca="false">IF(F4222="","",F4222-C4222)</f>
        <v>-19.375</v>
      </c>
      <c r="K4222" s="33" t="n">
        <f aca="false">IF(G4222="","",G4222-C4222)</f>
        <v>-5.29910594296683</v>
      </c>
      <c r="L4222" s="33" t="n">
        <f aca="false">IF(H4222="","",ABS(H4222))</f>
        <v>0</v>
      </c>
      <c r="M4222" s="33" t="n">
        <f aca="false">IF(I4222="","",ABS(I4222))</f>
        <v>2.25</v>
      </c>
      <c r="N4222" s="33" t="n">
        <f aca="false">IF(J4222="","",ABS(J4222))</f>
        <v>19.375</v>
      </c>
      <c r="O4222" s="33" t="n">
        <f aca="false">IF(K4222="","",ABS(K4222))</f>
        <v>5.29910594296683</v>
      </c>
      <c r="P4222" s="34" t="str">
        <f aca="false">IF(B4222&gt;=Eval_Start_Week,"YES","")</f>
        <v>YES</v>
      </c>
      <c r="Q4222" s="34" t="str">
        <f aca="false">IF(AND(B4222&gt;=Cal_Start_Week,B4222&lt;=Cal_End_Week),"YES","")</f>
        <v>YES</v>
      </c>
    </row>
    <row r="4223" customFormat="false" ht="15" hidden="false" customHeight="false" outlineLevel="0" collapsed="false">
      <c r="A4223" s="31" t="str">
        <f aca="false">Demand_History!C4223</f>
        <v>CLN-004</v>
      </c>
      <c r="B4223" s="31" t="n">
        <f aca="false">Demand_History!A4223</f>
        <v>62</v>
      </c>
      <c r="C4223" s="32" t="n">
        <f aca="false">Demand_History!D4223</f>
        <v>75</v>
      </c>
      <c r="D4223" s="33" t="n">
        <f aca="false">IF(B4223&gt;=2,C4222,"")</f>
        <v>98</v>
      </c>
      <c r="E4223" s="33" t="n">
        <f aca="false">IF(B4223&gt;=5,AVERAGE(C4219:C4222),"")</f>
        <v>99.75</v>
      </c>
      <c r="F4223" s="33" t="n">
        <f aca="false">IF(B4223&gt;=9,AVERAGE(C4215:C4222),"")</f>
        <v>88.25</v>
      </c>
      <c r="G4223" s="33" t="n">
        <f aca="false">IF(B4223=1,"",IF(B4223=2,C4222,SES_Alpha*C4222+(1-SES_Alpha)*G4222))</f>
        <v>94.2906258399232</v>
      </c>
      <c r="H4223" s="33" t="n">
        <f aca="false">IF(D4223="","",D4223-C4223)</f>
        <v>23</v>
      </c>
      <c r="I4223" s="33" t="n">
        <f aca="false">IF(E4223="","",E4223-C4223)</f>
        <v>24.75</v>
      </c>
      <c r="J4223" s="33" t="n">
        <f aca="false">IF(F4223="","",F4223-C4223)</f>
        <v>13.25</v>
      </c>
      <c r="K4223" s="33" t="n">
        <f aca="false">IF(G4223="","",G4223-C4223)</f>
        <v>19.2906258399232</v>
      </c>
      <c r="L4223" s="33" t="n">
        <f aca="false">IF(H4223="","",ABS(H4223))</f>
        <v>23</v>
      </c>
      <c r="M4223" s="33" t="n">
        <f aca="false">IF(I4223="","",ABS(I4223))</f>
        <v>24.75</v>
      </c>
      <c r="N4223" s="33" t="n">
        <f aca="false">IF(J4223="","",ABS(J4223))</f>
        <v>13.25</v>
      </c>
      <c r="O4223" s="33" t="n">
        <f aca="false">IF(K4223="","",ABS(K4223))</f>
        <v>19.2906258399232</v>
      </c>
      <c r="P4223" s="34" t="str">
        <f aca="false">IF(B4223&gt;=Eval_Start_Week,"YES","")</f>
        <v>YES</v>
      </c>
      <c r="Q4223" s="34" t="str">
        <f aca="false">IF(AND(B4223&gt;=Cal_Start_Week,B4223&lt;=Cal_End_Week),"YES","")</f>
        <v>YES</v>
      </c>
    </row>
    <row r="4224" customFormat="false" ht="15" hidden="false" customHeight="false" outlineLevel="0" collapsed="false">
      <c r="A4224" s="31" t="str">
        <f aca="false">Demand_History!C4224</f>
        <v>CLN-004</v>
      </c>
      <c r="B4224" s="31" t="n">
        <f aca="false">Demand_History!A4224</f>
        <v>63</v>
      </c>
      <c r="C4224" s="32" t="n">
        <f aca="false">Demand_History!D4224</f>
        <v>89</v>
      </c>
      <c r="D4224" s="33" t="n">
        <f aca="false">IF(B4224&gt;=2,C4223,"")</f>
        <v>75</v>
      </c>
      <c r="E4224" s="33" t="n">
        <f aca="false">IF(B4224&gt;=5,AVERAGE(C4220:C4223),"")</f>
        <v>97</v>
      </c>
      <c r="F4224" s="33" t="n">
        <f aca="false">IF(B4224&gt;=9,AVERAGE(C4216:C4223),"")</f>
        <v>89.125</v>
      </c>
      <c r="G4224" s="33" t="n">
        <f aca="false">IF(B4224=1,"",IF(B4224=2,C4223,SES_Alpha*C4223+(1-SES_Alpha)*G4223))</f>
        <v>88.5034380879463</v>
      </c>
      <c r="H4224" s="33" t="n">
        <f aca="false">IF(D4224="","",D4224-C4224)</f>
        <v>-14</v>
      </c>
      <c r="I4224" s="33" t="n">
        <f aca="false">IF(E4224="","",E4224-C4224)</f>
        <v>8</v>
      </c>
      <c r="J4224" s="33" t="n">
        <f aca="false">IF(F4224="","",F4224-C4224)</f>
        <v>0.125</v>
      </c>
      <c r="K4224" s="33" t="n">
        <f aca="false">IF(G4224="","",G4224-C4224)</f>
        <v>-0.49656191205375</v>
      </c>
      <c r="L4224" s="33" t="n">
        <f aca="false">IF(H4224="","",ABS(H4224))</f>
        <v>14</v>
      </c>
      <c r="M4224" s="33" t="n">
        <f aca="false">IF(I4224="","",ABS(I4224))</f>
        <v>8</v>
      </c>
      <c r="N4224" s="33" t="n">
        <f aca="false">IF(J4224="","",ABS(J4224))</f>
        <v>0.125</v>
      </c>
      <c r="O4224" s="33" t="n">
        <f aca="false">IF(K4224="","",ABS(K4224))</f>
        <v>0.49656191205375</v>
      </c>
      <c r="P4224" s="34" t="str">
        <f aca="false">IF(B4224&gt;=Eval_Start_Week,"YES","")</f>
        <v>YES</v>
      </c>
      <c r="Q4224" s="34" t="str">
        <f aca="false">IF(AND(B4224&gt;=Cal_Start_Week,B4224&lt;=Cal_End_Week),"YES","")</f>
        <v>YES</v>
      </c>
    </row>
    <row r="4225" customFormat="false" ht="15" hidden="false" customHeight="false" outlineLevel="0" collapsed="false">
      <c r="A4225" s="31" t="str">
        <f aca="false">Demand_History!C4225</f>
        <v>CLN-004</v>
      </c>
      <c r="B4225" s="31" t="n">
        <f aca="false">Demand_History!A4225</f>
        <v>64</v>
      </c>
      <c r="C4225" s="32" t="n">
        <f aca="false">Demand_History!D4225</f>
        <v>85</v>
      </c>
      <c r="D4225" s="33" t="n">
        <f aca="false">IF(B4225&gt;=2,C4224,"")</f>
        <v>89</v>
      </c>
      <c r="E4225" s="33" t="n">
        <f aca="false">IF(B4225&gt;=5,AVERAGE(C4221:C4224),"")</f>
        <v>90</v>
      </c>
      <c r="F4225" s="33" t="n">
        <f aca="false">IF(B4225&gt;=9,AVERAGE(C4217:C4224),"")</f>
        <v>86.25</v>
      </c>
      <c r="G4225" s="33" t="n">
        <f aca="false">IF(B4225=1,"",IF(B4225=2,C4224,SES_Alpha*C4224+(1-SES_Alpha)*G4224))</f>
        <v>88.6524066615624</v>
      </c>
      <c r="H4225" s="33" t="n">
        <f aca="false">IF(D4225="","",D4225-C4225)</f>
        <v>4</v>
      </c>
      <c r="I4225" s="33" t="n">
        <f aca="false">IF(E4225="","",E4225-C4225)</f>
        <v>5</v>
      </c>
      <c r="J4225" s="33" t="n">
        <f aca="false">IF(F4225="","",F4225-C4225)</f>
        <v>1.25</v>
      </c>
      <c r="K4225" s="33" t="n">
        <f aca="false">IF(G4225="","",G4225-C4225)</f>
        <v>3.65240666156237</v>
      </c>
      <c r="L4225" s="33" t="n">
        <f aca="false">IF(H4225="","",ABS(H4225))</f>
        <v>4</v>
      </c>
      <c r="M4225" s="33" t="n">
        <f aca="false">IF(I4225="","",ABS(I4225))</f>
        <v>5</v>
      </c>
      <c r="N4225" s="33" t="n">
        <f aca="false">IF(J4225="","",ABS(J4225))</f>
        <v>1.25</v>
      </c>
      <c r="O4225" s="33" t="n">
        <f aca="false">IF(K4225="","",ABS(K4225))</f>
        <v>3.65240666156237</v>
      </c>
      <c r="P4225" s="34" t="str">
        <f aca="false">IF(B4225&gt;=Eval_Start_Week,"YES","")</f>
        <v>YES</v>
      </c>
      <c r="Q4225" s="34" t="str">
        <f aca="false">IF(AND(B4225&gt;=Cal_Start_Week,B4225&lt;=Cal_End_Week),"YES","")</f>
        <v>YES</v>
      </c>
    </row>
    <row r="4226" customFormat="false" ht="15" hidden="false" customHeight="false" outlineLevel="0" collapsed="false">
      <c r="A4226" s="31" t="str">
        <f aca="false">Demand_History!C4226</f>
        <v>CLN-004</v>
      </c>
      <c r="B4226" s="31" t="n">
        <f aca="false">Demand_History!A4226</f>
        <v>65</v>
      </c>
      <c r="C4226" s="32" t="n">
        <f aca="false">Demand_History!D4226</f>
        <v>112</v>
      </c>
      <c r="D4226" s="33" t="n">
        <f aca="false">IF(B4226&gt;=2,C4225,"")</f>
        <v>85</v>
      </c>
      <c r="E4226" s="33" t="n">
        <f aca="false">IF(B4226&gt;=5,AVERAGE(C4222:C4225),"")</f>
        <v>86.75</v>
      </c>
      <c r="F4226" s="33" t="n">
        <f aca="false">IF(B4226&gt;=9,AVERAGE(C4218:C4225),"")</f>
        <v>91.25</v>
      </c>
      <c r="G4226" s="33" t="n">
        <f aca="false">IF(B4226=1,"",IF(B4226=2,C4225,SES_Alpha*C4225+(1-SES_Alpha)*G4225))</f>
        <v>87.5566846630937</v>
      </c>
      <c r="H4226" s="33" t="n">
        <f aca="false">IF(D4226="","",D4226-C4226)</f>
        <v>-27</v>
      </c>
      <c r="I4226" s="33" t="n">
        <f aca="false">IF(E4226="","",E4226-C4226)</f>
        <v>-25.25</v>
      </c>
      <c r="J4226" s="33" t="n">
        <f aca="false">IF(F4226="","",F4226-C4226)</f>
        <v>-20.75</v>
      </c>
      <c r="K4226" s="33" t="n">
        <f aca="false">IF(G4226="","",G4226-C4226)</f>
        <v>-24.4433153369064</v>
      </c>
      <c r="L4226" s="33" t="n">
        <f aca="false">IF(H4226="","",ABS(H4226))</f>
        <v>27</v>
      </c>
      <c r="M4226" s="33" t="n">
        <f aca="false">IF(I4226="","",ABS(I4226))</f>
        <v>25.25</v>
      </c>
      <c r="N4226" s="33" t="n">
        <f aca="false">IF(J4226="","",ABS(J4226))</f>
        <v>20.75</v>
      </c>
      <c r="O4226" s="33" t="n">
        <f aca="false">IF(K4226="","",ABS(K4226))</f>
        <v>24.4433153369064</v>
      </c>
      <c r="P4226" s="34" t="str">
        <f aca="false">IF(B4226&gt;=Eval_Start_Week,"YES","")</f>
        <v>YES</v>
      </c>
      <c r="Q4226" s="34" t="str">
        <f aca="false">IF(AND(B4226&gt;=Cal_Start_Week,B4226&lt;=Cal_End_Week),"YES","")</f>
        <v>YES</v>
      </c>
    </row>
    <row r="4227" customFormat="false" ht="15" hidden="false" customHeight="false" outlineLevel="0" collapsed="false">
      <c r="A4227" s="31" t="str">
        <f aca="false">Demand_History!C4227</f>
        <v>CLN-004</v>
      </c>
      <c r="B4227" s="31" t="n">
        <f aca="false">Demand_History!A4227</f>
        <v>66</v>
      </c>
      <c r="C4227" s="32" t="n">
        <f aca="false">Demand_History!D4227</f>
        <v>83</v>
      </c>
      <c r="D4227" s="33" t="n">
        <f aca="false">IF(B4227&gt;=2,C4226,"")</f>
        <v>112</v>
      </c>
      <c r="E4227" s="33" t="n">
        <f aca="false">IF(B4227&gt;=5,AVERAGE(C4223:C4226),"")</f>
        <v>90.25</v>
      </c>
      <c r="F4227" s="33" t="n">
        <f aca="false">IF(B4227&gt;=9,AVERAGE(C4219:C4226),"")</f>
        <v>95</v>
      </c>
      <c r="G4227" s="33" t="n">
        <f aca="false">IF(B4227=1,"",IF(B4227=2,C4226,SES_Alpha*C4226+(1-SES_Alpha)*G4226))</f>
        <v>94.8896792641656</v>
      </c>
      <c r="H4227" s="33" t="n">
        <f aca="false">IF(D4227="","",D4227-C4227)</f>
        <v>29</v>
      </c>
      <c r="I4227" s="33" t="n">
        <f aca="false">IF(E4227="","",E4227-C4227)</f>
        <v>7.25</v>
      </c>
      <c r="J4227" s="33" t="n">
        <f aca="false">IF(F4227="","",F4227-C4227)</f>
        <v>12</v>
      </c>
      <c r="K4227" s="33" t="n">
        <f aca="false">IF(G4227="","",G4227-C4227)</f>
        <v>11.8896792641656</v>
      </c>
      <c r="L4227" s="33" t="n">
        <f aca="false">IF(H4227="","",ABS(H4227))</f>
        <v>29</v>
      </c>
      <c r="M4227" s="33" t="n">
        <f aca="false">IF(I4227="","",ABS(I4227))</f>
        <v>7.25</v>
      </c>
      <c r="N4227" s="33" t="n">
        <f aca="false">IF(J4227="","",ABS(J4227))</f>
        <v>12</v>
      </c>
      <c r="O4227" s="33" t="n">
        <f aca="false">IF(K4227="","",ABS(K4227))</f>
        <v>11.8896792641656</v>
      </c>
      <c r="P4227" s="34" t="str">
        <f aca="false">IF(B4227&gt;=Eval_Start_Week,"YES","")</f>
        <v>YES</v>
      </c>
      <c r="Q4227" s="34" t="str">
        <f aca="false">IF(AND(B4227&gt;=Cal_Start_Week,B4227&lt;=Cal_End_Week),"YES","")</f>
        <v>YES</v>
      </c>
    </row>
    <row r="4228" customFormat="false" ht="15" hidden="false" customHeight="false" outlineLevel="0" collapsed="false">
      <c r="A4228" s="31" t="str">
        <f aca="false">Demand_History!C4228</f>
        <v>CLN-004</v>
      </c>
      <c r="B4228" s="31" t="n">
        <f aca="false">Demand_History!A4228</f>
        <v>67</v>
      </c>
      <c r="C4228" s="32" t="n">
        <f aca="false">Demand_History!D4228</f>
        <v>121</v>
      </c>
      <c r="D4228" s="33" t="n">
        <f aca="false">IF(B4228&gt;=2,C4227,"")</f>
        <v>83</v>
      </c>
      <c r="E4228" s="33" t="n">
        <f aca="false">IF(B4228&gt;=5,AVERAGE(C4224:C4227),"")</f>
        <v>92.25</v>
      </c>
      <c r="F4228" s="33" t="n">
        <f aca="false">IF(B4228&gt;=9,AVERAGE(C4220:C4227),"")</f>
        <v>94.625</v>
      </c>
      <c r="G4228" s="33" t="n">
        <f aca="false">IF(B4228=1,"",IF(B4228=2,C4227,SES_Alpha*C4227+(1-SES_Alpha)*G4227))</f>
        <v>91.3227754849159</v>
      </c>
      <c r="H4228" s="33" t="n">
        <f aca="false">IF(D4228="","",D4228-C4228)</f>
        <v>-38</v>
      </c>
      <c r="I4228" s="33" t="n">
        <f aca="false">IF(E4228="","",E4228-C4228)</f>
        <v>-28.75</v>
      </c>
      <c r="J4228" s="33" t="n">
        <f aca="false">IF(F4228="","",F4228-C4228)</f>
        <v>-26.375</v>
      </c>
      <c r="K4228" s="33" t="n">
        <f aca="false">IF(G4228="","",G4228-C4228)</f>
        <v>-29.6772245150841</v>
      </c>
      <c r="L4228" s="33" t="n">
        <f aca="false">IF(H4228="","",ABS(H4228))</f>
        <v>38</v>
      </c>
      <c r="M4228" s="33" t="n">
        <f aca="false">IF(I4228="","",ABS(I4228))</f>
        <v>28.75</v>
      </c>
      <c r="N4228" s="33" t="n">
        <f aca="false">IF(J4228="","",ABS(J4228))</f>
        <v>26.375</v>
      </c>
      <c r="O4228" s="33" t="n">
        <f aca="false">IF(K4228="","",ABS(K4228))</f>
        <v>29.6772245150841</v>
      </c>
      <c r="P4228" s="34" t="str">
        <f aca="false">IF(B4228&gt;=Eval_Start_Week,"YES","")</f>
        <v>YES</v>
      </c>
      <c r="Q4228" s="34" t="str">
        <f aca="false">IF(AND(B4228&gt;=Cal_Start_Week,B4228&lt;=Cal_End_Week),"YES","")</f>
        <v>YES</v>
      </c>
    </row>
    <row r="4229" customFormat="false" ht="15" hidden="false" customHeight="false" outlineLevel="0" collapsed="false">
      <c r="A4229" s="31" t="str">
        <f aca="false">Demand_History!C4229</f>
        <v>CLN-004</v>
      </c>
      <c r="B4229" s="31" t="n">
        <f aca="false">Demand_History!A4229</f>
        <v>68</v>
      </c>
      <c r="C4229" s="32" t="n">
        <f aca="false">Demand_History!D4229</f>
        <v>36</v>
      </c>
      <c r="D4229" s="33" t="n">
        <f aca="false">IF(B4229&gt;=2,C4228,"")</f>
        <v>121</v>
      </c>
      <c r="E4229" s="33" t="n">
        <f aca="false">IF(B4229&gt;=5,AVERAGE(C4225:C4228),"")</f>
        <v>100.25</v>
      </c>
      <c r="F4229" s="33" t="n">
        <f aca="false">IF(B4229&gt;=9,AVERAGE(C4221:C4228),"")</f>
        <v>95.125</v>
      </c>
      <c r="G4229" s="33" t="n">
        <f aca="false">IF(B4229=1,"",IF(B4229=2,C4228,SES_Alpha*C4228+(1-SES_Alpha)*G4228))</f>
        <v>100.225942839441</v>
      </c>
      <c r="H4229" s="33" t="n">
        <f aca="false">IF(D4229="","",D4229-C4229)</f>
        <v>85</v>
      </c>
      <c r="I4229" s="33" t="n">
        <f aca="false">IF(E4229="","",E4229-C4229)</f>
        <v>64.25</v>
      </c>
      <c r="J4229" s="33" t="n">
        <f aca="false">IF(F4229="","",F4229-C4229)</f>
        <v>59.125</v>
      </c>
      <c r="K4229" s="33" t="n">
        <f aca="false">IF(G4229="","",G4229-C4229)</f>
        <v>64.2259428394411</v>
      </c>
      <c r="L4229" s="33" t="n">
        <f aca="false">IF(H4229="","",ABS(H4229))</f>
        <v>85</v>
      </c>
      <c r="M4229" s="33" t="n">
        <f aca="false">IF(I4229="","",ABS(I4229))</f>
        <v>64.25</v>
      </c>
      <c r="N4229" s="33" t="n">
        <f aca="false">IF(J4229="","",ABS(J4229))</f>
        <v>59.125</v>
      </c>
      <c r="O4229" s="33" t="n">
        <f aca="false">IF(K4229="","",ABS(K4229))</f>
        <v>64.2259428394411</v>
      </c>
      <c r="P4229" s="34" t="str">
        <f aca="false">IF(B4229&gt;=Eval_Start_Week,"YES","")</f>
        <v>YES</v>
      </c>
      <c r="Q4229" s="34" t="str">
        <f aca="false">IF(AND(B4229&gt;=Cal_Start_Week,B4229&lt;=Cal_End_Week),"YES","")</f>
        <v>YES</v>
      </c>
    </row>
    <row r="4230" customFormat="false" ht="15" hidden="false" customHeight="false" outlineLevel="0" collapsed="false">
      <c r="A4230" s="31" t="str">
        <f aca="false">Demand_History!C4230</f>
        <v>CLN-004</v>
      </c>
      <c r="B4230" s="31" t="n">
        <f aca="false">Demand_History!A4230</f>
        <v>69</v>
      </c>
      <c r="C4230" s="32" t="n">
        <f aca="false">Demand_History!D4230</f>
        <v>126</v>
      </c>
      <c r="D4230" s="33" t="n">
        <f aca="false">IF(B4230&gt;=2,C4229,"")</f>
        <v>36</v>
      </c>
      <c r="E4230" s="33" t="n">
        <f aca="false">IF(B4230&gt;=5,AVERAGE(C4226:C4229),"")</f>
        <v>88</v>
      </c>
      <c r="F4230" s="33" t="n">
        <f aca="false">IF(B4230&gt;=9,AVERAGE(C4222:C4229),"")</f>
        <v>87.375</v>
      </c>
      <c r="G4230" s="33" t="n">
        <f aca="false">IF(B4230=1,"",IF(B4230=2,C4229,SES_Alpha*C4229+(1-SES_Alpha)*G4229))</f>
        <v>80.9581599876088</v>
      </c>
      <c r="H4230" s="33" t="n">
        <f aca="false">IF(D4230="","",D4230-C4230)</f>
        <v>-90</v>
      </c>
      <c r="I4230" s="33" t="n">
        <f aca="false">IF(E4230="","",E4230-C4230)</f>
        <v>-38</v>
      </c>
      <c r="J4230" s="33" t="n">
        <f aca="false">IF(F4230="","",F4230-C4230)</f>
        <v>-38.625</v>
      </c>
      <c r="K4230" s="33" t="n">
        <f aca="false">IF(G4230="","",G4230-C4230)</f>
        <v>-45.0418400123912</v>
      </c>
      <c r="L4230" s="33" t="n">
        <f aca="false">IF(H4230="","",ABS(H4230))</f>
        <v>90</v>
      </c>
      <c r="M4230" s="33" t="n">
        <f aca="false">IF(I4230="","",ABS(I4230))</f>
        <v>38</v>
      </c>
      <c r="N4230" s="33" t="n">
        <f aca="false">IF(J4230="","",ABS(J4230))</f>
        <v>38.625</v>
      </c>
      <c r="O4230" s="33" t="n">
        <f aca="false">IF(K4230="","",ABS(K4230))</f>
        <v>45.0418400123912</v>
      </c>
      <c r="P4230" s="34" t="str">
        <f aca="false">IF(B4230&gt;=Eval_Start_Week,"YES","")</f>
        <v>YES</v>
      </c>
      <c r="Q4230" s="34" t="str">
        <f aca="false">IF(AND(B4230&gt;=Cal_Start_Week,B4230&lt;=Cal_End_Week),"YES","")</f>
        <v>YES</v>
      </c>
    </row>
    <row r="4231" customFormat="false" ht="15" hidden="false" customHeight="false" outlineLevel="0" collapsed="false">
      <c r="A4231" s="31" t="str">
        <f aca="false">Demand_History!C4231</f>
        <v>CLN-004</v>
      </c>
      <c r="B4231" s="31" t="n">
        <f aca="false">Demand_History!A4231</f>
        <v>70</v>
      </c>
      <c r="C4231" s="32" t="n">
        <f aca="false">Demand_History!D4231</f>
        <v>84</v>
      </c>
      <c r="D4231" s="33" t="n">
        <f aca="false">IF(B4231&gt;=2,C4230,"")</f>
        <v>126</v>
      </c>
      <c r="E4231" s="33" t="n">
        <f aca="false">IF(B4231&gt;=5,AVERAGE(C4227:C4230),"")</f>
        <v>91.5</v>
      </c>
      <c r="F4231" s="33" t="n">
        <f aca="false">IF(B4231&gt;=9,AVERAGE(C4223:C4230),"")</f>
        <v>90.875</v>
      </c>
      <c r="G4231" s="33" t="n">
        <f aca="false">IF(B4231=1,"",IF(B4231=2,C4230,SES_Alpha*C4230+(1-SES_Alpha)*G4230))</f>
        <v>94.4707119913261</v>
      </c>
      <c r="H4231" s="33" t="n">
        <f aca="false">IF(D4231="","",D4231-C4231)</f>
        <v>42</v>
      </c>
      <c r="I4231" s="33" t="n">
        <f aca="false">IF(E4231="","",E4231-C4231)</f>
        <v>7.5</v>
      </c>
      <c r="J4231" s="33" t="n">
        <f aca="false">IF(F4231="","",F4231-C4231)</f>
        <v>6.875</v>
      </c>
      <c r="K4231" s="33" t="n">
        <f aca="false">IF(G4231="","",G4231-C4231)</f>
        <v>10.4707119913261</v>
      </c>
      <c r="L4231" s="33" t="n">
        <f aca="false">IF(H4231="","",ABS(H4231))</f>
        <v>42</v>
      </c>
      <c r="M4231" s="33" t="n">
        <f aca="false">IF(I4231="","",ABS(I4231))</f>
        <v>7.5</v>
      </c>
      <c r="N4231" s="33" t="n">
        <f aca="false">IF(J4231="","",ABS(J4231))</f>
        <v>6.875</v>
      </c>
      <c r="O4231" s="33" t="n">
        <f aca="false">IF(K4231="","",ABS(K4231))</f>
        <v>10.4707119913261</v>
      </c>
      <c r="P4231" s="34" t="str">
        <f aca="false">IF(B4231&gt;=Eval_Start_Week,"YES","")</f>
        <v>YES</v>
      </c>
      <c r="Q4231" s="34" t="str">
        <f aca="false">IF(AND(B4231&gt;=Cal_Start_Week,B4231&lt;=Cal_End_Week),"YES","")</f>
        <v>YES</v>
      </c>
    </row>
    <row r="4232" customFormat="false" ht="15" hidden="false" customHeight="false" outlineLevel="0" collapsed="false">
      <c r="A4232" s="31" t="str">
        <f aca="false">Demand_History!C4232</f>
        <v>CLN-004</v>
      </c>
      <c r="B4232" s="31" t="n">
        <f aca="false">Demand_History!A4232</f>
        <v>71</v>
      </c>
      <c r="C4232" s="32" t="n">
        <f aca="false">Demand_History!D4232</f>
        <v>124</v>
      </c>
      <c r="D4232" s="33" t="n">
        <f aca="false">IF(B4232&gt;=2,C4231,"")</f>
        <v>84</v>
      </c>
      <c r="E4232" s="33" t="n">
        <f aca="false">IF(B4232&gt;=5,AVERAGE(C4228:C4231),"")</f>
        <v>91.75</v>
      </c>
      <c r="F4232" s="33" t="n">
        <f aca="false">IF(B4232&gt;=9,AVERAGE(C4224:C4231),"")</f>
        <v>92</v>
      </c>
      <c r="G4232" s="33" t="n">
        <f aca="false">IF(B4232=1,"",IF(B4232=2,C4231,SES_Alpha*C4231+(1-SES_Alpha)*G4231))</f>
        <v>91.3294983939283</v>
      </c>
      <c r="H4232" s="33" t="n">
        <f aca="false">IF(D4232="","",D4232-C4232)</f>
        <v>-40</v>
      </c>
      <c r="I4232" s="33" t="n">
        <f aca="false">IF(E4232="","",E4232-C4232)</f>
        <v>-32.25</v>
      </c>
      <c r="J4232" s="33" t="n">
        <f aca="false">IF(F4232="","",F4232-C4232)</f>
        <v>-32</v>
      </c>
      <c r="K4232" s="33" t="n">
        <f aca="false">IF(G4232="","",G4232-C4232)</f>
        <v>-32.6705016060717</v>
      </c>
      <c r="L4232" s="33" t="n">
        <f aca="false">IF(H4232="","",ABS(H4232))</f>
        <v>40</v>
      </c>
      <c r="M4232" s="33" t="n">
        <f aca="false">IF(I4232="","",ABS(I4232))</f>
        <v>32.25</v>
      </c>
      <c r="N4232" s="33" t="n">
        <f aca="false">IF(J4232="","",ABS(J4232))</f>
        <v>32</v>
      </c>
      <c r="O4232" s="33" t="n">
        <f aca="false">IF(K4232="","",ABS(K4232))</f>
        <v>32.6705016060717</v>
      </c>
      <c r="P4232" s="34" t="str">
        <f aca="false">IF(B4232&gt;=Eval_Start_Week,"YES","")</f>
        <v>YES</v>
      </c>
      <c r="Q4232" s="34" t="str">
        <f aca="false">IF(AND(B4232&gt;=Cal_Start_Week,B4232&lt;=Cal_End_Week),"YES","")</f>
        <v>YES</v>
      </c>
    </row>
    <row r="4233" customFormat="false" ht="15" hidden="false" customHeight="false" outlineLevel="0" collapsed="false">
      <c r="A4233" s="31" t="str">
        <f aca="false">Demand_History!C4233</f>
        <v>CLN-004</v>
      </c>
      <c r="B4233" s="31" t="n">
        <f aca="false">Demand_History!A4233</f>
        <v>72</v>
      </c>
      <c r="C4233" s="32" t="n">
        <f aca="false">Demand_History!D4233</f>
        <v>92</v>
      </c>
      <c r="D4233" s="33" t="n">
        <f aca="false">IF(B4233&gt;=2,C4232,"")</f>
        <v>124</v>
      </c>
      <c r="E4233" s="33" t="n">
        <f aca="false">IF(B4233&gt;=5,AVERAGE(C4229:C4232),"")</f>
        <v>92.5</v>
      </c>
      <c r="F4233" s="33" t="n">
        <f aca="false">IF(B4233&gt;=9,AVERAGE(C4225:C4232),"")</f>
        <v>96.375</v>
      </c>
      <c r="G4233" s="33" t="n">
        <f aca="false">IF(B4233=1,"",IF(B4233=2,C4232,SES_Alpha*C4232+(1-SES_Alpha)*G4232))</f>
        <v>101.13064887575</v>
      </c>
      <c r="H4233" s="33" t="n">
        <f aca="false">IF(D4233="","",D4233-C4233)</f>
        <v>32</v>
      </c>
      <c r="I4233" s="33" t="n">
        <f aca="false">IF(E4233="","",E4233-C4233)</f>
        <v>0.5</v>
      </c>
      <c r="J4233" s="33" t="n">
        <f aca="false">IF(F4233="","",F4233-C4233)</f>
        <v>4.375</v>
      </c>
      <c r="K4233" s="33" t="n">
        <f aca="false">IF(G4233="","",G4233-C4233)</f>
        <v>9.13064887574981</v>
      </c>
      <c r="L4233" s="33" t="n">
        <f aca="false">IF(H4233="","",ABS(H4233))</f>
        <v>32</v>
      </c>
      <c r="M4233" s="33" t="n">
        <f aca="false">IF(I4233="","",ABS(I4233))</f>
        <v>0.5</v>
      </c>
      <c r="N4233" s="33" t="n">
        <f aca="false">IF(J4233="","",ABS(J4233))</f>
        <v>4.375</v>
      </c>
      <c r="O4233" s="33" t="n">
        <f aca="false">IF(K4233="","",ABS(K4233))</f>
        <v>9.13064887574981</v>
      </c>
      <c r="P4233" s="34" t="str">
        <f aca="false">IF(B4233&gt;=Eval_Start_Week,"YES","")</f>
        <v>YES</v>
      </c>
      <c r="Q4233" s="34" t="str">
        <f aca="false">IF(AND(B4233&gt;=Cal_Start_Week,B4233&lt;=Cal_End_Week),"YES","")</f>
        <v>YES</v>
      </c>
    </row>
    <row r="4234" customFormat="false" ht="15" hidden="false" customHeight="false" outlineLevel="0" collapsed="false">
      <c r="A4234" s="31" t="str">
        <f aca="false">Demand_History!C4234</f>
        <v>CLN-004</v>
      </c>
      <c r="B4234" s="31" t="n">
        <f aca="false">Demand_History!A4234</f>
        <v>73</v>
      </c>
      <c r="C4234" s="32" t="n">
        <f aca="false">Demand_History!D4234</f>
        <v>116</v>
      </c>
      <c r="D4234" s="33" t="n">
        <f aca="false">IF(B4234&gt;=2,C4233,"")</f>
        <v>92</v>
      </c>
      <c r="E4234" s="33" t="n">
        <f aca="false">IF(B4234&gt;=5,AVERAGE(C4230:C4233),"")</f>
        <v>106.5</v>
      </c>
      <c r="F4234" s="33" t="n">
        <f aca="false">IF(B4234&gt;=9,AVERAGE(C4226:C4233),"")</f>
        <v>97.25</v>
      </c>
      <c r="G4234" s="33" t="n">
        <f aca="false">IF(B4234=1,"",IF(B4234=2,C4233,SES_Alpha*C4233+(1-SES_Alpha)*G4233))</f>
        <v>98.3914542130249</v>
      </c>
      <c r="H4234" s="33" t="n">
        <f aca="false">IF(D4234="","",D4234-C4234)</f>
        <v>-24</v>
      </c>
      <c r="I4234" s="33" t="n">
        <f aca="false">IF(E4234="","",E4234-C4234)</f>
        <v>-9.5</v>
      </c>
      <c r="J4234" s="33" t="n">
        <f aca="false">IF(F4234="","",F4234-C4234)</f>
        <v>-18.75</v>
      </c>
      <c r="K4234" s="33" t="n">
        <f aca="false">IF(G4234="","",G4234-C4234)</f>
        <v>-17.6085457869751</v>
      </c>
      <c r="L4234" s="33" t="n">
        <f aca="false">IF(H4234="","",ABS(H4234))</f>
        <v>24</v>
      </c>
      <c r="M4234" s="33" t="n">
        <f aca="false">IF(I4234="","",ABS(I4234))</f>
        <v>9.5</v>
      </c>
      <c r="N4234" s="33" t="n">
        <f aca="false">IF(J4234="","",ABS(J4234))</f>
        <v>18.75</v>
      </c>
      <c r="O4234" s="33" t="n">
        <f aca="false">IF(K4234="","",ABS(K4234))</f>
        <v>17.6085457869751</v>
      </c>
      <c r="P4234" s="34" t="str">
        <f aca="false">IF(B4234&gt;=Eval_Start_Week,"YES","")</f>
        <v>YES</v>
      </c>
      <c r="Q4234" s="34" t="str">
        <f aca="false">IF(AND(B4234&gt;=Cal_Start_Week,B4234&lt;=Cal_End_Week),"YES","")</f>
        <v>YES</v>
      </c>
    </row>
    <row r="4235" customFormat="false" ht="15" hidden="false" customHeight="false" outlineLevel="0" collapsed="false">
      <c r="A4235" s="31" t="str">
        <f aca="false">Demand_History!C4235</f>
        <v>CLN-004</v>
      </c>
      <c r="B4235" s="31" t="n">
        <f aca="false">Demand_History!A4235</f>
        <v>74</v>
      </c>
      <c r="C4235" s="32" t="n">
        <f aca="false">Demand_History!D4235</f>
        <v>136</v>
      </c>
      <c r="D4235" s="33" t="n">
        <f aca="false">IF(B4235&gt;=2,C4234,"")</f>
        <v>116</v>
      </c>
      <c r="E4235" s="33" t="n">
        <f aca="false">IF(B4235&gt;=5,AVERAGE(C4231:C4234),"")</f>
        <v>104</v>
      </c>
      <c r="F4235" s="33" t="n">
        <f aca="false">IF(B4235&gt;=9,AVERAGE(C4227:C4234),"")</f>
        <v>97.75</v>
      </c>
      <c r="G4235" s="33" t="n">
        <f aca="false">IF(B4235=1,"",IF(B4235=2,C4234,SES_Alpha*C4234+(1-SES_Alpha)*G4234))</f>
        <v>103.674017949117</v>
      </c>
      <c r="H4235" s="33" t="n">
        <f aca="false">IF(D4235="","",D4235-C4235)</f>
        <v>-20</v>
      </c>
      <c r="I4235" s="33" t="n">
        <f aca="false">IF(E4235="","",E4235-C4235)</f>
        <v>-32</v>
      </c>
      <c r="J4235" s="33" t="n">
        <f aca="false">IF(F4235="","",F4235-C4235)</f>
        <v>-38.25</v>
      </c>
      <c r="K4235" s="33" t="n">
        <f aca="false">IF(G4235="","",G4235-C4235)</f>
        <v>-32.3259820508826</v>
      </c>
      <c r="L4235" s="33" t="n">
        <f aca="false">IF(H4235="","",ABS(H4235))</f>
        <v>20</v>
      </c>
      <c r="M4235" s="33" t="n">
        <f aca="false">IF(I4235="","",ABS(I4235))</f>
        <v>32</v>
      </c>
      <c r="N4235" s="33" t="n">
        <f aca="false">IF(J4235="","",ABS(J4235))</f>
        <v>38.25</v>
      </c>
      <c r="O4235" s="33" t="n">
        <f aca="false">IF(K4235="","",ABS(K4235))</f>
        <v>32.3259820508826</v>
      </c>
      <c r="P4235" s="34" t="str">
        <f aca="false">IF(B4235&gt;=Eval_Start_Week,"YES","")</f>
        <v>YES</v>
      </c>
      <c r="Q4235" s="34" t="str">
        <f aca="false">IF(AND(B4235&gt;=Cal_Start_Week,B4235&lt;=Cal_End_Week),"YES","")</f>
        <v>YES</v>
      </c>
    </row>
    <row r="4236" customFormat="false" ht="15" hidden="false" customHeight="false" outlineLevel="0" collapsed="false">
      <c r="A4236" s="31" t="str">
        <f aca="false">Demand_History!C4236</f>
        <v>CLN-004</v>
      </c>
      <c r="B4236" s="31" t="n">
        <f aca="false">Demand_History!A4236</f>
        <v>75</v>
      </c>
      <c r="C4236" s="32" t="n">
        <f aca="false">Demand_History!D4236</f>
        <v>72</v>
      </c>
      <c r="D4236" s="33" t="n">
        <f aca="false">IF(B4236&gt;=2,C4235,"")</f>
        <v>136</v>
      </c>
      <c r="E4236" s="33" t="n">
        <f aca="false">IF(B4236&gt;=5,AVERAGE(C4232:C4235),"")</f>
        <v>117</v>
      </c>
      <c r="F4236" s="33" t="n">
        <f aca="false">IF(B4236&gt;=9,AVERAGE(C4228:C4235),"")</f>
        <v>104.375</v>
      </c>
      <c r="G4236" s="33" t="n">
        <f aca="false">IF(B4236=1,"",IF(B4236=2,C4235,SES_Alpha*C4235+(1-SES_Alpha)*G4235))</f>
        <v>113.371812564382</v>
      </c>
      <c r="H4236" s="33" t="n">
        <f aca="false">IF(D4236="","",D4236-C4236)</f>
        <v>64</v>
      </c>
      <c r="I4236" s="33" t="n">
        <f aca="false">IF(E4236="","",E4236-C4236)</f>
        <v>45</v>
      </c>
      <c r="J4236" s="33" t="n">
        <f aca="false">IF(F4236="","",F4236-C4236)</f>
        <v>32.375</v>
      </c>
      <c r="K4236" s="33" t="n">
        <f aca="false">IF(G4236="","",G4236-C4236)</f>
        <v>41.3718125643822</v>
      </c>
      <c r="L4236" s="33" t="n">
        <f aca="false">IF(H4236="","",ABS(H4236))</f>
        <v>64</v>
      </c>
      <c r="M4236" s="33" t="n">
        <f aca="false">IF(I4236="","",ABS(I4236))</f>
        <v>45</v>
      </c>
      <c r="N4236" s="33" t="n">
        <f aca="false">IF(J4236="","",ABS(J4236))</f>
        <v>32.375</v>
      </c>
      <c r="O4236" s="33" t="n">
        <f aca="false">IF(K4236="","",ABS(K4236))</f>
        <v>41.3718125643822</v>
      </c>
      <c r="P4236" s="34" t="str">
        <f aca="false">IF(B4236&gt;=Eval_Start_Week,"YES","")</f>
        <v>YES</v>
      </c>
      <c r="Q4236" s="34" t="str">
        <f aca="false">IF(AND(B4236&gt;=Cal_Start_Week,B4236&lt;=Cal_End_Week),"YES","")</f>
        <v>YES</v>
      </c>
    </row>
    <row r="4237" customFormat="false" ht="15" hidden="false" customHeight="false" outlineLevel="0" collapsed="false">
      <c r="A4237" s="31" t="str">
        <f aca="false">Demand_History!C4237</f>
        <v>CLN-004</v>
      </c>
      <c r="B4237" s="31" t="n">
        <f aca="false">Demand_History!A4237</f>
        <v>76</v>
      </c>
      <c r="C4237" s="32" t="n">
        <f aca="false">Demand_History!D4237</f>
        <v>91</v>
      </c>
      <c r="D4237" s="33" t="n">
        <f aca="false">IF(B4237&gt;=2,C4236,"")</f>
        <v>72</v>
      </c>
      <c r="E4237" s="33" t="n">
        <f aca="false">IF(B4237&gt;=5,AVERAGE(C4233:C4236),"")</f>
        <v>104</v>
      </c>
      <c r="F4237" s="33" t="n">
        <f aca="false">IF(B4237&gt;=9,AVERAGE(C4229:C4236),"")</f>
        <v>98.25</v>
      </c>
      <c r="G4237" s="33" t="n">
        <f aca="false">IF(B4237=1,"",IF(B4237=2,C4236,SES_Alpha*C4236+(1-SES_Alpha)*G4236))</f>
        <v>100.960268795068</v>
      </c>
      <c r="H4237" s="33" t="n">
        <f aca="false">IF(D4237="","",D4237-C4237)</f>
        <v>-19</v>
      </c>
      <c r="I4237" s="33" t="n">
        <f aca="false">IF(E4237="","",E4237-C4237)</f>
        <v>13</v>
      </c>
      <c r="J4237" s="33" t="n">
        <f aca="false">IF(F4237="","",F4237-C4237)</f>
        <v>7.25</v>
      </c>
      <c r="K4237" s="33" t="n">
        <f aca="false">IF(G4237="","",G4237-C4237)</f>
        <v>9.96026879506751</v>
      </c>
      <c r="L4237" s="33" t="n">
        <f aca="false">IF(H4237="","",ABS(H4237))</f>
        <v>19</v>
      </c>
      <c r="M4237" s="33" t="n">
        <f aca="false">IF(I4237="","",ABS(I4237))</f>
        <v>13</v>
      </c>
      <c r="N4237" s="33" t="n">
        <f aca="false">IF(J4237="","",ABS(J4237))</f>
        <v>7.25</v>
      </c>
      <c r="O4237" s="33" t="n">
        <f aca="false">IF(K4237="","",ABS(K4237))</f>
        <v>9.96026879506751</v>
      </c>
      <c r="P4237" s="34" t="str">
        <f aca="false">IF(B4237&gt;=Eval_Start_Week,"YES","")</f>
        <v>YES</v>
      </c>
      <c r="Q4237" s="34" t="str">
        <f aca="false">IF(AND(B4237&gt;=Cal_Start_Week,B4237&lt;=Cal_End_Week),"YES","")</f>
        <v>YES</v>
      </c>
    </row>
    <row r="4238" customFormat="false" ht="15" hidden="false" customHeight="false" outlineLevel="0" collapsed="false">
      <c r="A4238" s="31" t="str">
        <f aca="false">Demand_History!C4238</f>
        <v>CLN-004</v>
      </c>
      <c r="B4238" s="31" t="n">
        <f aca="false">Demand_History!A4238</f>
        <v>77</v>
      </c>
      <c r="C4238" s="32" t="n">
        <f aca="false">Demand_History!D4238</f>
        <v>84</v>
      </c>
      <c r="D4238" s="33" t="n">
        <f aca="false">IF(B4238&gt;=2,C4237,"")</f>
        <v>91</v>
      </c>
      <c r="E4238" s="33" t="n">
        <f aca="false">IF(B4238&gt;=5,AVERAGE(C4234:C4237),"")</f>
        <v>103.75</v>
      </c>
      <c r="F4238" s="33" t="n">
        <f aca="false">IF(B4238&gt;=9,AVERAGE(C4230:C4237),"")</f>
        <v>105.125</v>
      </c>
      <c r="G4238" s="33" t="n">
        <f aca="false">IF(B4238=1,"",IF(B4238=2,C4237,SES_Alpha*C4237+(1-SES_Alpha)*G4237))</f>
        <v>97.9721881565473</v>
      </c>
      <c r="H4238" s="33" t="n">
        <f aca="false">IF(D4238="","",D4238-C4238)</f>
        <v>7</v>
      </c>
      <c r="I4238" s="33" t="n">
        <f aca="false">IF(E4238="","",E4238-C4238)</f>
        <v>19.75</v>
      </c>
      <c r="J4238" s="33" t="n">
        <f aca="false">IF(F4238="","",F4238-C4238)</f>
        <v>21.125</v>
      </c>
      <c r="K4238" s="33" t="n">
        <f aca="false">IF(G4238="","",G4238-C4238)</f>
        <v>13.9721881565472</v>
      </c>
      <c r="L4238" s="33" t="n">
        <f aca="false">IF(H4238="","",ABS(H4238))</f>
        <v>7</v>
      </c>
      <c r="M4238" s="33" t="n">
        <f aca="false">IF(I4238="","",ABS(I4238))</f>
        <v>19.75</v>
      </c>
      <c r="N4238" s="33" t="n">
        <f aca="false">IF(J4238="","",ABS(J4238))</f>
        <v>21.125</v>
      </c>
      <c r="O4238" s="33" t="n">
        <f aca="false">IF(K4238="","",ABS(K4238))</f>
        <v>13.9721881565472</v>
      </c>
      <c r="P4238" s="34" t="str">
        <f aca="false">IF(B4238&gt;=Eval_Start_Week,"YES","")</f>
        <v>YES</v>
      </c>
      <c r="Q4238" s="34" t="str">
        <f aca="false">IF(AND(B4238&gt;=Cal_Start_Week,B4238&lt;=Cal_End_Week),"YES","")</f>
        <v>YES</v>
      </c>
    </row>
    <row r="4239" customFormat="false" ht="15" hidden="false" customHeight="false" outlineLevel="0" collapsed="false">
      <c r="A4239" s="31" t="str">
        <f aca="false">Demand_History!C4239</f>
        <v>CLN-004</v>
      </c>
      <c r="B4239" s="31" t="n">
        <f aca="false">Demand_History!A4239</f>
        <v>78</v>
      </c>
      <c r="C4239" s="32" t="n">
        <f aca="false">Demand_History!D4239</f>
        <v>95</v>
      </c>
      <c r="D4239" s="33" t="n">
        <f aca="false">IF(B4239&gt;=2,C4238,"")</f>
        <v>84</v>
      </c>
      <c r="E4239" s="33" t="n">
        <f aca="false">IF(B4239&gt;=5,AVERAGE(C4235:C4238),"")</f>
        <v>95.75</v>
      </c>
      <c r="F4239" s="33" t="n">
        <f aca="false">IF(B4239&gt;=9,AVERAGE(C4231:C4238),"")</f>
        <v>99.875</v>
      </c>
      <c r="G4239" s="33" t="n">
        <f aca="false">IF(B4239=1,"",IF(B4239=2,C4238,SES_Alpha*C4238+(1-SES_Alpha)*G4238))</f>
        <v>93.7805317095831</v>
      </c>
      <c r="H4239" s="33" t="n">
        <f aca="false">IF(D4239="","",D4239-C4239)</f>
        <v>-11</v>
      </c>
      <c r="I4239" s="33" t="n">
        <f aca="false">IF(E4239="","",E4239-C4239)</f>
        <v>0.75</v>
      </c>
      <c r="J4239" s="33" t="n">
        <f aca="false">IF(F4239="","",F4239-C4239)</f>
        <v>4.875</v>
      </c>
      <c r="K4239" s="33" t="n">
        <f aca="false">IF(G4239="","",G4239-C4239)</f>
        <v>-1.21946829041693</v>
      </c>
      <c r="L4239" s="33" t="n">
        <f aca="false">IF(H4239="","",ABS(H4239))</f>
        <v>11</v>
      </c>
      <c r="M4239" s="33" t="n">
        <f aca="false">IF(I4239="","",ABS(I4239))</f>
        <v>0.75</v>
      </c>
      <c r="N4239" s="33" t="n">
        <f aca="false">IF(J4239="","",ABS(J4239))</f>
        <v>4.875</v>
      </c>
      <c r="O4239" s="33" t="n">
        <f aca="false">IF(K4239="","",ABS(K4239))</f>
        <v>1.21946829041693</v>
      </c>
      <c r="P4239" s="34" t="str">
        <f aca="false">IF(B4239&gt;=Eval_Start_Week,"YES","")</f>
        <v>YES</v>
      </c>
      <c r="Q4239" s="34" t="str">
        <f aca="false">IF(AND(B4239&gt;=Cal_Start_Week,B4239&lt;=Cal_End_Week),"YES","")</f>
        <v>YES</v>
      </c>
    </row>
    <row r="4240" customFormat="false" ht="15" hidden="false" customHeight="false" outlineLevel="0" collapsed="false">
      <c r="A4240" s="31" t="str">
        <f aca="false">Demand_History!C4240</f>
        <v>CLN-004</v>
      </c>
      <c r="B4240" s="31" t="n">
        <f aca="false">Demand_History!A4240</f>
        <v>79</v>
      </c>
      <c r="C4240" s="32" t="n">
        <f aca="false">Demand_History!D4240</f>
        <v>39</v>
      </c>
      <c r="D4240" s="33" t="n">
        <f aca="false">IF(B4240&gt;=2,C4239,"")</f>
        <v>95</v>
      </c>
      <c r="E4240" s="33" t="n">
        <f aca="false">IF(B4240&gt;=5,AVERAGE(C4236:C4239),"")</f>
        <v>85.5</v>
      </c>
      <c r="F4240" s="33" t="n">
        <f aca="false">IF(B4240&gt;=9,AVERAGE(C4232:C4239),"")</f>
        <v>101.25</v>
      </c>
      <c r="G4240" s="33" t="n">
        <f aca="false">IF(B4240=1,"",IF(B4240=2,C4239,SES_Alpha*C4239+(1-SES_Alpha)*G4239))</f>
        <v>94.1463721967081</v>
      </c>
      <c r="H4240" s="33" t="n">
        <f aca="false">IF(D4240="","",D4240-C4240)</f>
        <v>56</v>
      </c>
      <c r="I4240" s="33" t="n">
        <f aca="false">IF(E4240="","",E4240-C4240)</f>
        <v>46.5</v>
      </c>
      <c r="J4240" s="33" t="n">
        <f aca="false">IF(F4240="","",F4240-C4240)</f>
        <v>62.25</v>
      </c>
      <c r="K4240" s="33" t="n">
        <f aca="false">IF(G4240="","",G4240-C4240)</f>
        <v>55.1463721967081</v>
      </c>
      <c r="L4240" s="33" t="n">
        <f aca="false">IF(H4240="","",ABS(H4240))</f>
        <v>56</v>
      </c>
      <c r="M4240" s="33" t="n">
        <f aca="false">IF(I4240="","",ABS(I4240))</f>
        <v>46.5</v>
      </c>
      <c r="N4240" s="33" t="n">
        <f aca="false">IF(J4240="","",ABS(J4240))</f>
        <v>62.25</v>
      </c>
      <c r="O4240" s="33" t="n">
        <f aca="false">IF(K4240="","",ABS(K4240))</f>
        <v>55.1463721967081</v>
      </c>
      <c r="P4240" s="34" t="str">
        <f aca="false">IF(B4240&gt;=Eval_Start_Week,"YES","")</f>
        <v>YES</v>
      </c>
      <c r="Q4240" s="34" t="str">
        <f aca="false">IF(AND(B4240&gt;=Cal_Start_Week,B4240&lt;=Cal_End_Week),"YES","")</f>
        <v>YES</v>
      </c>
    </row>
    <row r="4241" customFormat="false" ht="15" hidden="false" customHeight="false" outlineLevel="0" collapsed="false">
      <c r="A4241" s="31" t="str">
        <f aca="false">Demand_History!C4241</f>
        <v>CLN-004</v>
      </c>
      <c r="B4241" s="31" t="n">
        <f aca="false">Demand_History!A4241</f>
        <v>80</v>
      </c>
      <c r="C4241" s="32" t="n">
        <f aca="false">Demand_History!D4241</f>
        <v>84</v>
      </c>
      <c r="D4241" s="33" t="n">
        <f aca="false">IF(B4241&gt;=2,C4240,"")</f>
        <v>39</v>
      </c>
      <c r="E4241" s="33" t="n">
        <f aca="false">IF(B4241&gt;=5,AVERAGE(C4237:C4240),"")</f>
        <v>77.25</v>
      </c>
      <c r="F4241" s="33" t="n">
        <f aca="false">IF(B4241&gt;=9,AVERAGE(C4233:C4240),"")</f>
        <v>90.625</v>
      </c>
      <c r="G4241" s="33" t="n">
        <f aca="false">IF(B4241=1,"",IF(B4241=2,C4240,SES_Alpha*C4240+(1-SES_Alpha)*G4240))</f>
        <v>77.6024605376957</v>
      </c>
      <c r="H4241" s="33" t="n">
        <f aca="false">IF(D4241="","",D4241-C4241)</f>
        <v>-45</v>
      </c>
      <c r="I4241" s="33" t="n">
        <f aca="false">IF(E4241="","",E4241-C4241)</f>
        <v>-6.75</v>
      </c>
      <c r="J4241" s="33" t="n">
        <f aca="false">IF(F4241="","",F4241-C4241)</f>
        <v>6.625</v>
      </c>
      <c r="K4241" s="33" t="n">
        <f aca="false">IF(G4241="","",G4241-C4241)</f>
        <v>-6.39753946230429</v>
      </c>
      <c r="L4241" s="33" t="n">
        <f aca="false">IF(H4241="","",ABS(H4241))</f>
        <v>45</v>
      </c>
      <c r="M4241" s="33" t="n">
        <f aca="false">IF(I4241="","",ABS(I4241))</f>
        <v>6.75</v>
      </c>
      <c r="N4241" s="33" t="n">
        <f aca="false">IF(J4241="","",ABS(J4241))</f>
        <v>6.625</v>
      </c>
      <c r="O4241" s="33" t="n">
        <f aca="false">IF(K4241="","",ABS(K4241))</f>
        <v>6.39753946230429</v>
      </c>
      <c r="P4241" s="34" t="str">
        <f aca="false">IF(B4241&gt;=Eval_Start_Week,"YES","")</f>
        <v>YES</v>
      </c>
      <c r="Q4241" s="34" t="str">
        <f aca="false">IF(AND(B4241&gt;=Cal_Start_Week,B4241&lt;=Cal_End_Week),"YES","")</f>
        <v>YES</v>
      </c>
    </row>
    <row r="4242" customFormat="false" ht="15" hidden="false" customHeight="false" outlineLevel="0" collapsed="false">
      <c r="A4242" s="31" t="str">
        <f aca="false">Demand_History!C4242</f>
        <v>CLN-004</v>
      </c>
      <c r="B4242" s="31" t="n">
        <f aca="false">Demand_History!A4242</f>
        <v>81</v>
      </c>
      <c r="C4242" s="32" t="n">
        <f aca="false">Demand_History!D4242</f>
        <v>81</v>
      </c>
      <c r="D4242" s="33" t="n">
        <f aca="false">IF(B4242&gt;=2,C4241,"")</f>
        <v>84</v>
      </c>
      <c r="E4242" s="33" t="n">
        <f aca="false">IF(B4242&gt;=5,AVERAGE(C4238:C4241),"")</f>
        <v>75.5</v>
      </c>
      <c r="F4242" s="33" t="n">
        <f aca="false">IF(B4242&gt;=9,AVERAGE(C4234:C4241),"")</f>
        <v>89.625</v>
      </c>
      <c r="G4242" s="33" t="n">
        <f aca="false">IF(B4242=1,"",IF(B4242=2,C4241,SES_Alpha*C4241+(1-SES_Alpha)*G4241))</f>
        <v>79.521722376387</v>
      </c>
      <c r="H4242" s="33" t="n">
        <f aca="false">IF(D4242="","",D4242-C4242)</f>
        <v>3</v>
      </c>
      <c r="I4242" s="33" t="n">
        <f aca="false">IF(E4242="","",E4242-C4242)</f>
        <v>-5.5</v>
      </c>
      <c r="J4242" s="33" t="n">
        <f aca="false">IF(F4242="","",F4242-C4242)</f>
        <v>8.625</v>
      </c>
      <c r="K4242" s="33" t="n">
        <f aca="false">IF(G4242="","",G4242-C4242)</f>
        <v>-1.47827762361301</v>
      </c>
      <c r="L4242" s="33" t="n">
        <f aca="false">IF(H4242="","",ABS(H4242))</f>
        <v>3</v>
      </c>
      <c r="M4242" s="33" t="n">
        <f aca="false">IF(I4242="","",ABS(I4242))</f>
        <v>5.5</v>
      </c>
      <c r="N4242" s="33" t="n">
        <f aca="false">IF(J4242="","",ABS(J4242))</f>
        <v>8.625</v>
      </c>
      <c r="O4242" s="33" t="n">
        <f aca="false">IF(K4242="","",ABS(K4242))</f>
        <v>1.47827762361301</v>
      </c>
      <c r="P4242" s="34" t="str">
        <f aca="false">IF(B4242&gt;=Eval_Start_Week,"YES","")</f>
        <v>YES</v>
      </c>
      <c r="Q4242" s="34" t="str">
        <f aca="false">IF(AND(B4242&gt;=Cal_Start_Week,B4242&lt;=Cal_End_Week),"YES","")</f>
        <v>YES</v>
      </c>
    </row>
    <row r="4243" customFormat="false" ht="15" hidden="false" customHeight="false" outlineLevel="0" collapsed="false">
      <c r="A4243" s="31" t="str">
        <f aca="false">Demand_History!C4243</f>
        <v>CLN-004</v>
      </c>
      <c r="B4243" s="31" t="n">
        <f aca="false">Demand_History!A4243</f>
        <v>82</v>
      </c>
      <c r="C4243" s="32" t="n">
        <f aca="false">Demand_History!D4243</f>
        <v>64</v>
      </c>
      <c r="D4243" s="33" t="n">
        <f aca="false">IF(B4243&gt;=2,C4242,"")</f>
        <v>81</v>
      </c>
      <c r="E4243" s="33" t="n">
        <f aca="false">IF(B4243&gt;=5,AVERAGE(C4239:C4242),"")</f>
        <v>74.75</v>
      </c>
      <c r="F4243" s="33" t="n">
        <f aca="false">IF(B4243&gt;=9,AVERAGE(C4235:C4242),"")</f>
        <v>85.25</v>
      </c>
      <c r="G4243" s="33" t="n">
        <f aca="false">IF(B4243=1,"",IF(B4243=2,C4242,SES_Alpha*C4242+(1-SES_Alpha)*G4242))</f>
        <v>79.9652056634709</v>
      </c>
      <c r="H4243" s="33" t="n">
        <f aca="false">IF(D4243="","",D4243-C4243)</f>
        <v>17</v>
      </c>
      <c r="I4243" s="33" t="n">
        <f aca="false">IF(E4243="","",E4243-C4243)</f>
        <v>10.75</v>
      </c>
      <c r="J4243" s="33" t="n">
        <f aca="false">IF(F4243="","",F4243-C4243)</f>
        <v>21.25</v>
      </c>
      <c r="K4243" s="33" t="n">
        <f aca="false">IF(G4243="","",G4243-C4243)</f>
        <v>15.9652056634709</v>
      </c>
      <c r="L4243" s="33" t="n">
        <f aca="false">IF(H4243="","",ABS(H4243))</f>
        <v>17</v>
      </c>
      <c r="M4243" s="33" t="n">
        <f aca="false">IF(I4243="","",ABS(I4243))</f>
        <v>10.75</v>
      </c>
      <c r="N4243" s="33" t="n">
        <f aca="false">IF(J4243="","",ABS(J4243))</f>
        <v>21.25</v>
      </c>
      <c r="O4243" s="33" t="n">
        <f aca="false">IF(K4243="","",ABS(K4243))</f>
        <v>15.9652056634709</v>
      </c>
      <c r="P4243" s="34" t="str">
        <f aca="false">IF(B4243&gt;=Eval_Start_Week,"YES","")</f>
        <v>YES</v>
      </c>
      <c r="Q4243" s="34" t="str">
        <f aca="false">IF(AND(B4243&gt;=Cal_Start_Week,B4243&lt;=Cal_End_Week),"YES","")</f>
        <v>YES</v>
      </c>
    </row>
    <row r="4244" customFormat="false" ht="15" hidden="false" customHeight="false" outlineLevel="0" collapsed="false">
      <c r="A4244" s="31" t="str">
        <f aca="false">Demand_History!C4244</f>
        <v>CLN-004</v>
      </c>
      <c r="B4244" s="31" t="n">
        <f aca="false">Demand_History!A4244</f>
        <v>83</v>
      </c>
      <c r="C4244" s="32" t="n">
        <f aca="false">Demand_History!D4244</f>
        <v>83</v>
      </c>
      <c r="D4244" s="33" t="n">
        <f aca="false">IF(B4244&gt;=2,C4243,"")</f>
        <v>64</v>
      </c>
      <c r="E4244" s="33" t="n">
        <f aca="false">IF(B4244&gt;=5,AVERAGE(C4240:C4243),"")</f>
        <v>67</v>
      </c>
      <c r="F4244" s="33" t="n">
        <f aca="false">IF(B4244&gt;=9,AVERAGE(C4236:C4243),"")</f>
        <v>76.25</v>
      </c>
      <c r="G4244" s="33" t="n">
        <f aca="false">IF(B4244=1,"",IF(B4244=2,C4243,SES_Alpha*C4243+(1-SES_Alpha)*G4243))</f>
        <v>75.1756439644296</v>
      </c>
      <c r="H4244" s="33" t="n">
        <f aca="false">IF(D4244="","",D4244-C4244)</f>
        <v>-19</v>
      </c>
      <c r="I4244" s="33" t="n">
        <f aca="false">IF(E4244="","",E4244-C4244)</f>
        <v>-16</v>
      </c>
      <c r="J4244" s="33" t="n">
        <f aca="false">IF(F4244="","",F4244-C4244)</f>
        <v>-6.75</v>
      </c>
      <c r="K4244" s="33" t="n">
        <f aca="false">IF(G4244="","",G4244-C4244)</f>
        <v>-7.82435603557038</v>
      </c>
      <c r="L4244" s="33" t="n">
        <f aca="false">IF(H4244="","",ABS(H4244))</f>
        <v>19</v>
      </c>
      <c r="M4244" s="33" t="n">
        <f aca="false">IF(I4244="","",ABS(I4244))</f>
        <v>16</v>
      </c>
      <c r="N4244" s="33" t="n">
        <f aca="false">IF(J4244="","",ABS(J4244))</f>
        <v>6.75</v>
      </c>
      <c r="O4244" s="33" t="n">
        <f aca="false">IF(K4244="","",ABS(K4244))</f>
        <v>7.82435603557038</v>
      </c>
      <c r="P4244" s="34" t="str">
        <f aca="false">IF(B4244&gt;=Eval_Start_Week,"YES","")</f>
        <v>YES</v>
      </c>
      <c r="Q4244" s="34" t="str">
        <f aca="false">IF(AND(B4244&gt;=Cal_Start_Week,B4244&lt;=Cal_End_Week),"YES","")</f>
        <v>YES</v>
      </c>
    </row>
    <row r="4245" customFormat="false" ht="15" hidden="false" customHeight="false" outlineLevel="0" collapsed="false">
      <c r="A4245" s="31" t="str">
        <f aca="false">Demand_History!C4245</f>
        <v>CLN-004</v>
      </c>
      <c r="B4245" s="31" t="n">
        <f aca="false">Demand_History!A4245</f>
        <v>84</v>
      </c>
      <c r="C4245" s="32" t="n">
        <f aca="false">Demand_History!D4245</f>
        <v>41</v>
      </c>
      <c r="D4245" s="33" t="n">
        <f aca="false">IF(B4245&gt;=2,C4244,"")</f>
        <v>83</v>
      </c>
      <c r="E4245" s="33" t="n">
        <f aca="false">IF(B4245&gt;=5,AVERAGE(C4241:C4244),"")</f>
        <v>78</v>
      </c>
      <c r="F4245" s="33" t="n">
        <f aca="false">IF(B4245&gt;=9,AVERAGE(C4237:C4244),"")</f>
        <v>77.625</v>
      </c>
      <c r="G4245" s="33" t="n">
        <f aca="false">IF(B4245=1,"",IF(B4245=2,C4244,SES_Alpha*C4244+(1-SES_Alpha)*G4244))</f>
        <v>77.5229507751007</v>
      </c>
      <c r="H4245" s="33" t="n">
        <f aca="false">IF(D4245="","",D4245-C4245)</f>
        <v>42</v>
      </c>
      <c r="I4245" s="33" t="n">
        <f aca="false">IF(E4245="","",E4245-C4245)</f>
        <v>37</v>
      </c>
      <c r="J4245" s="33" t="n">
        <f aca="false">IF(F4245="","",F4245-C4245)</f>
        <v>36.625</v>
      </c>
      <c r="K4245" s="33" t="n">
        <f aca="false">IF(G4245="","",G4245-C4245)</f>
        <v>36.5229507751007</v>
      </c>
      <c r="L4245" s="33" t="n">
        <f aca="false">IF(H4245="","",ABS(H4245))</f>
        <v>42</v>
      </c>
      <c r="M4245" s="33" t="n">
        <f aca="false">IF(I4245="","",ABS(I4245))</f>
        <v>37</v>
      </c>
      <c r="N4245" s="33" t="n">
        <f aca="false">IF(J4245="","",ABS(J4245))</f>
        <v>36.625</v>
      </c>
      <c r="O4245" s="33" t="n">
        <f aca="false">IF(K4245="","",ABS(K4245))</f>
        <v>36.5229507751007</v>
      </c>
      <c r="P4245" s="34" t="str">
        <f aca="false">IF(B4245&gt;=Eval_Start_Week,"YES","")</f>
        <v>YES</v>
      </c>
      <c r="Q4245" s="34" t="str">
        <f aca="false">IF(AND(B4245&gt;=Cal_Start_Week,B4245&lt;=Cal_End_Week),"YES","")</f>
        <v>YES</v>
      </c>
    </row>
    <row r="4246" customFormat="false" ht="15" hidden="false" customHeight="false" outlineLevel="0" collapsed="false">
      <c r="A4246" s="31" t="str">
        <f aca="false">Demand_History!C4246</f>
        <v>CLN-004</v>
      </c>
      <c r="B4246" s="31" t="n">
        <f aca="false">Demand_History!A4246</f>
        <v>85</v>
      </c>
      <c r="C4246" s="32" t="n">
        <f aca="false">Demand_History!D4246</f>
        <v>133</v>
      </c>
      <c r="D4246" s="33" t="n">
        <f aca="false">IF(B4246&gt;=2,C4245,"")</f>
        <v>41</v>
      </c>
      <c r="E4246" s="33" t="n">
        <f aca="false">IF(B4246&gt;=5,AVERAGE(C4242:C4245),"")</f>
        <v>67.25</v>
      </c>
      <c r="F4246" s="33" t="n">
        <f aca="false">IF(B4246&gt;=9,AVERAGE(C4238:C4245),"")</f>
        <v>71.375</v>
      </c>
      <c r="G4246" s="33" t="n">
        <f aca="false">IF(B4246=1,"",IF(B4246=2,C4245,SES_Alpha*C4245+(1-SES_Alpha)*G4245))</f>
        <v>66.5660655425705</v>
      </c>
      <c r="H4246" s="33" t="n">
        <f aca="false">IF(D4246="","",D4246-C4246)</f>
        <v>-92</v>
      </c>
      <c r="I4246" s="33" t="n">
        <f aca="false">IF(E4246="","",E4246-C4246)</f>
        <v>-65.75</v>
      </c>
      <c r="J4246" s="33" t="n">
        <f aca="false">IF(F4246="","",F4246-C4246)</f>
        <v>-61.625</v>
      </c>
      <c r="K4246" s="33" t="n">
        <f aca="false">IF(G4246="","",G4246-C4246)</f>
        <v>-66.4339344574295</v>
      </c>
      <c r="L4246" s="33" t="n">
        <f aca="false">IF(H4246="","",ABS(H4246))</f>
        <v>92</v>
      </c>
      <c r="M4246" s="33" t="n">
        <f aca="false">IF(I4246="","",ABS(I4246))</f>
        <v>65.75</v>
      </c>
      <c r="N4246" s="33" t="n">
        <f aca="false">IF(J4246="","",ABS(J4246))</f>
        <v>61.625</v>
      </c>
      <c r="O4246" s="33" t="n">
        <f aca="false">IF(K4246="","",ABS(K4246))</f>
        <v>66.4339344574295</v>
      </c>
      <c r="P4246" s="34" t="str">
        <f aca="false">IF(B4246&gt;=Eval_Start_Week,"YES","")</f>
        <v>YES</v>
      </c>
      <c r="Q4246" s="34" t="str">
        <f aca="false">IF(AND(B4246&gt;=Cal_Start_Week,B4246&lt;=Cal_End_Week),"YES","")</f>
        <v>YES</v>
      </c>
    </row>
    <row r="4247" customFormat="false" ht="15" hidden="false" customHeight="false" outlineLevel="0" collapsed="false">
      <c r="A4247" s="31" t="str">
        <f aca="false">Demand_History!C4247</f>
        <v>CLN-004</v>
      </c>
      <c r="B4247" s="31" t="n">
        <f aca="false">Demand_History!A4247</f>
        <v>86</v>
      </c>
      <c r="C4247" s="32" t="n">
        <f aca="false">Demand_History!D4247</f>
        <v>103</v>
      </c>
      <c r="D4247" s="33" t="n">
        <f aca="false">IF(B4247&gt;=2,C4246,"")</f>
        <v>133</v>
      </c>
      <c r="E4247" s="33" t="n">
        <f aca="false">IF(B4247&gt;=5,AVERAGE(C4243:C4246),"")</f>
        <v>80.25</v>
      </c>
      <c r="F4247" s="33" t="n">
        <f aca="false">IF(B4247&gt;=9,AVERAGE(C4239:C4246),"")</f>
        <v>77.5</v>
      </c>
      <c r="G4247" s="33" t="n">
        <f aca="false">IF(B4247=1,"",IF(B4247=2,C4246,SES_Alpha*C4246+(1-SES_Alpha)*G4246))</f>
        <v>86.4962458797994</v>
      </c>
      <c r="H4247" s="33" t="n">
        <f aca="false">IF(D4247="","",D4247-C4247)</f>
        <v>30</v>
      </c>
      <c r="I4247" s="33" t="n">
        <f aca="false">IF(E4247="","",E4247-C4247)</f>
        <v>-22.75</v>
      </c>
      <c r="J4247" s="33" t="n">
        <f aca="false">IF(F4247="","",F4247-C4247)</f>
        <v>-25.5</v>
      </c>
      <c r="K4247" s="33" t="n">
        <f aca="false">IF(G4247="","",G4247-C4247)</f>
        <v>-16.5037541202007</v>
      </c>
      <c r="L4247" s="33" t="n">
        <f aca="false">IF(H4247="","",ABS(H4247))</f>
        <v>30</v>
      </c>
      <c r="M4247" s="33" t="n">
        <f aca="false">IF(I4247="","",ABS(I4247))</f>
        <v>22.75</v>
      </c>
      <c r="N4247" s="33" t="n">
        <f aca="false">IF(J4247="","",ABS(J4247))</f>
        <v>25.5</v>
      </c>
      <c r="O4247" s="33" t="n">
        <f aca="false">IF(K4247="","",ABS(K4247))</f>
        <v>16.5037541202007</v>
      </c>
      <c r="P4247" s="34" t="str">
        <f aca="false">IF(B4247&gt;=Eval_Start_Week,"YES","")</f>
        <v>YES</v>
      </c>
      <c r="Q4247" s="34" t="str">
        <f aca="false">IF(AND(B4247&gt;=Cal_Start_Week,B4247&lt;=Cal_End_Week),"YES","")</f>
        <v>YES</v>
      </c>
    </row>
    <row r="4248" customFormat="false" ht="15" hidden="false" customHeight="false" outlineLevel="0" collapsed="false">
      <c r="A4248" s="31" t="str">
        <f aca="false">Demand_History!C4248</f>
        <v>CLN-004</v>
      </c>
      <c r="B4248" s="31" t="n">
        <f aca="false">Demand_History!A4248</f>
        <v>87</v>
      </c>
      <c r="C4248" s="32" t="n">
        <f aca="false">Demand_History!D4248</f>
        <v>148</v>
      </c>
      <c r="D4248" s="33" t="n">
        <f aca="false">IF(B4248&gt;=2,C4247,"")</f>
        <v>103</v>
      </c>
      <c r="E4248" s="33" t="n">
        <f aca="false">IF(B4248&gt;=5,AVERAGE(C4244:C4247),"")</f>
        <v>90</v>
      </c>
      <c r="F4248" s="33" t="n">
        <f aca="false">IF(B4248&gt;=9,AVERAGE(C4240:C4247),"")</f>
        <v>78.5</v>
      </c>
      <c r="G4248" s="33" t="n">
        <f aca="false">IF(B4248=1,"",IF(B4248=2,C4247,SES_Alpha*C4247+(1-SES_Alpha)*G4247))</f>
        <v>91.4473721158595</v>
      </c>
      <c r="H4248" s="33" t="n">
        <f aca="false">IF(D4248="","",D4248-C4248)</f>
        <v>-45</v>
      </c>
      <c r="I4248" s="33" t="n">
        <f aca="false">IF(E4248="","",E4248-C4248)</f>
        <v>-58</v>
      </c>
      <c r="J4248" s="33" t="n">
        <f aca="false">IF(F4248="","",F4248-C4248)</f>
        <v>-69.5</v>
      </c>
      <c r="K4248" s="33" t="n">
        <f aca="false">IF(G4248="","",G4248-C4248)</f>
        <v>-56.5526278841405</v>
      </c>
      <c r="L4248" s="33" t="n">
        <f aca="false">IF(H4248="","",ABS(H4248))</f>
        <v>45</v>
      </c>
      <c r="M4248" s="33" t="n">
        <f aca="false">IF(I4248="","",ABS(I4248))</f>
        <v>58</v>
      </c>
      <c r="N4248" s="33" t="n">
        <f aca="false">IF(J4248="","",ABS(J4248))</f>
        <v>69.5</v>
      </c>
      <c r="O4248" s="33" t="n">
        <f aca="false">IF(K4248="","",ABS(K4248))</f>
        <v>56.5526278841405</v>
      </c>
      <c r="P4248" s="34" t="str">
        <f aca="false">IF(B4248&gt;=Eval_Start_Week,"YES","")</f>
        <v>YES</v>
      </c>
      <c r="Q4248" s="34" t="str">
        <f aca="false">IF(AND(B4248&gt;=Cal_Start_Week,B4248&lt;=Cal_End_Week),"YES","")</f>
        <v>YES</v>
      </c>
    </row>
    <row r="4249" customFormat="false" ht="15" hidden="false" customHeight="false" outlineLevel="0" collapsed="false">
      <c r="A4249" s="31" t="str">
        <f aca="false">Demand_History!C4249</f>
        <v>CLN-004</v>
      </c>
      <c r="B4249" s="31" t="n">
        <f aca="false">Demand_History!A4249</f>
        <v>88</v>
      </c>
      <c r="C4249" s="32" t="n">
        <f aca="false">Demand_History!D4249</f>
        <v>62</v>
      </c>
      <c r="D4249" s="33" t="n">
        <f aca="false">IF(B4249&gt;=2,C4248,"")</f>
        <v>148</v>
      </c>
      <c r="E4249" s="33" t="n">
        <f aca="false">IF(B4249&gt;=5,AVERAGE(C4245:C4248),"")</f>
        <v>106.25</v>
      </c>
      <c r="F4249" s="33" t="n">
        <f aca="false">IF(B4249&gt;=9,AVERAGE(C4241:C4248),"")</f>
        <v>92.125</v>
      </c>
      <c r="G4249" s="33" t="n">
        <f aca="false">IF(B4249=1,"",IF(B4249=2,C4248,SES_Alpha*C4248+(1-SES_Alpha)*G4248))</f>
        <v>108.413160481102</v>
      </c>
      <c r="H4249" s="33" t="n">
        <f aca="false">IF(D4249="","",D4249-C4249)</f>
        <v>86</v>
      </c>
      <c r="I4249" s="33" t="n">
        <f aca="false">IF(E4249="","",E4249-C4249)</f>
        <v>44.25</v>
      </c>
      <c r="J4249" s="33" t="n">
        <f aca="false">IF(F4249="","",F4249-C4249)</f>
        <v>30.125</v>
      </c>
      <c r="K4249" s="33" t="n">
        <f aca="false">IF(G4249="","",G4249-C4249)</f>
        <v>46.4131604811017</v>
      </c>
      <c r="L4249" s="33" t="n">
        <f aca="false">IF(H4249="","",ABS(H4249))</f>
        <v>86</v>
      </c>
      <c r="M4249" s="33" t="n">
        <f aca="false">IF(I4249="","",ABS(I4249))</f>
        <v>44.25</v>
      </c>
      <c r="N4249" s="33" t="n">
        <f aca="false">IF(J4249="","",ABS(J4249))</f>
        <v>30.125</v>
      </c>
      <c r="O4249" s="33" t="n">
        <f aca="false">IF(K4249="","",ABS(K4249))</f>
        <v>46.4131604811017</v>
      </c>
      <c r="P4249" s="34" t="str">
        <f aca="false">IF(B4249&gt;=Eval_Start_Week,"YES","")</f>
        <v>YES</v>
      </c>
      <c r="Q4249" s="34" t="str">
        <f aca="false">IF(AND(B4249&gt;=Cal_Start_Week,B4249&lt;=Cal_End_Week),"YES","")</f>
        <v>YES</v>
      </c>
    </row>
    <row r="4250" customFormat="false" ht="15" hidden="false" customHeight="false" outlineLevel="0" collapsed="false">
      <c r="A4250" s="31" t="str">
        <f aca="false">Demand_History!C4250</f>
        <v>CLN-004</v>
      </c>
      <c r="B4250" s="31" t="n">
        <f aca="false">Demand_History!A4250</f>
        <v>89</v>
      </c>
      <c r="C4250" s="32" t="n">
        <f aca="false">Demand_History!D4250</f>
        <v>53</v>
      </c>
      <c r="D4250" s="33" t="n">
        <f aca="false">IF(B4250&gt;=2,C4249,"")</f>
        <v>62</v>
      </c>
      <c r="E4250" s="33" t="n">
        <f aca="false">IF(B4250&gt;=5,AVERAGE(C4246:C4249),"")</f>
        <v>111.5</v>
      </c>
      <c r="F4250" s="33" t="n">
        <f aca="false">IF(B4250&gt;=9,AVERAGE(C4242:C4249),"")</f>
        <v>89.375</v>
      </c>
      <c r="G4250" s="33" t="n">
        <f aca="false">IF(B4250=1,"",IF(B4250=2,C4249,SES_Alpha*C4249+(1-SES_Alpha)*G4249))</f>
        <v>94.4892123367712</v>
      </c>
      <c r="H4250" s="33" t="n">
        <f aca="false">IF(D4250="","",D4250-C4250)</f>
        <v>9</v>
      </c>
      <c r="I4250" s="33" t="n">
        <f aca="false">IF(E4250="","",E4250-C4250)</f>
        <v>58.5</v>
      </c>
      <c r="J4250" s="33" t="n">
        <f aca="false">IF(F4250="","",F4250-C4250)</f>
        <v>36.375</v>
      </c>
      <c r="K4250" s="33" t="n">
        <f aca="false">IF(G4250="","",G4250-C4250)</f>
        <v>41.4892123367712</v>
      </c>
      <c r="L4250" s="33" t="n">
        <f aca="false">IF(H4250="","",ABS(H4250))</f>
        <v>9</v>
      </c>
      <c r="M4250" s="33" t="n">
        <f aca="false">IF(I4250="","",ABS(I4250))</f>
        <v>58.5</v>
      </c>
      <c r="N4250" s="33" t="n">
        <f aca="false">IF(J4250="","",ABS(J4250))</f>
        <v>36.375</v>
      </c>
      <c r="O4250" s="33" t="n">
        <f aca="false">IF(K4250="","",ABS(K4250))</f>
        <v>41.4892123367712</v>
      </c>
      <c r="P4250" s="34" t="str">
        <f aca="false">IF(B4250&gt;=Eval_Start_Week,"YES","")</f>
        <v>YES</v>
      </c>
      <c r="Q4250" s="34" t="str">
        <f aca="false">IF(AND(B4250&gt;=Cal_Start_Week,B4250&lt;=Cal_End_Week),"YES","")</f>
        <v/>
      </c>
    </row>
    <row r="4251" customFormat="false" ht="15" hidden="false" customHeight="false" outlineLevel="0" collapsed="false">
      <c r="A4251" s="31" t="str">
        <f aca="false">Demand_History!C4251</f>
        <v>CLN-004</v>
      </c>
      <c r="B4251" s="31" t="n">
        <f aca="false">Demand_History!A4251</f>
        <v>90</v>
      </c>
      <c r="C4251" s="32" t="n">
        <f aca="false">Demand_History!D4251</f>
        <v>98</v>
      </c>
      <c r="D4251" s="33" t="n">
        <f aca="false">IF(B4251&gt;=2,C4250,"")</f>
        <v>53</v>
      </c>
      <c r="E4251" s="33" t="n">
        <f aca="false">IF(B4251&gt;=5,AVERAGE(C4247:C4250),"")</f>
        <v>91.5</v>
      </c>
      <c r="F4251" s="33" t="n">
        <f aca="false">IF(B4251&gt;=9,AVERAGE(C4243:C4250),"")</f>
        <v>85.875</v>
      </c>
      <c r="G4251" s="33" t="n">
        <f aca="false">IF(B4251=1,"",IF(B4251=2,C4250,SES_Alpha*C4250+(1-SES_Alpha)*G4250))</f>
        <v>82.0424486357398</v>
      </c>
      <c r="H4251" s="33" t="n">
        <f aca="false">IF(D4251="","",D4251-C4251)</f>
        <v>-45</v>
      </c>
      <c r="I4251" s="33" t="n">
        <f aca="false">IF(E4251="","",E4251-C4251)</f>
        <v>-6.5</v>
      </c>
      <c r="J4251" s="33" t="n">
        <f aca="false">IF(F4251="","",F4251-C4251)</f>
        <v>-12.125</v>
      </c>
      <c r="K4251" s="33" t="n">
        <f aca="false">IF(G4251="","",G4251-C4251)</f>
        <v>-15.9575513642602</v>
      </c>
      <c r="L4251" s="33" t="n">
        <f aca="false">IF(H4251="","",ABS(H4251))</f>
        <v>45</v>
      </c>
      <c r="M4251" s="33" t="n">
        <f aca="false">IF(I4251="","",ABS(I4251))</f>
        <v>6.5</v>
      </c>
      <c r="N4251" s="33" t="n">
        <f aca="false">IF(J4251="","",ABS(J4251))</f>
        <v>12.125</v>
      </c>
      <c r="O4251" s="33" t="n">
        <f aca="false">IF(K4251="","",ABS(K4251))</f>
        <v>15.9575513642602</v>
      </c>
      <c r="P4251" s="34" t="str">
        <f aca="false">IF(B4251&gt;=Eval_Start_Week,"YES","")</f>
        <v>YES</v>
      </c>
      <c r="Q4251" s="34" t="str">
        <f aca="false">IF(AND(B4251&gt;=Cal_Start_Week,B4251&lt;=Cal_End_Week),"YES","")</f>
        <v/>
      </c>
    </row>
    <row r="4252" customFormat="false" ht="15" hidden="false" customHeight="false" outlineLevel="0" collapsed="false">
      <c r="A4252" s="31" t="str">
        <f aca="false">Demand_History!C4252</f>
        <v>CLN-004</v>
      </c>
      <c r="B4252" s="31" t="n">
        <f aca="false">Demand_History!A4252</f>
        <v>91</v>
      </c>
      <c r="C4252" s="32" t="n">
        <f aca="false">Demand_History!D4252</f>
        <v>37</v>
      </c>
      <c r="D4252" s="33" t="n">
        <f aca="false">IF(B4252&gt;=2,C4251,"")</f>
        <v>98</v>
      </c>
      <c r="E4252" s="33" t="n">
        <f aca="false">IF(B4252&gt;=5,AVERAGE(C4248:C4251),"")</f>
        <v>90.25</v>
      </c>
      <c r="F4252" s="33" t="n">
        <f aca="false">IF(B4252&gt;=9,AVERAGE(C4244:C4251),"")</f>
        <v>90.125</v>
      </c>
      <c r="G4252" s="33" t="n">
        <f aca="false">IF(B4252=1,"",IF(B4252=2,C4251,SES_Alpha*C4251+(1-SES_Alpha)*G4251))</f>
        <v>86.8297140450179</v>
      </c>
      <c r="H4252" s="33" t="n">
        <f aca="false">IF(D4252="","",D4252-C4252)</f>
        <v>61</v>
      </c>
      <c r="I4252" s="33" t="n">
        <f aca="false">IF(E4252="","",E4252-C4252)</f>
        <v>53.25</v>
      </c>
      <c r="J4252" s="33" t="n">
        <f aca="false">IF(F4252="","",F4252-C4252)</f>
        <v>53.125</v>
      </c>
      <c r="K4252" s="33" t="n">
        <f aca="false">IF(G4252="","",G4252-C4252)</f>
        <v>49.8297140450179</v>
      </c>
      <c r="L4252" s="33" t="n">
        <f aca="false">IF(H4252="","",ABS(H4252))</f>
        <v>61</v>
      </c>
      <c r="M4252" s="33" t="n">
        <f aca="false">IF(I4252="","",ABS(I4252))</f>
        <v>53.25</v>
      </c>
      <c r="N4252" s="33" t="n">
        <f aca="false">IF(J4252="","",ABS(J4252))</f>
        <v>53.125</v>
      </c>
      <c r="O4252" s="33" t="n">
        <f aca="false">IF(K4252="","",ABS(K4252))</f>
        <v>49.8297140450179</v>
      </c>
      <c r="P4252" s="34" t="str">
        <f aca="false">IF(B4252&gt;=Eval_Start_Week,"YES","")</f>
        <v>YES</v>
      </c>
      <c r="Q4252" s="34" t="str">
        <f aca="false">IF(AND(B4252&gt;=Cal_Start_Week,B4252&lt;=Cal_End_Week),"YES","")</f>
        <v/>
      </c>
    </row>
    <row r="4253" customFormat="false" ht="15" hidden="false" customHeight="false" outlineLevel="0" collapsed="false">
      <c r="A4253" s="31" t="str">
        <f aca="false">Demand_History!C4253</f>
        <v>CLN-004</v>
      </c>
      <c r="B4253" s="31" t="n">
        <f aca="false">Demand_History!A4253</f>
        <v>92</v>
      </c>
      <c r="C4253" s="32" t="n">
        <f aca="false">Demand_History!D4253</f>
        <v>96</v>
      </c>
      <c r="D4253" s="33" t="n">
        <f aca="false">IF(B4253&gt;=2,C4252,"")</f>
        <v>37</v>
      </c>
      <c r="E4253" s="33" t="n">
        <f aca="false">IF(B4253&gt;=5,AVERAGE(C4249:C4252),"")</f>
        <v>62.5</v>
      </c>
      <c r="F4253" s="33" t="n">
        <f aca="false">IF(B4253&gt;=9,AVERAGE(C4245:C4252),"")</f>
        <v>84.375</v>
      </c>
      <c r="G4253" s="33" t="n">
        <f aca="false">IF(B4253=1,"",IF(B4253=2,C4252,SES_Alpha*C4252+(1-SES_Alpha)*G4252))</f>
        <v>71.8807998315125</v>
      </c>
      <c r="H4253" s="33" t="n">
        <f aca="false">IF(D4253="","",D4253-C4253)</f>
        <v>-59</v>
      </c>
      <c r="I4253" s="33" t="n">
        <f aca="false">IF(E4253="","",E4253-C4253)</f>
        <v>-33.5</v>
      </c>
      <c r="J4253" s="33" t="n">
        <f aca="false">IF(F4253="","",F4253-C4253)</f>
        <v>-11.625</v>
      </c>
      <c r="K4253" s="33" t="n">
        <f aca="false">IF(G4253="","",G4253-C4253)</f>
        <v>-24.1192001684875</v>
      </c>
      <c r="L4253" s="33" t="n">
        <f aca="false">IF(H4253="","",ABS(H4253))</f>
        <v>59</v>
      </c>
      <c r="M4253" s="33" t="n">
        <f aca="false">IF(I4253="","",ABS(I4253))</f>
        <v>33.5</v>
      </c>
      <c r="N4253" s="33" t="n">
        <f aca="false">IF(J4253="","",ABS(J4253))</f>
        <v>11.625</v>
      </c>
      <c r="O4253" s="33" t="n">
        <f aca="false">IF(K4253="","",ABS(K4253))</f>
        <v>24.1192001684875</v>
      </c>
      <c r="P4253" s="34" t="str">
        <f aca="false">IF(B4253&gt;=Eval_Start_Week,"YES","")</f>
        <v>YES</v>
      </c>
      <c r="Q4253" s="34" t="str">
        <f aca="false">IF(AND(B4253&gt;=Cal_Start_Week,B4253&lt;=Cal_End_Week),"YES","")</f>
        <v/>
      </c>
    </row>
    <row r="4254" customFormat="false" ht="15" hidden="false" customHeight="false" outlineLevel="0" collapsed="false">
      <c r="A4254" s="31" t="str">
        <f aca="false">Demand_History!C4254</f>
        <v>CLN-004</v>
      </c>
      <c r="B4254" s="31" t="n">
        <f aca="false">Demand_History!A4254</f>
        <v>93</v>
      </c>
      <c r="C4254" s="32" t="n">
        <f aca="false">Demand_History!D4254</f>
        <v>67</v>
      </c>
      <c r="D4254" s="33" t="n">
        <f aca="false">IF(B4254&gt;=2,C4253,"")</f>
        <v>96</v>
      </c>
      <c r="E4254" s="33" t="n">
        <f aca="false">IF(B4254&gt;=5,AVERAGE(C4250:C4253),"")</f>
        <v>71</v>
      </c>
      <c r="F4254" s="33" t="n">
        <f aca="false">IF(B4254&gt;=9,AVERAGE(C4246:C4253),"")</f>
        <v>91.25</v>
      </c>
      <c r="G4254" s="33" t="n">
        <f aca="false">IF(B4254=1,"",IF(B4254=2,C4253,SES_Alpha*C4253+(1-SES_Alpha)*G4253))</f>
        <v>79.1165598820587</v>
      </c>
      <c r="H4254" s="33" t="n">
        <f aca="false">IF(D4254="","",D4254-C4254)</f>
        <v>29</v>
      </c>
      <c r="I4254" s="33" t="n">
        <f aca="false">IF(E4254="","",E4254-C4254)</f>
        <v>4</v>
      </c>
      <c r="J4254" s="33" t="n">
        <f aca="false">IF(F4254="","",F4254-C4254)</f>
        <v>24.25</v>
      </c>
      <c r="K4254" s="33" t="n">
        <f aca="false">IF(G4254="","",G4254-C4254)</f>
        <v>12.1165598820587</v>
      </c>
      <c r="L4254" s="33" t="n">
        <f aca="false">IF(H4254="","",ABS(H4254))</f>
        <v>29</v>
      </c>
      <c r="M4254" s="33" t="n">
        <f aca="false">IF(I4254="","",ABS(I4254))</f>
        <v>4</v>
      </c>
      <c r="N4254" s="33" t="n">
        <f aca="false">IF(J4254="","",ABS(J4254))</f>
        <v>24.25</v>
      </c>
      <c r="O4254" s="33" t="n">
        <f aca="false">IF(K4254="","",ABS(K4254))</f>
        <v>12.1165598820587</v>
      </c>
      <c r="P4254" s="34" t="str">
        <f aca="false">IF(B4254&gt;=Eval_Start_Week,"YES","")</f>
        <v>YES</v>
      </c>
      <c r="Q4254" s="34" t="str">
        <f aca="false">IF(AND(B4254&gt;=Cal_Start_Week,B4254&lt;=Cal_End_Week),"YES","")</f>
        <v/>
      </c>
    </row>
    <row r="4255" customFormat="false" ht="15" hidden="false" customHeight="false" outlineLevel="0" collapsed="false">
      <c r="A4255" s="31" t="str">
        <f aca="false">Demand_History!C4255</f>
        <v>CLN-004</v>
      </c>
      <c r="B4255" s="31" t="n">
        <f aca="false">Demand_History!A4255</f>
        <v>94</v>
      </c>
      <c r="C4255" s="32" t="n">
        <f aca="false">Demand_History!D4255</f>
        <v>79</v>
      </c>
      <c r="D4255" s="33" t="n">
        <f aca="false">IF(B4255&gt;=2,C4254,"")</f>
        <v>67</v>
      </c>
      <c r="E4255" s="33" t="n">
        <f aca="false">IF(B4255&gt;=5,AVERAGE(C4251:C4254),"")</f>
        <v>74.5</v>
      </c>
      <c r="F4255" s="33" t="n">
        <f aca="false">IF(B4255&gt;=9,AVERAGE(C4247:C4254),"")</f>
        <v>83</v>
      </c>
      <c r="G4255" s="33" t="n">
        <f aca="false">IF(B4255=1,"",IF(B4255=2,C4254,SES_Alpha*C4254+(1-SES_Alpha)*G4254))</f>
        <v>75.4815919174411</v>
      </c>
      <c r="H4255" s="33" t="n">
        <f aca="false">IF(D4255="","",D4255-C4255)</f>
        <v>-12</v>
      </c>
      <c r="I4255" s="33" t="n">
        <f aca="false">IF(E4255="","",E4255-C4255)</f>
        <v>-4.5</v>
      </c>
      <c r="J4255" s="33" t="n">
        <f aca="false">IF(F4255="","",F4255-C4255)</f>
        <v>4</v>
      </c>
      <c r="K4255" s="33" t="n">
        <f aca="false">IF(G4255="","",G4255-C4255)</f>
        <v>-3.51840808255889</v>
      </c>
      <c r="L4255" s="33" t="n">
        <f aca="false">IF(H4255="","",ABS(H4255))</f>
        <v>12</v>
      </c>
      <c r="M4255" s="33" t="n">
        <f aca="false">IF(I4255="","",ABS(I4255))</f>
        <v>4.5</v>
      </c>
      <c r="N4255" s="33" t="n">
        <f aca="false">IF(J4255="","",ABS(J4255))</f>
        <v>4</v>
      </c>
      <c r="O4255" s="33" t="n">
        <f aca="false">IF(K4255="","",ABS(K4255))</f>
        <v>3.51840808255889</v>
      </c>
      <c r="P4255" s="34" t="str">
        <f aca="false">IF(B4255&gt;=Eval_Start_Week,"YES","")</f>
        <v>YES</v>
      </c>
      <c r="Q4255" s="34" t="str">
        <f aca="false">IF(AND(B4255&gt;=Cal_Start_Week,B4255&lt;=Cal_End_Week),"YES","")</f>
        <v/>
      </c>
    </row>
    <row r="4256" customFormat="false" ht="15" hidden="false" customHeight="false" outlineLevel="0" collapsed="false">
      <c r="A4256" s="31" t="str">
        <f aca="false">Demand_History!C4256</f>
        <v>CLN-004</v>
      </c>
      <c r="B4256" s="31" t="n">
        <f aca="false">Demand_History!A4256</f>
        <v>95</v>
      </c>
      <c r="C4256" s="32" t="n">
        <f aca="false">Demand_History!D4256</f>
        <v>97</v>
      </c>
      <c r="D4256" s="33" t="n">
        <f aca="false">IF(B4256&gt;=2,C4255,"")</f>
        <v>79</v>
      </c>
      <c r="E4256" s="33" t="n">
        <f aca="false">IF(B4256&gt;=5,AVERAGE(C4252:C4255),"")</f>
        <v>69.75</v>
      </c>
      <c r="F4256" s="33" t="n">
        <f aca="false">IF(B4256&gt;=9,AVERAGE(C4248:C4255),"")</f>
        <v>80</v>
      </c>
      <c r="G4256" s="33" t="n">
        <f aca="false">IF(B4256=1,"",IF(B4256=2,C4255,SES_Alpha*C4255+(1-SES_Alpha)*G4255))</f>
        <v>76.5371143422088</v>
      </c>
      <c r="H4256" s="33" t="n">
        <f aca="false">IF(D4256="","",D4256-C4256)</f>
        <v>-18</v>
      </c>
      <c r="I4256" s="33" t="n">
        <f aca="false">IF(E4256="","",E4256-C4256)</f>
        <v>-27.25</v>
      </c>
      <c r="J4256" s="33" t="n">
        <f aca="false">IF(F4256="","",F4256-C4256)</f>
        <v>-17</v>
      </c>
      <c r="K4256" s="33" t="n">
        <f aca="false">IF(G4256="","",G4256-C4256)</f>
        <v>-20.4628856577912</v>
      </c>
      <c r="L4256" s="33" t="n">
        <f aca="false">IF(H4256="","",ABS(H4256))</f>
        <v>18</v>
      </c>
      <c r="M4256" s="33" t="n">
        <f aca="false">IF(I4256="","",ABS(I4256))</f>
        <v>27.25</v>
      </c>
      <c r="N4256" s="33" t="n">
        <f aca="false">IF(J4256="","",ABS(J4256))</f>
        <v>17</v>
      </c>
      <c r="O4256" s="33" t="n">
        <f aca="false">IF(K4256="","",ABS(K4256))</f>
        <v>20.4628856577912</v>
      </c>
      <c r="P4256" s="34" t="str">
        <f aca="false">IF(B4256&gt;=Eval_Start_Week,"YES","")</f>
        <v>YES</v>
      </c>
      <c r="Q4256" s="34" t="str">
        <f aca="false">IF(AND(B4256&gt;=Cal_Start_Week,B4256&lt;=Cal_End_Week),"YES","")</f>
        <v/>
      </c>
    </row>
    <row r="4257" customFormat="false" ht="15" hidden="false" customHeight="false" outlineLevel="0" collapsed="false">
      <c r="A4257" s="31" t="str">
        <f aca="false">Demand_History!C4257</f>
        <v>CLN-004</v>
      </c>
      <c r="B4257" s="31" t="n">
        <f aca="false">Demand_History!A4257</f>
        <v>96</v>
      </c>
      <c r="C4257" s="32" t="n">
        <f aca="false">Demand_History!D4257</f>
        <v>90</v>
      </c>
      <c r="D4257" s="33" t="n">
        <f aca="false">IF(B4257&gt;=2,C4256,"")</f>
        <v>97</v>
      </c>
      <c r="E4257" s="33" t="n">
        <f aca="false">IF(B4257&gt;=5,AVERAGE(C4253:C4256),"")</f>
        <v>84.75</v>
      </c>
      <c r="F4257" s="33" t="n">
        <f aca="false">IF(B4257&gt;=9,AVERAGE(C4249:C4256),"")</f>
        <v>73.625</v>
      </c>
      <c r="G4257" s="33" t="n">
        <f aca="false">IF(B4257=1,"",IF(B4257=2,C4256,SES_Alpha*C4256+(1-SES_Alpha)*G4256))</f>
        <v>82.6759800395461</v>
      </c>
      <c r="H4257" s="33" t="n">
        <f aca="false">IF(D4257="","",D4257-C4257)</f>
        <v>7</v>
      </c>
      <c r="I4257" s="33" t="n">
        <f aca="false">IF(E4257="","",E4257-C4257)</f>
        <v>-5.25</v>
      </c>
      <c r="J4257" s="33" t="n">
        <f aca="false">IF(F4257="","",F4257-C4257)</f>
        <v>-16.375</v>
      </c>
      <c r="K4257" s="33" t="n">
        <f aca="false">IF(G4257="","",G4257-C4257)</f>
        <v>-7.32401996045387</v>
      </c>
      <c r="L4257" s="33" t="n">
        <f aca="false">IF(H4257="","",ABS(H4257))</f>
        <v>7</v>
      </c>
      <c r="M4257" s="33" t="n">
        <f aca="false">IF(I4257="","",ABS(I4257))</f>
        <v>5.25</v>
      </c>
      <c r="N4257" s="33" t="n">
        <f aca="false">IF(J4257="","",ABS(J4257))</f>
        <v>16.375</v>
      </c>
      <c r="O4257" s="33" t="n">
        <f aca="false">IF(K4257="","",ABS(K4257))</f>
        <v>7.32401996045387</v>
      </c>
      <c r="P4257" s="34" t="str">
        <f aca="false">IF(B4257&gt;=Eval_Start_Week,"YES","")</f>
        <v>YES</v>
      </c>
      <c r="Q4257" s="34" t="str">
        <f aca="false">IF(AND(B4257&gt;=Cal_Start_Week,B4257&lt;=Cal_End_Week),"YES","")</f>
        <v/>
      </c>
    </row>
    <row r="4258" customFormat="false" ht="15" hidden="false" customHeight="false" outlineLevel="0" collapsed="false">
      <c r="A4258" s="31" t="str">
        <f aca="false">Demand_History!C4258</f>
        <v>CLN-004</v>
      </c>
      <c r="B4258" s="31" t="n">
        <f aca="false">Demand_History!A4258</f>
        <v>97</v>
      </c>
      <c r="C4258" s="32" t="n">
        <f aca="false">Demand_History!D4258</f>
        <v>147</v>
      </c>
      <c r="D4258" s="33" t="n">
        <f aca="false">IF(B4258&gt;=2,C4257,"")</f>
        <v>90</v>
      </c>
      <c r="E4258" s="33" t="n">
        <f aca="false">IF(B4258&gt;=5,AVERAGE(C4254:C4257),"")</f>
        <v>83.25</v>
      </c>
      <c r="F4258" s="33" t="n">
        <f aca="false">IF(B4258&gt;=9,AVERAGE(C4250:C4257),"")</f>
        <v>77.125</v>
      </c>
      <c r="G4258" s="33" t="n">
        <f aca="false">IF(B4258=1,"",IF(B4258=2,C4257,SES_Alpha*C4257+(1-SES_Alpha)*G4257))</f>
        <v>84.8731860276823</v>
      </c>
      <c r="H4258" s="33" t="n">
        <f aca="false">IF(D4258="","",D4258-C4258)</f>
        <v>-57</v>
      </c>
      <c r="I4258" s="33" t="n">
        <f aca="false">IF(E4258="","",E4258-C4258)</f>
        <v>-63.75</v>
      </c>
      <c r="J4258" s="33" t="n">
        <f aca="false">IF(F4258="","",F4258-C4258)</f>
        <v>-69.875</v>
      </c>
      <c r="K4258" s="33" t="n">
        <f aca="false">IF(G4258="","",G4258-C4258)</f>
        <v>-62.1268139723177</v>
      </c>
      <c r="L4258" s="33" t="n">
        <f aca="false">IF(H4258="","",ABS(H4258))</f>
        <v>57</v>
      </c>
      <c r="M4258" s="33" t="n">
        <f aca="false">IF(I4258="","",ABS(I4258))</f>
        <v>63.75</v>
      </c>
      <c r="N4258" s="33" t="n">
        <f aca="false">IF(J4258="","",ABS(J4258))</f>
        <v>69.875</v>
      </c>
      <c r="O4258" s="33" t="n">
        <f aca="false">IF(K4258="","",ABS(K4258))</f>
        <v>62.1268139723177</v>
      </c>
      <c r="P4258" s="34" t="str">
        <f aca="false">IF(B4258&gt;=Eval_Start_Week,"YES","")</f>
        <v>YES</v>
      </c>
      <c r="Q4258" s="34" t="str">
        <f aca="false">IF(AND(B4258&gt;=Cal_Start_Week,B4258&lt;=Cal_End_Week),"YES","")</f>
        <v/>
      </c>
    </row>
    <row r="4259" customFormat="false" ht="15" hidden="false" customHeight="false" outlineLevel="0" collapsed="false">
      <c r="A4259" s="31" t="str">
        <f aca="false">Demand_History!C4259</f>
        <v>CLN-004</v>
      </c>
      <c r="B4259" s="31" t="n">
        <f aca="false">Demand_History!A4259</f>
        <v>98</v>
      </c>
      <c r="C4259" s="32" t="n">
        <f aca="false">Demand_History!D4259</f>
        <v>109</v>
      </c>
      <c r="D4259" s="33" t="n">
        <f aca="false">IF(B4259&gt;=2,C4258,"")</f>
        <v>147</v>
      </c>
      <c r="E4259" s="33" t="n">
        <f aca="false">IF(B4259&gt;=5,AVERAGE(C4255:C4258),"")</f>
        <v>103.25</v>
      </c>
      <c r="F4259" s="33" t="n">
        <f aca="false">IF(B4259&gt;=9,AVERAGE(C4251:C4258),"")</f>
        <v>88.875</v>
      </c>
      <c r="G4259" s="33" t="n">
        <f aca="false">IF(B4259=1,"",IF(B4259=2,C4258,SES_Alpha*C4258+(1-SES_Alpha)*G4258))</f>
        <v>103.511230219378</v>
      </c>
      <c r="H4259" s="33" t="n">
        <f aca="false">IF(D4259="","",D4259-C4259)</f>
        <v>38</v>
      </c>
      <c r="I4259" s="33" t="n">
        <f aca="false">IF(E4259="","",E4259-C4259)</f>
        <v>-5.75</v>
      </c>
      <c r="J4259" s="33" t="n">
        <f aca="false">IF(F4259="","",F4259-C4259)</f>
        <v>-20.125</v>
      </c>
      <c r="K4259" s="33" t="n">
        <f aca="false">IF(G4259="","",G4259-C4259)</f>
        <v>-5.48876978062239</v>
      </c>
      <c r="L4259" s="33" t="n">
        <f aca="false">IF(H4259="","",ABS(H4259))</f>
        <v>38</v>
      </c>
      <c r="M4259" s="33" t="n">
        <f aca="false">IF(I4259="","",ABS(I4259))</f>
        <v>5.75</v>
      </c>
      <c r="N4259" s="33" t="n">
        <f aca="false">IF(J4259="","",ABS(J4259))</f>
        <v>20.125</v>
      </c>
      <c r="O4259" s="33" t="n">
        <f aca="false">IF(K4259="","",ABS(K4259))</f>
        <v>5.48876978062239</v>
      </c>
      <c r="P4259" s="34" t="str">
        <f aca="false">IF(B4259&gt;=Eval_Start_Week,"YES","")</f>
        <v>YES</v>
      </c>
      <c r="Q4259" s="34" t="str">
        <f aca="false">IF(AND(B4259&gt;=Cal_Start_Week,B4259&lt;=Cal_End_Week),"YES","")</f>
        <v/>
      </c>
    </row>
    <row r="4260" customFormat="false" ht="15" hidden="false" customHeight="false" outlineLevel="0" collapsed="false">
      <c r="A4260" s="31" t="str">
        <f aca="false">Demand_History!C4260</f>
        <v>CLN-004</v>
      </c>
      <c r="B4260" s="31" t="n">
        <f aca="false">Demand_History!A4260</f>
        <v>99</v>
      </c>
      <c r="C4260" s="32" t="n">
        <f aca="false">Demand_History!D4260</f>
        <v>49</v>
      </c>
      <c r="D4260" s="33" t="n">
        <f aca="false">IF(B4260&gt;=2,C4259,"")</f>
        <v>109</v>
      </c>
      <c r="E4260" s="33" t="n">
        <f aca="false">IF(B4260&gt;=5,AVERAGE(C4256:C4259),"")</f>
        <v>110.75</v>
      </c>
      <c r="F4260" s="33" t="n">
        <f aca="false">IF(B4260&gt;=9,AVERAGE(C4252:C4259),"")</f>
        <v>90.25</v>
      </c>
      <c r="G4260" s="33" t="n">
        <f aca="false">IF(B4260=1,"",IF(B4260=2,C4259,SES_Alpha*C4259+(1-SES_Alpha)*G4259))</f>
        <v>105.157861153564</v>
      </c>
      <c r="H4260" s="33" t="n">
        <f aca="false">IF(D4260="","",D4260-C4260)</f>
        <v>60</v>
      </c>
      <c r="I4260" s="33" t="n">
        <f aca="false">IF(E4260="","",E4260-C4260)</f>
        <v>61.75</v>
      </c>
      <c r="J4260" s="33" t="n">
        <f aca="false">IF(F4260="","",F4260-C4260)</f>
        <v>41.25</v>
      </c>
      <c r="K4260" s="33" t="n">
        <f aca="false">IF(G4260="","",G4260-C4260)</f>
        <v>56.1578611535643</v>
      </c>
      <c r="L4260" s="33" t="n">
        <f aca="false">IF(H4260="","",ABS(H4260))</f>
        <v>60</v>
      </c>
      <c r="M4260" s="33" t="n">
        <f aca="false">IF(I4260="","",ABS(I4260))</f>
        <v>61.75</v>
      </c>
      <c r="N4260" s="33" t="n">
        <f aca="false">IF(J4260="","",ABS(J4260))</f>
        <v>41.25</v>
      </c>
      <c r="O4260" s="33" t="n">
        <f aca="false">IF(K4260="","",ABS(K4260))</f>
        <v>56.1578611535643</v>
      </c>
      <c r="P4260" s="34" t="str">
        <f aca="false">IF(B4260&gt;=Eval_Start_Week,"YES","")</f>
        <v>YES</v>
      </c>
      <c r="Q4260" s="34" t="str">
        <f aca="false">IF(AND(B4260&gt;=Cal_Start_Week,B4260&lt;=Cal_End_Week),"YES","")</f>
        <v/>
      </c>
    </row>
    <row r="4261" customFormat="false" ht="15" hidden="false" customHeight="false" outlineLevel="0" collapsed="false">
      <c r="A4261" s="31" t="str">
        <f aca="false">Demand_History!C4261</f>
        <v>CLN-004</v>
      </c>
      <c r="B4261" s="31" t="n">
        <f aca="false">Demand_History!A4261</f>
        <v>100</v>
      </c>
      <c r="C4261" s="32" t="n">
        <f aca="false">Demand_History!D4261</f>
        <v>119</v>
      </c>
      <c r="D4261" s="33" t="n">
        <f aca="false">IF(B4261&gt;=2,C4260,"")</f>
        <v>49</v>
      </c>
      <c r="E4261" s="33" t="n">
        <f aca="false">IF(B4261&gt;=5,AVERAGE(C4257:C4260),"")</f>
        <v>98.75</v>
      </c>
      <c r="F4261" s="33" t="n">
        <f aca="false">IF(B4261&gt;=9,AVERAGE(C4253:C4260),"")</f>
        <v>91.75</v>
      </c>
      <c r="G4261" s="33" t="n">
        <f aca="false">IF(B4261=1,"",IF(B4261=2,C4260,SES_Alpha*C4260+(1-SES_Alpha)*G4260))</f>
        <v>88.310502807495</v>
      </c>
      <c r="H4261" s="33" t="n">
        <f aca="false">IF(D4261="","",D4261-C4261)</f>
        <v>-70</v>
      </c>
      <c r="I4261" s="33" t="n">
        <f aca="false">IF(E4261="","",E4261-C4261)</f>
        <v>-20.25</v>
      </c>
      <c r="J4261" s="33" t="n">
        <f aca="false">IF(F4261="","",F4261-C4261)</f>
        <v>-27.25</v>
      </c>
      <c r="K4261" s="33" t="n">
        <f aca="false">IF(G4261="","",G4261-C4261)</f>
        <v>-30.689497192505</v>
      </c>
      <c r="L4261" s="33" t="n">
        <f aca="false">IF(H4261="","",ABS(H4261))</f>
        <v>70</v>
      </c>
      <c r="M4261" s="33" t="n">
        <f aca="false">IF(I4261="","",ABS(I4261))</f>
        <v>20.25</v>
      </c>
      <c r="N4261" s="33" t="n">
        <f aca="false">IF(J4261="","",ABS(J4261))</f>
        <v>27.25</v>
      </c>
      <c r="O4261" s="33" t="n">
        <f aca="false">IF(K4261="","",ABS(K4261))</f>
        <v>30.689497192505</v>
      </c>
      <c r="P4261" s="34" t="str">
        <f aca="false">IF(B4261&gt;=Eval_Start_Week,"YES","")</f>
        <v>YES</v>
      </c>
      <c r="Q4261" s="34" t="str">
        <f aca="false">IF(AND(B4261&gt;=Cal_Start_Week,B4261&lt;=Cal_End_Week),"YES","")</f>
        <v/>
      </c>
    </row>
    <row r="4262" customFormat="false" ht="15" hidden="false" customHeight="false" outlineLevel="0" collapsed="false">
      <c r="A4262" s="31" t="str">
        <f aca="false">Demand_History!C4262</f>
        <v>CLN-004</v>
      </c>
      <c r="B4262" s="31" t="n">
        <f aca="false">Demand_History!A4262</f>
        <v>101</v>
      </c>
      <c r="C4262" s="32" t="n">
        <f aca="false">Demand_History!D4262</f>
        <v>47</v>
      </c>
      <c r="D4262" s="33" t="n">
        <f aca="false">IF(B4262&gt;=2,C4261,"")</f>
        <v>119</v>
      </c>
      <c r="E4262" s="33" t="n">
        <f aca="false">IF(B4262&gt;=5,AVERAGE(C4258:C4261),"")</f>
        <v>106</v>
      </c>
      <c r="F4262" s="33" t="n">
        <f aca="false">IF(B4262&gt;=9,AVERAGE(C4254:C4261),"")</f>
        <v>94.625</v>
      </c>
      <c r="G4262" s="33" t="n">
        <f aca="false">IF(B4262=1,"",IF(B4262=2,C4261,SES_Alpha*C4261+(1-SES_Alpha)*G4261))</f>
        <v>97.5173519652465</v>
      </c>
      <c r="H4262" s="33" t="n">
        <f aca="false">IF(D4262="","",D4262-C4262)</f>
        <v>72</v>
      </c>
      <c r="I4262" s="33" t="n">
        <f aca="false">IF(E4262="","",E4262-C4262)</f>
        <v>59</v>
      </c>
      <c r="J4262" s="33" t="n">
        <f aca="false">IF(F4262="","",F4262-C4262)</f>
        <v>47.625</v>
      </c>
      <c r="K4262" s="33" t="n">
        <f aca="false">IF(G4262="","",G4262-C4262)</f>
        <v>50.5173519652465</v>
      </c>
      <c r="L4262" s="33" t="n">
        <f aca="false">IF(H4262="","",ABS(H4262))</f>
        <v>72</v>
      </c>
      <c r="M4262" s="33" t="n">
        <f aca="false">IF(I4262="","",ABS(I4262))</f>
        <v>59</v>
      </c>
      <c r="N4262" s="33" t="n">
        <f aca="false">IF(J4262="","",ABS(J4262))</f>
        <v>47.625</v>
      </c>
      <c r="O4262" s="33" t="n">
        <f aca="false">IF(K4262="","",ABS(K4262))</f>
        <v>50.5173519652465</v>
      </c>
      <c r="P4262" s="34" t="str">
        <f aca="false">IF(B4262&gt;=Eval_Start_Week,"YES","")</f>
        <v>YES</v>
      </c>
      <c r="Q4262" s="34" t="str">
        <f aca="false">IF(AND(B4262&gt;=Cal_Start_Week,B4262&lt;=Cal_End_Week),"YES","")</f>
        <v/>
      </c>
    </row>
    <row r="4263" customFormat="false" ht="15" hidden="false" customHeight="false" outlineLevel="0" collapsed="false">
      <c r="A4263" s="31" t="str">
        <f aca="false">Demand_History!C4263</f>
        <v>CLN-004</v>
      </c>
      <c r="B4263" s="31" t="n">
        <f aca="false">Demand_History!A4263</f>
        <v>102</v>
      </c>
      <c r="C4263" s="32" t="n">
        <f aca="false">Demand_History!D4263</f>
        <v>92</v>
      </c>
      <c r="D4263" s="33" t="n">
        <f aca="false">IF(B4263&gt;=2,C4262,"")</f>
        <v>47</v>
      </c>
      <c r="E4263" s="33" t="n">
        <f aca="false">IF(B4263&gt;=5,AVERAGE(C4259:C4262),"")</f>
        <v>81</v>
      </c>
      <c r="F4263" s="33" t="n">
        <f aca="false">IF(B4263&gt;=9,AVERAGE(C4255:C4262),"")</f>
        <v>92.125</v>
      </c>
      <c r="G4263" s="33" t="n">
        <f aca="false">IF(B4263=1,"",IF(B4263=2,C4262,SES_Alpha*C4262+(1-SES_Alpha)*G4262))</f>
        <v>82.3621463756725</v>
      </c>
      <c r="H4263" s="33" t="n">
        <f aca="false">IF(D4263="","",D4263-C4263)</f>
        <v>-45</v>
      </c>
      <c r="I4263" s="33" t="n">
        <f aca="false">IF(E4263="","",E4263-C4263)</f>
        <v>-11</v>
      </c>
      <c r="J4263" s="33" t="n">
        <f aca="false">IF(F4263="","",F4263-C4263)</f>
        <v>0.125</v>
      </c>
      <c r="K4263" s="33" t="n">
        <f aca="false">IF(G4263="","",G4263-C4263)</f>
        <v>-9.63785362432746</v>
      </c>
      <c r="L4263" s="33" t="n">
        <f aca="false">IF(H4263="","",ABS(H4263))</f>
        <v>45</v>
      </c>
      <c r="M4263" s="33" t="n">
        <f aca="false">IF(I4263="","",ABS(I4263))</f>
        <v>11</v>
      </c>
      <c r="N4263" s="33" t="n">
        <f aca="false">IF(J4263="","",ABS(J4263))</f>
        <v>0.125</v>
      </c>
      <c r="O4263" s="33" t="n">
        <f aca="false">IF(K4263="","",ABS(K4263))</f>
        <v>9.63785362432746</v>
      </c>
      <c r="P4263" s="34" t="str">
        <f aca="false">IF(B4263&gt;=Eval_Start_Week,"YES","")</f>
        <v>YES</v>
      </c>
      <c r="Q4263" s="34" t="str">
        <f aca="false">IF(AND(B4263&gt;=Cal_Start_Week,B4263&lt;=Cal_End_Week),"YES","")</f>
        <v/>
      </c>
    </row>
    <row r="4264" customFormat="false" ht="15" hidden="false" customHeight="false" outlineLevel="0" collapsed="false">
      <c r="A4264" s="31" t="str">
        <f aca="false">Demand_History!C4264</f>
        <v>CLN-004</v>
      </c>
      <c r="B4264" s="31" t="n">
        <f aca="false">Demand_History!A4264</f>
        <v>103</v>
      </c>
      <c r="C4264" s="32" t="n">
        <f aca="false">Demand_History!D4264</f>
        <v>50</v>
      </c>
      <c r="D4264" s="33" t="n">
        <f aca="false">IF(B4264&gt;=2,C4263,"")</f>
        <v>92</v>
      </c>
      <c r="E4264" s="33" t="n">
        <f aca="false">IF(B4264&gt;=5,AVERAGE(C4260:C4263),"")</f>
        <v>76.75</v>
      </c>
      <c r="F4264" s="33" t="n">
        <f aca="false">IF(B4264&gt;=9,AVERAGE(C4256:C4263),"")</f>
        <v>93.75</v>
      </c>
      <c r="G4264" s="33" t="n">
        <f aca="false">IF(B4264=1,"",IF(B4264=2,C4263,SES_Alpha*C4263+(1-SES_Alpha)*G4263))</f>
        <v>85.2535024629708</v>
      </c>
      <c r="H4264" s="33" t="n">
        <f aca="false">IF(D4264="","",D4264-C4264)</f>
        <v>42</v>
      </c>
      <c r="I4264" s="33" t="n">
        <f aca="false">IF(E4264="","",E4264-C4264)</f>
        <v>26.75</v>
      </c>
      <c r="J4264" s="33" t="n">
        <f aca="false">IF(F4264="","",F4264-C4264)</f>
        <v>43.75</v>
      </c>
      <c r="K4264" s="33" t="n">
        <f aca="false">IF(G4264="","",G4264-C4264)</f>
        <v>35.2535024629708</v>
      </c>
      <c r="L4264" s="33" t="n">
        <f aca="false">IF(H4264="","",ABS(H4264))</f>
        <v>42</v>
      </c>
      <c r="M4264" s="33" t="n">
        <f aca="false">IF(I4264="","",ABS(I4264))</f>
        <v>26.75</v>
      </c>
      <c r="N4264" s="33" t="n">
        <f aca="false">IF(J4264="","",ABS(J4264))</f>
        <v>43.75</v>
      </c>
      <c r="O4264" s="33" t="n">
        <f aca="false">IF(K4264="","",ABS(K4264))</f>
        <v>35.2535024629708</v>
      </c>
      <c r="P4264" s="34" t="str">
        <f aca="false">IF(B4264&gt;=Eval_Start_Week,"YES","")</f>
        <v>YES</v>
      </c>
      <c r="Q4264" s="34" t="str">
        <f aca="false">IF(AND(B4264&gt;=Cal_Start_Week,B4264&lt;=Cal_End_Week),"YES","")</f>
        <v/>
      </c>
    </row>
    <row r="4265" customFormat="false" ht="15" hidden="false" customHeight="false" outlineLevel="0" collapsed="false">
      <c r="A4265" s="31" t="str">
        <f aca="false">Demand_History!C4265</f>
        <v>CLN-004</v>
      </c>
      <c r="B4265" s="31" t="n">
        <f aca="false">Demand_History!A4265</f>
        <v>104</v>
      </c>
      <c r="C4265" s="32" t="n">
        <f aca="false">Demand_History!D4265</f>
        <v>63</v>
      </c>
      <c r="D4265" s="33" t="n">
        <f aca="false">IF(B4265&gt;=2,C4264,"")</f>
        <v>50</v>
      </c>
      <c r="E4265" s="33" t="n">
        <f aca="false">IF(B4265&gt;=5,AVERAGE(C4261:C4264),"")</f>
        <v>77</v>
      </c>
      <c r="F4265" s="33" t="n">
        <f aca="false">IF(B4265&gt;=9,AVERAGE(C4257:C4264),"")</f>
        <v>87.875</v>
      </c>
      <c r="G4265" s="33" t="n">
        <f aca="false">IF(B4265=1,"",IF(B4265=2,C4264,SES_Alpha*C4264+(1-SES_Alpha)*G4264))</f>
        <v>74.6774517240795</v>
      </c>
      <c r="H4265" s="33" t="n">
        <f aca="false">IF(D4265="","",D4265-C4265)</f>
        <v>-13</v>
      </c>
      <c r="I4265" s="33" t="n">
        <f aca="false">IF(E4265="","",E4265-C4265)</f>
        <v>14</v>
      </c>
      <c r="J4265" s="33" t="n">
        <f aca="false">IF(F4265="","",F4265-C4265)</f>
        <v>24.875</v>
      </c>
      <c r="K4265" s="33" t="n">
        <f aca="false">IF(G4265="","",G4265-C4265)</f>
        <v>11.6774517240795</v>
      </c>
      <c r="L4265" s="33" t="n">
        <f aca="false">IF(H4265="","",ABS(H4265))</f>
        <v>13</v>
      </c>
      <c r="M4265" s="33" t="n">
        <f aca="false">IF(I4265="","",ABS(I4265))</f>
        <v>14</v>
      </c>
      <c r="N4265" s="33" t="n">
        <f aca="false">IF(J4265="","",ABS(J4265))</f>
        <v>24.875</v>
      </c>
      <c r="O4265" s="33" t="n">
        <f aca="false">IF(K4265="","",ABS(K4265))</f>
        <v>11.6774517240795</v>
      </c>
      <c r="P4265" s="34" t="str">
        <f aca="false">IF(B4265&gt;=Eval_Start_Week,"YES","")</f>
        <v>YES</v>
      </c>
      <c r="Q4265" s="34" t="str">
        <f aca="false">IF(AND(B4265&gt;=Cal_Start_Week,B4265&lt;=Cal_End_Week),"YES","")</f>
        <v/>
      </c>
    </row>
    <row r="4266" customFormat="false" ht="15" hidden="false" customHeight="false" outlineLevel="0" collapsed="false">
      <c r="A4266" s="31" t="str">
        <f aca="false">Demand_History!C4266</f>
        <v>CLN-005</v>
      </c>
      <c r="B4266" s="31" t="n">
        <f aca="false">Demand_History!A4266</f>
        <v>1</v>
      </c>
      <c r="C4266" s="32" t="n">
        <f aca="false">Demand_History!D4266</f>
        <v>46</v>
      </c>
      <c r="D4266" s="33" t="str">
        <f aca="false">IF(B4266&gt;=2,C4265,"")</f>
        <v/>
      </c>
      <c r="E4266" s="33" t="str">
        <f aca="false">IF(B4266&gt;=5,AVERAGE(C4262:C4265),"")</f>
        <v/>
      </c>
      <c r="F4266" s="33" t="str">
        <f aca="false">IF(B4266&gt;=9,AVERAGE(C4258:C4265),"")</f>
        <v/>
      </c>
      <c r="G4266" s="33" t="str">
        <f aca="false">IF(B4266=1,"",IF(B4266=2,C4265,SES_Alpha*C4265+(1-SES_Alpha)*G4265))</f>
        <v/>
      </c>
      <c r="H4266" s="33" t="str">
        <f aca="false">IF(D4266="","",D4266-C4266)</f>
        <v/>
      </c>
      <c r="I4266" s="33" t="str">
        <f aca="false">IF(E4266="","",E4266-C4266)</f>
        <v/>
      </c>
      <c r="J4266" s="33" t="str">
        <f aca="false">IF(F4266="","",F4266-C4266)</f>
        <v/>
      </c>
      <c r="K4266" s="33" t="str">
        <f aca="false">IF(G4266="","",G4266-C4266)</f>
        <v/>
      </c>
      <c r="L4266" s="33" t="str">
        <f aca="false">IF(H4266="","",ABS(H4266))</f>
        <v/>
      </c>
      <c r="M4266" s="33" t="str">
        <f aca="false">IF(I4266="","",ABS(I4266))</f>
        <v/>
      </c>
      <c r="N4266" s="33" t="str">
        <f aca="false">IF(J4266="","",ABS(J4266))</f>
        <v/>
      </c>
      <c r="O4266" s="33" t="str">
        <f aca="false">IF(K4266="","",ABS(K4266))</f>
        <v/>
      </c>
      <c r="P4266" s="34" t="str">
        <f aca="false">IF(B4266&gt;=Eval_Start_Week,"YES","")</f>
        <v/>
      </c>
      <c r="Q4266" s="34" t="str">
        <f aca="false">IF(AND(B4266&gt;=Cal_Start_Week,B4266&lt;=Cal_End_Week),"YES","")</f>
        <v/>
      </c>
    </row>
    <row r="4267" customFormat="false" ht="15" hidden="false" customHeight="false" outlineLevel="0" collapsed="false">
      <c r="A4267" s="31" t="str">
        <f aca="false">Demand_History!C4267</f>
        <v>CLN-005</v>
      </c>
      <c r="B4267" s="31" t="n">
        <f aca="false">Demand_History!A4267</f>
        <v>2</v>
      </c>
      <c r="C4267" s="32" t="n">
        <f aca="false">Demand_History!D4267</f>
        <v>46</v>
      </c>
      <c r="D4267" s="33" t="n">
        <f aca="false">IF(B4267&gt;=2,C4266,"")</f>
        <v>46</v>
      </c>
      <c r="E4267" s="33" t="str">
        <f aca="false">IF(B4267&gt;=5,AVERAGE(C4263:C4266),"")</f>
        <v/>
      </c>
      <c r="F4267" s="33" t="str">
        <f aca="false">IF(B4267&gt;=9,AVERAGE(C4259:C4266),"")</f>
        <v/>
      </c>
      <c r="G4267" s="33" t="n">
        <f aca="false">IF(B4267=1,"",IF(B4267=2,C4266,SES_Alpha*C4266+(1-SES_Alpha)*G4266))</f>
        <v>46</v>
      </c>
      <c r="H4267" s="33" t="n">
        <f aca="false">IF(D4267="","",D4267-C4267)</f>
        <v>0</v>
      </c>
      <c r="I4267" s="33" t="str">
        <f aca="false">IF(E4267="","",E4267-C4267)</f>
        <v/>
      </c>
      <c r="J4267" s="33" t="str">
        <f aca="false">IF(F4267="","",F4267-C4267)</f>
        <v/>
      </c>
      <c r="K4267" s="33" t="n">
        <f aca="false">IF(G4267="","",G4267-C4267)</f>
        <v>0</v>
      </c>
      <c r="L4267" s="33" t="n">
        <f aca="false">IF(H4267="","",ABS(H4267))</f>
        <v>0</v>
      </c>
      <c r="M4267" s="33" t="str">
        <f aca="false">IF(I4267="","",ABS(I4267))</f>
        <v/>
      </c>
      <c r="N4267" s="33" t="str">
        <f aca="false">IF(J4267="","",ABS(J4267))</f>
        <v/>
      </c>
      <c r="O4267" s="33" t="n">
        <f aca="false">IF(K4267="","",ABS(K4267))</f>
        <v>0</v>
      </c>
      <c r="P4267" s="34" t="str">
        <f aca="false">IF(B4267&gt;=Eval_Start_Week,"YES","")</f>
        <v/>
      </c>
      <c r="Q4267" s="34" t="str">
        <f aca="false">IF(AND(B4267&gt;=Cal_Start_Week,B4267&lt;=Cal_End_Week),"YES","")</f>
        <v/>
      </c>
    </row>
    <row r="4268" customFormat="false" ht="15" hidden="false" customHeight="false" outlineLevel="0" collapsed="false">
      <c r="A4268" s="31" t="str">
        <f aca="false">Demand_History!C4268</f>
        <v>CLN-005</v>
      </c>
      <c r="B4268" s="31" t="n">
        <f aca="false">Demand_History!A4268</f>
        <v>3</v>
      </c>
      <c r="C4268" s="32" t="n">
        <f aca="false">Demand_History!D4268</f>
        <v>46</v>
      </c>
      <c r="D4268" s="33" t="n">
        <f aca="false">IF(B4268&gt;=2,C4267,"")</f>
        <v>46</v>
      </c>
      <c r="E4268" s="33" t="str">
        <f aca="false">IF(B4268&gt;=5,AVERAGE(C4264:C4267),"")</f>
        <v/>
      </c>
      <c r="F4268" s="33" t="str">
        <f aca="false">IF(B4268&gt;=9,AVERAGE(C4260:C4267),"")</f>
        <v/>
      </c>
      <c r="G4268" s="33" t="n">
        <f aca="false">IF(B4268=1,"",IF(B4268=2,C4267,SES_Alpha*C4267+(1-SES_Alpha)*G4267))</f>
        <v>46</v>
      </c>
      <c r="H4268" s="33" t="n">
        <f aca="false">IF(D4268="","",D4268-C4268)</f>
        <v>0</v>
      </c>
      <c r="I4268" s="33" t="str">
        <f aca="false">IF(E4268="","",E4268-C4268)</f>
        <v/>
      </c>
      <c r="J4268" s="33" t="str">
        <f aca="false">IF(F4268="","",F4268-C4268)</f>
        <v/>
      </c>
      <c r="K4268" s="33" t="n">
        <f aca="false">IF(G4268="","",G4268-C4268)</f>
        <v>0</v>
      </c>
      <c r="L4268" s="33" t="n">
        <f aca="false">IF(H4268="","",ABS(H4268))</f>
        <v>0</v>
      </c>
      <c r="M4268" s="33" t="str">
        <f aca="false">IF(I4268="","",ABS(I4268))</f>
        <v/>
      </c>
      <c r="N4268" s="33" t="str">
        <f aca="false">IF(J4268="","",ABS(J4268))</f>
        <v/>
      </c>
      <c r="O4268" s="33" t="n">
        <f aca="false">IF(K4268="","",ABS(K4268))</f>
        <v>0</v>
      </c>
      <c r="P4268" s="34" t="str">
        <f aca="false">IF(B4268&gt;=Eval_Start_Week,"YES","")</f>
        <v/>
      </c>
      <c r="Q4268" s="34" t="str">
        <f aca="false">IF(AND(B4268&gt;=Cal_Start_Week,B4268&lt;=Cal_End_Week),"YES","")</f>
        <v/>
      </c>
    </row>
    <row r="4269" customFormat="false" ht="15" hidden="false" customHeight="false" outlineLevel="0" collapsed="false">
      <c r="A4269" s="31" t="str">
        <f aca="false">Demand_History!C4269</f>
        <v>CLN-005</v>
      </c>
      <c r="B4269" s="31" t="n">
        <f aca="false">Demand_History!A4269</f>
        <v>4</v>
      </c>
      <c r="C4269" s="32" t="n">
        <f aca="false">Demand_History!D4269</f>
        <v>48</v>
      </c>
      <c r="D4269" s="33" t="n">
        <f aca="false">IF(B4269&gt;=2,C4268,"")</f>
        <v>46</v>
      </c>
      <c r="E4269" s="33" t="str">
        <f aca="false">IF(B4269&gt;=5,AVERAGE(C4265:C4268),"")</f>
        <v/>
      </c>
      <c r="F4269" s="33" t="str">
        <f aca="false">IF(B4269&gt;=9,AVERAGE(C4261:C4268),"")</f>
        <v/>
      </c>
      <c r="G4269" s="33" t="n">
        <f aca="false">IF(B4269=1,"",IF(B4269=2,C4268,SES_Alpha*C4268+(1-SES_Alpha)*G4268))</f>
        <v>46</v>
      </c>
      <c r="H4269" s="33" t="n">
        <f aca="false">IF(D4269="","",D4269-C4269)</f>
        <v>-2</v>
      </c>
      <c r="I4269" s="33" t="str">
        <f aca="false">IF(E4269="","",E4269-C4269)</f>
        <v/>
      </c>
      <c r="J4269" s="33" t="str">
        <f aca="false">IF(F4269="","",F4269-C4269)</f>
        <v/>
      </c>
      <c r="K4269" s="33" t="n">
        <f aca="false">IF(G4269="","",G4269-C4269)</f>
        <v>-2.00000000000001</v>
      </c>
      <c r="L4269" s="33" t="n">
        <f aca="false">IF(H4269="","",ABS(H4269))</f>
        <v>2</v>
      </c>
      <c r="M4269" s="33" t="str">
        <f aca="false">IF(I4269="","",ABS(I4269))</f>
        <v/>
      </c>
      <c r="N4269" s="33" t="str">
        <f aca="false">IF(J4269="","",ABS(J4269))</f>
        <v/>
      </c>
      <c r="O4269" s="33" t="n">
        <f aca="false">IF(K4269="","",ABS(K4269))</f>
        <v>2.00000000000001</v>
      </c>
      <c r="P4269" s="34" t="str">
        <f aca="false">IF(B4269&gt;=Eval_Start_Week,"YES","")</f>
        <v/>
      </c>
      <c r="Q4269" s="34" t="str">
        <f aca="false">IF(AND(B4269&gt;=Cal_Start_Week,B4269&lt;=Cal_End_Week),"YES","")</f>
        <v/>
      </c>
    </row>
    <row r="4270" customFormat="false" ht="15" hidden="false" customHeight="false" outlineLevel="0" collapsed="false">
      <c r="A4270" s="31" t="str">
        <f aca="false">Demand_History!C4270</f>
        <v>CLN-005</v>
      </c>
      <c r="B4270" s="31" t="n">
        <f aca="false">Demand_History!A4270</f>
        <v>5</v>
      </c>
      <c r="C4270" s="32" t="n">
        <f aca="false">Demand_History!D4270</f>
        <v>59</v>
      </c>
      <c r="D4270" s="33" t="n">
        <f aca="false">IF(B4270&gt;=2,C4269,"")</f>
        <v>48</v>
      </c>
      <c r="E4270" s="33" t="n">
        <f aca="false">IF(B4270&gt;=5,AVERAGE(C4266:C4269),"")</f>
        <v>46.5</v>
      </c>
      <c r="F4270" s="33" t="str">
        <f aca="false">IF(B4270&gt;=9,AVERAGE(C4262:C4269),"")</f>
        <v/>
      </c>
      <c r="G4270" s="33" t="n">
        <f aca="false">IF(B4270=1,"",IF(B4270=2,C4269,SES_Alpha*C4269+(1-SES_Alpha)*G4269))</f>
        <v>46.6</v>
      </c>
      <c r="H4270" s="33" t="n">
        <f aca="false">IF(D4270="","",D4270-C4270)</f>
        <v>-11</v>
      </c>
      <c r="I4270" s="33" t="n">
        <f aca="false">IF(E4270="","",E4270-C4270)</f>
        <v>-12.5</v>
      </c>
      <c r="J4270" s="33" t="str">
        <f aca="false">IF(F4270="","",F4270-C4270)</f>
        <v/>
      </c>
      <c r="K4270" s="33" t="n">
        <f aca="false">IF(G4270="","",G4270-C4270)</f>
        <v>-12.4</v>
      </c>
      <c r="L4270" s="33" t="n">
        <f aca="false">IF(H4270="","",ABS(H4270))</f>
        <v>11</v>
      </c>
      <c r="M4270" s="33" t="n">
        <f aca="false">IF(I4270="","",ABS(I4270))</f>
        <v>12.5</v>
      </c>
      <c r="N4270" s="33" t="str">
        <f aca="false">IF(J4270="","",ABS(J4270))</f>
        <v/>
      </c>
      <c r="O4270" s="33" t="n">
        <f aca="false">IF(K4270="","",ABS(K4270))</f>
        <v>12.4</v>
      </c>
      <c r="P4270" s="34" t="str">
        <f aca="false">IF(B4270&gt;=Eval_Start_Week,"YES","")</f>
        <v/>
      </c>
      <c r="Q4270" s="34" t="str">
        <f aca="false">IF(AND(B4270&gt;=Cal_Start_Week,B4270&lt;=Cal_End_Week),"YES","")</f>
        <v/>
      </c>
    </row>
    <row r="4271" customFormat="false" ht="15" hidden="false" customHeight="false" outlineLevel="0" collapsed="false">
      <c r="A4271" s="31" t="str">
        <f aca="false">Demand_History!C4271</f>
        <v>CLN-005</v>
      </c>
      <c r="B4271" s="31" t="n">
        <f aca="false">Demand_History!A4271</f>
        <v>6</v>
      </c>
      <c r="C4271" s="32" t="n">
        <f aca="false">Demand_History!D4271</f>
        <v>42</v>
      </c>
      <c r="D4271" s="33" t="n">
        <f aca="false">IF(B4271&gt;=2,C4270,"")</f>
        <v>59</v>
      </c>
      <c r="E4271" s="33" t="n">
        <f aca="false">IF(B4271&gt;=5,AVERAGE(C4267:C4270),"")</f>
        <v>49.75</v>
      </c>
      <c r="F4271" s="33" t="str">
        <f aca="false">IF(B4271&gt;=9,AVERAGE(C4263:C4270),"")</f>
        <v/>
      </c>
      <c r="G4271" s="33" t="n">
        <f aca="false">IF(B4271=1,"",IF(B4271=2,C4270,SES_Alpha*C4270+(1-SES_Alpha)*G4270))</f>
        <v>50.32</v>
      </c>
      <c r="H4271" s="33" t="n">
        <f aca="false">IF(D4271="","",D4271-C4271)</f>
        <v>17</v>
      </c>
      <c r="I4271" s="33" t="n">
        <f aca="false">IF(E4271="","",E4271-C4271)</f>
        <v>7.75</v>
      </c>
      <c r="J4271" s="33" t="str">
        <f aca="false">IF(F4271="","",F4271-C4271)</f>
        <v/>
      </c>
      <c r="K4271" s="33" t="n">
        <f aca="false">IF(G4271="","",G4271-C4271)</f>
        <v>8.31999999999999</v>
      </c>
      <c r="L4271" s="33" t="n">
        <f aca="false">IF(H4271="","",ABS(H4271))</f>
        <v>17</v>
      </c>
      <c r="M4271" s="33" t="n">
        <f aca="false">IF(I4271="","",ABS(I4271))</f>
        <v>7.75</v>
      </c>
      <c r="N4271" s="33" t="str">
        <f aca="false">IF(J4271="","",ABS(J4271))</f>
        <v/>
      </c>
      <c r="O4271" s="33" t="n">
        <f aca="false">IF(K4271="","",ABS(K4271))</f>
        <v>8.31999999999999</v>
      </c>
      <c r="P4271" s="34" t="str">
        <f aca="false">IF(B4271&gt;=Eval_Start_Week,"YES","")</f>
        <v/>
      </c>
      <c r="Q4271" s="34" t="str">
        <f aca="false">IF(AND(B4271&gt;=Cal_Start_Week,B4271&lt;=Cal_End_Week),"YES","")</f>
        <v/>
      </c>
    </row>
    <row r="4272" customFormat="false" ht="15" hidden="false" customHeight="false" outlineLevel="0" collapsed="false">
      <c r="A4272" s="31" t="str">
        <f aca="false">Demand_History!C4272</f>
        <v>CLN-005</v>
      </c>
      <c r="B4272" s="31" t="n">
        <f aca="false">Demand_History!A4272</f>
        <v>7</v>
      </c>
      <c r="C4272" s="32" t="n">
        <f aca="false">Demand_History!D4272</f>
        <v>42</v>
      </c>
      <c r="D4272" s="33" t="n">
        <f aca="false">IF(B4272&gt;=2,C4271,"")</f>
        <v>42</v>
      </c>
      <c r="E4272" s="33" t="n">
        <f aca="false">IF(B4272&gt;=5,AVERAGE(C4268:C4271),"")</f>
        <v>48.75</v>
      </c>
      <c r="F4272" s="33" t="str">
        <f aca="false">IF(B4272&gt;=9,AVERAGE(C4264:C4271),"")</f>
        <v/>
      </c>
      <c r="G4272" s="33" t="n">
        <f aca="false">IF(B4272=1,"",IF(B4272=2,C4271,SES_Alpha*C4271+(1-SES_Alpha)*G4271))</f>
        <v>47.824</v>
      </c>
      <c r="H4272" s="33" t="n">
        <f aca="false">IF(D4272="","",D4272-C4272)</f>
        <v>0</v>
      </c>
      <c r="I4272" s="33" t="n">
        <f aca="false">IF(E4272="","",E4272-C4272)</f>
        <v>6.75</v>
      </c>
      <c r="J4272" s="33" t="str">
        <f aca="false">IF(F4272="","",F4272-C4272)</f>
        <v/>
      </c>
      <c r="K4272" s="33" t="n">
        <f aca="false">IF(G4272="","",G4272-C4272)</f>
        <v>5.82399999999999</v>
      </c>
      <c r="L4272" s="33" t="n">
        <f aca="false">IF(H4272="","",ABS(H4272))</f>
        <v>0</v>
      </c>
      <c r="M4272" s="33" t="n">
        <f aca="false">IF(I4272="","",ABS(I4272))</f>
        <v>6.75</v>
      </c>
      <c r="N4272" s="33" t="str">
        <f aca="false">IF(J4272="","",ABS(J4272))</f>
        <v/>
      </c>
      <c r="O4272" s="33" t="n">
        <f aca="false">IF(K4272="","",ABS(K4272))</f>
        <v>5.82399999999999</v>
      </c>
      <c r="P4272" s="34" t="str">
        <f aca="false">IF(B4272&gt;=Eval_Start_Week,"YES","")</f>
        <v/>
      </c>
      <c r="Q4272" s="34" t="str">
        <f aca="false">IF(AND(B4272&gt;=Cal_Start_Week,B4272&lt;=Cal_End_Week),"YES","")</f>
        <v/>
      </c>
    </row>
    <row r="4273" customFormat="false" ht="15" hidden="false" customHeight="false" outlineLevel="0" collapsed="false">
      <c r="A4273" s="31" t="str">
        <f aca="false">Demand_History!C4273</f>
        <v>CLN-005</v>
      </c>
      <c r="B4273" s="31" t="n">
        <f aca="false">Demand_History!A4273</f>
        <v>8</v>
      </c>
      <c r="C4273" s="32" t="n">
        <f aca="false">Demand_History!D4273</f>
        <v>53</v>
      </c>
      <c r="D4273" s="33" t="n">
        <f aca="false">IF(B4273&gt;=2,C4272,"")</f>
        <v>42</v>
      </c>
      <c r="E4273" s="33" t="n">
        <f aca="false">IF(B4273&gt;=5,AVERAGE(C4269:C4272),"")</f>
        <v>47.75</v>
      </c>
      <c r="F4273" s="33" t="str">
        <f aca="false">IF(B4273&gt;=9,AVERAGE(C4265:C4272),"")</f>
        <v/>
      </c>
      <c r="G4273" s="33" t="n">
        <f aca="false">IF(B4273=1,"",IF(B4273=2,C4272,SES_Alpha*C4272+(1-SES_Alpha)*G4272))</f>
        <v>46.0768</v>
      </c>
      <c r="H4273" s="33" t="n">
        <f aca="false">IF(D4273="","",D4273-C4273)</f>
        <v>-11</v>
      </c>
      <c r="I4273" s="33" t="n">
        <f aca="false">IF(E4273="","",E4273-C4273)</f>
        <v>-5.25</v>
      </c>
      <c r="J4273" s="33" t="str">
        <f aca="false">IF(F4273="","",F4273-C4273)</f>
        <v/>
      </c>
      <c r="K4273" s="33" t="n">
        <f aca="false">IF(G4273="","",G4273-C4273)</f>
        <v>-6.92320000000001</v>
      </c>
      <c r="L4273" s="33" t="n">
        <f aca="false">IF(H4273="","",ABS(H4273))</f>
        <v>11</v>
      </c>
      <c r="M4273" s="33" t="n">
        <f aca="false">IF(I4273="","",ABS(I4273))</f>
        <v>5.25</v>
      </c>
      <c r="N4273" s="33" t="str">
        <f aca="false">IF(J4273="","",ABS(J4273))</f>
        <v/>
      </c>
      <c r="O4273" s="33" t="n">
        <f aca="false">IF(K4273="","",ABS(K4273))</f>
        <v>6.92320000000001</v>
      </c>
      <c r="P4273" s="34" t="str">
        <f aca="false">IF(B4273&gt;=Eval_Start_Week,"YES","")</f>
        <v/>
      </c>
      <c r="Q4273" s="34" t="str">
        <f aca="false">IF(AND(B4273&gt;=Cal_Start_Week,B4273&lt;=Cal_End_Week),"YES","")</f>
        <v/>
      </c>
    </row>
    <row r="4274" customFormat="false" ht="15" hidden="false" customHeight="false" outlineLevel="0" collapsed="false">
      <c r="A4274" s="31" t="str">
        <f aca="false">Demand_History!C4274</f>
        <v>CLN-005</v>
      </c>
      <c r="B4274" s="31" t="n">
        <f aca="false">Demand_History!A4274</f>
        <v>9</v>
      </c>
      <c r="C4274" s="32" t="n">
        <f aca="false">Demand_History!D4274</f>
        <v>40</v>
      </c>
      <c r="D4274" s="33" t="n">
        <f aca="false">IF(B4274&gt;=2,C4273,"")</f>
        <v>53</v>
      </c>
      <c r="E4274" s="33" t="n">
        <f aca="false">IF(B4274&gt;=5,AVERAGE(C4270:C4273),"")</f>
        <v>49</v>
      </c>
      <c r="F4274" s="33" t="n">
        <f aca="false">IF(B4274&gt;=9,AVERAGE(C4266:C4273),"")</f>
        <v>47.75</v>
      </c>
      <c r="G4274" s="33" t="n">
        <f aca="false">IF(B4274=1,"",IF(B4274=2,C4273,SES_Alpha*C4273+(1-SES_Alpha)*G4273))</f>
        <v>48.15376</v>
      </c>
      <c r="H4274" s="33" t="n">
        <f aca="false">IF(D4274="","",D4274-C4274)</f>
        <v>13</v>
      </c>
      <c r="I4274" s="33" t="n">
        <f aca="false">IF(E4274="","",E4274-C4274)</f>
        <v>9</v>
      </c>
      <c r="J4274" s="33" t="n">
        <f aca="false">IF(F4274="","",F4274-C4274)</f>
        <v>7.75</v>
      </c>
      <c r="K4274" s="33" t="n">
        <f aca="false">IF(G4274="","",G4274-C4274)</f>
        <v>8.15375999999999</v>
      </c>
      <c r="L4274" s="33" t="n">
        <f aca="false">IF(H4274="","",ABS(H4274))</f>
        <v>13</v>
      </c>
      <c r="M4274" s="33" t="n">
        <f aca="false">IF(I4274="","",ABS(I4274))</f>
        <v>9</v>
      </c>
      <c r="N4274" s="33" t="n">
        <f aca="false">IF(J4274="","",ABS(J4274))</f>
        <v>7.75</v>
      </c>
      <c r="O4274" s="33" t="n">
        <f aca="false">IF(K4274="","",ABS(K4274))</f>
        <v>8.15375999999999</v>
      </c>
      <c r="P4274" s="34" t="str">
        <f aca="false">IF(B4274&gt;=Eval_Start_Week,"YES","")</f>
        <v/>
      </c>
      <c r="Q4274" s="34" t="str">
        <f aca="false">IF(AND(B4274&gt;=Cal_Start_Week,B4274&lt;=Cal_End_Week),"YES","")</f>
        <v/>
      </c>
    </row>
    <row r="4275" customFormat="false" ht="15" hidden="false" customHeight="false" outlineLevel="0" collapsed="false">
      <c r="A4275" s="31" t="str">
        <f aca="false">Demand_History!C4275</f>
        <v>CLN-005</v>
      </c>
      <c r="B4275" s="31" t="n">
        <f aca="false">Demand_History!A4275</f>
        <v>10</v>
      </c>
      <c r="C4275" s="32" t="n">
        <f aca="false">Demand_History!D4275</f>
        <v>47</v>
      </c>
      <c r="D4275" s="33" t="n">
        <f aca="false">IF(B4275&gt;=2,C4274,"")</f>
        <v>40</v>
      </c>
      <c r="E4275" s="33" t="n">
        <f aca="false">IF(B4275&gt;=5,AVERAGE(C4271:C4274),"")</f>
        <v>44.25</v>
      </c>
      <c r="F4275" s="33" t="n">
        <f aca="false">IF(B4275&gt;=9,AVERAGE(C4267:C4274),"")</f>
        <v>47</v>
      </c>
      <c r="G4275" s="33" t="n">
        <f aca="false">IF(B4275=1,"",IF(B4275=2,C4274,SES_Alpha*C4274+(1-SES_Alpha)*G4274))</f>
        <v>45.707632</v>
      </c>
      <c r="H4275" s="33" t="n">
        <f aca="false">IF(D4275="","",D4275-C4275)</f>
        <v>-7</v>
      </c>
      <c r="I4275" s="33" t="n">
        <f aca="false">IF(E4275="","",E4275-C4275)</f>
        <v>-2.75</v>
      </c>
      <c r="J4275" s="33" t="n">
        <f aca="false">IF(F4275="","",F4275-C4275)</f>
        <v>0</v>
      </c>
      <c r="K4275" s="33" t="n">
        <f aca="false">IF(G4275="","",G4275-C4275)</f>
        <v>-1.29236800000001</v>
      </c>
      <c r="L4275" s="33" t="n">
        <f aca="false">IF(H4275="","",ABS(H4275))</f>
        <v>7</v>
      </c>
      <c r="M4275" s="33" t="n">
        <f aca="false">IF(I4275="","",ABS(I4275))</f>
        <v>2.75</v>
      </c>
      <c r="N4275" s="33" t="n">
        <f aca="false">IF(J4275="","",ABS(J4275))</f>
        <v>0</v>
      </c>
      <c r="O4275" s="33" t="n">
        <f aca="false">IF(K4275="","",ABS(K4275))</f>
        <v>1.29236800000001</v>
      </c>
      <c r="P4275" s="34" t="str">
        <f aca="false">IF(B4275&gt;=Eval_Start_Week,"YES","")</f>
        <v/>
      </c>
      <c r="Q4275" s="34" t="str">
        <f aca="false">IF(AND(B4275&gt;=Cal_Start_Week,B4275&lt;=Cal_End_Week),"YES","")</f>
        <v/>
      </c>
    </row>
    <row r="4276" customFormat="false" ht="15" hidden="false" customHeight="false" outlineLevel="0" collapsed="false">
      <c r="A4276" s="31" t="str">
        <f aca="false">Demand_History!C4276</f>
        <v>CLN-005</v>
      </c>
      <c r="B4276" s="31" t="n">
        <f aca="false">Demand_History!A4276</f>
        <v>11</v>
      </c>
      <c r="C4276" s="32" t="n">
        <f aca="false">Demand_History!D4276</f>
        <v>57</v>
      </c>
      <c r="D4276" s="33" t="n">
        <f aca="false">IF(B4276&gt;=2,C4275,"")</f>
        <v>47</v>
      </c>
      <c r="E4276" s="33" t="n">
        <f aca="false">IF(B4276&gt;=5,AVERAGE(C4272:C4275),"")</f>
        <v>45.5</v>
      </c>
      <c r="F4276" s="33" t="n">
        <f aca="false">IF(B4276&gt;=9,AVERAGE(C4268:C4275),"")</f>
        <v>47.125</v>
      </c>
      <c r="G4276" s="33" t="n">
        <f aca="false">IF(B4276=1,"",IF(B4276=2,C4275,SES_Alpha*C4275+(1-SES_Alpha)*G4275))</f>
        <v>46.0953424</v>
      </c>
      <c r="H4276" s="33" t="n">
        <f aca="false">IF(D4276="","",D4276-C4276)</f>
        <v>-10</v>
      </c>
      <c r="I4276" s="33" t="n">
        <f aca="false">IF(E4276="","",E4276-C4276)</f>
        <v>-11.5</v>
      </c>
      <c r="J4276" s="33" t="n">
        <f aca="false">IF(F4276="","",F4276-C4276)</f>
        <v>-9.875</v>
      </c>
      <c r="K4276" s="33" t="n">
        <f aca="false">IF(G4276="","",G4276-C4276)</f>
        <v>-10.9046576</v>
      </c>
      <c r="L4276" s="33" t="n">
        <f aca="false">IF(H4276="","",ABS(H4276))</f>
        <v>10</v>
      </c>
      <c r="M4276" s="33" t="n">
        <f aca="false">IF(I4276="","",ABS(I4276))</f>
        <v>11.5</v>
      </c>
      <c r="N4276" s="33" t="n">
        <f aca="false">IF(J4276="","",ABS(J4276))</f>
        <v>9.875</v>
      </c>
      <c r="O4276" s="33" t="n">
        <f aca="false">IF(K4276="","",ABS(K4276))</f>
        <v>10.9046576</v>
      </c>
      <c r="P4276" s="34" t="str">
        <f aca="false">IF(B4276&gt;=Eval_Start_Week,"YES","")</f>
        <v/>
      </c>
      <c r="Q4276" s="34" t="str">
        <f aca="false">IF(AND(B4276&gt;=Cal_Start_Week,B4276&lt;=Cal_End_Week),"YES","")</f>
        <v/>
      </c>
    </row>
    <row r="4277" customFormat="false" ht="15" hidden="false" customHeight="false" outlineLevel="0" collapsed="false">
      <c r="A4277" s="31" t="str">
        <f aca="false">Demand_History!C4277</f>
        <v>CLN-005</v>
      </c>
      <c r="B4277" s="31" t="n">
        <f aca="false">Demand_History!A4277</f>
        <v>12</v>
      </c>
      <c r="C4277" s="32" t="n">
        <f aca="false">Demand_History!D4277</f>
        <v>50</v>
      </c>
      <c r="D4277" s="33" t="n">
        <f aca="false">IF(B4277&gt;=2,C4276,"")</f>
        <v>57</v>
      </c>
      <c r="E4277" s="33" t="n">
        <f aca="false">IF(B4277&gt;=5,AVERAGE(C4273:C4276),"")</f>
        <v>49.25</v>
      </c>
      <c r="F4277" s="33" t="n">
        <f aca="false">IF(B4277&gt;=9,AVERAGE(C4269:C4276),"")</f>
        <v>48.5</v>
      </c>
      <c r="G4277" s="33" t="n">
        <f aca="false">IF(B4277=1,"",IF(B4277=2,C4276,SES_Alpha*C4276+(1-SES_Alpha)*G4276))</f>
        <v>49.36673968</v>
      </c>
      <c r="H4277" s="33" t="n">
        <f aca="false">IF(D4277="","",D4277-C4277)</f>
        <v>7</v>
      </c>
      <c r="I4277" s="33" t="n">
        <f aca="false">IF(E4277="","",E4277-C4277)</f>
        <v>-0.75</v>
      </c>
      <c r="J4277" s="33" t="n">
        <f aca="false">IF(F4277="","",F4277-C4277)</f>
        <v>-1.5</v>
      </c>
      <c r="K4277" s="33" t="n">
        <f aca="false">IF(G4277="","",G4277-C4277)</f>
        <v>-0.633260320000005</v>
      </c>
      <c r="L4277" s="33" t="n">
        <f aca="false">IF(H4277="","",ABS(H4277))</f>
        <v>7</v>
      </c>
      <c r="M4277" s="33" t="n">
        <f aca="false">IF(I4277="","",ABS(I4277))</f>
        <v>0.75</v>
      </c>
      <c r="N4277" s="33" t="n">
        <f aca="false">IF(J4277="","",ABS(J4277))</f>
        <v>1.5</v>
      </c>
      <c r="O4277" s="33" t="n">
        <f aca="false">IF(K4277="","",ABS(K4277))</f>
        <v>0.633260320000005</v>
      </c>
      <c r="P4277" s="34" t="str">
        <f aca="false">IF(B4277&gt;=Eval_Start_Week,"YES","")</f>
        <v/>
      </c>
      <c r="Q4277" s="34" t="str">
        <f aca="false">IF(AND(B4277&gt;=Cal_Start_Week,B4277&lt;=Cal_End_Week),"YES","")</f>
        <v/>
      </c>
    </row>
    <row r="4278" customFormat="false" ht="15" hidden="false" customHeight="false" outlineLevel="0" collapsed="false">
      <c r="A4278" s="31" t="str">
        <f aca="false">Demand_History!C4278</f>
        <v>CLN-005</v>
      </c>
      <c r="B4278" s="31" t="n">
        <f aca="false">Demand_History!A4278</f>
        <v>13</v>
      </c>
      <c r="C4278" s="32" t="n">
        <f aca="false">Demand_History!D4278</f>
        <v>47</v>
      </c>
      <c r="D4278" s="33" t="n">
        <f aca="false">IF(B4278&gt;=2,C4277,"")</f>
        <v>50</v>
      </c>
      <c r="E4278" s="33" t="n">
        <f aca="false">IF(B4278&gt;=5,AVERAGE(C4274:C4277),"")</f>
        <v>48.5</v>
      </c>
      <c r="F4278" s="33" t="n">
        <f aca="false">IF(B4278&gt;=9,AVERAGE(C4270:C4277),"")</f>
        <v>48.75</v>
      </c>
      <c r="G4278" s="33" t="n">
        <f aca="false">IF(B4278=1,"",IF(B4278=2,C4277,SES_Alpha*C4277+(1-SES_Alpha)*G4277))</f>
        <v>49.556717776</v>
      </c>
      <c r="H4278" s="33" t="n">
        <f aca="false">IF(D4278="","",D4278-C4278)</f>
        <v>3</v>
      </c>
      <c r="I4278" s="33" t="n">
        <f aca="false">IF(E4278="","",E4278-C4278)</f>
        <v>1.5</v>
      </c>
      <c r="J4278" s="33" t="n">
        <f aca="false">IF(F4278="","",F4278-C4278)</f>
        <v>1.75</v>
      </c>
      <c r="K4278" s="33" t="n">
        <f aca="false">IF(G4278="","",G4278-C4278)</f>
        <v>2.55671777599999</v>
      </c>
      <c r="L4278" s="33" t="n">
        <f aca="false">IF(H4278="","",ABS(H4278))</f>
        <v>3</v>
      </c>
      <c r="M4278" s="33" t="n">
        <f aca="false">IF(I4278="","",ABS(I4278))</f>
        <v>1.5</v>
      </c>
      <c r="N4278" s="33" t="n">
        <f aca="false">IF(J4278="","",ABS(J4278))</f>
        <v>1.75</v>
      </c>
      <c r="O4278" s="33" t="n">
        <f aca="false">IF(K4278="","",ABS(K4278))</f>
        <v>2.55671777599999</v>
      </c>
      <c r="P4278" s="34" t="str">
        <f aca="false">IF(B4278&gt;=Eval_Start_Week,"YES","")</f>
        <v/>
      </c>
      <c r="Q4278" s="34" t="str">
        <f aca="false">IF(AND(B4278&gt;=Cal_Start_Week,B4278&lt;=Cal_End_Week),"YES","")</f>
        <v/>
      </c>
    </row>
    <row r="4279" customFormat="false" ht="15" hidden="false" customHeight="false" outlineLevel="0" collapsed="false">
      <c r="A4279" s="31" t="str">
        <f aca="false">Demand_History!C4279</f>
        <v>CLN-005</v>
      </c>
      <c r="B4279" s="31" t="n">
        <f aca="false">Demand_History!A4279</f>
        <v>14</v>
      </c>
      <c r="C4279" s="32" t="n">
        <f aca="false">Demand_History!D4279</f>
        <v>45</v>
      </c>
      <c r="D4279" s="33" t="n">
        <f aca="false">IF(B4279&gt;=2,C4278,"")</f>
        <v>47</v>
      </c>
      <c r="E4279" s="33" t="n">
        <f aca="false">IF(B4279&gt;=5,AVERAGE(C4275:C4278),"")</f>
        <v>50.25</v>
      </c>
      <c r="F4279" s="33" t="n">
        <f aca="false">IF(B4279&gt;=9,AVERAGE(C4271:C4278),"")</f>
        <v>47.25</v>
      </c>
      <c r="G4279" s="33" t="n">
        <f aca="false">IF(B4279=1,"",IF(B4279=2,C4278,SES_Alpha*C4278+(1-SES_Alpha)*G4278))</f>
        <v>48.7897024432</v>
      </c>
      <c r="H4279" s="33" t="n">
        <f aca="false">IF(D4279="","",D4279-C4279)</f>
        <v>2</v>
      </c>
      <c r="I4279" s="33" t="n">
        <f aca="false">IF(E4279="","",E4279-C4279)</f>
        <v>5.25</v>
      </c>
      <c r="J4279" s="33" t="n">
        <f aca="false">IF(F4279="","",F4279-C4279)</f>
        <v>2.25</v>
      </c>
      <c r="K4279" s="33" t="n">
        <f aca="false">IF(G4279="","",G4279-C4279)</f>
        <v>3.78970244319999</v>
      </c>
      <c r="L4279" s="33" t="n">
        <f aca="false">IF(H4279="","",ABS(H4279))</f>
        <v>2</v>
      </c>
      <c r="M4279" s="33" t="n">
        <f aca="false">IF(I4279="","",ABS(I4279))</f>
        <v>5.25</v>
      </c>
      <c r="N4279" s="33" t="n">
        <f aca="false">IF(J4279="","",ABS(J4279))</f>
        <v>2.25</v>
      </c>
      <c r="O4279" s="33" t="n">
        <f aca="false">IF(K4279="","",ABS(K4279))</f>
        <v>3.78970244319999</v>
      </c>
      <c r="P4279" s="34" t="str">
        <f aca="false">IF(B4279&gt;=Eval_Start_Week,"YES","")</f>
        <v/>
      </c>
      <c r="Q4279" s="34" t="str">
        <f aca="false">IF(AND(B4279&gt;=Cal_Start_Week,B4279&lt;=Cal_End_Week),"YES","")</f>
        <v/>
      </c>
    </row>
    <row r="4280" customFormat="false" ht="15" hidden="false" customHeight="false" outlineLevel="0" collapsed="false">
      <c r="A4280" s="31" t="str">
        <f aca="false">Demand_History!C4280</f>
        <v>CLN-005</v>
      </c>
      <c r="B4280" s="31" t="n">
        <f aca="false">Demand_History!A4280</f>
        <v>15</v>
      </c>
      <c r="C4280" s="32" t="n">
        <f aca="false">Demand_History!D4280</f>
        <v>44</v>
      </c>
      <c r="D4280" s="33" t="n">
        <f aca="false">IF(B4280&gt;=2,C4279,"")</f>
        <v>45</v>
      </c>
      <c r="E4280" s="33" t="n">
        <f aca="false">IF(B4280&gt;=5,AVERAGE(C4276:C4279),"")</f>
        <v>49.75</v>
      </c>
      <c r="F4280" s="33" t="n">
        <f aca="false">IF(B4280&gt;=9,AVERAGE(C4272:C4279),"")</f>
        <v>47.625</v>
      </c>
      <c r="G4280" s="33" t="n">
        <f aca="false">IF(B4280=1,"",IF(B4280=2,C4279,SES_Alpha*C4279+(1-SES_Alpha)*G4279))</f>
        <v>47.65279171024</v>
      </c>
      <c r="H4280" s="33" t="n">
        <f aca="false">IF(D4280="","",D4280-C4280)</f>
        <v>1</v>
      </c>
      <c r="I4280" s="33" t="n">
        <f aca="false">IF(E4280="","",E4280-C4280)</f>
        <v>5.75</v>
      </c>
      <c r="J4280" s="33" t="n">
        <f aca="false">IF(F4280="","",F4280-C4280)</f>
        <v>3.625</v>
      </c>
      <c r="K4280" s="33" t="n">
        <f aca="false">IF(G4280="","",G4280-C4280)</f>
        <v>3.65279171024</v>
      </c>
      <c r="L4280" s="33" t="n">
        <f aca="false">IF(H4280="","",ABS(H4280))</f>
        <v>1</v>
      </c>
      <c r="M4280" s="33" t="n">
        <f aca="false">IF(I4280="","",ABS(I4280))</f>
        <v>5.75</v>
      </c>
      <c r="N4280" s="33" t="n">
        <f aca="false">IF(J4280="","",ABS(J4280))</f>
        <v>3.625</v>
      </c>
      <c r="O4280" s="33" t="n">
        <f aca="false">IF(K4280="","",ABS(K4280))</f>
        <v>3.65279171024</v>
      </c>
      <c r="P4280" s="34" t="str">
        <f aca="false">IF(B4280&gt;=Eval_Start_Week,"YES","")</f>
        <v/>
      </c>
      <c r="Q4280" s="34" t="str">
        <f aca="false">IF(AND(B4280&gt;=Cal_Start_Week,B4280&lt;=Cal_End_Week),"YES","")</f>
        <v/>
      </c>
    </row>
    <row r="4281" customFormat="false" ht="15" hidden="false" customHeight="false" outlineLevel="0" collapsed="false">
      <c r="A4281" s="31" t="str">
        <f aca="false">Demand_History!C4281</f>
        <v>CLN-005</v>
      </c>
      <c r="B4281" s="31" t="n">
        <f aca="false">Demand_History!A4281</f>
        <v>16</v>
      </c>
      <c r="C4281" s="32" t="n">
        <f aca="false">Demand_History!D4281</f>
        <v>46</v>
      </c>
      <c r="D4281" s="33" t="n">
        <f aca="false">IF(B4281&gt;=2,C4280,"")</f>
        <v>44</v>
      </c>
      <c r="E4281" s="33" t="n">
        <f aca="false">IF(B4281&gt;=5,AVERAGE(C4277:C4280),"")</f>
        <v>46.5</v>
      </c>
      <c r="F4281" s="33" t="n">
        <f aca="false">IF(B4281&gt;=9,AVERAGE(C4273:C4280),"")</f>
        <v>47.875</v>
      </c>
      <c r="G4281" s="33" t="n">
        <f aca="false">IF(B4281=1,"",IF(B4281=2,C4280,SES_Alpha*C4280+(1-SES_Alpha)*G4280))</f>
        <v>46.556954197168</v>
      </c>
      <c r="H4281" s="33" t="n">
        <f aca="false">IF(D4281="","",D4281-C4281)</f>
        <v>-2</v>
      </c>
      <c r="I4281" s="33" t="n">
        <f aca="false">IF(E4281="","",E4281-C4281)</f>
        <v>0.5</v>
      </c>
      <c r="J4281" s="33" t="n">
        <f aca="false">IF(F4281="","",F4281-C4281)</f>
        <v>1.875</v>
      </c>
      <c r="K4281" s="33" t="n">
        <f aca="false">IF(G4281="","",G4281-C4281)</f>
        <v>0.556954197167997</v>
      </c>
      <c r="L4281" s="33" t="n">
        <f aca="false">IF(H4281="","",ABS(H4281))</f>
        <v>2</v>
      </c>
      <c r="M4281" s="33" t="n">
        <f aca="false">IF(I4281="","",ABS(I4281))</f>
        <v>0.5</v>
      </c>
      <c r="N4281" s="33" t="n">
        <f aca="false">IF(J4281="","",ABS(J4281))</f>
        <v>1.875</v>
      </c>
      <c r="O4281" s="33" t="n">
        <f aca="false">IF(K4281="","",ABS(K4281))</f>
        <v>0.556954197167997</v>
      </c>
      <c r="P4281" s="34" t="str">
        <f aca="false">IF(B4281&gt;=Eval_Start_Week,"YES","")</f>
        <v/>
      </c>
      <c r="Q4281" s="34" t="str">
        <f aca="false">IF(AND(B4281&gt;=Cal_Start_Week,B4281&lt;=Cal_End_Week),"YES","")</f>
        <v/>
      </c>
    </row>
    <row r="4282" customFormat="false" ht="15" hidden="false" customHeight="false" outlineLevel="0" collapsed="false">
      <c r="A4282" s="31" t="str">
        <f aca="false">Demand_History!C4282</f>
        <v>CLN-005</v>
      </c>
      <c r="B4282" s="31" t="n">
        <f aca="false">Demand_History!A4282</f>
        <v>17</v>
      </c>
      <c r="C4282" s="32" t="n">
        <f aca="false">Demand_History!D4282</f>
        <v>51</v>
      </c>
      <c r="D4282" s="33" t="n">
        <f aca="false">IF(B4282&gt;=2,C4281,"")</f>
        <v>46</v>
      </c>
      <c r="E4282" s="33" t="n">
        <f aca="false">IF(B4282&gt;=5,AVERAGE(C4278:C4281),"")</f>
        <v>45.5</v>
      </c>
      <c r="F4282" s="33" t="n">
        <f aca="false">IF(B4282&gt;=9,AVERAGE(C4274:C4281),"")</f>
        <v>47</v>
      </c>
      <c r="G4282" s="33" t="n">
        <f aca="false">IF(B4282=1,"",IF(B4282=2,C4281,SES_Alpha*C4281+(1-SES_Alpha)*G4281))</f>
        <v>46.3898679380176</v>
      </c>
      <c r="H4282" s="33" t="n">
        <f aca="false">IF(D4282="","",D4282-C4282)</f>
        <v>-5</v>
      </c>
      <c r="I4282" s="33" t="n">
        <f aca="false">IF(E4282="","",E4282-C4282)</f>
        <v>-5.5</v>
      </c>
      <c r="J4282" s="33" t="n">
        <f aca="false">IF(F4282="","",F4282-C4282)</f>
        <v>-4</v>
      </c>
      <c r="K4282" s="33" t="n">
        <f aca="false">IF(G4282="","",G4282-C4282)</f>
        <v>-4.61013206198241</v>
      </c>
      <c r="L4282" s="33" t="n">
        <f aca="false">IF(H4282="","",ABS(H4282))</f>
        <v>5</v>
      </c>
      <c r="M4282" s="33" t="n">
        <f aca="false">IF(I4282="","",ABS(I4282))</f>
        <v>5.5</v>
      </c>
      <c r="N4282" s="33" t="n">
        <f aca="false">IF(J4282="","",ABS(J4282))</f>
        <v>4</v>
      </c>
      <c r="O4282" s="33" t="n">
        <f aca="false">IF(K4282="","",ABS(K4282))</f>
        <v>4.61013206198241</v>
      </c>
      <c r="P4282" s="34" t="str">
        <f aca="false">IF(B4282&gt;=Eval_Start_Week,"YES","")</f>
        <v/>
      </c>
      <c r="Q4282" s="34" t="str">
        <f aca="false">IF(AND(B4282&gt;=Cal_Start_Week,B4282&lt;=Cal_End_Week),"YES","")</f>
        <v/>
      </c>
    </row>
    <row r="4283" customFormat="false" ht="15" hidden="false" customHeight="false" outlineLevel="0" collapsed="false">
      <c r="A4283" s="31" t="str">
        <f aca="false">Demand_History!C4283</f>
        <v>CLN-005</v>
      </c>
      <c r="B4283" s="31" t="n">
        <f aca="false">Demand_History!A4283</f>
        <v>18</v>
      </c>
      <c r="C4283" s="32" t="n">
        <f aca="false">Demand_History!D4283</f>
        <v>58</v>
      </c>
      <c r="D4283" s="33" t="n">
        <f aca="false">IF(B4283&gt;=2,C4282,"")</f>
        <v>51</v>
      </c>
      <c r="E4283" s="33" t="n">
        <f aca="false">IF(B4283&gt;=5,AVERAGE(C4279:C4282),"")</f>
        <v>46.5</v>
      </c>
      <c r="F4283" s="33" t="n">
        <f aca="false">IF(B4283&gt;=9,AVERAGE(C4275:C4282),"")</f>
        <v>48.375</v>
      </c>
      <c r="G4283" s="33" t="n">
        <f aca="false">IF(B4283=1,"",IF(B4283=2,C4282,SES_Alpha*C4282+(1-SES_Alpha)*G4282))</f>
        <v>47.7729075566123</v>
      </c>
      <c r="H4283" s="33" t="n">
        <f aca="false">IF(D4283="","",D4283-C4283)</f>
        <v>-7</v>
      </c>
      <c r="I4283" s="33" t="n">
        <f aca="false">IF(E4283="","",E4283-C4283)</f>
        <v>-11.5</v>
      </c>
      <c r="J4283" s="33" t="n">
        <f aca="false">IF(F4283="","",F4283-C4283)</f>
        <v>-9.625</v>
      </c>
      <c r="K4283" s="33" t="n">
        <f aca="false">IF(G4283="","",G4283-C4283)</f>
        <v>-10.2270924433877</v>
      </c>
      <c r="L4283" s="33" t="n">
        <f aca="false">IF(H4283="","",ABS(H4283))</f>
        <v>7</v>
      </c>
      <c r="M4283" s="33" t="n">
        <f aca="false">IF(I4283="","",ABS(I4283))</f>
        <v>11.5</v>
      </c>
      <c r="N4283" s="33" t="n">
        <f aca="false">IF(J4283="","",ABS(J4283))</f>
        <v>9.625</v>
      </c>
      <c r="O4283" s="33" t="n">
        <f aca="false">IF(K4283="","",ABS(K4283))</f>
        <v>10.2270924433877</v>
      </c>
      <c r="P4283" s="34" t="str">
        <f aca="false">IF(B4283&gt;=Eval_Start_Week,"YES","")</f>
        <v/>
      </c>
      <c r="Q4283" s="34" t="str">
        <f aca="false">IF(AND(B4283&gt;=Cal_Start_Week,B4283&lt;=Cal_End_Week),"YES","")</f>
        <v/>
      </c>
    </row>
    <row r="4284" customFormat="false" ht="15" hidden="false" customHeight="false" outlineLevel="0" collapsed="false">
      <c r="A4284" s="31" t="str">
        <f aca="false">Demand_History!C4284</f>
        <v>CLN-005</v>
      </c>
      <c r="B4284" s="31" t="n">
        <f aca="false">Demand_History!A4284</f>
        <v>19</v>
      </c>
      <c r="C4284" s="32" t="n">
        <f aca="false">Demand_History!D4284</f>
        <v>56</v>
      </c>
      <c r="D4284" s="33" t="n">
        <f aca="false">IF(B4284&gt;=2,C4283,"")</f>
        <v>58</v>
      </c>
      <c r="E4284" s="33" t="n">
        <f aca="false">IF(B4284&gt;=5,AVERAGE(C4280:C4283),"")</f>
        <v>49.75</v>
      </c>
      <c r="F4284" s="33" t="n">
        <f aca="false">IF(B4284&gt;=9,AVERAGE(C4276:C4283),"")</f>
        <v>49.75</v>
      </c>
      <c r="G4284" s="33" t="n">
        <f aca="false">IF(B4284=1,"",IF(B4284=2,C4283,SES_Alpha*C4283+(1-SES_Alpha)*G4283))</f>
        <v>50.8410352896286</v>
      </c>
      <c r="H4284" s="33" t="n">
        <f aca="false">IF(D4284="","",D4284-C4284)</f>
        <v>2</v>
      </c>
      <c r="I4284" s="33" t="n">
        <f aca="false">IF(E4284="","",E4284-C4284)</f>
        <v>-6.25</v>
      </c>
      <c r="J4284" s="33" t="n">
        <f aca="false">IF(F4284="","",F4284-C4284)</f>
        <v>-6.25</v>
      </c>
      <c r="K4284" s="33" t="n">
        <f aca="false">IF(G4284="","",G4284-C4284)</f>
        <v>-5.15896471037139</v>
      </c>
      <c r="L4284" s="33" t="n">
        <f aca="false">IF(H4284="","",ABS(H4284))</f>
        <v>2</v>
      </c>
      <c r="M4284" s="33" t="n">
        <f aca="false">IF(I4284="","",ABS(I4284))</f>
        <v>6.25</v>
      </c>
      <c r="N4284" s="33" t="n">
        <f aca="false">IF(J4284="","",ABS(J4284))</f>
        <v>6.25</v>
      </c>
      <c r="O4284" s="33" t="n">
        <f aca="false">IF(K4284="","",ABS(K4284))</f>
        <v>5.15896471037139</v>
      </c>
      <c r="P4284" s="34" t="str">
        <f aca="false">IF(B4284&gt;=Eval_Start_Week,"YES","")</f>
        <v/>
      </c>
      <c r="Q4284" s="34" t="str">
        <f aca="false">IF(AND(B4284&gt;=Cal_Start_Week,B4284&lt;=Cal_End_Week),"YES","")</f>
        <v/>
      </c>
    </row>
    <row r="4285" customFormat="false" ht="15" hidden="false" customHeight="false" outlineLevel="0" collapsed="false">
      <c r="A4285" s="31" t="str">
        <f aca="false">Demand_History!C4285</f>
        <v>CLN-005</v>
      </c>
      <c r="B4285" s="31" t="n">
        <f aca="false">Demand_History!A4285</f>
        <v>20</v>
      </c>
      <c r="C4285" s="32" t="n">
        <f aca="false">Demand_History!D4285</f>
        <v>46</v>
      </c>
      <c r="D4285" s="33" t="n">
        <f aca="false">IF(B4285&gt;=2,C4284,"")</f>
        <v>56</v>
      </c>
      <c r="E4285" s="33" t="n">
        <f aca="false">IF(B4285&gt;=5,AVERAGE(C4281:C4284),"")</f>
        <v>52.75</v>
      </c>
      <c r="F4285" s="33" t="n">
        <f aca="false">IF(B4285&gt;=9,AVERAGE(C4277:C4284),"")</f>
        <v>49.625</v>
      </c>
      <c r="G4285" s="33" t="n">
        <f aca="false">IF(B4285=1,"",IF(B4285=2,C4284,SES_Alpha*C4284+(1-SES_Alpha)*G4284))</f>
        <v>52.38872470274</v>
      </c>
      <c r="H4285" s="33" t="n">
        <f aca="false">IF(D4285="","",D4285-C4285)</f>
        <v>10</v>
      </c>
      <c r="I4285" s="33" t="n">
        <f aca="false">IF(E4285="","",E4285-C4285)</f>
        <v>6.75</v>
      </c>
      <c r="J4285" s="33" t="n">
        <f aca="false">IF(F4285="","",F4285-C4285)</f>
        <v>3.625</v>
      </c>
      <c r="K4285" s="33" t="n">
        <f aca="false">IF(G4285="","",G4285-C4285)</f>
        <v>6.38872470274004</v>
      </c>
      <c r="L4285" s="33" t="n">
        <f aca="false">IF(H4285="","",ABS(H4285))</f>
        <v>10</v>
      </c>
      <c r="M4285" s="33" t="n">
        <f aca="false">IF(I4285="","",ABS(I4285))</f>
        <v>6.75</v>
      </c>
      <c r="N4285" s="33" t="n">
        <f aca="false">IF(J4285="","",ABS(J4285))</f>
        <v>3.625</v>
      </c>
      <c r="O4285" s="33" t="n">
        <f aca="false">IF(K4285="","",ABS(K4285))</f>
        <v>6.38872470274004</v>
      </c>
      <c r="P4285" s="34" t="str">
        <f aca="false">IF(B4285&gt;=Eval_Start_Week,"YES","")</f>
        <v/>
      </c>
      <c r="Q4285" s="34" t="str">
        <f aca="false">IF(AND(B4285&gt;=Cal_Start_Week,B4285&lt;=Cal_End_Week),"YES","")</f>
        <v/>
      </c>
    </row>
    <row r="4286" customFormat="false" ht="15" hidden="false" customHeight="false" outlineLevel="0" collapsed="false">
      <c r="A4286" s="31" t="str">
        <f aca="false">Demand_History!C4286</f>
        <v>CLN-005</v>
      </c>
      <c r="B4286" s="31" t="n">
        <f aca="false">Demand_History!A4286</f>
        <v>21</v>
      </c>
      <c r="C4286" s="32" t="n">
        <f aca="false">Demand_History!D4286</f>
        <v>45</v>
      </c>
      <c r="D4286" s="33" t="n">
        <f aca="false">IF(B4286&gt;=2,C4285,"")</f>
        <v>46</v>
      </c>
      <c r="E4286" s="33" t="n">
        <f aca="false">IF(B4286&gt;=5,AVERAGE(C4282:C4285),"")</f>
        <v>52.75</v>
      </c>
      <c r="F4286" s="33" t="n">
        <f aca="false">IF(B4286&gt;=9,AVERAGE(C4278:C4285),"")</f>
        <v>49.125</v>
      </c>
      <c r="G4286" s="33" t="n">
        <f aca="false">IF(B4286=1,"",IF(B4286=2,C4285,SES_Alpha*C4285+(1-SES_Alpha)*G4285))</f>
        <v>50.472107291918</v>
      </c>
      <c r="H4286" s="33" t="n">
        <f aca="false">IF(D4286="","",D4286-C4286)</f>
        <v>1</v>
      </c>
      <c r="I4286" s="33" t="n">
        <f aca="false">IF(E4286="","",E4286-C4286)</f>
        <v>7.75</v>
      </c>
      <c r="J4286" s="33" t="n">
        <f aca="false">IF(F4286="","",F4286-C4286)</f>
        <v>4.125</v>
      </c>
      <c r="K4286" s="33" t="n">
        <f aca="false">IF(G4286="","",G4286-C4286)</f>
        <v>5.47210729191802</v>
      </c>
      <c r="L4286" s="33" t="n">
        <f aca="false">IF(H4286="","",ABS(H4286))</f>
        <v>1</v>
      </c>
      <c r="M4286" s="33" t="n">
        <f aca="false">IF(I4286="","",ABS(I4286))</f>
        <v>7.75</v>
      </c>
      <c r="N4286" s="33" t="n">
        <f aca="false">IF(J4286="","",ABS(J4286))</f>
        <v>4.125</v>
      </c>
      <c r="O4286" s="33" t="n">
        <f aca="false">IF(K4286="","",ABS(K4286))</f>
        <v>5.47210729191802</v>
      </c>
      <c r="P4286" s="34" t="str">
        <f aca="false">IF(B4286&gt;=Eval_Start_Week,"YES","")</f>
        <v/>
      </c>
      <c r="Q4286" s="34" t="str">
        <f aca="false">IF(AND(B4286&gt;=Cal_Start_Week,B4286&lt;=Cal_End_Week),"YES","")</f>
        <v/>
      </c>
    </row>
    <row r="4287" customFormat="false" ht="15" hidden="false" customHeight="false" outlineLevel="0" collapsed="false">
      <c r="A4287" s="31" t="str">
        <f aca="false">Demand_History!C4287</f>
        <v>CLN-005</v>
      </c>
      <c r="B4287" s="31" t="n">
        <f aca="false">Demand_History!A4287</f>
        <v>22</v>
      </c>
      <c r="C4287" s="32" t="n">
        <f aca="false">Demand_History!D4287</f>
        <v>54</v>
      </c>
      <c r="D4287" s="33" t="n">
        <f aca="false">IF(B4287&gt;=2,C4286,"")</f>
        <v>45</v>
      </c>
      <c r="E4287" s="33" t="n">
        <f aca="false">IF(B4287&gt;=5,AVERAGE(C4283:C4286),"")</f>
        <v>51.25</v>
      </c>
      <c r="F4287" s="33" t="n">
        <f aca="false">IF(B4287&gt;=9,AVERAGE(C4279:C4286),"")</f>
        <v>48.875</v>
      </c>
      <c r="G4287" s="33" t="n">
        <f aca="false">IF(B4287=1,"",IF(B4287=2,C4286,SES_Alpha*C4286+(1-SES_Alpha)*G4286))</f>
        <v>48.8304751043426</v>
      </c>
      <c r="H4287" s="33" t="n">
        <f aca="false">IF(D4287="","",D4287-C4287)</f>
        <v>-9</v>
      </c>
      <c r="I4287" s="33" t="n">
        <f aca="false">IF(E4287="","",E4287-C4287)</f>
        <v>-2.75</v>
      </c>
      <c r="J4287" s="33" t="n">
        <f aca="false">IF(F4287="","",F4287-C4287)</f>
        <v>-5.125</v>
      </c>
      <c r="K4287" s="33" t="n">
        <f aca="false">IF(G4287="","",G4287-C4287)</f>
        <v>-5.16952489565739</v>
      </c>
      <c r="L4287" s="33" t="n">
        <f aca="false">IF(H4287="","",ABS(H4287))</f>
        <v>9</v>
      </c>
      <c r="M4287" s="33" t="n">
        <f aca="false">IF(I4287="","",ABS(I4287))</f>
        <v>2.75</v>
      </c>
      <c r="N4287" s="33" t="n">
        <f aca="false">IF(J4287="","",ABS(J4287))</f>
        <v>5.125</v>
      </c>
      <c r="O4287" s="33" t="n">
        <f aca="false">IF(K4287="","",ABS(K4287))</f>
        <v>5.16952489565739</v>
      </c>
      <c r="P4287" s="34" t="str">
        <f aca="false">IF(B4287&gt;=Eval_Start_Week,"YES","")</f>
        <v/>
      </c>
      <c r="Q4287" s="34" t="str">
        <f aca="false">IF(AND(B4287&gt;=Cal_Start_Week,B4287&lt;=Cal_End_Week),"YES","")</f>
        <v/>
      </c>
    </row>
    <row r="4288" customFormat="false" ht="15" hidden="false" customHeight="false" outlineLevel="0" collapsed="false">
      <c r="A4288" s="31" t="str">
        <f aca="false">Demand_History!C4288</f>
        <v>CLN-005</v>
      </c>
      <c r="B4288" s="31" t="n">
        <f aca="false">Demand_History!A4288</f>
        <v>23</v>
      </c>
      <c r="C4288" s="32" t="n">
        <f aca="false">Demand_History!D4288</f>
        <v>38</v>
      </c>
      <c r="D4288" s="33" t="n">
        <f aca="false">IF(B4288&gt;=2,C4287,"")</f>
        <v>54</v>
      </c>
      <c r="E4288" s="33" t="n">
        <f aca="false">IF(B4288&gt;=5,AVERAGE(C4284:C4287),"")</f>
        <v>50.25</v>
      </c>
      <c r="F4288" s="33" t="n">
        <f aca="false">IF(B4288&gt;=9,AVERAGE(C4280:C4287),"")</f>
        <v>50</v>
      </c>
      <c r="G4288" s="33" t="n">
        <f aca="false">IF(B4288=1,"",IF(B4288=2,C4287,SES_Alpha*C4287+(1-SES_Alpha)*G4287))</f>
        <v>50.3813325730398</v>
      </c>
      <c r="H4288" s="33" t="n">
        <f aca="false">IF(D4288="","",D4288-C4288)</f>
        <v>16</v>
      </c>
      <c r="I4288" s="33" t="n">
        <f aca="false">IF(E4288="","",E4288-C4288)</f>
        <v>12.25</v>
      </c>
      <c r="J4288" s="33" t="n">
        <f aca="false">IF(F4288="","",F4288-C4288)</f>
        <v>12</v>
      </c>
      <c r="K4288" s="33" t="n">
        <f aca="false">IF(G4288="","",G4288-C4288)</f>
        <v>12.3813325730398</v>
      </c>
      <c r="L4288" s="33" t="n">
        <f aca="false">IF(H4288="","",ABS(H4288))</f>
        <v>16</v>
      </c>
      <c r="M4288" s="33" t="n">
        <f aca="false">IF(I4288="","",ABS(I4288))</f>
        <v>12.25</v>
      </c>
      <c r="N4288" s="33" t="n">
        <f aca="false">IF(J4288="","",ABS(J4288))</f>
        <v>12</v>
      </c>
      <c r="O4288" s="33" t="n">
        <f aca="false">IF(K4288="","",ABS(K4288))</f>
        <v>12.3813325730398</v>
      </c>
      <c r="P4288" s="34" t="str">
        <f aca="false">IF(B4288&gt;=Eval_Start_Week,"YES","")</f>
        <v/>
      </c>
      <c r="Q4288" s="34" t="str">
        <f aca="false">IF(AND(B4288&gt;=Cal_Start_Week,B4288&lt;=Cal_End_Week),"YES","")</f>
        <v/>
      </c>
    </row>
    <row r="4289" customFormat="false" ht="15" hidden="false" customHeight="false" outlineLevel="0" collapsed="false">
      <c r="A4289" s="31" t="str">
        <f aca="false">Demand_History!C4289</f>
        <v>CLN-005</v>
      </c>
      <c r="B4289" s="31" t="n">
        <f aca="false">Demand_History!A4289</f>
        <v>24</v>
      </c>
      <c r="C4289" s="32" t="n">
        <f aca="false">Demand_History!D4289</f>
        <v>47</v>
      </c>
      <c r="D4289" s="33" t="n">
        <f aca="false">IF(B4289&gt;=2,C4288,"")</f>
        <v>38</v>
      </c>
      <c r="E4289" s="33" t="n">
        <f aca="false">IF(B4289&gt;=5,AVERAGE(C4285:C4288),"")</f>
        <v>45.75</v>
      </c>
      <c r="F4289" s="33" t="n">
        <f aca="false">IF(B4289&gt;=9,AVERAGE(C4281:C4288),"")</f>
        <v>49.25</v>
      </c>
      <c r="G4289" s="33" t="n">
        <f aca="false">IF(B4289=1,"",IF(B4289=2,C4288,SES_Alpha*C4288+(1-SES_Alpha)*G4288))</f>
        <v>46.6669328011279</v>
      </c>
      <c r="H4289" s="33" t="n">
        <f aca="false">IF(D4289="","",D4289-C4289)</f>
        <v>-9</v>
      </c>
      <c r="I4289" s="33" t="n">
        <f aca="false">IF(E4289="","",E4289-C4289)</f>
        <v>-1.25</v>
      </c>
      <c r="J4289" s="33" t="n">
        <f aca="false">IF(F4289="","",F4289-C4289)</f>
        <v>2.25</v>
      </c>
      <c r="K4289" s="33" t="n">
        <f aca="false">IF(G4289="","",G4289-C4289)</f>
        <v>-0.333067198872122</v>
      </c>
      <c r="L4289" s="33" t="n">
        <f aca="false">IF(H4289="","",ABS(H4289))</f>
        <v>9</v>
      </c>
      <c r="M4289" s="33" t="n">
        <f aca="false">IF(I4289="","",ABS(I4289))</f>
        <v>1.25</v>
      </c>
      <c r="N4289" s="33" t="n">
        <f aca="false">IF(J4289="","",ABS(J4289))</f>
        <v>2.25</v>
      </c>
      <c r="O4289" s="33" t="n">
        <f aca="false">IF(K4289="","",ABS(K4289))</f>
        <v>0.333067198872122</v>
      </c>
      <c r="P4289" s="34" t="str">
        <f aca="false">IF(B4289&gt;=Eval_Start_Week,"YES","")</f>
        <v/>
      </c>
      <c r="Q4289" s="34" t="str">
        <f aca="false">IF(AND(B4289&gt;=Cal_Start_Week,B4289&lt;=Cal_End_Week),"YES","")</f>
        <v/>
      </c>
    </row>
    <row r="4290" customFormat="false" ht="15" hidden="false" customHeight="false" outlineLevel="0" collapsed="false">
      <c r="A4290" s="31" t="str">
        <f aca="false">Demand_History!C4290</f>
        <v>CLN-005</v>
      </c>
      <c r="B4290" s="31" t="n">
        <f aca="false">Demand_History!A4290</f>
        <v>25</v>
      </c>
      <c r="C4290" s="32" t="n">
        <f aca="false">Demand_History!D4290</f>
        <v>48</v>
      </c>
      <c r="D4290" s="33" t="n">
        <f aca="false">IF(B4290&gt;=2,C4289,"")</f>
        <v>47</v>
      </c>
      <c r="E4290" s="33" t="n">
        <f aca="false">IF(B4290&gt;=5,AVERAGE(C4286:C4289),"")</f>
        <v>46</v>
      </c>
      <c r="F4290" s="33" t="n">
        <f aca="false">IF(B4290&gt;=9,AVERAGE(C4282:C4289),"")</f>
        <v>49.375</v>
      </c>
      <c r="G4290" s="33" t="n">
        <f aca="false">IF(B4290=1,"",IF(B4290=2,C4289,SES_Alpha*C4289+(1-SES_Alpha)*G4289))</f>
        <v>46.7668529607895</v>
      </c>
      <c r="H4290" s="33" t="n">
        <f aca="false">IF(D4290="","",D4290-C4290)</f>
        <v>-1</v>
      </c>
      <c r="I4290" s="33" t="n">
        <f aca="false">IF(E4290="","",E4290-C4290)</f>
        <v>-2</v>
      </c>
      <c r="J4290" s="33" t="n">
        <f aca="false">IF(F4290="","",F4290-C4290)</f>
        <v>1.375</v>
      </c>
      <c r="K4290" s="33" t="n">
        <f aca="false">IF(G4290="","",G4290-C4290)</f>
        <v>-1.23314703921049</v>
      </c>
      <c r="L4290" s="33" t="n">
        <f aca="false">IF(H4290="","",ABS(H4290))</f>
        <v>1</v>
      </c>
      <c r="M4290" s="33" t="n">
        <f aca="false">IF(I4290="","",ABS(I4290))</f>
        <v>2</v>
      </c>
      <c r="N4290" s="33" t="n">
        <f aca="false">IF(J4290="","",ABS(J4290))</f>
        <v>1.375</v>
      </c>
      <c r="O4290" s="33" t="n">
        <f aca="false">IF(K4290="","",ABS(K4290))</f>
        <v>1.23314703921049</v>
      </c>
      <c r="P4290" s="34" t="str">
        <f aca="false">IF(B4290&gt;=Eval_Start_Week,"YES","")</f>
        <v/>
      </c>
      <c r="Q4290" s="34" t="str">
        <f aca="false">IF(AND(B4290&gt;=Cal_Start_Week,B4290&lt;=Cal_End_Week),"YES","")</f>
        <v/>
      </c>
    </row>
    <row r="4291" customFormat="false" ht="15" hidden="false" customHeight="false" outlineLevel="0" collapsed="false">
      <c r="A4291" s="31" t="str">
        <f aca="false">Demand_History!C4291</f>
        <v>CLN-005</v>
      </c>
      <c r="B4291" s="31" t="n">
        <f aca="false">Demand_History!A4291</f>
        <v>26</v>
      </c>
      <c r="C4291" s="32" t="n">
        <f aca="false">Demand_History!D4291</f>
        <v>43</v>
      </c>
      <c r="D4291" s="33" t="n">
        <f aca="false">IF(B4291&gt;=2,C4290,"")</f>
        <v>48</v>
      </c>
      <c r="E4291" s="33" t="n">
        <f aca="false">IF(B4291&gt;=5,AVERAGE(C4287:C4290),"")</f>
        <v>46.75</v>
      </c>
      <c r="F4291" s="33" t="n">
        <f aca="false">IF(B4291&gt;=9,AVERAGE(C4283:C4290),"")</f>
        <v>49</v>
      </c>
      <c r="G4291" s="33" t="n">
        <f aca="false">IF(B4291=1,"",IF(B4291=2,C4290,SES_Alpha*C4290+(1-SES_Alpha)*G4290))</f>
        <v>47.1367970725527</v>
      </c>
      <c r="H4291" s="33" t="n">
        <f aca="false">IF(D4291="","",D4291-C4291)</f>
        <v>5</v>
      </c>
      <c r="I4291" s="33" t="n">
        <f aca="false">IF(E4291="","",E4291-C4291)</f>
        <v>3.75</v>
      </c>
      <c r="J4291" s="33" t="n">
        <f aca="false">IF(F4291="","",F4291-C4291)</f>
        <v>6</v>
      </c>
      <c r="K4291" s="33" t="n">
        <f aca="false">IF(G4291="","",G4291-C4291)</f>
        <v>4.13679707255265</v>
      </c>
      <c r="L4291" s="33" t="n">
        <f aca="false">IF(H4291="","",ABS(H4291))</f>
        <v>5</v>
      </c>
      <c r="M4291" s="33" t="n">
        <f aca="false">IF(I4291="","",ABS(I4291))</f>
        <v>3.75</v>
      </c>
      <c r="N4291" s="33" t="n">
        <f aca="false">IF(J4291="","",ABS(J4291))</f>
        <v>6</v>
      </c>
      <c r="O4291" s="33" t="n">
        <f aca="false">IF(K4291="","",ABS(K4291))</f>
        <v>4.13679707255265</v>
      </c>
      <c r="P4291" s="34" t="str">
        <f aca="false">IF(B4291&gt;=Eval_Start_Week,"YES","")</f>
        <v/>
      </c>
      <c r="Q4291" s="34" t="str">
        <f aca="false">IF(AND(B4291&gt;=Cal_Start_Week,B4291&lt;=Cal_End_Week),"YES","")</f>
        <v/>
      </c>
    </row>
    <row r="4292" customFormat="false" ht="15" hidden="false" customHeight="false" outlineLevel="0" collapsed="false">
      <c r="A4292" s="31" t="str">
        <f aca="false">Demand_History!C4292</f>
        <v>CLN-005</v>
      </c>
      <c r="B4292" s="31" t="n">
        <f aca="false">Demand_History!A4292</f>
        <v>27</v>
      </c>
      <c r="C4292" s="32" t="n">
        <f aca="false">Demand_History!D4292</f>
        <v>43</v>
      </c>
      <c r="D4292" s="33" t="n">
        <f aca="false">IF(B4292&gt;=2,C4291,"")</f>
        <v>43</v>
      </c>
      <c r="E4292" s="33" t="n">
        <f aca="false">IF(B4292&gt;=5,AVERAGE(C4288:C4291),"")</f>
        <v>44</v>
      </c>
      <c r="F4292" s="33" t="n">
        <f aca="false">IF(B4292&gt;=9,AVERAGE(C4284:C4291),"")</f>
        <v>47.125</v>
      </c>
      <c r="G4292" s="33" t="n">
        <f aca="false">IF(B4292=1,"",IF(B4292=2,C4291,SES_Alpha*C4291+(1-SES_Alpha)*G4291))</f>
        <v>45.8957579507869</v>
      </c>
      <c r="H4292" s="33" t="n">
        <f aca="false">IF(D4292="","",D4292-C4292)</f>
        <v>0</v>
      </c>
      <c r="I4292" s="33" t="n">
        <f aca="false">IF(E4292="","",E4292-C4292)</f>
        <v>1</v>
      </c>
      <c r="J4292" s="33" t="n">
        <f aca="false">IF(F4292="","",F4292-C4292)</f>
        <v>4.125</v>
      </c>
      <c r="K4292" s="33" t="n">
        <f aca="false">IF(G4292="","",G4292-C4292)</f>
        <v>2.89575795078685</v>
      </c>
      <c r="L4292" s="33" t="n">
        <f aca="false">IF(H4292="","",ABS(H4292))</f>
        <v>0</v>
      </c>
      <c r="M4292" s="33" t="n">
        <f aca="false">IF(I4292="","",ABS(I4292))</f>
        <v>1</v>
      </c>
      <c r="N4292" s="33" t="n">
        <f aca="false">IF(J4292="","",ABS(J4292))</f>
        <v>4.125</v>
      </c>
      <c r="O4292" s="33" t="n">
        <f aca="false">IF(K4292="","",ABS(K4292))</f>
        <v>2.89575795078685</v>
      </c>
      <c r="P4292" s="34" t="str">
        <f aca="false">IF(B4292&gt;=Eval_Start_Week,"YES","")</f>
        <v/>
      </c>
      <c r="Q4292" s="34" t="str">
        <f aca="false">IF(AND(B4292&gt;=Cal_Start_Week,B4292&lt;=Cal_End_Week),"YES","")</f>
        <v/>
      </c>
    </row>
    <row r="4293" customFormat="false" ht="15" hidden="false" customHeight="false" outlineLevel="0" collapsed="false">
      <c r="A4293" s="31" t="str">
        <f aca="false">Demand_History!C4293</f>
        <v>CLN-005</v>
      </c>
      <c r="B4293" s="31" t="n">
        <f aca="false">Demand_History!A4293</f>
        <v>28</v>
      </c>
      <c r="C4293" s="32" t="n">
        <f aca="false">Demand_History!D4293</f>
        <v>52</v>
      </c>
      <c r="D4293" s="33" t="n">
        <f aca="false">IF(B4293&gt;=2,C4292,"")</f>
        <v>43</v>
      </c>
      <c r="E4293" s="33" t="n">
        <f aca="false">IF(B4293&gt;=5,AVERAGE(C4289:C4292),"")</f>
        <v>45.25</v>
      </c>
      <c r="F4293" s="33" t="n">
        <f aca="false">IF(B4293&gt;=9,AVERAGE(C4285:C4292),"")</f>
        <v>45.5</v>
      </c>
      <c r="G4293" s="33" t="n">
        <f aca="false">IF(B4293=1,"",IF(B4293=2,C4292,SES_Alpha*C4292+(1-SES_Alpha)*G4292))</f>
        <v>45.0270305655508</v>
      </c>
      <c r="H4293" s="33" t="n">
        <f aca="false">IF(D4293="","",D4293-C4293)</f>
        <v>-9</v>
      </c>
      <c r="I4293" s="33" t="n">
        <f aca="false">IF(E4293="","",E4293-C4293)</f>
        <v>-6.75</v>
      </c>
      <c r="J4293" s="33" t="n">
        <f aca="false">IF(F4293="","",F4293-C4293)</f>
        <v>-6.5</v>
      </c>
      <c r="K4293" s="33" t="n">
        <f aca="false">IF(G4293="","",G4293-C4293)</f>
        <v>-6.97296943444921</v>
      </c>
      <c r="L4293" s="33" t="n">
        <f aca="false">IF(H4293="","",ABS(H4293))</f>
        <v>9</v>
      </c>
      <c r="M4293" s="33" t="n">
        <f aca="false">IF(I4293="","",ABS(I4293))</f>
        <v>6.75</v>
      </c>
      <c r="N4293" s="33" t="n">
        <f aca="false">IF(J4293="","",ABS(J4293))</f>
        <v>6.5</v>
      </c>
      <c r="O4293" s="33" t="n">
        <f aca="false">IF(K4293="","",ABS(K4293))</f>
        <v>6.97296943444921</v>
      </c>
      <c r="P4293" s="34" t="str">
        <f aca="false">IF(B4293&gt;=Eval_Start_Week,"YES","")</f>
        <v/>
      </c>
      <c r="Q4293" s="34" t="str">
        <f aca="false">IF(AND(B4293&gt;=Cal_Start_Week,B4293&lt;=Cal_End_Week),"YES","")</f>
        <v/>
      </c>
    </row>
    <row r="4294" customFormat="false" ht="15" hidden="false" customHeight="false" outlineLevel="0" collapsed="false">
      <c r="A4294" s="31" t="str">
        <f aca="false">Demand_History!C4294</f>
        <v>CLN-005</v>
      </c>
      <c r="B4294" s="31" t="n">
        <f aca="false">Demand_History!A4294</f>
        <v>29</v>
      </c>
      <c r="C4294" s="32" t="n">
        <f aca="false">Demand_History!D4294</f>
        <v>39</v>
      </c>
      <c r="D4294" s="33" t="n">
        <f aca="false">IF(B4294&gt;=2,C4293,"")</f>
        <v>52</v>
      </c>
      <c r="E4294" s="33" t="n">
        <f aca="false">IF(B4294&gt;=5,AVERAGE(C4290:C4293),"")</f>
        <v>46.5</v>
      </c>
      <c r="F4294" s="33" t="n">
        <f aca="false">IF(B4294&gt;=9,AVERAGE(C4286:C4293),"")</f>
        <v>46.25</v>
      </c>
      <c r="G4294" s="33" t="n">
        <f aca="false">IF(B4294=1,"",IF(B4294=2,C4293,SES_Alpha*C4293+(1-SES_Alpha)*G4293))</f>
        <v>47.1189213958856</v>
      </c>
      <c r="H4294" s="33" t="n">
        <f aca="false">IF(D4294="","",D4294-C4294)</f>
        <v>13</v>
      </c>
      <c r="I4294" s="33" t="n">
        <f aca="false">IF(E4294="","",E4294-C4294)</f>
        <v>7.5</v>
      </c>
      <c r="J4294" s="33" t="n">
        <f aca="false">IF(F4294="","",F4294-C4294)</f>
        <v>7.25</v>
      </c>
      <c r="K4294" s="33" t="n">
        <f aca="false">IF(G4294="","",G4294-C4294)</f>
        <v>8.11892139588556</v>
      </c>
      <c r="L4294" s="33" t="n">
        <f aca="false">IF(H4294="","",ABS(H4294))</f>
        <v>13</v>
      </c>
      <c r="M4294" s="33" t="n">
        <f aca="false">IF(I4294="","",ABS(I4294))</f>
        <v>7.5</v>
      </c>
      <c r="N4294" s="33" t="n">
        <f aca="false">IF(J4294="","",ABS(J4294))</f>
        <v>7.25</v>
      </c>
      <c r="O4294" s="33" t="n">
        <f aca="false">IF(K4294="","",ABS(K4294))</f>
        <v>8.11892139588556</v>
      </c>
      <c r="P4294" s="34" t="str">
        <f aca="false">IF(B4294&gt;=Eval_Start_Week,"YES","")</f>
        <v/>
      </c>
      <c r="Q4294" s="34" t="str">
        <f aca="false">IF(AND(B4294&gt;=Cal_Start_Week,B4294&lt;=Cal_End_Week),"YES","")</f>
        <v/>
      </c>
    </row>
    <row r="4295" customFormat="false" ht="15" hidden="false" customHeight="false" outlineLevel="0" collapsed="false">
      <c r="A4295" s="31" t="str">
        <f aca="false">Demand_History!C4295</f>
        <v>CLN-005</v>
      </c>
      <c r="B4295" s="31" t="n">
        <f aca="false">Demand_History!A4295</f>
        <v>30</v>
      </c>
      <c r="C4295" s="32" t="n">
        <f aca="false">Demand_History!D4295</f>
        <v>44</v>
      </c>
      <c r="D4295" s="33" t="n">
        <f aca="false">IF(B4295&gt;=2,C4294,"")</f>
        <v>39</v>
      </c>
      <c r="E4295" s="33" t="n">
        <f aca="false">IF(B4295&gt;=5,AVERAGE(C4291:C4294),"")</f>
        <v>44.25</v>
      </c>
      <c r="F4295" s="33" t="n">
        <f aca="false">IF(B4295&gt;=9,AVERAGE(C4287:C4294),"")</f>
        <v>45.5</v>
      </c>
      <c r="G4295" s="33" t="n">
        <f aca="false">IF(B4295=1,"",IF(B4295=2,C4294,SES_Alpha*C4294+(1-SES_Alpha)*G4294))</f>
        <v>44.6832449771199</v>
      </c>
      <c r="H4295" s="33" t="n">
        <f aca="false">IF(D4295="","",D4295-C4295)</f>
        <v>-5</v>
      </c>
      <c r="I4295" s="33" t="n">
        <f aca="false">IF(E4295="","",E4295-C4295)</f>
        <v>0.25</v>
      </c>
      <c r="J4295" s="33" t="n">
        <f aca="false">IF(F4295="","",F4295-C4295)</f>
        <v>1.5</v>
      </c>
      <c r="K4295" s="33" t="n">
        <f aca="false">IF(G4295="","",G4295-C4295)</f>
        <v>0.683244977119884</v>
      </c>
      <c r="L4295" s="33" t="n">
        <f aca="false">IF(H4295="","",ABS(H4295))</f>
        <v>5</v>
      </c>
      <c r="M4295" s="33" t="n">
        <f aca="false">IF(I4295="","",ABS(I4295))</f>
        <v>0.25</v>
      </c>
      <c r="N4295" s="33" t="n">
        <f aca="false">IF(J4295="","",ABS(J4295))</f>
        <v>1.5</v>
      </c>
      <c r="O4295" s="33" t="n">
        <f aca="false">IF(K4295="","",ABS(K4295))</f>
        <v>0.683244977119884</v>
      </c>
      <c r="P4295" s="34" t="str">
        <f aca="false">IF(B4295&gt;=Eval_Start_Week,"YES","")</f>
        <v/>
      </c>
      <c r="Q4295" s="34" t="str">
        <f aca="false">IF(AND(B4295&gt;=Cal_Start_Week,B4295&lt;=Cal_End_Week),"YES","")</f>
        <v/>
      </c>
    </row>
    <row r="4296" customFormat="false" ht="15" hidden="false" customHeight="false" outlineLevel="0" collapsed="false">
      <c r="A4296" s="31" t="str">
        <f aca="false">Demand_History!C4296</f>
        <v>CLN-005</v>
      </c>
      <c r="B4296" s="31" t="n">
        <f aca="false">Demand_History!A4296</f>
        <v>31</v>
      </c>
      <c r="C4296" s="32" t="n">
        <f aca="false">Demand_History!D4296</f>
        <v>46</v>
      </c>
      <c r="D4296" s="33" t="n">
        <f aca="false">IF(B4296&gt;=2,C4295,"")</f>
        <v>44</v>
      </c>
      <c r="E4296" s="33" t="n">
        <f aca="false">IF(B4296&gt;=5,AVERAGE(C4292:C4295),"")</f>
        <v>44.5</v>
      </c>
      <c r="F4296" s="33" t="n">
        <f aca="false">IF(B4296&gt;=9,AVERAGE(C4288:C4295),"")</f>
        <v>44.25</v>
      </c>
      <c r="G4296" s="33" t="n">
        <f aca="false">IF(B4296=1,"",IF(B4296=2,C4295,SES_Alpha*C4295+(1-SES_Alpha)*G4295))</f>
        <v>44.4782714839839</v>
      </c>
      <c r="H4296" s="33" t="n">
        <f aca="false">IF(D4296="","",D4296-C4296)</f>
        <v>-2</v>
      </c>
      <c r="I4296" s="33" t="n">
        <f aca="false">IF(E4296="","",E4296-C4296)</f>
        <v>-1.5</v>
      </c>
      <c r="J4296" s="33" t="n">
        <f aca="false">IF(F4296="","",F4296-C4296)</f>
        <v>-1.75</v>
      </c>
      <c r="K4296" s="33" t="n">
        <f aca="false">IF(G4296="","",G4296-C4296)</f>
        <v>-1.52172851601608</v>
      </c>
      <c r="L4296" s="33" t="n">
        <f aca="false">IF(H4296="","",ABS(H4296))</f>
        <v>2</v>
      </c>
      <c r="M4296" s="33" t="n">
        <f aca="false">IF(I4296="","",ABS(I4296))</f>
        <v>1.5</v>
      </c>
      <c r="N4296" s="33" t="n">
        <f aca="false">IF(J4296="","",ABS(J4296))</f>
        <v>1.75</v>
      </c>
      <c r="O4296" s="33" t="n">
        <f aca="false">IF(K4296="","",ABS(K4296))</f>
        <v>1.52172851601608</v>
      </c>
      <c r="P4296" s="34" t="str">
        <f aca="false">IF(B4296&gt;=Eval_Start_Week,"YES","")</f>
        <v/>
      </c>
      <c r="Q4296" s="34" t="str">
        <f aca="false">IF(AND(B4296&gt;=Cal_Start_Week,B4296&lt;=Cal_End_Week),"YES","")</f>
        <v/>
      </c>
    </row>
    <row r="4297" customFormat="false" ht="15" hidden="false" customHeight="false" outlineLevel="0" collapsed="false">
      <c r="A4297" s="31" t="str">
        <f aca="false">Demand_History!C4297</f>
        <v>CLN-005</v>
      </c>
      <c r="B4297" s="31" t="n">
        <f aca="false">Demand_History!A4297</f>
        <v>32</v>
      </c>
      <c r="C4297" s="32" t="n">
        <f aca="false">Demand_History!D4297</f>
        <v>50</v>
      </c>
      <c r="D4297" s="33" t="n">
        <f aca="false">IF(B4297&gt;=2,C4296,"")</f>
        <v>46</v>
      </c>
      <c r="E4297" s="33" t="n">
        <f aca="false">IF(B4297&gt;=5,AVERAGE(C4293:C4296),"")</f>
        <v>45.25</v>
      </c>
      <c r="F4297" s="33" t="n">
        <f aca="false">IF(B4297&gt;=9,AVERAGE(C4289:C4296),"")</f>
        <v>45.25</v>
      </c>
      <c r="G4297" s="33" t="n">
        <f aca="false">IF(B4297=1,"",IF(B4297=2,C4296,SES_Alpha*C4296+(1-SES_Alpha)*G4296))</f>
        <v>44.9347900387887</v>
      </c>
      <c r="H4297" s="33" t="n">
        <f aca="false">IF(D4297="","",D4297-C4297)</f>
        <v>-4</v>
      </c>
      <c r="I4297" s="33" t="n">
        <f aca="false">IF(E4297="","",E4297-C4297)</f>
        <v>-4.75</v>
      </c>
      <c r="J4297" s="33" t="n">
        <f aca="false">IF(F4297="","",F4297-C4297)</f>
        <v>-4.75</v>
      </c>
      <c r="K4297" s="33" t="n">
        <f aca="false">IF(G4297="","",G4297-C4297)</f>
        <v>-5.06520996121126</v>
      </c>
      <c r="L4297" s="33" t="n">
        <f aca="false">IF(H4297="","",ABS(H4297))</f>
        <v>4</v>
      </c>
      <c r="M4297" s="33" t="n">
        <f aca="false">IF(I4297="","",ABS(I4297))</f>
        <v>4.75</v>
      </c>
      <c r="N4297" s="33" t="n">
        <f aca="false">IF(J4297="","",ABS(J4297))</f>
        <v>4.75</v>
      </c>
      <c r="O4297" s="33" t="n">
        <f aca="false">IF(K4297="","",ABS(K4297))</f>
        <v>5.06520996121126</v>
      </c>
      <c r="P4297" s="34" t="str">
        <f aca="false">IF(B4297&gt;=Eval_Start_Week,"YES","")</f>
        <v/>
      </c>
      <c r="Q4297" s="34" t="str">
        <f aca="false">IF(AND(B4297&gt;=Cal_Start_Week,B4297&lt;=Cal_End_Week),"YES","")</f>
        <v/>
      </c>
    </row>
    <row r="4298" customFormat="false" ht="15" hidden="false" customHeight="false" outlineLevel="0" collapsed="false">
      <c r="A4298" s="31" t="str">
        <f aca="false">Demand_History!C4298</f>
        <v>CLN-005</v>
      </c>
      <c r="B4298" s="31" t="n">
        <f aca="false">Demand_History!A4298</f>
        <v>33</v>
      </c>
      <c r="C4298" s="32" t="n">
        <f aca="false">Demand_History!D4298</f>
        <v>41</v>
      </c>
      <c r="D4298" s="33" t="n">
        <f aca="false">IF(B4298&gt;=2,C4297,"")</f>
        <v>50</v>
      </c>
      <c r="E4298" s="33" t="n">
        <f aca="false">IF(B4298&gt;=5,AVERAGE(C4294:C4297),"")</f>
        <v>44.75</v>
      </c>
      <c r="F4298" s="33" t="n">
        <f aca="false">IF(B4298&gt;=9,AVERAGE(C4290:C4297),"")</f>
        <v>45.625</v>
      </c>
      <c r="G4298" s="33" t="n">
        <f aca="false">IF(B4298=1,"",IF(B4298=2,C4297,SES_Alpha*C4297+(1-SES_Alpha)*G4297))</f>
        <v>46.4543530271521</v>
      </c>
      <c r="H4298" s="33" t="n">
        <f aca="false">IF(D4298="","",D4298-C4298)</f>
        <v>9</v>
      </c>
      <c r="I4298" s="33" t="n">
        <f aca="false">IF(E4298="","",E4298-C4298)</f>
        <v>3.75</v>
      </c>
      <c r="J4298" s="33" t="n">
        <f aca="false">IF(F4298="","",F4298-C4298)</f>
        <v>4.625</v>
      </c>
      <c r="K4298" s="33" t="n">
        <f aca="false">IF(G4298="","",G4298-C4298)</f>
        <v>5.45435302715212</v>
      </c>
      <c r="L4298" s="33" t="n">
        <f aca="false">IF(H4298="","",ABS(H4298))</f>
        <v>9</v>
      </c>
      <c r="M4298" s="33" t="n">
        <f aca="false">IF(I4298="","",ABS(I4298))</f>
        <v>3.75</v>
      </c>
      <c r="N4298" s="33" t="n">
        <f aca="false">IF(J4298="","",ABS(J4298))</f>
        <v>4.625</v>
      </c>
      <c r="O4298" s="33" t="n">
        <f aca="false">IF(K4298="","",ABS(K4298))</f>
        <v>5.45435302715212</v>
      </c>
      <c r="P4298" s="34" t="str">
        <f aca="false">IF(B4298&gt;=Eval_Start_Week,"YES","")</f>
        <v/>
      </c>
      <c r="Q4298" s="34" t="str">
        <f aca="false">IF(AND(B4298&gt;=Cal_Start_Week,B4298&lt;=Cal_End_Week),"YES","")</f>
        <v/>
      </c>
    </row>
    <row r="4299" customFormat="false" ht="15" hidden="false" customHeight="false" outlineLevel="0" collapsed="false">
      <c r="A4299" s="31" t="str">
        <f aca="false">Demand_History!C4299</f>
        <v>CLN-005</v>
      </c>
      <c r="B4299" s="31" t="n">
        <f aca="false">Demand_History!A4299</f>
        <v>34</v>
      </c>
      <c r="C4299" s="32" t="n">
        <f aca="false">Demand_History!D4299</f>
        <v>57</v>
      </c>
      <c r="D4299" s="33" t="n">
        <f aca="false">IF(B4299&gt;=2,C4298,"")</f>
        <v>41</v>
      </c>
      <c r="E4299" s="33" t="n">
        <f aca="false">IF(B4299&gt;=5,AVERAGE(C4295:C4298),"")</f>
        <v>45.25</v>
      </c>
      <c r="F4299" s="33" t="n">
        <f aca="false">IF(B4299&gt;=9,AVERAGE(C4291:C4298),"")</f>
        <v>44.75</v>
      </c>
      <c r="G4299" s="33" t="n">
        <f aca="false">IF(B4299=1,"",IF(B4299=2,C4298,SES_Alpha*C4298+(1-SES_Alpha)*G4298))</f>
        <v>44.8180471190065</v>
      </c>
      <c r="H4299" s="33" t="n">
        <f aca="false">IF(D4299="","",D4299-C4299)</f>
        <v>-16</v>
      </c>
      <c r="I4299" s="33" t="n">
        <f aca="false">IF(E4299="","",E4299-C4299)</f>
        <v>-11.75</v>
      </c>
      <c r="J4299" s="33" t="n">
        <f aca="false">IF(F4299="","",F4299-C4299)</f>
        <v>-12.25</v>
      </c>
      <c r="K4299" s="33" t="n">
        <f aca="false">IF(G4299="","",G4299-C4299)</f>
        <v>-12.1819528809935</v>
      </c>
      <c r="L4299" s="33" t="n">
        <f aca="false">IF(H4299="","",ABS(H4299))</f>
        <v>16</v>
      </c>
      <c r="M4299" s="33" t="n">
        <f aca="false">IF(I4299="","",ABS(I4299))</f>
        <v>11.75</v>
      </c>
      <c r="N4299" s="33" t="n">
        <f aca="false">IF(J4299="","",ABS(J4299))</f>
        <v>12.25</v>
      </c>
      <c r="O4299" s="33" t="n">
        <f aca="false">IF(K4299="","",ABS(K4299))</f>
        <v>12.1819528809935</v>
      </c>
      <c r="P4299" s="34" t="str">
        <f aca="false">IF(B4299&gt;=Eval_Start_Week,"YES","")</f>
        <v/>
      </c>
      <c r="Q4299" s="34" t="str">
        <f aca="false">IF(AND(B4299&gt;=Cal_Start_Week,B4299&lt;=Cal_End_Week),"YES","")</f>
        <v/>
      </c>
    </row>
    <row r="4300" customFormat="false" ht="15" hidden="false" customHeight="false" outlineLevel="0" collapsed="false">
      <c r="A4300" s="31" t="str">
        <f aca="false">Demand_History!C4300</f>
        <v>CLN-005</v>
      </c>
      <c r="B4300" s="31" t="n">
        <f aca="false">Demand_History!A4300</f>
        <v>35</v>
      </c>
      <c r="C4300" s="32" t="n">
        <f aca="false">Demand_History!D4300</f>
        <v>48</v>
      </c>
      <c r="D4300" s="33" t="n">
        <f aca="false">IF(B4300&gt;=2,C4299,"")</f>
        <v>57</v>
      </c>
      <c r="E4300" s="33" t="n">
        <f aca="false">IF(B4300&gt;=5,AVERAGE(C4296:C4299),"")</f>
        <v>48.5</v>
      </c>
      <c r="F4300" s="33" t="n">
        <f aca="false">IF(B4300&gt;=9,AVERAGE(C4292:C4299),"")</f>
        <v>46.5</v>
      </c>
      <c r="G4300" s="33" t="n">
        <f aca="false">IF(B4300=1,"",IF(B4300=2,C4299,SES_Alpha*C4299+(1-SES_Alpha)*G4299))</f>
        <v>48.4726329833045</v>
      </c>
      <c r="H4300" s="33" t="n">
        <f aca="false">IF(D4300="","",D4300-C4300)</f>
        <v>9</v>
      </c>
      <c r="I4300" s="33" t="n">
        <f aca="false">IF(E4300="","",E4300-C4300)</f>
        <v>0.5</v>
      </c>
      <c r="J4300" s="33" t="n">
        <f aca="false">IF(F4300="","",F4300-C4300)</f>
        <v>-1.5</v>
      </c>
      <c r="K4300" s="33" t="n">
        <f aca="false">IF(G4300="","",G4300-C4300)</f>
        <v>0.472632983304536</v>
      </c>
      <c r="L4300" s="33" t="n">
        <f aca="false">IF(H4300="","",ABS(H4300))</f>
        <v>9</v>
      </c>
      <c r="M4300" s="33" t="n">
        <f aca="false">IF(I4300="","",ABS(I4300))</f>
        <v>0.5</v>
      </c>
      <c r="N4300" s="33" t="n">
        <f aca="false">IF(J4300="","",ABS(J4300))</f>
        <v>1.5</v>
      </c>
      <c r="O4300" s="33" t="n">
        <f aca="false">IF(K4300="","",ABS(K4300))</f>
        <v>0.472632983304536</v>
      </c>
      <c r="P4300" s="34" t="str">
        <f aca="false">IF(B4300&gt;=Eval_Start_Week,"YES","")</f>
        <v/>
      </c>
      <c r="Q4300" s="34" t="str">
        <f aca="false">IF(AND(B4300&gt;=Cal_Start_Week,B4300&lt;=Cal_End_Week),"YES","")</f>
        <v/>
      </c>
    </row>
    <row r="4301" customFormat="false" ht="15" hidden="false" customHeight="false" outlineLevel="0" collapsed="false">
      <c r="A4301" s="31" t="str">
        <f aca="false">Demand_History!C4301</f>
        <v>CLN-005</v>
      </c>
      <c r="B4301" s="31" t="n">
        <f aca="false">Demand_History!A4301</f>
        <v>36</v>
      </c>
      <c r="C4301" s="32" t="n">
        <f aca="false">Demand_History!D4301</f>
        <v>48</v>
      </c>
      <c r="D4301" s="33" t="n">
        <f aca="false">IF(B4301&gt;=2,C4300,"")</f>
        <v>48</v>
      </c>
      <c r="E4301" s="33" t="n">
        <f aca="false">IF(B4301&gt;=5,AVERAGE(C4297:C4300),"")</f>
        <v>49</v>
      </c>
      <c r="F4301" s="33" t="n">
        <f aca="false">IF(B4301&gt;=9,AVERAGE(C4293:C4300),"")</f>
        <v>47.125</v>
      </c>
      <c r="G4301" s="33" t="n">
        <f aca="false">IF(B4301=1,"",IF(B4301=2,C4300,SES_Alpha*C4300+(1-SES_Alpha)*G4300))</f>
        <v>48.3308430883132</v>
      </c>
      <c r="H4301" s="33" t="n">
        <f aca="false">IF(D4301="","",D4301-C4301)</f>
        <v>0</v>
      </c>
      <c r="I4301" s="33" t="n">
        <f aca="false">IF(E4301="","",E4301-C4301)</f>
        <v>1</v>
      </c>
      <c r="J4301" s="33" t="n">
        <f aca="false">IF(F4301="","",F4301-C4301)</f>
        <v>-0.875</v>
      </c>
      <c r="K4301" s="33" t="n">
        <f aca="false">IF(G4301="","",G4301-C4301)</f>
        <v>0.330843088313173</v>
      </c>
      <c r="L4301" s="33" t="n">
        <f aca="false">IF(H4301="","",ABS(H4301))</f>
        <v>0</v>
      </c>
      <c r="M4301" s="33" t="n">
        <f aca="false">IF(I4301="","",ABS(I4301))</f>
        <v>1</v>
      </c>
      <c r="N4301" s="33" t="n">
        <f aca="false">IF(J4301="","",ABS(J4301))</f>
        <v>0.875</v>
      </c>
      <c r="O4301" s="33" t="n">
        <f aca="false">IF(K4301="","",ABS(K4301))</f>
        <v>0.330843088313173</v>
      </c>
      <c r="P4301" s="34" t="str">
        <f aca="false">IF(B4301&gt;=Eval_Start_Week,"YES","")</f>
        <v/>
      </c>
      <c r="Q4301" s="34" t="str">
        <f aca="false">IF(AND(B4301&gt;=Cal_Start_Week,B4301&lt;=Cal_End_Week),"YES","")</f>
        <v/>
      </c>
    </row>
    <row r="4302" customFormat="false" ht="15" hidden="false" customHeight="false" outlineLevel="0" collapsed="false">
      <c r="A4302" s="31" t="str">
        <f aca="false">Demand_History!C4302</f>
        <v>CLN-005</v>
      </c>
      <c r="B4302" s="31" t="n">
        <f aca="false">Demand_History!A4302</f>
        <v>37</v>
      </c>
      <c r="C4302" s="32" t="n">
        <f aca="false">Demand_History!D4302</f>
        <v>47</v>
      </c>
      <c r="D4302" s="33" t="n">
        <f aca="false">IF(B4302&gt;=2,C4301,"")</f>
        <v>48</v>
      </c>
      <c r="E4302" s="33" t="n">
        <f aca="false">IF(B4302&gt;=5,AVERAGE(C4298:C4301),"")</f>
        <v>48.5</v>
      </c>
      <c r="F4302" s="33" t="n">
        <f aca="false">IF(B4302&gt;=9,AVERAGE(C4294:C4301),"")</f>
        <v>46.625</v>
      </c>
      <c r="G4302" s="33" t="n">
        <f aca="false">IF(B4302=1,"",IF(B4302=2,C4301,SES_Alpha*C4301+(1-SES_Alpha)*G4301))</f>
        <v>48.2315901618192</v>
      </c>
      <c r="H4302" s="33" t="n">
        <f aca="false">IF(D4302="","",D4302-C4302)</f>
        <v>1</v>
      </c>
      <c r="I4302" s="33" t="n">
        <f aca="false">IF(E4302="","",E4302-C4302)</f>
        <v>1.5</v>
      </c>
      <c r="J4302" s="33" t="n">
        <f aca="false">IF(F4302="","",F4302-C4302)</f>
        <v>-0.375</v>
      </c>
      <c r="K4302" s="33" t="n">
        <f aca="false">IF(G4302="","",G4302-C4302)</f>
        <v>1.23159016181922</v>
      </c>
      <c r="L4302" s="33" t="n">
        <f aca="false">IF(H4302="","",ABS(H4302))</f>
        <v>1</v>
      </c>
      <c r="M4302" s="33" t="n">
        <f aca="false">IF(I4302="","",ABS(I4302))</f>
        <v>1.5</v>
      </c>
      <c r="N4302" s="33" t="n">
        <f aca="false">IF(J4302="","",ABS(J4302))</f>
        <v>0.375</v>
      </c>
      <c r="O4302" s="33" t="n">
        <f aca="false">IF(K4302="","",ABS(K4302))</f>
        <v>1.23159016181922</v>
      </c>
      <c r="P4302" s="34" t="str">
        <f aca="false">IF(B4302&gt;=Eval_Start_Week,"YES","")</f>
        <v/>
      </c>
      <c r="Q4302" s="34" t="str">
        <f aca="false">IF(AND(B4302&gt;=Cal_Start_Week,B4302&lt;=Cal_End_Week),"YES","")</f>
        <v>YES</v>
      </c>
    </row>
    <row r="4303" customFormat="false" ht="15" hidden="false" customHeight="false" outlineLevel="0" collapsed="false">
      <c r="A4303" s="31" t="str">
        <f aca="false">Demand_History!C4303</f>
        <v>CLN-005</v>
      </c>
      <c r="B4303" s="31" t="n">
        <f aca="false">Demand_History!A4303</f>
        <v>38</v>
      </c>
      <c r="C4303" s="32" t="n">
        <f aca="false">Demand_History!D4303</f>
        <v>45</v>
      </c>
      <c r="D4303" s="33" t="n">
        <f aca="false">IF(B4303&gt;=2,C4302,"")</f>
        <v>47</v>
      </c>
      <c r="E4303" s="33" t="n">
        <f aca="false">IF(B4303&gt;=5,AVERAGE(C4299:C4302),"")</f>
        <v>50</v>
      </c>
      <c r="F4303" s="33" t="n">
        <f aca="false">IF(B4303&gt;=9,AVERAGE(C4295:C4302),"")</f>
        <v>47.625</v>
      </c>
      <c r="G4303" s="33" t="n">
        <f aca="false">IF(B4303=1,"",IF(B4303=2,C4302,SES_Alpha*C4302+(1-SES_Alpha)*G4302))</f>
        <v>47.8621131132735</v>
      </c>
      <c r="H4303" s="33" t="n">
        <f aca="false">IF(D4303="","",D4303-C4303)</f>
        <v>2</v>
      </c>
      <c r="I4303" s="33" t="n">
        <f aca="false">IF(E4303="","",E4303-C4303)</f>
        <v>5</v>
      </c>
      <c r="J4303" s="33" t="n">
        <f aca="false">IF(F4303="","",F4303-C4303)</f>
        <v>2.625</v>
      </c>
      <c r="K4303" s="33" t="n">
        <f aca="false">IF(G4303="","",G4303-C4303)</f>
        <v>2.86211311327345</v>
      </c>
      <c r="L4303" s="33" t="n">
        <f aca="false">IF(H4303="","",ABS(H4303))</f>
        <v>2</v>
      </c>
      <c r="M4303" s="33" t="n">
        <f aca="false">IF(I4303="","",ABS(I4303))</f>
        <v>5</v>
      </c>
      <c r="N4303" s="33" t="n">
        <f aca="false">IF(J4303="","",ABS(J4303))</f>
        <v>2.625</v>
      </c>
      <c r="O4303" s="33" t="n">
        <f aca="false">IF(K4303="","",ABS(K4303))</f>
        <v>2.86211311327345</v>
      </c>
      <c r="P4303" s="34" t="str">
        <f aca="false">IF(B4303&gt;=Eval_Start_Week,"YES","")</f>
        <v/>
      </c>
      <c r="Q4303" s="34" t="str">
        <f aca="false">IF(AND(B4303&gt;=Cal_Start_Week,B4303&lt;=Cal_End_Week),"YES","")</f>
        <v>YES</v>
      </c>
    </row>
    <row r="4304" customFormat="false" ht="15" hidden="false" customHeight="false" outlineLevel="0" collapsed="false">
      <c r="A4304" s="31" t="str">
        <f aca="false">Demand_History!C4304</f>
        <v>CLN-005</v>
      </c>
      <c r="B4304" s="31" t="n">
        <f aca="false">Demand_History!A4304</f>
        <v>39</v>
      </c>
      <c r="C4304" s="32" t="n">
        <f aca="false">Demand_History!D4304</f>
        <v>43</v>
      </c>
      <c r="D4304" s="33" t="n">
        <f aca="false">IF(B4304&gt;=2,C4303,"")</f>
        <v>45</v>
      </c>
      <c r="E4304" s="33" t="n">
        <f aca="false">IF(B4304&gt;=5,AVERAGE(C4300:C4303),"")</f>
        <v>47</v>
      </c>
      <c r="F4304" s="33" t="n">
        <f aca="false">IF(B4304&gt;=9,AVERAGE(C4296:C4303),"")</f>
        <v>47.75</v>
      </c>
      <c r="G4304" s="33" t="n">
        <f aca="false">IF(B4304=1,"",IF(B4304=2,C4303,SES_Alpha*C4303+(1-SES_Alpha)*G4303))</f>
        <v>47.0034791792914</v>
      </c>
      <c r="H4304" s="33" t="n">
        <f aca="false">IF(D4304="","",D4304-C4304)</f>
        <v>2</v>
      </c>
      <c r="I4304" s="33" t="n">
        <f aca="false">IF(E4304="","",E4304-C4304)</f>
        <v>4</v>
      </c>
      <c r="J4304" s="33" t="n">
        <f aca="false">IF(F4304="","",F4304-C4304)</f>
        <v>4.75</v>
      </c>
      <c r="K4304" s="33" t="n">
        <f aca="false">IF(G4304="","",G4304-C4304)</f>
        <v>4.00347917929142</v>
      </c>
      <c r="L4304" s="33" t="n">
        <f aca="false">IF(H4304="","",ABS(H4304))</f>
        <v>2</v>
      </c>
      <c r="M4304" s="33" t="n">
        <f aca="false">IF(I4304="","",ABS(I4304))</f>
        <v>4</v>
      </c>
      <c r="N4304" s="33" t="n">
        <f aca="false">IF(J4304="","",ABS(J4304))</f>
        <v>4.75</v>
      </c>
      <c r="O4304" s="33" t="n">
        <f aca="false">IF(K4304="","",ABS(K4304))</f>
        <v>4.00347917929142</v>
      </c>
      <c r="P4304" s="34" t="str">
        <f aca="false">IF(B4304&gt;=Eval_Start_Week,"YES","")</f>
        <v/>
      </c>
      <c r="Q4304" s="34" t="str">
        <f aca="false">IF(AND(B4304&gt;=Cal_Start_Week,B4304&lt;=Cal_End_Week),"YES","")</f>
        <v>YES</v>
      </c>
    </row>
    <row r="4305" customFormat="false" ht="15" hidden="false" customHeight="false" outlineLevel="0" collapsed="false">
      <c r="A4305" s="31" t="str">
        <f aca="false">Demand_History!C4305</f>
        <v>CLN-005</v>
      </c>
      <c r="B4305" s="31" t="n">
        <f aca="false">Demand_History!A4305</f>
        <v>40</v>
      </c>
      <c r="C4305" s="32" t="n">
        <f aca="false">Demand_History!D4305</f>
        <v>57</v>
      </c>
      <c r="D4305" s="33" t="n">
        <f aca="false">IF(B4305&gt;=2,C4304,"")</f>
        <v>43</v>
      </c>
      <c r="E4305" s="33" t="n">
        <f aca="false">IF(B4305&gt;=5,AVERAGE(C4301:C4304),"")</f>
        <v>45.75</v>
      </c>
      <c r="F4305" s="33" t="n">
        <f aca="false">IF(B4305&gt;=9,AVERAGE(C4297:C4304),"")</f>
        <v>47.375</v>
      </c>
      <c r="G4305" s="33" t="n">
        <f aca="false">IF(B4305=1,"",IF(B4305=2,C4304,SES_Alpha*C4304+(1-SES_Alpha)*G4304))</f>
        <v>45.802435425504</v>
      </c>
      <c r="H4305" s="33" t="n">
        <f aca="false">IF(D4305="","",D4305-C4305)</f>
        <v>-14</v>
      </c>
      <c r="I4305" s="33" t="n">
        <f aca="false">IF(E4305="","",E4305-C4305)</f>
        <v>-11.25</v>
      </c>
      <c r="J4305" s="33" t="n">
        <f aca="false">IF(F4305="","",F4305-C4305)</f>
        <v>-9.625</v>
      </c>
      <c r="K4305" s="33" t="n">
        <f aca="false">IF(G4305="","",G4305-C4305)</f>
        <v>-11.197564574496</v>
      </c>
      <c r="L4305" s="33" t="n">
        <f aca="false">IF(H4305="","",ABS(H4305))</f>
        <v>14</v>
      </c>
      <c r="M4305" s="33" t="n">
        <f aca="false">IF(I4305="","",ABS(I4305))</f>
        <v>11.25</v>
      </c>
      <c r="N4305" s="33" t="n">
        <f aca="false">IF(J4305="","",ABS(J4305))</f>
        <v>9.625</v>
      </c>
      <c r="O4305" s="33" t="n">
        <f aca="false">IF(K4305="","",ABS(K4305))</f>
        <v>11.197564574496</v>
      </c>
      <c r="P4305" s="34" t="str">
        <f aca="false">IF(B4305&gt;=Eval_Start_Week,"YES","")</f>
        <v/>
      </c>
      <c r="Q4305" s="34" t="str">
        <f aca="false">IF(AND(B4305&gt;=Cal_Start_Week,B4305&lt;=Cal_End_Week),"YES","")</f>
        <v>YES</v>
      </c>
    </row>
    <row r="4306" customFormat="false" ht="15" hidden="false" customHeight="false" outlineLevel="0" collapsed="false">
      <c r="A4306" s="31" t="str">
        <f aca="false">Demand_History!C4306</f>
        <v>CLN-005</v>
      </c>
      <c r="B4306" s="31" t="n">
        <f aca="false">Demand_History!A4306</f>
        <v>41</v>
      </c>
      <c r="C4306" s="32" t="n">
        <f aca="false">Demand_History!D4306</f>
        <v>51</v>
      </c>
      <c r="D4306" s="33" t="n">
        <f aca="false">IF(B4306&gt;=2,C4305,"")</f>
        <v>57</v>
      </c>
      <c r="E4306" s="33" t="n">
        <f aca="false">IF(B4306&gt;=5,AVERAGE(C4302:C4305),"")</f>
        <v>48</v>
      </c>
      <c r="F4306" s="33" t="n">
        <f aca="false">IF(B4306&gt;=9,AVERAGE(C4298:C4305),"")</f>
        <v>48.25</v>
      </c>
      <c r="G4306" s="33" t="n">
        <f aca="false">IF(B4306=1,"",IF(B4306=2,C4305,SES_Alpha*C4305+(1-SES_Alpha)*G4305))</f>
        <v>49.1617047978528</v>
      </c>
      <c r="H4306" s="33" t="n">
        <f aca="false">IF(D4306="","",D4306-C4306)</f>
        <v>6</v>
      </c>
      <c r="I4306" s="33" t="n">
        <f aca="false">IF(E4306="","",E4306-C4306)</f>
        <v>-3</v>
      </c>
      <c r="J4306" s="33" t="n">
        <f aca="false">IF(F4306="","",F4306-C4306)</f>
        <v>-2.75</v>
      </c>
      <c r="K4306" s="33" t="n">
        <f aca="false">IF(G4306="","",G4306-C4306)</f>
        <v>-1.83829520214721</v>
      </c>
      <c r="L4306" s="33" t="n">
        <f aca="false">IF(H4306="","",ABS(H4306))</f>
        <v>6</v>
      </c>
      <c r="M4306" s="33" t="n">
        <f aca="false">IF(I4306="","",ABS(I4306))</f>
        <v>3</v>
      </c>
      <c r="N4306" s="33" t="n">
        <f aca="false">IF(J4306="","",ABS(J4306))</f>
        <v>2.75</v>
      </c>
      <c r="O4306" s="33" t="n">
        <f aca="false">IF(K4306="","",ABS(K4306))</f>
        <v>1.83829520214721</v>
      </c>
      <c r="P4306" s="34" t="str">
        <f aca="false">IF(B4306&gt;=Eval_Start_Week,"YES","")</f>
        <v/>
      </c>
      <c r="Q4306" s="34" t="str">
        <f aca="false">IF(AND(B4306&gt;=Cal_Start_Week,B4306&lt;=Cal_End_Week),"YES","")</f>
        <v>YES</v>
      </c>
    </row>
    <row r="4307" customFormat="false" ht="15" hidden="false" customHeight="false" outlineLevel="0" collapsed="false">
      <c r="A4307" s="31" t="str">
        <f aca="false">Demand_History!C4307</f>
        <v>CLN-005</v>
      </c>
      <c r="B4307" s="31" t="n">
        <f aca="false">Demand_History!A4307</f>
        <v>42</v>
      </c>
      <c r="C4307" s="32" t="n">
        <f aca="false">Demand_History!D4307</f>
        <v>49</v>
      </c>
      <c r="D4307" s="33" t="n">
        <f aca="false">IF(B4307&gt;=2,C4306,"")</f>
        <v>51</v>
      </c>
      <c r="E4307" s="33" t="n">
        <f aca="false">IF(B4307&gt;=5,AVERAGE(C4303:C4306),"")</f>
        <v>49</v>
      </c>
      <c r="F4307" s="33" t="n">
        <f aca="false">IF(B4307&gt;=9,AVERAGE(C4299:C4306),"")</f>
        <v>49.5</v>
      </c>
      <c r="G4307" s="33" t="n">
        <f aca="false">IF(B4307=1,"",IF(B4307=2,C4306,SES_Alpha*C4306+(1-SES_Alpha)*G4306))</f>
        <v>49.713193358497</v>
      </c>
      <c r="H4307" s="33" t="n">
        <f aca="false">IF(D4307="","",D4307-C4307)</f>
        <v>2</v>
      </c>
      <c r="I4307" s="33" t="n">
        <f aca="false">IF(E4307="","",E4307-C4307)</f>
        <v>0</v>
      </c>
      <c r="J4307" s="33" t="n">
        <f aca="false">IF(F4307="","",F4307-C4307)</f>
        <v>0.5</v>
      </c>
      <c r="K4307" s="33" t="n">
        <f aca="false">IF(G4307="","",G4307-C4307)</f>
        <v>0.713193358496952</v>
      </c>
      <c r="L4307" s="33" t="n">
        <f aca="false">IF(H4307="","",ABS(H4307))</f>
        <v>2</v>
      </c>
      <c r="M4307" s="33" t="n">
        <f aca="false">IF(I4307="","",ABS(I4307))</f>
        <v>0</v>
      </c>
      <c r="N4307" s="33" t="n">
        <f aca="false">IF(J4307="","",ABS(J4307))</f>
        <v>0.5</v>
      </c>
      <c r="O4307" s="33" t="n">
        <f aca="false">IF(K4307="","",ABS(K4307))</f>
        <v>0.713193358496952</v>
      </c>
      <c r="P4307" s="34" t="str">
        <f aca="false">IF(B4307&gt;=Eval_Start_Week,"YES","")</f>
        <v/>
      </c>
      <c r="Q4307" s="34" t="str">
        <f aca="false">IF(AND(B4307&gt;=Cal_Start_Week,B4307&lt;=Cal_End_Week),"YES","")</f>
        <v>YES</v>
      </c>
    </row>
    <row r="4308" customFormat="false" ht="15" hidden="false" customHeight="false" outlineLevel="0" collapsed="false">
      <c r="A4308" s="31" t="str">
        <f aca="false">Demand_History!C4308</f>
        <v>CLN-005</v>
      </c>
      <c r="B4308" s="31" t="n">
        <f aca="false">Demand_History!A4308</f>
        <v>43</v>
      </c>
      <c r="C4308" s="32" t="n">
        <f aca="false">Demand_History!D4308</f>
        <v>56</v>
      </c>
      <c r="D4308" s="33" t="n">
        <f aca="false">IF(B4308&gt;=2,C4307,"")</f>
        <v>49</v>
      </c>
      <c r="E4308" s="33" t="n">
        <f aca="false">IF(B4308&gt;=5,AVERAGE(C4304:C4307),"")</f>
        <v>50</v>
      </c>
      <c r="F4308" s="33" t="n">
        <f aca="false">IF(B4308&gt;=9,AVERAGE(C4300:C4307),"")</f>
        <v>48.5</v>
      </c>
      <c r="G4308" s="33" t="n">
        <f aca="false">IF(B4308=1,"",IF(B4308=2,C4307,SES_Alpha*C4307+(1-SES_Alpha)*G4307))</f>
        <v>49.4992353509479</v>
      </c>
      <c r="H4308" s="33" t="n">
        <f aca="false">IF(D4308="","",D4308-C4308)</f>
        <v>-7</v>
      </c>
      <c r="I4308" s="33" t="n">
        <f aca="false">IF(E4308="","",E4308-C4308)</f>
        <v>-6</v>
      </c>
      <c r="J4308" s="33" t="n">
        <f aca="false">IF(F4308="","",F4308-C4308)</f>
        <v>-7.5</v>
      </c>
      <c r="K4308" s="33" t="n">
        <f aca="false">IF(G4308="","",G4308-C4308)</f>
        <v>-6.50076464905214</v>
      </c>
      <c r="L4308" s="33" t="n">
        <f aca="false">IF(H4308="","",ABS(H4308))</f>
        <v>7</v>
      </c>
      <c r="M4308" s="33" t="n">
        <f aca="false">IF(I4308="","",ABS(I4308))</f>
        <v>6</v>
      </c>
      <c r="N4308" s="33" t="n">
        <f aca="false">IF(J4308="","",ABS(J4308))</f>
        <v>7.5</v>
      </c>
      <c r="O4308" s="33" t="n">
        <f aca="false">IF(K4308="","",ABS(K4308))</f>
        <v>6.50076464905214</v>
      </c>
      <c r="P4308" s="34" t="str">
        <f aca="false">IF(B4308&gt;=Eval_Start_Week,"YES","")</f>
        <v/>
      </c>
      <c r="Q4308" s="34" t="str">
        <f aca="false">IF(AND(B4308&gt;=Cal_Start_Week,B4308&lt;=Cal_End_Week),"YES","")</f>
        <v>YES</v>
      </c>
    </row>
    <row r="4309" customFormat="false" ht="15" hidden="false" customHeight="false" outlineLevel="0" collapsed="false">
      <c r="A4309" s="31" t="str">
        <f aca="false">Demand_History!C4309</f>
        <v>CLN-005</v>
      </c>
      <c r="B4309" s="31" t="n">
        <f aca="false">Demand_History!A4309</f>
        <v>44</v>
      </c>
      <c r="C4309" s="32" t="n">
        <f aca="false">Demand_History!D4309</f>
        <v>45</v>
      </c>
      <c r="D4309" s="33" t="n">
        <f aca="false">IF(B4309&gt;=2,C4308,"")</f>
        <v>56</v>
      </c>
      <c r="E4309" s="33" t="n">
        <f aca="false">IF(B4309&gt;=5,AVERAGE(C4305:C4308),"")</f>
        <v>53.25</v>
      </c>
      <c r="F4309" s="33" t="n">
        <f aca="false">IF(B4309&gt;=9,AVERAGE(C4301:C4308),"")</f>
        <v>49.5</v>
      </c>
      <c r="G4309" s="33" t="n">
        <f aca="false">IF(B4309=1,"",IF(B4309=2,C4308,SES_Alpha*C4308+(1-SES_Alpha)*G4308))</f>
        <v>51.4494647456635</v>
      </c>
      <c r="H4309" s="33" t="n">
        <f aca="false">IF(D4309="","",D4309-C4309)</f>
        <v>11</v>
      </c>
      <c r="I4309" s="33" t="n">
        <f aca="false">IF(E4309="","",E4309-C4309)</f>
        <v>8.25</v>
      </c>
      <c r="J4309" s="33" t="n">
        <f aca="false">IF(F4309="","",F4309-C4309)</f>
        <v>4.5</v>
      </c>
      <c r="K4309" s="33" t="n">
        <f aca="false">IF(G4309="","",G4309-C4309)</f>
        <v>6.44946474566349</v>
      </c>
      <c r="L4309" s="33" t="n">
        <f aca="false">IF(H4309="","",ABS(H4309))</f>
        <v>11</v>
      </c>
      <c r="M4309" s="33" t="n">
        <f aca="false">IF(I4309="","",ABS(I4309))</f>
        <v>8.25</v>
      </c>
      <c r="N4309" s="33" t="n">
        <f aca="false">IF(J4309="","",ABS(J4309))</f>
        <v>4.5</v>
      </c>
      <c r="O4309" s="33" t="n">
        <f aca="false">IF(K4309="","",ABS(K4309))</f>
        <v>6.44946474566349</v>
      </c>
      <c r="P4309" s="34" t="str">
        <f aca="false">IF(B4309&gt;=Eval_Start_Week,"YES","")</f>
        <v/>
      </c>
      <c r="Q4309" s="34" t="str">
        <f aca="false">IF(AND(B4309&gt;=Cal_Start_Week,B4309&lt;=Cal_End_Week),"YES","")</f>
        <v>YES</v>
      </c>
    </row>
    <row r="4310" customFormat="false" ht="15" hidden="false" customHeight="false" outlineLevel="0" collapsed="false">
      <c r="A4310" s="31" t="str">
        <f aca="false">Demand_History!C4310</f>
        <v>CLN-005</v>
      </c>
      <c r="B4310" s="31" t="n">
        <f aca="false">Demand_History!A4310</f>
        <v>45</v>
      </c>
      <c r="C4310" s="32" t="n">
        <f aca="false">Demand_History!D4310</f>
        <v>54</v>
      </c>
      <c r="D4310" s="33" t="n">
        <f aca="false">IF(B4310&gt;=2,C4309,"")</f>
        <v>45</v>
      </c>
      <c r="E4310" s="33" t="n">
        <f aca="false">IF(B4310&gt;=5,AVERAGE(C4306:C4309),"")</f>
        <v>50.25</v>
      </c>
      <c r="F4310" s="33" t="n">
        <f aca="false">IF(B4310&gt;=9,AVERAGE(C4302:C4309),"")</f>
        <v>49.125</v>
      </c>
      <c r="G4310" s="33" t="n">
        <f aca="false">IF(B4310=1,"",IF(B4310=2,C4309,SES_Alpha*C4309+(1-SES_Alpha)*G4309))</f>
        <v>49.5146253219644</v>
      </c>
      <c r="H4310" s="33" t="n">
        <f aca="false">IF(D4310="","",D4310-C4310)</f>
        <v>-9</v>
      </c>
      <c r="I4310" s="33" t="n">
        <f aca="false">IF(E4310="","",E4310-C4310)</f>
        <v>-3.75</v>
      </c>
      <c r="J4310" s="33" t="n">
        <f aca="false">IF(F4310="","",F4310-C4310)</f>
        <v>-4.875</v>
      </c>
      <c r="K4310" s="33" t="n">
        <f aca="false">IF(G4310="","",G4310-C4310)</f>
        <v>-4.48537467803556</v>
      </c>
      <c r="L4310" s="33" t="n">
        <f aca="false">IF(H4310="","",ABS(H4310))</f>
        <v>9</v>
      </c>
      <c r="M4310" s="33" t="n">
        <f aca="false">IF(I4310="","",ABS(I4310))</f>
        <v>3.75</v>
      </c>
      <c r="N4310" s="33" t="n">
        <f aca="false">IF(J4310="","",ABS(J4310))</f>
        <v>4.875</v>
      </c>
      <c r="O4310" s="33" t="n">
        <f aca="false">IF(K4310="","",ABS(K4310))</f>
        <v>4.48537467803556</v>
      </c>
      <c r="P4310" s="34" t="str">
        <f aca="false">IF(B4310&gt;=Eval_Start_Week,"YES","")</f>
        <v/>
      </c>
      <c r="Q4310" s="34" t="str">
        <f aca="false">IF(AND(B4310&gt;=Cal_Start_Week,B4310&lt;=Cal_End_Week),"YES","")</f>
        <v>YES</v>
      </c>
    </row>
    <row r="4311" customFormat="false" ht="15" hidden="false" customHeight="false" outlineLevel="0" collapsed="false">
      <c r="A4311" s="31" t="str">
        <f aca="false">Demand_History!C4311</f>
        <v>CLN-005</v>
      </c>
      <c r="B4311" s="31" t="n">
        <f aca="false">Demand_History!A4311</f>
        <v>46</v>
      </c>
      <c r="C4311" s="32" t="n">
        <f aca="false">Demand_History!D4311</f>
        <v>50</v>
      </c>
      <c r="D4311" s="33" t="n">
        <f aca="false">IF(B4311&gt;=2,C4310,"")</f>
        <v>54</v>
      </c>
      <c r="E4311" s="33" t="n">
        <f aca="false">IF(B4311&gt;=5,AVERAGE(C4307:C4310),"")</f>
        <v>51</v>
      </c>
      <c r="F4311" s="33" t="n">
        <f aca="false">IF(B4311&gt;=9,AVERAGE(C4303:C4310),"")</f>
        <v>50</v>
      </c>
      <c r="G4311" s="33" t="n">
        <f aca="false">IF(B4311=1,"",IF(B4311=2,C4310,SES_Alpha*C4310+(1-SES_Alpha)*G4310))</f>
        <v>50.8602377253751</v>
      </c>
      <c r="H4311" s="33" t="n">
        <f aca="false">IF(D4311="","",D4311-C4311)</f>
        <v>4</v>
      </c>
      <c r="I4311" s="33" t="n">
        <f aca="false">IF(E4311="","",E4311-C4311)</f>
        <v>1</v>
      </c>
      <c r="J4311" s="33" t="n">
        <f aca="false">IF(F4311="","",F4311-C4311)</f>
        <v>0</v>
      </c>
      <c r="K4311" s="33" t="n">
        <f aca="false">IF(G4311="","",G4311-C4311)</f>
        <v>0.8602377253751</v>
      </c>
      <c r="L4311" s="33" t="n">
        <f aca="false">IF(H4311="","",ABS(H4311))</f>
        <v>4</v>
      </c>
      <c r="M4311" s="33" t="n">
        <f aca="false">IF(I4311="","",ABS(I4311))</f>
        <v>1</v>
      </c>
      <c r="N4311" s="33" t="n">
        <f aca="false">IF(J4311="","",ABS(J4311))</f>
        <v>0</v>
      </c>
      <c r="O4311" s="33" t="n">
        <f aca="false">IF(K4311="","",ABS(K4311))</f>
        <v>0.8602377253751</v>
      </c>
      <c r="P4311" s="34" t="str">
        <f aca="false">IF(B4311&gt;=Eval_Start_Week,"YES","")</f>
        <v/>
      </c>
      <c r="Q4311" s="34" t="str">
        <f aca="false">IF(AND(B4311&gt;=Cal_Start_Week,B4311&lt;=Cal_End_Week),"YES","")</f>
        <v>YES</v>
      </c>
    </row>
    <row r="4312" customFormat="false" ht="15" hidden="false" customHeight="false" outlineLevel="0" collapsed="false">
      <c r="A4312" s="31" t="str">
        <f aca="false">Demand_History!C4312</f>
        <v>CLN-005</v>
      </c>
      <c r="B4312" s="31" t="n">
        <f aca="false">Demand_History!A4312</f>
        <v>47</v>
      </c>
      <c r="C4312" s="32" t="n">
        <f aca="false">Demand_History!D4312</f>
        <v>44</v>
      </c>
      <c r="D4312" s="33" t="n">
        <f aca="false">IF(B4312&gt;=2,C4311,"")</f>
        <v>50</v>
      </c>
      <c r="E4312" s="33" t="n">
        <f aca="false">IF(B4312&gt;=5,AVERAGE(C4308:C4311),"")</f>
        <v>51.25</v>
      </c>
      <c r="F4312" s="33" t="n">
        <f aca="false">IF(B4312&gt;=9,AVERAGE(C4304:C4311),"")</f>
        <v>50.625</v>
      </c>
      <c r="G4312" s="33" t="n">
        <f aca="false">IF(B4312=1,"",IF(B4312=2,C4311,SES_Alpha*C4311+(1-SES_Alpha)*G4311))</f>
        <v>50.6021664077626</v>
      </c>
      <c r="H4312" s="33" t="n">
        <f aca="false">IF(D4312="","",D4312-C4312)</f>
        <v>6</v>
      </c>
      <c r="I4312" s="33" t="n">
        <f aca="false">IF(E4312="","",E4312-C4312)</f>
        <v>7.25</v>
      </c>
      <c r="J4312" s="33" t="n">
        <f aca="false">IF(F4312="","",F4312-C4312)</f>
        <v>6.625</v>
      </c>
      <c r="K4312" s="33" t="n">
        <f aca="false">IF(G4312="","",G4312-C4312)</f>
        <v>6.60216640776257</v>
      </c>
      <c r="L4312" s="33" t="n">
        <f aca="false">IF(H4312="","",ABS(H4312))</f>
        <v>6</v>
      </c>
      <c r="M4312" s="33" t="n">
        <f aca="false">IF(I4312="","",ABS(I4312))</f>
        <v>7.25</v>
      </c>
      <c r="N4312" s="33" t="n">
        <f aca="false">IF(J4312="","",ABS(J4312))</f>
        <v>6.625</v>
      </c>
      <c r="O4312" s="33" t="n">
        <f aca="false">IF(K4312="","",ABS(K4312))</f>
        <v>6.60216640776257</v>
      </c>
      <c r="P4312" s="34" t="str">
        <f aca="false">IF(B4312&gt;=Eval_Start_Week,"YES","")</f>
        <v/>
      </c>
      <c r="Q4312" s="34" t="str">
        <f aca="false">IF(AND(B4312&gt;=Cal_Start_Week,B4312&lt;=Cal_End_Week),"YES","")</f>
        <v>YES</v>
      </c>
    </row>
    <row r="4313" customFormat="false" ht="15" hidden="false" customHeight="false" outlineLevel="0" collapsed="false">
      <c r="A4313" s="31" t="str">
        <f aca="false">Demand_History!C4313</f>
        <v>CLN-005</v>
      </c>
      <c r="B4313" s="31" t="n">
        <f aca="false">Demand_History!A4313</f>
        <v>48</v>
      </c>
      <c r="C4313" s="32" t="n">
        <f aca="false">Demand_History!D4313</f>
        <v>54</v>
      </c>
      <c r="D4313" s="33" t="n">
        <f aca="false">IF(B4313&gt;=2,C4312,"")</f>
        <v>44</v>
      </c>
      <c r="E4313" s="33" t="n">
        <f aca="false">IF(B4313&gt;=5,AVERAGE(C4309:C4312),"")</f>
        <v>48.25</v>
      </c>
      <c r="F4313" s="33" t="n">
        <f aca="false">IF(B4313&gt;=9,AVERAGE(C4305:C4312),"")</f>
        <v>50.75</v>
      </c>
      <c r="G4313" s="33" t="n">
        <f aca="false">IF(B4313=1,"",IF(B4313=2,C4312,SES_Alpha*C4312+(1-SES_Alpha)*G4312))</f>
        <v>48.6215164854338</v>
      </c>
      <c r="H4313" s="33" t="n">
        <f aca="false">IF(D4313="","",D4313-C4313)</f>
        <v>-10</v>
      </c>
      <c r="I4313" s="33" t="n">
        <f aca="false">IF(E4313="","",E4313-C4313)</f>
        <v>-5.75</v>
      </c>
      <c r="J4313" s="33" t="n">
        <f aca="false">IF(F4313="","",F4313-C4313)</f>
        <v>-3.25</v>
      </c>
      <c r="K4313" s="33" t="n">
        <f aca="false">IF(G4313="","",G4313-C4313)</f>
        <v>-5.37848351456621</v>
      </c>
      <c r="L4313" s="33" t="n">
        <f aca="false">IF(H4313="","",ABS(H4313))</f>
        <v>10</v>
      </c>
      <c r="M4313" s="33" t="n">
        <f aca="false">IF(I4313="","",ABS(I4313))</f>
        <v>5.75</v>
      </c>
      <c r="N4313" s="33" t="n">
        <f aca="false">IF(J4313="","",ABS(J4313))</f>
        <v>3.25</v>
      </c>
      <c r="O4313" s="33" t="n">
        <f aca="false">IF(K4313="","",ABS(K4313))</f>
        <v>5.37848351456621</v>
      </c>
      <c r="P4313" s="34" t="str">
        <f aca="false">IF(B4313&gt;=Eval_Start_Week,"YES","")</f>
        <v/>
      </c>
      <c r="Q4313" s="34" t="str">
        <f aca="false">IF(AND(B4313&gt;=Cal_Start_Week,B4313&lt;=Cal_End_Week),"YES","")</f>
        <v>YES</v>
      </c>
    </row>
    <row r="4314" customFormat="false" ht="15" hidden="false" customHeight="false" outlineLevel="0" collapsed="false">
      <c r="A4314" s="31" t="str">
        <f aca="false">Demand_History!C4314</f>
        <v>CLN-005</v>
      </c>
      <c r="B4314" s="31" t="n">
        <f aca="false">Demand_History!A4314</f>
        <v>49</v>
      </c>
      <c r="C4314" s="32" t="n">
        <f aca="false">Demand_History!D4314</f>
        <v>40</v>
      </c>
      <c r="D4314" s="33" t="n">
        <f aca="false">IF(B4314&gt;=2,C4313,"")</f>
        <v>54</v>
      </c>
      <c r="E4314" s="33" t="n">
        <f aca="false">IF(B4314&gt;=5,AVERAGE(C4310:C4313),"")</f>
        <v>50.5</v>
      </c>
      <c r="F4314" s="33" t="n">
        <f aca="false">IF(B4314&gt;=9,AVERAGE(C4306:C4313),"")</f>
        <v>50.375</v>
      </c>
      <c r="G4314" s="33" t="n">
        <f aca="false">IF(B4314=1,"",IF(B4314=2,C4313,SES_Alpha*C4313+(1-SES_Alpha)*G4313))</f>
        <v>50.2350615398037</v>
      </c>
      <c r="H4314" s="33" t="n">
        <f aca="false">IF(D4314="","",D4314-C4314)</f>
        <v>14</v>
      </c>
      <c r="I4314" s="33" t="n">
        <f aca="false">IF(E4314="","",E4314-C4314)</f>
        <v>10.5</v>
      </c>
      <c r="J4314" s="33" t="n">
        <f aca="false">IF(F4314="","",F4314-C4314)</f>
        <v>10.375</v>
      </c>
      <c r="K4314" s="33" t="n">
        <f aca="false">IF(G4314="","",G4314-C4314)</f>
        <v>10.2350615398037</v>
      </c>
      <c r="L4314" s="33" t="n">
        <f aca="false">IF(H4314="","",ABS(H4314))</f>
        <v>14</v>
      </c>
      <c r="M4314" s="33" t="n">
        <f aca="false">IF(I4314="","",ABS(I4314))</f>
        <v>10.5</v>
      </c>
      <c r="N4314" s="33" t="n">
        <f aca="false">IF(J4314="","",ABS(J4314))</f>
        <v>10.375</v>
      </c>
      <c r="O4314" s="33" t="n">
        <f aca="false">IF(K4314="","",ABS(K4314))</f>
        <v>10.2350615398037</v>
      </c>
      <c r="P4314" s="34" t="str">
        <f aca="false">IF(B4314&gt;=Eval_Start_Week,"YES","")</f>
        <v/>
      </c>
      <c r="Q4314" s="34" t="str">
        <f aca="false">IF(AND(B4314&gt;=Cal_Start_Week,B4314&lt;=Cal_End_Week),"YES","")</f>
        <v>YES</v>
      </c>
    </row>
    <row r="4315" customFormat="false" ht="15" hidden="false" customHeight="false" outlineLevel="0" collapsed="false">
      <c r="A4315" s="31" t="str">
        <f aca="false">Demand_History!C4315</f>
        <v>CLN-005</v>
      </c>
      <c r="B4315" s="31" t="n">
        <f aca="false">Demand_History!A4315</f>
        <v>50</v>
      </c>
      <c r="C4315" s="32" t="n">
        <f aca="false">Demand_History!D4315</f>
        <v>54</v>
      </c>
      <c r="D4315" s="33" t="n">
        <f aca="false">IF(B4315&gt;=2,C4314,"")</f>
        <v>40</v>
      </c>
      <c r="E4315" s="33" t="n">
        <f aca="false">IF(B4315&gt;=5,AVERAGE(C4311:C4314),"")</f>
        <v>47</v>
      </c>
      <c r="F4315" s="33" t="n">
        <f aca="false">IF(B4315&gt;=9,AVERAGE(C4307:C4314),"")</f>
        <v>49</v>
      </c>
      <c r="G4315" s="33" t="n">
        <f aca="false">IF(B4315=1,"",IF(B4315=2,C4314,SES_Alpha*C4314+(1-SES_Alpha)*G4314))</f>
        <v>47.1645430778626</v>
      </c>
      <c r="H4315" s="33" t="n">
        <f aca="false">IF(D4315="","",D4315-C4315)</f>
        <v>-14</v>
      </c>
      <c r="I4315" s="33" t="n">
        <f aca="false">IF(E4315="","",E4315-C4315)</f>
        <v>-7</v>
      </c>
      <c r="J4315" s="33" t="n">
        <f aca="false">IF(F4315="","",F4315-C4315)</f>
        <v>-5</v>
      </c>
      <c r="K4315" s="33" t="n">
        <f aca="false">IF(G4315="","",G4315-C4315)</f>
        <v>-6.83545692213745</v>
      </c>
      <c r="L4315" s="33" t="n">
        <f aca="false">IF(H4315="","",ABS(H4315))</f>
        <v>14</v>
      </c>
      <c r="M4315" s="33" t="n">
        <f aca="false">IF(I4315="","",ABS(I4315))</f>
        <v>7</v>
      </c>
      <c r="N4315" s="33" t="n">
        <f aca="false">IF(J4315="","",ABS(J4315))</f>
        <v>5</v>
      </c>
      <c r="O4315" s="33" t="n">
        <f aca="false">IF(K4315="","",ABS(K4315))</f>
        <v>6.83545692213745</v>
      </c>
      <c r="P4315" s="34" t="str">
        <f aca="false">IF(B4315&gt;=Eval_Start_Week,"YES","")</f>
        <v/>
      </c>
      <c r="Q4315" s="34" t="str">
        <f aca="false">IF(AND(B4315&gt;=Cal_Start_Week,B4315&lt;=Cal_End_Week),"YES","")</f>
        <v>YES</v>
      </c>
    </row>
    <row r="4316" customFormat="false" ht="15" hidden="false" customHeight="false" outlineLevel="0" collapsed="false">
      <c r="A4316" s="31" t="str">
        <f aca="false">Demand_History!C4316</f>
        <v>CLN-005</v>
      </c>
      <c r="B4316" s="31" t="n">
        <f aca="false">Demand_History!A4316</f>
        <v>51</v>
      </c>
      <c r="C4316" s="32" t="n">
        <f aca="false">Demand_History!D4316</f>
        <v>44</v>
      </c>
      <c r="D4316" s="33" t="n">
        <f aca="false">IF(B4316&gt;=2,C4315,"")</f>
        <v>54</v>
      </c>
      <c r="E4316" s="33" t="n">
        <f aca="false">IF(B4316&gt;=5,AVERAGE(C4312:C4315),"")</f>
        <v>48</v>
      </c>
      <c r="F4316" s="33" t="n">
        <f aca="false">IF(B4316&gt;=9,AVERAGE(C4308:C4315),"")</f>
        <v>49.625</v>
      </c>
      <c r="G4316" s="33" t="n">
        <f aca="false">IF(B4316=1,"",IF(B4316=2,C4315,SES_Alpha*C4315+(1-SES_Alpha)*G4315))</f>
        <v>49.2151801545038</v>
      </c>
      <c r="H4316" s="33" t="n">
        <f aca="false">IF(D4316="","",D4316-C4316)</f>
        <v>10</v>
      </c>
      <c r="I4316" s="33" t="n">
        <f aca="false">IF(E4316="","",E4316-C4316)</f>
        <v>4</v>
      </c>
      <c r="J4316" s="33" t="n">
        <f aca="false">IF(F4316="","",F4316-C4316)</f>
        <v>5.625</v>
      </c>
      <c r="K4316" s="33" t="n">
        <f aca="false">IF(G4316="","",G4316-C4316)</f>
        <v>5.21518015450378</v>
      </c>
      <c r="L4316" s="33" t="n">
        <f aca="false">IF(H4316="","",ABS(H4316))</f>
        <v>10</v>
      </c>
      <c r="M4316" s="33" t="n">
        <f aca="false">IF(I4316="","",ABS(I4316))</f>
        <v>4</v>
      </c>
      <c r="N4316" s="33" t="n">
        <f aca="false">IF(J4316="","",ABS(J4316))</f>
        <v>5.625</v>
      </c>
      <c r="O4316" s="33" t="n">
        <f aca="false">IF(K4316="","",ABS(K4316))</f>
        <v>5.21518015450378</v>
      </c>
      <c r="P4316" s="34" t="str">
        <f aca="false">IF(B4316&gt;=Eval_Start_Week,"YES","")</f>
        <v/>
      </c>
      <c r="Q4316" s="34" t="str">
        <f aca="false">IF(AND(B4316&gt;=Cal_Start_Week,B4316&lt;=Cal_End_Week),"YES","")</f>
        <v>YES</v>
      </c>
    </row>
    <row r="4317" customFormat="false" ht="15" hidden="false" customHeight="false" outlineLevel="0" collapsed="false">
      <c r="A4317" s="31" t="str">
        <f aca="false">Demand_History!C4317</f>
        <v>CLN-005</v>
      </c>
      <c r="B4317" s="31" t="n">
        <f aca="false">Demand_History!A4317</f>
        <v>52</v>
      </c>
      <c r="C4317" s="32" t="n">
        <f aca="false">Demand_History!D4317</f>
        <v>52</v>
      </c>
      <c r="D4317" s="33" t="n">
        <f aca="false">IF(B4317&gt;=2,C4316,"")</f>
        <v>44</v>
      </c>
      <c r="E4317" s="33" t="n">
        <f aca="false">IF(B4317&gt;=5,AVERAGE(C4313:C4316),"")</f>
        <v>48</v>
      </c>
      <c r="F4317" s="33" t="n">
        <f aca="false">IF(B4317&gt;=9,AVERAGE(C4309:C4316),"")</f>
        <v>48.125</v>
      </c>
      <c r="G4317" s="33" t="n">
        <f aca="false">IF(B4317=1,"",IF(B4317=2,C4316,SES_Alpha*C4316+(1-SES_Alpha)*G4316))</f>
        <v>47.6506261081527</v>
      </c>
      <c r="H4317" s="33" t="n">
        <f aca="false">IF(D4317="","",D4317-C4317)</f>
        <v>-8</v>
      </c>
      <c r="I4317" s="33" t="n">
        <f aca="false">IF(E4317="","",E4317-C4317)</f>
        <v>-4</v>
      </c>
      <c r="J4317" s="33" t="n">
        <f aca="false">IF(F4317="","",F4317-C4317)</f>
        <v>-3.875</v>
      </c>
      <c r="K4317" s="33" t="n">
        <f aca="false">IF(G4317="","",G4317-C4317)</f>
        <v>-4.34937389184735</v>
      </c>
      <c r="L4317" s="33" t="n">
        <f aca="false">IF(H4317="","",ABS(H4317))</f>
        <v>8</v>
      </c>
      <c r="M4317" s="33" t="n">
        <f aca="false">IF(I4317="","",ABS(I4317))</f>
        <v>4</v>
      </c>
      <c r="N4317" s="33" t="n">
        <f aca="false">IF(J4317="","",ABS(J4317))</f>
        <v>3.875</v>
      </c>
      <c r="O4317" s="33" t="n">
        <f aca="false">IF(K4317="","",ABS(K4317))</f>
        <v>4.34937389184735</v>
      </c>
      <c r="P4317" s="34" t="str">
        <f aca="false">IF(B4317&gt;=Eval_Start_Week,"YES","")</f>
        <v/>
      </c>
      <c r="Q4317" s="34" t="str">
        <f aca="false">IF(AND(B4317&gt;=Cal_Start_Week,B4317&lt;=Cal_End_Week),"YES","")</f>
        <v>YES</v>
      </c>
    </row>
    <row r="4318" customFormat="false" ht="15" hidden="false" customHeight="false" outlineLevel="0" collapsed="false">
      <c r="A4318" s="31" t="str">
        <f aca="false">Demand_History!C4318</f>
        <v>CLN-005</v>
      </c>
      <c r="B4318" s="31" t="n">
        <f aca="false">Demand_History!A4318</f>
        <v>53</v>
      </c>
      <c r="C4318" s="32" t="n">
        <f aca="false">Demand_History!D4318</f>
        <v>58</v>
      </c>
      <c r="D4318" s="33" t="n">
        <f aca="false">IF(B4318&gt;=2,C4317,"")</f>
        <v>52</v>
      </c>
      <c r="E4318" s="33" t="n">
        <f aca="false">IF(B4318&gt;=5,AVERAGE(C4314:C4317),"")</f>
        <v>47.5</v>
      </c>
      <c r="F4318" s="33" t="n">
        <f aca="false">IF(B4318&gt;=9,AVERAGE(C4310:C4317),"")</f>
        <v>49</v>
      </c>
      <c r="G4318" s="33" t="n">
        <f aca="false">IF(B4318=1,"",IF(B4318=2,C4317,SES_Alpha*C4317+(1-SES_Alpha)*G4317))</f>
        <v>48.9554382757069</v>
      </c>
      <c r="H4318" s="33" t="n">
        <f aca="false">IF(D4318="","",D4318-C4318)</f>
        <v>-6</v>
      </c>
      <c r="I4318" s="33" t="n">
        <f aca="false">IF(E4318="","",E4318-C4318)</f>
        <v>-10.5</v>
      </c>
      <c r="J4318" s="33" t="n">
        <f aca="false">IF(F4318="","",F4318-C4318)</f>
        <v>-9</v>
      </c>
      <c r="K4318" s="33" t="n">
        <f aca="false">IF(G4318="","",G4318-C4318)</f>
        <v>-9.04456172429315</v>
      </c>
      <c r="L4318" s="33" t="n">
        <f aca="false">IF(H4318="","",ABS(H4318))</f>
        <v>6</v>
      </c>
      <c r="M4318" s="33" t="n">
        <f aca="false">IF(I4318="","",ABS(I4318))</f>
        <v>10.5</v>
      </c>
      <c r="N4318" s="33" t="n">
        <f aca="false">IF(J4318="","",ABS(J4318))</f>
        <v>9</v>
      </c>
      <c r="O4318" s="33" t="n">
        <f aca="false">IF(K4318="","",ABS(K4318))</f>
        <v>9.04456172429315</v>
      </c>
      <c r="P4318" s="34" t="str">
        <f aca="false">IF(B4318&gt;=Eval_Start_Week,"YES","")</f>
        <v>YES</v>
      </c>
      <c r="Q4318" s="34" t="str">
        <f aca="false">IF(AND(B4318&gt;=Cal_Start_Week,B4318&lt;=Cal_End_Week),"YES","")</f>
        <v>YES</v>
      </c>
    </row>
    <row r="4319" customFormat="false" ht="15" hidden="false" customHeight="false" outlineLevel="0" collapsed="false">
      <c r="A4319" s="31" t="str">
        <f aca="false">Demand_History!C4319</f>
        <v>CLN-005</v>
      </c>
      <c r="B4319" s="31" t="n">
        <f aca="false">Demand_History!A4319</f>
        <v>54</v>
      </c>
      <c r="C4319" s="32" t="n">
        <f aca="false">Demand_History!D4319</f>
        <v>53</v>
      </c>
      <c r="D4319" s="33" t="n">
        <f aca="false">IF(B4319&gt;=2,C4318,"")</f>
        <v>58</v>
      </c>
      <c r="E4319" s="33" t="n">
        <f aca="false">IF(B4319&gt;=5,AVERAGE(C4315:C4318),"")</f>
        <v>52</v>
      </c>
      <c r="F4319" s="33" t="n">
        <f aca="false">IF(B4319&gt;=9,AVERAGE(C4311:C4318),"")</f>
        <v>49.5</v>
      </c>
      <c r="G4319" s="33" t="n">
        <f aca="false">IF(B4319=1,"",IF(B4319=2,C4318,SES_Alpha*C4318+(1-SES_Alpha)*G4318))</f>
        <v>51.6688067929948</v>
      </c>
      <c r="H4319" s="33" t="n">
        <f aca="false">IF(D4319="","",D4319-C4319)</f>
        <v>5</v>
      </c>
      <c r="I4319" s="33" t="n">
        <f aca="false">IF(E4319="","",E4319-C4319)</f>
        <v>-1</v>
      </c>
      <c r="J4319" s="33" t="n">
        <f aca="false">IF(F4319="","",F4319-C4319)</f>
        <v>-3.5</v>
      </c>
      <c r="K4319" s="33" t="n">
        <f aca="false">IF(G4319="","",G4319-C4319)</f>
        <v>-1.33119320700521</v>
      </c>
      <c r="L4319" s="33" t="n">
        <f aca="false">IF(H4319="","",ABS(H4319))</f>
        <v>5</v>
      </c>
      <c r="M4319" s="33" t="n">
        <f aca="false">IF(I4319="","",ABS(I4319))</f>
        <v>1</v>
      </c>
      <c r="N4319" s="33" t="n">
        <f aca="false">IF(J4319="","",ABS(J4319))</f>
        <v>3.5</v>
      </c>
      <c r="O4319" s="33" t="n">
        <f aca="false">IF(K4319="","",ABS(K4319))</f>
        <v>1.33119320700521</v>
      </c>
      <c r="P4319" s="34" t="str">
        <f aca="false">IF(B4319&gt;=Eval_Start_Week,"YES","")</f>
        <v>YES</v>
      </c>
      <c r="Q4319" s="34" t="str">
        <f aca="false">IF(AND(B4319&gt;=Cal_Start_Week,B4319&lt;=Cal_End_Week),"YES","")</f>
        <v>YES</v>
      </c>
    </row>
    <row r="4320" customFormat="false" ht="15" hidden="false" customHeight="false" outlineLevel="0" collapsed="false">
      <c r="A4320" s="31" t="str">
        <f aca="false">Demand_History!C4320</f>
        <v>CLN-005</v>
      </c>
      <c r="B4320" s="31" t="n">
        <f aca="false">Demand_History!A4320</f>
        <v>55</v>
      </c>
      <c r="C4320" s="32" t="n">
        <f aca="false">Demand_History!D4320</f>
        <v>46</v>
      </c>
      <c r="D4320" s="33" t="n">
        <f aca="false">IF(B4320&gt;=2,C4319,"")</f>
        <v>53</v>
      </c>
      <c r="E4320" s="33" t="n">
        <f aca="false">IF(B4320&gt;=5,AVERAGE(C4316:C4319),"")</f>
        <v>51.75</v>
      </c>
      <c r="F4320" s="33" t="n">
        <f aca="false">IF(B4320&gt;=9,AVERAGE(C4312:C4319),"")</f>
        <v>49.875</v>
      </c>
      <c r="G4320" s="33" t="n">
        <f aca="false">IF(B4320=1,"",IF(B4320=2,C4319,SES_Alpha*C4319+(1-SES_Alpha)*G4319))</f>
        <v>52.0681647550964</v>
      </c>
      <c r="H4320" s="33" t="n">
        <f aca="false">IF(D4320="","",D4320-C4320)</f>
        <v>7</v>
      </c>
      <c r="I4320" s="33" t="n">
        <f aca="false">IF(E4320="","",E4320-C4320)</f>
        <v>5.75</v>
      </c>
      <c r="J4320" s="33" t="n">
        <f aca="false">IF(F4320="","",F4320-C4320)</f>
        <v>3.875</v>
      </c>
      <c r="K4320" s="33" t="n">
        <f aca="false">IF(G4320="","",G4320-C4320)</f>
        <v>6.06816475509636</v>
      </c>
      <c r="L4320" s="33" t="n">
        <f aca="false">IF(H4320="","",ABS(H4320))</f>
        <v>7</v>
      </c>
      <c r="M4320" s="33" t="n">
        <f aca="false">IF(I4320="","",ABS(I4320))</f>
        <v>5.75</v>
      </c>
      <c r="N4320" s="33" t="n">
        <f aca="false">IF(J4320="","",ABS(J4320))</f>
        <v>3.875</v>
      </c>
      <c r="O4320" s="33" t="n">
        <f aca="false">IF(K4320="","",ABS(K4320))</f>
        <v>6.06816475509636</v>
      </c>
      <c r="P4320" s="34" t="str">
        <f aca="false">IF(B4320&gt;=Eval_Start_Week,"YES","")</f>
        <v>YES</v>
      </c>
      <c r="Q4320" s="34" t="str">
        <f aca="false">IF(AND(B4320&gt;=Cal_Start_Week,B4320&lt;=Cal_End_Week),"YES","")</f>
        <v>YES</v>
      </c>
    </row>
    <row r="4321" customFormat="false" ht="15" hidden="false" customHeight="false" outlineLevel="0" collapsed="false">
      <c r="A4321" s="31" t="str">
        <f aca="false">Demand_History!C4321</f>
        <v>CLN-005</v>
      </c>
      <c r="B4321" s="31" t="n">
        <f aca="false">Demand_History!A4321</f>
        <v>56</v>
      </c>
      <c r="C4321" s="32" t="n">
        <f aca="false">Demand_History!D4321</f>
        <v>49</v>
      </c>
      <c r="D4321" s="33" t="n">
        <f aca="false">IF(B4321&gt;=2,C4320,"")</f>
        <v>46</v>
      </c>
      <c r="E4321" s="33" t="n">
        <f aca="false">IF(B4321&gt;=5,AVERAGE(C4317:C4320),"")</f>
        <v>52.25</v>
      </c>
      <c r="F4321" s="33" t="n">
        <f aca="false">IF(B4321&gt;=9,AVERAGE(C4313:C4320),"")</f>
        <v>50.125</v>
      </c>
      <c r="G4321" s="33" t="n">
        <f aca="false">IF(B4321=1,"",IF(B4321=2,C4320,SES_Alpha*C4320+(1-SES_Alpha)*G4320))</f>
        <v>50.2477153285674</v>
      </c>
      <c r="H4321" s="33" t="n">
        <f aca="false">IF(D4321="","",D4321-C4321)</f>
        <v>-3</v>
      </c>
      <c r="I4321" s="33" t="n">
        <f aca="false">IF(E4321="","",E4321-C4321)</f>
        <v>3.25</v>
      </c>
      <c r="J4321" s="33" t="n">
        <f aca="false">IF(F4321="","",F4321-C4321)</f>
        <v>1.125</v>
      </c>
      <c r="K4321" s="33" t="n">
        <f aca="false">IF(G4321="","",G4321-C4321)</f>
        <v>1.24771532856744</v>
      </c>
      <c r="L4321" s="33" t="n">
        <f aca="false">IF(H4321="","",ABS(H4321))</f>
        <v>3</v>
      </c>
      <c r="M4321" s="33" t="n">
        <f aca="false">IF(I4321="","",ABS(I4321))</f>
        <v>3.25</v>
      </c>
      <c r="N4321" s="33" t="n">
        <f aca="false">IF(J4321="","",ABS(J4321))</f>
        <v>1.125</v>
      </c>
      <c r="O4321" s="33" t="n">
        <f aca="false">IF(K4321="","",ABS(K4321))</f>
        <v>1.24771532856744</v>
      </c>
      <c r="P4321" s="34" t="str">
        <f aca="false">IF(B4321&gt;=Eval_Start_Week,"YES","")</f>
        <v>YES</v>
      </c>
      <c r="Q4321" s="34" t="str">
        <f aca="false">IF(AND(B4321&gt;=Cal_Start_Week,B4321&lt;=Cal_End_Week),"YES","")</f>
        <v>YES</v>
      </c>
    </row>
    <row r="4322" customFormat="false" ht="15" hidden="false" customHeight="false" outlineLevel="0" collapsed="false">
      <c r="A4322" s="31" t="str">
        <f aca="false">Demand_History!C4322</f>
        <v>CLN-005</v>
      </c>
      <c r="B4322" s="31" t="n">
        <f aca="false">Demand_History!A4322</f>
        <v>57</v>
      </c>
      <c r="C4322" s="32" t="n">
        <f aca="false">Demand_History!D4322</f>
        <v>47</v>
      </c>
      <c r="D4322" s="33" t="n">
        <f aca="false">IF(B4322&gt;=2,C4321,"")</f>
        <v>49</v>
      </c>
      <c r="E4322" s="33" t="n">
        <f aca="false">IF(B4322&gt;=5,AVERAGE(C4318:C4321),"")</f>
        <v>51.5</v>
      </c>
      <c r="F4322" s="33" t="n">
        <f aca="false">IF(B4322&gt;=9,AVERAGE(C4314:C4321),"")</f>
        <v>49.5</v>
      </c>
      <c r="G4322" s="33" t="n">
        <f aca="false">IF(B4322=1,"",IF(B4322=2,C4321,SES_Alpha*C4321+(1-SES_Alpha)*G4321))</f>
        <v>49.8734007299972</v>
      </c>
      <c r="H4322" s="33" t="n">
        <f aca="false">IF(D4322="","",D4322-C4322)</f>
        <v>2</v>
      </c>
      <c r="I4322" s="33" t="n">
        <f aca="false">IF(E4322="","",E4322-C4322)</f>
        <v>4.5</v>
      </c>
      <c r="J4322" s="33" t="n">
        <f aca="false">IF(F4322="","",F4322-C4322)</f>
        <v>2.5</v>
      </c>
      <c r="K4322" s="33" t="n">
        <f aca="false">IF(G4322="","",G4322-C4322)</f>
        <v>2.87340072999722</v>
      </c>
      <c r="L4322" s="33" t="n">
        <f aca="false">IF(H4322="","",ABS(H4322))</f>
        <v>2</v>
      </c>
      <c r="M4322" s="33" t="n">
        <f aca="false">IF(I4322="","",ABS(I4322))</f>
        <v>4.5</v>
      </c>
      <c r="N4322" s="33" t="n">
        <f aca="false">IF(J4322="","",ABS(J4322))</f>
        <v>2.5</v>
      </c>
      <c r="O4322" s="33" t="n">
        <f aca="false">IF(K4322="","",ABS(K4322))</f>
        <v>2.87340072999722</v>
      </c>
      <c r="P4322" s="34" t="str">
        <f aca="false">IF(B4322&gt;=Eval_Start_Week,"YES","")</f>
        <v>YES</v>
      </c>
      <c r="Q4322" s="34" t="str">
        <f aca="false">IF(AND(B4322&gt;=Cal_Start_Week,B4322&lt;=Cal_End_Week),"YES","")</f>
        <v>YES</v>
      </c>
    </row>
    <row r="4323" customFormat="false" ht="15" hidden="false" customHeight="false" outlineLevel="0" collapsed="false">
      <c r="A4323" s="31" t="str">
        <f aca="false">Demand_History!C4323</f>
        <v>CLN-005</v>
      </c>
      <c r="B4323" s="31" t="n">
        <f aca="false">Demand_History!A4323</f>
        <v>58</v>
      </c>
      <c r="C4323" s="32" t="n">
        <f aca="false">Demand_History!D4323</f>
        <v>42</v>
      </c>
      <c r="D4323" s="33" t="n">
        <f aca="false">IF(B4323&gt;=2,C4322,"")</f>
        <v>47</v>
      </c>
      <c r="E4323" s="33" t="n">
        <f aca="false">IF(B4323&gt;=5,AVERAGE(C4319:C4322),"")</f>
        <v>48.75</v>
      </c>
      <c r="F4323" s="33" t="n">
        <f aca="false">IF(B4323&gt;=9,AVERAGE(C4315:C4322),"")</f>
        <v>50.375</v>
      </c>
      <c r="G4323" s="33" t="n">
        <f aca="false">IF(B4323=1,"",IF(B4323=2,C4322,SES_Alpha*C4322+(1-SES_Alpha)*G4322))</f>
        <v>49.0113805109981</v>
      </c>
      <c r="H4323" s="33" t="n">
        <f aca="false">IF(D4323="","",D4323-C4323)</f>
        <v>5</v>
      </c>
      <c r="I4323" s="33" t="n">
        <f aca="false">IF(E4323="","",E4323-C4323)</f>
        <v>6.75</v>
      </c>
      <c r="J4323" s="33" t="n">
        <f aca="false">IF(F4323="","",F4323-C4323)</f>
        <v>8.375</v>
      </c>
      <c r="K4323" s="33" t="n">
        <f aca="false">IF(G4323="","",G4323-C4323)</f>
        <v>7.01138051099805</v>
      </c>
      <c r="L4323" s="33" t="n">
        <f aca="false">IF(H4323="","",ABS(H4323))</f>
        <v>5</v>
      </c>
      <c r="M4323" s="33" t="n">
        <f aca="false">IF(I4323="","",ABS(I4323))</f>
        <v>6.75</v>
      </c>
      <c r="N4323" s="33" t="n">
        <f aca="false">IF(J4323="","",ABS(J4323))</f>
        <v>8.375</v>
      </c>
      <c r="O4323" s="33" t="n">
        <f aca="false">IF(K4323="","",ABS(K4323))</f>
        <v>7.01138051099805</v>
      </c>
      <c r="P4323" s="34" t="str">
        <f aca="false">IF(B4323&gt;=Eval_Start_Week,"YES","")</f>
        <v>YES</v>
      </c>
      <c r="Q4323" s="34" t="str">
        <f aca="false">IF(AND(B4323&gt;=Cal_Start_Week,B4323&lt;=Cal_End_Week),"YES","")</f>
        <v>YES</v>
      </c>
    </row>
    <row r="4324" customFormat="false" ht="15" hidden="false" customHeight="false" outlineLevel="0" collapsed="false">
      <c r="A4324" s="31" t="str">
        <f aca="false">Demand_History!C4324</f>
        <v>CLN-005</v>
      </c>
      <c r="B4324" s="31" t="n">
        <f aca="false">Demand_History!A4324</f>
        <v>59</v>
      </c>
      <c r="C4324" s="32" t="n">
        <f aca="false">Demand_History!D4324</f>
        <v>42</v>
      </c>
      <c r="D4324" s="33" t="n">
        <f aca="false">IF(B4324&gt;=2,C4323,"")</f>
        <v>42</v>
      </c>
      <c r="E4324" s="33" t="n">
        <f aca="false">IF(B4324&gt;=5,AVERAGE(C4320:C4323),"")</f>
        <v>46</v>
      </c>
      <c r="F4324" s="33" t="n">
        <f aca="false">IF(B4324&gt;=9,AVERAGE(C4316:C4323),"")</f>
        <v>48.875</v>
      </c>
      <c r="G4324" s="33" t="n">
        <f aca="false">IF(B4324=1,"",IF(B4324=2,C4323,SES_Alpha*C4323+(1-SES_Alpha)*G4323))</f>
        <v>46.9079663576986</v>
      </c>
      <c r="H4324" s="33" t="n">
        <f aca="false">IF(D4324="","",D4324-C4324)</f>
        <v>0</v>
      </c>
      <c r="I4324" s="33" t="n">
        <f aca="false">IF(E4324="","",E4324-C4324)</f>
        <v>4</v>
      </c>
      <c r="J4324" s="33" t="n">
        <f aca="false">IF(F4324="","",F4324-C4324)</f>
        <v>6.875</v>
      </c>
      <c r="K4324" s="33" t="n">
        <f aca="false">IF(G4324="","",G4324-C4324)</f>
        <v>4.90796635769863</v>
      </c>
      <c r="L4324" s="33" t="n">
        <f aca="false">IF(H4324="","",ABS(H4324))</f>
        <v>0</v>
      </c>
      <c r="M4324" s="33" t="n">
        <f aca="false">IF(I4324="","",ABS(I4324))</f>
        <v>4</v>
      </c>
      <c r="N4324" s="33" t="n">
        <f aca="false">IF(J4324="","",ABS(J4324))</f>
        <v>6.875</v>
      </c>
      <c r="O4324" s="33" t="n">
        <f aca="false">IF(K4324="","",ABS(K4324))</f>
        <v>4.90796635769863</v>
      </c>
      <c r="P4324" s="34" t="str">
        <f aca="false">IF(B4324&gt;=Eval_Start_Week,"YES","")</f>
        <v>YES</v>
      </c>
      <c r="Q4324" s="34" t="str">
        <f aca="false">IF(AND(B4324&gt;=Cal_Start_Week,B4324&lt;=Cal_End_Week),"YES","")</f>
        <v>YES</v>
      </c>
    </row>
    <row r="4325" customFormat="false" ht="15" hidden="false" customHeight="false" outlineLevel="0" collapsed="false">
      <c r="A4325" s="31" t="str">
        <f aca="false">Demand_History!C4325</f>
        <v>CLN-005</v>
      </c>
      <c r="B4325" s="31" t="n">
        <f aca="false">Demand_History!A4325</f>
        <v>60</v>
      </c>
      <c r="C4325" s="32" t="n">
        <f aca="false">Demand_History!D4325</f>
        <v>50</v>
      </c>
      <c r="D4325" s="33" t="n">
        <f aca="false">IF(B4325&gt;=2,C4324,"")</f>
        <v>42</v>
      </c>
      <c r="E4325" s="33" t="n">
        <f aca="false">IF(B4325&gt;=5,AVERAGE(C4321:C4324),"")</f>
        <v>45</v>
      </c>
      <c r="F4325" s="33" t="n">
        <f aca="false">IF(B4325&gt;=9,AVERAGE(C4317:C4324),"")</f>
        <v>48.625</v>
      </c>
      <c r="G4325" s="33" t="n">
        <f aca="false">IF(B4325=1,"",IF(B4325=2,C4324,SES_Alpha*C4324+(1-SES_Alpha)*G4324))</f>
        <v>45.435576450389</v>
      </c>
      <c r="H4325" s="33" t="n">
        <f aca="false">IF(D4325="","",D4325-C4325)</f>
        <v>-8</v>
      </c>
      <c r="I4325" s="33" t="n">
        <f aca="false">IF(E4325="","",E4325-C4325)</f>
        <v>-5</v>
      </c>
      <c r="J4325" s="33" t="n">
        <f aca="false">IF(F4325="","",F4325-C4325)</f>
        <v>-1.375</v>
      </c>
      <c r="K4325" s="33" t="n">
        <f aca="false">IF(G4325="","",G4325-C4325)</f>
        <v>-4.56442354961096</v>
      </c>
      <c r="L4325" s="33" t="n">
        <f aca="false">IF(H4325="","",ABS(H4325))</f>
        <v>8</v>
      </c>
      <c r="M4325" s="33" t="n">
        <f aca="false">IF(I4325="","",ABS(I4325))</f>
        <v>5</v>
      </c>
      <c r="N4325" s="33" t="n">
        <f aca="false">IF(J4325="","",ABS(J4325))</f>
        <v>1.375</v>
      </c>
      <c r="O4325" s="33" t="n">
        <f aca="false">IF(K4325="","",ABS(K4325))</f>
        <v>4.56442354961096</v>
      </c>
      <c r="P4325" s="34" t="str">
        <f aca="false">IF(B4325&gt;=Eval_Start_Week,"YES","")</f>
        <v>YES</v>
      </c>
      <c r="Q4325" s="34" t="str">
        <f aca="false">IF(AND(B4325&gt;=Cal_Start_Week,B4325&lt;=Cal_End_Week),"YES","")</f>
        <v>YES</v>
      </c>
    </row>
    <row r="4326" customFormat="false" ht="15" hidden="false" customHeight="false" outlineLevel="0" collapsed="false">
      <c r="A4326" s="31" t="str">
        <f aca="false">Demand_History!C4326</f>
        <v>CLN-005</v>
      </c>
      <c r="B4326" s="31" t="n">
        <f aca="false">Demand_History!A4326</f>
        <v>61</v>
      </c>
      <c r="C4326" s="32" t="n">
        <f aca="false">Demand_History!D4326</f>
        <v>53</v>
      </c>
      <c r="D4326" s="33" t="n">
        <f aca="false">IF(B4326&gt;=2,C4325,"")</f>
        <v>50</v>
      </c>
      <c r="E4326" s="33" t="n">
        <f aca="false">IF(B4326&gt;=5,AVERAGE(C4322:C4325),"")</f>
        <v>45.25</v>
      </c>
      <c r="F4326" s="33" t="n">
        <f aca="false">IF(B4326&gt;=9,AVERAGE(C4318:C4325),"")</f>
        <v>48.375</v>
      </c>
      <c r="G4326" s="33" t="n">
        <f aca="false">IF(B4326=1,"",IF(B4326=2,C4325,SES_Alpha*C4325+(1-SES_Alpha)*G4325))</f>
        <v>46.8049035152723</v>
      </c>
      <c r="H4326" s="33" t="n">
        <f aca="false">IF(D4326="","",D4326-C4326)</f>
        <v>-3</v>
      </c>
      <c r="I4326" s="33" t="n">
        <f aca="false">IF(E4326="","",E4326-C4326)</f>
        <v>-7.75</v>
      </c>
      <c r="J4326" s="33" t="n">
        <f aca="false">IF(F4326="","",F4326-C4326)</f>
        <v>-4.625</v>
      </c>
      <c r="K4326" s="33" t="n">
        <f aca="false">IF(G4326="","",G4326-C4326)</f>
        <v>-6.19509648472767</v>
      </c>
      <c r="L4326" s="33" t="n">
        <f aca="false">IF(H4326="","",ABS(H4326))</f>
        <v>3</v>
      </c>
      <c r="M4326" s="33" t="n">
        <f aca="false">IF(I4326="","",ABS(I4326))</f>
        <v>7.75</v>
      </c>
      <c r="N4326" s="33" t="n">
        <f aca="false">IF(J4326="","",ABS(J4326))</f>
        <v>4.625</v>
      </c>
      <c r="O4326" s="33" t="n">
        <f aca="false">IF(K4326="","",ABS(K4326))</f>
        <v>6.19509648472767</v>
      </c>
      <c r="P4326" s="34" t="str">
        <f aca="false">IF(B4326&gt;=Eval_Start_Week,"YES","")</f>
        <v>YES</v>
      </c>
      <c r="Q4326" s="34" t="str">
        <f aca="false">IF(AND(B4326&gt;=Cal_Start_Week,B4326&lt;=Cal_End_Week),"YES","")</f>
        <v>YES</v>
      </c>
    </row>
    <row r="4327" customFormat="false" ht="15" hidden="false" customHeight="false" outlineLevel="0" collapsed="false">
      <c r="A4327" s="31" t="str">
        <f aca="false">Demand_History!C4327</f>
        <v>CLN-005</v>
      </c>
      <c r="B4327" s="31" t="n">
        <f aca="false">Demand_History!A4327</f>
        <v>62</v>
      </c>
      <c r="C4327" s="32" t="n">
        <f aca="false">Demand_History!D4327</f>
        <v>38</v>
      </c>
      <c r="D4327" s="33" t="n">
        <f aca="false">IF(B4327&gt;=2,C4326,"")</f>
        <v>53</v>
      </c>
      <c r="E4327" s="33" t="n">
        <f aca="false">IF(B4327&gt;=5,AVERAGE(C4323:C4326),"")</f>
        <v>46.75</v>
      </c>
      <c r="F4327" s="33" t="n">
        <f aca="false">IF(B4327&gt;=9,AVERAGE(C4319:C4326),"")</f>
        <v>47.75</v>
      </c>
      <c r="G4327" s="33" t="n">
        <f aca="false">IF(B4327=1,"",IF(B4327=2,C4326,SES_Alpha*C4326+(1-SES_Alpha)*G4326))</f>
        <v>48.6634324606906</v>
      </c>
      <c r="H4327" s="33" t="n">
        <f aca="false">IF(D4327="","",D4327-C4327)</f>
        <v>15</v>
      </c>
      <c r="I4327" s="33" t="n">
        <f aca="false">IF(E4327="","",E4327-C4327)</f>
        <v>8.75</v>
      </c>
      <c r="J4327" s="33" t="n">
        <f aca="false">IF(F4327="","",F4327-C4327)</f>
        <v>9.75</v>
      </c>
      <c r="K4327" s="33" t="n">
        <f aca="false">IF(G4327="","",G4327-C4327)</f>
        <v>10.6634324606906</v>
      </c>
      <c r="L4327" s="33" t="n">
        <f aca="false">IF(H4327="","",ABS(H4327))</f>
        <v>15</v>
      </c>
      <c r="M4327" s="33" t="n">
        <f aca="false">IF(I4327="","",ABS(I4327))</f>
        <v>8.75</v>
      </c>
      <c r="N4327" s="33" t="n">
        <f aca="false">IF(J4327="","",ABS(J4327))</f>
        <v>9.75</v>
      </c>
      <c r="O4327" s="33" t="n">
        <f aca="false">IF(K4327="","",ABS(K4327))</f>
        <v>10.6634324606906</v>
      </c>
      <c r="P4327" s="34" t="str">
        <f aca="false">IF(B4327&gt;=Eval_Start_Week,"YES","")</f>
        <v>YES</v>
      </c>
      <c r="Q4327" s="34" t="str">
        <f aca="false">IF(AND(B4327&gt;=Cal_Start_Week,B4327&lt;=Cal_End_Week),"YES","")</f>
        <v>YES</v>
      </c>
    </row>
    <row r="4328" customFormat="false" ht="15" hidden="false" customHeight="false" outlineLevel="0" collapsed="false">
      <c r="A4328" s="31" t="str">
        <f aca="false">Demand_History!C4328</f>
        <v>CLN-005</v>
      </c>
      <c r="B4328" s="31" t="n">
        <f aca="false">Demand_History!A4328</f>
        <v>63</v>
      </c>
      <c r="C4328" s="32" t="n">
        <f aca="false">Demand_History!D4328</f>
        <v>49</v>
      </c>
      <c r="D4328" s="33" t="n">
        <f aca="false">IF(B4328&gt;=2,C4327,"")</f>
        <v>38</v>
      </c>
      <c r="E4328" s="33" t="n">
        <f aca="false">IF(B4328&gt;=5,AVERAGE(C4324:C4327),"")</f>
        <v>45.75</v>
      </c>
      <c r="F4328" s="33" t="n">
        <f aca="false">IF(B4328&gt;=9,AVERAGE(C4320:C4327),"")</f>
        <v>45.875</v>
      </c>
      <c r="G4328" s="33" t="n">
        <f aca="false">IF(B4328=1,"",IF(B4328=2,C4327,SES_Alpha*C4327+(1-SES_Alpha)*G4327))</f>
        <v>45.4644027224834</v>
      </c>
      <c r="H4328" s="33" t="n">
        <f aca="false">IF(D4328="","",D4328-C4328)</f>
        <v>-11</v>
      </c>
      <c r="I4328" s="33" t="n">
        <f aca="false">IF(E4328="","",E4328-C4328)</f>
        <v>-3.25</v>
      </c>
      <c r="J4328" s="33" t="n">
        <f aca="false">IF(F4328="","",F4328-C4328)</f>
        <v>-3.125</v>
      </c>
      <c r="K4328" s="33" t="n">
        <f aca="false">IF(G4328="","",G4328-C4328)</f>
        <v>-3.53559727751657</v>
      </c>
      <c r="L4328" s="33" t="n">
        <f aca="false">IF(H4328="","",ABS(H4328))</f>
        <v>11</v>
      </c>
      <c r="M4328" s="33" t="n">
        <f aca="false">IF(I4328="","",ABS(I4328))</f>
        <v>3.25</v>
      </c>
      <c r="N4328" s="33" t="n">
        <f aca="false">IF(J4328="","",ABS(J4328))</f>
        <v>3.125</v>
      </c>
      <c r="O4328" s="33" t="n">
        <f aca="false">IF(K4328="","",ABS(K4328))</f>
        <v>3.53559727751657</v>
      </c>
      <c r="P4328" s="34" t="str">
        <f aca="false">IF(B4328&gt;=Eval_Start_Week,"YES","")</f>
        <v>YES</v>
      </c>
      <c r="Q4328" s="34" t="str">
        <f aca="false">IF(AND(B4328&gt;=Cal_Start_Week,B4328&lt;=Cal_End_Week),"YES","")</f>
        <v>YES</v>
      </c>
    </row>
    <row r="4329" customFormat="false" ht="15" hidden="false" customHeight="false" outlineLevel="0" collapsed="false">
      <c r="A4329" s="31" t="str">
        <f aca="false">Demand_History!C4329</f>
        <v>CLN-005</v>
      </c>
      <c r="B4329" s="31" t="n">
        <f aca="false">Demand_History!A4329</f>
        <v>64</v>
      </c>
      <c r="C4329" s="32" t="n">
        <f aca="false">Demand_History!D4329</f>
        <v>53</v>
      </c>
      <c r="D4329" s="33" t="n">
        <f aca="false">IF(B4329&gt;=2,C4328,"")</f>
        <v>49</v>
      </c>
      <c r="E4329" s="33" t="n">
        <f aca="false">IF(B4329&gt;=5,AVERAGE(C4325:C4328),"")</f>
        <v>47.5</v>
      </c>
      <c r="F4329" s="33" t="n">
        <f aca="false">IF(B4329&gt;=9,AVERAGE(C4321:C4328),"")</f>
        <v>46.25</v>
      </c>
      <c r="G4329" s="33" t="n">
        <f aca="false">IF(B4329=1,"",IF(B4329=2,C4328,SES_Alpha*C4328+(1-SES_Alpha)*G4328))</f>
        <v>46.5250819057384</v>
      </c>
      <c r="H4329" s="33" t="n">
        <f aca="false">IF(D4329="","",D4329-C4329)</f>
        <v>-4</v>
      </c>
      <c r="I4329" s="33" t="n">
        <f aca="false">IF(E4329="","",E4329-C4329)</f>
        <v>-5.5</v>
      </c>
      <c r="J4329" s="33" t="n">
        <f aca="false">IF(F4329="","",F4329-C4329)</f>
        <v>-6.75</v>
      </c>
      <c r="K4329" s="33" t="n">
        <f aca="false">IF(G4329="","",G4329-C4329)</f>
        <v>-6.4749180942616</v>
      </c>
      <c r="L4329" s="33" t="n">
        <f aca="false">IF(H4329="","",ABS(H4329))</f>
        <v>4</v>
      </c>
      <c r="M4329" s="33" t="n">
        <f aca="false">IF(I4329="","",ABS(I4329))</f>
        <v>5.5</v>
      </c>
      <c r="N4329" s="33" t="n">
        <f aca="false">IF(J4329="","",ABS(J4329))</f>
        <v>6.75</v>
      </c>
      <c r="O4329" s="33" t="n">
        <f aca="false">IF(K4329="","",ABS(K4329))</f>
        <v>6.4749180942616</v>
      </c>
      <c r="P4329" s="34" t="str">
        <f aca="false">IF(B4329&gt;=Eval_Start_Week,"YES","")</f>
        <v>YES</v>
      </c>
      <c r="Q4329" s="34" t="str">
        <f aca="false">IF(AND(B4329&gt;=Cal_Start_Week,B4329&lt;=Cal_End_Week),"YES","")</f>
        <v>YES</v>
      </c>
    </row>
    <row r="4330" customFormat="false" ht="15" hidden="false" customHeight="false" outlineLevel="0" collapsed="false">
      <c r="A4330" s="31" t="str">
        <f aca="false">Demand_History!C4330</f>
        <v>CLN-005</v>
      </c>
      <c r="B4330" s="31" t="n">
        <f aca="false">Demand_History!A4330</f>
        <v>65</v>
      </c>
      <c r="C4330" s="32" t="n">
        <f aca="false">Demand_History!D4330</f>
        <v>50</v>
      </c>
      <c r="D4330" s="33" t="n">
        <f aca="false">IF(B4330&gt;=2,C4329,"")</f>
        <v>53</v>
      </c>
      <c r="E4330" s="33" t="n">
        <f aca="false">IF(B4330&gt;=5,AVERAGE(C4326:C4329),"")</f>
        <v>48.25</v>
      </c>
      <c r="F4330" s="33" t="n">
        <f aca="false">IF(B4330&gt;=9,AVERAGE(C4322:C4329),"")</f>
        <v>46.75</v>
      </c>
      <c r="G4330" s="33" t="n">
        <f aca="false">IF(B4330=1,"",IF(B4330=2,C4329,SES_Alpha*C4329+(1-SES_Alpha)*G4329))</f>
        <v>48.4675573340169</v>
      </c>
      <c r="H4330" s="33" t="n">
        <f aca="false">IF(D4330="","",D4330-C4330)</f>
        <v>3</v>
      </c>
      <c r="I4330" s="33" t="n">
        <f aca="false">IF(E4330="","",E4330-C4330)</f>
        <v>-1.75</v>
      </c>
      <c r="J4330" s="33" t="n">
        <f aca="false">IF(F4330="","",F4330-C4330)</f>
        <v>-3.25</v>
      </c>
      <c r="K4330" s="33" t="n">
        <f aca="false">IF(G4330="","",G4330-C4330)</f>
        <v>-1.53244266598312</v>
      </c>
      <c r="L4330" s="33" t="n">
        <f aca="false">IF(H4330="","",ABS(H4330))</f>
        <v>3</v>
      </c>
      <c r="M4330" s="33" t="n">
        <f aca="false">IF(I4330="","",ABS(I4330))</f>
        <v>1.75</v>
      </c>
      <c r="N4330" s="33" t="n">
        <f aca="false">IF(J4330="","",ABS(J4330))</f>
        <v>3.25</v>
      </c>
      <c r="O4330" s="33" t="n">
        <f aca="false">IF(K4330="","",ABS(K4330))</f>
        <v>1.53244266598312</v>
      </c>
      <c r="P4330" s="34" t="str">
        <f aca="false">IF(B4330&gt;=Eval_Start_Week,"YES","")</f>
        <v>YES</v>
      </c>
      <c r="Q4330" s="34" t="str">
        <f aca="false">IF(AND(B4330&gt;=Cal_Start_Week,B4330&lt;=Cal_End_Week),"YES","")</f>
        <v>YES</v>
      </c>
    </row>
    <row r="4331" customFormat="false" ht="15" hidden="false" customHeight="false" outlineLevel="0" collapsed="false">
      <c r="A4331" s="31" t="str">
        <f aca="false">Demand_History!C4331</f>
        <v>CLN-005</v>
      </c>
      <c r="B4331" s="31" t="n">
        <f aca="false">Demand_History!A4331</f>
        <v>66</v>
      </c>
      <c r="C4331" s="32" t="n">
        <f aca="false">Demand_History!D4331</f>
        <v>43</v>
      </c>
      <c r="D4331" s="33" t="n">
        <f aca="false">IF(B4331&gt;=2,C4330,"")</f>
        <v>50</v>
      </c>
      <c r="E4331" s="33" t="n">
        <f aca="false">IF(B4331&gt;=5,AVERAGE(C4327:C4330),"")</f>
        <v>47.5</v>
      </c>
      <c r="F4331" s="33" t="n">
        <f aca="false">IF(B4331&gt;=9,AVERAGE(C4323:C4330),"")</f>
        <v>47.125</v>
      </c>
      <c r="G4331" s="33" t="n">
        <f aca="false">IF(B4331=1,"",IF(B4331=2,C4330,SES_Alpha*C4330+(1-SES_Alpha)*G4330))</f>
        <v>48.9272901338118</v>
      </c>
      <c r="H4331" s="33" t="n">
        <f aca="false">IF(D4331="","",D4331-C4331)</f>
        <v>7</v>
      </c>
      <c r="I4331" s="33" t="n">
        <f aca="false">IF(E4331="","",E4331-C4331)</f>
        <v>4.5</v>
      </c>
      <c r="J4331" s="33" t="n">
        <f aca="false">IF(F4331="","",F4331-C4331)</f>
        <v>4.125</v>
      </c>
      <c r="K4331" s="33" t="n">
        <f aca="false">IF(G4331="","",G4331-C4331)</f>
        <v>5.92729013381182</v>
      </c>
      <c r="L4331" s="33" t="n">
        <f aca="false">IF(H4331="","",ABS(H4331))</f>
        <v>7</v>
      </c>
      <c r="M4331" s="33" t="n">
        <f aca="false">IF(I4331="","",ABS(I4331))</f>
        <v>4.5</v>
      </c>
      <c r="N4331" s="33" t="n">
        <f aca="false">IF(J4331="","",ABS(J4331))</f>
        <v>4.125</v>
      </c>
      <c r="O4331" s="33" t="n">
        <f aca="false">IF(K4331="","",ABS(K4331))</f>
        <v>5.92729013381182</v>
      </c>
      <c r="P4331" s="34" t="str">
        <f aca="false">IF(B4331&gt;=Eval_Start_Week,"YES","")</f>
        <v>YES</v>
      </c>
      <c r="Q4331" s="34" t="str">
        <f aca="false">IF(AND(B4331&gt;=Cal_Start_Week,B4331&lt;=Cal_End_Week),"YES","")</f>
        <v>YES</v>
      </c>
    </row>
    <row r="4332" customFormat="false" ht="15" hidden="false" customHeight="false" outlineLevel="0" collapsed="false">
      <c r="A4332" s="31" t="str">
        <f aca="false">Demand_History!C4332</f>
        <v>CLN-005</v>
      </c>
      <c r="B4332" s="31" t="n">
        <f aca="false">Demand_History!A4332</f>
        <v>67</v>
      </c>
      <c r="C4332" s="32" t="n">
        <f aca="false">Demand_History!D4332</f>
        <v>56</v>
      </c>
      <c r="D4332" s="33" t="n">
        <f aca="false">IF(B4332&gt;=2,C4331,"")</f>
        <v>43</v>
      </c>
      <c r="E4332" s="33" t="n">
        <f aca="false">IF(B4332&gt;=5,AVERAGE(C4328:C4331),"")</f>
        <v>48.75</v>
      </c>
      <c r="F4332" s="33" t="n">
        <f aca="false">IF(B4332&gt;=9,AVERAGE(C4324:C4331),"")</f>
        <v>47.25</v>
      </c>
      <c r="G4332" s="33" t="n">
        <f aca="false">IF(B4332=1,"",IF(B4332=2,C4331,SES_Alpha*C4331+(1-SES_Alpha)*G4331))</f>
        <v>47.1491030936683</v>
      </c>
      <c r="H4332" s="33" t="n">
        <f aca="false">IF(D4332="","",D4332-C4332)</f>
        <v>-13</v>
      </c>
      <c r="I4332" s="33" t="n">
        <f aca="false">IF(E4332="","",E4332-C4332)</f>
        <v>-7.25</v>
      </c>
      <c r="J4332" s="33" t="n">
        <f aca="false">IF(F4332="","",F4332-C4332)</f>
        <v>-8.75</v>
      </c>
      <c r="K4332" s="33" t="n">
        <f aca="false">IF(G4332="","",G4332-C4332)</f>
        <v>-8.85089690633173</v>
      </c>
      <c r="L4332" s="33" t="n">
        <f aca="false">IF(H4332="","",ABS(H4332))</f>
        <v>13</v>
      </c>
      <c r="M4332" s="33" t="n">
        <f aca="false">IF(I4332="","",ABS(I4332))</f>
        <v>7.25</v>
      </c>
      <c r="N4332" s="33" t="n">
        <f aca="false">IF(J4332="","",ABS(J4332))</f>
        <v>8.75</v>
      </c>
      <c r="O4332" s="33" t="n">
        <f aca="false">IF(K4332="","",ABS(K4332))</f>
        <v>8.85089690633173</v>
      </c>
      <c r="P4332" s="34" t="str">
        <f aca="false">IF(B4332&gt;=Eval_Start_Week,"YES","")</f>
        <v>YES</v>
      </c>
      <c r="Q4332" s="34" t="str">
        <f aca="false">IF(AND(B4332&gt;=Cal_Start_Week,B4332&lt;=Cal_End_Week),"YES","")</f>
        <v>YES</v>
      </c>
    </row>
    <row r="4333" customFormat="false" ht="15" hidden="false" customHeight="false" outlineLevel="0" collapsed="false">
      <c r="A4333" s="31" t="str">
        <f aca="false">Demand_History!C4333</f>
        <v>CLN-005</v>
      </c>
      <c r="B4333" s="31" t="n">
        <f aca="false">Demand_History!A4333</f>
        <v>68</v>
      </c>
      <c r="C4333" s="32" t="n">
        <f aca="false">Demand_History!D4333</f>
        <v>42</v>
      </c>
      <c r="D4333" s="33" t="n">
        <f aca="false">IF(B4333&gt;=2,C4332,"")</f>
        <v>56</v>
      </c>
      <c r="E4333" s="33" t="n">
        <f aca="false">IF(B4333&gt;=5,AVERAGE(C4329:C4332),"")</f>
        <v>50.5</v>
      </c>
      <c r="F4333" s="33" t="n">
        <f aca="false">IF(B4333&gt;=9,AVERAGE(C4325:C4332),"")</f>
        <v>49</v>
      </c>
      <c r="G4333" s="33" t="n">
        <f aca="false">IF(B4333=1,"",IF(B4333=2,C4332,SES_Alpha*C4332+(1-SES_Alpha)*G4332))</f>
        <v>49.8043721655678</v>
      </c>
      <c r="H4333" s="33" t="n">
        <f aca="false">IF(D4333="","",D4333-C4333)</f>
        <v>14</v>
      </c>
      <c r="I4333" s="33" t="n">
        <f aca="false">IF(E4333="","",E4333-C4333)</f>
        <v>8.5</v>
      </c>
      <c r="J4333" s="33" t="n">
        <f aca="false">IF(F4333="","",F4333-C4333)</f>
        <v>7</v>
      </c>
      <c r="K4333" s="33" t="n">
        <f aca="false">IF(G4333="","",G4333-C4333)</f>
        <v>7.80437216556778</v>
      </c>
      <c r="L4333" s="33" t="n">
        <f aca="false">IF(H4333="","",ABS(H4333))</f>
        <v>14</v>
      </c>
      <c r="M4333" s="33" t="n">
        <f aca="false">IF(I4333="","",ABS(I4333))</f>
        <v>8.5</v>
      </c>
      <c r="N4333" s="33" t="n">
        <f aca="false">IF(J4333="","",ABS(J4333))</f>
        <v>7</v>
      </c>
      <c r="O4333" s="33" t="n">
        <f aca="false">IF(K4333="","",ABS(K4333))</f>
        <v>7.80437216556778</v>
      </c>
      <c r="P4333" s="34" t="str">
        <f aca="false">IF(B4333&gt;=Eval_Start_Week,"YES","")</f>
        <v>YES</v>
      </c>
      <c r="Q4333" s="34" t="str">
        <f aca="false">IF(AND(B4333&gt;=Cal_Start_Week,B4333&lt;=Cal_End_Week),"YES","")</f>
        <v>YES</v>
      </c>
    </row>
    <row r="4334" customFormat="false" ht="15" hidden="false" customHeight="false" outlineLevel="0" collapsed="false">
      <c r="A4334" s="31" t="str">
        <f aca="false">Demand_History!C4334</f>
        <v>CLN-005</v>
      </c>
      <c r="B4334" s="31" t="n">
        <f aca="false">Demand_History!A4334</f>
        <v>69</v>
      </c>
      <c r="C4334" s="32" t="n">
        <f aca="false">Demand_History!D4334</f>
        <v>54</v>
      </c>
      <c r="D4334" s="33" t="n">
        <f aca="false">IF(B4334&gt;=2,C4333,"")</f>
        <v>42</v>
      </c>
      <c r="E4334" s="33" t="n">
        <f aca="false">IF(B4334&gt;=5,AVERAGE(C4330:C4333),"")</f>
        <v>47.75</v>
      </c>
      <c r="F4334" s="33" t="n">
        <f aca="false">IF(B4334&gt;=9,AVERAGE(C4326:C4333),"")</f>
        <v>48</v>
      </c>
      <c r="G4334" s="33" t="n">
        <f aca="false">IF(B4334=1,"",IF(B4334=2,C4333,SES_Alpha*C4333+(1-SES_Alpha)*G4333))</f>
        <v>47.4630605158974</v>
      </c>
      <c r="H4334" s="33" t="n">
        <f aca="false">IF(D4334="","",D4334-C4334)</f>
        <v>-12</v>
      </c>
      <c r="I4334" s="33" t="n">
        <f aca="false">IF(E4334="","",E4334-C4334)</f>
        <v>-6.25</v>
      </c>
      <c r="J4334" s="33" t="n">
        <f aca="false">IF(F4334="","",F4334-C4334)</f>
        <v>-6</v>
      </c>
      <c r="K4334" s="33" t="n">
        <f aca="false">IF(G4334="","",G4334-C4334)</f>
        <v>-6.53693948410255</v>
      </c>
      <c r="L4334" s="33" t="n">
        <f aca="false">IF(H4334="","",ABS(H4334))</f>
        <v>12</v>
      </c>
      <c r="M4334" s="33" t="n">
        <f aca="false">IF(I4334="","",ABS(I4334))</f>
        <v>6.25</v>
      </c>
      <c r="N4334" s="33" t="n">
        <f aca="false">IF(J4334="","",ABS(J4334))</f>
        <v>6</v>
      </c>
      <c r="O4334" s="33" t="n">
        <f aca="false">IF(K4334="","",ABS(K4334))</f>
        <v>6.53693948410255</v>
      </c>
      <c r="P4334" s="34" t="str">
        <f aca="false">IF(B4334&gt;=Eval_Start_Week,"YES","")</f>
        <v>YES</v>
      </c>
      <c r="Q4334" s="34" t="str">
        <f aca="false">IF(AND(B4334&gt;=Cal_Start_Week,B4334&lt;=Cal_End_Week),"YES","")</f>
        <v>YES</v>
      </c>
    </row>
    <row r="4335" customFormat="false" ht="15" hidden="false" customHeight="false" outlineLevel="0" collapsed="false">
      <c r="A4335" s="31" t="str">
        <f aca="false">Demand_History!C4335</f>
        <v>CLN-005</v>
      </c>
      <c r="B4335" s="31" t="n">
        <f aca="false">Demand_History!A4335</f>
        <v>70</v>
      </c>
      <c r="C4335" s="32" t="n">
        <f aca="false">Demand_History!D4335</f>
        <v>60</v>
      </c>
      <c r="D4335" s="33" t="n">
        <f aca="false">IF(B4335&gt;=2,C4334,"")</f>
        <v>54</v>
      </c>
      <c r="E4335" s="33" t="n">
        <f aca="false">IF(B4335&gt;=5,AVERAGE(C4331:C4334),"")</f>
        <v>48.75</v>
      </c>
      <c r="F4335" s="33" t="n">
        <f aca="false">IF(B4335&gt;=9,AVERAGE(C4327:C4334),"")</f>
        <v>48.125</v>
      </c>
      <c r="G4335" s="33" t="n">
        <f aca="false">IF(B4335=1,"",IF(B4335=2,C4334,SES_Alpha*C4334+(1-SES_Alpha)*G4334))</f>
        <v>49.4241423611282</v>
      </c>
      <c r="H4335" s="33" t="n">
        <f aca="false">IF(D4335="","",D4335-C4335)</f>
        <v>-6</v>
      </c>
      <c r="I4335" s="33" t="n">
        <f aca="false">IF(E4335="","",E4335-C4335)</f>
        <v>-11.25</v>
      </c>
      <c r="J4335" s="33" t="n">
        <f aca="false">IF(F4335="","",F4335-C4335)</f>
        <v>-11.875</v>
      </c>
      <c r="K4335" s="33" t="n">
        <f aca="false">IF(G4335="","",G4335-C4335)</f>
        <v>-10.5758576388718</v>
      </c>
      <c r="L4335" s="33" t="n">
        <f aca="false">IF(H4335="","",ABS(H4335))</f>
        <v>6</v>
      </c>
      <c r="M4335" s="33" t="n">
        <f aca="false">IF(I4335="","",ABS(I4335))</f>
        <v>11.25</v>
      </c>
      <c r="N4335" s="33" t="n">
        <f aca="false">IF(J4335="","",ABS(J4335))</f>
        <v>11.875</v>
      </c>
      <c r="O4335" s="33" t="n">
        <f aca="false">IF(K4335="","",ABS(K4335))</f>
        <v>10.5758576388718</v>
      </c>
      <c r="P4335" s="34" t="str">
        <f aca="false">IF(B4335&gt;=Eval_Start_Week,"YES","")</f>
        <v>YES</v>
      </c>
      <c r="Q4335" s="34" t="str">
        <f aca="false">IF(AND(B4335&gt;=Cal_Start_Week,B4335&lt;=Cal_End_Week),"YES","")</f>
        <v>YES</v>
      </c>
    </row>
    <row r="4336" customFormat="false" ht="15" hidden="false" customHeight="false" outlineLevel="0" collapsed="false">
      <c r="A4336" s="31" t="str">
        <f aca="false">Demand_History!C4336</f>
        <v>CLN-005</v>
      </c>
      <c r="B4336" s="31" t="n">
        <f aca="false">Demand_History!A4336</f>
        <v>71</v>
      </c>
      <c r="C4336" s="32" t="n">
        <f aca="false">Demand_History!D4336</f>
        <v>36</v>
      </c>
      <c r="D4336" s="33" t="n">
        <f aca="false">IF(B4336&gt;=2,C4335,"")</f>
        <v>60</v>
      </c>
      <c r="E4336" s="33" t="n">
        <f aca="false">IF(B4336&gt;=5,AVERAGE(C4332:C4335),"")</f>
        <v>53</v>
      </c>
      <c r="F4336" s="33" t="n">
        <f aca="false">IF(B4336&gt;=9,AVERAGE(C4328:C4335),"")</f>
        <v>50.875</v>
      </c>
      <c r="G4336" s="33" t="n">
        <f aca="false">IF(B4336=1,"",IF(B4336=2,C4335,SES_Alpha*C4335+(1-SES_Alpha)*G4335))</f>
        <v>52.5968996527897</v>
      </c>
      <c r="H4336" s="33" t="n">
        <f aca="false">IF(D4336="","",D4336-C4336)</f>
        <v>24</v>
      </c>
      <c r="I4336" s="33" t="n">
        <f aca="false">IF(E4336="","",E4336-C4336)</f>
        <v>17</v>
      </c>
      <c r="J4336" s="33" t="n">
        <f aca="false">IF(F4336="","",F4336-C4336)</f>
        <v>14.875</v>
      </c>
      <c r="K4336" s="33" t="n">
        <f aca="false">IF(G4336="","",G4336-C4336)</f>
        <v>16.5968996527897</v>
      </c>
      <c r="L4336" s="33" t="n">
        <f aca="false">IF(H4336="","",ABS(H4336))</f>
        <v>24</v>
      </c>
      <c r="M4336" s="33" t="n">
        <f aca="false">IF(I4336="","",ABS(I4336))</f>
        <v>17</v>
      </c>
      <c r="N4336" s="33" t="n">
        <f aca="false">IF(J4336="","",ABS(J4336))</f>
        <v>14.875</v>
      </c>
      <c r="O4336" s="33" t="n">
        <f aca="false">IF(K4336="","",ABS(K4336))</f>
        <v>16.5968996527897</v>
      </c>
      <c r="P4336" s="34" t="str">
        <f aca="false">IF(B4336&gt;=Eval_Start_Week,"YES","")</f>
        <v>YES</v>
      </c>
      <c r="Q4336" s="34" t="str">
        <f aca="false">IF(AND(B4336&gt;=Cal_Start_Week,B4336&lt;=Cal_End_Week),"YES","")</f>
        <v>YES</v>
      </c>
    </row>
    <row r="4337" customFormat="false" ht="15" hidden="false" customHeight="false" outlineLevel="0" collapsed="false">
      <c r="A4337" s="31" t="str">
        <f aca="false">Demand_History!C4337</f>
        <v>CLN-005</v>
      </c>
      <c r="B4337" s="31" t="n">
        <f aca="false">Demand_History!A4337</f>
        <v>72</v>
      </c>
      <c r="C4337" s="32" t="n">
        <f aca="false">Demand_History!D4337</f>
        <v>51</v>
      </c>
      <c r="D4337" s="33" t="n">
        <f aca="false">IF(B4337&gt;=2,C4336,"")</f>
        <v>36</v>
      </c>
      <c r="E4337" s="33" t="n">
        <f aca="false">IF(B4337&gt;=5,AVERAGE(C4333:C4336),"")</f>
        <v>48</v>
      </c>
      <c r="F4337" s="33" t="n">
        <f aca="false">IF(B4337&gt;=9,AVERAGE(C4329:C4336),"")</f>
        <v>49.25</v>
      </c>
      <c r="G4337" s="33" t="n">
        <f aca="false">IF(B4337=1,"",IF(B4337=2,C4336,SES_Alpha*C4336+(1-SES_Alpha)*G4336))</f>
        <v>47.6178297569528</v>
      </c>
      <c r="H4337" s="33" t="n">
        <f aca="false">IF(D4337="","",D4337-C4337)</f>
        <v>-15</v>
      </c>
      <c r="I4337" s="33" t="n">
        <f aca="false">IF(E4337="","",E4337-C4337)</f>
        <v>-3</v>
      </c>
      <c r="J4337" s="33" t="n">
        <f aca="false">IF(F4337="","",F4337-C4337)</f>
        <v>-1.75</v>
      </c>
      <c r="K4337" s="33" t="n">
        <f aca="false">IF(G4337="","",G4337-C4337)</f>
        <v>-3.38217024304719</v>
      </c>
      <c r="L4337" s="33" t="n">
        <f aca="false">IF(H4337="","",ABS(H4337))</f>
        <v>15</v>
      </c>
      <c r="M4337" s="33" t="n">
        <f aca="false">IF(I4337="","",ABS(I4337))</f>
        <v>3</v>
      </c>
      <c r="N4337" s="33" t="n">
        <f aca="false">IF(J4337="","",ABS(J4337))</f>
        <v>1.75</v>
      </c>
      <c r="O4337" s="33" t="n">
        <f aca="false">IF(K4337="","",ABS(K4337))</f>
        <v>3.38217024304719</v>
      </c>
      <c r="P4337" s="34" t="str">
        <f aca="false">IF(B4337&gt;=Eval_Start_Week,"YES","")</f>
        <v>YES</v>
      </c>
      <c r="Q4337" s="34" t="str">
        <f aca="false">IF(AND(B4337&gt;=Cal_Start_Week,B4337&lt;=Cal_End_Week),"YES","")</f>
        <v>YES</v>
      </c>
    </row>
    <row r="4338" customFormat="false" ht="15" hidden="false" customHeight="false" outlineLevel="0" collapsed="false">
      <c r="A4338" s="31" t="str">
        <f aca="false">Demand_History!C4338</f>
        <v>CLN-005</v>
      </c>
      <c r="B4338" s="31" t="n">
        <f aca="false">Demand_History!A4338</f>
        <v>73</v>
      </c>
      <c r="C4338" s="32" t="n">
        <f aca="false">Demand_History!D4338</f>
        <v>51</v>
      </c>
      <c r="D4338" s="33" t="n">
        <f aca="false">IF(B4338&gt;=2,C4337,"")</f>
        <v>51</v>
      </c>
      <c r="E4338" s="33" t="n">
        <f aca="false">IF(B4338&gt;=5,AVERAGE(C4334:C4337),"")</f>
        <v>50.25</v>
      </c>
      <c r="F4338" s="33" t="n">
        <f aca="false">IF(B4338&gt;=9,AVERAGE(C4330:C4337),"")</f>
        <v>49</v>
      </c>
      <c r="G4338" s="33" t="n">
        <f aca="false">IF(B4338=1,"",IF(B4338=2,C4337,SES_Alpha*C4337+(1-SES_Alpha)*G4337))</f>
        <v>48.632480829867</v>
      </c>
      <c r="H4338" s="33" t="n">
        <f aca="false">IF(D4338="","",D4338-C4338)</f>
        <v>0</v>
      </c>
      <c r="I4338" s="33" t="n">
        <f aca="false">IF(E4338="","",E4338-C4338)</f>
        <v>-0.75</v>
      </c>
      <c r="J4338" s="33" t="n">
        <f aca="false">IF(F4338="","",F4338-C4338)</f>
        <v>-2</v>
      </c>
      <c r="K4338" s="33" t="n">
        <f aca="false">IF(G4338="","",G4338-C4338)</f>
        <v>-2.36751917013304</v>
      </c>
      <c r="L4338" s="33" t="n">
        <f aca="false">IF(H4338="","",ABS(H4338))</f>
        <v>0</v>
      </c>
      <c r="M4338" s="33" t="n">
        <f aca="false">IF(I4338="","",ABS(I4338))</f>
        <v>0.75</v>
      </c>
      <c r="N4338" s="33" t="n">
        <f aca="false">IF(J4338="","",ABS(J4338))</f>
        <v>2</v>
      </c>
      <c r="O4338" s="33" t="n">
        <f aca="false">IF(K4338="","",ABS(K4338))</f>
        <v>2.36751917013304</v>
      </c>
      <c r="P4338" s="34" t="str">
        <f aca="false">IF(B4338&gt;=Eval_Start_Week,"YES","")</f>
        <v>YES</v>
      </c>
      <c r="Q4338" s="34" t="str">
        <f aca="false">IF(AND(B4338&gt;=Cal_Start_Week,B4338&lt;=Cal_End_Week),"YES","")</f>
        <v>YES</v>
      </c>
    </row>
    <row r="4339" customFormat="false" ht="15" hidden="false" customHeight="false" outlineLevel="0" collapsed="false">
      <c r="A4339" s="31" t="str">
        <f aca="false">Demand_History!C4339</f>
        <v>CLN-005</v>
      </c>
      <c r="B4339" s="31" t="n">
        <f aca="false">Demand_History!A4339</f>
        <v>74</v>
      </c>
      <c r="C4339" s="32" t="n">
        <f aca="false">Demand_History!D4339</f>
        <v>51</v>
      </c>
      <c r="D4339" s="33" t="n">
        <f aca="false">IF(B4339&gt;=2,C4338,"")</f>
        <v>51</v>
      </c>
      <c r="E4339" s="33" t="n">
        <f aca="false">IF(B4339&gt;=5,AVERAGE(C4335:C4338),"")</f>
        <v>49.5</v>
      </c>
      <c r="F4339" s="33" t="n">
        <f aca="false">IF(B4339&gt;=9,AVERAGE(C4331:C4338),"")</f>
        <v>49.125</v>
      </c>
      <c r="G4339" s="33" t="n">
        <f aca="false">IF(B4339=1,"",IF(B4339=2,C4338,SES_Alpha*C4338+(1-SES_Alpha)*G4338))</f>
        <v>49.3427365809069</v>
      </c>
      <c r="H4339" s="33" t="n">
        <f aca="false">IF(D4339="","",D4339-C4339)</f>
        <v>0</v>
      </c>
      <c r="I4339" s="33" t="n">
        <f aca="false">IF(E4339="","",E4339-C4339)</f>
        <v>-1.5</v>
      </c>
      <c r="J4339" s="33" t="n">
        <f aca="false">IF(F4339="","",F4339-C4339)</f>
        <v>-1.875</v>
      </c>
      <c r="K4339" s="33" t="n">
        <f aca="false">IF(G4339="","",G4339-C4339)</f>
        <v>-1.65726341909313</v>
      </c>
      <c r="L4339" s="33" t="n">
        <f aca="false">IF(H4339="","",ABS(H4339))</f>
        <v>0</v>
      </c>
      <c r="M4339" s="33" t="n">
        <f aca="false">IF(I4339="","",ABS(I4339))</f>
        <v>1.5</v>
      </c>
      <c r="N4339" s="33" t="n">
        <f aca="false">IF(J4339="","",ABS(J4339))</f>
        <v>1.875</v>
      </c>
      <c r="O4339" s="33" t="n">
        <f aca="false">IF(K4339="","",ABS(K4339))</f>
        <v>1.65726341909313</v>
      </c>
      <c r="P4339" s="34" t="str">
        <f aca="false">IF(B4339&gt;=Eval_Start_Week,"YES","")</f>
        <v>YES</v>
      </c>
      <c r="Q4339" s="34" t="str">
        <f aca="false">IF(AND(B4339&gt;=Cal_Start_Week,B4339&lt;=Cal_End_Week),"YES","")</f>
        <v>YES</v>
      </c>
    </row>
    <row r="4340" customFormat="false" ht="15" hidden="false" customHeight="false" outlineLevel="0" collapsed="false">
      <c r="A4340" s="31" t="str">
        <f aca="false">Demand_History!C4340</f>
        <v>CLN-005</v>
      </c>
      <c r="B4340" s="31" t="n">
        <f aca="false">Demand_History!A4340</f>
        <v>75</v>
      </c>
      <c r="C4340" s="32" t="n">
        <f aca="false">Demand_History!D4340</f>
        <v>45</v>
      </c>
      <c r="D4340" s="33" t="n">
        <f aca="false">IF(B4340&gt;=2,C4339,"")</f>
        <v>51</v>
      </c>
      <c r="E4340" s="33" t="n">
        <f aca="false">IF(B4340&gt;=5,AVERAGE(C4336:C4339),"")</f>
        <v>47.25</v>
      </c>
      <c r="F4340" s="33" t="n">
        <f aca="false">IF(B4340&gt;=9,AVERAGE(C4332:C4339),"")</f>
        <v>50.125</v>
      </c>
      <c r="G4340" s="33" t="n">
        <f aca="false">IF(B4340=1,"",IF(B4340=2,C4339,SES_Alpha*C4339+(1-SES_Alpha)*G4339))</f>
        <v>49.8399156066348</v>
      </c>
      <c r="H4340" s="33" t="n">
        <f aca="false">IF(D4340="","",D4340-C4340)</f>
        <v>6</v>
      </c>
      <c r="I4340" s="33" t="n">
        <f aca="false">IF(E4340="","",E4340-C4340)</f>
        <v>2.25</v>
      </c>
      <c r="J4340" s="33" t="n">
        <f aca="false">IF(F4340="","",F4340-C4340)</f>
        <v>5.125</v>
      </c>
      <c r="K4340" s="33" t="n">
        <f aca="false">IF(G4340="","",G4340-C4340)</f>
        <v>4.8399156066348</v>
      </c>
      <c r="L4340" s="33" t="n">
        <f aca="false">IF(H4340="","",ABS(H4340))</f>
        <v>6</v>
      </c>
      <c r="M4340" s="33" t="n">
        <f aca="false">IF(I4340="","",ABS(I4340))</f>
        <v>2.25</v>
      </c>
      <c r="N4340" s="33" t="n">
        <f aca="false">IF(J4340="","",ABS(J4340))</f>
        <v>5.125</v>
      </c>
      <c r="O4340" s="33" t="n">
        <f aca="false">IF(K4340="","",ABS(K4340))</f>
        <v>4.8399156066348</v>
      </c>
      <c r="P4340" s="34" t="str">
        <f aca="false">IF(B4340&gt;=Eval_Start_Week,"YES","")</f>
        <v>YES</v>
      </c>
      <c r="Q4340" s="34" t="str">
        <f aca="false">IF(AND(B4340&gt;=Cal_Start_Week,B4340&lt;=Cal_End_Week),"YES","")</f>
        <v>YES</v>
      </c>
    </row>
    <row r="4341" customFormat="false" ht="15" hidden="false" customHeight="false" outlineLevel="0" collapsed="false">
      <c r="A4341" s="31" t="str">
        <f aca="false">Demand_History!C4341</f>
        <v>CLN-005</v>
      </c>
      <c r="B4341" s="31" t="n">
        <f aca="false">Demand_History!A4341</f>
        <v>76</v>
      </c>
      <c r="C4341" s="32" t="n">
        <f aca="false">Demand_History!D4341</f>
        <v>47</v>
      </c>
      <c r="D4341" s="33" t="n">
        <f aca="false">IF(B4341&gt;=2,C4340,"")</f>
        <v>45</v>
      </c>
      <c r="E4341" s="33" t="n">
        <f aca="false">IF(B4341&gt;=5,AVERAGE(C4337:C4340),"")</f>
        <v>49.5</v>
      </c>
      <c r="F4341" s="33" t="n">
        <f aca="false">IF(B4341&gt;=9,AVERAGE(C4333:C4340),"")</f>
        <v>48.75</v>
      </c>
      <c r="G4341" s="33" t="n">
        <f aca="false">IF(B4341=1,"",IF(B4341=2,C4340,SES_Alpha*C4340+(1-SES_Alpha)*G4340))</f>
        <v>48.3879409246444</v>
      </c>
      <c r="H4341" s="33" t="n">
        <f aca="false">IF(D4341="","",D4341-C4341)</f>
        <v>-2</v>
      </c>
      <c r="I4341" s="33" t="n">
        <f aca="false">IF(E4341="","",E4341-C4341)</f>
        <v>2.5</v>
      </c>
      <c r="J4341" s="33" t="n">
        <f aca="false">IF(F4341="","",F4341-C4341)</f>
        <v>1.75</v>
      </c>
      <c r="K4341" s="33" t="n">
        <f aca="false">IF(G4341="","",G4341-C4341)</f>
        <v>1.38794092464436</v>
      </c>
      <c r="L4341" s="33" t="n">
        <f aca="false">IF(H4341="","",ABS(H4341))</f>
        <v>2</v>
      </c>
      <c r="M4341" s="33" t="n">
        <f aca="false">IF(I4341="","",ABS(I4341))</f>
        <v>2.5</v>
      </c>
      <c r="N4341" s="33" t="n">
        <f aca="false">IF(J4341="","",ABS(J4341))</f>
        <v>1.75</v>
      </c>
      <c r="O4341" s="33" t="n">
        <f aca="false">IF(K4341="","",ABS(K4341))</f>
        <v>1.38794092464436</v>
      </c>
      <c r="P4341" s="34" t="str">
        <f aca="false">IF(B4341&gt;=Eval_Start_Week,"YES","")</f>
        <v>YES</v>
      </c>
      <c r="Q4341" s="34" t="str">
        <f aca="false">IF(AND(B4341&gt;=Cal_Start_Week,B4341&lt;=Cal_End_Week),"YES","")</f>
        <v>YES</v>
      </c>
    </row>
    <row r="4342" customFormat="false" ht="15" hidden="false" customHeight="false" outlineLevel="0" collapsed="false">
      <c r="A4342" s="31" t="str">
        <f aca="false">Demand_History!C4342</f>
        <v>CLN-005</v>
      </c>
      <c r="B4342" s="31" t="n">
        <f aca="false">Demand_History!A4342</f>
        <v>77</v>
      </c>
      <c r="C4342" s="32" t="n">
        <f aca="false">Demand_History!D4342</f>
        <v>41</v>
      </c>
      <c r="D4342" s="33" t="n">
        <f aca="false">IF(B4342&gt;=2,C4341,"")</f>
        <v>47</v>
      </c>
      <c r="E4342" s="33" t="n">
        <f aca="false">IF(B4342&gt;=5,AVERAGE(C4338:C4341),"")</f>
        <v>48.5</v>
      </c>
      <c r="F4342" s="33" t="n">
        <f aca="false">IF(B4342&gt;=9,AVERAGE(C4334:C4341),"")</f>
        <v>49.375</v>
      </c>
      <c r="G4342" s="33" t="n">
        <f aca="false">IF(B4342=1,"",IF(B4342=2,C4341,SES_Alpha*C4341+(1-SES_Alpha)*G4341))</f>
        <v>47.9715586472511</v>
      </c>
      <c r="H4342" s="33" t="n">
        <f aca="false">IF(D4342="","",D4342-C4342)</f>
        <v>6</v>
      </c>
      <c r="I4342" s="33" t="n">
        <f aca="false">IF(E4342="","",E4342-C4342)</f>
        <v>7.5</v>
      </c>
      <c r="J4342" s="33" t="n">
        <f aca="false">IF(F4342="","",F4342-C4342)</f>
        <v>8.375</v>
      </c>
      <c r="K4342" s="33" t="n">
        <f aca="false">IF(G4342="","",G4342-C4342)</f>
        <v>6.97155864725105</v>
      </c>
      <c r="L4342" s="33" t="n">
        <f aca="false">IF(H4342="","",ABS(H4342))</f>
        <v>6</v>
      </c>
      <c r="M4342" s="33" t="n">
        <f aca="false">IF(I4342="","",ABS(I4342))</f>
        <v>7.5</v>
      </c>
      <c r="N4342" s="33" t="n">
        <f aca="false">IF(J4342="","",ABS(J4342))</f>
        <v>8.375</v>
      </c>
      <c r="O4342" s="33" t="n">
        <f aca="false">IF(K4342="","",ABS(K4342))</f>
        <v>6.97155864725105</v>
      </c>
      <c r="P4342" s="34" t="str">
        <f aca="false">IF(B4342&gt;=Eval_Start_Week,"YES","")</f>
        <v>YES</v>
      </c>
      <c r="Q4342" s="34" t="str">
        <f aca="false">IF(AND(B4342&gt;=Cal_Start_Week,B4342&lt;=Cal_End_Week),"YES","")</f>
        <v>YES</v>
      </c>
    </row>
    <row r="4343" customFormat="false" ht="15" hidden="false" customHeight="false" outlineLevel="0" collapsed="false">
      <c r="A4343" s="31" t="str">
        <f aca="false">Demand_History!C4343</f>
        <v>CLN-005</v>
      </c>
      <c r="B4343" s="31" t="n">
        <f aca="false">Demand_History!A4343</f>
        <v>78</v>
      </c>
      <c r="C4343" s="32" t="n">
        <f aca="false">Demand_History!D4343</f>
        <v>50</v>
      </c>
      <c r="D4343" s="33" t="n">
        <f aca="false">IF(B4343&gt;=2,C4342,"")</f>
        <v>41</v>
      </c>
      <c r="E4343" s="33" t="n">
        <f aca="false">IF(B4343&gt;=5,AVERAGE(C4339:C4342),"")</f>
        <v>46</v>
      </c>
      <c r="F4343" s="33" t="n">
        <f aca="false">IF(B4343&gt;=9,AVERAGE(C4335:C4342),"")</f>
        <v>47.75</v>
      </c>
      <c r="G4343" s="33" t="n">
        <f aca="false">IF(B4343=1,"",IF(B4343=2,C4342,SES_Alpha*C4342+(1-SES_Alpha)*G4342))</f>
        <v>45.8800910530757</v>
      </c>
      <c r="H4343" s="33" t="n">
        <f aca="false">IF(D4343="","",D4343-C4343)</f>
        <v>-9</v>
      </c>
      <c r="I4343" s="33" t="n">
        <f aca="false">IF(E4343="","",E4343-C4343)</f>
        <v>-4</v>
      </c>
      <c r="J4343" s="33" t="n">
        <f aca="false">IF(F4343="","",F4343-C4343)</f>
        <v>-2.25</v>
      </c>
      <c r="K4343" s="33" t="n">
        <f aca="false">IF(G4343="","",G4343-C4343)</f>
        <v>-4.11990894692427</v>
      </c>
      <c r="L4343" s="33" t="n">
        <f aca="false">IF(H4343="","",ABS(H4343))</f>
        <v>9</v>
      </c>
      <c r="M4343" s="33" t="n">
        <f aca="false">IF(I4343="","",ABS(I4343))</f>
        <v>4</v>
      </c>
      <c r="N4343" s="33" t="n">
        <f aca="false">IF(J4343="","",ABS(J4343))</f>
        <v>2.25</v>
      </c>
      <c r="O4343" s="33" t="n">
        <f aca="false">IF(K4343="","",ABS(K4343))</f>
        <v>4.11990894692427</v>
      </c>
      <c r="P4343" s="34" t="str">
        <f aca="false">IF(B4343&gt;=Eval_Start_Week,"YES","")</f>
        <v>YES</v>
      </c>
      <c r="Q4343" s="34" t="str">
        <f aca="false">IF(AND(B4343&gt;=Cal_Start_Week,B4343&lt;=Cal_End_Week),"YES","")</f>
        <v>YES</v>
      </c>
    </row>
    <row r="4344" customFormat="false" ht="15" hidden="false" customHeight="false" outlineLevel="0" collapsed="false">
      <c r="A4344" s="31" t="str">
        <f aca="false">Demand_History!C4344</f>
        <v>CLN-005</v>
      </c>
      <c r="B4344" s="31" t="n">
        <f aca="false">Demand_History!A4344</f>
        <v>79</v>
      </c>
      <c r="C4344" s="32" t="n">
        <f aca="false">Demand_History!D4344</f>
        <v>53</v>
      </c>
      <c r="D4344" s="33" t="n">
        <f aca="false">IF(B4344&gt;=2,C4343,"")</f>
        <v>50</v>
      </c>
      <c r="E4344" s="33" t="n">
        <f aca="false">IF(B4344&gt;=5,AVERAGE(C4340:C4343),"")</f>
        <v>45.75</v>
      </c>
      <c r="F4344" s="33" t="n">
        <f aca="false">IF(B4344&gt;=9,AVERAGE(C4336:C4343),"")</f>
        <v>46.5</v>
      </c>
      <c r="G4344" s="33" t="n">
        <f aca="false">IF(B4344=1,"",IF(B4344=2,C4343,SES_Alpha*C4343+(1-SES_Alpha)*G4343))</f>
        <v>47.116063737153</v>
      </c>
      <c r="H4344" s="33" t="n">
        <f aca="false">IF(D4344="","",D4344-C4344)</f>
        <v>-3</v>
      </c>
      <c r="I4344" s="33" t="n">
        <f aca="false">IF(E4344="","",E4344-C4344)</f>
        <v>-7.25</v>
      </c>
      <c r="J4344" s="33" t="n">
        <f aca="false">IF(F4344="","",F4344-C4344)</f>
        <v>-6.5</v>
      </c>
      <c r="K4344" s="33" t="n">
        <f aca="false">IF(G4344="","",G4344-C4344)</f>
        <v>-5.88393626284699</v>
      </c>
      <c r="L4344" s="33" t="n">
        <f aca="false">IF(H4344="","",ABS(H4344))</f>
        <v>3</v>
      </c>
      <c r="M4344" s="33" t="n">
        <f aca="false">IF(I4344="","",ABS(I4344))</f>
        <v>7.25</v>
      </c>
      <c r="N4344" s="33" t="n">
        <f aca="false">IF(J4344="","",ABS(J4344))</f>
        <v>6.5</v>
      </c>
      <c r="O4344" s="33" t="n">
        <f aca="false">IF(K4344="","",ABS(K4344))</f>
        <v>5.88393626284699</v>
      </c>
      <c r="P4344" s="34" t="str">
        <f aca="false">IF(B4344&gt;=Eval_Start_Week,"YES","")</f>
        <v>YES</v>
      </c>
      <c r="Q4344" s="34" t="str">
        <f aca="false">IF(AND(B4344&gt;=Cal_Start_Week,B4344&lt;=Cal_End_Week),"YES","")</f>
        <v>YES</v>
      </c>
    </row>
    <row r="4345" customFormat="false" ht="15" hidden="false" customHeight="false" outlineLevel="0" collapsed="false">
      <c r="A4345" s="31" t="str">
        <f aca="false">Demand_History!C4345</f>
        <v>CLN-005</v>
      </c>
      <c r="B4345" s="31" t="n">
        <f aca="false">Demand_History!A4345</f>
        <v>80</v>
      </c>
      <c r="C4345" s="32" t="n">
        <f aca="false">Demand_History!D4345</f>
        <v>45</v>
      </c>
      <c r="D4345" s="33" t="n">
        <f aca="false">IF(B4345&gt;=2,C4344,"")</f>
        <v>53</v>
      </c>
      <c r="E4345" s="33" t="n">
        <f aca="false">IF(B4345&gt;=5,AVERAGE(C4341:C4344),"")</f>
        <v>47.75</v>
      </c>
      <c r="F4345" s="33" t="n">
        <f aca="false">IF(B4345&gt;=9,AVERAGE(C4337:C4344),"")</f>
        <v>48.625</v>
      </c>
      <c r="G4345" s="33" t="n">
        <f aca="false">IF(B4345=1,"",IF(B4345=2,C4344,SES_Alpha*C4344+(1-SES_Alpha)*G4344))</f>
        <v>48.8812446160071</v>
      </c>
      <c r="H4345" s="33" t="n">
        <f aca="false">IF(D4345="","",D4345-C4345)</f>
        <v>8</v>
      </c>
      <c r="I4345" s="33" t="n">
        <f aca="false">IF(E4345="","",E4345-C4345)</f>
        <v>2.75</v>
      </c>
      <c r="J4345" s="33" t="n">
        <f aca="false">IF(F4345="","",F4345-C4345)</f>
        <v>3.625</v>
      </c>
      <c r="K4345" s="33" t="n">
        <f aca="false">IF(G4345="","",G4345-C4345)</f>
        <v>3.88124461600711</v>
      </c>
      <c r="L4345" s="33" t="n">
        <f aca="false">IF(H4345="","",ABS(H4345))</f>
        <v>8</v>
      </c>
      <c r="M4345" s="33" t="n">
        <f aca="false">IF(I4345="","",ABS(I4345))</f>
        <v>2.75</v>
      </c>
      <c r="N4345" s="33" t="n">
        <f aca="false">IF(J4345="","",ABS(J4345))</f>
        <v>3.625</v>
      </c>
      <c r="O4345" s="33" t="n">
        <f aca="false">IF(K4345="","",ABS(K4345))</f>
        <v>3.88124461600711</v>
      </c>
      <c r="P4345" s="34" t="str">
        <f aca="false">IF(B4345&gt;=Eval_Start_Week,"YES","")</f>
        <v>YES</v>
      </c>
      <c r="Q4345" s="34" t="str">
        <f aca="false">IF(AND(B4345&gt;=Cal_Start_Week,B4345&lt;=Cal_End_Week),"YES","")</f>
        <v>YES</v>
      </c>
    </row>
    <row r="4346" customFormat="false" ht="15" hidden="false" customHeight="false" outlineLevel="0" collapsed="false">
      <c r="A4346" s="31" t="str">
        <f aca="false">Demand_History!C4346</f>
        <v>CLN-005</v>
      </c>
      <c r="B4346" s="31" t="n">
        <f aca="false">Demand_History!A4346</f>
        <v>81</v>
      </c>
      <c r="C4346" s="32" t="n">
        <f aca="false">Demand_History!D4346</f>
        <v>44</v>
      </c>
      <c r="D4346" s="33" t="n">
        <f aca="false">IF(B4346&gt;=2,C4345,"")</f>
        <v>45</v>
      </c>
      <c r="E4346" s="33" t="n">
        <f aca="false">IF(B4346&gt;=5,AVERAGE(C4342:C4345),"")</f>
        <v>47.25</v>
      </c>
      <c r="F4346" s="33" t="n">
        <f aca="false">IF(B4346&gt;=9,AVERAGE(C4338:C4345),"")</f>
        <v>47.875</v>
      </c>
      <c r="G4346" s="33" t="n">
        <f aca="false">IF(B4346=1,"",IF(B4346=2,C4345,SES_Alpha*C4345+(1-SES_Alpha)*G4345))</f>
        <v>47.716871231205</v>
      </c>
      <c r="H4346" s="33" t="n">
        <f aca="false">IF(D4346="","",D4346-C4346)</f>
        <v>1</v>
      </c>
      <c r="I4346" s="33" t="n">
        <f aca="false">IF(E4346="","",E4346-C4346)</f>
        <v>3.25</v>
      </c>
      <c r="J4346" s="33" t="n">
        <f aca="false">IF(F4346="","",F4346-C4346)</f>
        <v>3.875</v>
      </c>
      <c r="K4346" s="33" t="n">
        <f aca="false">IF(G4346="","",G4346-C4346)</f>
        <v>3.71687123120498</v>
      </c>
      <c r="L4346" s="33" t="n">
        <f aca="false">IF(H4346="","",ABS(H4346))</f>
        <v>1</v>
      </c>
      <c r="M4346" s="33" t="n">
        <f aca="false">IF(I4346="","",ABS(I4346))</f>
        <v>3.25</v>
      </c>
      <c r="N4346" s="33" t="n">
        <f aca="false">IF(J4346="","",ABS(J4346))</f>
        <v>3.875</v>
      </c>
      <c r="O4346" s="33" t="n">
        <f aca="false">IF(K4346="","",ABS(K4346))</f>
        <v>3.71687123120498</v>
      </c>
      <c r="P4346" s="34" t="str">
        <f aca="false">IF(B4346&gt;=Eval_Start_Week,"YES","")</f>
        <v>YES</v>
      </c>
      <c r="Q4346" s="34" t="str">
        <f aca="false">IF(AND(B4346&gt;=Cal_Start_Week,B4346&lt;=Cal_End_Week),"YES","")</f>
        <v>YES</v>
      </c>
    </row>
    <row r="4347" customFormat="false" ht="15" hidden="false" customHeight="false" outlineLevel="0" collapsed="false">
      <c r="A4347" s="31" t="str">
        <f aca="false">Demand_History!C4347</f>
        <v>CLN-005</v>
      </c>
      <c r="B4347" s="31" t="n">
        <f aca="false">Demand_History!A4347</f>
        <v>82</v>
      </c>
      <c r="C4347" s="32" t="n">
        <f aca="false">Demand_History!D4347</f>
        <v>46</v>
      </c>
      <c r="D4347" s="33" t="n">
        <f aca="false">IF(B4347&gt;=2,C4346,"")</f>
        <v>44</v>
      </c>
      <c r="E4347" s="33" t="n">
        <f aca="false">IF(B4347&gt;=5,AVERAGE(C4343:C4346),"")</f>
        <v>48</v>
      </c>
      <c r="F4347" s="33" t="n">
        <f aca="false">IF(B4347&gt;=9,AVERAGE(C4339:C4346),"")</f>
        <v>47</v>
      </c>
      <c r="G4347" s="33" t="n">
        <f aca="false">IF(B4347=1,"",IF(B4347=2,C4346,SES_Alpha*C4346+(1-SES_Alpha)*G4346))</f>
        <v>46.6018098618435</v>
      </c>
      <c r="H4347" s="33" t="n">
        <f aca="false">IF(D4347="","",D4347-C4347)</f>
        <v>-2</v>
      </c>
      <c r="I4347" s="33" t="n">
        <f aca="false">IF(E4347="","",E4347-C4347)</f>
        <v>2</v>
      </c>
      <c r="J4347" s="33" t="n">
        <f aca="false">IF(F4347="","",F4347-C4347)</f>
        <v>1</v>
      </c>
      <c r="K4347" s="33" t="n">
        <f aca="false">IF(G4347="","",G4347-C4347)</f>
        <v>0.601809861843478</v>
      </c>
      <c r="L4347" s="33" t="n">
        <f aca="false">IF(H4347="","",ABS(H4347))</f>
        <v>2</v>
      </c>
      <c r="M4347" s="33" t="n">
        <f aca="false">IF(I4347="","",ABS(I4347))</f>
        <v>2</v>
      </c>
      <c r="N4347" s="33" t="n">
        <f aca="false">IF(J4347="","",ABS(J4347))</f>
        <v>1</v>
      </c>
      <c r="O4347" s="33" t="n">
        <f aca="false">IF(K4347="","",ABS(K4347))</f>
        <v>0.601809861843478</v>
      </c>
      <c r="P4347" s="34" t="str">
        <f aca="false">IF(B4347&gt;=Eval_Start_Week,"YES","")</f>
        <v>YES</v>
      </c>
      <c r="Q4347" s="34" t="str">
        <f aca="false">IF(AND(B4347&gt;=Cal_Start_Week,B4347&lt;=Cal_End_Week),"YES","")</f>
        <v>YES</v>
      </c>
    </row>
    <row r="4348" customFormat="false" ht="15" hidden="false" customHeight="false" outlineLevel="0" collapsed="false">
      <c r="A4348" s="31" t="str">
        <f aca="false">Demand_History!C4348</f>
        <v>CLN-005</v>
      </c>
      <c r="B4348" s="31" t="n">
        <f aca="false">Demand_History!A4348</f>
        <v>83</v>
      </c>
      <c r="C4348" s="32" t="n">
        <f aca="false">Demand_History!D4348</f>
        <v>49</v>
      </c>
      <c r="D4348" s="33" t="n">
        <f aca="false">IF(B4348&gt;=2,C4347,"")</f>
        <v>46</v>
      </c>
      <c r="E4348" s="33" t="n">
        <f aca="false">IF(B4348&gt;=5,AVERAGE(C4344:C4347),"")</f>
        <v>47</v>
      </c>
      <c r="F4348" s="33" t="n">
        <f aca="false">IF(B4348&gt;=9,AVERAGE(C4340:C4347),"")</f>
        <v>46.375</v>
      </c>
      <c r="G4348" s="33" t="n">
        <f aca="false">IF(B4348=1,"",IF(B4348=2,C4347,SES_Alpha*C4347+(1-SES_Alpha)*G4347))</f>
        <v>46.4212669032904</v>
      </c>
      <c r="H4348" s="33" t="n">
        <f aca="false">IF(D4348="","",D4348-C4348)</f>
        <v>-3</v>
      </c>
      <c r="I4348" s="33" t="n">
        <f aca="false">IF(E4348="","",E4348-C4348)</f>
        <v>-2</v>
      </c>
      <c r="J4348" s="33" t="n">
        <f aca="false">IF(F4348="","",F4348-C4348)</f>
        <v>-2.625</v>
      </c>
      <c r="K4348" s="33" t="n">
        <f aca="false">IF(G4348="","",G4348-C4348)</f>
        <v>-2.57873309670957</v>
      </c>
      <c r="L4348" s="33" t="n">
        <f aca="false">IF(H4348="","",ABS(H4348))</f>
        <v>3</v>
      </c>
      <c r="M4348" s="33" t="n">
        <f aca="false">IF(I4348="","",ABS(I4348))</f>
        <v>2</v>
      </c>
      <c r="N4348" s="33" t="n">
        <f aca="false">IF(J4348="","",ABS(J4348))</f>
        <v>2.625</v>
      </c>
      <c r="O4348" s="33" t="n">
        <f aca="false">IF(K4348="","",ABS(K4348))</f>
        <v>2.57873309670957</v>
      </c>
      <c r="P4348" s="34" t="str">
        <f aca="false">IF(B4348&gt;=Eval_Start_Week,"YES","")</f>
        <v>YES</v>
      </c>
      <c r="Q4348" s="34" t="str">
        <f aca="false">IF(AND(B4348&gt;=Cal_Start_Week,B4348&lt;=Cal_End_Week),"YES","")</f>
        <v>YES</v>
      </c>
    </row>
    <row r="4349" customFormat="false" ht="15" hidden="false" customHeight="false" outlineLevel="0" collapsed="false">
      <c r="A4349" s="31" t="str">
        <f aca="false">Demand_History!C4349</f>
        <v>CLN-005</v>
      </c>
      <c r="B4349" s="31" t="n">
        <f aca="false">Demand_History!A4349</f>
        <v>84</v>
      </c>
      <c r="C4349" s="32" t="n">
        <f aca="false">Demand_History!D4349</f>
        <v>50</v>
      </c>
      <c r="D4349" s="33" t="n">
        <f aca="false">IF(B4349&gt;=2,C4348,"")</f>
        <v>49</v>
      </c>
      <c r="E4349" s="33" t="n">
        <f aca="false">IF(B4349&gt;=5,AVERAGE(C4345:C4348),"")</f>
        <v>46</v>
      </c>
      <c r="F4349" s="33" t="n">
        <f aca="false">IF(B4349&gt;=9,AVERAGE(C4341:C4348),"")</f>
        <v>46.875</v>
      </c>
      <c r="G4349" s="33" t="n">
        <f aca="false">IF(B4349=1,"",IF(B4349=2,C4348,SES_Alpha*C4348+(1-SES_Alpha)*G4348))</f>
        <v>47.1948868323033</v>
      </c>
      <c r="H4349" s="33" t="n">
        <f aca="false">IF(D4349="","",D4349-C4349)</f>
        <v>-1</v>
      </c>
      <c r="I4349" s="33" t="n">
        <f aca="false">IF(E4349="","",E4349-C4349)</f>
        <v>-4</v>
      </c>
      <c r="J4349" s="33" t="n">
        <f aca="false">IF(F4349="","",F4349-C4349)</f>
        <v>-3.125</v>
      </c>
      <c r="K4349" s="33" t="n">
        <f aca="false">IF(G4349="","",G4349-C4349)</f>
        <v>-2.8051131676967</v>
      </c>
      <c r="L4349" s="33" t="n">
        <f aca="false">IF(H4349="","",ABS(H4349))</f>
        <v>1</v>
      </c>
      <c r="M4349" s="33" t="n">
        <f aca="false">IF(I4349="","",ABS(I4349))</f>
        <v>4</v>
      </c>
      <c r="N4349" s="33" t="n">
        <f aca="false">IF(J4349="","",ABS(J4349))</f>
        <v>3.125</v>
      </c>
      <c r="O4349" s="33" t="n">
        <f aca="false">IF(K4349="","",ABS(K4349))</f>
        <v>2.8051131676967</v>
      </c>
      <c r="P4349" s="34" t="str">
        <f aca="false">IF(B4349&gt;=Eval_Start_Week,"YES","")</f>
        <v>YES</v>
      </c>
      <c r="Q4349" s="34" t="str">
        <f aca="false">IF(AND(B4349&gt;=Cal_Start_Week,B4349&lt;=Cal_End_Week),"YES","")</f>
        <v>YES</v>
      </c>
    </row>
    <row r="4350" customFormat="false" ht="15" hidden="false" customHeight="false" outlineLevel="0" collapsed="false">
      <c r="A4350" s="31" t="str">
        <f aca="false">Demand_History!C4350</f>
        <v>CLN-005</v>
      </c>
      <c r="B4350" s="31" t="n">
        <f aca="false">Demand_History!A4350</f>
        <v>85</v>
      </c>
      <c r="C4350" s="32" t="n">
        <f aca="false">Demand_History!D4350</f>
        <v>49</v>
      </c>
      <c r="D4350" s="33" t="n">
        <f aca="false">IF(B4350&gt;=2,C4349,"")</f>
        <v>50</v>
      </c>
      <c r="E4350" s="33" t="n">
        <f aca="false">IF(B4350&gt;=5,AVERAGE(C4346:C4349),"")</f>
        <v>47.25</v>
      </c>
      <c r="F4350" s="33" t="n">
        <f aca="false">IF(B4350&gt;=9,AVERAGE(C4342:C4349),"")</f>
        <v>47.25</v>
      </c>
      <c r="G4350" s="33" t="n">
        <f aca="false">IF(B4350=1,"",IF(B4350=2,C4349,SES_Alpha*C4349+(1-SES_Alpha)*G4349))</f>
        <v>48.0364207826123</v>
      </c>
      <c r="H4350" s="33" t="n">
        <f aca="false">IF(D4350="","",D4350-C4350)</f>
        <v>1</v>
      </c>
      <c r="I4350" s="33" t="n">
        <f aca="false">IF(E4350="","",E4350-C4350)</f>
        <v>-1.75</v>
      </c>
      <c r="J4350" s="33" t="n">
        <f aca="false">IF(F4350="","",F4350-C4350)</f>
        <v>-1.75</v>
      </c>
      <c r="K4350" s="33" t="n">
        <f aca="false">IF(G4350="","",G4350-C4350)</f>
        <v>-0.963579217387697</v>
      </c>
      <c r="L4350" s="33" t="n">
        <f aca="false">IF(H4350="","",ABS(H4350))</f>
        <v>1</v>
      </c>
      <c r="M4350" s="33" t="n">
        <f aca="false">IF(I4350="","",ABS(I4350))</f>
        <v>1.75</v>
      </c>
      <c r="N4350" s="33" t="n">
        <f aca="false">IF(J4350="","",ABS(J4350))</f>
        <v>1.75</v>
      </c>
      <c r="O4350" s="33" t="n">
        <f aca="false">IF(K4350="","",ABS(K4350))</f>
        <v>0.963579217387697</v>
      </c>
      <c r="P4350" s="34" t="str">
        <f aca="false">IF(B4350&gt;=Eval_Start_Week,"YES","")</f>
        <v>YES</v>
      </c>
      <c r="Q4350" s="34" t="str">
        <f aca="false">IF(AND(B4350&gt;=Cal_Start_Week,B4350&lt;=Cal_End_Week),"YES","")</f>
        <v>YES</v>
      </c>
    </row>
    <row r="4351" customFormat="false" ht="15" hidden="false" customHeight="false" outlineLevel="0" collapsed="false">
      <c r="A4351" s="31" t="str">
        <f aca="false">Demand_History!C4351</f>
        <v>CLN-005</v>
      </c>
      <c r="B4351" s="31" t="n">
        <f aca="false">Demand_History!A4351</f>
        <v>86</v>
      </c>
      <c r="C4351" s="32" t="n">
        <f aca="false">Demand_History!D4351</f>
        <v>50</v>
      </c>
      <c r="D4351" s="33" t="n">
        <f aca="false">IF(B4351&gt;=2,C4350,"")</f>
        <v>49</v>
      </c>
      <c r="E4351" s="33" t="n">
        <f aca="false">IF(B4351&gt;=5,AVERAGE(C4347:C4350),"")</f>
        <v>48.5</v>
      </c>
      <c r="F4351" s="33" t="n">
        <f aca="false">IF(B4351&gt;=9,AVERAGE(C4343:C4350),"")</f>
        <v>48.25</v>
      </c>
      <c r="G4351" s="33" t="n">
        <f aca="false">IF(B4351=1,"",IF(B4351=2,C4350,SES_Alpha*C4350+(1-SES_Alpha)*G4350))</f>
        <v>48.3254945478286</v>
      </c>
      <c r="H4351" s="33" t="n">
        <f aca="false">IF(D4351="","",D4351-C4351)</f>
        <v>-1</v>
      </c>
      <c r="I4351" s="33" t="n">
        <f aca="false">IF(E4351="","",E4351-C4351)</f>
        <v>-1.5</v>
      </c>
      <c r="J4351" s="33" t="n">
        <f aca="false">IF(F4351="","",F4351-C4351)</f>
        <v>-1.75</v>
      </c>
      <c r="K4351" s="33" t="n">
        <f aca="false">IF(G4351="","",G4351-C4351)</f>
        <v>-1.67450545217139</v>
      </c>
      <c r="L4351" s="33" t="n">
        <f aca="false">IF(H4351="","",ABS(H4351))</f>
        <v>1</v>
      </c>
      <c r="M4351" s="33" t="n">
        <f aca="false">IF(I4351="","",ABS(I4351))</f>
        <v>1.5</v>
      </c>
      <c r="N4351" s="33" t="n">
        <f aca="false">IF(J4351="","",ABS(J4351))</f>
        <v>1.75</v>
      </c>
      <c r="O4351" s="33" t="n">
        <f aca="false">IF(K4351="","",ABS(K4351))</f>
        <v>1.67450545217139</v>
      </c>
      <c r="P4351" s="34" t="str">
        <f aca="false">IF(B4351&gt;=Eval_Start_Week,"YES","")</f>
        <v>YES</v>
      </c>
      <c r="Q4351" s="34" t="str">
        <f aca="false">IF(AND(B4351&gt;=Cal_Start_Week,B4351&lt;=Cal_End_Week),"YES","")</f>
        <v>YES</v>
      </c>
    </row>
    <row r="4352" customFormat="false" ht="15" hidden="false" customHeight="false" outlineLevel="0" collapsed="false">
      <c r="A4352" s="31" t="str">
        <f aca="false">Demand_History!C4352</f>
        <v>CLN-005</v>
      </c>
      <c r="B4352" s="31" t="n">
        <f aca="false">Demand_History!A4352</f>
        <v>87</v>
      </c>
      <c r="C4352" s="32" t="n">
        <f aca="false">Demand_History!D4352</f>
        <v>41</v>
      </c>
      <c r="D4352" s="33" t="n">
        <f aca="false">IF(B4352&gt;=2,C4351,"")</f>
        <v>50</v>
      </c>
      <c r="E4352" s="33" t="n">
        <f aca="false">IF(B4352&gt;=5,AVERAGE(C4348:C4351),"")</f>
        <v>49.5</v>
      </c>
      <c r="F4352" s="33" t="n">
        <f aca="false">IF(B4352&gt;=9,AVERAGE(C4344:C4351),"")</f>
        <v>48.25</v>
      </c>
      <c r="G4352" s="33" t="n">
        <f aca="false">IF(B4352=1,"",IF(B4352=2,C4351,SES_Alpha*C4351+(1-SES_Alpha)*G4351))</f>
        <v>48.82784618348</v>
      </c>
      <c r="H4352" s="33" t="n">
        <f aca="false">IF(D4352="","",D4352-C4352)</f>
        <v>9</v>
      </c>
      <c r="I4352" s="33" t="n">
        <f aca="false">IF(E4352="","",E4352-C4352)</f>
        <v>8.5</v>
      </c>
      <c r="J4352" s="33" t="n">
        <f aca="false">IF(F4352="","",F4352-C4352)</f>
        <v>7.25</v>
      </c>
      <c r="K4352" s="33" t="n">
        <f aca="false">IF(G4352="","",G4352-C4352)</f>
        <v>7.82784618348003</v>
      </c>
      <c r="L4352" s="33" t="n">
        <f aca="false">IF(H4352="","",ABS(H4352))</f>
        <v>9</v>
      </c>
      <c r="M4352" s="33" t="n">
        <f aca="false">IF(I4352="","",ABS(I4352))</f>
        <v>8.5</v>
      </c>
      <c r="N4352" s="33" t="n">
        <f aca="false">IF(J4352="","",ABS(J4352))</f>
        <v>7.25</v>
      </c>
      <c r="O4352" s="33" t="n">
        <f aca="false">IF(K4352="","",ABS(K4352))</f>
        <v>7.82784618348003</v>
      </c>
      <c r="P4352" s="34" t="str">
        <f aca="false">IF(B4352&gt;=Eval_Start_Week,"YES","")</f>
        <v>YES</v>
      </c>
      <c r="Q4352" s="34" t="str">
        <f aca="false">IF(AND(B4352&gt;=Cal_Start_Week,B4352&lt;=Cal_End_Week),"YES","")</f>
        <v>YES</v>
      </c>
    </row>
    <row r="4353" customFormat="false" ht="15" hidden="false" customHeight="false" outlineLevel="0" collapsed="false">
      <c r="A4353" s="31" t="str">
        <f aca="false">Demand_History!C4353</f>
        <v>CLN-005</v>
      </c>
      <c r="B4353" s="31" t="n">
        <f aca="false">Demand_History!A4353</f>
        <v>88</v>
      </c>
      <c r="C4353" s="32" t="n">
        <f aca="false">Demand_History!D4353</f>
        <v>32</v>
      </c>
      <c r="D4353" s="33" t="n">
        <f aca="false">IF(B4353&gt;=2,C4352,"")</f>
        <v>41</v>
      </c>
      <c r="E4353" s="33" t="n">
        <f aca="false">IF(B4353&gt;=5,AVERAGE(C4349:C4352),"")</f>
        <v>47.5</v>
      </c>
      <c r="F4353" s="33" t="n">
        <f aca="false">IF(B4353&gt;=9,AVERAGE(C4345:C4352),"")</f>
        <v>46.75</v>
      </c>
      <c r="G4353" s="33" t="n">
        <f aca="false">IF(B4353=1,"",IF(B4353=2,C4352,SES_Alpha*C4352+(1-SES_Alpha)*G4352))</f>
        <v>46.479492328436</v>
      </c>
      <c r="H4353" s="33" t="n">
        <f aca="false">IF(D4353="","",D4353-C4353)</f>
        <v>9</v>
      </c>
      <c r="I4353" s="33" t="n">
        <f aca="false">IF(E4353="","",E4353-C4353)</f>
        <v>15.5</v>
      </c>
      <c r="J4353" s="33" t="n">
        <f aca="false">IF(F4353="","",F4353-C4353)</f>
        <v>14.75</v>
      </c>
      <c r="K4353" s="33" t="n">
        <f aca="false">IF(G4353="","",G4353-C4353)</f>
        <v>14.479492328436</v>
      </c>
      <c r="L4353" s="33" t="n">
        <f aca="false">IF(H4353="","",ABS(H4353))</f>
        <v>9</v>
      </c>
      <c r="M4353" s="33" t="n">
        <f aca="false">IF(I4353="","",ABS(I4353))</f>
        <v>15.5</v>
      </c>
      <c r="N4353" s="33" t="n">
        <f aca="false">IF(J4353="","",ABS(J4353))</f>
        <v>14.75</v>
      </c>
      <c r="O4353" s="33" t="n">
        <f aca="false">IF(K4353="","",ABS(K4353))</f>
        <v>14.479492328436</v>
      </c>
      <c r="P4353" s="34" t="str">
        <f aca="false">IF(B4353&gt;=Eval_Start_Week,"YES","")</f>
        <v>YES</v>
      </c>
      <c r="Q4353" s="34" t="str">
        <f aca="false">IF(AND(B4353&gt;=Cal_Start_Week,B4353&lt;=Cal_End_Week),"YES","")</f>
        <v>YES</v>
      </c>
    </row>
    <row r="4354" customFormat="false" ht="15" hidden="false" customHeight="false" outlineLevel="0" collapsed="false">
      <c r="A4354" s="31" t="str">
        <f aca="false">Demand_History!C4354</f>
        <v>CLN-005</v>
      </c>
      <c r="B4354" s="31" t="n">
        <f aca="false">Demand_History!A4354</f>
        <v>89</v>
      </c>
      <c r="C4354" s="32" t="n">
        <f aca="false">Demand_History!D4354</f>
        <v>53</v>
      </c>
      <c r="D4354" s="33" t="n">
        <f aca="false">IF(B4354&gt;=2,C4353,"")</f>
        <v>32</v>
      </c>
      <c r="E4354" s="33" t="n">
        <f aca="false">IF(B4354&gt;=5,AVERAGE(C4350:C4353),"")</f>
        <v>43</v>
      </c>
      <c r="F4354" s="33" t="n">
        <f aca="false">IF(B4354&gt;=9,AVERAGE(C4346:C4353),"")</f>
        <v>45.125</v>
      </c>
      <c r="G4354" s="33" t="n">
        <f aca="false">IF(B4354=1,"",IF(B4354=2,C4353,SES_Alpha*C4353+(1-SES_Alpha)*G4353))</f>
        <v>42.1356446299052</v>
      </c>
      <c r="H4354" s="33" t="n">
        <f aca="false">IF(D4354="","",D4354-C4354)</f>
        <v>-21</v>
      </c>
      <c r="I4354" s="33" t="n">
        <f aca="false">IF(E4354="","",E4354-C4354)</f>
        <v>-10</v>
      </c>
      <c r="J4354" s="33" t="n">
        <f aca="false">IF(F4354="","",F4354-C4354)</f>
        <v>-7.875</v>
      </c>
      <c r="K4354" s="33" t="n">
        <f aca="false">IF(G4354="","",G4354-C4354)</f>
        <v>-10.8643553700948</v>
      </c>
      <c r="L4354" s="33" t="n">
        <f aca="false">IF(H4354="","",ABS(H4354))</f>
        <v>21</v>
      </c>
      <c r="M4354" s="33" t="n">
        <f aca="false">IF(I4354="","",ABS(I4354))</f>
        <v>10</v>
      </c>
      <c r="N4354" s="33" t="n">
        <f aca="false">IF(J4354="","",ABS(J4354))</f>
        <v>7.875</v>
      </c>
      <c r="O4354" s="33" t="n">
        <f aca="false">IF(K4354="","",ABS(K4354))</f>
        <v>10.8643553700948</v>
      </c>
      <c r="P4354" s="34" t="str">
        <f aca="false">IF(B4354&gt;=Eval_Start_Week,"YES","")</f>
        <v>YES</v>
      </c>
      <c r="Q4354" s="34" t="str">
        <f aca="false">IF(AND(B4354&gt;=Cal_Start_Week,B4354&lt;=Cal_End_Week),"YES","")</f>
        <v/>
      </c>
    </row>
    <row r="4355" customFormat="false" ht="15" hidden="false" customHeight="false" outlineLevel="0" collapsed="false">
      <c r="A4355" s="31" t="str">
        <f aca="false">Demand_History!C4355</f>
        <v>CLN-005</v>
      </c>
      <c r="B4355" s="31" t="n">
        <f aca="false">Demand_History!A4355</f>
        <v>90</v>
      </c>
      <c r="C4355" s="32" t="n">
        <f aca="false">Demand_History!D4355</f>
        <v>58</v>
      </c>
      <c r="D4355" s="33" t="n">
        <f aca="false">IF(B4355&gt;=2,C4354,"")</f>
        <v>53</v>
      </c>
      <c r="E4355" s="33" t="n">
        <f aca="false">IF(B4355&gt;=5,AVERAGE(C4351:C4354),"")</f>
        <v>44</v>
      </c>
      <c r="F4355" s="33" t="n">
        <f aca="false">IF(B4355&gt;=9,AVERAGE(C4347:C4354),"")</f>
        <v>46.25</v>
      </c>
      <c r="G4355" s="33" t="n">
        <f aca="false">IF(B4355=1,"",IF(B4355=2,C4354,SES_Alpha*C4354+(1-SES_Alpha)*G4354))</f>
        <v>45.3949512409336</v>
      </c>
      <c r="H4355" s="33" t="n">
        <f aca="false">IF(D4355="","",D4355-C4355)</f>
        <v>-5</v>
      </c>
      <c r="I4355" s="33" t="n">
        <f aca="false">IF(E4355="","",E4355-C4355)</f>
        <v>-14</v>
      </c>
      <c r="J4355" s="33" t="n">
        <f aca="false">IF(F4355="","",F4355-C4355)</f>
        <v>-11.75</v>
      </c>
      <c r="K4355" s="33" t="n">
        <f aca="false">IF(G4355="","",G4355-C4355)</f>
        <v>-12.6050487590664</v>
      </c>
      <c r="L4355" s="33" t="n">
        <f aca="false">IF(H4355="","",ABS(H4355))</f>
        <v>5</v>
      </c>
      <c r="M4355" s="33" t="n">
        <f aca="false">IF(I4355="","",ABS(I4355))</f>
        <v>14</v>
      </c>
      <c r="N4355" s="33" t="n">
        <f aca="false">IF(J4355="","",ABS(J4355))</f>
        <v>11.75</v>
      </c>
      <c r="O4355" s="33" t="n">
        <f aca="false">IF(K4355="","",ABS(K4355))</f>
        <v>12.6050487590664</v>
      </c>
      <c r="P4355" s="34" t="str">
        <f aca="false">IF(B4355&gt;=Eval_Start_Week,"YES","")</f>
        <v>YES</v>
      </c>
      <c r="Q4355" s="34" t="str">
        <f aca="false">IF(AND(B4355&gt;=Cal_Start_Week,B4355&lt;=Cal_End_Week),"YES","")</f>
        <v/>
      </c>
    </row>
    <row r="4356" customFormat="false" ht="15" hidden="false" customHeight="false" outlineLevel="0" collapsed="false">
      <c r="A4356" s="31" t="str">
        <f aca="false">Demand_History!C4356</f>
        <v>CLN-005</v>
      </c>
      <c r="B4356" s="31" t="n">
        <f aca="false">Demand_History!A4356</f>
        <v>91</v>
      </c>
      <c r="C4356" s="32" t="n">
        <f aca="false">Demand_History!D4356</f>
        <v>40</v>
      </c>
      <c r="D4356" s="33" t="n">
        <f aca="false">IF(B4356&gt;=2,C4355,"")</f>
        <v>58</v>
      </c>
      <c r="E4356" s="33" t="n">
        <f aca="false">IF(B4356&gt;=5,AVERAGE(C4352:C4355),"")</f>
        <v>46</v>
      </c>
      <c r="F4356" s="33" t="n">
        <f aca="false">IF(B4356&gt;=9,AVERAGE(C4348:C4355),"")</f>
        <v>47.75</v>
      </c>
      <c r="G4356" s="33" t="n">
        <f aca="false">IF(B4356=1,"",IF(B4356=2,C4355,SES_Alpha*C4355+(1-SES_Alpha)*G4355))</f>
        <v>49.1764658686536</v>
      </c>
      <c r="H4356" s="33" t="n">
        <f aca="false">IF(D4356="","",D4356-C4356)</f>
        <v>18</v>
      </c>
      <c r="I4356" s="33" t="n">
        <f aca="false">IF(E4356="","",E4356-C4356)</f>
        <v>6</v>
      </c>
      <c r="J4356" s="33" t="n">
        <f aca="false">IF(F4356="","",F4356-C4356)</f>
        <v>7.75</v>
      </c>
      <c r="K4356" s="33" t="n">
        <f aca="false">IF(G4356="","",G4356-C4356)</f>
        <v>9.17646586865355</v>
      </c>
      <c r="L4356" s="33" t="n">
        <f aca="false">IF(H4356="","",ABS(H4356))</f>
        <v>18</v>
      </c>
      <c r="M4356" s="33" t="n">
        <f aca="false">IF(I4356="","",ABS(I4356))</f>
        <v>6</v>
      </c>
      <c r="N4356" s="33" t="n">
        <f aca="false">IF(J4356="","",ABS(J4356))</f>
        <v>7.75</v>
      </c>
      <c r="O4356" s="33" t="n">
        <f aca="false">IF(K4356="","",ABS(K4356))</f>
        <v>9.17646586865355</v>
      </c>
      <c r="P4356" s="34" t="str">
        <f aca="false">IF(B4356&gt;=Eval_Start_Week,"YES","")</f>
        <v>YES</v>
      </c>
      <c r="Q4356" s="34" t="str">
        <f aca="false">IF(AND(B4356&gt;=Cal_Start_Week,B4356&lt;=Cal_End_Week),"YES","")</f>
        <v/>
      </c>
    </row>
    <row r="4357" customFormat="false" ht="15" hidden="false" customHeight="false" outlineLevel="0" collapsed="false">
      <c r="A4357" s="31" t="str">
        <f aca="false">Demand_History!C4357</f>
        <v>CLN-005</v>
      </c>
      <c r="B4357" s="31" t="n">
        <f aca="false">Demand_History!A4357</f>
        <v>92</v>
      </c>
      <c r="C4357" s="32" t="n">
        <f aca="false">Demand_History!D4357</f>
        <v>45</v>
      </c>
      <c r="D4357" s="33" t="n">
        <f aca="false">IF(B4357&gt;=2,C4356,"")</f>
        <v>40</v>
      </c>
      <c r="E4357" s="33" t="n">
        <f aca="false">IF(B4357&gt;=5,AVERAGE(C4353:C4356),"")</f>
        <v>45.75</v>
      </c>
      <c r="F4357" s="33" t="n">
        <f aca="false">IF(B4357&gt;=9,AVERAGE(C4349:C4356),"")</f>
        <v>46.625</v>
      </c>
      <c r="G4357" s="33" t="n">
        <f aca="false">IF(B4357=1,"",IF(B4357=2,C4356,SES_Alpha*C4356+(1-SES_Alpha)*G4356))</f>
        <v>46.4235261080575</v>
      </c>
      <c r="H4357" s="33" t="n">
        <f aca="false">IF(D4357="","",D4357-C4357)</f>
        <v>-5</v>
      </c>
      <c r="I4357" s="33" t="n">
        <f aca="false">IF(E4357="","",E4357-C4357)</f>
        <v>0.75</v>
      </c>
      <c r="J4357" s="33" t="n">
        <f aca="false">IF(F4357="","",F4357-C4357)</f>
        <v>1.625</v>
      </c>
      <c r="K4357" s="33" t="n">
        <f aca="false">IF(G4357="","",G4357-C4357)</f>
        <v>1.42352610805748</v>
      </c>
      <c r="L4357" s="33" t="n">
        <f aca="false">IF(H4357="","",ABS(H4357))</f>
        <v>5</v>
      </c>
      <c r="M4357" s="33" t="n">
        <f aca="false">IF(I4357="","",ABS(I4357))</f>
        <v>0.75</v>
      </c>
      <c r="N4357" s="33" t="n">
        <f aca="false">IF(J4357="","",ABS(J4357))</f>
        <v>1.625</v>
      </c>
      <c r="O4357" s="33" t="n">
        <f aca="false">IF(K4357="","",ABS(K4357))</f>
        <v>1.42352610805748</v>
      </c>
      <c r="P4357" s="34" t="str">
        <f aca="false">IF(B4357&gt;=Eval_Start_Week,"YES","")</f>
        <v>YES</v>
      </c>
      <c r="Q4357" s="34" t="str">
        <f aca="false">IF(AND(B4357&gt;=Cal_Start_Week,B4357&lt;=Cal_End_Week),"YES","")</f>
        <v/>
      </c>
    </row>
    <row r="4358" customFormat="false" ht="15" hidden="false" customHeight="false" outlineLevel="0" collapsed="false">
      <c r="A4358" s="31" t="str">
        <f aca="false">Demand_History!C4358</f>
        <v>CLN-005</v>
      </c>
      <c r="B4358" s="31" t="n">
        <f aca="false">Demand_History!A4358</f>
        <v>93</v>
      </c>
      <c r="C4358" s="32" t="n">
        <f aca="false">Demand_History!D4358</f>
        <v>51</v>
      </c>
      <c r="D4358" s="33" t="n">
        <f aca="false">IF(B4358&gt;=2,C4357,"")</f>
        <v>45</v>
      </c>
      <c r="E4358" s="33" t="n">
        <f aca="false">IF(B4358&gt;=5,AVERAGE(C4354:C4357),"")</f>
        <v>49</v>
      </c>
      <c r="F4358" s="33" t="n">
        <f aca="false">IF(B4358&gt;=9,AVERAGE(C4350:C4357),"")</f>
        <v>46</v>
      </c>
      <c r="G4358" s="33" t="n">
        <f aca="false">IF(B4358=1,"",IF(B4358=2,C4357,SES_Alpha*C4357+(1-SES_Alpha)*G4357))</f>
        <v>45.9964682756402</v>
      </c>
      <c r="H4358" s="33" t="n">
        <f aca="false">IF(D4358="","",D4358-C4358)</f>
        <v>-6</v>
      </c>
      <c r="I4358" s="33" t="n">
        <f aca="false">IF(E4358="","",E4358-C4358)</f>
        <v>-2</v>
      </c>
      <c r="J4358" s="33" t="n">
        <f aca="false">IF(F4358="","",F4358-C4358)</f>
        <v>-5</v>
      </c>
      <c r="K4358" s="33" t="n">
        <f aca="false">IF(G4358="","",G4358-C4358)</f>
        <v>-5.00353172435977</v>
      </c>
      <c r="L4358" s="33" t="n">
        <f aca="false">IF(H4358="","",ABS(H4358))</f>
        <v>6</v>
      </c>
      <c r="M4358" s="33" t="n">
        <f aca="false">IF(I4358="","",ABS(I4358))</f>
        <v>2</v>
      </c>
      <c r="N4358" s="33" t="n">
        <f aca="false">IF(J4358="","",ABS(J4358))</f>
        <v>5</v>
      </c>
      <c r="O4358" s="33" t="n">
        <f aca="false">IF(K4358="","",ABS(K4358))</f>
        <v>5.00353172435977</v>
      </c>
      <c r="P4358" s="34" t="str">
        <f aca="false">IF(B4358&gt;=Eval_Start_Week,"YES","")</f>
        <v>YES</v>
      </c>
      <c r="Q4358" s="34" t="str">
        <f aca="false">IF(AND(B4358&gt;=Cal_Start_Week,B4358&lt;=Cal_End_Week),"YES","")</f>
        <v/>
      </c>
    </row>
    <row r="4359" customFormat="false" ht="15" hidden="false" customHeight="false" outlineLevel="0" collapsed="false">
      <c r="A4359" s="31" t="str">
        <f aca="false">Demand_History!C4359</f>
        <v>CLN-005</v>
      </c>
      <c r="B4359" s="31" t="n">
        <f aca="false">Demand_History!A4359</f>
        <v>94</v>
      </c>
      <c r="C4359" s="32" t="n">
        <f aca="false">Demand_History!D4359</f>
        <v>55</v>
      </c>
      <c r="D4359" s="33" t="n">
        <f aca="false">IF(B4359&gt;=2,C4358,"")</f>
        <v>51</v>
      </c>
      <c r="E4359" s="33" t="n">
        <f aca="false">IF(B4359&gt;=5,AVERAGE(C4355:C4358),"")</f>
        <v>48.5</v>
      </c>
      <c r="F4359" s="33" t="n">
        <f aca="false">IF(B4359&gt;=9,AVERAGE(C4351:C4358),"")</f>
        <v>46.25</v>
      </c>
      <c r="G4359" s="33" t="n">
        <f aca="false">IF(B4359=1,"",IF(B4359=2,C4358,SES_Alpha*C4358+(1-SES_Alpha)*G4358))</f>
        <v>47.4975277929482</v>
      </c>
      <c r="H4359" s="33" t="n">
        <f aca="false">IF(D4359="","",D4359-C4359)</f>
        <v>-4</v>
      </c>
      <c r="I4359" s="33" t="n">
        <f aca="false">IF(E4359="","",E4359-C4359)</f>
        <v>-6.5</v>
      </c>
      <c r="J4359" s="33" t="n">
        <f aca="false">IF(F4359="","",F4359-C4359)</f>
        <v>-8.75</v>
      </c>
      <c r="K4359" s="33" t="n">
        <f aca="false">IF(G4359="","",G4359-C4359)</f>
        <v>-7.50247220705185</v>
      </c>
      <c r="L4359" s="33" t="n">
        <f aca="false">IF(H4359="","",ABS(H4359))</f>
        <v>4</v>
      </c>
      <c r="M4359" s="33" t="n">
        <f aca="false">IF(I4359="","",ABS(I4359))</f>
        <v>6.5</v>
      </c>
      <c r="N4359" s="33" t="n">
        <f aca="false">IF(J4359="","",ABS(J4359))</f>
        <v>8.75</v>
      </c>
      <c r="O4359" s="33" t="n">
        <f aca="false">IF(K4359="","",ABS(K4359))</f>
        <v>7.50247220705185</v>
      </c>
      <c r="P4359" s="34" t="str">
        <f aca="false">IF(B4359&gt;=Eval_Start_Week,"YES","")</f>
        <v>YES</v>
      </c>
      <c r="Q4359" s="34" t="str">
        <f aca="false">IF(AND(B4359&gt;=Cal_Start_Week,B4359&lt;=Cal_End_Week),"YES","")</f>
        <v/>
      </c>
    </row>
    <row r="4360" customFormat="false" ht="15" hidden="false" customHeight="false" outlineLevel="0" collapsed="false">
      <c r="A4360" s="31" t="str">
        <f aca="false">Demand_History!C4360</f>
        <v>CLN-005</v>
      </c>
      <c r="B4360" s="31" t="n">
        <f aca="false">Demand_History!A4360</f>
        <v>95</v>
      </c>
      <c r="C4360" s="32" t="n">
        <f aca="false">Demand_History!D4360</f>
        <v>54</v>
      </c>
      <c r="D4360" s="33" t="n">
        <f aca="false">IF(B4360&gt;=2,C4359,"")</f>
        <v>55</v>
      </c>
      <c r="E4360" s="33" t="n">
        <f aca="false">IF(B4360&gt;=5,AVERAGE(C4356:C4359),"")</f>
        <v>47.75</v>
      </c>
      <c r="F4360" s="33" t="n">
        <f aca="false">IF(B4360&gt;=9,AVERAGE(C4352:C4359),"")</f>
        <v>46.875</v>
      </c>
      <c r="G4360" s="33" t="n">
        <f aca="false">IF(B4360=1,"",IF(B4360=2,C4359,SES_Alpha*C4359+(1-SES_Alpha)*G4359))</f>
        <v>49.7482694550637</v>
      </c>
      <c r="H4360" s="33" t="n">
        <f aca="false">IF(D4360="","",D4360-C4360)</f>
        <v>1</v>
      </c>
      <c r="I4360" s="33" t="n">
        <f aca="false">IF(E4360="","",E4360-C4360)</f>
        <v>-6.25</v>
      </c>
      <c r="J4360" s="33" t="n">
        <f aca="false">IF(F4360="","",F4360-C4360)</f>
        <v>-7.125</v>
      </c>
      <c r="K4360" s="33" t="n">
        <f aca="false">IF(G4360="","",G4360-C4360)</f>
        <v>-4.25173054493629</v>
      </c>
      <c r="L4360" s="33" t="n">
        <f aca="false">IF(H4360="","",ABS(H4360))</f>
        <v>1</v>
      </c>
      <c r="M4360" s="33" t="n">
        <f aca="false">IF(I4360="","",ABS(I4360))</f>
        <v>6.25</v>
      </c>
      <c r="N4360" s="33" t="n">
        <f aca="false">IF(J4360="","",ABS(J4360))</f>
        <v>7.125</v>
      </c>
      <c r="O4360" s="33" t="n">
        <f aca="false">IF(K4360="","",ABS(K4360))</f>
        <v>4.25173054493629</v>
      </c>
      <c r="P4360" s="34" t="str">
        <f aca="false">IF(B4360&gt;=Eval_Start_Week,"YES","")</f>
        <v>YES</v>
      </c>
      <c r="Q4360" s="34" t="str">
        <f aca="false">IF(AND(B4360&gt;=Cal_Start_Week,B4360&lt;=Cal_End_Week),"YES","")</f>
        <v/>
      </c>
    </row>
    <row r="4361" customFormat="false" ht="15" hidden="false" customHeight="false" outlineLevel="0" collapsed="false">
      <c r="A4361" s="31" t="str">
        <f aca="false">Demand_History!C4361</f>
        <v>CLN-005</v>
      </c>
      <c r="B4361" s="31" t="n">
        <f aca="false">Demand_History!A4361</f>
        <v>96</v>
      </c>
      <c r="C4361" s="32" t="n">
        <f aca="false">Demand_History!D4361</f>
        <v>58</v>
      </c>
      <c r="D4361" s="33" t="n">
        <f aca="false">IF(B4361&gt;=2,C4360,"")</f>
        <v>54</v>
      </c>
      <c r="E4361" s="33" t="n">
        <f aca="false">IF(B4361&gt;=5,AVERAGE(C4357:C4360),"")</f>
        <v>51.25</v>
      </c>
      <c r="F4361" s="33" t="n">
        <f aca="false">IF(B4361&gt;=9,AVERAGE(C4353:C4360),"")</f>
        <v>48.5</v>
      </c>
      <c r="G4361" s="33" t="n">
        <f aca="false">IF(B4361=1,"",IF(B4361=2,C4360,SES_Alpha*C4360+(1-SES_Alpha)*G4360))</f>
        <v>51.0237886185446</v>
      </c>
      <c r="H4361" s="33" t="n">
        <f aca="false">IF(D4361="","",D4361-C4361)</f>
        <v>-4</v>
      </c>
      <c r="I4361" s="33" t="n">
        <f aca="false">IF(E4361="","",E4361-C4361)</f>
        <v>-6.75</v>
      </c>
      <c r="J4361" s="33" t="n">
        <f aca="false">IF(F4361="","",F4361-C4361)</f>
        <v>-9.5</v>
      </c>
      <c r="K4361" s="33" t="n">
        <f aca="false">IF(G4361="","",G4361-C4361)</f>
        <v>-6.97621138145541</v>
      </c>
      <c r="L4361" s="33" t="n">
        <f aca="false">IF(H4361="","",ABS(H4361))</f>
        <v>4</v>
      </c>
      <c r="M4361" s="33" t="n">
        <f aca="false">IF(I4361="","",ABS(I4361))</f>
        <v>6.75</v>
      </c>
      <c r="N4361" s="33" t="n">
        <f aca="false">IF(J4361="","",ABS(J4361))</f>
        <v>9.5</v>
      </c>
      <c r="O4361" s="33" t="n">
        <f aca="false">IF(K4361="","",ABS(K4361))</f>
        <v>6.97621138145541</v>
      </c>
      <c r="P4361" s="34" t="str">
        <f aca="false">IF(B4361&gt;=Eval_Start_Week,"YES","")</f>
        <v>YES</v>
      </c>
      <c r="Q4361" s="34" t="str">
        <f aca="false">IF(AND(B4361&gt;=Cal_Start_Week,B4361&lt;=Cal_End_Week),"YES","")</f>
        <v/>
      </c>
    </row>
    <row r="4362" customFormat="false" ht="15" hidden="false" customHeight="false" outlineLevel="0" collapsed="false">
      <c r="A4362" s="31" t="str">
        <f aca="false">Demand_History!C4362</f>
        <v>CLN-005</v>
      </c>
      <c r="B4362" s="31" t="n">
        <f aca="false">Demand_History!A4362</f>
        <v>97</v>
      </c>
      <c r="C4362" s="32" t="n">
        <f aca="false">Demand_History!D4362</f>
        <v>49</v>
      </c>
      <c r="D4362" s="33" t="n">
        <f aca="false">IF(B4362&gt;=2,C4361,"")</f>
        <v>58</v>
      </c>
      <c r="E4362" s="33" t="n">
        <f aca="false">IF(B4362&gt;=5,AVERAGE(C4358:C4361),"")</f>
        <v>54.5</v>
      </c>
      <c r="F4362" s="33" t="n">
        <f aca="false">IF(B4362&gt;=9,AVERAGE(C4354:C4361),"")</f>
        <v>51.75</v>
      </c>
      <c r="G4362" s="33" t="n">
        <f aca="false">IF(B4362=1,"",IF(B4362=2,C4361,SES_Alpha*C4361+(1-SES_Alpha)*G4361))</f>
        <v>53.1166520329812</v>
      </c>
      <c r="H4362" s="33" t="n">
        <f aca="false">IF(D4362="","",D4362-C4362)</f>
        <v>9</v>
      </c>
      <c r="I4362" s="33" t="n">
        <f aca="false">IF(E4362="","",E4362-C4362)</f>
        <v>5.5</v>
      </c>
      <c r="J4362" s="33" t="n">
        <f aca="false">IF(F4362="","",F4362-C4362)</f>
        <v>2.75</v>
      </c>
      <c r="K4362" s="33" t="n">
        <f aca="false">IF(G4362="","",G4362-C4362)</f>
        <v>4.11665203298121</v>
      </c>
      <c r="L4362" s="33" t="n">
        <f aca="false">IF(H4362="","",ABS(H4362))</f>
        <v>9</v>
      </c>
      <c r="M4362" s="33" t="n">
        <f aca="false">IF(I4362="","",ABS(I4362))</f>
        <v>5.5</v>
      </c>
      <c r="N4362" s="33" t="n">
        <f aca="false">IF(J4362="","",ABS(J4362))</f>
        <v>2.75</v>
      </c>
      <c r="O4362" s="33" t="n">
        <f aca="false">IF(K4362="","",ABS(K4362))</f>
        <v>4.11665203298121</v>
      </c>
      <c r="P4362" s="34" t="str">
        <f aca="false">IF(B4362&gt;=Eval_Start_Week,"YES","")</f>
        <v>YES</v>
      </c>
      <c r="Q4362" s="34" t="str">
        <f aca="false">IF(AND(B4362&gt;=Cal_Start_Week,B4362&lt;=Cal_End_Week),"YES","")</f>
        <v/>
      </c>
    </row>
    <row r="4363" customFormat="false" ht="15" hidden="false" customHeight="false" outlineLevel="0" collapsed="false">
      <c r="A4363" s="31" t="str">
        <f aca="false">Demand_History!C4363</f>
        <v>CLN-005</v>
      </c>
      <c r="B4363" s="31" t="n">
        <f aca="false">Demand_History!A4363</f>
        <v>98</v>
      </c>
      <c r="C4363" s="32" t="n">
        <f aca="false">Demand_History!D4363</f>
        <v>52</v>
      </c>
      <c r="D4363" s="33" t="n">
        <f aca="false">IF(B4363&gt;=2,C4362,"")</f>
        <v>49</v>
      </c>
      <c r="E4363" s="33" t="n">
        <f aca="false">IF(B4363&gt;=5,AVERAGE(C4359:C4362),"")</f>
        <v>54</v>
      </c>
      <c r="F4363" s="33" t="n">
        <f aca="false">IF(B4363&gt;=9,AVERAGE(C4355:C4362),"")</f>
        <v>51.25</v>
      </c>
      <c r="G4363" s="33" t="n">
        <f aca="false">IF(B4363=1,"",IF(B4363=2,C4362,SES_Alpha*C4362+(1-SES_Alpha)*G4362))</f>
        <v>51.8816564230868</v>
      </c>
      <c r="H4363" s="33" t="n">
        <f aca="false">IF(D4363="","",D4363-C4363)</f>
        <v>-3</v>
      </c>
      <c r="I4363" s="33" t="n">
        <f aca="false">IF(E4363="","",E4363-C4363)</f>
        <v>2</v>
      </c>
      <c r="J4363" s="33" t="n">
        <f aca="false">IF(F4363="","",F4363-C4363)</f>
        <v>-0.75</v>
      </c>
      <c r="K4363" s="33" t="n">
        <f aca="false">IF(G4363="","",G4363-C4363)</f>
        <v>-0.118343576913162</v>
      </c>
      <c r="L4363" s="33" t="n">
        <f aca="false">IF(H4363="","",ABS(H4363))</f>
        <v>3</v>
      </c>
      <c r="M4363" s="33" t="n">
        <f aca="false">IF(I4363="","",ABS(I4363))</f>
        <v>2</v>
      </c>
      <c r="N4363" s="33" t="n">
        <f aca="false">IF(J4363="","",ABS(J4363))</f>
        <v>0.75</v>
      </c>
      <c r="O4363" s="33" t="n">
        <f aca="false">IF(K4363="","",ABS(K4363))</f>
        <v>0.118343576913162</v>
      </c>
      <c r="P4363" s="34" t="str">
        <f aca="false">IF(B4363&gt;=Eval_Start_Week,"YES","")</f>
        <v>YES</v>
      </c>
      <c r="Q4363" s="34" t="str">
        <f aca="false">IF(AND(B4363&gt;=Cal_Start_Week,B4363&lt;=Cal_End_Week),"YES","")</f>
        <v/>
      </c>
    </row>
    <row r="4364" customFormat="false" ht="15" hidden="false" customHeight="false" outlineLevel="0" collapsed="false">
      <c r="A4364" s="31" t="str">
        <f aca="false">Demand_History!C4364</f>
        <v>CLN-005</v>
      </c>
      <c r="B4364" s="31" t="n">
        <f aca="false">Demand_History!A4364</f>
        <v>99</v>
      </c>
      <c r="C4364" s="32" t="n">
        <f aca="false">Demand_History!D4364</f>
        <v>52</v>
      </c>
      <c r="D4364" s="33" t="n">
        <f aca="false">IF(B4364&gt;=2,C4363,"")</f>
        <v>52</v>
      </c>
      <c r="E4364" s="33" t="n">
        <f aca="false">IF(B4364&gt;=5,AVERAGE(C4360:C4363),"")</f>
        <v>53.25</v>
      </c>
      <c r="F4364" s="33" t="n">
        <f aca="false">IF(B4364&gt;=9,AVERAGE(C4356:C4363),"")</f>
        <v>50.5</v>
      </c>
      <c r="G4364" s="33" t="n">
        <f aca="false">IF(B4364=1,"",IF(B4364=2,C4363,SES_Alpha*C4363+(1-SES_Alpha)*G4363))</f>
        <v>51.9171594961608</v>
      </c>
      <c r="H4364" s="33" t="n">
        <f aca="false">IF(D4364="","",D4364-C4364)</f>
        <v>0</v>
      </c>
      <c r="I4364" s="33" t="n">
        <f aca="false">IF(E4364="","",E4364-C4364)</f>
        <v>1.25</v>
      </c>
      <c r="J4364" s="33" t="n">
        <f aca="false">IF(F4364="","",F4364-C4364)</f>
        <v>-1.5</v>
      </c>
      <c r="K4364" s="33" t="n">
        <f aca="false">IF(G4364="","",G4364-C4364)</f>
        <v>-0.0828405038392148</v>
      </c>
      <c r="L4364" s="33" t="n">
        <f aca="false">IF(H4364="","",ABS(H4364))</f>
        <v>0</v>
      </c>
      <c r="M4364" s="33" t="n">
        <f aca="false">IF(I4364="","",ABS(I4364))</f>
        <v>1.25</v>
      </c>
      <c r="N4364" s="33" t="n">
        <f aca="false">IF(J4364="","",ABS(J4364))</f>
        <v>1.5</v>
      </c>
      <c r="O4364" s="33" t="n">
        <f aca="false">IF(K4364="","",ABS(K4364))</f>
        <v>0.0828405038392148</v>
      </c>
      <c r="P4364" s="34" t="str">
        <f aca="false">IF(B4364&gt;=Eval_Start_Week,"YES","")</f>
        <v>YES</v>
      </c>
      <c r="Q4364" s="34" t="str">
        <f aca="false">IF(AND(B4364&gt;=Cal_Start_Week,B4364&lt;=Cal_End_Week),"YES","")</f>
        <v/>
      </c>
    </row>
    <row r="4365" customFormat="false" ht="15" hidden="false" customHeight="false" outlineLevel="0" collapsed="false">
      <c r="A4365" s="31" t="str">
        <f aca="false">Demand_History!C4365</f>
        <v>CLN-005</v>
      </c>
      <c r="B4365" s="31" t="n">
        <f aca="false">Demand_History!A4365</f>
        <v>100</v>
      </c>
      <c r="C4365" s="32" t="n">
        <f aca="false">Demand_History!D4365</f>
        <v>47</v>
      </c>
      <c r="D4365" s="33" t="n">
        <f aca="false">IF(B4365&gt;=2,C4364,"")</f>
        <v>52</v>
      </c>
      <c r="E4365" s="33" t="n">
        <f aca="false">IF(B4365&gt;=5,AVERAGE(C4361:C4364),"")</f>
        <v>52.75</v>
      </c>
      <c r="F4365" s="33" t="n">
        <f aca="false">IF(B4365&gt;=9,AVERAGE(C4357:C4364),"")</f>
        <v>52</v>
      </c>
      <c r="G4365" s="33" t="n">
        <f aca="false">IF(B4365=1,"",IF(B4365=2,C4364,SES_Alpha*C4364+(1-SES_Alpha)*G4364))</f>
        <v>51.9420116473126</v>
      </c>
      <c r="H4365" s="33" t="n">
        <f aca="false">IF(D4365="","",D4365-C4365)</f>
        <v>5</v>
      </c>
      <c r="I4365" s="33" t="n">
        <f aca="false">IF(E4365="","",E4365-C4365)</f>
        <v>5.75</v>
      </c>
      <c r="J4365" s="33" t="n">
        <f aca="false">IF(F4365="","",F4365-C4365)</f>
        <v>5</v>
      </c>
      <c r="K4365" s="33" t="n">
        <f aca="false">IF(G4365="","",G4365-C4365)</f>
        <v>4.94201164731255</v>
      </c>
      <c r="L4365" s="33" t="n">
        <f aca="false">IF(H4365="","",ABS(H4365))</f>
        <v>5</v>
      </c>
      <c r="M4365" s="33" t="n">
        <f aca="false">IF(I4365="","",ABS(I4365))</f>
        <v>5.75</v>
      </c>
      <c r="N4365" s="33" t="n">
        <f aca="false">IF(J4365="","",ABS(J4365))</f>
        <v>5</v>
      </c>
      <c r="O4365" s="33" t="n">
        <f aca="false">IF(K4365="","",ABS(K4365))</f>
        <v>4.94201164731255</v>
      </c>
      <c r="P4365" s="34" t="str">
        <f aca="false">IF(B4365&gt;=Eval_Start_Week,"YES","")</f>
        <v>YES</v>
      </c>
      <c r="Q4365" s="34" t="str">
        <f aca="false">IF(AND(B4365&gt;=Cal_Start_Week,B4365&lt;=Cal_End_Week),"YES","")</f>
        <v/>
      </c>
    </row>
    <row r="4366" customFormat="false" ht="15" hidden="false" customHeight="false" outlineLevel="0" collapsed="false">
      <c r="A4366" s="31" t="str">
        <f aca="false">Demand_History!C4366</f>
        <v>CLN-005</v>
      </c>
      <c r="B4366" s="31" t="n">
        <f aca="false">Demand_History!A4366</f>
        <v>101</v>
      </c>
      <c r="C4366" s="32" t="n">
        <f aca="false">Demand_History!D4366</f>
        <v>57</v>
      </c>
      <c r="D4366" s="33" t="n">
        <f aca="false">IF(B4366&gt;=2,C4365,"")</f>
        <v>47</v>
      </c>
      <c r="E4366" s="33" t="n">
        <f aca="false">IF(B4366&gt;=5,AVERAGE(C4362:C4365),"")</f>
        <v>50</v>
      </c>
      <c r="F4366" s="33" t="n">
        <f aca="false">IF(B4366&gt;=9,AVERAGE(C4358:C4365),"")</f>
        <v>52.25</v>
      </c>
      <c r="G4366" s="33" t="n">
        <f aca="false">IF(B4366=1,"",IF(B4366=2,C4365,SES_Alpha*C4365+(1-SES_Alpha)*G4365))</f>
        <v>50.4594081531188</v>
      </c>
      <c r="H4366" s="33" t="n">
        <f aca="false">IF(D4366="","",D4366-C4366)</f>
        <v>-10</v>
      </c>
      <c r="I4366" s="33" t="n">
        <f aca="false">IF(E4366="","",E4366-C4366)</f>
        <v>-7</v>
      </c>
      <c r="J4366" s="33" t="n">
        <f aca="false">IF(F4366="","",F4366-C4366)</f>
        <v>-4.75</v>
      </c>
      <c r="K4366" s="33" t="n">
        <f aca="false">IF(G4366="","",G4366-C4366)</f>
        <v>-6.54059184688122</v>
      </c>
      <c r="L4366" s="33" t="n">
        <f aca="false">IF(H4366="","",ABS(H4366))</f>
        <v>10</v>
      </c>
      <c r="M4366" s="33" t="n">
        <f aca="false">IF(I4366="","",ABS(I4366))</f>
        <v>7</v>
      </c>
      <c r="N4366" s="33" t="n">
        <f aca="false">IF(J4366="","",ABS(J4366))</f>
        <v>4.75</v>
      </c>
      <c r="O4366" s="33" t="n">
        <f aca="false">IF(K4366="","",ABS(K4366))</f>
        <v>6.54059184688122</v>
      </c>
      <c r="P4366" s="34" t="str">
        <f aca="false">IF(B4366&gt;=Eval_Start_Week,"YES","")</f>
        <v>YES</v>
      </c>
      <c r="Q4366" s="34" t="str">
        <f aca="false">IF(AND(B4366&gt;=Cal_Start_Week,B4366&lt;=Cal_End_Week),"YES","")</f>
        <v/>
      </c>
    </row>
    <row r="4367" customFormat="false" ht="15" hidden="false" customHeight="false" outlineLevel="0" collapsed="false">
      <c r="A4367" s="31" t="str">
        <f aca="false">Demand_History!C4367</f>
        <v>CLN-005</v>
      </c>
      <c r="B4367" s="31" t="n">
        <f aca="false">Demand_History!A4367</f>
        <v>102</v>
      </c>
      <c r="C4367" s="32" t="n">
        <f aca="false">Demand_History!D4367</f>
        <v>53</v>
      </c>
      <c r="D4367" s="33" t="n">
        <f aca="false">IF(B4367&gt;=2,C4366,"")</f>
        <v>57</v>
      </c>
      <c r="E4367" s="33" t="n">
        <f aca="false">IF(B4367&gt;=5,AVERAGE(C4363:C4366),"")</f>
        <v>52</v>
      </c>
      <c r="F4367" s="33" t="n">
        <f aca="false">IF(B4367&gt;=9,AVERAGE(C4359:C4366),"")</f>
        <v>53</v>
      </c>
      <c r="G4367" s="33" t="n">
        <f aca="false">IF(B4367=1,"",IF(B4367=2,C4366,SES_Alpha*C4366+(1-SES_Alpha)*G4366))</f>
        <v>52.4215857071831</v>
      </c>
      <c r="H4367" s="33" t="n">
        <f aca="false">IF(D4367="","",D4367-C4367)</f>
        <v>4</v>
      </c>
      <c r="I4367" s="33" t="n">
        <f aca="false">IF(E4367="","",E4367-C4367)</f>
        <v>-1</v>
      </c>
      <c r="J4367" s="33" t="n">
        <f aca="false">IF(F4367="","",F4367-C4367)</f>
        <v>0</v>
      </c>
      <c r="K4367" s="33" t="n">
        <f aca="false">IF(G4367="","",G4367-C4367)</f>
        <v>-0.578414292816859</v>
      </c>
      <c r="L4367" s="33" t="n">
        <f aca="false">IF(H4367="","",ABS(H4367))</f>
        <v>4</v>
      </c>
      <c r="M4367" s="33" t="n">
        <f aca="false">IF(I4367="","",ABS(I4367))</f>
        <v>1</v>
      </c>
      <c r="N4367" s="33" t="n">
        <f aca="false">IF(J4367="","",ABS(J4367))</f>
        <v>0</v>
      </c>
      <c r="O4367" s="33" t="n">
        <f aca="false">IF(K4367="","",ABS(K4367))</f>
        <v>0.578414292816859</v>
      </c>
      <c r="P4367" s="34" t="str">
        <f aca="false">IF(B4367&gt;=Eval_Start_Week,"YES","")</f>
        <v>YES</v>
      </c>
      <c r="Q4367" s="34" t="str">
        <f aca="false">IF(AND(B4367&gt;=Cal_Start_Week,B4367&lt;=Cal_End_Week),"YES","")</f>
        <v/>
      </c>
    </row>
    <row r="4368" customFormat="false" ht="15" hidden="false" customHeight="false" outlineLevel="0" collapsed="false">
      <c r="A4368" s="31" t="str">
        <f aca="false">Demand_History!C4368</f>
        <v>CLN-005</v>
      </c>
      <c r="B4368" s="31" t="n">
        <f aca="false">Demand_History!A4368</f>
        <v>103</v>
      </c>
      <c r="C4368" s="32" t="n">
        <f aca="false">Demand_History!D4368</f>
        <v>56</v>
      </c>
      <c r="D4368" s="33" t="n">
        <f aca="false">IF(B4368&gt;=2,C4367,"")</f>
        <v>53</v>
      </c>
      <c r="E4368" s="33" t="n">
        <f aca="false">IF(B4368&gt;=5,AVERAGE(C4364:C4367),"")</f>
        <v>52.25</v>
      </c>
      <c r="F4368" s="33" t="n">
        <f aca="false">IF(B4368&gt;=9,AVERAGE(C4360:C4367),"")</f>
        <v>52.75</v>
      </c>
      <c r="G4368" s="33" t="n">
        <f aca="false">IF(B4368=1,"",IF(B4368=2,C4367,SES_Alpha*C4367+(1-SES_Alpha)*G4367))</f>
        <v>52.5951099950282</v>
      </c>
      <c r="H4368" s="33" t="n">
        <f aca="false">IF(D4368="","",D4368-C4368)</f>
        <v>-3</v>
      </c>
      <c r="I4368" s="33" t="n">
        <f aca="false">IF(E4368="","",E4368-C4368)</f>
        <v>-3.75</v>
      </c>
      <c r="J4368" s="33" t="n">
        <f aca="false">IF(F4368="","",F4368-C4368)</f>
        <v>-3.25</v>
      </c>
      <c r="K4368" s="33" t="n">
        <f aca="false">IF(G4368="","",G4368-C4368)</f>
        <v>-3.4048900049718</v>
      </c>
      <c r="L4368" s="33" t="n">
        <f aca="false">IF(H4368="","",ABS(H4368))</f>
        <v>3</v>
      </c>
      <c r="M4368" s="33" t="n">
        <f aca="false">IF(I4368="","",ABS(I4368))</f>
        <v>3.75</v>
      </c>
      <c r="N4368" s="33" t="n">
        <f aca="false">IF(J4368="","",ABS(J4368))</f>
        <v>3.25</v>
      </c>
      <c r="O4368" s="33" t="n">
        <f aca="false">IF(K4368="","",ABS(K4368))</f>
        <v>3.4048900049718</v>
      </c>
      <c r="P4368" s="34" t="str">
        <f aca="false">IF(B4368&gt;=Eval_Start_Week,"YES","")</f>
        <v>YES</v>
      </c>
      <c r="Q4368" s="34" t="str">
        <f aca="false">IF(AND(B4368&gt;=Cal_Start_Week,B4368&lt;=Cal_End_Week),"YES","")</f>
        <v/>
      </c>
    </row>
    <row r="4369" customFormat="false" ht="15" hidden="false" customHeight="false" outlineLevel="0" collapsed="false">
      <c r="A4369" s="31" t="str">
        <f aca="false">Demand_History!C4369</f>
        <v>CLN-005</v>
      </c>
      <c r="B4369" s="31" t="n">
        <f aca="false">Demand_History!A4369</f>
        <v>104</v>
      </c>
      <c r="C4369" s="32" t="n">
        <f aca="false">Demand_History!D4369</f>
        <v>47</v>
      </c>
      <c r="D4369" s="33" t="n">
        <f aca="false">IF(B4369&gt;=2,C4368,"")</f>
        <v>56</v>
      </c>
      <c r="E4369" s="33" t="n">
        <f aca="false">IF(B4369&gt;=5,AVERAGE(C4365:C4368),"")</f>
        <v>53.25</v>
      </c>
      <c r="F4369" s="33" t="n">
        <f aca="false">IF(B4369&gt;=9,AVERAGE(C4361:C4368),"")</f>
        <v>53</v>
      </c>
      <c r="G4369" s="33" t="n">
        <f aca="false">IF(B4369=1,"",IF(B4369=2,C4368,SES_Alpha*C4368+(1-SES_Alpha)*G4368))</f>
        <v>53.6165769965197</v>
      </c>
      <c r="H4369" s="33" t="n">
        <f aca="false">IF(D4369="","",D4369-C4369)</f>
        <v>9</v>
      </c>
      <c r="I4369" s="33" t="n">
        <f aca="false">IF(E4369="","",E4369-C4369)</f>
        <v>6.25</v>
      </c>
      <c r="J4369" s="33" t="n">
        <f aca="false">IF(F4369="","",F4369-C4369)</f>
        <v>6</v>
      </c>
      <c r="K4369" s="33" t="n">
        <f aca="false">IF(G4369="","",G4369-C4369)</f>
        <v>6.61657699651974</v>
      </c>
      <c r="L4369" s="33" t="n">
        <f aca="false">IF(H4369="","",ABS(H4369))</f>
        <v>9</v>
      </c>
      <c r="M4369" s="33" t="n">
        <f aca="false">IF(I4369="","",ABS(I4369))</f>
        <v>6.25</v>
      </c>
      <c r="N4369" s="33" t="n">
        <f aca="false">IF(J4369="","",ABS(J4369))</f>
        <v>6</v>
      </c>
      <c r="O4369" s="33" t="n">
        <f aca="false">IF(K4369="","",ABS(K4369))</f>
        <v>6.61657699651974</v>
      </c>
      <c r="P4369" s="34" t="str">
        <f aca="false">IF(B4369&gt;=Eval_Start_Week,"YES","")</f>
        <v>YES</v>
      </c>
      <c r="Q4369" s="34" t="str">
        <f aca="false">IF(AND(B4369&gt;=Cal_Start_Week,B4369&lt;=Cal_End_Week),"YES","")</f>
        <v/>
      </c>
    </row>
    <row r="4370" customFormat="false" ht="15" hidden="false" customHeight="false" outlineLevel="0" collapsed="false">
      <c r="A4370" s="31" t="str">
        <f aca="false">Demand_History!C4370</f>
        <v>CLN-006</v>
      </c>
      <c r="B4370" s="31" t="n">
        <f aca="false">Demand_History!A4370</f>
        <v>1</v>
      </c>
      <c r="C4370" s="32" t="n">
        <f aca="false">Demand_History!D4370</f>
        <v>107</v>
      </c>
      <c r="D4370" s="33" t="str">
        <f aca="false">IF(B4370&gt;=2,C4369,"")</f>
        <v/>
      </c>
      <c r="E4370" s="33" t="str">
        <f aca="false">IF(B4370&gt;=5,AVERAGE(C4366:C4369),"")</f>
        <v/>
      </c>
      <c r="F4370" s="33" t="str">
        <f aca="false">IF(B4370&gt;=9,AVERAGE(C4362:C4369),"")</f>
        <v/>
      </c>
      <c r="G4370" s="33" t="str">
        <f aca="false">IF(B4370=1,"",IF(B4370=2,C4369,SES_Alpha*C4369+(1-SES_Alpha)*G4369))</f>
        <v/>
      </c>
      <c r="H4370" s="33" t="str">
        <f aca="false">IF(D4370="","",D4370-C4370)</f>
        <v/>
      </c>
      <c r="I4370" s="33" t="str">
        <f aca="false">IF(E4370="","",E4370-C4370)</f>
        <v/>
      </c>
      <c r="J4370" s="33" t="str">
        <f aca="false">IF(F4370="","",F4370-C4370)</f>
        <v/>
      </c>
      <c r="K4370" s="33" t="str">
        <f aca="false">IF(G4370="","",G4370-C4370)</f>
        <v/>
      </c>
      <c r="L4370" s="33" t="str">
        <f aca="false">IF(H4370="","",ABS(H4370))</f>
        <v/>
      </c>
      <c r="M4370" s="33" t="str">
        <f aca="false">IF(I4370="","",ABS(I4370))</f>
        <v/>
      </c>
      <c r="N4370" s="33" t="str">
        <f aca="false">IF(J4370="","",ABS(J4370))</f>
        <v/>
      </c>
      <c r="O4370" s="33" t="str">
        <f aca="false">IF(K4370="","",ABS(K4370))</f>
        <v/>
      </c>
      <c r="P4370" s="34" t="str">
        <f aca="false">IF(B4370&gt;=Eval_Start_Week,"YES","")</f>
        <v/>
      </c>
      <c r="Q4370" s="34" t="str">
        <f aca="false">IF(AND(B4370&gt;=Cal_Start_Week,B4370&lt;=Cal_End_Week),"YES","")</f>
        <v/>
      </c>
    </row>
    <row r="4371" customFormat="false" ht="15" hidden="false" customHeight="false" outlineLevel="0" collapsed="false">
      <c r="A4371" s="31" t="str">
        <f aca="false">Demand_History!C4371</f>
        <v>CLN-006</v>
      </c>
      <c r="B4371" s="31" t="n">
        <f aca="false">Demand_History!A4371</f>
        <v>2</v>
      </c>
      <c r="C4371" s="32" t="n">
        <f aca="false">Demand_History!D4371</f>
        <v>79</v>
      </c>
      <c r="D4371" s="33" t="n">
        <f aca="false">IF(B4371&gt;=2,C4370,"")</f>
        <v>107</v>
      </c>
      <c r="E4371" s="33" t="str">
        <f aca="false">IF(B4371&gt;=5,AVERAGE(C4367:C4370),"")</f>
        <v/>
      </c>
      <c r="F4371" s="33" t="str">
        <f aca="false">IF(B4371&gt;=9,AVERAGE(C4363:C4370),"")</f>
        <v/>
      </c>
      <c r="G4371" s="33" t="n">
        <f aca="false">IF(B4371=1,"",IF(B4371=2,C4370,SES_Alpha*C4370+(1-SES_Alpha)*G4370))</f>
        <v>107</v>
      </c>
      <c r="H4371" s="33" t="n">
        <f aca="false">IF(D4371="","",D4371-C4371)</f>
        <v>28</v>
      </c>
      <c r="I4371" s="33" t="str">
        <f aca="false">IF(E4371="","",E4371-C4371)</f>
        <v/>
      </c>
      <c r="J4371" s="33" t="str">
        <f aca="false">IF(F4371="","",F4371-C4371)</f>
        <v/>
      </c>
      <c r="K4371" s="33" t="n">
        <f aca="false">IF(G4371="","",G4371-C4371)</f>
        <v>28</v>
      </c>
      <c r="L4371" s="33" t="n">
        <f aca="false">IF(H4371="","",ABS(H4371))</f>
        <v>28</v>
      </c>
      <c r="M4371" s="33" t="str">
        <f aca="false">IF(I4371="","",ABS(I4371))</f>
        <v/>
      </c>
      <c r="N4371" s="33" t="str">
        <f aca="false">IF(J4371="","",ABS(J4371))</f>
        <v/>
      </c>
      <c r="O4371" s="33" t="n">
        <f aca="false">IF(K4371="","",ABS(K4371))</f>
        <v>28</v>
      </c>
      <c r="P4371" s="34" t="str">
        <f aca="false">IF(B4371&gt;=Eval_Start_Week,"YES","")</f>
        <v/>
      </c>
      <c r="Q4371" s="34" t="str">
        <f aca="false">IF(AND(B4371&gt;=Cal_Start_Week,B4371&lt;=Cal_End_Week),"YES","")</f>
        <v/>
      </c>
    </row>
    <row r="4372" customFormat="false" ht="15" hidden="false" customHeight="false" outlineLevel="0" collapsed="false">
      <c r="A4372" s="31" t="str">
        <f aca="false">Demand_History!C4372</f>
        <v>CLN-006</v>
      </c>
      <c r="B4372" s="31" t="n">
        <f aca="false">Demand_History!A4372</f>
        <v>3</v>
      </c>
      <c r="C4372" s="32" t="n">
        <f aca="false">Demand_History!D4372</f>
        <v>97</v>
      </c>
      <c r="D4372" s="33" t="n">
        <f aca="false">IF(B4372&gt;=2,C4371,"")</f>
        <v>79</v>
      </c>
      <c r="E4372" s="33" t="str">
        <f aca="false">IF(B4372&gt;=5,AVERAGE(C4368:C4371),"")</f>
        <v/>
      </c>
      <c r="F4372" s="33" t="str">
        <f aca="false">IF(B4372&gt;=9,AVERAGE(C4364:C4371),"")</f>
        <v/>
      </c>
      <c r="G4372" s="33" t="n">
        <f aca="false">IF(B4372=1,"",IF(B4372=2,C4371,SES_Alpha*C4371+(1-SES_Alpha)*G4371))</f>
        <v>98.6</v>
      </c>
      <c r="H4372" s="33" t="n">
        <f aca="false">IF(D4372="","",D4372-C4372)</f>
        <v>-18</v>
      </c>
      <c r="I4372" s="33" t="str">
        <f aca="false">IF(E4372="","",E4372-C4372)</f>
        <v/>
      </c>
      <c r="J4372" s="33" t="str">
        <f aca="false">IF(F4372="","",F4372-C4372)</f>
        <v/>
      </c>
      <c r="K4372" s="33" t="n">
        <f aca="false">IF(G4372="","",G4372-C4372)</f>
        <v>1.59999999999999</v>
      </c>
      <c r="L4372" s="33" t="n">
        <f aca="false">IF(H4372="","",ABS(H4372))</f>
        <v>18</v>
      </c>
      <c r="M4372" s="33" t="str">
        <f aca="false">IF(I4372="","",ABS(I4372))</f>
        <v/>
      </c>
      <c r="N4372" s="33" t="str">
        <f aca="false">IF(J4372="","",ABS(J4372))</f>
        <v/>
      </c>
      <c r="O4372" s="33" t="n">
        <f aca="false">IF(K4372="","",ABS(K4372))</f>
        <v>1.59999999999999</v>
      </c>
      <c r="P4372" s="34" t="str">
        <f aca="false">IF(B4372&gt;=Eval_Start_Week,"YES","")</f>
        <v/>
      </c>
      <c r="Q4372" s="34" t="str">
        <f aca="false">IF(AND(B4372&gt;=Cal_Start_Week,B4372&lt;=Cal_End_Week),"YES","")</f>
        <v/>
      </c>
    </row>
    <row r="4373" customFormat="false" ht="15" hidden="false" customHeight="false" outlineLevel="0" collapsed="false">
      <c r="A4373" s="31" t="str">
        <f aca="false">Demand_History!C4373</f>
        <v>CLN-006</v>
      </c>
      <c r="B4373" s="31" t="n">
        <f aca="false">Demand_History!A4373</f>
        <v>4</v>
      </c>
      <c r="C4373" s="32" t="n">
        <f aca="false">Demand_History!D4373</f>
        <v>58</v>
      </c>
      <c r="D4373" s="33" t="n">
        <f aca="false">IF(B4373&gt;=2,C4372,"")</f>
        <v>97</v>
      </c>
      <c r="E4373" s="33" t="str">
        <f aca="false">IF(B4373&gt;=5,AVERAGE(C4369:C4372),"")</f>
        <v/>
      </c>
      <c r="F4373" s="33" t="str">
        <f aca="false">IF(B4373&gt;=9,AVERAGE(C4365:C4372),"")</f>
        <v/>
      </c>
      <c r="G4373" s="33" t="n">
        <f aca="false">IF(B4373=1,"",IF(B4373=2,C4372,SES_Alpha*C4372+(1-SES_Alpha)*G4372))</f>
        <v>98.12</v>
      </c>
      <c r="H4373" s="33" t="n">
        <f aca="false">IF(D4373="","",D4373-C4373)</f>
        <v>39</v>
      </c>
      <c r="I4373" s="33" t="str">
        <f aca="false">IF(E4373="","",E4373-C4373)</f>
        <v/>
      </c>
      <c r="J4373" s="33" t="str">
        <f aca="false">IF(F4373="","",F4373-C4373)</f>
        <v/>
      </c>
      <c r="K4373" s="33" t="n">
        <f aca="false">IF(G4373="","",G4373-C4373)</f>
        <v>40.12</v>
      </c>
      <c r="L4373" s="33" t="n">
        <f aca="false">IF(H4373="","",ABS(H4373))</f>
        <v>39</v>
      </c>
      <c r="M4373" s="33" t="str">
        <f aca="false">IF(I4373="","",ABS(I4373))</f>
        <v/>
      </c>
      <c r="N4373" s="33" t="str">
        <f aca="false">IF(J4373="","",ABS(J4373))</f>
        <v/>
      </c>
      <c r="O4373" s="33" t="n">
        <f aca="false">IF(K4373="","",ABS(K4373))</f>
        <v>40.12</v>
      </c>
      <c r="P4373" s="34" t="str">
        <f aca="false">IF(B4373&gt;=Eval_Start_Week,"YES","")</f>
        <v/>
      </c>
      <c r="Q4373" s="34" t="str">
        <f aca="false">IF(AND(B4373&gt;=Cal_Start_Week,B4373&lt;=Cal_End_Week),"YES","")</f>
        <v/>
      </c>
    </row>
    <row r="4374" customFormat="false" ht="15" hidden="false" customHeight="false" outlineLevel="0" collapsed="false">
      <c r="A4374" s="31" t="str">
        <f aca="false">Demand_History!C4374</f>
        <v>CLN-006</v>
      </c>
      <c r="B4374" s="31" t="n">
        <f aca="false">Demand_History!A4374</f>
        <v>5</v>
      </c>
      <c r="C4374" s="32" t="n">
        <f aca="false">Demand_History!D4374</f>
        <v>79</v>
      </c>
      <c r="D4374" s="33" t="n">
        <f aca="false">IF(B4374&gt;=2,C4373,"")</f>
        <v>58</v>
      </c>
      <c r="E4374" s="33" t="n">
        <f aca="false">IF(B4374&gt;=5,AVERAGE(C4370:C4373),"")</f>
        <v>85.25</v>
      </c>
      <c r="F4374" s="33" t="str">
        <f aca="false">IF(B4374&gt;=9,AVERAGE(C4366:C4373),"")</f>
        <v/>
      </c>
      <c r="G4374" s="33" t="n">
        <f aca="false">IF(B4374=1,"",IF(B4374=2,C4373,SES_Alpha*C4373+(1-SES_Alpha)*G4373))</f>
        <v>86.084</v>
      </c>
      <c r="H4374" s="33" t="n">
        <f aca="false">IF(D4374="","",D4374-C4374)</f>
        <v>-21</v>
      </c>
      <c r="I4374" s="33" t="n">
        <f aca="false">IF(E4374="","",E4374-C4374)</f>
        <v>6.25</v>
      </c>
      <c r="J4374" s="33" t="str">
        <f aca="false">IF(F4374="","",F4374-C4374)</f>
        <v/>
      </c>
      <c r="K4374" s="33" t="n">
        <f aca="false">IF(G4374="","",G4374-C4374)</f>
        <v>7.08399999999998</v>
      </c>
      <c r="L4374" s="33" t="n">
        <f aca="false">IF(H4374="","",ABS(H4374))</f>
        <v>21</v>
      </c>
      <c r="M4374" s="33" t="n">
        <f aca="false">IF(I4374="","",ABS(I4374))</f>
        <v>6.25</v>
      </c>
      <c r="N4374" s="33" t="str">
        <f aca="false">IF(J4374="","",ABS(J4374))</f>
        <v/>
      </c>
      <c r="O4374" s="33" t="n">
        <f aca="false">IF(K4374="","",ABS(K4374))</f>
        <v>7.08399999999998</v>
      </c>
      <c r="P4374" s="34" t="str">
        <f aca="false">IF(B4374&gt;=Eval_Start_Week,"YES","")</f>
        <v/>
      </c>
      <c r="Q4374" s="34" t="str">
        <f aca="false">IF(AND(B4374&gt;=Cal_Start_Week,B4374&lt;=Cal_End_Week),"YES","")</f>
        <v/>
      </c>
    </row>
    <row r="4375" customFormat="false" ht="15" hidden="false" customHeight="false" outlineLevel="0" collapsed="false">
      <c r="A4375" s="31" t="str">
        <f aca="false">Demand_History!C4375</f>
        <v>CLN-006</v>
      </c>
      <c r="B4375" s="31" t="n">
        <f aca="false">Demand_History!A4375</f>
        <v>6</v>
      </c>
      <c r="C4375" s="32" t="n">
        <f aca="false">Demand_History!D4375</f>
        <v>100</v>
      </c>
      <c r="D4375" s="33" t="n">
        <f aca="false">IF(B4375&gt;=2,C4374,"")</f>
        <v>79</v>
      </c>
      <c r="E4375" s="33" t="n">
        <f aca="false">IF(B4375&gt;=5,AVERAGE(C4371:C4374),"")</f>
        <v>78.25</v>
      </c>
      <c r="F4375" s="33" t="str">
        <f aca="false">IF(B4375&gt;=9,AVERAGE(C4367:C4374),"")</f>
        <v/>
      </c>
      <c r="G4375" s="33" t="n">
        <f aca="false">IF(B4375=1,"",IF(B4375=2,C4374,SES_Alpha*C4374+(1-SES_Alpha)*G4374))</f>
        <v>83.9588</v>
      </c>
      <c r="H4375" s="33" t="n">
        <f aca="false">IF(D4375="","",D4375-C4375)</f>
        <v>-21</v>
      </c>
      <c r="I4375" s="33" t="n">
        <f aca="false">IF(E4375="","",E4375-C4375)</f>
        <v>-21.75</v>
      </c>
      <c r="J4375" s="33" t="str">
        <f aca="false">IF(F4375="","",F4375-C4375)</f>
        <v/>
      </c>
      <c r="K4375" s="33" t="n">
        <f aca="false">IF(G4375="","",G4375-C4375)</f>
        <v>-16.0412</v>
      </c>
      <c r="L4375" s="33" t="n">
        <f aca="false">IF(H4375="","",ABS(H4375))</f>
        <v>21</v>
      </c>
      <c r="M4375" s="33" t="n">
        <f aca="false">IF(I4375="","",ABS(I4375))</f>
        <v>21.75</v>
      </c>
      <c r="N4375" s="33" t="str">
        <f aca="false">IF(J4375="","",ABS(J4375))</f>
        <v/>
      </c>
      <c r="O4375" s="33" t="n">
        <f aca="false">IF(K4375="","",ABS(K4375))</f>
        <v>16.0412</v>
      </c>
      <c r="P4375" s="34" t="str">
        <f aca="false">IF(B4375&gt;=Eval_Start_Week,"YES","")</f>
        <v/>
      </c>
      <c r="Q4375" s="34" t="str">
        <f aca="false">IF(AND(B4375&gt;=Cal_Start_Week,B4375&lt;=Cal_End_Week),"YES","")</f>
        <v/>
      </c>
    </row>
    <row r="4376" customFormat="false" ht="15" hidden="false" customHeight="false" outlineLevel="0" collapsed="false">
      <c r="A4376" s="31" t="str">
        <f aca="false">Demand_History!C4376</f>
        <v>CLN-006</v>
      </c>
      <c r="B4376" s="31" t="n">
        <f aca="false">Demand_History!A4376</f>
        <v>7</v>
      </c>
      <c r="C4376" s="32" t="n">
        <f aca="false">Demand_History!D4376</f>
        <v>85</v>
      </c>
      <c r="D4376" s="33" t="n">
        <f aca="false">IF(B4376&gt;=2,C4375,"")</f>
        <v>100</v>
      </c>
      <c r="E4376" s="33" t="n">
        <f aca="false">IF(B4376&gt;=5,AVERAGE(C4372:C4375),"")</f>
        <v>83.5</v>
      </c>
      <c r="F4376" s="33" t="str">
        <f aca="false">IF(B4376&gt;=9,AVERAGE(C4368:C4375),"")</f>
        <v/>
      </c>
      <c r="G4376" s="33" t="n">
        <f aca="false">IF(B4376=1,"",IF(B4376=2,C4375,SES_Alpha*C4375+(1-SES_Alpha)*G4375))</f>
        <v>88.77116</v>
      </c>
      <c r="H4376" s="33" t="n">
        <f aca="false">IF(D4376="","",D4376-C4376)</f>
        <v>15</v>
      </c>
      <c r="I4376" s="33" t="n">
        <f aca="false">IF(E4376="","",E4376-C4376)</f>
        <v>-1.5</v>
      </c>
      <c r="J4376" s="33" t="str">
        <f aca="false">IF(F4376="","",F4376-C4376)</f>
        <v/>
      </c>
      <c r="K4376" s="33" t="n">
        <f aca="false">IF(G4376="","",G4376-C4376)</f>
        <v>3.77115999999998</v>
      </c>
      <c r="L4376" s="33" t="n">
        <f aca="false">IF(H4376="","",ABS(H4376))</f>
        <v>15</v>
      </c>
      <c r="M4376" s="33" t="n">
        <f aca="false">IF(I4376="","",ABS(I4376))</f>
        <v>1.5</v>
      </c>
      <c r="N4376" s="33" t="str">
        <f aca="false">IF(J4376="","",ABS(J4376))</f>
        <v/>
      </c>
      <c r="O4376" s="33" t="n">
        <f aca="false">IF(K4376="","",ABS(K4376))</f>
        <v>3.77115999999998</v>
      </c>
      <c r="P4376" s="34" t="str">
        <f aca="false">IF(B4376&gt;=Eval_Start_Week,"YES","")</f>
        <v/>
      </c>
      <c r="Q4376" s="34" t="str">
        <f aca="false">IF(AND(B4376&gt;=Cal_Start_Week,B4376&lt;=Cal_End_Week),"YES","")</f>
        <v/>
      </c>
    </row>
    <row r="4377" customFormat="false" ht="15" hidden="false" customHeight="false" outlineLevel="0" collapsed="false">
      <c r="A4377" s="31" t="str">
        <f aca="false">Demand_History!C4377</f>
        <v>CLN-006</v>
      </c>
      <c r="B4377" s="31" t="n">
        <f aca="false">Demand_History!A4377</f>
        <v>8</v>
      </c>
      <c r="C4377" s="32" t="n">
        <f aca="false">Demand_History!D4377</f>
        <v>92</v>
      </c>
      <c r="D4377" s="33" t="n">
        <f aca="false">IF(B4377&gt;=2,C4376,"")</f>
        <v>85</v>
      </c>
      <c r="E4377" s="33" t="n">
        <f aca="false">IF(B4377&gt;=5,AVERAGE(C4373:C4376),"")</f>
        <v>80.5</v>
      </c>
      <c r="F4377" s="33" t="str">
        <f aca="false">IF(B4377&gt;=9,AVERAGE(C4369:C4376),"")</f>
        <v/>
      </c>
      <c r="G4377" s="33" t="n">
        <f aca="false">IF(B4377=1,"",IF(B4377=2,C4376,SES_Alpha*C4376+(1-SES_Alpha)*G4376))</f>
        <v>87.639812</v>
      </c>
      <c r="H4377" s="33" t="n">
        <f aca="false">IF(D4377="","",D4377-C4377)</f>
        <v>-7</v>
      </c>
      <c r="I4377" s="33" t="n">
        <f aca="false">IF(E4377="","",E4377-C4377)</f>
        <v>-11.5</v>
      </c>
      <c r="J4377" s="33" t="str">
        <f aca="false">IF(F4377="","",F4377-C4377)</f>
        <v/>
      </c>
      <c r="K4377" s="33" t="n">
        <f aca="false">IF(G4377="","",G4377-C4377)</f>
        <v>-4.36018800000002</v>
      </c>
      <c r="L4377" s="33" t="n">
        <f aca="false">IF(H4377="","",ABS(H4377))</f>
        <v>7</v>
      </c>
      <c r="M4377" s="33" t="n">
        <f aca="false">IF(I4377="","",ABS(I4377))</f>
        <v>11.5</v>
      </c>
      <c r="N4377" s="33" t="str">
        <f aca="false">IF(J4377="","",ABS(J4377))</f>
        <v/>
      </c>
      <c r="O4377" s="33" t="n">
        <f aca="false">IF(K4377="","",ABS(K4377))</f>
        <v>4.36018800000002</v>
      </c>
      <c r="P4377" s="34" t="str">
        <f aca="false">IF(B4377&gt;=Eval_Start_Week,"YES","")</f>
        <v/>
      </c>
      <c r="Q4377" s="34" t="str">
        <f aca="false">IF(AND(B4377&gt;=Cal_Start_Week,B4377&lt;=Cal_End_Week),"YES","")</f>
        <v/>
      </c>
    </row>
    <row r="4378" customFormat="false" ht="15" hidden="false" customHeight="false" outlineLevel="0" collapsed="false">
      <c r="A4378" s="31" t="str">
        <f aca="false">Demand_History!C4378</f>
        <v>CLN-006</v>
      </c>
      <c r="B4378" s="31" t="n">
        <f aca="false">Demand_History!A4378</f>
        <v>9</v>
      </c>
      <c r="C4378" s="32" t="n">
        <f aca="false">Demand_History!D4378</f>
        <v>69</v>
      </c>
      <c r="D4378" s="33" t="n">
        <f aca="false">IF(B4378&gt;=2,C4377,"")</f>
        <v>92</v>
      </c>
      <c r="E4378" s="33" t="n">
        <f aca="false">IF(B4378&gt;=5,AVERAGE(C4374:C4377),"")</f>
        <v>89</v>
      </c>
      <c r="F4378" s="33" t="n">
        <f aca="false">IF(B4378&gt;=9,AVERAGE(C4370:C4377),"")</f>
        <v>87.125</v>
      </c>
      <c r="G4378" s="33" t="n">
        <f aca="false">IF(B4378=1,"",IF(B4378=2,C4377,SES_Alpha*C4377+(1-SES_Alpha)*G4377))</f>
        <v>88.9478684</v>
      </c>
      <c r="H4378" s="33" t="n">
        <f aca="false">IF(D4378="","",D4378-C4378)</f>
        <v>23</v>
      </c>
      <c r="I4378" s="33" t="n">
        <f aca="false">IF(E4378="","",E4378-C4378)</f>
        <v>20</v>
      </c>
      <c r="J4378" s="33" t="n">
        <f aca="false">IF(F4378="","",F4378-C4378)</f>
        <v>18.125</v>
      </c>
      <c r="K4378" s="33" t="n">
        <f aca="false">IF(G4378="","",G4378-C4378)</f>
        <v>19.9478684</v>
      </c>
      <c r="L4378" s="33" t="n">
        <f aca="false">IF(H4378="","",ABS(H4378))</f>
        <v>23</v>
      </c>
      <c r="M4378" s="33" t="n">
        <f aca="false">IF(I4378="","",ABS(I4378))</f>
        <v>20</v>
      </c>
      <c r="N4378" s="33" t="n">
        <f aca="false">IF(J4378="","",ABS(J4378))</f>
        <v>18.125</v>
      </c>
      <c r="O4378" s="33" t="n">
        <f aca="false">IF(K4378="","",ABS(K4378))</f>
        <v>19.9478684</v>
      </c>
      <c r="P4378" s="34" t="str">
        <f aca="false">IF(B4378&gt;=Eval_Start_Week,"YES","")</f>
        <v/>
      </c>
      <c r="Q4378" s="34" t="str">
        <f aca="false">IF(AND(B4378&gt;=Cal_Start_Week,B4378&lt;=Cal_End_Week),"YES","")</f>
        <v/>
      </c>
    </row>
    <row r="4379" customFormat="false" ht="15" hidden="false" customHeight="false" outlineLevel="0" collapsed="false">
      <c r="A4379" s="31" t="str">
        <f aca="false">Demand_History!C4379</f>
        <v>CLN-006</v>
      </c>
      <c r="B4379" s="31" t="n">
        <f aca="false">Demand_History!A4379</f>
        <v>10</v>
      </c>
      <c r="C4379" s="32" t="n">
        <f aca="false">Demand_History!D4379</f>
        <v>108</v>
      </c>
      <c r="D4379" s="33" t="n">
        <f aca="false">IF(B4379&gt;=2,C4378,"")</f>
        <v>69</v>
      </c>
      <c r="E4379" s="33" t="n">
        <f aca="false">IF(B4379&gt;=5,AVERAGE(C4375:C4378),"")</f>
        <v>86.5</v>
      </c>
      <c r="F4379" s="33" t="n">
        <f aca="false">IF(B4379&gt;=9,AVERAGE(C4371:C4378),"")</f>
        <v>82.375</v>
      </c>
      <c r="G4379" s="33" t="n">
        <f aca="false">IF(B4379=1,"",IF(B4379=2,C4378,SES_Alpha*C4378+(1-SES_Alpha)*G4378))</f>
        <v>82.96350788</v>
      </c>
      <c r="H4379" s="33" t="n">
        <f aca="false">IF(D4379="","",D4379-C4379)</f>
        <v>-39</v>
      </c>
      <c r="I4379" s="33" t="n">
        <f aca="false">IF(E4379="","",E4379-C4379)</f>
        <v>-21.5</v>
      </c>
      <c r="J4379" s="33" t="n">
        <f aca="false">IF(F4379="","",F4379-C4379)</f>
        <v>-25.625</v>
      </c>
      <c r="K4379" s="33" t="n">
        <f aca="false">IF(G4379="","",G4379-C4379)</f>
        <v>-25.03649212</v>
      </c>
      <c r="L4379" s="33" t="n">
        <f aca="false">IF(H4379="","",ABS(H4379))</f>
        <v>39</v>
      </c>
      <c r="M4379" s="33" t="n">
        <f aca="false">IF(I4379="","",ABS(I4379))</f>
        <v>21.5</v>
      </c>
      <c r="N4379" s="33" t="n">
        <f aca="false">IF(J4379="","",ABS(J4379))</f>
        <v>25.625</v>
      </c>
      <c r="O4379" s="33" t="n">
        <f aca="false">IF(K4379="","",ABS(K4379))</f>
        <v>25.03649212</v>
      </c>
      <c r="P4379" s="34" t="str">
        <f aca="false">IF(B4379&gt;=Eval_Start_Week,"YES","")</f>
        <v/>
      </c>
      <c r="Q4379" s="34" t="str">
        <f aca="false">IF(AND(B4379&gt;=Cal_Start_Week,B4379&lt;=Cal_End_Week),"YES","")</f>
        <v/>
      </c>
    </row>
    <row r="4380" customFormat="false" ht="15" hidden="false" customHeight="false" outlineLevel="0" collapsed="false">
      <c r="A4380" s="31" t="str">
        <f aca="false">Demand_History!C4380</f>
        <v>CLN-006</v>
      </c>
      <c r="B4380" s="31" t="n">
        <f aca="false">Demand_History!A4380</f>
        <v>11</v>
      </c>
      <c r="C4380" s="32" t="n">
        <f aca="false">Demand_History!D4380</f>
        <v>96</v>
      </c>
      <c r="D4380" s="33" t="n">
        <f aca="false">IF(B4380&gt;=2,C4379,"")</f>
        <v>108</v>
      </c>
      <c r="E4380" s="33" t="n">
        <f aca="false">IF(B4380&gt;=5,AVERAGE(C4376:C4379),"")</f>
        <v>88.5</v>
      </c>
      <c r="F4380" s="33" t="n">
        <f aca="false">IF(B4380&gt;=9,AVERAGE(C4372:C4379),"")</f>
        <v>86</v>
      </c>
      <c r="G4380" s="33" t="n">
        <f aca="false">IF(B4380=1,"",IF(B4380=2,C4379,SES_Alpha*C4379+(1-SES_Alpha)*G4379))</f>
        <v>90.474455516</v>
      </c>
      <c r="H4380" s="33" t="n">
        <f aca="false">IF(D4380="","",D4380-C4380)</f>
        <v>12</v>
      </c>
      <c r="I4380" s="33" t="n">
        <f aca="false">IF(E4380="","",E4380-C4380)</f>
        <v>-7.5</v>
      </c>
      <c r="J4380" s="33" t="n">
        <f aca="false">IF(F4380="","",F4380-C4380)</f>
        <v>-10</v>
      </c>
      <c r="K4380" s="33" t="n">
        <f aca="false">IF(G4380="","",G4380-C4380)</f>
        <v>-5.52554448400002</v>
      </c>
      <c r="L4380" s="33" t="n">
        <f aca="false">IF(H4380="","",ABS(H4380))</f>
        <v>12</v>
      </c>
      <c r="M4380" s="33" t="n">
        <f aca="false">IF(I4380="","",ABS(I4380))</f>
        <v>7.5</v>
      </c>
      <c r="N4380" s="33" t="n">
        <f aca="false">IF(J4380="","",ABS(J4380))</f>
        <v>10</v>
      </c>
      <c r="O4380" s="33" t="n">
        <f aca="false">IF(K4380="","",ABS(K4380))</f>
        <v>5.52554448400002</v>
      </c>
      <c r="P4380" s="34" t="str">
        <f aca="false">IF(B4380&gt;=Eval_Start_Week,"YES","")</f>
        <v/>
      </c>
      <c r="Q4380" s="34" t="str">
        <f aca="false">IF(AND(B4380&gt;=Cal_Start_Week,B4380&lt;=Cal_End_Week),"YES","")</f>
        <v/>
      </c>
    </row>
    <row r="4381" customFormat="false" ht="15" hidden="false" customHeight="false" outlineLevel="0" collapsed="false">
      <c r="A4381" s="31" t="str">
        <f aca="false">Demand_History!C4381</f>
        <v>CLN-006</v>
      </c>
      <c r="B4381" s="31" t="n">
        <f aca="false">Demand_History!A4381</f>
        <v>12</v>
      </c>
      <c r="C4381" s="32" t="n">
        <f aca="false">Demand_History!D4381</f>
        <v>88</v>
      </c>
      <c r="D4381" s="33" t="n">
        <f aca="false">IF(B4381&gt;=2,C4380,"")</f>
        <v>96</v>
      </c>
      <c r="E4381" s="33" t="n">
        <f aca="false">IF(B4381&gt;=5,AVERAGE(C4377:C4380),"")</f>
        <v>91.25</v>
      </c>
      <c r="F4381" s="33" t="n">
        <f aca="false">IF(B4381&gt;=9,AVERAGE(C4373:C4380),"")</f>
        <v>85.875</v>
      </c>
      <c r="G4381" s="33" t="n">
        <f aca="false">IF(B4381=1,"",IF(B4381=2,C4380,SES_Alpha*C4380+(1-SES_Alpha)*G4380))</f>
        <v>92.1321188612</v>
      </c>
      <c r="H4381" s="33" t="n">
        <f aca="false">IF(D4381="","",D4381-C4381)</f>
        <v>8</v>
      </c>
      <c r="I4381" s="33" t="n">
        <f aca="false">IF(E4381="","",E4381-C4381)</f>
        <v>3.25</v>
      </c>
      <c r="J4381" s="33" t="n">
        <f aca="false">IF(F4381="","",F4381-C4381)</f>
        <v>-2.125</v>
      </c>
      <c r="K4381" s="33" t="n">
        <f aca="false">IF(G4381="","",G4381-C4381)</f>
        <v>4.13211886119998</v>
      </c>
      <c r="L4381" s="33" t="n">
        <f aca="false">IF(H4381="","",ABS(H4381))</f>
        <v>8</v>
      </c>
      <c r="M4381" s="33" t="n">
        <f aca="false">IF(I4381="","",ABS(I4381))</f>
        <v>3.25</v>
      </c>
      <c r="N4381" s="33" t="n">
        <f aca="false">IF(J4381="","",ABS(J4381))</f>
        <v>2.125</v>
      </c>
      <c r="O4381" s="33" t="n">
        <f aca="false">IF(K4381="","",ABS(K4381))</f>
        <v>4.13211886119998</v>
      </c>
      <c r="P4381" s="34" t="str">
        <f aca="false">IF(B4381&gt;=Eval_Start_Week,"YES","")</f>
        <v/>
      </c>
      <c r="Q4381" s="34" t="str">
        <f aca="false">IF(AND(B4381&gt;=Cal_Start_Week,B4381&lt;=Cal_End_Week),"YES","")</f>
        <v/>
      </c>
    </row>
    <row r="4382" customFormat="false" ht="15" hidden="false" customHeight="false" outlineLevel="0" collapsed="false">
      <c r="A4382" s="31" t="str">
        <f aca="false">Demand_History!C4382</f>
        <v>CLN-006</v>
      </c>
      <c r="B4382" s="31" t="n">
        <f aca="false">Demand_History!A4382</f>
        <v>13</v>
      </c>
      <c r="C4382" s="32" t="n">
        <f aca="false">Demand_History!D4382</f>
        <v>93</v>
      </c>
      <c r="D4382" s="33" t="n">
        <f aca="false">IF(B4382&gt;=2,C4381,"")</f>
        <v>88</v>
      </c>
      <c r="E4382" s="33" t="n">
        <f aca="false">IF(B4382&gt;=5,AVERAGE(C4378:C4381),"")</f>
        <v>90.25</v>
      </c>
      <c r="F4382" s="33" t="n">
        <f aca="false">IF(B4382&gt;=9,AVERAGE(C4374:C4381),"")</f>
        <v>89.625</v>
      </c>
      <c r="G4382" s="33" t="n">
        <f aca="false">IF(B4382=1,"",IF(B4382=2,C4381,SES_Alpha*C4381+(1-SES_Alpha)*G4381))</f>
        <v>90.89248320284</v>
      </c>
      <c r="H4382" s="33" t="n">
        <f aca="false">IF(D4382="","",D4382-C4382)</f>
        <v>-5</v>
      </c>
      <c r="I4382" s="33" t="n">
        <f aca="false">IF(E4382="","",E4382-C4382)</f>
        <v>-2.75</v>
      </c>
      <c r="J4382" s="33" t="n">
        <f aca="false">IF(F4382="","",F4382-C4382)</f>
        <v>-3.375</v>
      </c>
      <c r="K4382" s="33" t="n">
        <f aca="false">IF(G4382="","",G4382-C4382)</f>
        <v>-2.10751679716</v>
      </c>
      <c r="L4382" s="33" t="n">
        <f aca="false">IF(H4382="","",ABS(H4382))</f>
        <v>5</v>
      </c>
      <c r="M4382" s="33" t="n">
        <f aca="false">IF(I4382="","",ABS(I4382))</f>
        <v>2.75</v>
      </c>
      <c r="N4382" s="33" t="n">
        <f aca="false">IF(J4382="","",ABS(J4382))</f>
        <v>3.375</v>
      </c>
      <c r="O4382" s="33" t="n">
        <f aca="false">IF(K4382="","",ABS(K4382))</f>
        <v>2.10751679716</v>
      </c>
      <c r="P4382" s="34" t="str">
        <f aca="false">IF(B4382&gt;=Eval_Start_Week,"YES","")</f>
        <v/>
      </c>
      <c r="Q4382" s="34" t="str">
        <f aca="false">IF(AND(B4382&gt;=Cal_Start_Week,B4382&lt;=Cal_End_Week),"YES","")</f>
        <v/>
      </c>
    </row>
    <row r="4383" customFormat="false" ht="15" hidden="false" customHeight="false" outlineLevel="0" collapsed="false">
      <c r="A4383" s="31" t="str">
        <f aca="false">Demand_History!C4383</f>
        <v>CLN-006</v>
      </c>
      <c r="B4383" s="31" t="n">
        <f aca="false">Demand_History!A4383</f>
        <v>14</v>
      </c>
      <c r="C4383" s="32" t="n">
        <f aca="false">Demand_History!D4383</f>
        <v>91</v>
      </c>
      <c r="D4383" s="33" t="n">
        <f aca="false">IF(B4383&gt;=2,C4382,"")</f>
        <v>93</v>
      </c>
      <c r="E4383" s="33" t="n">
        <f aca="false">IF(B4383&gt;=5,AVERAGE(C4379:C4382),"")</f>
        <v>96.25</v>
      </c>
      <c r="F4383" s="33" t="n">
        <f aca="false">IF(B4383&gt;=9,AVERAGE(C4375:C4382),"")</f>
        <v>91.375</v>
      </c>
      <c r="G4383" s="33" t="n">
        <f aca="false">IF(B4383=1,"",IF(B4383=2,C4382,SES_Alpha*C4382+(1-SES_Alpha)*G4382))</f>
        <v>91.524738241988</v>
      </c>
      <c r="H4383" s="33" t="n">
        <f aca="false">IF(D4383="","",D4383-C4383)</f>
        <v>2</v>
      </c>
      <c r="I4383" s="33" t="n">
        <f aca="false">IF(E4383="","",E4383-C4383)</f>
        <v>5.25</v>
      </c>
      <c r="J4383" s="33" t="n">
        <f aca="false">IF(F4383="","",F4383-C4383)</f>
        <v>0.375</v>
      </c>
      <c r="K4383" s="33" t="n">
        <f aca="false">IF(G4383="","",G4383-C4383)</f>
        <v>0.52473824198799</v>
      </c>
      <c r="L4383" s="33" t="n">
        <f aca="false">IF(H4383="","",ABS(H4383))</f>
        <v>2</v>
      </c>
      <c r="M4383" s="33" t="n">
        <f aca="false">IF(I4383="","",ABS(I4383))</f>
        <v>5.25</v>
      </c>
      <c r="N4383" s="33" t="n">
        <f aca="false">IF(J4383="","",ABS(J4383))</f>
        <v>0.375</v>
      </c>
      <c r="O4383" s="33" t="n">
        <f aca="false">IF(K4383="","",ABS(K4383))</f>
        <v>0.52473824198799</v>
      </c>
      <c r="P4383" s="34" t="str">
        <f aca="false">IF(B4383&gt;=Eval_Start_Week,"YES","")</f>
        <v/>
      </c>
      <c r="Q4383" s="34" t="str">
        <f aca="false">IF(AND(B4383&gt;=Cal_Start_Week,B4383&lt;=Cal_End_Week),"YES","")</f>
        <v/>
      </c>
    </row>
    <row r="4384" customFormat="false" ht="15" hidden="false" customHeight="false" outlineLevel="0" collapsed="false">
      <c r="A4384" s="31" t="str">
        <f aca="false">Demand_History!C4384</f>
        <v>CLN-006</v>
      </c>
      <c r="B4384" s="31" t="n">
        <f aca="false">Demand_History!A4384</f>
        <v>15</v>
      </c>
      <c r="C4384" s="32" t="n">
        <f aca="false">Demand_History!D4384</f>
        <v>104</v>
      </c>
      <c r="D4384" s="33" t="n">
        <f aca="false">IF(B4384&gt;=2,C4383,"")</f>
        <v>91</v>
      </c>
      <c r="E4384" s="33" t="n">
        <f aca="false">IF(B4384&gt;=5,AVERAGE(C4380:C4383),"")</f>
        <v>92</v>
      </c>
      <c r="F4384" s="33" t="n">
        <f aca="false">IF(B4384&gt;=9,AVERAGE(C4376:C4383),"")</f>
        <v>90.25</v>
      </c>
      <c r="G4384" s="33" t="n">
        <f aca="false">IF(B4384=1,"",IF(B4384=2,C4383,SES_Alpha*C4383+(1-SES_Alpha)*G4383))</f>
        <v>91.3673167693916</v>
      </c>
      <c r="H4384" s="33" t="n">
        <f aca="false">IF(D4384="","",D4384-C4384)</f>
        <v>-13</v>
      </c>
      <c r="I4384" s="33" t="n">
        <f aca="false">IF(E4384="","",E4384-C4384)</f>
        <v>-12</v>
      </c>
      <c r="J4384" s="33" t="n">
        <f aca="false">IF(F4384="","",F4384-C4384)</f>
        <v>-13.75</v>
      </c>
      <c r="K4384" s="33" t="n">
        <f aca="false">IF(G4384="","",G4384-C4384)</f>
        <v>-12.6326832306084</v>
      </c>
      <c r="L4384" s="33" t="n">
        <f aca="false">IF(H4384="","",ABS(H4384))</f>
        <v>13</v>
      </c>
      <c r="M4384" s="33" t="n">
        <f aca="false">IF(I4384="","",ABS(I4384))</f>
        <v>12</v>
      </c>
      <c r="N4384" s="33" t="n">
        <f aca="false">IF(J4384="","",ABS(J4384))</f>
        <v>13.75</v>
      </c>
      <c r="O4384" s="33" t="n">
        <f aca="false">IF(K4384="","",ABS(K4384))</f>
        <v>12.6326832306084</v>
      </c>
      <c r="P4384" s="34" t="str">
        <f aca="false">IF(B4384&gt;=Eval_Start_Week,"YES","")</f>
        <v/>
      </c>
      <c r="Q4384" s="34" t="str">
        <f aca="false">IF(AND(B4384&gt;=Cal_Start_Week,B4384&lt;=Cal_End_Week),"YES","")</f>
        <v/>
      </c>
    </row>
    <row r="4385" customFormat="false" ht="15" hidden="false" customHeight="false" outlineLevel="0" collapsed="false">
      <c r="A4385" s="31" t="str">
        <f aca="false">Demand_History!C4385</f>
        <v>CLN-006</v>
      </c>
      <c r="B4385" s="31" t="n">
        <f aca="false">Demand_History!A4385</f>
        <v>16</v>
      </c>
      <c r="C4385" s="32" t="n">
        <f aca="false">Demand_History!D4385</f>
        <v>89</v>
      </c>
      <c r="D4385" s="33" t="n">
        <f aca="false">IF(B4385&gt;=2,C4384,"")</f>
        <v>104</v>
      </c>
      <c r="E4385" s="33" t="n">
        <f aca="false">IF(B4385&gt;=5,AVERAGE(C4381:C4384),"")</f>
        <v>94</v>
      </c>
      <c r="F4385" s="33" t="n">
        <f aca="false">IF(B4385&gt;=9,AVERAGE(C4377:C4384),"")</f>
        <v>92.625</v>
      </c>
      <c r="G4385" s="33" t="n">
        <f aca="false">IF(B4385=1,"",IF(B4385=2,C4384,SES_Alpha*C4384+(1-SES_Alpha)*G4384))</f>
        <v>95.1571217385741</v>
      </c>
      <c r="H4385" s="33" t="n">
        <f aca="false">IF(D4385="","",D4385-C4385)</f>
        <v>15</v>
      </c>
      <c r="I4385" s="33" t="n">
        <f aca="false">IF(E4385="","",E4385-C4385)</f>
        <v>5</v>
      </c>
      <c r="J4385" s="33" t="n">
        <f aca="false">IF(F4385="","",F4385-C4385)</f>
        <v>3.625</v>
      </c>
      <c r="K4385" s="33" t="n">
        <f aca="false">IF(G4385="","",G4385-C4385)</f>
        <v>6.15712173857411</v>
      </c>
      <c r="L4385" s="33" t="n">
        <f aca="false">IF(H4385="","",ABS(H4385))</f>
        <v>15</v>
      </c>
      <c r="M4385" s="33" t="n">
        <f aca="false">IF(I4385="","",ABS(I4385))</f>
        <v>5</v>
      </c>
      <c r="N4385" s="33" t="n">
        <f aca="false">IF(J4385="","",ABS(J4385))</f>
        <v>3.625</v>
      </c>
      <c r="O4385" s="33" t="n">
        <f aca="false">IF(K4385="","",ABS(K4385))</f>
        <v>6.15712173857411</v>
      </c>
      <c r="P4385" s="34" t="str">
        <f aca="false">IF(B4385&gt;=Eval_Start_Week,"YES","")</f>
        <v/>
      </c>
      <c r="Q4385" s="34" t="str">
        <f aca="false">IF(AND(B4385&gt;=Cal_Start_Week,B4385&lt;=Cal_End_Week),"YES","")</f>
        <v/>
      </c>
    </row>
    <row r="4386" customFormat="false" ht="15" hidden="false" customHeight="false" outlineLevel="0" collapsed="false">
      <c r="A4386" s="31" t="str">
        <f aca="false">Demand_History!C4386</f>
        <v>CLN-006</v>
      </c>
      <c r="B4386" s="31" t="n">
        <f aca="false">Demand_History!A4386</f>
        <v>17</v>
      </c>
      <c r="C4386" s="32" t="n">
        <f aca="false">Demand_History!D4386</f>
        <v>68</v>
      </c>
      <c r="D4386" s="33" t="n">
        <f aca="false">IF(B4386&gt;=2,C4385,"")</f>
        <v>89</v>
      </c>
      <c r="E4386" s="33" t="n">
        <f aca="false">IF(B4386&gt;=5,AVERAGE(C4382:C4385),"")</f>
        <v>94.25</v>
      </c>
      <c r="F4386" s="33" t="n">
        <f aca="false">IF(B4386&gt;=9,AVERAGE(C4378:C4385),"")</f>
        <v>92.25</v>
      </c>
      <c r="G4386" s="33" t="n">
        <f aca="false">IF(B4386=1,"",IF(B4386=2,C4385,SES_Alpha*C4385+(1-SES_Alpha)*G4385))</f>
        <v>93.3099852170019</v>
      </c>
      <c r="H4386" s="33" t="n">
        <f aca="false">IF(D4386="","",D4386-C4386)</f>
        <v>21</v>
      </c>
      <c r="I4386" s="33" t="n">
        <f aca="false">IF(E4386="","",E4386-C4386)</f>
        <v>26.25</v>
      </c>
      <c r="J4386" s="33" t="n">
        <f aca="false">IF(F4386="","",F4386-C4386)</f>
        <v>24.25</v>
      </c>
      <c r="K4386" s="33" t="n">
        <f aca="false">IF(G4386="","",G4386-C4386)</f>
        <v>25.3099852170019</v>
      </c>
      <c r="L4386" s="33" t="n">
        <f aca="false">IF(H4386="","",ABS(H4386))</f>
        <v>21</v>
      </c>
      <c r="M4386" s="33" t="n">
        <f aca="false">IF(I4386="","",ABS(I4386))</f>
        <v>26.25</v>
      </c>
      <c r="N4386" s="33" t="n">
        <f aca="false">IF(J4386="","",ABS(J4386))</f>
        <v>24.25</v>
      </c>
      <c r="O4386" s="33" t="n">
        <f aca="false">IF(K4386="","",ABS(K4386))</f>
        <v>25.3099852170019</v>
      </c>
      <c r="P4386" s="34" t="str">
        <f aca="false">IF(B4386&gt;=Eval_Start_Week,"YES","")</f>
        <v/>
      </c>
      <c r="Q4386" s="34" t="str">
        <f aca="false">IF(AND(B4386&gt;=Cal_Start_Week,B4386&lt;=Cal_End_Week),"YES","")</f>
        <v/>
      </c>
    </row>
    <row r="4387" customFormat="false" ht="15" hidden="false" customHeight="false" outlineLevel="0" collapsed="false">
      <c r="A4387" s="31" t="str">
        <f aca="false">Demand_History!C4387</f>
        <v>CLN-006</v>
      </c>
      <c r="B4387" s="31" t="n">
        <f aca="false">Demand_History!A4387</f>
        <v>18</v>
      </c>
      <c r="C4387" s="32" t="n">
        <f aca="false">Demand_History!D4387</f>
        <v>82</v>
      </c>
      <c r="D4387" s="33" t="n">
        <f aca="false">IF(B4387&gt;=2,C4386,"")</f>
        <v>68</v>
      </c>
      <c r="E4387" s="33" t="n">
        <f aca="false">IF(B4387&gt;=5,AVERAGE(C4383:C4386),"")</f>
        <v>88</v>
      </c>
      <c r="F4387" s="33" t="n">
        <f aca="false">IF(B4387&gt;=9,AVERAGE(C4379:C4386),"")</f>
        <v>92.125</v>
      </c>
      <c r="G4387" s="33" t="n">
        <f aca="false">IF(B4387=1,"",IF(B4387=2,C4386,SES_Alpha*C4386+(1-SES_Alpha)*G4386))</f>
        <v>85.7169896519013</v>
      </c>
      <c r="H4387" s="33" t="n">
        <f aca="false">IF(D4387="","",D4387-C4387)</f>
        <v>-14</v>
      </c>
      <c r="I4387" s="33" t="n">
        <f aca="false">IF(E4387="","",E4387-C4387)</f>
        <v>6</v>
      </c>
      <c r="J4387" s="33" t="n">
        <f aca="false">IF(F4387="","",F4387-C4387)</f>
        <v>10.125</v>
      </c>
      <c r="K4387" s="33" t="n">
        <f aca="false">IF(G4387="","",G4387-C4387)</f>
        <v>3.71698965190132</v>
      </c>
      <c r="L4387" s="33" t="n">
        <f aca="false">IF(H4387="","",ABS(H4387))</f>
        <v>14</v>
      </c>
      <c r="M4387" s="33" t="n">
        <f aca="false">IF(I4387="","",ABS(I4387))</f>
        <v>6</v>
      </c>
      <c r="N4387" s="33" t="n">
        <f aca="false">IF(J4387="","",ABS(J4387))</f>
        <v>10.125</v>
      </c>
      <c r="O4387" s="33" t="n">
        <f aca="false">IF(K4387="","",ABS(K4387))</f>
        <v>3.71698965190132</v>
      </c>
      <c r="P4387" s="34" t="str">
        <f aca="false">IF(B4387&gt;=Eval_Start_Week,"YES","")</f>
        <v/>
      </c>
      <c r="Q4387" s="34" t="str">
        <f aca="false">IF(AND(B4387&gt;=Cal_Start_Week,B4387&lt;=Cal_End_Week),"YES","")</f>
        <v/>
      </c>
    </row>
    <row r="4388" customFormat="false" ht="15" hidden="false" customHeight="false" outlineLevel="0" collapsed="false">
      <c r="A4388" s="31" t="str">
        <f aca="false">Demand_History!C4388</f>
        <v>CLN-006</v>
      </c>
      <c r="B4388" s="31" t="n">
        <f aca="false">Demand_History!A4388</f>
        <v>19</v>
      </c>
      <c r="C4388" s="32" t="n">
        <f aca="false">Demand_History!D4388</f>
        <v>100</v>
      </c>
      <c r="D4388" s="33" t="n">
        <f aca="false">IF(B4388&gt;=2,C4387,"")</f>
        <v>82</v>
      </c>
      <c r="E4388" s="33" t="n">
        <f aca="false">IF(B4388&gt;=5,AVERAGE(C4384:C4387),"")</f>
        <v>85.75</v>
      </c>
      <c r="F4388" s="33" t="n">
        <f aca="false">IF(B4388&gt;=9,AVERAGE(C4380:C4387),"")</f>
        <v>88.875</v>
      </c>
      <c r="G4388" s="33" t="n">
        <f aca="false">IF(B4388=1,"",IF(B4388=2,C4387,SES_Alpha*C4387+(1-SES_Alpha)*G4387))</f>
        <v>84.6018927563309</v>
      </c>
      <c r="H4388" s="33" t="n">
        <f aca="false">IF(D4388="","",D4388-C4388)</f>
        <v>-18</v>
      </c>
      <c r="I4388" s="33" t="n">
        <f aca="false">IF(E4388="","",E4388-C4388)</f>
        <v>-14.25</v>
      </c>
      <c r="J4388" s="33" t="n">
        <f aca="false">IF(F4388="","",F4388-C4388)</f>
        <v>-11.125</v>
      </c>
      <c r="K4388" s="33" t="n">
        <f aca="false">IF(G4388="","",G4388-C4388)</f>
        <v>-15.3981072436691</v>
      </c>
      <c r="L4388" s="33" t="n">
        <f aca="false">IF(H4388="","",ABS(H4388))</f>
        <v>18</v>
      </c>
      <c r="M4388" s="33" t="n">
        <f aca="false">IF(I4388="","",ABS(I4388))</f>
        <v>14.25</v>
      </c>
      <c r="N4388" s="33" t="n">
        <f aca="false">IF(J4388="","",ABS(J4388))</f>
        <v>11.125</v>
      </c>
      <c r="O4388" s="33" t="n">
        <f aca="false">IF(K4388="","",ABS(K4388))</f>
        <v>15.3981072436691</v>
      </c>
      <c r="P4388" s="34" t="str">
        <f aca="false">IF(B4388&gt;=Eval_Start_Week,"YES","")</f>
        <v/>
      </c>
      <c r="Q4388" s="34" t="str">
        <f aca="false">IF(AND(B4388&gt;=Cal_Start_Week,B4388&lt;=Cal_End_Week),"YES","")</f>
        <v/>
      </c>
    </row>
    <row r="4389" customFormat="false" ht="15" hidden="false" customHeight="false" outlineLevel="0" collapsed="false">
      <c r="A4389" s="31" t="str">
        <f aca="false">Demand_History!C4389</f>
        <v>CLN-006</v>
      </c>
      <c r="B4389" s="31" t="n">
        <f aca="false">Demand_History!A4389</f>
        <v>20</v>
      </c>
      <c r="C4389" s="32" t="n">
        <f aca="false">Demand_History!D4389</f>
        <v>91</v>
      </c>
      <c r="D4389" s="33" t="n">
        <f aca="false">IF(B4389&gt;=2,C4388,"")</f>
        <v>100</v>
      </c>
      <c r="E4389" s="33" t="n">
        <f aca="false">IF(B4389&gt;=5,AVERAGE(C4385:C4388),"")</f>
        <v>84.75</v>
      </c>
      <c r="F4389" s="33" t="n">
        <f aca="false">IF(B4389&gt;=9,AVERAGE(C4381:C4388),"")</f>
        <v>89.375</v>
      </c>
      <c r="G4389" s="33" t="n">
        <f aca="false">IF(B4389=1,"",IF(B4389=2,C4388,SES_Alpha*C4388+(1-SES_Alpha)*G4388))</f>
        <v>89.2213249294316</v>
      </c>
      <c r="H4389" s="33" t="n">
        <f aca="false">IF(D4389="","",D4389-C4389)</f>
        <v>9</v>
      </c>
      <c r="I4389" s="33" t="n">
        <f aca="false">IF(E4389="","",E4389-C4389)</f>
        <v>-6.25</v>
      </c>
      <c r="J4389" s="33" t="n">
        <f aca="false">IF(F4389="","",F4389-C4389)</f>
        <v>-1.625</v>
      </c>
      <c r="K4389" s="33" t="n">
        <f aca="false">IF(G4389="","",G4389-C4389)</f>
        <v>-1.77867507056837</v>
      </c>
      <c r="L4389" s="33" t="n">
        <f aca="false">IF(H4389="","",ABS(H4389))</f>
        <v>9</v>
      </c>
      <c r="M4389" s="33" t="n">
        <f aca="false">IF(I4389="","",ABS(I4389))</f>
        <v>6.25</v>
      </c>
      <c r="N4389" s="33" t="n">
        <f aca="false">IF(J4389="","",ABS(J4389))</f>
        <v>1.625</v>
      </c>
      <c r="O4389" s="33" t="n">
        <f aca="false">IF(K4389="","",ABS(K4389))</f>
        <v>1.77867507056837</v>
      </c>
      <c r="P4389" s="34" t="str">
        <f aca="false">IF(B4389&gt;=Eval_Start_Week,"YES","")</f>
        <v/>
      </c>
      <c r="Q4389" s="34" t="str">
        <f aca="false">IF(AND(B4389&gt;=Cal_Start_Week,B4389&lt;=Cal_End_Week),"YES","")</f>
        <v/>
      </c>
    </row>
    <row r="4390" customFormat="false" ht="15" hidden="false" customHeight="false" outlineLevel="0" collapsed="false">
      <c r="A4390" s="31" t="str">
        <f aca="false">Demand_History!C4390</f>
        <v>CLN-006</v>
      </c>
      <c r="B4390" s="31" t="n">
        <f aca="false">Demand_History!A4390</f>
        <v>21</v>
      </c>
      <c r="C4390" s="32" t="n">
        <f aca="false">Demand_History!D4390</f>
        <v>79</v>
      </c>
      <c r="D4390" s="33" t="n">
        <f aca="false">IF(B4390&gt;=2,C4389,"")</f>
        <v>91</v>
      </c>
      <c r="E4390" s="33" t="n">
        <f aca="false">IF(B4390&gt;=5,AVERAGE(C4386:C4389),"")</f>
        <v>85.25</v>
      </c>
      <c r="F4390" s="33" t="n">
        <f aca="false">IF(B4390&gt;=9,AVERAGE(C4382:C4389),"")</f>
        <v>89.75</v>
      </c>
      <c r="G4390" s="33" t="n">
        <f aca="false">IF(B4390=1,"",IF(B4390=2,C4389,SES_Alpha*C4389+(1-SES_Alpha)*G4389))</f>
        <v>89.7549274506021</v>
      </c>
      <c r="H4390" s="33" t="n">
        <f aca="false">IF(D4390="","",D4390-C4390)</f>
        <v>12</v>
      </c>
      <c r="I4390" s="33" t="n">
        <f aca="false">IF(E4390="","",E4390-C4390)</f>
        <v>6.25</v>
      </c>
      <c r="J4390" s="33" t="n">
        <f aca="false">IF(F4390="","",F4390-C4390)</f>
        <v>10.75</v>
      </c>
      <c r="K4390" s="33" t="n">
        <f aca="false">IF(G4390="","",G4390-C4390)</f>
        <v>10.7549274506021</v>
      </c>
      <c r="L4390" s="33" t="n">
        <f aca="false">IF(H4390="","",ABS(H4390))</f>
        <v>12</v>
      </c>
      <c r="M4390" s="33" t="n">
        <f aca="false">IF(I4390="","",ABS(I4390))</f>
        <v>6.25</v>
      </c>
      <c r="N4390" s="33" t="n">
        <f aca="false">IF(J4390="","",ABS(J4390))</f>
        <v>10.75</v>
      </c>
      <c r="O4390" s="33" t="n">
        <f aca="false">IF(K4390="","",ABS(K4390))</f>
        <v>10.7549274506021</v>
      </c>
      <c r="P4390" s="34" t="str">
        <f aca="false">IF(B4390&gt;=Eval_Start_Week,"YES","")</f>
        <v/>
      </c>
      <c r="Q4390" s="34" t="str">
        <f aca="false">IF(AND(B4390&gt;=Cal_Start_Week,B4390&lt;=Cal_End_Week),"YES","")</f>
        <v/>
      </c>
    </row>
    <row r="4391" customFormat="false" ht="15" hidden="false" customHeight="false" outlineLevel="0" collapsed="false">
      <c r="A4391" s="31" t="str">
        <f aca="false">Demand_History!C4391</f>
        <v>CLN-006</v>
      </c>
      <c r="B4391" s="31" t="n">
        <f aca="false">Demand_History!A4391</f>
        <v>22</v>
      </c>
      <c r="C4391" s="32" t="n">
        <f aca="false">Demand_History!D4391</f>
        <v>90</v>
      </c>
      <c r="D4391" s="33" t="n">
        <f aca="false">IF(B4391&gt;=2,C4390,"")</f>
        <v>79</v>
      </c>
      <c r="E4391" s="33" t="n">
        <f aca="false">IF(B4391&gt;=5,AVERAGE(C4387:C4390),"")</f>
        <v>88</v>
      </c>
      <c r="F4391" s="33" t="n">
        <f aca="false">IF(B4391&gt;=9,AVERAGE(C4383:C4390),"")</f>
        <v>88</v>
      </c>
      <c r="G4391" s="33" t="n">
        <f aca="false">IF(B4391=1,"",IF(B4391=2,C4390,SES_Alpha*C4390+(1-SES_Alpha)*G4390))</f>
        <v>86.5284492154215</v>
      </c>
      <c r="H4391" s="33" t="n">
        <f aca="false">IF(D4391="","",D4391-C4391)</f>
        <v>-11</v>
      </c>
      <c r="I4391" s="33" t="n">
        <f aca="false">IF(E4391="","",E4391-C4391)</f>
        <v>-2</v>
      </c>
      <c r="J4391" s="33" t="n">
        <f aca="false">IF(F4391="","",F4391-C4391)</f>
        <v>-2</v>
      </c>
      <c r="K4391" s="33" t="n">
        <f aca="false">IF(G4391="","",G4391-C4391)</f>
        <v>-3.47155078457851</v>
      </c>
      <c r="L4391" s="33" t="n">
        <f aca="false">IF(H4391="","",ABS(H4391))</f>
        <v>11</v>
      </c>
      <c r="M4391" s="33" t="n">
        <f aca="false">IF(I4391="","",ABS(I4391))</f>
        <v>2</v>
      </c>
      <c r="N4391" s="33" t="n">
        <f aca="false">IF(J4391="","",ABS(J4391))</f>
        <v>2</v>
      </c>
      <c r="O4391" s="33" t="n">
        <f aca="false">IF(K4391="","",ABS(K4391))</f>
        <v>3.47155078457851</v>
      </c>
      <c r="P4391" s="34" t="str">
        <f aca="false">IF(B4391&gt;=Eval_Start_Week,"YES","")</f>
        <v/>
      </c>
      <c r="Q4391" s="34" t="str">
        <f aca="false">IF(AND(B4391&gt;=Cal_Start_Week,B4391&lt;=Cal_End_Week),"YES","")</f>
        <v/>
      </c>
    </row>
    <row r="4392" customFormat="false" ht="15" hidden="false" customHeight="false" outlineLevel="0" collapsed="false">
      <c r="A4392" s="31" t="str">
        <f aca="false">Demand_History!C4392</f>
        <v>CLN-006</v>
      </c>
      <c r="B4392" s="31" t="n">
        <f aca="false">Demand_History!A4392</f>
        <v>23</v>
      </c>
      <c r="C4392" s="32" t="n">
        <f aca="false">Demand_History!D4392</f>
        <v>84</v>
      </c>
      <c r="D4392" s="33" t="n">
        <f aca="false">IF(B4392&gt;=2,C4391,"")</f>
        <v>90</v>
      </c>
      <c r="E4392" s="33" t="n">
        <f aca="false">IF(B4392&gt;=5,AVERAGE(C4388:C4391),"")</f>
        <v>90</v>
      </c>
      <c r="F4392" s="33" t="n">
        <f aca="false">IF(B4392&gt;=9,AVERAGE(C4384:C4391),"")</f>
        <v>87.875</v>
      </c>
      <c r="G4392" s="33" t="n">
        <f aca="false">IF(B4392=1,"",IF(B4392=2,C4391,SES_Alpha*C4391+(1-SES_Alpha)*G4391))</f>
        <v>87.569914450795</v>
      </c>
      <c r="H4392" s="33" t="n">
        <f aca="false">IF(D4392="","",D4392-C4392)</f>
        <v>6</v>
      </c>
      <c r="I4392" s="33" t="n">
        <f aca="false">IF(E4392="","",E4392-C4392)</f>
        <v>6</v>
      </c>
      <c r="J4392" s="33" t="n">
        <f aca="false">IF(F4392="","",F4392-C4392)</f>
        <v>3.875</v>
      </c>
      <c r="K4392" s="33" t="n">
        <f aca="false">IF(G4392="","",G4392-C4392)</f>
        <v>3.56991445079504</v>
      </c>
      <c r="L4392" s="33" t="n">
        <f aca="false">IF(H4392="","",ABS(H4392))</f>
        <v>6</v>
      </c>
      <c r="M4392" s="33" t="n">
        <f aca="false">IF(I4392="","",ABS(I4392))</f>
        <v>6</v>
      </c>
      <c r="N4392" s="33" t="n">
        <f aca="false">IF(J4392="","",ABS(J4392))</f>
        <v>3.875</v>
      </c>
      <c r="O4392" s="33" t="n">
        <f aca="false">IF(K4392="","",ABS(K4392))</f>
        <v>3.56991445079504</v>
      </c>
      <c r="P4392" s="34" t="str">
        <f aca="false">IF(B4392&gt;=Eval_Start_Week,"YES","")</f>
        <v/>
      </c>
      <c r="Q4392" s="34" t="str">
        <f aca="false">IF(AND(B4392&gt;=Cal_Start_Week,B4392&lt;=Cal_End_Week),"YES","")</f>
        <v/>
      </c>
    </row>
    <row r="4393" customFormat="false" ht="15" hidden="false" customHeight="false" outlineLevel="0" collapsed="false">
      <c r="A4393" s="31" t="str">
        <f aca="false">Demand_History!C4393</f>
        <v>CLN-006</v>
      </c>
      <c r="B4393" s="31" t="n">
        <f aca="false">Demand_History!A4393</f>
        <v>24</v>
      </c>
      <c r="C4393" s="32" t="n">
        <f aca="false">Demand_History!D4393</f>
        <v>89</v>
      </c>
      <c r="D4393" s="33" t="n">
        <f aca="false">IF(B4393&gt;=2,C4392,"")</f>
        <v>84</v>
      </c>
      <c r="E4393" s="33" t="n">
        <f aca="false">IF(B4393&gt;=5,AVERAGE(C4389:C4392),"")</f>
        <v>86</v>
      </c>
      <c r="F4393" s="33" t="n">
        <f aca="false">IF(B4393&gt;=9,AVERAGE(C4385:C4392),"")</f>
        <v>85.375</v>
      </c>
      <c r="G4393" s="33" t="n">
        <f aca="false">IF(B4393=1,"",IF(B4393=2,C4392,SES_Alpha*C4392+(1-SES_Alpha)*G4392))</f>
        <v>86.4989401155565</v>
      </c>
      <c r="H4393" s="33" t="n">
        <f aca="false">IF(D4393="","",D4393-C4393)</f>
        <v>-5</v>
      </c>
      <c r="I4393" s="33" t="n">
        <f aca="false">IF(E4393="","",E4393-C4393)</f>
        <v>-3</v>
      </c>
      <c r="J4393" s="33" t="n">
        <f aca="false">IF(F4393="","",F4393-C4393)</f>
        <v>-3.625</v>
      </c>
      <c r="K4393" s="33" t="n">
        <f aca="false">IF(G4393="","",G4393-C4393)</f>
        <v>-2.50105988444348</v>
      </c>
      <c r="L4393" s="33" t="n">
        <f aca="false">IF(H4393="","",ABS(H4393))</f>
        <v>5</v>
      </c>
      <c r="M4393" s="33" t="n">
        <f aca="false">IF(I4393="","",ABS(I4393))</f>
        <v>3</v>
      </c>
      <c r="N4393" s="33" t="n">
        <f aca="false">IF(J4393="","",ABS(J4393))</f>
        <v>3.625</v>
      </c>
      <c r="O4393" s="33" t="n">
        <f aca="false">IF(K4393="","",ABS(K4393))</f>
        <v>2.50105988444348</v>
      </c>
      <c r="P4393" s="34" t="str">
        <f aca="false">IF(B4393&gt;=Eval_Start_Week,"YES","")</f>
        <v/>
      </c>
      <c r="Q4393" s="34" t="str">
        <f aca="false">IF(AND(B4393&gt;=Cal_Start_Week,B4393&lt;=Cal_End_Week),"YES","")</f>
        <v/>
      </c>
    </row>
    <row r="4394" customFormat="false" ht="15" hidden="false" customHeight="false" outlineLevel="0" collapsed="false">
      <c r="A4394" s="31" t="str">
        <f aca="false">Demand_History!C4394</f>
        <v>CLN-006</v>
      </c>
      <c r="B4394" s="31" t="n">
        <f aca="false">Demand_History!A4394</f>
        <v>25</v>
      </c>
      <c r="C4394" s="32" t="n">
        <f aca="false">Demand_History!D4394</f>
        <v>64</v>
      </c>
      <c r="D4394" s="33" t="n">
        <f aca="false">IF(B4394&gt;=2,C4393,"")</f>
        <v>89</v>
      </c>
      <c r="E4394" s="33" t="n">
        <f aca="false">IF(B4394&gt;=5,AVERAGE(C4390:C4393),"")</f>
        <v>85.5</v>
      </c>
      <c r="F4394" s="33" t="n">
        <f aca="false">IF(B4394&gt;=9,AVERAGE(C4386:C4393),"")</f>
        <v>85.375</v>
      </c>
      <c r="G4394" s="33" t="n">
        <f aca="false">IF(B4394=1,"",IF(B4394=2,C4393,SES_Alpha*C4393+(1-SES_Alpha)*G4393))</f>
        <v>87.2492580808896</v>
      </c>
      <c r="H4394" s="33" t="n">
        <f aca="false">IF(D4394="","",D4394-C4394)</f>
        <v>25</v>
      </c>
      <c r="I4394" s="33" t="n">
        <f aca="false">IF(E4394="","",E4394-C4394)</f>
        <v>21.5</v>
      </c>
      <c r="J4394" s="33" t="n">
        <f aca="false">IF(F4394="","",F4394-C4394)</f>
        <v>21.375</v>
      </c>
      <c r="K4394" s="33" t="n">
        <f aca="false">IF(G4394="","",G4394-C4394)</f>
        <v>23.2492580808896</v>
      </c>
      <c r="L4394" s="33" t="n">
        <f aca="false">IF(H4394="","",ABS(H4394))</f>
        <v>25</v>
      </c>
      <c r="M4394" s="33" t="n">
        <f aca="false">IF(I4394="","",ABS(I4394))</f>
        <v>21.5</v>
      </c>
      <c r="N4394" s="33" t="n">
        <f aca="false">IF(J4394="","",ABS(J4394))</f>
        <v>21.375</v>
      </c>
      <c r="O4394" s="33" t="n">
        <f aca="false">IF(K4394="","",ABS(K4394))</f>
        <v>23.2492580808896</v>
      </c>
      <c r="P4394" s="34" t="str">
        <f aca="false">IF(B4394&gt;=Eval_Start_Week,"YES","")</f>
        <v/>
      </c>
      <c r="Q4394" s="34" t="str">
        <f aca="false">IF(AND(B4394&gt;=Cal_Start_Week,B4394&lt;=Cal_End_Week),"YES","")</f>
        <v/>
      </c>
    </row>
    <row r="4395" customFormat="false" ht="15" hidden="false" customHeight="false" outlineLevel="0" collapsed="false">
      <c r="A4395" s="31" t="str">
        <f aca="false">Demand_History!C4395</f>
        <v>CLN-006</v>
      </c>
      <c r="B4395" s="31" t="n">
        <f aca="false">Demand_History!A4395</f>
        <v>26</v>
      </c>
      <c r="C4395" s="32" t="n">
        <f aca="false">Demand_History!D4395</f>
        <v>71</v>
      </c>
      <c r="D4395" s="33" t="n">
        <f aca="false">IF(B4395&gt;=2,C4394,"")</f>
        <v>64</v>
      </c>
      <c r="E4395" s="33" t="n">
        <f aca="false">IF(B4395&gt;=5,AVERAGE(C4391:C4394),"")</f>
        <v>81.75</v>
      </c>
      <c r="F4395" s="33" t="n">
        <f aca="false">IF(B4395&gt;=9,AVERAGE(C4387:C4394),"")</f>
        <v>84.875</v>
      </c>
      <c r="G4395" s="33" t="n">
        <f aca="false">IF(B4395=1,"",IF(B4395=2,C4394,SES_Alpha*C4394+(1-SES_Alpha)*G4394))</f>
        <v>80.2744806566227</v>
      </c>
      <c r="H4395" s="33" t="n">
        <f aca="false">IF(D4395="","",D4395-C4395)</f>
        <v>-7</v>
      </c>
      <c r="I4395" s="33" t="n">
        <f aca="false">IF(E4395="","",E4395-C4395)</f>
        <v>10.75</v>
      </c>
      <c r="J4395" s="33" t="n">
        <f aca="false">IF(F4395="","",F4395-C4395)</f>
        <v>13.875</v>
      </c>
      <c r="K4395" s="33" t="n">
        <f aca="false">IF(G4395="","",G4395-C4395)</f>
        <v>9.27448065662269</v>
      </c>
      <c r="L4395" s="33" t="n">
        <f aca="false">IF(H4395="","",ABS(H4395))</f>
        <v>7</v>
      </c>
      <c r="M4395" s="33" t="n">
        <f aca="false">IF(I4395="","",ABS(I4395))</f>
        <v>10.75</v>
      </c>
      <c r="N4395" s="33" t="n">
        <f aca="false">IF(J4395="","",ABS(J4395))</f>
        <v>13.875</v>
      </c>
      <c r="O4395" s="33" t="n">
        <f aca="false">IF(K4395="","",ABS(K4395))</f>
        <v>9.27448065662269</v>
      </c>
      <c r="P4395" s="34" t="str">
        <f aca="false">IF(B4395&gt;=Eval_Start_Week,"YES","")</f>
        <v/>
      </c>
      <c r="Q4395" s="34" t="str">
        <f aca="false">IF(AND(B4395&gt;=Cal_Start_Week,B4395&lt;=Cal_End_Week),"YES","")</f>
        <v/>
      </c>
    </row>
    <row r="4396" customFormat="false" ht="15" hidden="false" customHeight="false" outlineLevel="0" collapsed="false">
      <c r="A4396" s="31" t="str">
        <f aca="false">Demand_History!C4396</f>
        <v>CLN-006</v>
      </c>
      <c r="B4396" s="31" t="n">
        <f aca="false">Demand_History!A4396</f>
        <v>27</v>
      </c>
      <c r="C4396" s="32" t="n">
        <f aca="false">Demand_History!D4396</f>
        <v>88</v>
      </c>
      <c r="D4396" s="33" t="n">
        <f aca="false">IF(B4396&gt;=2,C4395,"")</f>
        <v>71</v>
      </c>
      <c r="E4396" s="33" t="n">
        <f aca="false">IF(B4396&gt;=5,AVERAGE(C4392:C4395),"")</f>
        <v>77</v>
      </c>
      <c r="F4396" s="33" t="n">
        <f aca="false">IF(B4396&gt;=9,AVERAGE(C4388:C4395),"")</f>
        <v>83.5</v>
      </c>
      <c r="G4396" s="33" t="n">
        <f aca="false">IF(B4396=1,"",IF(B4396=2,C4395,SES_Alpha*C4395+(1-SES_Alpha)*G4395))</f>
        <v>77.4921364596359</v>
      </c>
      <c r="H4396" s="33" t="n">
        <f aca="false">IF(D4396="","",D4396-C4396)</f>
        <v>-17</v>
      </c>
      <c r="I4396" s="33" t="n">
        <f aca="false">IF(E4396="","",E4396-C4396)</f>
        <v>-11</v>
      </c>
      <c r="J4396" s="33" t="n">
        <f aca="false">IF(F4396="","",F4396-C4396)</f>
        <v>-4.5</v>
      </c>
      <c r="K4396" s="33" t="n">
        <f aca="false">IF(G4396="","",G4396-C4396)</f>
        <v>-10.5078635403641</v>
      </c>
      <c r="L4396" s="33" t="n">
        <f aca="false">IF(H4396="","",ABS(H4396))</f>
        <v>17</v>
      </c>
      <c r="M4396" s="33" t="n">
        <f aca="false">IF(I4396="","",ABS(I4396))</f>
        <v>11</v>
      </c>
      <c r="N4396" s="33" t="n">
        <f aca="false">IF(J4396="","",ABS(J4396))</f>
        <v>4.5</v>
      </c>
      <c r="O4396" s="33" t="n">
        <f aca="false">IF(K4396="","",ABS(K4396))</f>
        <v>10.5078635403641</v>
      </c>
      <c r="P4396" s="34" t="str">
        <f aca="false">IF(B4396&gt;=Eval_Start_Week,"YES","")</f>
        <v/>
      </c>
      <c r="Q4396" s="34" t="str">
        <f aca="false">IF(AND(B4396&gt;=Cal_Start_Week,B4396&lt;=Cal_End_Week),"YES","")</f>
        <v/>
      </c>
    </row>
    <row r="4397" customFormat="false" ht="15" hidden="false" customHeight="false" outlineLevel="0" collapsed="false">
      <c r="A4397" s="31" t="str">
        <f aca="false">Demand_History!C4397</f>
        <v>CLN-006</v>
      </c>
      <c r="B4397" s="31" t="n">
        <f aca="false">Demand_History!A4397</f>
        <v>28</v>
      </c>
      <c r="C4397" s="32" t="n">
        <f aca="false">Demand_History!D4397</f>
        <v>78</v>
      </c>
      <c r="D4397" s="33" t="n">
        <f aca="false">IF(B4397&gt;=2,C4396,"")</f>
        <v>88</v>
      </c>
      <c r="E4397" s="33" t="n">
        <f aca="false">IF(B4397&gt;=5,AVERAGE(C4393:C4396),"")</f>
        <v>78</v>
      </c>
      <c r="F4397" s="33" t="n">
        <f aca="false">IF(B4397&gt;=9,AVERAGE(C4389:C4396),"")</f>
        <v>82</v>
      </c>
      <c r="G4397" s="33" t="n">
        <f aca="false">IF(B4397=1,"",IF(B4397=2,C4396,SES_Alpha*C4396+(1-SES_Alpha)*G4396))</f>
        <v>80.6444955217451</v>
      </c>
      <c r="H4397" s="33" t="n">
        <f aca="false">IF(D4397="","",D4397-C4397)</f>
        <v>10</v>
      </c>
      <c r="I4397" s="33" t="n">
        <f aca="false">IF(E4397="","",E4397-C4397)</f>
        <v>0</v>
      </c>
      <c r="J4397" s="33" t="n">
        <f aca="false">IF(F4397="","",F4397-C4397)</f>
        <v>4</v>
      </c>
      <c r="K4397" s="33" t="n">
        <f aca="false">IF(G4397="","",G4397-C4397)</f>
        <v>2.64449552174511</v>
      </c>
      <c r="L4397" s="33" t="n">
        <f aca="false">IF(H4397="","",ABS(H4397))</f>
        <v>10</v>
      </c>
      <c r="M4397" s="33" t="n">
        <f aca="false">IF(I4397="","",ABS(I4397))</f>
        <v>0</v>
      </c>
      <c r="N4397" s="33" t="n">
        <f aca="false">IF(J4397="","",ABS(J4397))</f>
        <v>4</v>
      </c>
      <c r="O4397" s="33" t="n">
        <f aca="false">IF(K4397="","",ABS(K4397))</f>
        <v>2.64449552174511</v>
      </c>
      <c r="P4397" s="34" t="str">
        <f aca="false">IF(B4397&gt;=Eval_Start_Week,"YES","")</f>
        <v/>
      </c>
      <c r="Q4397" s="34" t="str">
        <f aca="false">IF(AND(B4397&gt;=Cal_Start_Week,B4397&lt;=Cal_End_Week),"YES","")</f>
        <v/>
      </c>
    </row>
    <row r="4398" customFormat="false" ht="15" hidden="false" customHeight="false" outlineLevel="0" collapsed="false">
      <c r="A4398" s="31" t="str">
        <f aca="false">Demand_History!C4398</f>
        <v>CLN-006</v>
      </c>
      <c r="B4398" s="31" t="n">
        <f aca="false">Demand_History!A4398</f>
        <v>29</v>
      </c>
      <c r="C4398" s="32" t="n">
        <f aca="false">Demand_History!D4398</f>
        <v>84</v>
      </c>
      <c r="D4398" s="33" t="n">
        <f aca="false">IF(B4398&gt;=2,C4397,"")</f>
        <v>78</v>
      </c>
      <c r="E4398" s="33" t="n">
        <f aca="false">IF(B4398&gt;=5,AVERAGE(C4394:C4397),"")</f>
        <v>75.25</v>
      </c>
      <c r="F4398" s="33" t="n">
        <f aca="false">IF(B4398&gt;=9,AVERAGE(C4390:C4397),"")</f>
        <v>80.375</v>
      </c>
      <c r="G4398" s="33" t="n">
        <f aca="false">IF(B4398=1,"",IF(B4398=2,C4397,SES_Alpha*C4397+(1-SES_Alpha)*G4397))</f>
        <v>79.8511468652216</v>
      </c>
      <c r="H4398" s="33" t="n">
        <f aca="false">IF(D4398="","",D4398-C4398)</f>
        <v>-6</v>
      </c>
      <c r="I4398" s="33" t="n">
        <f aca="false">IF(E4398="","",E4398-C4398)</f>
        <v>-8.75</v>
      </c>
      <c r="J4398" s="33" t="n">
        <f aca="false">IF(F4398="","",F4398-C4398)</f>
        <v>-3.625</v>
      </c>
      <c r="K4398" s="33" t="n">
        <f aca="false">IF(G4398="","",G4398-C4398)</f>
        <v>-4.14885313477842</v>
      </c>
      <c r="L4398" s="33" t="n">
        <f aca="false">IF(H4398="","",ABS(H4398))</f>
        <v>6</v>
      </c>
      <c r="M4398" s="33" t="n">
        <f aca="false">IF(I4398="","",ABS(I4398))</f>
        <v>8.75</v>
      </c>
      <c r="N4398" s="33" t="n">
        <f aca="false">IF(J4398="","",ABS(J4398))</f>
        <v>3.625</v>
      </c>
      <c r="O4398" s="33" t="n">
        <f aca="false">IF(K4398="","",ABS(K4398))</f>
        <v>4.14885313477842</v>
      </c>
      <c r="P4398" s="34" t="str">
        <f aca="false">IF(B4398&gt;=Eval_Start_Week,"YES","")</f>
        <v/>
      </c>
      <c r="Q4398" s="34" t="str">
        <f aca="false">IF(AND(B4398&gt;=Cal_Start_Week,B4398&lt;=Cal_End_Week),"YES","")</f>
        <v/>
      </c>
    </row>
    <row r="4399" customFormat="false" ht="15" hidden="false" customHeight="false" outlineLevel="0" collapsed="false">
      <c r="A4399" s="31" t="str">
        <f aca="false">Demand_History!C4399</f>
        <v>CLN-006</v>
      </c>
      <c r="B4399" s="31" t="n">
        <f aca="false">Demand_History!A4399</f>
        <v>30</v>
      </c>
      <c r="C4399" s="32" t="n">
        <f aca="false">Demand_History!D4399</f>
        <v>101</v>
      </c>
      <c r="D4399" s="33" t="n">
        <f aca="false">IF(B4399&gt;=2,C4398,"")</f>
        <v>84</v>
      </c>
      <c r="E4399" s="33" t="n">
        <f aca="false">IF(B4399&gt;=5,AVERAGE(C4395:C4398),"")</f>
        <v>80.25</v>
      </c>
      <c r="F4399" s="33" t="n">
        <f aca="false">IF(B4399&gt;=9,AVERAGE(C4391:C4398),"")</f>
        <v>81</v>
      </c>
      <c r="G4399" s="33" t="n">
        <f aca="false">IF(B4399=1,"",IF(B4399=2,C4398,SES_Alpha*C4398+(1-SES_Alpha)*G4398))</f>
        <v>81.0958028056551</v>
      </c>
      <c r="H4399" s="33" t="n">
        <f aca="false">IF(D4399="","",D4399-C4399)</f>
        <v>-17</v>
      </c>
      <c r="I4399" s="33" t="n">
        <f aca="false">IF(E4399="","",E4399-C4399)</f>
        <v>-20.75</v>
      </c>
      <c r="J4399" s="33" t="n">
        <f aca="false">IF(F4399="","",F4399-C4399)</f>
        <v>-20</v>
      </c>
      <c r="K4399" s="33" t="n">
        <f aca="false">IF(G4399="","",G4399-C4399)</f>
        <v>-19.9041971943449</v>
      </c>
      <c r="L4399" s="33" t="n">
        <f aca="false">IF(H4399="","",ABS(H4399))</f>
        <v>17</v>
      </c>
      <c r="M4399" s="33" t="n">
        <f aca="false">IF(I4399="","",ABS(I4399))</f>
        <v>20.75</v>
      </c>
      <c r="N4399" s="33" t="n">
        <f aca="false">IF(J4399="","",ABS(J4399))</f>
        <v>20</v>
      </c>
      <c r="O4399" s="33" t="n">
        <f aca="false">IF(K4399="","",ABS(K4399))</f>
        <v>19.9041971943449</v>
      </c>
      <c r="P4399" s="34" t="str">
        <f aca="false">IF(B4399&gt;=Eval_Start_Week,"YES","")</f>
        <v/>
      </c>
      <c r="Q4399" s="34" t="str">
        <f aca="false">IF(AND(B4399&gt;=Cal_Start_Week,B4399&lt;=Cal_End_Week),"YES","")</f>
        <v/>
      </c>
    </row>
    <row r="4400" customFormat="false" ht="15" hidden="false" customHeight="false" outlineLevel="0" collapsed="false">
      <c r="A4400" s="31" t="str">
        <f aca="false">Demand_History!C4400</f>
        <v>CLN-006</v>
      </c>
      <c r="B4400" s="31" t="n">
        <f aca="false">Demand_History!A4400</f>
        <v>31</v>
      </c>
      <c r="C4400" s="32" t="n">
        <f aca="false">Demand_History!D4400</f>
        <v>76</v>
      </c>
      <c r="D4400" s="33" t="n">
        <f aca="false">IF(B4400&gt;=2,C4399,"")</f>
        <v>101</v>
      </c>
      <c r="E4400" s="33" t="n">
        <f aca="false">IF(B4400&gt;=5,AVERAGE(C4396:C4399),"")</f>
        <v>87.75</v>
      </c>
      <c r="F4400" s="33" t="n">
        <f aca="false">IF(B4400&gt;=9,AVERAGE(C4392:C4399),"")</f>
        <v>82.375</v>
      </c>
      <c r="G4400" s="33" t="n">
        <f aca="false">IF(B4400=1,"",IF(B4400=2,C4399,SES_Alpha*C4399+(1-SES_Alpha)*G4399))</f>
        <v>87.0670619639586</v>
      </c>
      <c r="H4400" s="33" t="n">
        <f aca="false">IF(D4400="","",D4400-C4400)</f>
        <v>25</v>
      </c>
      <c r="I4400" s="33" t="n">
        <f aca="false">IF(E4400="","",E4400-C4400)</f>
        <v>11.75</v>
      </c>
      <c r="J4400" s="33" t="n">
        <f aca="false">IF(F4400="","",F4400-C4400)</f>
        <v>6.375</v>
      </c>
      <c r="K4400" s="33" t="n">
        <f aca="false">IF(G4400="","",G4400-C4400)</f>
        <v>11.0670619639586</v>
      </c>
      <c r="L4400" s="33" t="n">
        <f aca="false">IF(H4400="","",ABS(H4400))</f>
        <v>25</v>
      </c>
      <c r="M4400" s="33" t="n">
        <f aca="false">IF(I4400="","",ABS(I4400))</f>
        <v>11.75</v>
      </c>
      <c r="N4400" s="33" t="n">
        <f aca="false">IF(J4400="","",ABS(J4400))</f>
        <v>6.375</v>
      </c>
      <c r="O4400" s="33" t="n">
        <f aca="false">IF(K4400="","",ABS(K4400))</f>
        <v>11.0670619639586</v>
      </c>
      <c r="P4400" s="34" t="str">
        <f aca="false">IF(B4400&gt;=Eval_Start_Week,"YES","")</f>
        <v/>
      </c>
      <c r="Q4400" s="34" t="str">
        <f aca="false">IF(AND(B4400&gt;=Cal_Start_Week,B4400&lt;=Cal_End_Week),"YES","")</f>
        <v/>
      </c>
    </row>
    <row r="4401" customFormat="false" ht="15" hidden="false" customHeight="false" outlineLevel="0" collapsed="false">
      <c r="A4401" s="31" t="str">
        <f aca="false">Demand_History!C4401</f>
        <v>CLN-006</v>
      </c>
      <c r="B4401" s="31" t="n">
        <f aca="false">Demand_History!A4401</f>
        <v>32</v>
      </c>
      <c r="C4401" s="32" t="n">
        <f aca="false">Demand_History!D4401</f>
        <v>81</v>
      </c>
      <c r="D4401" s="33" t="n">
        <f aca="false">IF(B4401&gt;=2,C4400,"")</f>
        <v>76</v>
      </c>
      <c r="E4401" s="33" t="n">
        <f aca="false">IF(B4401&gt;=5,AVERAGE(C4397:C4400),"")</f>
        <v>84.75</v>
      </c>
      <c r="F4401" s="33" t="n">
        <f aca="false">IF(B4401&gt;=9,AVERAGE(C4393:C4400),"")</f>
        <v>81.375</v>
      </c>
      <c r="G4401" s="33" t="n">
        <f aca="false">IF(B4401=1,"",IF(B4401=2,C4400,SES_Alpha*C4400+(1-SES_Alpha)*G4400))</f>
        <v>83.746943374771</v>
      </c>
      <c r="H4401" s="33" t="n">
        <f aca="false">IF(D4401="","",D4401-C4401)</f>
        <v>-5</v>
      </c>
      <c r="I4401" s="33" t="n">
        <f aca="false">IF(E4401="","",E4401-C4401)</f>
        <v>3.75</v>
      </c>
      <c r="J4401" s="33" t="n">
        <f aca="false">IF(F4401="","",F4401-C4401)</f>
        <v>0.375</v>
      </c>
      <c r="K4401" s="33" t="n">
        <f aca="false">IF(G4401="","",G4401-C4401)</f>
        <v>2.74694337477099</v>
      </c>
      <c r="L4401" s="33" t="n">
        <f aca="false">IF(H4401="","",ABS(H4401))</f>
        <v>5</v>
      </c>
      <c r="M4401" s="33" t="n">
        <f aca="false">IF(I4401="","",ABS(I4401))</f>
        <v>3.75</v>
      </c>
      <c r="N4401" s="33" t="n">
        <f aca="false">IF(J4401="","",ABS(J4401))</f>
        <v>0.375</v>
      </c>
      <c r="O4401" s="33" t="n">
        <f aca="false">IF(K4401="","",ABS(K4401))</f>
        <v>2.74694337477099</v>
      </c>
      <c r="P4401" s="34" t="str">
        <f aca="false">IF(B4401&gt;=Eval_Start_Week,"YES","")</f>
        <v/>
      </c>
      <c r="Q4401" s="34" t="str">
        <f aca="false">IF(AND(B4401&gt;=Cal_Start_Week,B4401&lt;=Cal_End_Week),"YES","")</f>
        <v/>
      </c>
    </row>
    <row r="4402" customFormat="false" ht="15" hidden="false" customHeight="false" outlineLevel="0" collapsed="false">
      <c r="A4402" s="31" t="str">
        <f aca="false">Demand_History!C4402</f>
        <v>CLN-006</v>
      </c>
      <c r="B4402" s="31" t="n">
        <f aca="false">Demand_History!A4402</f>
        <v>33</v>
      </c>
      <c r="C4402" s="32" t="n">
        <f aca="false">Demand_History!D4402</f>
        <v>72</v>
      </c>
      <c r="D4402" s="33" t="n">
        <f aca="false">IF(B4402&gt;=2,C4401,"")</f>
        <v>81</v>
      </c>
      <c r="E4402" s="33" t="n">
        <f aca="false">IF(B4402&gt;=5,AVERAGE(C4398:C4401),"")</f>
        <v>85.5</v>
      </c>
      <c r="F4402" s="33" t="n">
        <f aca="false">IF(B4402&gt;=9,AVERAGE(C4394:C4401),"")</f>
        <v>80.375</v>
      </c>
      <c r="G4402" s="33" t="n">
        <f aca="false">IF(B4402=1,"",IF(B4402=2,C4401,SES_Alpha*C4401+(1-SES_Alpha)*G4401))</f>
        <v>82.9228603623397</v>
      </c>
      <c r="H4402" s="33" t="n">
        <f aca="false">IF(D4402="","",D4402-C4402)</f>
        <v>9</v>
      </c>
      <c r="I4402" s="33" t="n">
        <f aca="false">IF(E4402="","",E4402-C4402)</f>
        <v>13.5</v>
      </c>
      <c r="J4402" s="33" t="n">
        <f aca="false">IF(F4402="","",F4402-C4402)</f>
        <v>8.375</v>
      </c>
      <c r="K4402" s="33" t="n">
        <f aca="false">IF(G4402="","",G4402-C4402)</f>
        <v>10.9228603623397</v>
      </c>
      <c r="L4402" s="33" t="n">
        <f aca="false">IF(H4402="","",ABS(H4402))</f>
        <v>9</v>
      </c>
      <c r="M4402" s="33" t="n">
        <f aca="false">IF(I4402="","",ABS(I4402))</f>
        <v>13.5</v>
      </c>
      <c r="N4402" s="33" t="n">
        <f aca="false">IF(J4402="","",ABS(J4402))</f>
        <v>8.375</v>
      </c>
      <c r="O4402" s="33" t="n">
        <f aca="false">IF(K4402="","",ABS(K4402))</f>
        <v>10.9228603623397</v>
      </c>
      <c r="P4402" s="34" t="str">
        <f aca="false">IF(B4402&gt;=Eval_Start_Week,"YES","")</f>
        <v/>
      </c>
      <c r="Q4402" s="34" t="str">
        <f aca="false">IF(AND(B4402&gt;=Cal_Start_Week,B4402&lt;=Cal_End_Week),"YES","")</f>
        <v/>
      </c>
    </row>
    <row r="4403" customFormat="false" ht="15" hidden="false" customHeight="false" outlineLevel="0" collapsed="false">
      <c r="A4403" s="31" t="str">
        <f aca="false">Demand_History!C4403</f>
        <v>CLN-006</v>
      </c>
      <c r="B4403" s="31" t="n">
        <f aca="false">Demand_History!A4403</f>
        <v>34</v>
      </c>
      <c r="C4403" s="32" t="n">
        <f aca="false">Demand_History!D4403</f>
        <v>71</v>
      </c>
      <c r="D4403" s="33" t="n">
        <f aca="false">IF(B4403&gt;=2,C4402,"")</f>
        <v>72</v>
      </c>
      <c r="E4403" s="33" t="n">
        <f aca="false">IF(B4403&gt;=5,AVERAGE(C4399:C4402),"")</f>
        <v>82.5</v>
      </c>
      <c r="F4403" s="33" t="n">
        <f aca="false">IF(B4403&gt;=9,AVERAGE(C4395:C4402),"")</f>
        <v>81.375</v>
      </c>
      <c r="G4403" s="33" t="n">
        <f aca="false">IF(B4403=1,"",IF(B4403=2,C4402,SES_Alpha*C4402+(1-SES_Alpha)*G4402))</f>
        <v>79.6460022536378</v>
      </c>
      <c r="H4403" s="33" t="n">
        <f aca="false">IF(D4403="","",D4403-C4403)</f>
        <v>1</v>
      </c>
      <c r="I4403" s="33" t="n">
        <f aca="false">IF(E4403="","",E4403-C4403)</f>
        <v>11.5</v>
      </c>
      <c r="J4403" s="33" t="n">
        <f aca="false">IF(F4403="","",F4403-C4403)</f>
        <v>10.375</v>
      </c>
      <c r="K4403" s="33" t="n">
        <f aca="false">IF(G4403="","",G4403-C4403)</f>
        <v>8.64600225363778</v>
      </c>
      <c r="L4403" s="33" t="n">
        <f aca="false">IF(H4403="","",ABS(H4403))</f>
        <v>1</v>
      </c>
      <c r="M4403" s="33" t="n">
        <f aca="false">IF(I4403="","",ABS(I4403))</f>
        <v>11.5</v>
      </c>
      <c r="N4403" s="33" t="n">
        <f aca="false">IF(J4403="","",ABS(J4403))</f>
        <v>10.375</v>
      </c>
      <c r="O4403" s="33" t="n">
        <f aca="false">IF(K4403="","",ABS(K4403))</f>
        <v>8.64600225363778</v>
      </c>
      <c r="P4403" s="34" t="str">
        <f aca="false">IF(B4403&gt;=Eval_Start_Week,"YES","")</f>
        <v/>
      </c>
      <c r="Q4403" s="34" t="str">
        <f aca="false">IF(AND(B4403&gt;=Cal_Start_Week,B4403&lt;=Cal_End_Week),"YES","")</f>
        <v/>
      </c>
    </row>
    <row r="4404" customFormat="false" ht="15" hidden="false" customHeight="false" outlineLevel="0" collapsed="false">
      <c r="A4404" s="31" t="str">
        <f aca="false">Demand_History!C4404</f>
        <v>CLN-006</v>
      </c>
      <c r="B4404" s="31" t="n">
        <f aca="false">Demand_History!A4404</f>
        <v>35</v>
      </c>
      <c r="C4404" s="32" t="n">
        <f aca="false">Demand_History!D4404</f>
        <v>76</v>
      </c>
      <c r="D4404" s="33" t="n">
        <f aca="false">IF(B4404&gt;=2,C4403,"")</f>
        <v>71</v>
      </c>
      <c r="E4404" s="33" t="n">
        <f aca="false">IF(B4404&gt;=5,AVERAGE(C4400:C4403),"")</f>
        <v>75</v>
      </c>
      <c r="F4404" s="33" t="n">
        <f aca="false">IF(B4404&gt;=9,AVERAGE(C4396:C4403),"")</f>
        <v>81.375</v>
      </c>
      <c r="G4404" s="33" t="n">
        <f aca="false">IF(B4404=1,"",IF(B4404=2,C4403,SES_Alpha*C4403+(1-SES_Alpha)*G4403))</f>
        <v>77.0522015775464</v>
      </c>
      <c r="H4404" s="33" t="n">
        <f aca="false">IF(D4404="","",D4404-C4404)</f>
        <v>-5</v>
      </c>
      <c r="I4404" s="33" t="n">
        <f aca="false">IF(E4404="","",E4404-C4404)</f>
        <v>-1</v>
      </c>
      <c r="J4404" s="33" t="n">
        <f aca="false">IF(F4404="","",F4404-C4404)</f>
        <v>5.375</v>
      </c>
      <c r="K4404" s="33" t="n">
        <f aca="false">IF(G4404="","",G4404-C4404)</f>
        <v>1.05220157754644</v>
      </c>
      <c r="L4404" s="33" t="n">
        <f aca="false">IF(H4404="","",ABS(H4404))</f>
        <v>5</v>
      </c>
      <c r="M4404" s="33" t="n">
        <f aca="false">IF(I4404="","",ABS(I4404))</f>
        <v>1</v>
      </c>
      <c r="N4404" s="33" t="n">
        <f aca="false">IF(J4404="","",ABS(J4404))</f>
        <v>5.375</v>
      </c>
      <c r="O4404" s="33" t="n">
        <f aca="false">IF(K4404="","",ABS(K4404))</f>
        <v>1.05220157754644</v>
      </c>
      <c r="P4404" s="34" t="str">
        <f aca="false">IF(B4404&gt;=Eval_Start_Week,"YES","")</f>
        <v/>
      </c>
      <c r="Q4404" s="34" t="str">
        <f aca="false">IF(AND(B4404&gt;=Cal_Start_Week,B4404&lt;=Cal_End_Week),"YES","")</f>
        <v/>
      </c>
    </row>
    <row r="4405" customFormat="false" ht="15" hidden="false" customHeight="false" outlineLevel="0" collapsed="false">
      <c r="A4405" s="31" t="str">
        <f aca="false">Demand_History!C4405</f>
        <v>CLN-006</v>
      </c>
      <c r="B4405" s="31" t="n">
        <f aca="false">Demand_History!A4405</f>
        <v>36</v>
      </c>
      <c r="C4405" s="32" t="n">
        <f aca="false">Demand_History!D4405</f>
        <v>61</v>
      </c>
      <c r="D4405" s="33" t="n">
        <f aca="false">IF(B4405&gt;=2,C4404,"")</f>
        <v>76</v>
      </c>
      <c r="E4405" s="33" t="n">
        <f aca="false">IF(B4405&gt;=5,AVERAGE(C4401:C4404),"")</f>
        <v>75</v>
      </c>
      <c r="F4405" s="33" t="n">
        <f aca="false">IF(B4405&gt;=9,AVERAGE(C4397:C4404),"")</f>
        <v>79.875</v>
      </c>
      <c r="G4405" s="33" t="n">
        <f aca="false">IF(B4405=1,"",IF(B4405=2,C4404,SES_Alpha*C4404+(1-SES_Alpha)*G4404))</f>
        <v>76.7365411042825</v>
      </c>
      <c r="H4405" s="33" t="n">
        <f aca="false">IF(D4405="","",D4405-C4405)</f>
        <v>15</v>
      </c>
      <c r="I4405" s="33" t="n">
        <f aca="false">IF(E4405="","",E4405-C4405)</f>
        <v>14</v>
      </c>
      <c r="J4405" s="33" t="n">
        <f aca="false">IF(F4405="","",F4405-C4405)</f>
        <v>18.875</v>
      </c>
      <c r="K4405" s="33" t="n">
        <f aca="false">IF(G4405="","",G4405-C4405)</f>
        <v>15.7365411042825</v>
      </c>
      <c r="L4405" s="33" t="n">
        <f aca="false">IF(H4405="","",ABS(H4405))</f>
        <v>15</v>
      </c>
      <c r="M4405" s="33" t="n">
        <f aca="false">IF(I4405="","",ABS(I4405))</f>
        <v>14</v>
      </c>
      <c r="N4405" s="33" t="n">
        <f aca="false">IF(J4405="","",ABS(J4405))</f>
        <v>18.875</v>
      </c>
      <c r="O4405" s="33" t="n">
        <f aca="false">IF(K4405="","",ABS(K4405))</f>
        <v>15.7365411042825</v>
      </c>
      <c r="P4405" s="34" t="str">
        <f aca="false">IF(B4405&gt;=Eval_Start_Week,"YES","")</f>
        <v/>
      </c>
      <c r="Q4405" s="34" t="str">
        <f aca="false">IF(AND(B4405&gt;=Cal_Start_Week,B4405&lt;=Cal_End_Week),"YES","")</f>
        <v/>
      </c>
    </row>
    <row r="4406" customFormat="false" ht="15" hidden="false" customHeight="false" outlineLevel="0" collapsed="false">
      <c r="A4406" s="31" t="str">
        <f aca="false">Demand_History!C4406</f>
        <v>CLN-006</v>
      </c>
      <c r="B4406" s="31" t="n">
        <f aca="false">Demand_History!A4406</f>
        <v>37</v>
      </c>
      <c r="C4406" s="32" t="n">
        <f aca="false">Demand_History!D4406</f>
        <v>54</v>
      </c>
      <c r="D4406" s="33" t="n">
        <f aca="false">IF(B4406&gt;=2,C4405,"")</f>
        <v>61</v>
      </c>
      <c r="E4406" s="33" t="n">
        <f aca="false">IF(B4406&gt;=5,AVERAGE(C4402:C4405),"")</f>
        <v>70</v>
      </c>
      <c r="F4406" s="33" t="n">
        <f aca="false">IF(B4406&gt;=9,AVERAGE(C4398:C4405),"")</f>
        <v>77.75</v>
      </c>
      <c r="G4406" s="33" t="n">
        <f aca="false">IF(B4406=1,"",IF(B4406=2,C4405,SES_Alpha*C4405+(1-SES_Alpha)*G4405))</f>
        <v>72.0155787729978</v>
      </c>
      <c r="H4406" s="33" t="n">
        <f aca="false">IF(D4406="","",D4406-C4406)</f>
        <v>7</v>
      </c>
      <c r="I4406" s="33" t="n">
        <f aca="false">IF(E4406="","",E4406-C4406)</f>
        <v>16</v>
      </c>
      <c r="J4406" s="33" t="n">
        <f aca="false">IF(F4406="","",F4406-C4406)</f>
        <v>23.75</v>
      </c>
      <c r="K4406" s="33" t="n">
        <f aca="false">IF(G4406="","",G4406-C4406)</f>
        <v>18.0155787729978</v>
      </c>
      <c r="L4406" s="33" t="n">
        <f aca="false">IF(H4406="","",ABS(H4406))</f>
        <v>7</v>
      </c>
      <c r="M4406" s="33" t="n">
        <f aca="false">IF(I4406="","",ABS(I4406))</f>
        <v>16</v>
      </c>
      <c r="N4406" s="33" t="n">
        <f aca="false">IF(J4406="","",ABS(J4406))</f>
        <v>23.75</v>
      </c>
      <c r="O4406" s="33" t="n">
        <f aca="false">IF(K4406="","",ABS(K4406))</f>
        <v>18.0155787729978</v>
      </c>
      <c r="P4406" s="34" t="str">
        <f aca="false">IF(B4406&gt;=Eval_Start_Week,"YES","")</f>
        <v/>
      </c>
      <c r="Q4406" s="34" t="str">
        <f aca="false">IF(AND(B4406&gt;=Cal_Start_Week,B4406&lt;=Cal_End_Week),"YES","")</f>
        <v>YES</v>
      </c>
    </row>
    <row r="4407" customFormat="false" ht="15" hidden="false" customHeight="false" outlineLevel="0" collapsed="false">
      <c r="A4407" s="31" t="str">
        <f aca="false">Demand_History!C4407</f>
        <v>CLN-006</v>
      </c>
      <c r="B4407" s="31" t="n">
        <f aca="false">Demand_History!A4407</f>
        <v>38</v>
      </c>
      <c r="C4407" s="32" t="n">
        <f aca="false">Demand_History!D4407</f>
        <v>90</v>
      </c>
      <c r="D4407" s="33" t="n">
        <f aca="false">IF(B4407&gt;=2,C4406,"")</f>
        <v>54</v>
      </c>
      <c r="E4407" s="33" t="n">
        <f aca="false">IF(B4407&gt;=5,AVERAGE(C4403:C4406),"")</f>
        <v>65.5</v>
      </c>
      <c r="F4407" s="33" t="n">
        <f aca="false">IF(B4407&gt;=9,AVERAGE(C4399:C4406),"")</f>
        <v>74</v>
      </c>
      <c r="G4407" s="33" t="n">
        <f aca="false">IF(B4407=1,"",IF(B4407=2,C4406,SES_Alpha*C4406+(1-SES_Alpha)*G4406))</f>
        <v>66.6109051410984</v>
      </c>
      <c r="H4407" s="33" t="n">
        <f aca="false">IF(D4407="","",D4407-C4407)</f>
        <v>-36</v>
      </c>
      <c r="I4407" s="33" t="n">
        <f aca="false">IF(E4407="","",E4407-C4407)</f>
        <v>-24.5</v>
      </c>
      <c r="J4407" s="33" t="n">
        <f aca="false">IF(F4407="","",F4407-C4407)</f>
        <v>-16</v>
      </c>
      <c r="K4407" s="33" t="n">
        <f aca="false">IF(G4407="","",G4407-C4407)</f>
        <v>-23.3890948589016</v>
      </c>
      <c r="L4407" s="33" t="n">
        <f aca="false">IF(H4407="","",ABS(H4407))</f>
        <v>36</v>
      </c>
      <c r="M4407" s="33" t="n">
        <f aca="false">IF(I4407="","",ABS(I4407))</f>
        <v>24.5</v>
      </c>
      <c r="N4407" s="33" t="n">
        <f aca="false">IF(J4407="","",ABS(J4407))</f>
        <v>16</v>
      </c>
      <c r="O4407" s="33" t="n">
        <f aca="false">IF(K4407="","",ABS(K4407))</f>
        <v>23.3890948589016</v>
      </c>
      <c r="P4407" s="34" t="str">
        <f aca="false">IF(B4407&gt;=Eval_Start_Week,"YES","")</f>
        <v/>
      </c>
      <c r="Q4407" s="34" t="str">
        <f aca="false">IF(AND(B4407&gt;=Cal_Start_Week,B4407&lt;=Cal_End_Week),"YES","")</f>
        <v>YES</v>
      </c>
    </row>
    <row r="4408" customFormat="false" ht="15" hidden="false" customHeight="false" outlineLevel="0" collapsed="false">
      <c r="A4408" s="31" t="str">
        <f aca="false">Demand_History!C4408</f>
        <v>CLN-006</v>
      </c>
      <c r="B4408" s="31" t="n">
        <f aca="false">Demand_History!A4408</f>
        <v>39</v>
      </c>
      <c r="C4408" s="32" t="n">
        <f aca="false">Demand_History!D4408</f>
        <v>74</v>
      </c>
      <c r="D4408" s="33" t="n">
        <f aca="false">IF(B4408&gt;=2,C4407,"")</f>
        <v>90</v>
      </c>
      <c r="E4408" s="33" t="n">
        <f aca="false">IF(B4408&gt;=5,AVERAGE(C4404:C4407),"")</f>
        <v>70.25</v>
      </c>
      <c r="F4408" s="33" t="n">
        <f aca="false">IF(B4408&gt;=9,AVERAGE(C4400:C4407),"")</f>
        <v>72.625</v>
      </c>
      <c r="G4408" s="33" t="n">
        <f aca="false">IF(B4408=1,"",IF(B4408=2,C4407,SES_Alpha*C4407+(1-SES_Alpha)*G4407))</f>
        <v>73.6276335987689</v>
      </c>
      <c r="H4408" s="33" t="n">
        <f aca="false">IF(D4408="","",D4408-C4408)</f>
        <v>16</v>
      </c>
      <c r="I4408" s="33" t="n">
        <f aca="false">IF(E4408="","",E4408-C4408)</f>
        <v>-3.75</v>
      </c>
      <c r="J4408" s="33" t="n">
        <f aca="false">IF(F4408="","",F4408-C4408)</f>
        <v>-1.375</v>
      </c>
      <c r="K4408" s="33" t="n">
        <f aca="false">IF(G4408="","",G4408-C4408)</f>
        <v>-0.372366401231105</v>
      </c>
      <c r="L4408" s="33" t="n">
        <f aca="false">IF(H4408="","",ABS(H4408))</f>
        <v>16</v>
      </c>
      <c r="M4408" s="33" t="n">
        <f aca="false">IF(I4408="","",ABS(I4408))</f>
        <v>3.75</v>
      </c>
      <c r="N4408" s="33" t="n">
        <f aca="false">IF(J4408="","",ABS(J4408))</f>
        <v>1.375</v>
      </c>
      <c r="O4408" s="33" t="n">
        <f aca="false">IF(K4408="","",ABS(K4408))</f>
        <v>0.372366401231105</v>
      </c>
      <c r="P4408" s="34" t="str">
        <f aca="false">IF(B4408&gt;=Eval_Start_Week,"YES","")</f>
        <v/>
      </c>
      <c r="Q4408" s="34" t="str">
        <f aca="false">IF(AND(B4408&gt;=Cal_Start_Week,B4408&lt;=Cal_End_Week),"YES","")</f>
        <v>YES</v>
      </c>
    </row>
    <row r="4409" customFormat="false" ht="15" hidden="false" customHeight="false" outlineLevel="0" collapsed="false">
      <c r="A4409" s="31" t="str">
        <f aca="false">Demand_History!C4409</f>
        <v>CLN-006</v>
      </c>
      <c r="B4409" s="31" t="n">
        <f aca="false">Demand_History!A4409</f>
        <v>40</v>
      </c>
      <c r="C4409" s="32" t="n">
        <f aca="false">Demand_History!D4409</f>
        <v>87</v>
      </c>
      <c r="D4409" s="33" t="n">
        <f aca="false">IF(B4409&gt;=2,C4408,"")</f>
        <v>74</v>
      </c>
      <c r="E4409" s="33" t="n">
        <f aca="false">IF(B4409&gt;=5,AVERAGE(C4405:C4408),"")</f>
        <v>69.75</v>
      </c>
      <c r="F4409" s="33" t="n">
        <f aca="false">IF(B4409&gt;=9,AVERAGE(C4401:C4408),"")</f>
        <v>72.375</v>
      </c>
      <c r="G4409" s="33" t="n">
        <f aca="false">IF(B4409=1,"",IF(B4409=2,C4408,SES_Alpha*C4408+(1-SES_Alpha)*G4408))</f>
        <v>73.7393435191382</v>
      </c>
      <c r="H4409" s="33" t="n">
        <f aca="false">IF(D4409="","",D4409-C4409)</f>
        <v>-13</v>
      </c>
      <c r="I4409" s="33" t="n">
        <f aca="false">IF(E4409="","",E4409-C4409)</f>
        <v>-17.25</v>
      </c>
      <c r="J4409" s="33" t="n">
        <f aca="false">IF(F4409="","",F4409-C4409)</f>
        <v>-14.625</v>
      </c>
      <c r="K4409" s="33" t="n">
        <f aca="false">IF(G4409="","",G4409-C4409)</f>
        <v>-13.2606564808618</v>
      </c>
      <c r="L4409" s="33" t="n">
        <f aca="false">IF(H4409="","",ABS(H4409))</f>
        <v>13</v>
      </c>
      <c r="M4409" s="33" t="n">
        <f aca="false">IF(I4409="","",ABS(I4409))</f>
        <v>17.25</v>
      </c>
      <c r="N4409" s="33" t="n">
        <f aca="false">IF(J4409="","",ABS(J4409))</f>
        <v>14.625</v>
      </c>
      <c r="O4409" s="33" t="n">
        <f aca="false">IF(K4409="","",ABS(K4409))</f>
        <v>13.2606564808618</v>
      </c>
      <c r="P4409" s="34" t="str">
        <f aca="false">IF(B4409&gt;=Eval_Start_Week,"YES","")</f>
        <v/>
      </c>
      <c r="Q4409" s="34" t="str">
        <f aca="false">IF(AND(B4409&gt;=Cal_Start_Week,B4409&lt;=Cal_End_Week),"YES","")</f>
        <v>YES</v>
      </c>
    </row>
    <row r="4410" customFormat="false" ht="15" hidden="false" customHeight="false" outlineLevel="0" collapsed="false">
      <c r="A4410" s="31" t="str">
        <f aca="false">Demand_History!C4410</f>
        <v>CLN-006</v>
      </c>
      <c r="B4410" s="31" t="n">
        <f aca="false">Demand_History!A4410</f>
        <v>41</v>
      </c>
      <c r="C4410" s="32" t="n">
        <f aca="false">Demand_History!D4410</f>
        <v>76</v>
      </c>
      <c r="D4410" s="33" t="n">
        <f aca="false">IF(B4410&gt;=2,C4409,"")</f>
        <v>87</v>
      </c>
      <c r="E4410" s="33" t="n">
        <f aca="false">IF(B4410&gt;=5,AVERAGE(C4406:C4409),"")</f>
        <v>76.25</v>
      </c>
      <c r="F4410" s="33" t="n">
        <f aca="false">IF(B4410&gt;=9,AVERAGE(C4402:C4409),"")</f>
        <v>73.125</v>
      </c>
      <c r="G4410" s="33" t="n">
        <f aca="false">IF(B4410=1,"",IF(B4410=2,C4409,SES_Alpha*C4409+(1-SES_Alpha)*G4409))</f>
        <v>77.7175404633967</v>
      </c>
      <c r="H4410" s="33" t="n">
        <f aca="false">IF(D4410="","",D4410-C4410)</f>
        <v>11</v>
      </c>
      <c r="I4410" s="33" t="n">
        <f aca="false">IF(E4410="","",E4410-C4410)</f>
        <v>0.25</v>
      </c>
      <c r="J4410" s="33" t="n">
        <f aca="false">IF(F4410="","",F4410-C4410)</f>
        <v>-2.875</v>
      </c>
      <c r="K4410" s="33" t="n">
        <f aca="false">IF(G4410="","",G4410-C4410)</f>
        <v>1.71754046339674</v>
      </c>
      <c r="L4410" s="33" t="n">
        <f aca="false">IF(H4410="","",ABS(H4410))</f>
        <v>11</v>
      </c>
      <c r="M4410" s="33" t="n">
        <f aca="false">IF(I4410="","",ABS(I4410))</f>
        <v>0.25</v>
      </c>
      <c r="N4410" s="33" t="n">
        <f aca="false">IF(J4410="","",ABS(J4410))</f>
        <v>2.875</v>
      </c>
      <c r="O4410" s="33" t="n">
        <f aca="false">IF(K4410="","",ABS(K4410))</f>
        <v>1.71754046339674</v>
      </c>
      <c r="P4410" s="34" t="str">
        <f aca="false">IF(B4410&gt;=Eval_Start_Week,"YES","")</f>
        <v/>
      </c>
      <c r="Q4410" s="34" t="str">
        <f aca="false">IF(AND(B4410&gt;=Cal_Start_Week,B4410&lt;=Cal_End_Week),"YES","")</f>
        <v>YES</v>
      </c>
    </row>
    <row r="4411" customFormat="false" ht="15" hidden="false" customHeight="false" outlineLevel="0" collapsed="false">
      <c r="A4411" s="31" t="str">
        <f aca="false">Demand_History!C4411</f>
        <v>CLN-006</v>
      </c>
      <c r="B4411" s="31" t="n">
        <f aca="false">Demand_History!A4411</f>
        <v>42</v>
      </c>
      <c r="C4411" s="32" t="n">
        <f aca="false">Demand_History!D4411</f>
        <v>75</v>
      </c>
      <c r="D4411" s="33" t="n">
        <f aca="false">IF(B4411&gt;=2,C4410,"")</f>
        <v>76</v>
      </c>
      <c r="E4411" s="33" t="n">
        <f aca="false">IF(B4411&gt;=5,AVERAGE(C4407:C4410),"")</f>
        <v>81.75</v>
      </c>
      <c r="F4411" s="33" t="n">
        <f aca="false">IF(B4411&gt;=9,AVERAGE(C4403:C4410),"")</f>
        <v>73.625</v>
      </c>
      <c r="G4411" s="33" t="n">
        <f aca="false">IF(B4411=1,"",IF(B4411=2,C4410,SES_Alpha*C4410+(1-SES_Alpha)*G4410))</f>
        <v>77.2022783243777</v>
      </c>
      <c r="H4411" s="33" t="n">
        <f aca="false">IF(D4411="","",D4411-C4411)</f>
        <v>1</v>
      </c>
      <c r="I4411" s="33" t="n">
        <f aca="false">IF(E4411="","",E4411-C4411)</f>
        <v>6.75</v>
      </c>
      <c r="J4411" s="33" t="n">
        <f aca="false">IF(F4411="","",F4411-C4411)</f>
        <v>-1.375</v>
      </c>
      <c r="K4411" s="33" t="n">
        <f aca="false">IF(G4411="","",G4411-C4411)</f>
        <v>2.20227832437772</v>
      </c>
      <c r="L4411" s="33" t="n">
        <f aca="false">IF(H4411="","",ABS(H4411))</f>
        <v>1</v>
      </c>
      <c r="M4411" s="33" t="n">
        <f aca="false">IF(I4411="","",ABS(I4411))</f>
        <v>6.75</v>
      </c>
      <c r="N4411" s="33" t="n">
        <f aca="false">IF(J4411="","",ABS(J4411))</f>
        <v>1.375</v>
      </c>
      <c r="O4411" s="33" t="n">
        <f aca="false">IF(K4411="","",ABS(K4411))</f>
        <v>2.20227832437772</v>
      </c>
      <c r="P4411" s="34" t="str">
        <f aca="false">IF(B4411&gt;=Eval_Start_Week,"YES","")</f>
        <v/>
      </c>
      <c r="Q4411" s="34" t="str">
        <f aca="false">IF(AND(B4411&gt;=Cal_Start_Week,B4411&lt;=Cal_End_Week),"YES","")</f>
        <v>YES</v>
      </c>
    </row>
    <row r="4412" customFormat="false" ht="15" hidden="false" customHeight="false" outlineLevel="0" collapsed="false">
      <c r="A4412" s="31" t="str">
        <f aca="false">Demand_History!C4412</f>
        <v>CLN-006</v>
      </c>
      <c r="B4412" s="31" t="n">
        <f aca="false">Demand_History!A4412</f>
        <v>43</v>
      </c>
      <c r="C4412" s="32" t="n">
        <f aca="false">Demand_History!D4412</f>
        <v>80</v>
      </c>
      <c r="D4412" s="33" t="n">
        <f aca="false">IF(B4412&gt;=2,C4411,"")</f>
        <v>75</v>
      </c>
      <c r="E4412" s="33" t="n">
        <f aca="false">IF(B4412&gt;=5,AVERAGE(C4408:C4411),"")</f>
        <v>78</v>
      </c>
      <c r="F4412" s="33" t="n">
        <f aca="false">IF(B4412&gt;=9,AVERAGE(C4404:C4411),"")</f>
        <v>74.125</v>
      </c>
      <c r="G4412" s="33" t="n">
        <f aca="false">IF(B4412=1,"",IF(B4412=2,C4411,SES_Alpha*C4411+(1-SES_Alpha)*G4411))</f>
        <v>76.5415948270644</v>
      </c>
      <c r="H4412" s="33" t="n">
        <f aca="false">IF(D4412="","",D4412-C4412)</f>
        <v>-5</v>
      </c>
      <c r="I4412" s="33" t="n">
        <f aca="false">IF(E4412="","",E4412-C4412)</f>
        <v>-2</v>
      </c>
      <c r="J4412" s="33" t="n">
        <f aca="false">IF(F4412="","",F4412-C4412)</f>
        <v>-5.875</v>
      </c>
      <c r="K4412" s="33" t="n">
        <f aca="false">IF(G4412="","",G4412-C4412)</f>
        <v>-3.4584051729356</v>
      </c>
      <c r="L4412" s="33" t="n">
        <f aca="false">IF(H4412="","",ABS(H4412))</f>
        <v>5</v>
      </c>
      <c r="M4412" s="33" t="n">
        <f aca="false">IF(I4412="","",ABS(I4412))</f>
        <v>2</v>
      </c>
      <c r="N4412" s="33" t="n">
        <f aca="false">IF(J4412="","",ABS(J4412))</f>
        <v>5.875</v>
      </c>
      <c r="O4412" s="33" t="n">
        <f aca="false">IF(K4412="","",ABS(K4412))</f>
        <v>3.4584051729356</v>
      </c>
      <c r="P4412" s="34" t="str">
        <f aca="false">IF(B4412&gt;=Eval_Start_Week,"YES","")</f>
        <v/>
      </c>
      <c r="Q4412" s="34" t="str">
        <f aca="false">IF(AND(B4412&gt;=Cal_Start_Week,B4412&lt;=Cal_End_Week),"YES","")</f>
        <v>YES</v>
      </c>
    </row>
    <row r="4413" customFormat="false" ht="15" hidden="false" customHeight="false" outlineLevel="0" collapsed="false">
      <c r="A4413" s="31" t="str">
        <f aca="false">Demand_History!C4413</f>
        <v>CLN-006</v>
      </c>
      <c r="B4413" s="31" t="n">
        <f aca="false">Demand_History!A4413</f>
        <v>44</v>
      </c>
      <c r="C4413" s="32" t="n">
        <f aca="false">Demand_History!D4413</f>
        <v>80</v>
      </c>
      <c r="D4413" s="33" t="n">
        <f aca="false">IF(B4413&gt;=2,C4412,"")</f>
        <v>80</v>
      </c>
      <c r="E4413" s="33" t="n">
        <f aca="false">IF(B4413&gt;=5,AVERAGE(C4409:C4412),"")</f>
        <v>79.5</v>
      </c>
      <c r="F4413" s="33" t="n">
        <f aca="false">IF(B4413&gt;=9,AVERAGE(C4405:C4412),"")</f>
        <v>74.625</v>
      </c>
      <c r="G4413" s="33" t="n">
        <f aca="false">IF(B4413=1,"",IF(B4413=2,C4412,SES_Alpha*C4412+(1-SES_Alpha)*G4412))</f>
        <v>77.5791163789451</v>
      </c>
      <c r="H4413" s="33" t="n">
        <f aca="false">IF(D4413="","",D4413-C4413)</f>
        <v>0</v>
      </c>
      <c r="I4413" s="33" t="n">
        <f aca="false">IF(E4413="","",E4413-C4413)</f>
        <v>-0.5</v>
      </c>
      <c r="J4413" s="33" t="n">
        <f aca="false">IF(F4413="","",F4413-C4413)</f>
        <v>-5.375</v>
      </c>
      <c r="K4413" s="33" t="n">
        <f aca="false">IF(G4413="","",G4413-C4413)</f>
        <v>-2.42088362105491</v>
      </c>
      <c r="L4413" s="33" t="n">
        <f aca="false">IF(H4413="","",ABS(H4413))</f>
        <v>0</v>
      </c>
      <c r="M4413" s="33" t="n">
        <f aca="false">IF(I4413="","",ABS(I4413))</f>
        <v>0.5</v>
      </c>
      <c r="N4413" s="33" t="n">
        <f aca="false">IF(J4413="","",ABS(J4413))</f>
        <v>5.375</v>
      </c>
      <c r="O4413" s="33" t="n">
        <f aca="false">IF(K4413="","",ABS(K4413))</f>
        <v>2.42088362105491</v>
      </c>
      <c r="P4413" s="34" t="str">
        <f aca="false">IF(B4413&gt;=Eval_Start_Week,"YES","")</f>
        <v/>
      </c>
      <c r="Q4413" s="34" t="str">
        <f aca="false">IF(AND(B4413&gt;=Cal_Start_Week,B4413&lt;=Cal_End_Week),"YES","")</f>
        <v>YES</v>
      </c>
    </row>
    <row r="4414" customFormat="false" ht="15" hidden="false" customHeight="false" outlineLevel="0" collapsed="false">
      <c r="A4414" s="31" t="str">
        <f aca="false">Demand_History!C4414</f>
        <v>CLN-006</v>
      </c>
      <c r="B4414" s="31" t="n">
        <f aca="false">Demand_History!A4414</f>
        <v>45</v>
      </c>
      <c r="C4414" s="32" t="n">
        <f aca="false">Demand_History!D4414</f>
        <v>60</v>
      </c>
      <c r="D4414" s="33" t="n">
        <f aca="false">IF(B4414&gt;=2,C4413,"")</f>
        <v>80</v>
      </c>
      <c r="E4414" s="33" t="n">
        <f aca="false">IF(B4414&gt;=5,AVERAGE(C4410:C4413),"")</f>
        <v>77.75</v>
      </c>
      <c r="F4414" s="33" t="n">
        <f aca="false">IF(B4414&gt;=9,AVERAGE(C4406:C4413),"")</f>
        <v>77</v>
      </c>
      <c r="G4414" s="33" t="n">
        <f aca="false">IF(B4414=1,"",IF(B4414=2,C4413,SES_Alpha*C4413+(1-SES_Alpha)*G4413))</f>
        <v>78.3053814652616</v>
      </c>
      <c r="H4414" s="33" t="n">
        <f aca="false">IF(D4414="","",D4414-C4414)</f>
        <v>20</v>
      </c>
      <c r="I4414" s="33" t="n">
        <f aca="false">IF(E4414="","",E4414-C4414)</f>
        <v>17.75</v>
      </c>
      <c r="J4414" s="33" t="n">
        <f aca="false">IF(F4414="","",F4414-C4414)</f>
        <v>17</v>
      </c>
      <c r="K4414" s="33" t="n">
        <f aca="false">IF(G4414="","",G4414-C4414)</f>
        <v>18.3053814652616</v>
      </c>
      <c r="L4414" s="33" t="n">
        <f aca="false">IF(H4414="","",ABS(H4414))</f>
        <v>20</v>
      </c>
      <c r="M4414" s="33" t="n">
        <f aca="false">IF(I4414="","",ABS(I4414))</f>
        <v>17.75</v>
      </c>
      <c r="N4414" s="33" t="n">
        <f aca="false">IF(J4414="","",ABS(J4414))</f>
        <v>17</v>
      </c>
      <c r="O4414" s="33" t="n">
        <f aca="false">IF(K4414="","",ABS(K4414))</f>
        <v>18.3053814652616</v>
      </c>
      <c r="P4414" s="34" t="str">
        <f aca="false">IF(B4414&gt;=Eval_Start_Week,"YES","")</f>
        <v/>
      </c>
      <c r="Q4414" s="34" t="str">
        <f aca="false">IF(AND(B4414&gt;=Cal_Start_Week,B4414&lt;=Cal_End_Week),"YES","")</f>
        <v>YES</v>
      </c>
    </row>
    <row r="4415" customFormat="false" ht="15" hidden="false" customHeight="false" outlineLevel="0" collapsed="false">
      <c r="A4415" s="31" t="str">
        <f aca="false">Demand_History!C4415</f>
        <v>CLN-006</v>
      </c>
      <c r="B4415" s="31" t="n">
        <f aca="false">Demand_History!A4415</f>
        <v>46</v>
      </c>
      <c r="C4415" s="32" t="n">
        <f aca="false">Demand_History!D4415</f>
        <v>84</v>
      </c>
      <c r="D4415" s="33" t="n">
        <f aca="false">IF(B4415&gt;=2,C4414,"")</f>
        <v>60</v>
      </c>
      <c r="E4415" s="33" t="n">
        <f aca="false">IF(B4415&gt;=5,AVERAGE(C4411:C4414),"")</f>
        <v>73.75</v>
      </c>
      <c r="F4415" s="33" t="n">
        <f aca="false">IF(B4415&gt;=9,AVERAGE(C4407:C4414),"")</f>
        <v>77.75</v>
      </c>
      <c r="G4415" s="33" t="n">
        <f aca="false">IF(B4415=1,"",IF(B4415=2,C4414,SES_Alpha*C4414+(1-SES_Alpha)*G4414))</f>
        <v>72.8137670256831</v>
      </c>
      <c r="H4415" s="33" t="n">
        <f aca="false">IF(D4415="","",D4415-C4415)</f>
        <v>-24</v>
      </c>
      <c r="I4415" s="33" t="n">
        <f aca="false">IF(E4415="","",E4415-C4415)</f>
        <v>-10.25</v>
      </c>
      <c r="J4415" s="33" t="n">
        <f aca="false">IF(F4415="","",F4415-C4415)</f>
        <v>-6.25</v>
      </c>
      <c r="K4415" s="33" t="n">
        <f aca="false">IF(G4415="","",G4415-C4415)</f>
        <v>-11.1862329743169</v>
      </c>
      <c r="L4415" s="33" t="n">
        <f aca="false">IF(H4415="","",ABS(H4415))</f>
        <v>24</v>
      </c>
      <c r="M4415" s="33" t="n">
        <f aca="false">IF(I4415="","",ABS(I4415))</f>
        <v>10.25</v>
      </c>
      <c r="N4415" s="33" t="n">
        <f aca="false">IF(J4415="","",ABS(J4415))</f>
        <v>6.25</v>
      </c>
      <c r="O4415" s="33" t="n">
        <f aca="false">IF(K4415="","",ABS(K4415))</f>
        <v>11.1862329743169</v>
      </c>
      <c r="P4415" s="34" t="str">
        <f aca="false">IF(B4415&gt;=Eval_Start_Week,"YES","")</f>
        <v/>
      </c>
      <c r="Q4415" s="34" t="str">
        <f aca="false">IF(AND(B4415&gt;=Cal_Start_Week,B4415&lt;=Cal_End_Week),"YES","")</f>
        <v>YES</v>
      </c>
    </row>
    <row r="4416" customFormat="false" ht="15" hidden="false" customHeight="false" outlineLevel="0" collapsed="false">
      <c r="A4416" s="31" t="str">
        <f aca="false">Demand_History!C4416</f>
        <v>CLN-006</v>
      </c>
      <c r="B4416" s="31" t="n">
        <f aca="false">Demand_History!A4416</f>
        <v>47</v>
      </c>
      <c r="C4416" s="32" t="n">
        <f aca="false">Demand_History!D4416</f>
        <v>62</v>
      </c>
      <c r="D4416" s="33" t="n">
        <f aca="false">IF(B4416&gt;=2,C4415,"")</f>
        <v>84</v>
      </c>
      <c r="E4416" s="33" t="n">
        <f aca="false">IF(B4416&gt;=5,AVERAGE(C4412:C4415),"")</f>
        <v>76</v>
      </c>
      <c r="F4416" s="33" t="n">
        <f aca="false">IF(B4416&gt;=9,AVERAGE(C4408:C4415),"")</f>
        <v>77</v>
      </c>
      <c r="G4416" s="33" t="n">
        <f aca="false">IF(B4416=1,"",IF(B4416=2,C4415,SES_Alpha*C4415+(1-SES_Alpha)*G4415))</f>
        <v>76.1696369179782</v>
      </c>
      <c r="H4416" s="33" t="n">
        <f aca="false">IF(D4416="","",D4416-C4416)</f>
        <v>22</v>
      </c>
      <c r="I4416" s="33" t="n">
        <f aca="false">IF(E4416="","",E4416-C4416)</f>
        <v>14</v>
      </c>
      <c r="J4416" s="33" t="n">
        <f aca="false">IF(F4416="","",F4416-C4416)</f>
        <v>15</v>
      </c>
      <c r="K4416" s="33" t="n">
        <f aca="false">IF(G4416="","",G4416-C4416)</f>
        <v>14.1696369179782</v>
      </c>
      <c r="L4416" s="33" t="n">
        <f aca="false">IF(H4416="","",ABS(H4416))</f>
        <v>22</v>
      </c>
      <c r="M4416" s="33" t="n">
        <f aca="false">IF(I4416="","",ABS(I4416))</f>
        <v>14</v>
      </c>
      <c r="N4416" s="33" t="n">
        <f aca="false">IF(J4416="","",ABS(J4416))</f>
        <v>15</v>
      </c>
      <c r="O4416" s="33" t="n">
        <f aca="false">IF(K4416="","",ABS(K4416))</f>
        <v>14.1696369179782</v>
      </c>
      <c r="P4416" s="34" t="str">
        <f aca="false">IF(B4416&gt;=Eval_Start_Week,"YES","")</f>
        <v/>
      </c>
      <c r="Q4416" s="34" t="str">
        <f aca="false">IF(AND(B4416&gt;=Cal_Start_Week,B4416&lt;=Cal_End_Week),"YES","")</f>
        <v>YES</v>
      </c>
    </row>
    <row r="4417" customFormat="false" ht="15" hidden="false" customHeight="false" outlineLevel="0" collapsed="false">
      <c r="A4417" s="31" t="str">
        <f aca="false">Demand_History!C4417</f>
        <v>CLN-006</v>
      </c>
      <c r="B4417" s="31" t="n">
        <f aca="false">Demand_History!A4417</f>
        <v>48</v>
      </c>
      <c r="C4417" s="32" t="n">
        <f aca="false">Demand_History!D4417</f>
        <v>73</v>
      </c>
      <c r="D4417" s="33" t="n">
        <f aca="false">IF(B4417&gt;=2,C4416,"")</f>
        <v>62</v>
      </c>
      <c r="E4417" s="33" t="n">
        <f aca="false">IF(B4417&gt;=5,AVERAGE(C4413:C4416),"")</f>
        <v>71.5</v>
      </c>
      <c r="F4417" s="33" t="n">
        <f aca="false">IF(B4417&gt;=9,AVERAGE(C4409:C4416),"")</f>
        <v>75.5</v>
      </c>
      <c r="G4417" s="33" t="n">
        <f aca="false">IF(B4417=1,"",IF(B4417=2,C4416,SES_Alpha*C4416+(1-SES_Alpha)*G4416))</f>
        <v>71.9187458425847</v>
      </c>
      <c r="H4417" s="33" t="n">
        <f aca="false">IF(D4417="","",D4417-C4417)</f>
        <v>-11</v>
      </c>
      <c r="I4417" s="33" t="n">
        <f aca="false">IF(E4417="","",E4417-C4417)</f>
        <v>-1.5</v>
      </c>
      <c r="J4417" s="33" t="n">
        <f aca="false">IF(F4417="","",F4417-C4417)</f>
        <v>2.5</v>
      </c>
      <c r="K4417" s="33" t="n">
        <f aca="false">IF(G4417="","",G4417-C4417)</f>
        <v>-1.08125415741529</v>
      </c>
      <c r="L4417" s="33" t="n">
        <f aca="false">IF(H4417="","",ABS(H4417))</f>
        <v>11</v>
      </c>
      <c r="M4417" s="33" t="n">
        <f aca="false">IF(I4417="","",ABS(I4417))</f>
        <v>1.5</v>
      </c>
      <c r="N4417" s="33" t="n">
        <f aca="false">IF(J4417="","",ABS(J4417))</f>
        <v>2.5</v>
      </c>
      <c r="O4417" s="33" t="n">
        <f aca="false">IF(K4417="","",ABS(K4417))</f>
        <v>1.08125415741529</v>
      </c>
      <c r="P4417" s="34" t="str">
        <f aca="false">IF(B4417&gt;=Eval_Start_Week,"YES","")</f>
        <v/>
      </c>
      <c r="Q4417" s="34" t="str">
        <f aca="false">IF(AND(B4417&gt;=Cal_Start_Week,B4417&lt;=Cal_End_Week),"YES","")</f>
        <v>YES</v>
      </c>
    </row>
    <row r="4418" customFormat="false" ht="15" hidden="false" customHeight="false" outlineLevel="0" collapsed="false">
      <c r="A4418" s="31" t="str">
        <f aca="false">Demand_History!C4418</f>
        <v>CLN-006</v>
      </c>
      <c r="B4418" s="31" t="n">
        <f aca="false">Demand_History!A4418</f>
        <v>49</v>
      </c>
      <c r="C4418" s="32" t="n">
        <f aca="false">Demand_History!D4418</f>
        <v>96</v>
      </c>
      <c r="D4418" s="33" t="n">
        <f aca="false">IF(B4418&gt;=2,C4417,"")</f>
        <v>73</v>
      </c>
      <c r="E4418" s="33" t="n">
        <f aca="false">IF(B4418&gt;=5,AVERAGE(C4414:C4417),"")</f>
        <v>69.75</v>
      </c>
      <c r="F4418" s="33" t="n">
        <f aca="false">IF(B4418&gt;=9,AVERAGE(C4410:C4417),"")</f>
        <v>73.75</v>
      </c>
      <c r="G4418" s="33" t="n">
        <f aca="false">IF(B4418=1,"",IF(B4418=2,C4417,SES_Alpha*C4417+(1-SES_Alpha)*G4417))</f>
        <v>72.2431220898093</v>
      </c>
      <c r="H4418" s="33" t="n">
        <f aca="false">IF(D4418="","",D4418-C4418)</f>
        <v>-23</v>
      </c>
      <c r="I4418" s="33" t="n">
        <f aca="false">IF(E4418="","",E4418-C4418)</f>
        <v>-26.25</v>
      </c>
      <c r="J4418" s="33" t="n">
        <f aca="false">IF(F4418="","",F4418-C4418)</f>
        <v>-22.25</v>
      </c>
      <c r="K4418" s="33" t="n">
        <f aca="false">IF(G4418="","",G4418-C4418)</f>
        <v>-23.7568779101907</v>
      </c>
      <c r="L4418" s="33" t="n">
        <f aca="false">IF(H4418="","",ABS(H4418))</f>
        <v>23</v>
      </c>
      <c r="M4418" s="33" t="n">
        <f aca="false">IF(I4418="","",ABS(I4418))</f>
        <v>26.25</v>
      </c>
      <c r="N4418" s="33" t="n">
        <f aca="false">IF(J4418="","",ABS(J4418))</f>
        <v>22.25</v>
      </c>
      <c r="O4418" s="33" t="n">
        <f aca="false">IF(K4418="","",ABS(K4418))</f>
        <v>23.7568779101907</v>
      </c>
      <c r="P4418" s="34" t="str">
        <f aca="false">IF(B4418&gt;=Eval_Start_Week,"YES","")</f>
        <v/>
      </c>
      <c r="Q4418" s="34" t="str">
        <f aca="false">IF(AND(B4418&gt;=Cal_Start_Week,B4418&lt;=Cal_End_Week),"YES","")</f>
        <v>YES</v>
      </c>
    </row>
    <row r="4419" customFormat="false" ht="15" hidden="false" customHeight="false" outlineLevel="0" collapsed="false">
      <c r="A4419" s="31" t="str">
        <f aca="false">Demand_History!C4419</f>
        <v>CLN-006</v>
      </c>
      <c r="B4419" s="31" t="n">
        <f aca="false">Demand_History!A4419</f>
        <v>50</v>
      </c>
      <c r="C4419" s="32" t="n">
        <f aca="false">Demand_History!D4419</f>
        <v>71</v>
      </c>
      <c r="D4419" s="33" t="n">
        <f aca="false">IF(B4419&gt;=2,C4418,"")</f>
        <v>96</v>
      </c>
      <c r="E4419" s="33" t="n">
        <f aca="false">IF(B4419&gt;=5,AVERAGE(C4415:C4418),"")</f>
        <v>78.75</v>
      </c>
      <c r="F4419" s="33" t="n">
        <f aca="false">IF(B4419&gt;=9,AVERAGE(C4411:C4418),"")</f>
        <v>76.25</v>
      </c>
      <c r="G4419" s="33" t="n">
        <f aca="false">IF(B4419=1,"",IF(B4419=2,C4418,SES_Alpha*C4418+(1-SES_Alpha)*G4418))</f>
        <v>79.3701854628665</v>
      </c>
      <c r="H4419" s="33" t="n">
        <f aca="false">IF(D4419="","",D4419-C4419)</f>
        <v>25</v>
      </c>
      <c r="I4419" s="33" t="n">
        <f aca="false">IF(E4419="","",E4419-C4419)</f>
        <v>7.75</v>
      </c>
      <c r="J4419" s="33" t="n">
        <f aca="false">IF(F4419="","",F4419-C4419)</f>
        <v>5.25</v>
      </c>
      <c r="K4419" s="33" t="n">
        <f aca="false">IF(G4419="","",G4419-C4419)</f>
        <v>8.37018546286652</v>
      </c>
      <c r="L4419" s="33" t="n">
        <f aca="false">IF(H4419="","",ABS(H4419))</f>
        <v>25</v>
      </c>
      <c r="M4419" s="33" t="n">
        <f aca="false">IF(I4419="","",ABS(I4419))</f>
        <v>7.75</v>
      </c>
      <c r="N4419" s="33" t="n">
        <f aca="false">IF(J4419="","",ABS(J4419))</f>
        <v>5.25</v>
      </c>
      <c r="O4419" s="33" t="n">
        <f aca="false">IF(K4419="","",ABS(K4419))</f>
        <v>8.37018546286652</v>
      </c>
      <c r="P4419" s="34" t="str">
        <f aca="false">IF(B4419&gt;=Eval_Start_Week,"YES","")</f>
        <v/>
      </c>
      <c r="Q4419" s="34" t="str">
        <f aca="false">IF(AND(B4419&gt;=Cal_Start_Week,B4419&lt;=Cal_End_Week),"YES","")</f>
        <v>YES</v>
      </c>
    </row>
    <row r="4420" customFormat="false" ht="15" hidden="false" customHeight="false" outlineLevel="0" collapsed="false">
      <c r="A4420" s="31" t="str">
        <f aca="false">Demand_History!C4420</f>
        <v>CLN-006</v>
      </c>
      <c r="B4420" s="31" t="n">
        <f aca="false">Demand_History!A4420</f>
        <v>51</v>
      </c>
      <c r="C4420" s="32" t="n">
        <f aca="false">Demand_History!D4420</f>
        <v>86</v>
      </c>
      <c r="D4420" s="33" t="n">
        <f aca="false">IF(B4420&gt;=2,C4419,"")</f>
        <v>71</v>
      </c>
      <c r="E4420" s="33" t="n">
        <f aca="false">IF(B4420&gt;=5,AVERAGE(C4416:C4419),"")</f>
        <v>75.5</v>
      </c>
      <c r="F4420" s="33" t="n">
        <f aca="false">IF(B4420&gt;=9,AVERAGE(C4412:C4419),"")</f>
        <v>75.75</v>
      </c>
      <c r="G4420" s="33" t="n">
        <f aca="false">IF(B4420=1,"",IF(B4420=2,C4419,SES_Alpha*C4419+(1-SES_Alpha)*G4419))</f>
        <v>76.8591298240066</v>
      </c>
      <c r="H4420" s="33" t="n">
        <f aca="false">IF(D4420="","",D4420-C4420)</f>
        <v>-15</v>
      </c>
      <c r="I4420" s="33" t="n">
        <f aca="false">IF(E4420="","",E4420-C4420)</f>
        <v>-10.5</v>
      </c>
      <c r="J4420" s="33" t="n">
        <f aca="false">IF(F4420="","",F4420-C4420)</f>
        <v>-10.25</v>
      </c>
      <c r="K4420" s="33" t="n">
        <f aca="false">IF(G4420="","",G4420-C4420)</f>
        <v>-9.14087017599344</v>
      </c>
      <c r="L4420" s="33" t="n">
        <f aca="false">IF(H4420="","",ABS(H4420))</f>
        <v>15</v>
      </c>
      <c r="M4420" s="33" t="n">
        <f aca="false">IF(I4420="","",ABS(I4420))</f>
        <v>10.5</v>
      </c>
      <c r="N4420" s="33" t="n">
        <f aca="false">IF(J4420="","",ABS(J4420))</f>
        <v>10.25</v>
      </c>
      <c r="O4420" s="33" t="n">
        <f aca="false">IF(K4420="","",ABS(K4420))</f>
        <v>9.14087017599344</v>
      </c>
      <c r="P4420" s="34" t="str">
        <f aca="false">IF(B4420&gt;=Eval_Start_Week,"YES","")</f>
        <v/>
      </c>
      <c r="Q4420" s="34" t="str">
        <f aca="false">IF(AND(B4420&gt;=Cal_Start_Week,B4420&lt;=Cal_End_Week),"YES","")</f>
        <v>YES</v>
      </c>
    </row>
    <row r="4421" customFormat="false" ht="15" hidden="false" customHeight="false" outlineLevel="0" collapsed="false">
      <c r="A4421" s="31" t="str">
        <f aca="false">Demand_History!C4421</f>
        <v>CLN-006</v>
      </c>
      <c r="B4421" s="31" t="n">
        <f aca="false">Demand_History!A4421</f>
        <v>52</v>
      </c>
      <c r="C4421" s="32" t="n">
        <f aca="false">Demand_History!D4421</f>
        <v>66</v>
      </c>
      <c r="D4421" s="33" t="n">
        <f aca="false">IF(B4421&gt;=2,C4420,"")</f>
        <v>86</v>
      </c>
      <c r="E4421" s="33" t="n">
        <f aca="false">IF(B4421&gt;=5,AVERAGE(C4417:C4420),"")</f>
        <v>81.5</v>
      </c>
      <c r="F4421" s="33" t="n">
        <f aca="false">IF(B4421&gt;=9,AVERAGE(C4413:C4420),"")</f>
        <v>76.5</v>
      </c>
      <c r="G4421" s="33" t="n">
        <f aca="false">IF(B4421=1,"",IF(B4421=2,C4420,SES_Alpha*C4420+(1-SES_Alpha)*G4420))</f>
        <v>79.6013908768046</v>
      </c>
      <c r="H4421" s="33" t="n">
        <f aca="false">IF(D4421="","",D4421-C4421)</f>
        <v>20</v>
      </c>
      <c r="I4421" s="33" t="n">
        <f aca="false">IF(E4421="","",E4421-C4421)</f>
        <v>15.5</v>
      </c>
      <c r="J4421" s="33" t="n">
        <f aca="false">IF(F4421="","",F4421-C4421)</f>
        <v>10.5</v>
      </c>
      <c r="K4421" s="33" t="n">
        <f aca="false">IF(G4421="","",G4421-C4421)</f>
        <v>13.6013908768046</v>
      </c>
      <c r="L4421" s="33" t="n">
        <f aca="false">IF(H4421="","",ABS(H4421))</f>
        <v>20</v>
      </c>
      <c r="M4421" s="33" t="n">
        <f aca="false">IF(I4421="","",ABS(I4421))</f>
        <v>15.5</v>
      </c>
      <c r="N4421" s="33" t="n">
        <f aca="false">IF(J4421="","",ABS(J4421))</f>
        <v>10.5</v>
      </c>
      <c r="O4421" s="33" t="n">
        <f aca="false">IF(K4421="","",ABS(K4421))</f>
        <v>13.6013908768046</v>
      </c>
      <c r="P4421" s="34" t="str">
        <f aca="false">IF(B4421&gt;=Eval_Start_Week,"YES","")</f>
        <v/>
      </c>
      <c r="Q4421" s="34" t="str">
        <f aca="false">IF(AND(B4421&gt;=Cal_Start_Week,B4421&lt;=Cal_End_Week),"YES","")</f>
        <v>YES</v>
      </c>
    </row>
    <row r="4422" customFormat="false" ht="15" hidden="false" customHeight="false" outlineLevel="0" collapsed="false">
      <c r="A4422" s="31" t="str">
        <f aca="false">Demand_History!C4422</f>
        <v>CLN-006</v>
      </c>
      <c r="B4422" s="31" t="n">
        <f aca="false">Demand_History!A4422</f>
        <v>53</v>
      </c>
      <c r="C4422" s="32" t="n">
        <f aca="false">Demand_History!D4422</f>
        <v>75</v>
      </c>
      <c r="D4422" s="33" t="n">
        <f aca="false">IF(B4422&gt;=2,C4421,"")</f>
        <v>66</v>
      </c>
      <c r="E4422" s="33" t="n">
        <f aca="false">IF(B4422&gt;=5,AVERAGE(C4418:C4421),"")</f>
        <v>79.75</v>
      </c>
      <c r="F4422" s="33" t="n">
        <f aca="false">IF(B4422&gt;=9,AVERAGE(C4414:C4421),"")</f>
        <v>74.75</v>
      </c>
      <c r="G4422" s="33" t="n">
        <f aca="false">IF(B4422=1,"",IF(B4422=2,C4421,SES_Alpha*C4421+(1-SES_Alpha)*G4421))</f>
        <v>75.5209736137632</v>
      </c>
      <c r="H4422" s="33" t="n">
        <f aca="false">IF(D4422="","",D4422-C4422)</f>
        <v>-9</v>
      </c>
      <c r="I4422" s="33" t="n">
        <f aca="false">IF(E4422="","",E4422-C4422)</f>
        <v>4.75</v>
      </c>
      <c r="J4422" s="33" t="n">
        <f aca="false">IF(F4422="","",F4422-C4422)</f>
        <v>-0.25</v>
      </c>
      <c r="K4422" s="33" t="n">
        <f aca="false">IF(G4422="","",G4422-C4422)</f>
        <v>0.520973613763204</v>
      </c>
      <c r="L4422" s="33" t="n">
        <f aca="false">IF(H4422="","",ABS(H4422))</f>
        <v>9</v>
      </c>
      <c r="M4422" s="33" t="n">
        <f aca="false">IF(I4422="","",ABS(I4422))</f>
        <v>4.75</v>
      </c>
      <c r="N4422" s="33" t="n">
        <f aca="false">IF(J4422="","",ABS(J4422))</f>
        <v>0.25</v>
      </c>
      <c r="O4422" s="33" t="n">
        <f aca="false">IF(K4422="","",ABS(K4422))</f>
        <v>0.520973613763204</v>
      </c>
      <c r="P4422" s="34" t="str">
        <f aca="false">IF(B4422&gt;=Eval_Start_Week,"YES","")</f>
        <v>YES</v>
      </c>
      <c r="Q4422" s="34" t="str">
        <f aca="false">IF(AND(B4422&gt;=Cal_Start_Week,B4422&lt;=Cal_End_Week),"YES","")</f>
        <v>YES</v>
      </c>
    </row>
    <row r="4423" customFormat="false" ht="15" hidden="false" customHeight="false" outlineLevel="0" collapsed="false">
      <c r="A4423" s="31" t="str">
        <f aca="false">Demand_History!C4423</f>
        <v>CLN-006</v>
      </c>
      <c r="B4423" s="31" t="n">
        <f aca="false">Demand_History!A4423</f>
        <v>54</v>
      </c>
      <c r="C4423" s="32" t="n">
        <f aca="false">Demand_History!D4423</f>
        <v>69</v>
      </c>
      <c r="D4423" s="33" t="n">
        <f aca="false">IF(B4423&gt;=2,C4422,"")</f>
        <v>75</v>
      </c>
      <c r="E4423" s="33" t="n">
        <f aca="false">IF(B4423&gt;=5,AVERAGE(C4419:C4422),"")</f>
        <v>74.5</v>
      </c>
      <c r="F4423" s="33" t="n">
        <f aca="false">IF(B4423&gt;=9,AVERAGE(C4415:C4422),"")</f>
        <v>76.625</v>
      </c>
      <c r="G4423" s="33" t="n">
        <f aca="false">IF(B4423=1,"",IF(B4423=2,C4422,SES_Alpha*C4422+(1-SES_Alpha)*G4422))</f>
        <v>75.3646815296342</v>
      </c>
      <c r="H4423" s="33" t="n">
        <f aca="false">IF(D4423="","",D4423-C4423)</f>
        <v>6</v>
      </c>
      <c r="I4423" s="33" t="n">
        <f aca="false">IF(E4423="","",E4423-C4423)</f>
        <v>5.5</v>
      </c>
      <c r="J4423" s="33" t="n">
        <f aca="false">IF(F4423="","",F4423-C4423)</f>
        <v>7.625</v>
      </c>
      <c r="K4423" s="33" t="n">
        <f aca="false">IF(G4423="","",G4423-C4423)</f>
        <v>6.36468152963424</v>
      </c>
      <c r="L4423" s="33" t="n">
        <f aca="false">IF(H4423="","",ABS(H4423))</f>
        <v>6</v>
      </c>
      <c r="M4423" s="33" t="n">
        <f aca="false">IF(I4423="","",ABS(I4423))</f>
        <v>5.5</v>
      </c>
      <c r="N4423" s="33" t="n">
        <f aca="false">IF(J4423="","",ABS(J4423))</f>
        <v>7.625</v>
      </c>
      <c r="O4423" s="33" t="n">
        <f aca="false">IF(K4423="","",ABS(K4423))</f>
        <v>6.36468152963424</v>
      </c>
      <c r="P4423" s="34" t="str">
        <f aca="false">IF(B4423&gt;=Eval_Start_Week,"YES","")</f>
        <v>YES</v>
      </c>
      <c r="Q4423" s="34" t="str">
        <f aca="false">IF(AND(B4423&gt;=Cal_Start_Week,B4423&lt;=Cal_End_Week),"YES","")</f>
        <v>YES</v>
      </c>
    </row>
    <row r="4424" customFormat="false" ht="15" hidden="false" customHeight="false" outlineLevel="0" collapsed="false">
      <c r="A4424" s="31" t="str">
        <f aca="false">Demand_History!C4424</f>
        <v>CLN-006</v>
      </c>
      <c r="B4424" s="31" t="n">
        <f aca="false">Demand_History!A4424</f>
        <v>55</v>
      </c>
      <c r="C4424" s="32" t="n">
        <f aca="false">Demand_History!D4424</f>
        <v>72</v>
      </c>
      <c r="D4424" s="33" t="n">
        <f aca="false">IF(B4424&gt;=2,C4423,"")</f>
        <v>69</v>
      </c>
      <c r="E4424" s="33" t="n">
        <f aca="false">IF(B4424&gt;=5,AVERAGE(C4420:C4423),"")</f>
        <v>74</v>
      </c>
      <c r="F4424" s="33" t="n">
        <f aca="false">IF(B4424&gt;=9,AVERAGE(C4416:C4423),"")</f>
        <v>74.75</v>
      </c>
      <c r="G4424" s="33" t="n">
        <f aca="false">IF(B4424=1,"",IF(B4424=2,C4423,SES_Alpha*C4423+(1-SES_Alpha)*G4423))</f>
        <v>73.455277070744</v>
      </c>
      <c r="H4424" s="33" t="n">
        <f aca="false">IF(D4424="","",D4424-C4424)</f>
        <v>-3</v>
      </c>
      <c r="I4424" s="33" t="n">
        <f aca="false">IF(E4424="","",E4424-C4424)</f>
        <v>2</v>
      </c>
      <c r="J4424" s="33" t="n">
        <f aca="false">IF(F4424="","",F4424-C4424)</f>
        <v>2.75</v>
      </c>
      <c r="K4424" s="33" t="n">
        <f aca="false">IF(G4424="","",G4424-C4424)</f>
        <v>1.45527707074396</v>
      </c>
      <c r="L4424" s="33" t="n">
        <f aca="false">IF(H4424="","",ABS(H4424))</f>
        <v>3</v>
      </c>
      <c r="M4424" s="33" t="n">
        <f aca="false">IF(I4424="","",ABS(I4424))</f>
        <v>2</v>
      </c>
      <c r="N4424" s="33" t="n">
        <f aca="false">IF(J4424="","",ABS(J4424))</f>
        <v>2.75</v>
      </c>
      <c r="O4424" s="33" t="n">
        <f aca="false">IF(K4424="","",ABS(K4424))</f>
        <v>1.45527707074396</v>
      </c>
      <c r="P4424" s="34" t="str">
        <f aca="false">IF(B4424&gt;=Eval_Start_Week,"YES","")</f>
        <v>YES</v>
      </c>
      <c r="Q4424" s="34" t="str">
        <f aca="false">IF(AND(B4424&gt;=Cal_Start_Week,B4424&lt;=Cal_End_Week),"YES","")</f>
        <v>YES</v>
      </c>
    </row>
    <row r="4425" customFormat="false" ht="15" hidden="false" customHeight="false" outlineLevel="0" collapsed="false">
      <c r="A4425" s="31" t="str">
        <f aca="false">Demand_History!C4425</f>
        <v>CLN-006</v>
      </c>
      <c r="B4425" s="31" t="n">
        <f aca="false">Demand_History!A4425</f>
        <v>56</v>
      </c>
      <c r="C4425" s="32" t="n">
        <f aca="false">Demand_History!D4425</f>
        <v>59</v>
      </c>
      <c r="D4425" s="33" t="n">
        <f aca="false">IF(B4425&gt;=2,C4424,"")</f>
        <v>72</v>
      </c>
      <c r="E4425" s="33" t="n">
        <f aca="false">IF(B4425&gt;=5,AVERAGE(C4421:C4424),"")</f>
        <v>70.5</v>
      </c>
      <c r="F4425" s="33" t="n">
        <f aca="false">IF(B4425&gt;=9,AVERAGE(C4417:C4424),"")</f>
        <v>76</v>
      </c>
      <c r="G4425" s="33" t="n">
        <f aca="false">IF(B4425=1,"",IF(B4425=2,C4424,SES_Alpha*C4424+(1-SES_Alpha)*G4424))</f>
        <v>73.0186939495208</v>
      </c>
      <c r="H4425" s="33" t="n">
        <f aca="false">IF(D4425="","",D4425-C4425)</f>
        <v>13</v>
      </c>
      <c r="I4425" s="33" t="n">
        <f aca="false">IF(E4425="","",E4425-C4425)</f>
        <v>11.5</v>
      </c>
      <c r="J4425" s="33" t="n">
        <f aca="false">IF(F4425="","",F4425-C4425)</f>
        <v>17</v>
      </c>
      <c r="K4425" s="33" t="n">
        <f aca="false">IF(G4425="","",G4425-C4425)</f>
        <v>14.0186939495208</v>
      </c>
      <c r="L4425" s="33" t="n">
        <f aca="false">IF(H4425="","",ABS(H4425))</f>
        <v>13</v>
      </c>
      <c r="M4425" s="33" t="n">
        <f aca="false">IF(I4425="","",ABS(I4425))</f>
        <v>11.5</v>
      </c>
      <c r="N4425" s="33" t="n">
        <f aca="false">IF(J4425="","",ABS(J4425))</f>
        <v>17</v>
      </c>
      <c r="O4425" s="33" t="n">
        <f aca="false">IF(K4425="","",ABS(K4425))</f>
        <v>14.0186939495208</v>
      </c>
      <c r="P4425" s="34" t="str">
        <f aca="false">IF(B4425&gt;=Eval_Start_Week,"YES","")</f>
        <v>YES</v>
      </c>
      <c r="Q4425" s="34" t="str">
        <f aca="false">IF(AND(B4425&gt;=Cal_Start_Week,B4425&lt;=Cal_End_Week),"YES","")</f>
        <v>YES</v>
      </c>
    </row>
    <row r="4426" customFormat="false" ht="15" hidden="false" customHeight="false" outlineLevel="0" collapsed="false">
      <c r="A4426" s="31" t="str">
        <f aca="false">Demand_History!C4426</f>
        <v>CLN-006</v>
      </c>
      <c r="B4426" s="31" t="n">
        <f aca="false">Demand_History!A4426</f>
        <v>57</v>
      </c>
      <c r="C4426" s="32" t="n">
        <f aca="false">Demand_History!D4426</f>
        <v>58</v>
      </c>
      <c r="D4426" s="33" t="n">
        <f aca="false">IF(B4426&gt;=2,C4425,"")</f>
        <v>59</v>
      </c>
      <c r="E4426" s="33" t="n">
        <f aca="false">IF(B4426&gt;=5,AVERAGE(C4422:C4425),"")</f>
        <v>68.75</v>
      </c>
      <c r="F4426" s="33" t="n">
        <f aca="false">IF(B4426&gt;=9,AVERAGE(C4418:C4425),"")</f>
        <v>74.25</v>
      </c>
      <c r="G4426" s="33" t="n">
        <f aca="false">IF(B4426=1,"",IF(B4426=2,C4425,SES_Alpha*C4425+(1-SES_Alpha)*G4425))</f>
        <v>68.8130857646645</v>
      </c>
      <c r="H4426" s="33" t="n">
        <f aca="false">IF(D4426="","",D4426-C4426)</f>
        <v>1</v>
      </c>
      <c r="I4426" s="33" t="n">
        <f aca="false">IF(E4426="","",E4426-C4426)</f>
        <v>10.75</v>
      </c>
      <c r="J4426" s="33" t="n">
        <f aca="false">IF(F4426="","",F4426-C4426)</f>
        <v>16.25</v>
      </c>
      <c r="K4426" s="33" t="n">
        <f aca="false">IF(G4426="","",G4426-C4426)</f>
        <v>10.8130857646645</v>
      </c>
      <c r="L4426" s="33" t="n">
        <f aca="false">IF(H4426="","",ABS(H4426))</f>
        <v>1</v>
      </c>
      <c r="M4426" s="33" t="n">
        <f aca="false">IF(I4426="","",ABS(I4426))</f>
        <v>10.75</v>
      </c>
      <c r="N4426" s="33" t="n">
        <f aca="false">IF(J4426="","",ABS(J4426))</f>
        <v>16.25</v>
      </c>
      <c r="O4426" s="33" t="n">
        <f aca="false">IF(K4426="","",ABS(K4426))</f>
        <v>10.8130857646645</v>
      </c>
      <c r="P4426" s="34" t="str">
        <f aca="false">IF(B4426&gt;=Eval_Start_Week,"YES","")</f>
        <v>YES</v>
      </c>
      <c r="Q4426" s="34" t="str">
        <f aca="false">IF(AND(B4426&gt;=Cal_Start_Week,B4426&lt;=Cal_End_Week),"YES","")</f>
        <v>YES</v>
      </c>
    </row>
    <row r="4427" customFormat="false" ht="15" hidden="false" customHeight="false" outlineLevel="0" collapsed="false">
      <c r="A4427" s="31" t="str">
        <f aca="false">Demand_History!C4427</f>
        <v>CLN-006</v>
      </c>
      <c r="B4427" s="31" t="n">
        <f aca="false">Demand_History!A4427</f>
        <v>58</v>
      </c>
      <c r="C4427" s="32" t="n">
        <f aca="false">Demand_History!D4427</f>
        <v>70</v>
      </c>
      <c r="D4427" s="33" t="n">
        <f aca="false">IF(B4427&gt;=2,C4426,"")</f>
        <v>58</v>
      </c>
      <c r="E4427" s="33" t="n">
        <f aca="false">IF(B4427&gt;=5,AVERAGE(C4423:C4426),"")</f>
        <v>64.5</v>
      </c>
      <c r="F4427" s="33" t="n">
        <f aca="false">IF(B4427&gt;=9,AVERAGE(C4419:C4426),"")</f>
        <v>69.5</v>
      </c>
      <c r="G4427" s="33" t="n">
        <f aca="false">IF(B4427=1,"",IF(B4427=2,C4426,SES_Alpha*C4426+(1-SES_Alpha)*G4426))</f>
        <v>65.5691600352652</v>
      </c>
      <c r="H4427" s="33" t="n">
        <f aca="false">IF(D4427="","",D4427-C4427)</f>
        <v>-12</v>
      </c>
      <c r="I4427" s="33" t="n">
        <f aca="false">IF(E4427="","",E4427-C4427)</f>
        <v>-5.5</v>
      </c>
      <c r="J4427" s="33" t="n">
        <f aca="false">IF(F4427="","",F4427-C4427)</f>
        <v>-0.5</v>
      </c>
      <c r="K4427" s="33" t="n">
        <f aca="false">IF(G4427="","",G4427-C4427)</f>
        <v>-4.43083996473483</v>
      </c>
      <c r="L4427" s="33" t="n">
        <f aca="false">IF(H4427="","",ABS(H4427))</f>
        <v>12</v>
      </c>
      <c r="M4427" s="33" t="n">
        <f aca="false">IF(I4427="","",ABS(I4427))</f>
        <v>5.5</v>
      </c>
      <c r="N4427" s="33" t="n">
        <f aca="false">IF(J4427="","",ABS(J4427))</f>
        <v>0.5</v>
      </c>
      <c r="O4427" s="33" t="n">
        <f aca="false">IF(K4427="","",ABS(K4427))</f>
        <v>4.43083996473483</v>
      </c>
      <c r="P4427" s="34" t="str">
        <f aca="false">IF(B4427&gt;=Eval_Start_Week,"YES","")</f>
        <v>YES</v>
      </c>
      <c r="Q4427" s="34" t="str">
        <f aca="false">IF(AND(B4427&gt;=Cal_Start_Week,B4427&lt;=Cal_End_Week),"YES","")</f>
        <v>YES</v>
      </c>
    </row>
    <row r="4428" customFormat="false" ht="15" hidden="false" customHeight="false" outlineLevel="0" collapsed="false">
      <c r="A4428" s="31" t="str">
        <f aca="false">Demand_History!C4428</f>
        <v>CLN-006</v>
      </c>
      <c r="B4428" s="31" t="n">
        <f aca="false">Demand_History!A4428</f>
        <v>59</v>
      </c>
      <c r="C4428" s="32" t="n">
        <f aca="false">Demand_History!D4428</f>
        <v>52</v>
      </c>
      <c r="D4428" s="33" t="n">
        <f aca="false">IF(B4428&gt;=2,C4427,"")</f>
        <v>70</v>
      </c>
      <c r="E4428" s="33" t="n">
        <f aca="false">IF(B4428&gt;=5,AVERAGE(C4424:C4427),"")</f>
        <v>64.75</v>
      </c>
      <c r="F4428" s="33" t="n">
        <f aca="false">IF(B4428&gt;=9,AVERAGE(C4420:C4427),"")</f>
        <v>69.375</v>
      </c>
      <c r="G4428" s="33" t="n">
        <f aca="false">IF(B4428=1,"",IF(B4428=2,C4427,SES_Alpha*C4427+(1-SES_Alpha)*G4427))</f>
        <v>66.8984120246856</v>
      </c>
      <c r="H4428" s="33" t="n">
        <f aca="false">IF(D4428="","",D4428-C4428)</f>
        <v>18</v>
      </c>
      <c r="I4428" s="33" t="n">
        <f aca="false">IF(E4428="","",E4428-C4428)</f>
        <v>12.75</v>
      </c>
      <c r="J4428" s="33" t="n">
        <f aca="false">IF(F4428="","",F4428-C4428)</f>
        <v>17.375</v>
      </c>
      <c r="K4428" s="33" t="n">
        <f aca="false">IF(G4428="","",G4428-C4428)</f>
        <v>14.8984120246856</v>
      </c>
      <c r="L4428" s="33" t="n">
        <f aca="false">IF(H4428="","",ABS(H4428))</f>
        <v>18</v>
      </c>
      <c r="M4428" s="33" t="n">
        <f aca="false">IF(I4428="","",ABS(I4428))</f>
        <v>12.75</v>
      </c>
      <c r="N4428" s="33" t="n">
        <f aca="false">IF(J4428="","",ABS(J4428))</f>
        <v>17.375</v>
      </c>
      <c r="O4428" s="33" t="n">
        <f aca="false">IF(K4428="","",ABS(K4428))</f>
        <v>14.8984120246856</v>
      </c>
      <c r="P4428" s="34" t="str">
        <f aca="false">IF(B4428&gt;=Eval_Start_Week,"YES","")</f>
        <v>YES</v>
      </c>
      <c r="Q4428" s="34" t="str">
        <f aca="false">IF(AND(B4428&gt;=Cal_Start_Week,B4428&lt;=Cal_End_Week),"YES","")</f>
        <v>YES</v>
      </c>
    </row>
    <row r="4429" customFormat="false" ht="15" hidden="false" customHeight="false" outlineLevel="0" collapsed="false">
      <c r="A4429" s="31" t="str">
        <f aca="false">Demand_History!C4429</f>
        <v>CLN-006</v>
      </c>
      <c r="B4429" s="31" t="n">
        <f aca="false">Demand_History!A4429</f>
        <v>60</v>
      </c>
      <c r="C4429" s="32" t="n">
        <f aca="false">Demand_History!D4429</f>
        <v>58</v>
      </c>
      <c r="D4429" s="33" t="n">
        <f aca="false">IF(B4429&gt;=2,C4428,"")</f>
        <v>52</v>
      </c>
      <c r="E4429" s="33" t="n">
        <f aca="false">IF(B4429&gt;=5,AVERAGE(C4425:C4428),"")</f>
        <v>59.75</v>
      </c>
      <c r="F4429" s="33" t="n">
        <f aca="false">IF(B4429&gt;=9,AVERAGE(C4421:C4428),"")</f>
        <v>65.125</v>
      </c>
      <c r="G4429" s="33" t="n">
        <f aca="false">IF(B4429=1,"",IF(B4429=2,C4428,SES_Alpha*C4428+(1-SES_Alpha)*G4428))</f>
        <v>62.4288884172799</v>
      </c>
      <c r="H4429" s="33" t="n">
        <f aca="false">IF(D4429="","",D4429-C4429)</f>
        <v>-6</v>
      </c>
      <c r="I4429" s="33" t="n">
        <f aca="false">IF(E4429="","",E4429-C4429)</f>
        <v>1.75</v>
      </c>
      <c r="J4429" s="33" t="n">
        <f aca="false">IF(F4429="","",F4429-C4429)</f>
        <v>7.125</v>
      </c>
      <c r="K4429" s="33" t="n">
        <f aca="false">IF(G4429="","",G4429-C4429)</f>
        <v>4.42888841727994</v>
      </c>
      <c r="L4429" s="33" t="n">
        <f aca="false">IF(H4429="","",ABS(H4429))</f>
        <v>6</v>
      </c>
      <c r="M4429" s="33" t="n">
        <f aca="false">IF(I4429="","",ABS(I4429))</f>
        <v>1.75</v>
      </c>
      <c r="N4429" s="33" t="n">
        <f aca="false">IF(J4429="","",ABS(J4429))</f>
        <v>7.125</v>
      </c>
      <c r="O4429" s="33" t="n">
        <f aca="false">IF(K4429="","",ABS(K4429))</f>
        <v>4.42888841727994</v>
      </c>
      <c r="P4429" s="34" t="str">
        <f aca="false">IF(B4429&gt;=Eval_Start_Week,"YES","")</f>
        <v>YES</v>
      </c>
      <c r="Q4429" s="34" t="str">
        <f aca="false">IF(AND(B4429&gt;=Cal_Start_Week,B4429&lt;=Cal_End_Week),"YES","")</f>
        <v>YES</v>
      </c>
    </row>
    <row r="4430" customFormat="false" ht="15" hidden="false" customHeight="false" outlineLevel="0" collapsed="false">
      <c r="A4430" s="31" t="str">
        <f aca="false">Demand_History!C4430</f>
        <v>CLN-006</v>
      </c>
      <c r="B4430" s="31" t="n">
        <f aca="false">Demand_History!A4430</f>
        <v>61</v>
      </c>
      <c r="C4430" s="32" t="n">
        <f aca="false">Demand_History!D4430</f>
        <v>71</v>
      </c>
      <c r="D4430" s="33" t="n">
        <f aca="false">IF(B4430&gt;=2,C4429,"")</f>
        <v>58</v>
      </c>
      <c r="E4430" s="33" t="n">
        <f aca="false">IF(B4430&gt;=5,AVERAGE(C4426:C4429),"")</f>
        <v>59.5</v>
      </c>
      <c r="F4430" s="33" t="n">
        <f aca="false">IF(B4430&gt;=9,AVERAGE(C4422:C4429),"")</f>
        <v>64.125</v>
      </c>
      <c r="G4430" s="33" t="n">
        <f aca="false">IF(B4430=1,"",IF(B4430=2,C4429,SES_Alpha*C4429+(1-SES_Alpha)*G4429))</f>
        <v>61.100221892096</v>
      </c>
      <c r="H4430" s="33" t="n">
        <f aca="false">IF(D4430="","",D4430-C4430)</f>
        <v>-13</v>
      </c>
      <c r="I4430" s="33" t="n">
        <f aca="false">IF(E4430="","",E4430-C4430)</f>
        <v>-11.5</v>
      </c>
      <c r="J4430" s="33" t="n">
        <f aca="false">IF(F4430="","",F4430-C4430)</f>
        <v>-6.875</v>
      </c>
      <c r="K4430" s="33" t="n">
        <f aca="false">IF(G4430="","",G4430-C4430)</f>
        <v>-9.89977810790405</v>
      </c>
      <c r="L4430" s="33" t="n">
        <f aca="false">IF(H4430="","",ABS(H4430))</f>
        <v>13</v>
      </c>
      <c r="M4430" s="33" t="n">
        <f aca="false">IF(I4430="","",ABS(I4430))</f>
        <v>11.5</v>
      </c>
      <c r="N4430" s="33" t="n">
        <f aca="false">IF(J4430="","",ABS(J4430))</f>
        <v>6.875</v>
      </c>
      <c r="O4430" s="33" t="n">
        <f aca="false">IF(K4430="","",ABS(K4430))</f>
        <v>9.89977810790405</v>
      </c>
      <c r="P4430" s="34" t="str">
        <f aca="false">IF(B4430&gt;=Eval_Start_Week,"YES","")</f>
        <v>YES</v>
      </c>
      <c r="Q4430" s="34" t="str">
        <f aca="false">IF(AND(B4430&gt;=Cal_Start_Week,B4430&lt;=Cal_End_Week),"YES","")</f>
        <v>YES</v>
      </c>
    </row>
    <row r="4431" customFormat="false" ht="15" hidden="false" customHeight="false" outlineLevel="0" collapsed="false">
      <c r="A4431" s="31" t="str">
        <f aca="false">Demand_History!C4431</f>
        <v>CLN-006</v>
      </c>
      <c r="B4431" s="31" t="n">
        <f aca="false">Demand_History!A4431</f>
        <v>62</v>
      </c>
      <c r="C4431" s="32" t="n">
        <f aca="false">Demand_History!D4431</f>
        <v>59</v>
      </c>
      <c r="D4431" s="33" t="n">
        <f aca="false">IF(B4431&gt;=2,C4430,"")</f>
        <v>71</v>
      </c>
      <c r="E4431" s="33" t="n">
        <f aca="false">IF(B4431&gt;=5,AVERAGE(C4427:C4430),"")</f>
        <v>62.75</v>
      </c>
      <c r="F4431" s="33" t="n">
        <f aca="false">IF(B4431&gt;=9,AVERAGE(C4423:C4430),"")</f>
        <v>63.625</v>
      </c>
      <c r="G4431" s="33" t="n">
        <f aca="false">IF(B4431=1,"",IF(B4431=2,C4430,SES_Alpha*C4430+(1-SES_Alpha)*G4430))</f>
        <v>64.0701553244672</v>
      </c>
      <c r="H4431" s="33" t="n">
        <f aca="false">IF(D4431="","",D4431-C4431)</f>
        <v>12</v>
      </c>
      <c r="I4431" s="33" t="n">
        <f aca="false">IF(E4431="","",E4431-C4431)</f>
        <v>3.75</v>
      </c>
      <c r="J4431" s="33" t="n">
        <f aca="false">IF(F4431="","",F4431-C4431)</f>
        <v>4.625</v>
      </c>
      <c r="K4431" s="33" t="n">
        <f aca="false">IF(G4431="","",G4431-C4431)</f>
        <v>5.07015532446717</v>
      </c>
      <c r="L4431" s="33" t="n">
        <f aca="false">IF(H4431="","",ABS(H4431))</f>
        <v>12</v>
      </c>
      <c r="M4431" s="33" t="n">
        <f aca="false">IF(I4431="","",ABS(I4431))</f>
        <v>3.75</v>
      </c>
      <c r="N4431" s="33" t="n">
        <f aca="false">IF(J4431="","",ABS(J4431))</f>
        <v>4.625</v>
      </c>
      <c r="O4431" s="33" t="n">
        <f aca="false">IF(K4431="","",ABS(K4431))</f>
        <v>5.07015532446717</v>
      </c>
      <c r="P4431" s="34" t="str">
        <f aca="false">IF(B4431&gt;=Eval_Start_Week,"YES","")</f>
        <v>YES</v>
      </c>
      <c r="Q4431" s="34" t="str">
        <f aca="false">IF(AND(B4431&gt;=Cal_Start_Week,B4431&lt;=Cal_End_Week),"YES","")</f>
        <v>YES</v>
      </c>
    </row>
    <row r="4432" customFormat="false" ht="15" hidden="false" customHeight="false" outlineLevel="0" collapsed="false">
      <c r="A4432" s="31" t="str">
        <f aca="false">Demand_History!C4432</f>
        <v>CLN-006</v>
      </c>
      <c r="B4432" s="31" t="n">
        <f aca="false">Demand_History!A4432</f>
        <v>63</v>
      </c>
      <c r="C4432" s="32" t="n">
        <f aca="false">Demand_History!D4432</f>
        <v>56</v>
      </c>
      <c r="D4432" s="33" t="n">
        <f aca="false">IF(B4432&gt;=2,C4431,"")</f>
        <v>59</v>
      </c>
      <c r="E4432" s="33" t="n">
        <f aca="false">IF(B4432&gt;=5,AVERAGE(C4428:C4431),"")</f>
        <v>60</v>
      </c>
      <c r="F4432" s="33" t="n">
        <f aca="false">IF(B4432&gt;=9,AVERAGE(C4424:C4431),"")</f>
        <v>62.375</v>
      </c>
      <c r="G4432" s="33" t="n">
        <f aca="false">IF(B4432=1,"",IF(B4432=2,C4431,SES_Alpha*C4431+(1-SES_Alpha)*G4431))</f>
        <v>62.549108727127</v>
      </c>
      <c r="H4432" s="33" t="n">
        <f aca="false">IF(D4432="","",D4432-C4432)</f>
        <v>3</v>
      </c>
      <c r="I4432" s="33" t="n">
        <f aca="false">IF(E4432="","",E4432-C4432)</f>
        <v>4</v>
      </c>
      <c r="J4432" s="33" t="n">
        <f aca="false">IF(F4432="","",F4432-C4432)</f>
        <v>6.375</v>
      </c>
      <c r="K4432" s="33" t="n">
        <f aca="false">IF(G4432="","",G4432-C4432)</f>
        <v>6.54910872712701</v>
      </c>
      <c r="L4432" s="33" t="n">
        <f aca="false">IF(H4432="","",ABS(H4432))</f>
        <v>3</v>
      </c>
      <c r="M4432" s="33" t="n">
        <f aca="false">IF(I4432="","",ABS(I4432))</f>
        <v>4</v>
      </c>
      <c r="N4432" s="33" t="n">
        <f aca="false">IF(J4432="","",ABS(J4432))</f>
        <v>6.375</v>
      </c>
      <c r="O4432" s="33" t="n">
        <f aca="false">IF(K4432="","",ABS(K4432))</f>
        <v>6.54910872712701</v>
      </c>
      <c r="P4432" s="34" t="str">
        <f aca="false">IF(B4432&gt;=Eval_Start_Week,"YES","")</f>
        <v>YES</v>
      </c>
      <c r="Q4432" s="34" t="str">
        <f aca="false">IF(AND(B4432&gt;=Cal_Start_Week,B4432&lt;=Cal_End_Week),"YES","")</f>
        <v>YES</v>
      </c>
    </row>
    <row r="4433" customFormat="false" ht="15" hidden="false" customHeight="false" outlineLevel="0" collapsed="false">
      <c r="A4433" s="31" t="str">
        <f aca="false">Demand_History!C4433</f>
        <v>CLN-006</v>
      </c>
      <c r="B4433" s="31" t="n">
        <f aca="false">Demand_History!A4433</f>
        <v>64</v>
      </c>
      <c r="C4433" s="32" t="n">
        <f aca="false">Demand_History!D4433</f>
        <v>54</v>
      </c>
      <c r="D4433" s="33" t="n">
        <f aca="false">IF(B4433&gt;=2,C4432,"")</f>
        <v>56</v>
      </c>
      <c r="E4433" s="33" t="n">
        <f aca="false">IF(B4433&gt;=5,AVERAGE(C4429:C4432),"")</f>
        <v>61</v>
      </c>
      <c r="F4433" s="33" t="n">
        <f aca="false">IF(B4433&gt;=9,AVERAGE(C4425:C4432),"")</f>
        <v>60.375</v>
      </c>
      <c r="G4433" s="33" t="n">
        <f aca="false">IF(B4433=1,"",IF(B4433=2,C4432,SES_Alpha*C4432+(1-SES_Alpha)*G4432))</f>
        <v>60.5843761089889</v>
      </c>
      <c r="H4433" s="33" t="n">
        <f aca="false">IF(D4433="","",D4433-C4433)</f>
        <v>2</v>
      </c>
      <c r="I4433" s="33" t="n">
        <f aca="false">IF(E4433="","",E4433-C4433)</f>
        <v>7</v>
      </c>
      <c r="J4433" s="33" t="n">
        <f aca="false">IF(F4433="","",F4433-C4433)</f>
        <v>6.375</v>
      </c>
      <c r="K4433" s="33" t="n">
        <f aca="false">IF(G4433="","",G4433-C4433)</f>
        <v>6.58437610898891</v>
      </c>
      <c r="L4433" s="33" t="n">
        <f aca="false">IF(H4433="","",ABS(H4433))</f>
        <v>2</v>
      </c>
      <c r="M4433" s="33" t="n">
        <f aca="false">IF(I4433="","",ABS(I4433))</f>
        <v>7</v>
      </c>
      <c r="N4433" s="33" t="n">
        <f aca="false">IF(J4433="","",ABS(J4433))</f>
        <v>6.375</v>
      </c>
      <c r="O4433" s="33" t="n">
        <f aca="false">IF(K4433="","",ABS(K4433))</f>
        <v>6.58437610898891</v>
      </c>
      <c r="P4433" s="34" t="str">
        <f aca="false">IF(B4433&gt;=Eval_Start_Week,"YES","")</f>
        <v>YES</v>
      </c>
      <c r="Q4433" s="34" t="str">
        <f aca="false">IF(AND(B4433&gt;=Cal_Start_Week,B4433&lt;=Cal_End_Week),"YES","")</f>
        <v>YES</v>
      </c>
    </row>
    <row r="4434" customFormat="false" ht="15" hidden="false" customHeight="false" outlineLevel="0" collapsed="false">
      <c r="A4434" s="31" t="str">
        <f aca="false">Demand_History!C4434</f>
        <v>CLN-006</v>
      </c>
      <c r="B4434" s="31" t="n">
        <f aca="false">Demand_History!A4434</f>
        <v>65</v>
      </c>
      <c r="C4434" s="32" t="n">
        <f aca="false">Demand_History!D4434</f>
        <v>64</v>
      </c>
      <c r="D4434" s="33" t="n">
        <f aca="false">IF(B4434&gt;=2,C4433,"")</f>
        <v>54</v>
      </c>
      <c r="E4434" s="33" t="n">
        <f aca="false">IF(B4434&gt;=5,AVERAGE(C4430:C4433),"")</f>
        <v>60</v>
      </c>
      <c r="F4434" s="33" t="n">
        <f aca="false">IF(B4434&gt;=9,AVERAGE(C4426:C4433),"")</f>
        <v>59.75</v>
      </c>
      <c r="G4434" s="33" t="n">
        <f aca="false">IF(B4434=1,"",IF(B4434=2,C4433,SES_Alpha*C4433+(1-SES_Alpha)*G4433))</f>
        <v>58.6090632762922</v>
      </c>
      <c r="H4434" s="33" t="n">
        <f aca="false">IF(D4434="","",D4434-C4434)</f>
        <v>-10</v>
      </c>
      <c r="I4434" s="33" t="n">
        <f aca="false">IF(E4434="","",E4434-C4434)</f>
        <v>-4</v>
      </c>
      <c r="J4434" s="33" t="n">
        <f aca="false">IF(F4434="","",F4434-C4434)</f>
        <v>-4.25</v>
      </c>
      <c r="K4434" s="33" t="n">
        <f aca="false">IF(G4434="","",G4434-C4434)</f>
        <v>-5.39093672370777</v>
      </c>
      <c r="L4434" s="33" t="n">
        <f aca="false">IF(H4434="","",ABS(H4434))</f>
        <v>10</v>
      </c>
      <c r="M4434" s="33" t="n">
        <f aca="false">IF(I4434="","",ABS(I4434))</f>
        <v>4</v>
      </c>
      <c r="N4434" s="33" t="n">
        <f aca="false">IF(J4434="","",ABS(J4434))</f>
        <v>4.25</v>
      </c>
      <c r="O4434" s="33" t="n">
        <f aca="false">IF(K4434="","",ABS(K4434))</f>
        <v>5.39093672370777</v>
      </c>
      <c r="P4434" s="34" t="str">
        <f aca="false">IF(B4434&gt;=Eval_Start_Week,"YES","")</f>
        <v>YES</v>
      </c>
      <c r="Q4434" s="34" t="str">
        <f aca="false">IF(AND(B4434&gt;=Cal_Start_Week,B4434&lt;=Cal_End_Week),"YES","")</f>
        <v>YES</v>
      </c>
    </row>
    <row r="4435" customFormat="false" ht="15" hidden="false" customHeight="false" outlineLevel="0" collapsed="false">
      <c r="A4435" s="31" t="str">
        <f aca="false">Demand_History!C4435</f>
        <v>CLN-006</v>
      </c>
      <c r="B4435" s="31" t="n">
        <f aca="false">Demand_History!A4435</f>
        <v>66</v>
      </c>
      <c r="C4435" s="32" t="n">
        <f aca="false">Demand_History!D4435</f>
        <v>60</v>
      </c>
      <c r="D4435" s="33" t="n">
        <f aca="false">IF(B4435&gt;=2,C4434,"")</f>
        <v>64</v>
      </c>
      <c r="E4435" s="33" t="n">
        <f aca="false">IF(B4435&gt;=5,AVERAGE(C4431:C4434),"")</f>
        <v>58.25</v>
      </c>
      <c r="F4435" s="33" t="n">
        <f aca="false">IF(B4435&gt;=9,AVERAGE(C4427:C4434),"")</f>
        <v>60.5</v>
      </c>
      <c r="G4435" s="33" t="n">
        <f aca="false">IF(B4435=1,"",IF(B4435=2,C4434,SES_Alpha*C4434+(1-SES_Alpha)*G4434))</f>
        <v>60.2263442934046</v>
      </c>
      <c r="H4435" s="33" t="n">
        <f aca="false">IF(D4435="","",D4435-C4435)</f>
        <v>4</v>
      </c>
      <c r="I4435" s="33" t="n">
        <f aca="false">IF(E4435="","",E4435-C4435)</f>
        <v>-1.75</v>
      </c>
      <c r="J4435" s="33" t="n">
        <f aca="false">IF(F4435="","",F4435-C4435)</f>
        <v>0.5</v>
      </c>
      <c r="K4435" s="33" t="n">
        <f aca="false">IF(G4435="","",G4435-C4435)</f>
        <v>0.226344293404566</v>
      </c>
      <c r="L4435" s="33" t="n">
        <f aca="false">IF(H4435="","",ABS(H4435))</f>
        <v>4</v>
      </c>
      <c r="M4435" s="33" t="n">
        <f aca="false">IF(I4435="","",ABS(I4435))</f>
        <v>1.75</v>
      </c>
      <c r="N4435" s="33" t="n">
        <f aca="false">IF(J4435="","",ABS(J4435))</f>
        <v>0.5</v>
      </c>
      <c r="O4435" s="33" t="n">
        <f aca="false">IF(K4435="","",ABS(K4435))</f>
        <v>0.226344293404566</v>
      </c>
      <c r="P4435" s="34" t="str">
        <f aca="false">IF(B4435&gt;=Eval_Start_Week,"YES","")</f>
        <v>YES</v>
      </c>
      <c r="Q4435" s="34" t="str">
        <f aca="false">IF(AND(B4435&gt;=Cal_Start_Week,B4435&lt;=Cal_End_Week),"YES","")</f>
        <v>YES</v>
      </c>
    </row>
    <row r="4436" customFormat="false" ht="15" hidden="false" customHeight="false" outlineLevel="0" collapsed="false">
      <c r="A4436" s="31" t="str">
        <f aca="false">Demand_History!C4436</f>
        <v>CLN-006</v>
      </c>
      <c r="B4436" s="31" t="n">
        <f aca="false">Demand_History!A4436</f>
        <v>67</v>
      </c>
      <c r="C4436" s="32" t="n">
        <f aca="false">Demand_History!D4436</f>
        <v>64</v>
      </c>
      <c r="D4436" s="33" t="n">
        <f aca="false">IF(B4436&gt;=2,C4435,"")</f>
        <v>60</v>
      </c>
      <c r="E4436" s="33" t="n">
        <f aca="false">IF(B4436&gt;=5,AVERAGE(C4432:C4435),"")</f>
        <v>58.5</v>
      </c>
      <c r="F4436" s="33" t="n">
        <f aca="false">IF(B4436&gt;=9,AVERAGE(C4428:C4435),"")</f>
        <v>59.25</v>
      </c>
      <c r="G4436" s="33" t="n">
        <f aca="false">IF(B4436=1,"",IF(B4436=2,C4435,SES_Alpha*C4435+(1-SES_Alpha)*G4435))</f>
        <v>60.1584410053832</v>
      </c>
      <c r="H4436" s="33" t="n">
        <f aca="false">IF(D4436="","",D4436-C4436)</f>
        <v>-4</v>
      </c>
      <c r="I4436" s="33" t="n">
        <f aca="false">IF(E4436="","",E4436-C4436)</f>
        <v>-5.5</v>
      </c>
      <c r="J4436" s="33" t="n">
        <f aca="false">IF(F4436="","",F4436-C4436)</f>
        <v>-4.75</v>
      </c>
      <c r="K4436" s="33" t="n">
        <f aca="false">IF(G4436="","",G4436-C4436)</f>
        <v>-3.8415589946168</v>
      </c>
      <c r="L4436" s="33" t="n">
        <f aca="false">IF(H4436="","",ABS(H4436))</f>
        <v>4</v>
      </c>
      <c r="M4436" s="33" t="n">
        <f aca="false">IF(I4436="","",ABS(I4436))</f>
        <v>5.5</v>
      </c>
      <c r="N4436" s="33" t="n">
        <f aca="false">IF(J4436="","",ABS(J4436))</f>
        <v>4.75</v>
      </c>
      <c r="O4436" s="33" t="n">
        <f aca="false">IF(K4436="","",ABS(K4436))</f>
        <v>3.8415589946168</v>
      </c>
      <c r="P4436" s="34" t="str">
        <f aca="false">IF(B4436&gt;=Eval_Start_Week,"YES","")</f>
        <v>YES</v>
      </c>
      <c r="Q4436" s="34" t="str">
        <f aca="false">IF(AND(B4436&gt;=Cal_Start_Week,B4436&lt;=Cal_End_Week),"YES","")</f>
        <v>YES</v>
      </c>
    </row>
    <row r="4437" customFormat="false" ht="15" hidden="false" customHeight="false" outlineLevel="0" collapsed="false">
      <c r="A4437" s="31" t="str">
        <f aca="false">Demand_History!C4437</f>
        <v>CLN-006</v>
      </c>
      <c r="B4437" s="31" t="n">
        <f aca="false">Demand_History!A4437</f>
        <v>68</v>
      </c>
      <c r="C4437" s="32" t="n">
        <f aca="false">Demand_History!D4437</f>
        <v>60</v>
      </c>
      <c r="D4437" s="33" t="n">
        <f aca="false">IF(B4437&gt;=2,C4436,"")</f>
        <v>64</v>
      </c>
      <c r="E4437" s="33" t="n">
        <f aca="false">IF(B4437&gt;=5,AVERAGE(C4433:C4436),"")</f>
        <v>60.5</v>
      </c>
      <c r="F4437" s="33" t="n">
        <f aca="false">IF(B4437&gt;=9,AVERAGE(C4429:C4436),"")</f>
        <v>60.75</v>
      </c>
      <c r="G4437" s="33" t="n">
        <f aca="false">IF(B4437=1,"",IF(B4437=2,C4436,SES_Alpha*C4436+(1-SES_Alpha)*G4436))</f>
        <v>61.3109087037682</v>
      </c>
      <c r="H4437" s="33" t="n">
        <f aca="false">IF(D4437="","",D4437-C4437)</f>
        <v>4</v>
      </c>
      <c r="I4437" s="33" t="n">
        <f aca="false">IF(E4437="","",E4437-C4437)</f>
        <v>0.5</v>
      </c>
      <c r="J4437" s="33" t="n">
        <f aca="false">IF(F4437="","",F4437-C4437)</f>
        <v>0.75</v>
      </c>
      <c r="K4437" s="33" t="n">
        <f aca="false">IF(G4437="","",G4437-C4437)</f>
        <v>1.31090870376823</v>
      </c>
      <c r="L4437" s="33" t="n">
        <f aca="false">IF(H4437="","",ABS(H4437))</f>
        <v>4</v>
      </c>
      <c r="M4437" s="33" t="n">
        <f aca="false">IF(I4437="","",ABS(I4437))</f>
        <v>0.5</v>
      </c>
      <c r="N4437" s="33" t="n">
        <f aca="false">IF(J4437="","",ABS(J4437))</f>
        <v>0.75</v>
      </c>
      <c r="O4437" s="33" t="n">
        <f aca="false">IF(K4437="","",ABS(K4437))</f>
        <v>1.31090870376823</v>
      </c>
      <c r="P4437" s="34" t="str">
        <f aca="false">IF(B4437&gt;=Eval_Start_Week,"YES","")</f>
        <v>YES</v>
      </c>
      <c r="Q4437" s="34" t="str">
        <f aca="false">IF(AND(B4437&gt;=Cal_Start_Week,B4437&lt;=Cal_End_Week),"YES","")</f>
        <v>YES</v>
      </c>
    </row>
    <row r="4438" customFormat="false" ht="15" hidden="false" customHeight="false" outlineLevel="0" collapsed="false">
      <c r="A4438" s="31" t="str">
        <f aca="false">Demand_History!C4438</f>
        <v>CLN-006</v>
      </c>
      <c r="B4438" s="31" t="n">
        <f aca="false">Demand_History!A4438</f>
        <v>69</v>
      </c>
      <c r="C4438" s="32" t="n">
        <f aca="false">Demand_History!D4438</f>
        <v>77</v>
      </c>
      <c r="D4438" s="33" t="n">
        <f aca="false">IF(B4438&gt;=2,C4437,"")</f>
        <v>60</v>
      </c>
      <c r="E4438" s="33" t="n">
        <f aca="false">IF(B4438&gt;=5,AVERAGE(C4434:C4437),"")</f>
        <v>62</v>
      </c>
      <c r="F4438" s="33" t="n">
        <f aca="false">IF(B4438&gt;=9,AVERAGE(C4430:C4437),"")</f>
        <v>61</v>
      </c>
      <c r="G4438" s="33" t="n">
        <f aca="false">IF(B4438=1,"",IF(B4438=2,C4437,SES_Alpha*C4437+(1-SES_Alpha)*G4437))</f>
        <v>60.9176360926378</v>
      </c>
      <c r="H4438" s="33" t="n">
        <f aca="false">IF(D4438="","",D4438-C4438)</f>
        <v>-17</v>
      </c>
      <c r="I4438" s="33" t="n">
        <f aca="false">IF(E4438="","",E4438-C4438)</f>
        <v>-15</v>
      </c>
      <c r="J4438" s="33" t="n">
        <f aca="false">IF(F4438="","",F4438-C4438)</f>
        <v>-16</v>
      </c>
      <c r="K4438" s="33" t="n">
        <f aca="false">IF(G4438="","",G4438-C4438)</f>
        <v>-16.0823639073622</v>
      </c>
      <c r="L4438" s="33" t="n">
        <f aca="false">IF(H4438="","",ABS(H4438))</f>
        <v>17</v>
      </c>
      <c r="M4438" s="33" t="n">
        <f aca="false">IF(I4438="","",ABS(I4438))</f>
        <v>15</v>
      </c>
      <c r="N4438" s="33" t="n">
        <f aca="false">IF(J4438="","",ABS(J4438))</f>
        <v>16</v>
      </c>
      <c r="O4438" s="33" t="n">
        <f aca="false">IF(K4438="","",ABS(K4438))</f>
        <v>16.0823639073622</v>
      </c>
      <c r="P4438" s="34" t="str">
        <f aca="false">IF(B4438&gt;=Eval_Start_Week,"YES","")</f>
        <v>YES</v>
      </c>
      <c r="Q4438" s="34" t="str">
        <f aca="false">IF(AND(B4438&gt;=Cal_Start_Week,B4438&lt;=Cal_End_Week),"YES","")</f>
        <v>YES</v>
      </c>
    </row>
    <row r="4439" customFormat="false" ht="15" hidden="false" customHeight="false" outlineLevel="0" collapsed="false">
      <c r="A4439" s="31" t="str">
        <f aca="false">Demand_History!C4439</f>
        <v>CLN-006</v>
      </c>
      <c r="B4439" s="31" t="n">
        <f aca="false">Demand_History!A4439</f>
        <v>70</v>
      </c>
      <c r="C4439" s="32" t="n">
        <f aca="false">Demand_History!D4439</f>
        <v>57</v>
      </c>
      <c r="D4439" s="33" t="n">
        <f aca="false">IF(B4439&gt;=2,C4438,"")</f>
        <v>77</v>
      </c>
      <c r="E4439" s="33" t="n">
        <f aca="false">IF(B4439&gt;=5,AVERAGE(C4435:C4438),"")</f>
        <v>65.25</v>
      </c>
      <c r="F4439" s="33" t="n">
        <f aca="false">IF(B4439&gt;=9,AVERAGE(C4431:C4438),"")</f>
        <v>61.75</v>
      </c>
      <c r="G4439" s="33" t="n">
        <f aca="false">IF(B4439=1,"",IF(B4439=2,C4438,SES_Alpha*C4438+(1-SES_Alpha)*G4438))</f>
        <v>65.7423452648464</v>
      </c>
      <c r="H4439" s="33" t="n">
        <f aca="false">IF(D4439="","",D4439-C4439)</f>
        <v>20</v>
      </c>
      <c r="I4439" s="33" t="n">
        <f aca="false">IF(E4439="","",E4439-C4439)</f>
        <v>8.25</v>
      </c>
      <c r="J4439" s="33" t="n">
        <f aca="false">IF(F4439="","",F4439-C4439)</f>
        <v>4.75</v>
      </c>
      <c r="K4439" s="33" t="n">
        <f aca="false">IF(G4439="","",G4439-C4439)</f>
        <v>8.74234526484644</v>
      </c>
      <c r="L4439" s="33" t="n">
        <f aca="false">IF(H4439="","",ABS(H4439))</f>
        <v>20</v>
      </c>
      <c r="M4439" s="33" t="n">
        <f aca="false">IF(I4439="","",ABS(I4439))</f>
        <v>8.25</v>
      </c>
      <c r="N4439" s="33" t="n">
        <f aca="false">IF(J4439="","",ABS(J4439))</f>
        <v>4.75</v>
      </c>
      <c r="O4439" s="33" t="n">
        <f aca="false">IF(K4439="","",ABS(K4439))</f>
        <v>8.74234526484644</v>
      </c>
      <c r="P4439" s="34" t="str">
        <f aca="false">IF(B4439&gt;=Eval_Start_Week,"YES","")</f>
        <v>YES</v>
      </c>
      <c r="Q4439" s="34" t="str">
        <f aca="false">IF(AND(B4439&gt;=Cal_Start_Week,B4439&lt;=Cal_End_Week),"YES","")</f>
        <v>YES</v>
      </c>
    </row>
    <row r="4440" customFormat="false" ht="15" hidden="false" customHeight="false" outlineLevel="0" collapsed="false">
      <c r="A4440" s="31" t="str">
        <f aca="false">Demand_History!C4440</f>
        <v>CLN-006</v>
      </c>
      <c r="B4440" s="31" t="n">
        <f aca="false">Demand_History!A4440</f>
        <v>71</v>
      </c>
      <c r="C4440" s="32" t="n">
        <f aca="false">Demand_History!D4440</f>
        <v>44</v>
      </c>
      <c r="D4440" s="33" t="n">
        <f aca="false">IF(B4440&gt;=2,C4439,"")</f>
        <v>57</v>
      </c>
      <c r="E4440" s="33" t="n">
        <f aca="false">IF(B4440&gt;=5,AVERAGE(C4436:C4439),"")</f>
        <v>64.5</v>
      </c>
      <c r="F4440" s="33" t="n">
        <f aca="false">IF(B4440&gt;=9,AVERAGE(C4432:C4439),"")</f>
        <v>61.5</v>
      </c>
      <c r="G4440" s="33" t="n">
        <f aca="false">IF(B4440=1,"",IF(B4440=2,C4439,SES_Alpha*C4439+(1-SES_Alpha)*G4439))</f>
        <v>63.1196416853925</v>
      </c>
      <c r="H4440" s="33" t="n">
        <f aca="false">IF(D4440="","",D4440-C4440)</f>
        <v>13</v>
      </c>
      <c r="I4440" s="33" t="n">
        <f aca="false">IF(E4440="","",E4440-C4440)</f>
        <v>20.5</v>
      </c>
      <c r="J4440" s="33" t="n">
        <f aca="false">IF(F4440="","",F4440-C4440)</f>
        <v>17.5</v>
      </c>
      <c r="K4440" s="33" t="n">
        <f aca="false">IF(G4440="","",G4440-C4440)</f>
        <v>19.1196416853925</v>
      </c>
      <c r="L4440" s="33" t="n">
        <f aca="false">IF(H4440="","",ABS(H4440))</f>
        <v>13</v>
      </c>
      <c r="M4440" s="33" t="n">
        <f aca="false">IF(I4440="","",ABS(I4440))</f>
        <v>20.5</v>
      </c>
      <c r="N4440" s="33" t="n">
        <f aca="false">IF(J4440="","",ABS(J4440))</f>
        <v>17.5</v>
      </c>
      <c r="O4440" s="33" t="n">
        <f aca="false">IF(K4440="","",ABS(K4440))</f>
        <v>19.1196416853925</v>
      </c>
      <c r="P4440" s="34" t="str">
        <f aca="false">IF(B4440&gt;=Eval_Start_Week,"YES","")</f>
        <v>YES</v>
      </c>
      <c r="Q4440" s="34" t="str">
        <f aca="false">IF(AND(B4440&gt;=Cal_Start_Week,B4440&lt;=Cal_End_Week),"YES","")</f>
        <v>YES</v>
      </c>
    </row>
    <row r="4441" customFormat="false" ht="15" hidden="false" customHeight="false" outlineLevel="0" collapsed="false">
      <c r="A4441" s="31" t="str">
        <f aca="false">Demand_History!C4441</f>
        <v>CLN-006</v>
      </c>
      <c r="B4441" s="31" t="n">
        <f aca="false">Demand_History!A4441</f>
        <v>72</v>
      </c>
      <c r="C4441" s="32" t="n">
        <f aca="false">Demand_History!D4441</f>
        <v>61</v>
      </c>
      <c r="D4441" s="33" t="n">
        <f aca="false">IF(B4441&gt;=2,C4440,"")</f>
        <v>44</v>
      </c>
      <c r="E4441" s="33" t="n">
        <f aca="false">IF(B4441&gt;=5,AVERAGE(C4437:C4440),"")</f>
        <v>59.5</v>
      </c>
      <c r="F4441" s="33" t="n">
        <f aca="false">IF(B4441&gt;=9,AVERAGE(C4433:C4440),"")</f>
        <v>60</v>
      </c>
      <c r="G4441" s="33" t="n">
        <f aca="false">IF(B4441=1,"",IF(B4441=2,C4440,SES_Alpha*C4440+(1-SES_Alpha)*G4440))</f>
        <v>57.3837491797747</v>
      </c>
      <c r="H4441" s="33" t="n">
        <f aca="false">IF(D4441="","",D4441-C4441)</f>
        <v>-17</v>
      </c>
      <c r="I4441" s="33" t="n">
        <f aca="false">IF(E4441="","",E4441-C4441)</f>
        <v>-1.5</v>
      </c>
      <c r="J4441" s="33" t="n">
        <f aca="false">IF(F4441="","",F4441-C4441)</f>
        <v>-1</v>
      </c>
      <c r="K4441" s="33" t="n">
        <f aca="false">IF(G4441="","",G4441-C4441)</f>
        <v>-3.61625082022526</v>
      </c>
      <c r="L4441" s="33" t="n">
        <f aca="false">IF(H4441="","",ABS(H4441))</f>
        <v>17</v>
      </c>
      <c r="M4441" s="33" t="n">
        <f aca="false">IF(I4441="","",ABS(I4441))</f>
        <v>1.5</v>
      </c>
      <c r="N4441" s="33" t="n">
        <f aca="false">IF(J4441="","",ABS(J4441))</f>
        <v>1</v>
      </c>
      <c r="O4441" s="33" t="n">
        <f aca="false">IF(K4441="","",ABS(K4441))</f>
        <v>3.61625082022526</v>
      </c>
      <c r="P4441" s="34" t="str">
        <f aca="false">IF(B4441&gt;=Eval_Start_Week,"YES","")</f>
        <v>YES</v>
      </c>
      <c r="Q4441" s="34" t="str">
        <f aca="false">IF(AND(B4441&gt;=Cal_Start_Week,B4441&lt;=Cal_End_Week),"YES","")</f>
        <v>YES</v>
      </c>
    </row>
    <row r="4442" customFormat="false" ht="15" hidden="false" customHeight="false" outlineLevel="0" collapsed="false">
      <c r="A4442" s="31" t="str">
        <f aca="false">Demand_History!C4442</f>
        <v>CLN-006</v>
      </c>
      <c r="B4442" s="31" t="n">
        <f aca="false">Demand_History!A4442</f>
        <v>73</v>
      </c>
      <c r="C4442" s="32" t="n">
        <f aca="false">Demand_History!D4442</f>
        <v>59</v>
      </c>
      <c r="D4442" s="33" t="n">
        <f aca="false">IF(B4442&gt;=2,C4441,"")</f>
        <v>61</v>
      </c>
      <c r="E4442" s="33" t="n">
        <f aca="false">IF(B4442&gt;=5,AVERAGE(C4438:C4441),"")</f>
        <v>59.75</v>
      </c>
      <c r="F4442" s="33" t="n">
        <f aca="false">IF(B4442&gt;=9,AVERAGE(C4434:C4441),"")</f>
        <v>60.875</v>
      </c>
      <c r="G4442" s="33" t="n">
        <f aca="false">IF(B4442=1,"",IF(B4442=2,C4441,SES_Alpha*C4441+(1-SES_Alpha)*G4441))</f>
        <v>58.4686244258423</v>
      </c>
      <c r="H4442" s="33" t="n">
        <f aca="false">IF(D4442="","",D4442-C4442)</f>
        <v>2</v>
      </c>
      <c r="I4442" s="33" t="n">
        <f aca="false">IF(E4442="","",E4442-C4442)</f>
        <v>0.75</v>
      </c>
      <c r="J4442" s="33" t="n">
        <f aca="false">IF(F4442="","",F4442-C4442)</f>
        <v>1.875</v>
      </c>
      <c r="K4442" s="33" t="n">
        <f aca="false">IF(G4442="","",G4442-C4442)</f>
        <v>-0.531375574157678</v>
      </c>
      <c r="L4442" s="33" t="n">
        <f aca="false">IF(H4442="","",ABS(H4442))</f>
        <v>2</v>
      </c>
      <c r="M4442" s="33" t="n">
        <f aca="false">IF(I4442="","",ABS(I4442))</f>
        <v>0.75</v>
      </c>
      <c r="N4442" s="33" t="n">
        <f aca="false">IF(J4442="","",ABS(J4442))</f>
        <v>1.875</v>
      </c>
      <c r="O4442" s="33" t="n">
        <f aca="false">IF(K4442="","",ABS(K4442))</f>
        <v>0.531375574157678</v>
      </c>
      <c r="P4442" s="34" t="str">
        <f aca="false">IF(B4442&gt;=Eval_Start_Week,"YES","")</f>
        <v>YES</v>
      </c>
      <c r="Q4442" s="34" t="str">
        <f aca="false">IF(AND(B4442&gt;=Cal_Start_Week,B4442&lt;=Cal_End_Week),"YES","")</f>
        <v>YES</v>
      </c>
    </row>
    <row r="4443" customFormat="false" ht="15" hidden="false" customHeight="false" outlineLevel="0" collapsed="false">
      <c r="A4443" s="31" t="str">
        <f aca="false">Demand_History!C4443</f>
        <v>CLN-006</v>
      </c>
      <c r="B4443" s="31" t="n">
        <f aca="false">Demand_History!A4443</f>
        <v>74</v>
      </c>
      <c r="C4443" s="32" t="n">
        <f aca="false">Demand_History!D4443</f>
        <v>60</v>
      </c>
      <c r="D4443" s="33" t="n">
        <f aca="false">IF(B4443&gt;=2,C4442,"")</f>
        <v>59</v>
      </c>
      <c r="E4443" s="33" t="n">
        <f aca="false">IF(B4443&gt;=5,AVERAGE(C4439:C4442),"")</f>
        <v>55.25</v>
      </c>
      <c r="F4443" s="33" t="n">
        <f aca="false">IF(B4443&gt;=9,AVERAGE(C4435:C4442),"")</f>
        <v>60.25</v>
      </c>
      <c r="G4443" s="33" t="n">
        <f aca="false">IF(B4443=1,"",IF(B4443=2,C4442,SES_Alpha*C4442+(1-SES_Alpha)*G4442))</f>
        <v>58.6280370980896</v>
      </c>
      <c r="H4443" s="33" t="n">
        <f aca="false">IF(D4443="","",D4443-C4443)</f>
        <v>-1</v>
      </c>
      <c r="I4443" s="33" t="n">
        <f aca="false">IF(E4443="","",E4443-C4443)</f>
        <v>-4.75</v>
      </c>
      <c r="J4443" s="33" t="n">
        <f aca="false">IF(F4443="","",F4443-C4443)</f>
        <v>0.25</v>
      </c>
      <c r="K4443" s="33" t="n">
        <f aca="false">IF(G4443="","",G4443-C4443)</f>
        <v>-1.37196290191038</v>
      </c>
      <c r="L4443" s="33" t="n">
        <f aca="false">IF(H4443="","",ABS(H4443))</f>
        <v>1</v>
      </c>
      <c r="M4443" s="33" t="n">
        <f aca="false">IF(I4443="","",ABS(I4443))</f>
        <v>4.75</v>
      </c>
      <c r="N4443" s="33" t="n">
        <f aca="false">IF(J4443="","",ABS(J4443))</f>
        <v>0.25</v>
      </c>
      <c r="O4443" s="33" t="n">
        <f aca="false">IF(K4443="","",ABS(K4443))</f>
        <v>1.37196290191038</v>
      </c>
      <c r="P4443" s="34" t="str">
        <f aca="false">IF(B4443&gt;=Eval_Start_Week,"YES","")</f>
        <v>YES</v>
      </c>
      <c r="Q4443" s="34" t="str">
        <f aca="false">IF(AND(B4443&gt;=Cal_Start_Week,B4443&lt;=Cal_End_Week),"YES","")</f>
        <v>YES</v>
      </c>
    </row>
    <row r="4444" customFormat="false" ht="15" hidden="false" customHeight="false" outlineLevel="0" collapsed="false">
      <c r="A4444" s="31" t="str">
        <f aca="false">Demand_History!C4444</f>
        <v>CLN-006</v>
      </c>
      <c r="B4444" s="31" t="n">
        <f aca="false">Demand_History!A4444</f>
        <v>75</v>
      </c>
      <c r="C4444" s="32" t="n">
        <f aca="false">Demand_History!D4444</f>
        <v>45</v>
      </c>
      <c r="D4444" s="33" t="n">
        <f aca="false">IF(B4444&gt;=2,C4443,"")</f>
        <v>60</v>
      </c>
      <c r="E4444" s="33" t="n">
        <f aca="false">IF(B4444&gt;=5,AVERAGE(C4440:C4443),"")</f>
        <v>56</v>
      </c>
      <c r="F4444" s="33" t="n">
        <f aca="false">IF(B4444&gt;=9,AVERAGE(C4436:C4443),"")</f>
        <v>60.25</v>
      </c>
      <c r="G4444" s="33" t="n">
        <f aca="false">IF(B4444=1,"",IF(B4444=2,C4443,SES_Alpha*C4443+(1-SES_Alpha)*G4443))</f>
        <v>59.0396259686627</v>
      </c>
      <c r="H4444" s="33" t="n">
        <f aca="false">IF(D4444="","",D4444-C4444)</f>
        <v>15</v>
      </c>
      <c r="I4444" s="33" t="n">
        <f aca="false">IF(E4444="","",E4444-C4444)</f>
        <v>11</v>
      </c>
      <c r="J4444" s="33" t="n">
        <f aca="false">IF(F4444="","",F4444-C4444)</f>
        <v>15.25</v>
      </c>
      <c r="K4444" s="33" t="n">
        <f aca="false">IF(G4444="","",G4444-C4444)</f>
        <v>14.0396259686627</v>
      </c>
      <c r="L4444" s="33" t="n">
        <f aca="false">IF(H4444="","",ABS(H4444))</f>
        <v>15</v>
      </c>
      <c r="M4444" s="33" t="n">
        <f aca="false">IF(I4444="","",ABS(I4444))</f>
        <v>11</v>
      </c>
      <c r="N4444" s="33" t="n">
        <f aca="false">IF(J4444="","",ABS(J4444))</f>
        <v>15.25</v>
      </c>
      <c r="O4444" s="33" t="n">
        <f aca="false">IF(K4444="","",ABS(K4444))</f>
        <v>14.0396259686627</v>
      </c>
      <c r="P4444" s="34" t="str">
        <f aca="false">IF(B4444&gt;=Eval_Start_Week,"YES","")</f>
        <v>YES</v>
      </c>
      <c r="Q4444" s="34" t="str">
        <f aca="false">IF(AND(B4444&gt;=Cal_Start_Week,B4444&lt;=Cal_End_Week),"YES","")</f>
        <v>YES</v>
      </c>
    </row>
    <row r="4445" customFormat="false" ht="15" hidden="false" customHeight="false" outlineLevel="0" collapsed="false">
      <c r="A4445" s="31" t="str">
        <f aca="false">Demand_History!C4445</f>
        <v>CLN-006</v>
      </c>
      <c r="B4445" s="31" t="n">
        <f aca="false">Demand_History!A4445</f>
        <v>76</v>
      </c>
      <c r="C4445" s="32" t="n">
        <f aca="false">Demand_History!D4445</f>
        <v>67</v>
      </c>
      <c r="D4445" s="33" t="n">
        <f aca="false">IF(B4445&gt;=2,C4444,"")</f>
        <v>45</v>
      </c>
      <c r="E4445" s="33" t="n">
        <f aca="false">IF(B4445&gt;=5,AVERAGE(C4441:C4444),"")</f>
        <v>56.25</v>
      </c>
      <c r="F4445" s="33" t="n">
        <f aca="false">IF(B4445&gt;=9,AVERAGE(C4437:C4444),"")</f>
        <v>57.875</v>
      </c>
      <c r="G4445" s="33" t="n">
        <f aca="false">IF(B4445=1,"",IF(B4445=2,C4444,SES_Alpha*C4444+(1-SES_Alpha)*G4444))</f>
        <v>54.8277381780639</v>
      </c>
      <c r="H4445" s="33" t="n">
        <f aca="false">IF(D4445="","",D4445-C4445)</f>
        <v>-22</v>
      </c>
      <c r="I4445" s="33" t="n">
        <f aca="false">IF(E4445="","",E4445-C4445)</f>
        <v>-10.75</v>
      </c>
      <c r="J4445" s="33" t="n">
        <f aca="false">IF(F4445="","",F4445-C4445)</f>
        <v>-9.125</v>
      </c>
      <c r="K4445" s="33" t="n">
        <f aca="false">IF(G4445="","",G4445-C4445)</f>
        <v>-12.1722618219361</v>
      </c>
      <c r="L4445" s="33" t="n">
        <f aca="false">IF(H4445="","",ABS(H4445))</f>
        <v>22</v>
      </c>
      <c r="M4445" s="33" t="n">
        <f aca="false">IF(I4445="","",ABS(I4445))</f>
        <v>10.75</v>
      </c>
      <c r="N4445" s="33" t="n">
        <f aca="false">IF(J4445="","",ABS(J4445))</f>
        <v>9.125</v>
      </c>
      <c r="O4445" s="33" t="n">
        <f aca="false">IF(K4445="","",ABS(K4445))</f>
        <v>12.1722618219361</v>
      </c>
      <c r="P4445" s="34" t="str">
        <f aca="false">IF(B4445&gt;=Eval_Start_Week,"YES","")</f>
        <v>YES</v>
      </c>
      <c r="Q4445" s="34" t="str">
        <f aca="false">IF(AND(B4445&gt;=Cal_Start_Week,B4445&lt;=Cal_End_Week),"YES","")</f>
        <v>YES</v>
      </c>
    </row>
    <row r="4446" customFormat="false" ht="15" hidden="false" customHeight="false" outlineLevel="0" collapsed="false">
      <c r="A4446" s="31" t="str">
        <f aca="false">Demand_History!C4446</f>
        <v>CLN-006</v>
      </c>
      <c r="B4446" s="31" t="n">
        <f aca="false">Demand_History!A4446</f>
        <v>77</v>
      </c>
      <c r="C4446" s="32" t="n">
        <f aca="false">Demand_History!D4446</f>
        <v>57</v>
      </c>
      <c r="D4446" s="33" t="n">
        <f aca="false">IF(B4446&gt;=2,C4445,"")</f>
        <v>67</v>
      </c>
      <c r="E4446" s="33" t="n">
        <f aca="false">IF(B4446&gt;=5,AVERAGE(C4442:C4445),"")</f>
        <v>57.75</v>
      </c>
      <c r="F4446" s="33" t="n">
        <f aca="false">IF(B4446&gt;=9,AVERAGE(C4438:C4445),"")</f>
        <v>58.75</v>
      </c>
      <c r="G4446" s="33" t="n">
        <f aca="false">IF(B4446=1,"",IF(B4446=2,C4445,SES_Alpha*C4445+(1-SES_Alpha)*G4445))</f>
        <v>58.4794167246447</v>
      </c>
      <c r="H4446" s="33" t="n">
        <f aca="false">IF(D4446="","",D4446-C4446)</f>
        <v>10</v>
      </c>
      <c r="I4446" s="33" t="n">
        <f aca="false">IF(E4446="","",E4446-C4446)</f>
        <v>0.75</v>
      </c>
      <c r="J4446" s="33" t="n">
        <f aca="false">IF(F4446="","",F4446-C4446)</f>
        <v>1.75</v>
      </c>
      <c r="K4446" s="33" t="n">
        <f aca="false">IF(G4446="","",G4446-C4446)</f>
        <v>1.47941672464474</v>
      </c>
      <c r="L4446" s="33" t="n">
        <f aca="false">IF(H4446="","",ABS(H4446))</f>
        <v>10</v>
      </c>
      <c r="M4446" s="33" t="n">
        <f aca="false">IF(I4446="","",ABS(I4446))</f>
        <v>0.75</v>
      </c>
      <c r="N4446" s="33" t="n">
        <f aca="false">IF(J4446="","",ABS(J4446))</f>
        <v>1.75</v>
      </c>
      <c r="O4446" s="33" t="n">
        <f aca="false">IF(K4446="","",ABS(K4446))</f>
        <v>1.47941672464474</v>
      </c>
      <c r="P4446" s="34" t="str">
        <f aca="false">IF(B4446&gt;=Eval_Start_Week,"YES","")</f>
        <v>YES</v>
      </c>
      <c r="Q4446" s="34" t="str">
        <f aca="false">IF(AND(B4446&gt;=Cal_Start_Week,B4446&lt;=Cal_End_Week),"YES","")</f>
        <v>YES</v>
      </c>
    </row>
    <row r="4447" customFormat="false" ht="15" hidden="false" customHeight="false" outlineLevel="0" collapsed="false">
      <c r="A4447" s="31" t="str">
        <f aca="false">Demand_History!C4447</f>
        <v>CLN-006</v>
      </c>
      <c r="B4447" s="31" t="n">
        <f aca="false">Demand_History!A4447</f>
        <v>78</v>
      </c>
      <c r="C4447" s="32" t="n">
        <f aca="false">Demand_History!D4447</f>
        <v>57</v>
      </c>
      <c r="D4447" s="33" t="n">
        <f aca="false">IF(B4447&gt;=2,C4446,"")</f>
        <v>57</v>
      </c>
      <c r="E4447" s="33" t="n">
        <f aca="false">IF(B4447&gt;=5,AVERAGE(C4443:C4446),"")</f>
        <v>57.25</v>
      </c>
      <c r="F4447" s="33" t="n">
        <f aca="false">IF(B4447&gt;=9,AVERAGE(C4439:C4446),"")</f>
        <v>56.25</v>
      </c>
      <c r="G4447" s="33" t="n">
        <f aca="false">IF(B4447=1,"",IF(B4447=2,C4446,SES_Alpha*C4446+(1-SES_Alpha)*G4446))</f>
        <v>58.0355917072513</v>
      </c>
      <c r="H4447" s="33" t="n">
        <f aca="false">IF(D4447="","",D4447-C4447)</f>
        <v>0</v>
      </c>
      <c r="I4447" s="33" t="n">
        <f aca="false">IF(E4447="","",E4447-C4447)</f>
        <v>0.25</v>
      </c>
      <c r="J4447" s="33" t="n">
        <f aca="false">IF(F4447="","",F4447-C4447)</f>
        <v>-0.75</v>
      </c>
      <c r="K4447" s="33" t="n">
        <f aca="false">IF(G4447="","",G4447-C4447)</f>
        <v>1.03559170725131</v>
      </c>
      <c r="L4447" s="33" t="n">
        <f aca="false">IF(H4447="","",ABS(H4447))</f>
        <v>0</v>
      </c>
      <c r="M4447" s="33" t="n">
        <f aca="false">IF(I4447="","",ABS(I4447))</f>
        <v>0.25</v>
      </c>
      <c r="N4447" s="33" t="n">
        <f aca="false">IF(J4447="","",ABS(J4447))</f>
        <v>0.75</v>
      </c>
      <c r="O4447" s="33" t="n">
        <f aca="false">IF(K4447="","",ABS(K4447))</f>
        <v>1.03559170725131</v>
      </c>
      <c r="P4447" s="34" t="str">
        <f aca="false">IF(B4447&gt;=Eval_Start_Week,"YES","")</f>
        <v>YES</v>
      </c>
      <c r="Q4447" s="34" t="str">
        <f aca="false">IF(AND(B4447&gt;=Cal_Start_Week,B4447&lt;=Cal_End_Week),"YES","")</f>
        <v>YES</v>
      </c>
    </row>
    <row r="4448" customFormat="false" ht="15" hidden="false" customHeight="false" outlineLevel="0" collapsed="false">
      <c r="A4448" s="31" t="str">
        <f aca="false">Demand_History!C4448</f>
        <v>CLN-006</v>
      </c>
      <c r="B4448" s="31" t="n">
        <f aca="false">Demand_History!A4448</f>
        <v>79</v>
      </c>
      <c r="C4448" s="32" t="n">
        <f aca="false">Demand_History!D4448</f>
        <v>44</v>
      </c>
      <c r="D4448" s="33" t="n">
        <f aca="false">IF(B4448&gt;=2,C4447,"")</f>
        <v>57</v>
      </c>
      <c r="E4448" s="33" t="n">
        <f aca="false">IF(B4448&gt;=5,AVERAGE(C4444:C4447),"")</f>
        <v>56.5</v>
      </c>
      <c r="F4448" s="33" t="n">
        <f aca="false">IF(B4448&gt;=9,AVERAGE(C4440:C4447),"")</f>
        <v>56.25</v>
      </c>
      <c r="G4448" s="33" t="n">
        <f aca="false">IF(B4448=1,"",IF(B4448=2,C4447,SES_Alpha*C4447+(1-SES_Alpha)*G4447))</f>
        <v>57.7249141950759</v>
      </c>
      <c r="H4448" s="33" t="n">
        <f aca="false">IF(D4448="","",D4448-C4448)</f>
        <v>13</v>
      </c>
      <c r="I4448" s="33" t="n">
        <f aca="false">IF(E4448="","",E4448-C4448)</f>
        <v>12.5</v>
      </c>
      <c r="J4448" s="33" t="n">
        <f aca="false">IF(F4448="","",F4448-C4448)</f>
        <v>12.25</v>
      </c>
      <c r="K4448" s="33" t="n">
        <f aca="false">IF(G4448="","",G4448-C4448)</f>
        <v>13.7249141950759</v>
      </c>
      <c r="L4448" s="33" t="n">
        <f aca="false">IF(H4448="","",ABS(H4448))</f>
        <v>13</v>
      </c>
      <c r="M4448" s="33" t="n">
        <f aca="false">IF(I4448="","",ABS(I4448))</f>
        <v>12.5</v>
      </c>
      <c r="N4448" s="33" t="n">
        <f aca="false">IF(J4448="","",ABS(J4448))</f>
        <v>12.25</v>
      </c>
      <c r="O4448" s="33" t="n">
        <f aca="false">IF(K4448="","",ABS(K4448))</f>
        <v>13.7249141950759</v>
      </c>
      <c r="P4448" s="34" t="str">
        <f aca="false">IF(B4448&gt;=Eval_Start_Week,"YES","")</f>
        <v>YES</v>
      </c>
      <c r="Q4448" s="34" t="str">
        <f aca="false">IF(AND(B4448&gt;=Cal_Start_Week,B4448&lt;=Cal_End_Week),"YES","")</f>
        <v>YES</v>
      </c>
    </row>
    <row r="4449" customFormat="false" ht="15" hidden="false" customHeight="false" outlineLevel="0" collapsed="false">
      <c r="A4449" s="31" t="str">
        <f aca="false">Demand_History!C4449</f>
        <v>CLN-006</v>
      </c>
      <c r="B4449" s="31" t="n">
        <f aca="false">Demand_History!A4449</f>
        <v>80</v>
      </c>
      <c r="C4449" s="32" t="n">
        <f aca="false">Demand_History!D4449</f>
        <v>60</v>
      </c>
      <c r="D4449" s="33" t="n">
        <f aca="false">IF(B4449&gt;=2,C4448,"")</f>
        <v>44</v>
      </c>
      <c r="E4449" s="33" t="n">
        <f aca="false">IF(B4449&gt;=5,AVERAGE(C4445:C4448),"")</f>
        <v>56.25</v>
      </c>
      <c r="F4449" s="33" t="n">
        <f aca="false">IF(B4449&gt;=9,AVERAGE(C4441:C4448),"")</f>
        <v>56.25</v>
      </c>
      <c r="G4449" s="33" t="n">
        <f aca="false">IF(B4449=1,"",IF(B4449=2,C4448,SES_Alpha*C4448+(1-SES_Alpha)*G4448))</f>
        <v>53.6074399365531</v>
      </c>
      <c r="H4449" s="33" t="n">
        <f aca="false">IF(D4449="","",D4449-C4449)</f>
        <v>-16</v>
      </c>
      <c r="I4449" s="33" t="n">
        <f aca="false">IF(E4449="","",E4449-C4449)</f>
        <v>-3.75</v>
      </c>
      <c r="J4449" s="33" t="n">
        <f aca="false">IF(F4449="","",F4449-C4449)</f>
        <v>-3.75</v>
      </c>
      <c r="K4449" s="33" t="n">
        <f aca="false">IF(G4449="","",G4449-C4449)</f>
        <v>-6.39256006344687</v>
      </c>
      <c r="L4449" s="33" t="n">
        <f aca="false">IF(H4449="","",ABS(H4449))</f>
        <v>16</v>
      </c>
      <c r="M4449" s="33" t="n">
        <f aca="false">IF(I4449="","",ABS(I4449))</f>
        <v>3.75</v>
      </c>
      <c r="N4449" s="33" t="n">
        <f aca="false">IF(J4449="","",ABS(J4449))</f>
        <v>3.75</v>
      </c>
      <c r="O4449" s="33" t="n">
        <f aca="false">IF(K4449="","",ABS(K4449))</f>
        <v>6.39256006344687</v>
      </c>
      <c r="P4449" s="34" t="str">
        <f aca="false">IF(B4449&gt;=Eval_Start_Week,"YES","")</f>
        <v>YES</v>
      </c>
      <c r="Q4449" s="34" t="str">
        <f aca="false">IF(AND(B4449&gt;=Cal_Start_Week,B4449&lt;=Cal_End_Week),"YES","")</f>
        <v>YES</v>
      </c>
    </row>
    <row r="4450" customFormat="false" ht="15" hidden="false" customHeight="false" outlineLevel="0" collapsed="false">
      <c r="A4450" s="31" t="str">
        <f aca="false">Demand_History!C4450</f>
        <v>CLN-006</v>
      </c>
      <c r="B4450" s="31" t="n">
        <f aca="false">Demand_History!A4450</f>
        <v>81</v>
      </c>
      <c r="C4450" s="32" t="n">
        <f aca="false">Demand_History!D4450</f>
        <v>55</v>
      </c>
      <c r="D4450" s="33" t="n">
        <f aca="false">IF(B4450&gt;=2,C4449,"")</f>
        <v>60</v>
      </c>
      <c r="E4450" s="33" t="n">
        <f aca="false">IF(B4450&gt;=5,AVERAGE(C4446:C4449),"")</f>
        <v>54.5</v>
      </c>
      <c r="F4450" s="33" t="n">
        <f aca="false">IF(B4450&gt;=9,AVERAGE(C4442:C4449),"")</f>
        <v>56.125</v>
      </c>
      <c r="G4450" s="33" t="n">
        <f aca="false">IF(B4450=1,"",IF(B4450=2,C4449,SES_Alpha*C4449+(1-SES_Alpha)*G4449))</f>
        <v>55.5252079555872</v>
      </c>
      <c r="H4450" s="33" t="n">
        <f aca="false">IF(D4450="","",D4450-C4450)</f>
        <v>5</v>
      </c>
      <c r="I4450" s="33" t="n">
        <f aca="false">IF(E4450="","",E4450-C4450)</f>
        <v>-0.5</v>
      </c>
      <c r="J4450" s="33" t="n">
        <f aca="false">IF(F4450="","",F4450-C4450)</f>
        <v>1.125</v>
      </c>
      <c r="K4450" s="33" t="n">
        <f aca="false">IF(G4450="","",G4450-C4450)</f>
        <v>0.525207955587192</v>
      </c>
      <c r="L4450" s="33" t="n">
        <f aca="false">IF(H4450="","",ABS(H4450))</f>
        <v>5</v>
      </c>
      <c r="M4450" s="33" t="n">
        <f aca="false">IF(I4450="","",ABS(I4450))</f>
        <v>0.5</v>
      </c>
      <c r="N4450" s="33" t="n">
        <f aca="false">IF(J4450="","",ABS(J4450))</f>
        <v>1.125</v>
      </c>
      <c r="O4450" s="33" t="n">
        <f aca="false">IF(K4450="","",ABS(K4450))</f>
        <v>0.525207955587192</v>
      </c>
      <c r="P4450" s="34" t="str">
        <f aca="false">IF(B4450&gt;=Eval_Start_Week,"YES","")</f>
        <v>YES</v>
      </c>
      <c r="Q4450" s="34" t="str">
        <f aca="false">IF(AND(B4450&gt;=Cal_Start_Week,B4450&lt;=Cal_End_Week),"YES","")</f>
        <v>YES</v>
      </c>
    </row>
    <row r="4451" customFormat="false" ht="15" hidden="false" customHeight="false" outlineLevel="0" collapsed="false">
      <c r="A4451" s="31" t="str">
        <f aca="false">Demand_History!C4451</f>
        <v>CLN-006</v>
      </c>
      <c r="B4451" s="31" t="n">
        <f aca="false">Demand_History!A4451</f>
        <v>82</v>
      </c>
      <c r="C4451" s="32" t="n">
        <f aca="false">Demand_History!D4451</f>
        <v>66</v>
      </c>
      <c r="D4451" s="33" t="n">
        <f aca="false">IF(B4451&gt;=2,C4450,"")</f>
        <v>55</v>
      </c>
      <c r="E4451" s="33" t="n">
        <f aca="false">IF(B4451&gt;=5,AVERAGE(C4447:C4450),"")</f>
        <v>54</v>
      </c>
      <c r="F4451" s="33" t="n">
        <f aca="false">IF(B4451&gt;=9,AVERAGE(C4443:C4450),"")</f>
        <v>55.625</v>
      </c>
      <c r="G4451" s="33" t="n">
        <f aca="false">IF(B4451=1,"",IF(B4451=2,C4450,SES_Alpha*C4450+(1-SES_Alpha)*G4450))</f>
        <v>55.367645568911</v>
      </c>
      <c r="H4451" s="33" t="n">
        <f aca="false">IF(D4451="","",D4451-C4451)</f>
        <v>-11</v>
      </c>
      <c r="I4451" s="33" t="n">
        <f aca="false">IF(E4451="","",E4451-C4451)</f>
        <v>-12</v>
      </c>
      <c r="J4451" s="33" t="n">
        <f aca="false">IF(F4451="","",F4451-C4451)</f>
        <v>-10.375</v>
      </c>
      <c r="K4451" s="33" t="n">
        <f aca="false">IF(G4451="","",G4451-C4451)</f>
        <v>-10.632354431089</v>
      </c>
      <c r="L4451" s="33" t="n">
        <f aca="false">IF(H4451="","",ABS(H4451))</f>
        <v>11</v>
      </c>
      <c r="M4451" s="33" t="n">
        <f aca="false">IF(I4451="","",ABS(I4451))</f>
        <v>12</v>
      </c>
      <c r="N4451" s="33" t="n">
        <f aca="false">IF(J4451="","",ABS(J4451))</f>
        <v>10.375</v>
      </c>
      <c r="O4451" s="33" t="n">
        <f aca="false">IF(K4451="","",ABS(K4451))</f>
        <v>10.632354431089</v>
      </c>
      <c r="P4451" s="34" t="str">
        <f aca="false">IF(B4451&gt;=Eval_Start_Week,"YES","")</f>
        <v>YES</v>
      </c>
      <c r="Q4451" s="34" t="str">
        <f aca="false">IF(AND(B4451&gt;=Cal_Start_Week,B4451&lt;=Cal_End_Week),"YES","")</f>
        <v>YES</v>
      </c>
    </row>
    <row r="4452" customFormat="false" ht="15" hidden="false" customHeight="false" outlineLevel="0" collapsed="false">
      <c r="A4452" s="31" t="str">
        <f aca="false">Demand_History!C4452</f>
        <v>CLN-006</v>
      </c>
      <c r="B4452" s="31" t="n">
        <f aca="false">Demand_History!A4452</f>
        <v>83</v>
      </c>
      <c r="C4452" s="32" t="n">
        <f aca="false">Demand_History!D4452</f>
        <v>52</v>
      </c>
      <c r="D4452" s="33" t="n">
        <f aca="false">IF(B4452&gt;=2,C4451,"")</f>
        <v>66</v>
      </c>
      <c r="E4452" s="33" t="n">
        <f aca="false">IF(B4452&gt;=5,AVERAGE(C4448:C4451),"")</f>
        <v>56.25</v>
      </c>
      <c r="F4452" s="33" t="n">
        <f aca="false">IF(B4452&gt;=9,AVERAGE(C4444:C4451),"")</f>
        <v>56.375</v>
      </c>
      <c r="G4452" s="33" t="n">
        <f aca="false">IF(B4452=1,"",IF(B4452=2,C4451,SES_Alpha*C4451+(1-SES_Alpha)*G4451))</f>
        <v>58.5573518982377</v>
      </c>
      <c r="H4452" s="33" t="n">
        <f aca="false">IF(D4452="","",D4452-C4452)</f>
        <v>14</v>
      </c>
      <c r="I4452" s="33" t="n">
        <f aca="false">IF(E4452="","",E4452-C4452)</f>
        <v>4.25</v>
      </c>
      <c r="J4452" s="33" t="n">
        <f aca="false">IF(F4452="","",F4452-C4452)</f>
        <v>4.375</v>
      </c>
      <c r="K4452" s="33" t="n">
        <f aca="false">IF(G4452="","",G4452-C4452)</f>
        <v>6.55735189823771</v>
      </c>
      <c r="L4452" s="33" t="n">
        <f aca="false">IF(H4452="","",ABS(H4452))</f>
        <v>14</v>
      </c>
      <c r="M4452" s="33" t="n">
        <f aca="false">IF(I4452="","",ABS(I4452))</f>
        <v>4.25</v>
      </c>
      <c r="N4452" s="33" t="n">
        <f aca="false">IF(J4452="","",ABS(J4452))</f>
        <v>4.375</v>
      </c>
      <c r="O4452" s="33" t="n">
        <f aca="false">IF(K4452="","",ABS(K4452))</f>
        <v>6.55735189823771</v>
      </c>
      <c r="P4452" s="34" t="str">
        <f aca="false">IF(B4452&gt;=Eval_Start_Week,"YES","")</f>
        <v>YES</v>
      </c>
      <c r="Q4452" s="34" t="str">
        <f aca="false">IF(AND(B4452&gt;=Cal_Start_Week,B4452&lt;=Cal_End_Week),"YES","")</f>
        <v>YES</v>
      </c>
    </row>
    <row r="4453" customFormat="false" ht="15" hidden="false" customHeight="false" outlineLevel="0" collapsed="false">
      <c r="A4453" s="31" t="str">
        <f aca="false">Demand_History!C4453</f>
        <v>CLN-006</v>
      </c>
      <c r="B4453" s="31" t="n">
        <f aca="false">Demand_History!A4453</f>
        <v>84</v>
      </c>
      <c r="C4453" s="32" t="n">
        <f aca="false">Demand_History!D4453</f>
        <v>45</v>
      </c>
      <c r="D4453" s="33" t="n">
        <f aca="false">IF(B4453&gt;=2,C4452,"")</f>
        <v>52</v>
      </c>
      <c r="E4453" s="33" t="n">
        <f aca="false">IF(B4453&gt;=5,AVERAGE(C4449:C4452),"")</f>
        <v>58.25</v>
      </c>
      <c r="F4453" s="33" t="n">
        <f aca="false">IF(B4453&gt;=9,AVERAGE(C4445:C4452),"")</f>
        <v>57.25</v>
      </c>
      <c r="G4453" s="33" t="n">
        <f aca="false">IF(B4453=1,"",IF(B4453=2,C4452,SES_Alpha*C4452+(1-SES_Alpha)*G4452))</f>
        <v>56.5901463287664</v>
      </c>
      <c r="H4453" s="33" t="n">
        <f aca="false">IF(D4453="","",D4453-C4453)</f>
        <v>7</v>
      </c>
      <c r="I4453" s="33" t="n">
        <f aca="false">IF(E4453="","",E4453-C4453)</f>
        <v>13.25</v>
      </c>
      <c r="J4453" s="33" t="n">
        <f aca="false">IF(F4453="","",F4453-C4453)</f>
        <v>12.25</v>
      </c>
      <c r="K4453" s="33" t="n">
        <f aca="false">IF(G4453="","",G4453-C4453)</f>
        <v>11.5901463287664</v>
      </c>
      <c r="L4453" s="33" t="n">
        <f aca="false">IF(H4453="","",ABS(H4453))</f>
        <v>7</v>
      </c>
      <c r="M4453" s="33" t="n">
        <f aca="false">IF(I4453="","",ABS(I4453))</f>
        <v>13.25</v>
      </c>
      <c r="N4453" s="33" t="n">
        <f aca="false">IF(J4453="","",ABS(J4453))</f>
        <v>12.25</v>
      </c>
      <c r="O4453" s="33" t="n">
        <f aca="false">IF(K4453="","",ABS(K4453))</f>
        <v>11.5901463287664</v>
      </c>
      <c r="P4453" s="34" t="str">
        <f aca="false">IF(B4453&gt;=Eval_Start_Week,"YES","")</f>
        <v>YES</v>
      </c>
      <c r="Q4453" s="34" t="str">
        <f aca="false">IF(AND(B4453&gt;=Cal_Start_Week,B4453&lt;=Cal_End_Week),"YES","")</f>
        <v>YES</v>
      </c>
    </row>
    <row r="4454" customFormat="false" ht="15" hidden="false" customHeight="false" outlineLevel="0" collapsed="false">
      <c r="A4454" s="31" t="str">
        <f aca="false">Demand_History!C4454</f>
        <v>CLN-006</v>
      </c>
      <c r="B4454" s="31" t="n">
        <f aca="false">Demand_History!A4454</f>
        <v>85</v>
      </c>
      <c r="C4454" s="32" t="n">
        <f aca="false">Demand_History!D4454</f>
        <v>55</v>
      </c>
      <c r="D4454" s="33" t="n">
        <f aca="false">IF(B4454&gt;=2,C4453,"")</f>
        <v>45</v>
      </c>
      <c r="E4454" s="33" t="n">
        <f aca="false">IF(B4454&gt;=5,AVERAGE(C4450:C4453),"")</f>
        <v>54.5</v>
      </c>
      <c r="F4454" s="33" t="n">
        <f aca="false">IF(B4454&gt;=9,AVERAGE(C4446:C4453),"")</f>
        <v>54.5</v>
      </c>
      <c r="G4454" s="33" t="n">
        <f aca="false">IF(B4454=1,"",IF(B4454=2,C4453,SES_Alpha*C4453+(1-SES_Alpha)*G4453))</f>
        <v>53.1131024301365</v>
      </c>
      <c r="H4454" s="33" t="n">
        <f aca="false">IF(D4454="","",D4454-C4454)</f>
        <v>-10</v>
      </c>
      <c r="I4454" s="33" t="n">
        <f aca="false">IF(E4454="","",E4454-C4454)</f>
        <v>-0.5</v>
      </c>
      <c r="J4454" s="33" t="n">
        <f aca="false">IF(F4454="","",F4454-C4454)</f>
        <v>-0.5</v>
      </c>
      <c r="K4454" s="33" t="n">
        <f aca="false">IF(G4454="","",G4454-C4454)</f>
        <v>-1.88689756986353</v>
      </c>
      <c r="L4454" s="33" t="n">
        <f aca="false">IF(H4454="","",ABS(H4454))</f>
        <v>10</v>
      </c>
      <c r="M4454" s="33" t="n">
        <f aca="false">IF(I4454="","",ABS(I4454))</f>
        <v>0.5</v>
      </c>
      <c r="N4454" s="33" t="n">
        <f aca="false">IF(J4454="","",ABS(J4454))</f>
        <v>0.5</v>
      </c>
      <c r="O4454" s="33" t="n">
        <f aca="false">IF(K4454="","",ABS(K4454))</f>
        <v>1.88689756986353</v>
      </c>
      <c r="P4454" s="34" t="str">
        <f aca="false">IF(B4454&gt;=Eval_Start_Week,"YES","")</f>
        <v>YES</v>
      </c>
      <c r="Q4454" s="34" t="str">
        <f aca="false">IF(AND(B4454&gt;=Cal_Start_Week,B4454&lt;=Cal_End_Week),"YES","")</f>
        <v>YES</v>
      </c>
    </row>
    <row r="4455" customFormat="false" ht="15" hidden="false" customHeight="false" outlineLevel="0" collapsed="false">
      <c r="A4455" s="31" t="str">
        <f aca="false">Demand_History!C4455</f>
        <v>CLN-006</v>
      </c>
      <c r="B4455" s="31" t="n">
        <f aca="false">Demand_History!A4455</f>
        <v>86</v>
      </c>
      <c r="C4455" s="32" t="n">
        <f aca="false">Demand_History!D4455</f>
        <v>47</v>
      </c>
      <c r="D4455" s="33" t="n">
        <f aca="false">IF(B4455&gt;=2,C4454,"")</f>
        <v>55</v>
      </c>
      <c r="E4455" s="33" t="n">
        <f aca="false">IF(B4455&gt;=5,AVERAGE(C4451:C4454),"")</f>
        <v>54.5</v>
      </c>
      <c r="F4455" s="33" t="n">
        <f aca="false">IF(B4455&gt;=9,AVERAGE(C4447:C4454),"")</f>
        <v>54.25</v>
      </c>
      <c r="G4455" s="33" t="n">
        <f aca="false">IF(B4455=1,"",IF(B4455=2,C4454,SES_Alpha*C4454+(1-SES_Alpha)*G4454))</f>
        <v>53.6791717010955</v>
      </c>
      <c r="H4455" s="33" t="n">
        <f aca="false">IF(D4455="","",D4455-C4455)</f>
        <v>8</v>
      </c>
      <c r="I4455" s="33" t="n">
        <f aca="false">IF(E4455="","",E4455-C4455)</f>
        <v>7.5</v>
      </c>
      <c r="J4455" s="33" t="n">
        <f aca="false">IF(F4455="","",F4455-C4455)</f>
        <v>7.25</v>
      </c>
      <c r="K4455" s="33" t="n">
        <f aca="false">IF(G4455="","",G4455-C4455)</f>
        <v>6.67917170109553</v>
      </c>
      <c r="L4455" s="33" t="n">
        <f aca="false">IF(H4455="","",ABS(H4455))</f>
        <v>8</v>
      </c>
      <c r="M4455" s="33" t="n">
        <f aca="false">IF(I4455="","",ABS(I4455))</f>
        <v>7.5</v>
      </c>
      <c r="N4455" s="33" t="n">
        <f aca="false">IF(J4455="","",ABS(J4455))</f>
        <v>7.25</v>
      </c>
      <c r="O4455" s="33" t="n">
        <f aca="false">IF(K4455="","",ABS(K4455))</f>
        <v>6.67917170109553</v>
      </c>
      <c r="P4455" s="34" t="str">
        <f aca="false">IF(B4455&gt;=Eval_Start_Week,"YES","")</f>
        <v>YES</v>
      </c>
      <c r="Q4455" s="34" t="str">
        <f aca="false">IF(AND(B4455&gt;=Cal_Start_Week,B4455&lt;=Cal_End_Week),"YES","")</f>
        <v>YES</v>
      </c>
    </row>
    <row r="4456" customFormat="false" ht="15" hidden="false" customHeight="false" outlineLevel="0" collapsed="false">
      <c r="A4456" s="31" t="str">
        <f aca="false">Demand_History!C4456</f>
        <v>CLN-006</v>
      </c>
      <c r="B4456" s="31" t="n">
        <f aca="false">Demand_History!A4456</f>
        <v>87</v>
      </c>
      <c r="C4456" s="32" t="n">
        <f aca="false">Demand_History!D4456</f>
        <v>56</v>
      </c>
      <c r="D4456" s="33" t="n">
        <f aca="false">IF(B4456&gt;=2,C4455,"")</f>
        <v>47</v>
      </c>
      <c r="E4456" s="33" t="n">
        <f aca="false">IF(B4456&gt;=5,AVERAGE(C4452:C4455),"")</f>
        <v>49.75</v>
      </c>
      <c r="F4456" s="33" t="n">
        <f aca="false">IF(B4456&gt;=9,AVERAGE(C4448:C4455),"")</f>
        <v>53</v>
      </c>
      <c r="G4456" s="33" t="n">
        <f aca="false">IF(B4456=1,"",IF(B4456=2,C4455,SES_Alpha*C4455+(1-SES_Alpha)*G4455))</f>
        <v>51.6754201907669</v>
      </c>
      <c r="H4456" s="33" t="n">
        <f aca="false">IF(D4456="","",D4456-C4456)</f>
        <v>-9</v>
      </c>
      <c r="I4456" s="33" t="n">
        <f aca="false">IF(E4456="","",E4456-C4456)</f>
        <v>-6.25</v>
      </c>
      <c r="J4456" s="33" t="n">
        <f aca="false">IF(F4456="","",F4456-C4456)</f>
        <v>-3</v>
      </c>
      <c r="K4456" s="33" t="n">
        <f aca="false">IF(G4456="","",G4456-C4456)</f>
        <v>-4.32457980923314</v>
      </c>
      <c r="L4456" s="33" t="n">
        <f aca="false">IF(H4456="","",ABS(H4456))</f>
        <v>9</v>
      </c>
      <c r="M4456" s="33" t="n">
        <f aca="false">IF(I4456="","",ABS(I4456))</f>
        <v>6.25</v>
      </c>
      <c r="N4456" s="33" t="n">
        <f aca="false">IF(J4456="","",ABS(J4456))</f>
        <v>3</v>
      </c>
      <c r="O4456" s="33" t="n">
        <f aca="false">IF(K4456="","",ABS(K4456))</f>
        <v>4.32457980923314</v>
      </c>
      <c r="P4456" s="34" t="str">
        <f aca="false">IF(B4456&gt;=Eval_Start_Week,"YES","")</f>
        <v>YES</v>
      </c>
      <c r="Q4456" s="34" t="str">
        <f aca="false">IF(AND(B4456&gt;=Cal_Start_Week,B4456&lt;=Cal_End_Week),"YES","")</f>
        <v>YES</v>
      </c>
    </row>
    <row r="4457" customFormat="false" ht="15" hidden="false" customHeight="false" outlineLevel="0" collapsed="false">
      <c r="A4457" s="31" t="str">
        <f aca="false">Demand_History!C4457</f>
        <v>CLN-006</v>
      </c>
      <c r="B4457" s="31" t="n">
        <f aca="false">Demand_History!A4457</f>
        <v>88</v>
      </c>
      <c r="C4457" s="32" t="n">
        <f aca="false">Demand_History!D4457</f>
        <v>45</v>
      </c>
      <c r="D4457" s="33" t="n">
        <f aca="false">IF(B4457&gt;=2,C4456,"")</f>
        <v>56</v>
      </c>
      <c r="E4457" s="33" t="n">
        <f aca="false">IF(B4457&gt;=5,AVERAGE(C4453:C4456),"")</f>
        <v>50.75</v>
      </c>
      <c r="F4457" s="33" t="n">
        <f aca="false">IF(B4457&gt;=9,AVERAGE(C4449:C4456),"")</f>
        <v>54.5</v>
      </c>
      <c r="G4457" s="33" t="n">
        <f aca="false">IF(B4457=1,"",IF(B4457=2,C4456,SES_Alpha*C4456+(1-SES_Alpha)*G4456))</f>
        <v>52.9727941335368</v>
      </c>
      <c r="H4457" s="33" t="n">
        <f aca="false">IF(D4457="","",D4457-C4457)</f>
        <v>11</v>
      </c>
      <c r="I4457" s="33" t="n">
        <f aca="false">IF(E4457="","",E4457-C4457)</f>
        <v>5.75</v>
      </c>
      <c r="J4457" s="33" t="n">
        <f aca="false">IF(F4457="","",F4457-C4457)</f>
        <v>9.5</v>
      </c>
      <c r="K4457" s="33" t="n">
        <f aca="false">IF(G4457="","",G4457-C4457)</f>
        <v>7.97279413353681</v>
      </c>
      <c r="L4457" s="33" t="n">
        <f aca="false">IF(H4457="","",ABS(H4457))</f>
        <v>11</v>
      </c>
      <c r="M4457" s="33" t="n">
        <f aca="false">IF(I4457="","",ABS(I4457))</f>
        <v>5.75</v>
      </c>
      <c r="N4457" s="33" t="n">
        <f aca="false">IF(J4457="","",ABS(J4457))</f>
        <v>9.5</v>
      </c>
      <c r="O4457" s="33" t="n">
        <f aca="false">IF(K4457="","",ABS(K4457))</f>
        <v>7.97279413353681</v>
      </c>
      <c r="P4457" s="34" t="str">
        <f aca="false">IF(B4457&gt;=Eval_Start_Week,"YES","")</f>
        <v>YES</v>
      </c>
      <c r="Q4457" s="34" t="str">
        <f aca="false">IF(AND(B4457&gt;=Cal_Start_Week,B4457&lt;=Cal_End_Week),"YES","")</f>
        <v>YES</v>
      </c>
    </row>
    <row r="4458" customFormat="false" ht="15" hidden="false" customHeight="false" outlineLevel="0" collapsed="false">
      <c r="A4458" s="31" t="str">
        <f aca="false">Demand_History!C4458</f>
        <v>CLN-006</v>
      </c>
      <c r="B4458" s="31" t="n">
        <f aca="false">Demand_History!A4458</f>
        <v>89</v>
      </c>
      <c r="C4458" s="32" t="n">
        <f aca="false">Demand_History!D4458</f>
        <v>51</v>
      </c>
      <c r="D4458" s="33" t="n">
        <f aca="false">IF(B4458&gt;=2,C4457,"")</f>
        <v>45</v>
      </c>
      <c r="E4458" s="33" t="n">
        <f aca="false">IF(B4458&gt;=5,AVERAGE(C4454:C4457),"")</f>
        <v>50.75</v>
      </c>
      <c r="F4458" s="33" t="n">
        <f aca="false">IF(B4458&gt;=9,AVERAGE(C4450:C4457),"")</f>
        <v>52.625</v>
      </c>
      <c r="G4458" s="33" t="n">
        <f aca="false">IF(B4458=1,"",IF(B4458=2,C4457,SES_Alpha*C4457+(1-SES_Alpha)*G4457))</f>
        <v>50.5809558934758</v>
      </c>
      <c r="H4458" s="33" t="n">
        <f aca="false">IF(D4458="","",D4458-C4458)</f>
        <v>-6</v>
      </c>
      <c r="I4458" s="33" t="n">
        <f aca="false">IF(E4458="","",E4458-C4458)</f>
        <v>-0.25</v>
      </c>
      <c r="J4458" s="33" t="n">
        <f aca="false">IF(F4458="","",F4458-C4458)</f>
        <v>1.625</v>
      </c>
      <c r="K4458" s="33" t="n">
        <f aca="false">IF(G4458="","",G4458-C4458)</f>
        <v>-0.41904410652424</v>
      </c>
      <c r="L4458" s="33" t="n">
        <f aca="false">IF(H4458="","",ABS(H4458))</f>
        <v>6</v>
      </c>
      <c r="M4458" s="33" t="n">
        <f aca="false">IF(I4458="","",ABS(I4458))</f>
        <v>0.25</v>
      </c>
      <c r="N4458" s="33" t="n">
        <f aca="false">IF(J4458="","",ABS(J4458))</f>
        <v>1.625</v>
      </c>
      <c r="O4458" s="33" t="n">
        <f aca="false">IF(K4458="","",ABS(K4458))</f>
        <v>0.41904410652424</v>
      </c>
      <c r="P4458" s="34" t="str">
        <f aca="false">IF(B4458&gt;=Eval_Start_Week,"YES","")</f>
        <v>YES</v>
      </c>
      <c r="Q4458" s="34" t="str">
        <f aca="false">IF(AND(B4458&gt;=Cal_Start_Week,B4458&lt;=Cal_End_Week),"YES","")</f>
        <v/>
      </c>
    </row>
    <row r="4459" customFormat="false" ht="15" hidden="false" customHeight="false" outlineLevel="0" collapsed="false">
      <c r="A4459" s="31" t="str">
        <f aca="false">Demand_History!C4459</f>
        <v>CLN-006</v>
      </c>
      <c r="B4459" s="31" t="n">
        <f aca="false">Demand_History!A4459</f>
        <v>90</v>
      </c>
      <c r="C4459" s="32" t="n">
        <f aca="false">Demand_History!D4459</f>
        <v>50</v>
      </c>
      <c r="D4459" s="33" t="n">
        <f aca="false">IF(B4459&gt;=2,C4458,"")</f>
        <v>51</v>
      </c>
      <c r="E4459" s="33" t="n">
        <f aca="false">IF(B4459&gt;=5,AVERAGE(C4455:C4458),"")</f>
        <v>49.75</v>
      </c>
      <c r="F4459" s="33" t="n">
        <f aca="false">IF(B4459&gt;=9,AVERAGE(C4451:C4458),"")</f>
        <v>52.125</v>
      </c>
      <c r="G4459" s="33" t="n">
        <f aca="false">IF(B4459=1,"",IF(B4459=2,C4458,SES_Alpha*C4458+(1-SES_Alpha)*G4458))</f>
        <v>50.706669125433</v>
      </c>
      <c r="H4459" s="33" t="n">
        <f aca="false">IF(D4459="","",D4459-C4459)</f>
        <v>1</v>
      </c>
      <c r="I4459" s="33" t="n">
        <f aca="false">IF(E4459="","",E4459-C4459)</f>
        <v>-0.25</v>
      </c>
      <c r="J4459" s="33" t="n">
        <f aca="false">IF(F4459="","",F4459-C4459)</f>
        <v>2.125</v>
      </c>
      <c r="K4459" s="33" t="n">
        <f aca="false">IF(G4459="","",G4459-C4459)</f>
        <v>0.706669125433024</v>
      </c>
      <c r="L4459" s="33" t="n">
        <f aca="false">IF(H4459="","",ABS(H4459))</f>
        <v>1</v>
      </c>
      <c r="M4459" s="33" t="n">
        <f aca="false">IF(I4459="","",ABS(I4459))</f>
        <v>0.25</v>
      </c>
      <c r="N4459" s="33" t="n">
        <f aca="false">IF(J4459="","",ABS(J4459))</f>
        <v>2.125</v>
      </c>
      <c r="O4459" s="33" t="n">
        <f aca="false">IF(K4459="","",ABS(K4459))</f>
        <v>0.706669125433024</v>
      </c>
      <c r="P4459" s="34" t="str">
        <f aca="false">IF(B4459&gt;=Eval_Start_Week,"YES","")</f>
        <v>YES</v>
      </c>
      <c r="Q4459" s="34" t="str">
        <f aca="false">IF(AND(B4459&gt;=Cal_Start_Week,B4459&lt;=Cal_End_Week),"YES","")</f>
        <v/>
      </c>
    </row>
    <row r="4460" customFormat="false" ht="15" hidden="false" customHeight="false" outlineLevel="0" collapsed="false">
      <c r="A4460" s="31" t="str">
        <f aca="false">Demand_History!C4460</f>
        <v>CLN-006</v>
      </c>
      <c r="B4460" s="31" t="n">
        <f aca="false">Demand_History!A4460</f>
        <v>91</v>
      </c>
      <c r="C4460" s="32" t="n">
        <f aca="false">Demand_History!D4460</f>
        <v>51</v>
      </c>
      <c r="D4460" s="33" t="n">
        <f aca="false">IF(B4460&gt;=2,C4459,"")</f>
        <v>50</v>
      </c>
      <c r="E4460" s="33" t="n">
        <f aca="false">IF(B4460&gt;=5,AVERAGE(C4456:C4459),"")</f>
        <v>50.5</v>
      </c>
      <c r="F4460" s="33" t="n">
        <f aca="false">IF(B4460&gt;=9,AVERAGE(C4452:C4459),"")</f>
        <v>50.125</v>
      </c>
      <c r="G4460" s="33" t="n">
        <f aca="false">IF(B4460=1,"",IF(B4460=2,C4459,SES_Alpha*C4459+(1-SES_Alpha)*G4459))</f>
        <v>50.4946683878031</v>
      </c>
      <c r="H4460" s="33" t="n">
        <f aca="false">IF(D4460="","",D4460-C4460)</f>
        <v>-1</v>
      </c>
      <c r="I4460" s="33" t="n">
        <f aca="false">IF(E4460="","",E4460-C4460)</f>
        <v>-0.5</v>
      </c>
      <c r="J4460" s="33" t="n">
        <f aca="false">IF(F4460="","",F4460-C4460)</f>
        <v>-0.875</v>
      </c>
      <c r="K4460" s="33" t="n">
        <f aca="false">IF(G4460="","",G4460-C4460)</f>
        <v>-0.505331612196883</v>
      </c>
      <c r="L4460" s="33" t="n">
        <f aca="false">IF(H4460="","",ABS(H4460))</f>
        <v>1</v>
      </c>
      <c r="M4460" s="33" t="n">
        <f aca="false">IF(I4460="","",ABS(I4460))</f>
        <v>0.5</v>
      </c>
      <c r="N4460" s="33" t="n">
        <f aca="false">IF(J4460="","",ABS(J4460))</f>
        <v>0.875</v>
      </c>
      <c r="O4460" s="33" t="n">
        <f aca="false">IF(K4460="","",ABS(K4460))</f>
        <v>0.505331612196883</v>
      </c>
      <c r="P4460" s="34" t="str">
        <f aca="false">IF(B4460&gt;=Eval_Start_Week,"YES","")</f>
        <v>YES</v>
      </c>
      <c r="Q4460" s="34" t="str">
        <f aca="false">IF(AND(B4460&gt;=Cal_Start_Week,B4460&lt;=Cal_End_Week),"YES","")</f>
        <v/>
      </c>
    </row>
    <row r="4461" customFormat="false" ht="15" hidden="false" customHeight="false" outlineLevel="0" collapsed="false">
      <c r="A4461" s="31" t="str">
        <f aca="false">Demand_History!C4461</f>
        <v>CLN-006</v>
      </c>
      <c r="B4461" s="31" t="n">
        <f aca="false">Demand_History!A4461</f>
        <v>92</v>
      </c>
      <c r="C4461" s="32" t="n">
        <f aca="false">Demand_History!D4461</f>
        <v>47</v>
      </c>
      <c r="D4461" s="33" t="n">
        <f aca="false">IF(B4461&gt;=2,C4460,"")</f>
        <v>51</v>
      </c>
      <c r="E4461" s="33" t="n">
        <f aca="false">IF(B4461&gt;=5,AVERAGE(C4457:C4460),"")</f>
        <v>49.25</v>
      </c>
      <c r="F4461" s="33" t="n">
        <f aca="false">IF(B4461&gt;=9,AVERAGE(C4453:C4460),"")</f>
        <v>50</v>
      </c>
      <c r="G4461" s="33" t="n">
        <f aca="false">IF(B4461=1,"",IF(B4461=2,C4460,SES_Alpha*C4460+(1-SES_Alpha)*G4460))</f>
        <v>50.6462678714622</v>
      </c>
      <c r="H4461" s="33" t="n">
        <f aca="false">IF(D4461="","",D4461-C4461)</f>
        <v>4</v>
      </c>
      <c r="I4461" s="33" t="n">
        <f aca="false">IF(E4461="","",E4461-C4461)</f>
        <v>2.25</v>
      </c>
      <c r="J4461" s="33" t="n">
        <f aca="false">IF(F4461="","",F4461-C4461)</f>
        <v>3</v>
      </c>
      <c r="K4461" s="33" t="n">
        <f aca="false">IF(G4461="","",G4461-C4461)</f>
        <v>3.64626787146218</v>
      </c>
      <c r="L4461" s="33" t="n">
        <f aca="false">IF(H4461="","",ABS(H4461))</f>
        <v>4</v>
      </c>
      <c r="M4461" s="33" t="n">
        <f aca="false">IF(I4461="","",ABS(I4461))</f>
        <v>2.25</v>
      </c>
      <c r="N4461" s="33" t="n">
        <f aca="false">IF(J4461="","",ABS(J4461))</f>
        <v>3</v>
      </c>
      <c r="O4461" s="33" t="n">
        <f aca="false">IF(K4461="","",ABS(K4461))</f>
        <v>3.64626787146218</v>
      </c>
      <c r="P4461" s="34" t="str">
        <f aca="false">IF(B4461&gt;=Eval_Start_Week,"YES","")</f>
        <v>YES</v>
      </c>
      <c r="Q4461" s="34" t="str">
        <f aca="false">IF(AND(B4461&gt;=Cal_Start_Week,B4461&lt;=Cal_End_Week),"YES","")</f>
        <v/>
      </c>
    </row>
    <row r="4462" customFormat="false" ht="15" hidden="false" customHeight="false" outlineLevel="0" collapsed="false">
      <c r="A4462" s="31" t="str">
        <f aca="false">Demand_History!C4462</f>
        <v>CLN-006</v>
      </c>
      <c r="B4462" s="31" t="n">
        <f aca="false">Demand_History!A4462</f>
        <v>93</v>
      </c>
      <c r="C4462" s="32" t="n">
        <f aca="false">Demand_History!D4462</f>
        <v>44</v>
      </c>
      <c r="D4462" s="33" t="n">
        <f aca="false">IF(B4462&gt;=2,C4461,"")</f>
        <v>47</v>
      </c>
      <c r="E4462" s="33" t="n">
        <f aca="false">IF(B4462&gt;=5,AVERAGE(C4458:C4461),"")</f>
        <v>49.75</v>
      </c>
      <c r="F4462" s="33" t="n">
        <f aca="false">IF(B4462&gt;=9,AVERAGE(C4454:C4461),"")</f>
        <v>50.25</v>
      </c>
      <c r="G4462" s="33" t="n">
        <f aca="false">IF(B4462=1,"",IF(B4462=2,C4461,SES_Alpha*C4461+(1-SES_Alpha)*G4461))</f>
        <v>49.5523875100235</v>
      </c>
      <c r="H4462" s="33" t="n">
        <f aca="false">IF(D4462="","",D4462-C4462)</f>
        <v>3</v>
      </c>
      <c r="I4462" s="33" t="n">
        <f aca="false">IF(E4462="","",E4462-C4462)</f>
        <v>5.75</v>
      </c>
      <c r="J4462" s="33" t="n">
        <f aca="false">IF(F4462="","",F4462-C4462)</f>
        <v>6.25</v>
      </c>
      <c r="K4462" s="33" t="n">
        <f aca="false">IF(G4462="","",G4462-C4462)</f>
        <v>5.55238751002352</v>
      </c>
      <c r="L4462" s="33" t="n">
        <f aca="false">IF(H4462="","",ABS(H4462))</f>
        <v>3</v>
      </c>
      <c r="M4462" s="33" t="n">
        <f aca="false">IF(I4462="","",ABS(I4462))</f>
        <v>5.75</v>
      </c>
      <c r="N4462" s="33" t="n">
        <f aca="false">IF(J4462="","",ABS(J4462))</f>
        <v>6.25</v>
      </c>
      <c r="O4462" s="33" t="n">
        <f aca="false">IF(K4462="","",ABS(K4462))</f>
        <v>5.55238751002352</v>
      </c>
      <c r="P4462" s="34" t="str">
        <f aca="false">IF(B4462&gt;=Eval_Start_Week,"YES","")</f>
        <v>YES</v>
      </c>
      <c r="Q4462" s="34" t="str">
        <f aca="false">IF(AND(B4462&gt;=Cal_Start_Week,B4462&lt;=Cal_End_Week),"YES","")</f>
        <v/>
      </c>
    </row>
    <row r="4463" customFormat="false" ht="15" hidden="false" customHeight="false" outlineLevel="0" collapsed="false">
      <c r="A4463" s="31" t="str">
        <f aca="false">Demand_History!C4463</f>
        <v>CLN-006</v>
      </c>
      <c r="B4463" s="31" t="n">
        <f aca="false">Demand_History!A4463</f>
        <v>94</v>
      </c>
      <c r="C4463" s="32" t="n">
        <f aca="false">Demand_History!D4463</f>
        <v>49</v>
      </c>
      <c r="D4463" s="33" t="n">
        <f aca="false">IF(B4463&gt;=2,C4462,"")</f>
        <v>44</v>
      </c>
      <c r="E4463" s="33" t="n">
        <f aca="false">IF(B4463&gt;=5,AVERAGE(C4459:C4462),"")</f>
        <v>48</v>
      </c>
      <c r="F4463" s="33" t="n">
        <f aca="false">IF(B4463&gt;=9,AVERAGE(C4455:C4462),"")</f>
        <v>48.875</v>
      </c>
      <c r="G4463" s="33" t="n">
        <f aca="false">IF(B4463=1,"",IF(B4463=2,C4462,SES_Alpha*C4462+(1-SES_Alpha)*G4462))</f>
        <v>47.8866712570165</v>
      </c>
      <c r="H4463" s="33" t="n">
        <f aca="false">IF(D4463="","",D4463-C4463)</f>
        <v>-5</v>
      </c>
      <c r="I4463" s="33" t="n">
        <f aca="false">IF(E4463="","",E4463-C4463)</f>
        <v>-1</v>
      </c>
      <c r="J4463" s="33" t="n">
        <f aca="false">IF(F4463="","",F4463-C4463)</f>
        <v>-0.125</v>
      </c>
      <c r="K4463" s="33" t="n">
        <f aca="false">IF(G4463="","",G4463-C4463)</f>
        <v>-1.11332874298354</v>
      </c>
      <c r="L4463" s="33" t="n">
        <f aca="false">IF(H4463="","",ABS(H4463))</f>
        <v>5</v>
      </c>
      <c r="M4463" s="33" t="n">
        <f aca="false">IF(I4463="","",ABS(I4463))</f>
        <v>1</v>
      </c>
      <c r="N4463" s="33" t="n">
        <f aca="false">IF(J4463="","",ABS(J4463))</f>
        <v>0.125</v>
      </c>
      <c r="O4463" s="33" t="n">
        <f aca="false">IF(K4463="","",ABS(K4463))</f>
        <v>1.11332874298354</v>
      </c>
      <c r="P4463" s="34" t="str">
        <f aca="false">IF(B4463&gt;=Eval_Start_Week,"YES","")</f>
        <v>YES</v>
      </c>
      <c r="Q4463" s="34" t="str">
        <f aca="false">IF(AND(B4463&gt;=Cal_Start_Week,B4463&lt;=Cal_End_Week),"YES","")</f>
        <v/>
      </c>
    </row>
    <row r="4464" customFormat="false" ht="15" hidden="false" customHeight="false" outlineLevel="0" collapsed="false">
      <c r="A4464" s="31" t="str">
        <f aca="false">Demand_History!C4464</f>
        <v>CLN-006</v>
      </c>
      <c r="B4464" s="31" t="n">
        <f aca="false">Demand_History!A4464</f>
        <v>95</v>
      </c>
      <c r="C4464" s="32" t="n">
        <f aca="false">Demand_History!D4464</f>
        <v>45</v>
      </c>
      <c r="D4464" s="33" t="n">
        <f aca="false">IF(B4464&gt;=2,C4463,"")</f>
        <v>49</v>
      </c>
      <c r="E4464" s="33" t="n">
        <f aca="false">IF(B4464&gt;=5,AVERAGE(C4460:C4463),"")</f>
        <v>47.75</v>
      </c>
      <c r="F4464" s="33" t="n">
        <f aca="false">IF(B4464&gt;=9,AVERAGE(C4456:C4463),"")</f>
        <v>49.125</v>
      </c>
      <c r="G4464" s="33" t="n">
        <f aca="false">IF(B4464=1,"",IF(B4464=2,C4463,SES_Alpha*C4463+(1-SES_Alpha)*G4463))</f>
        <v>48.2206698799115</v>
      </c>
      <c r="H4464" s="33" t="n">
        <f aca="false">IF(D4464="","",D4464-C4464)</f>
        <v>4</v>
      </c>
      <c r="I4464" s="33" t="n">
        <f aca="false">IF(E4464="","",E4464-C4464)</f>
        <v>2.75</v>
      </c>
      <c r="J4464" s="33" t="n">
        <f aca="false">IF(F4464="","",F4464-C4464)</f>
        <v>4.125</v>
      </c>
      <c r="K4464" s="33" t="n">
        <f aca="false">IF(G4464="","",G4464-C4464)</f>
        <v>3.22066987991153</v>
      </c>
      <c r="L4464" s="33" t="n">
        <f aca="false">IF(H4464="","",ABS(H4464))</f>
        <v>4</v>
      </c>
      <c r="M4464" s="33" t="n">
        <f aca="false">IF(I4464="","",ABS(I4464))</f>
        <v>2.75</v>
      </c>
      <c r="N4464" s="33" t="n">
        <f aca="false">IF(J4464="","",ABS(J4464))</f>
        <v>4.125</v>
      </c>
      <c r="O4464" s="33" t="n">
        <f aca="false">IF(K4464="","",ABS(K4464))</f>
        <v>3.22066987991153</v>
      </c>
      <c r="P4464" s="34" t="str">
        <f aca="false">IF(B4464&gt;=Eval_Start_Week,"YES","")</f>
        <v>YES</v>
      </c>
      <c r="Q4464" s="34" t="str">
        <f aca="false">IF(AND(B4464&gt;=Cal_Start_Week,B4464&lt;=Cal_End_Week),"YES","")</f>
        <v/>
      </c>
    </row>
    <row r="4465" customFormat="false" ht="15" hidden="false" customHeight="false" outlineLevel="0" collapsed="false">
      <c r="A4465" s="31" t="str">
        <f aca="false">Demand_History!C4465</f>
        <v>CLN-006</v>
      </c>
      <c r="B4465" s="31" t="n">
        <f aca="false">Demand_History!A4465</f>
        <v>96</v>
      </c>
      <c r="C4465" s="32" t="n">
        <f aca="false">Demand_History!D4465</f>
        <v>50</v>
      </c>
      <c r="D4465" s="33" t="n">
        <f aca="false">IF(B4465&gt;=2,C4464,"")</f>
        <v>45</v>
      </c>
      <c r="E4465" s="33" t="n">
        <f aca="false">IF(B4465&gt;=5,AVERAGE(C4461:C4464),"")</f>
        <v>46.25</v>
      </c>
      <c r="F4465" s="33" t="n">
        <f aca="false">IF(B4465&gt;=9,AVERAGE(C4457:C4464),"")</f>
        <v>47.75</v>
      </c>
      <c r="G4465" s="33" t="n">
        <f aca="false">IF(B4465=1,"",IF(B4465=2,C4464,SES_Alpha*C4464+(1-SES_Alpha)*G4464))</f>
        <v>47.2544689159381</v>
      </c>
      <c r="H4465" s="33" t="n">
        <f aca="false">IF(D4465="","",D4465-C4465)</f>
        <v>-5</v>
      </c>
      <c r="I4465" s="33" t="n">
        <f aca="false">IF(E4465="","",E4465-C4465)</f>
        <v>-3.75</v>
      </c>
      <c r="J4465" s="33" t="n">
        <f aca="false">IF(F4465="","",F4465-C4465)</f>
        <v>-2.25</v>
      </c>
      <c r="K4465" s="33" t="n">
        <f aca="false">IF(G4465="","",G4465-C4465)</f>
        <v>-2.74553108406194</v>
      </c>
      <c r="L4465" s="33" t="n">
        <f aca="false">IF(H4465="","",ABS(H4465))</f>
        <v>5</v>
      </c>
      <c r="M4465" s="33" t="n">
        <f aca="false">IF(I4465="","",ABS(I4465))</f>
        <v>3.75</v>
      </c>
      <c r="N4465" s="33" t="n">
        <f aca="false">IF(J4465="","",ABS(J4465))</f>
        <v>2.25</v>
      </c>
      <c r="O4465" s="33" t="n">
        <f aca="false">IF(K4465="","",ABS(K4465))</f>
        <v>2.74553108406194</v>
      </c>
      <c r="P4465" s="34" t="str">
        <f aca="false">IF(B4465&gt;=Eval_Start_Week,"YES","")</f>
        <v>YES</v>
      </c>
      <c r="Q4465" s="34" t="str">
        <f aca="false">IF(AND(B4465&gt;=Cal_Start_Week,B4465&lt;=Cal_End_Week),"YES","")</f>
        <v/>
      </c>
    </row>
    <row r="4466" customFormat="false" ht="15" hidden="false" customHeight="false" outlineLevel="0" collapsed="false">
      <c r="A4466" s="31" t="str">
        <f aca="false">Demand_History!C4466</f>
        <v>CLN-006</v>
      </c>
      <c r="B4466" s="31" t="n">
        <f aca="false">Demand_History!A4466</f>
        <v>97</v>
      </c>
      <c r="C4466" s="32" t="n">
        <f aca="false">Demand_History!D4466</f>
        <v>46</v>
      </c>
      <c r="D4466" s="33" t="n">
        <f aca="false">IF(B4466&gt;=2,C4465,"")</f>
        <v>50</v>
      </c>
      <c r="E4466" s="33" t="n">
        <f aca="false">IF(B4466&gt;=5,AVERAGE(C4462:C4465),"")</f>
        <v>47</v>
      </c>
      <c r="F4466" s="33" t="n">
        <f aca="false">IF(B4466&gt;=9,AVERAGE(C4458:C4465),"")</f>
        <v>48.375</v>
      </c>
      <c r="G4466" s="33" t="n">
        <f aca="false">IF(B4466=1,"",IF(B4466=2,C4465,SES_Alpha*C4465+(1-SES_Alpha)*G4465))</f>
        <v>48.0781282411566</v>
      </c>
      <c r="H4466" s="33" t="n">
        <f aca="false">IF(D4466="","",D4466-C4466)</f>
        <v>4</v>
      </c>
      <c r="I4466" s="33" t="n">
        <f aca="false">IF(E4466="","",E4466-C4466)</f>
        <v>1</v>
      </c>
      <c r="J4466" s="33" t="n">
        <f aca="false">IF(F4466="","",F4466-C4466)</f>
        <v>2.375</v>
      </c>
      <c r="K4466" s="33" t="n">
        <f aca="false">IF(G4466="","",G4466-C4466)</f>
        <v>2.07812824115664</v>
      </c>
      <c r="L4466" s="33" t="n">
        <f aca="false">IF(H4466="","",ABS(H4466))</f>
        <v>4</v>
      </c>
      <c r="M4466" s="33" t="n">
        <f aca="false">IF(I4466="","",ABS(I4466))</f>
        <v>1</v>
      </c>
      <c r="N4466" s="33" t="n">
        <f aca="false">IF(J4466="","",ABS(J4466))</f>
        <v>2.375</v>
      </c>
      <c r="O4466" s="33" t="n">
        <f aca="false">IF(K4466="","",ABS(K4466))</f>
        <v>2.07812824115664</v>
      </c>
      <c r="P4466" s="34" t="str">
        <f aca="false">IF(B4466&gt;=Eval_Start_Week,"YES","")</f>
        <v>YES</v>
      </c>
      <c r="Q4466" s="34" t="str">
        <f aca="false">IF(AND(B4466&gt;=Cal_Start_Week,B4466&lt;=Cal_End_Week),"YES","")</f>
        <v/>
      </c>
    </row>
    <row r="4467" customFormat="false" ht="15" hidden="false" customHeight="false" outlineLevel="0" collapsed="false">
      <c r="A4467" s="31" t="str">
        <f aca="false">Demand_History!C4467</f>
        <v>CLN-006</v>
      </c>
      <c r="B4467" s="31" t="n">
        <f aca="false">Demand_History!A4467</f>
        <v>98</v>
      </c>
      <c r="C4467" s="32" t="n">
        <f aca="false">Demand_History!D4467</f>
        <v>33</v>
      </c>
      <c r="D4467" s="33" t="n">
        <f aca="false">IF(B4467&gt;=2,C4466,"")</f>
        <v>46</v>
      </c>
      <c r="E4467" s="33" t="n">
        <f aca="false">IF(B4467&gt;=5,AVERAGE(C4463:C4466),"")</f>
        <v>47.5</v>
      </c>
      <c r="F4467" s="33" t="n">
        <f aca="false">IF(B4467&gt;=9,AVERAGE(C4459:C4466),"")</f>
        <v>47.75</v>
      </c>
      <c r="G4467" s="33" t="n">
        <f aca="false">IF(B4467=1,"",IF(B4467=2,C4466,SES_Alpha*C4466+(1-SES_Alpha)*G4466))</f>
        <v>47.4546897688096</v>
      </c>
      <c r="H4467" s="33" t="n">
        <f aca="false">IF(D4467="","",D4467-C4467)</f>
        <v>13</v>
      </c>
      <c r="I4467" s="33" t="n">
        <f aca="false">IF(E4467="","",E4467-C4467)</f>
        <v>14.5</v>
      </c>
      <c r="J4467" s="33" t="n">
        <f aca="false">IF(F4467="","",F4467-C4467)</f>
        <v>14.75</v>
      </c>
      <c r="K4467" s="33" t="n">
        <f aca="false">IF(G4467="","",G4467-C4467)</f>
        <v>14.4546897688096</v>
      </c>
      <c r="L4467" s="33" t="n">
        <f aca="false">IF(H4467="","",ABS(H4467))</f>
        <v>13</v>
      </c>
      <c r="M4467" s="33" t="n">
        <f aca="false">IF(I4467="","",ABS(I4467))</f>
        <v>14.5</v>
      </c>
      <c r="N4467" s="33" t="n">
        <f aca="false">IF(J4467="","",ABS(J4467))</f>
        <v>14.75</v>
      </c>
      <c r="O4467" s="33" t="n">
        <f aca="false">IF(K4467="","",ABS(K4467))</f>
        <v>14.4546897688096</v>
      </c>
      <c r="P4467" s="34" t="str">
        <f aca="false">IF(B4467&gt;=Eval_Start_Week,"YES","")</f>
        <v>YES</v>
      </c>
      <c r="Q4467" s="34" t="str">
        <f aca="false">IF(AND(B4467&gt;=Cal_Start_Week,B4467&lt;=Cal_End_Week),"YES","")</f>
        <v/>
      </c>
    </row>
    <row r="4468" customFormat="false" ht="15" hidden="false" customHeight="false" outlineLevel="0" collapsed="false">
      <c r="A4468" s="31" t="str">
        <f aca="false">Demand_History!C4468</f>
        <v>CLN-006</v>
      </c>
      <c r="B4468" s="31" t="n">
        <f aca="false">Demand_History!A4468</f>
        <v>99</v>
      </c>
      <c r="C4468" s="32" t="n">
        <f aca="false">Demand_History!D4468</f>
        <v>47</v>
      </c>
      <c r="D4468" s="33" t="n">
        <f aca="false">IF(B4468&gt;=2,C4467,"")</f>
        <v>33</v>
      </c>
      <c r="E4468" s="33" t="n">
        <f aca="false">IF(B4468&gt;=5,AVERAGE(C4464:C4467),"")</f>
        <v>43.5</v>
      </c>
      <c r="F4468" s="33" t="n">
        <f aca="false">IF(B4468&gt;=9,AVERAGE(C4460:C4467),"")</f>
        <v>45.625</v>
      </c>
      <c r="G4468" s="33" t="n">
        <f aca="false">IF(B4468=1,"",IF(B4468=2,C4467,SES_Alpha*C4467+(1-SES_Alpha)*G4467))</f>
        <v>43.1182828381668</v>
      </c>
      <c r="H4468" s="33" t="n">
        <f aca="false">IF(D4468="","",D4468-C4468)</f>
        <v>-14</v>
      </c>
      <c r="I4468" s="33" t="n">
        <f aca="false">IF(E4468="","",E4468-C4468)</f>
        <v>-3.5</v>
      </c>
      <c r="J4468" s="33" t="n">
        <f aca="false">IF(F4468="","",F4468-C4468)</f>
        <v>-1.375</v>
      </c>
      <c r="K4468" s="33" t="n">
        <f aca="false">IF(G4468="","",G4468-C4468)</f>
        <v>-3.88171716183325</v>
      </c>
      <c r="L4468" s="33" t="n">
        <f aca="false">IF(H4468="","",ABS(H4468))</f>
        <v>14</v>
      </c>
      <c r="M4468" s="33" t="n">
        <f aca="false">IF(I4468="","",ABS(I4468))</f>
        <v>3.5</v>
      </c>
      <c r="N4468" s="33" t="n">
        <f aca="false">IF(J4468="","",ABS(J4468))</f>
        <v>1.375</v>
      </c>
      <c r="O4468" s="33" t="n">
        <f aca="false">IF(K4468="","",ABS(K4468))</f>
        <v>3.88171716183325</v>
      </c>
      <c r="P4468" s="34" t="str">
        <f aca="false">IF(B4468&gt;=Eval_Start_Week,"YES","")</f>
        <v>YES</v>
      </c>
      <c r="Q4468" s="34" t="str">
        <f aca="false">IF(AND(B4468&gt;=Cal_Start_Week,B4468&lt;=Cal_End_Week),"YES","")</f>
        <v/>
      </c>
    </row>
    <row r="4469" customFormat="false" ht="15" hidden="false" customHeight="false" outlineLevel="0" collapsed="false">
      <c r="A4469" s="31" t="str">
        <f aca="false">Demand_History!C4469</f>
        <v>CLN-006</v>
      </c>
      <c r="B4469" s="31" t="n">
        <f aca="false">Demand_History!A4469</f>
        <v>100</v>
      </c>
      <c r="C4469" s="32" t="n">
        <f aca="false">Demand_History!D4469</f>
        <v>56</v>
      </c>
      <c r="D4469" s="33" t="n">
        <f aca="false">IF(B4469&gt;=2,C4468,"")</f>
        <v>47</v>
      </c>
      <c r="E4469" s="33" t="n">
        <f aca="false">IF(B4469&gt;=5,AVERAGE(C4465:C4468),"")</f>
        <v>44</v>
      </c>
      <c r="F4469" s="33" t="n">
        <f aca="false">IF(B4469&gt;=9,AVERAGE(C4461:C4468),"")</f>
        <v>45.125</v>
      </c>
      <c r="G4469" s="33" t="n">
        <f aca="false">IF(B4469=1,"",IF(B4469=2,C4468,SES_Alpha*C4468+(1-SES_Alpha)*G4468))</f>
        <v>44.2827979867167</v>
      </c>
      <c r="H4469" s="33" t="n">
        <f aca="false">IF(D4469="","",D4469-C4469)</f>
        <v>-9</v>
      </c>
      <c r="I4469" s="33" t="n">
        <f aca="false">IF(E4469="","",E4469-C4469)</f>
        <v>-12</v>
      </c>
      <c r="J4469" s="33" t="n">
        <f aca="false">IF(F4469="","",F4469-C4469)</f>
        <v>-10.875</v>
      </c>
      <c r="K4469" s="33" t="n">
        <f aca="false">IF(G4469="","",G4469-C4469)</f>
        <v>-11.7172020132833</v>
      </c>
      <c r="L4469" s="33" t="n">
        <f aca="false">IF(H4469="","",ABS(H4469))</f>
        <v>9</v>
      </c>
      <c r="M4469" s="33" t="n">
        <f aca="false">IF(I4469="","",ABS(I4469))</f>
        <v>12</v>
      </c>
      <c r="N4469" s="33" t="n">
        <f aca="false">IF(J4469="","",ABS(J4469))</f>
        <v>10.875</v>
      </c>
      <c r="O4469" s="33" t="n">
        <f aca="false">IF(K4469="","",ABS(K4469))</f>
        <v>11.7172020132833</v>
      </c>
      <c r="P4469" s="34" t="str">
        <f aca="false">IF(B4469&gt;=Eval_Start_Week,"YES","")</f>
        <v>YES</v>
      </c>
      <c r="Q4469" s="34" t="str">
        <f aca="false">IF(AND(B4469&gt;=Cal_Start_Week,B4469&lt;=Cal_End_Week),"YES","")</f>
        <v/>
      </c>
    </row>
    <row r="4470" customFormat="false" ht="15" hidden="false" customHeight="false" outlineLevel="0" collapsed="false">
      <c r="A4470" s="31" t="str">
        <f aca="false">Demand_History!C4470</f>
        <v>CLN-006</v>
      </c>
      <c r="B4470" s="31" t="n">
        <f aca="false">Demand_History!A4470</f>
        <v>101</v>
      </c>
      <c r="C4470" s="32" t="n">
        <f aca="false">Demand_History!D4470</f>
        <v>48</v>
      </c>
      <c r="D4470" s="33" t="n">
        <f aca="false">IF(B4470&gt;=2,C4469,"")</f>
        <v>56</v>
      </c>
      <c r="E4470" s="33" t="n">
        <f aca="false">IF(B4470&gt;=5,AVERAGE(C4466:C4469),"")</f>
        <v>45.5</v>
      </c>
      <c r="F4470" s="33" t="n">
        <f aca="false">IF(B4470&gt;=9,AVERAGE(C4462:C4469),"")</f>
        <v>46.25</v>
      </c>
      <c r="G4470" s="33" t="n">
        <f aca="false">IF(B4470=1,"",IF(B4470=2,C4469,SES_Alpha*C4469+(1-SES_Alpha)*G4469))</f>
        <v>47.7979585907017</v>
      </c>
      <c r="H4470" s="33" t="n">
        <f aca="false">IF(D4470="","",D4470-C4470)</f>
        <v>8</v>
      </c>
      <c r="I4470" s="33" t="n">
        <f aca="false">IF(E4470="","",E4470-C4470)</f>
        <v>-2.5</v>
      </c>
      <c r="J4470" s="33" t="n">
        <f aca="false">IF(F4470="","",F4470-C4470)</f>
        <v>-1.75</v>
      </c>
      <c r="K4470" s="33" t="n">
        <f aca="false">IF(G4470="","",G4470-C4470)</f>
        <v>-0.202041409298296</v>
      </c>
      <c r="L4470" s="33" t="n">
        <f aca="false">IF(H4470="","",ABS(H4470))</f>
        <v>8</v>
      </c>
      <c r="M4470" s="33" t="n">
        <f aca="false">IF(I4470="","",ABS(I4470))</f>
        <v>2.5</v>
      </c>
      <c r="N4470" s="33" t="n">
        <f aca="false">IF(J4470="","",ABS(J4470))</f>
        <v>1.75</v>
      </c>
      <c r="O4470" s="33" t="n">
        <f aca="false">IF(K4470="","",ABS(K4470))</f>
        <v>0.202041409298296</v>
      </c>
      <c r="P4470" s="34" t="str">
        <f aca="false">IF(B4470&gt;=Eval_Start_Week,"YES","")</f>
        <v>YES</v>
      </c>
      <c r="Q4470" s="34" t="str">
        <f aca="false">IF(AND(B4470&gt;=Cal_Start_Week,B4470&lt;=Cal_End_Week),"YES","")</f>
        <v/>
      </c>
    </row>
    <row r="4471" customFormat="false" ht="15" hidden="false" customHeight="false" outlineLevel="0" collapsed="false">
      <c r="A4471" s="31" t="str">
        <f aca="false">Demand_History!C4471</f>
        <v>CLN-006</v>
      </c>
      <c r="B4471" s="31" t="n">
        <f aca="false">Demand_History!A4471</f>
        <v>102</v>
      </c>
      <c r="C4471" s="32" t="n">
        <f aca="false">Demand_History!D4471</f>
        <v>50</v>
      </c>
      <c r="D4471" s="33" t="n">
        <f aca="false">IF(B4471&gt;=2,C4470,"")</f>
        <v>48</v>
      </c>
      <c r="E4471" s="33" t="n">
        <f aca="false">IF(B4471&gt;=5,AVERAGE(C4467:C4470),"")</f>
        <v>46</v>
      </c>
      <c r="F4471" s="33" t="n">
        <f aca="false">IF(B4471&gt;=9,AVERAGE(C4463:C4470),"")</f>
        <v>46.75</v>
      </c>
      <c r="G4471" s="33" t="n">
        <f aca="false">IF(B4471=1,"",IF(B4471=2,C4470,SES_Alpha*C4470+(1-SES_Alpha)*G4470))</f>
        <v>47.8585710134912</v>
      </c>
      <c r="H4471" s="33" t="n">
        <f aca="false">IF(D4471="","",D4471-C4471)</f>
        <v>-2</v>
      </c>
      <c r="I4471" s="33" t="n">
        <f aca="false">IF(E4471="","",E4471-C4471)</f>
        <v>-4</v>
      </c>
      <c r="J4471" s="33" t="n">
        <f aca="false">IF(F4471="","",F4471-C4471)</f>
        <v>-3.25</v>
      </c>
      <c r="K4471" s="33" t="n">
        <f aca="false">IF(G4471="","",G4471-C4471)</f>
        <v>-2.14142898650881</v>
      </c>
      <c r="L4471" s="33" t="n">
        <f aca="false">IF(H4471="","",ABS(H4471))</f>
        <v>2</v>
      </c>
      <c r="M4471" s="33" t="n">
        <f aca="false">IF(I4471="","",ABS(I4471))</f>
        <v>4</v>
      </c>
      <c r="N4471" s="33" t="n">
        <f aca="false">IF(J4471="","",ABS(J4471))</f>
        <v>3.25</v>
      </c>
      <c r="O4471" s="33" t="n">
        <f aca="false">IF(K4471="","",ABS(K4471))</f>
        <v>2.14142898650881</v>
      </c>
      <c r="P4471" s="34" t="str">
        <f aca="false">IF(B4471&gt;=Eval_Start_Week,"YES","")</f>
        <v>YES</v>
      </c>
      <c r="Q4471" s="34" t="str">
        <f aca="false">IF(AND(B4471&gt;=Cal_Start_Week,B4471&lt;=Cal_End_Week),"YES","")</f>
        <v/>
      </c>
    </row>
    <row r="4472" customFormat="false" ht="15" hidden="false" customHeight="false" outlineLevel="0" collapsed="false">
      <c r="A4472" s="31" t="str">
        <f aca="false">Demand_History!C4472</f>
        <v>CLN-006</v>
      </c>
      <c r="B4472" s="31" t="n">
        <f aca="false">Demand_History!A4472</f>
        <v>103</v>
      </c>
      <c r="C4472" s="32" t="n">
        <f aca="false">Demand_History!D4472</f>
        <v>48</v>
      </c>
      <c r="D4472" s="33" t="n">
        <f aca="false">IF(B4472&gt;=2,C4471,"")</f>
        <v>50</v>
      </c>
      <c r="E4472" s="33" t="n">
        <f aca="false">IF(B4472&gt;=5,AVERAGE(C4468:C4471),"")</f>
        <v>50.25</v>
      </c>
      <c r="F4472" s="33" t="n">
        <f aca="false">IF(B4472&gt;=9,AVERAGE(C4464:C4471),"")</f>
        <v>46.875</v>
      </c>
      <c r="G4472" s="33" t="n">
        <f aca="false">IF(B4472=1,"",IF(B4472=2,C4471,SES_Alpha*C4471+(1-SES_Alpha)*G4471))</f>
        <v>48.5009997094438</v>
      </c>
      <c r="H4472" s="33" t="n">
        <f aca="false">IF(D4472="","",D4472-C4472)</f>
        <v>2</v>
      </c>
      <c r="I4472" s="33" t="n">
        <f aca="false">IF(E4472="","",E4472-C4472)</f>
        <v>2.25</v>
      </c>
      <c r="J4472" s="33" t="n">
        <f aca="false">IF(F4472="","",F4472-C4472)</f>
        <v>-1.125</v>
      </c>
      <c r="K4472" s="33" t="n">
        <f aca="false">IF(G4472="","",G4472-C4472)</f>
        <v>0.500999709443832</v>
      </c>
      <c r="L4472" s="33" t="n">
        <f aca="false">IF(H4472="","",ABS(H4472))</f>
        <v>2</v>
      </c>
      <c r="M4472" s="33" t="n">
        <f aca="false">IF(I4472="","",ABS(I4472))</f>
        <v>2.25</v>
      </c>
      <c r="N4472" s="33" t="n">
        <f aca="false">IF(J4472="","",ABS(J4472))</f>
        <v>1.125</v>
      </c>
      <c r="O4472" s="33" t="n">
        <f aca="false">IF(K4472="","",ABS(K4472))</f>
        <v>0.500999709443832</v>
      </c>
      <c r="P4472" s="34" t="str">
        <f aca="false">IF(B4472&gt;=Eval_Start_Week,"YES","")</f>
        <v>YES</v>
      </c>
      <c r="Q4472" s="34" t="str">
        <f aca="false">IF(AND(B4472&gt;=Cal_Start_Week,B4472&lt;=Cal_End_Week),"YES","")</f>
        <v/>
      </c>
    </row>
    <row r="4473" customFormat="false" ht="15" hidden="false" customHeight="false" outlineLevel="0" collapsed="false">
      <c r="A4473" s="31" t="str">
        <f aca="false">Demand_History!C4473</f>
        <v>CLN-006</v>
      </c>
      <c r="B4473" s="31" t="n">
        <f aca="false">Demand_History!A4473</f>
        <v>104</v>
      </c>
      <c r="C4473" s="32" t="n">
        <f aca="false">Demand_History!D4473</f>
        <v>42</v>
      </c>
      <c r="D4473" s="33" t="n">
        <f aca="false">IF(B4473&gt;=2,C4472,"")</f>
        <v>48</v>
      </c>
      <c r="E4473" s="33" t="n">
        <f aca="false">IF(B4473&gt;=5,AVERAGE(C4469:C4472),"")</f>
        <v>50.5</v>
      </c>
      <c r="F4473" s="33" t="n">
        <f aca="false">IF(B4473&gt;=9,AVERAGE(C4465:C4472),"")</f>
        <v>47.25</v>
      </c>
      <c r="G4473" s="33" t="n">
        <f aca="false">IF(B4473=1,"",IF(B4473=2,C4472,SES_Alpha*C4472+(1-SES_Alpha)*G4472))</f>
        <v>48.3506997966107</v>
      </c>
      <c r="H4473" s="33" t="n">
        <f aca="false">IF(D4473="","",D4473-C4473)</f>
        <v>6</v>
      </c>
      <c r="I4473" s="33" t="n">
        <f aca="false">IF(E4473="","",E4473-C4473)</f>
        <v>8.5</v>
      </c>
      <c r="J4473" s="33" t="n">
        <f aca="false">IF(F4473="","",F4473-C4473)</f>
        <v>5.25</v>
      </c>
      <c r="K4473" s="33" t="n">
        <f aca="false">IF(G4473="","",G4473-C4473)</f>
        <v>6.35069979661068</v>
      </c>
      <c r="L4473" s="33" t="n">
        <f aca="false">IF(H4473="","",ABS(H4473))</f>
        <v>6</v>
      </c>
      <c r="M4473" s="33" t="n">
        <f aca="false">IF(I4473="","",ABS(I4473))</f>
        <v>8.5</v>
      </c>
      <c r="N4473" s="33" t="n">
        <f aca="false">IF(J4473="","",ABS(J4473))</f>
        <v>5.25</v>
      </c>
      <c r="O4473" s="33" t="n">
        <f aca="false">IF(K4473="","",ABS(K4473))</f>
        <v>6.35069979661068</v>
      </c>
      <c r="P4473" s="34" t="str">
        <f aca="false">IF(B4473&gt;=Eval_Start_Week,"YES","")</f>
        <v>YES</v>
      </c>
      <c r="Q4473" s="34" t="str">
        <f aca="false">IF(AND(B4473&gt;=Cal_Start_Week,B4473&lt;=Cal_End_Week),"YES","")</f>
        <v/>
      </c>
    </row>
    <row r="4474" customFormat="false" ht="15" hidden="false" customHeight="false" outlineLevel="0" collapsed="false">
      <c r="A4474" s="31" t="str">
        <f aca="false">Demand_History!C4474</f>
        <v>CLN-007</v>
      </c>
      <c r="B4474" s="31" t="n">
        <f aca="false">Demand_History!A4474</f>
        <v>1</v>
      </c>
      <c r="C4474" s="32" t="n">
        <f aca="false">Demand_History!D4474</f>
        <v>79</v>
      </c>
      <c r="D4474" s="33" t="str">
        <f aca="false">IF(B4474&gt;=2,C4473,"")</f>
        <v/>
      </c>
      <c r="E4474" s="33" t="str">
        <f aca="false">IF(B4474&gt;=5,AVERAGE(C4470:C4473),"")</f>
        <v/>
      </c>
      <c r="F4474" s="33" t="str">
        <f aca="false">IF(B4474&gt;=9,AVERAGE(C4466:C4473),"")</f>
        <v/>
      </c>
      <c r="G4474" s="33" t="str">
        <f aca="false">IF(B4474=1,"",IF(B4474=2,C4473,SES_Alpha*C4473+(1-SES_Alpha)*G4473))</f>
        <v/>
      </c>
      <c r="H4474" s="33" t="str">
        <f aca="false">IF(D4474="","",D4474-C4474)</f>
        <v/>
      </c>
      <c r="I4474" s="33" t="str">
        <f aca="false">IF(E4474="","",E4474-C4474)</f>
        <v/>
      </c>
      <c r="J4474" s="33" t="str">
        <f aca="false">IF(F4474="","",F4474-C4474)</f>
        <v/>
      </c>
      <c r="K4474" s="33" t="str">
        <f aca="false">IF(G4474="","",G4474-C4474)</f>
        <v/>
      </c>
      <c r="L4474" s="33" t="str">
        <f aca="false">IF(H4474="","",ABS(H4474))</f>
        <v/>
      </c>
      <c r="M4474" s="33" t="str">
        <f aca="false">IF(I4474="","",ABS(I4474))</f>
        <v/>
      </c>
      <c r="N4474" s="33" t="str">
        <f aca="false">IF(J4474="","",ABS(J4474))</f>
        <v/>
      </c>
      <c r="O4474" s="33" t="str">
        <f aca="false">IF(K4474="","",ABS(K4474))</f>
        <v/>
      </c>
      <c r="P4474" s="34" t="str">
        <f aca="false">IF(B4474&gt;=Eval_Start_Week,"YES","")</f>
        <v/>
      </c>
      <c r="Q4474" s="34" t="str">
        <f aca="false">IF(AND(B4474&gt;=Cal_Start_Week,B4474&lt;=Cal_End_Week),"YES","")</f>
        <v/>
      </c>
    </row>
    <row r="4475" customFormat="false" ht="15" hidden="false" customHeight="false" outlineLevel="0" collapsed="false">
      <c r="A4475" s="31" t="str">
        <f aca="false">Demand_History!C4475</f>
        <v>CLN-007</v>
      </c>
      <c r="B4475" s="31" t="n">
        <f aca="false">Demand_History!A4475</f>
        <v>2</v>
      </c>
      <c r="C4475" s="32" t="n">
        <f aca="false">Demand_History!D4475</f>
        <v>83</v>
      </c>
      <c r="D4475" s="33" t="n">
        <f aca="false">IF(B4475&gt;=2,C4474,"")</f>
        <v>79</v>
      </c>
      <c r="E4475" s="33" t="str">
        <f aca="false">IF(B4475&gt;=5,AVERAGE(C4471:C4474),"")</f>
        <v/>
      </c>
      <c r="F4475" s="33" t="str">
        <f aca="false">IF(B4475&gt;=9,AVERAGE(C4467:C4474),"")</f>
        <v/>
      </c>
      <c r="G4475" s="33" t="n">
        <f aca="false">IF(B4475=1,"",IF(B4475=2,C4474,SES_Alpha*C4474+(1-SES_Alpha)*G4474))</f>
        <v>79</v>
      </c>
      <c r="H4475" s="33" t="n">
        <f aca="false">IF(D4475="","",D4475-C4475)</f>
        <v>-4</v>
      </c>
      <c r="I4475" s="33" t="str">
        <f aca="false">IF(E4475="","",E4475-C4475)</f>
        <v/>
      </c>
      <c r="J4475" s="33" t="str">
        <f aca="false">IF(F4475="","",F4475-C4475)</f>
        <v/>
      </c>
      <c r="K4475" s="33" t="n">
        <f aca="false">IF(G4475="","",G4475-C4475)</f>
        <v>-4</v>
      </c>
      <c r="L4475" s="33" t="n">
        <f aca="false">IF(H4475="","",ABS(H4475))</f>
        <v>4</v>
      </c>
      <c r="M4475" s="33" t="str">
        <f aca="false">IF(I4475="","",ABS(I4475))</f>
        <v/>
      </c>
      <c r="N4475" s="33" t="str">
        <f aca="false">IF(J4475="","",ABS(J4475))</f>
        <v/>
      </c>
      <c r="O4475" s="33" t="n">
        <f aca="false">IF(K4475="","",ABS(K4475))</f>
        <v>4</v>
      </c>
      <c r="P4475" s="34" t="str">
        <f aca="false">IF(B4475&gt;=Eval_Start_Week,"YES","")</f>
        <v/>
      </c>
      <c r="Q4475" s="34" t="str">
        <f aca="false">IF(AND(B4475&gt;=Cal_Start_Week,B4475&lt;=Cal_End_Week),"YES","")</f>
        <v/>
      </c>
    </row>
    <row r="4476" customFormat="false" ht="15" hidden="false" customHeight="false" outlineLevel="0" collapsed="false">
      <c r="A4476" s="31" t="str">
        <f aca="false">Demand_History!C4476</f>
        <v>CLN-007</v>
      </c>
      <c r="B4476" s="31" t="n">
        <f aca="false">Demand_History!A4476</f>
        <v>3</v>
      </c>
      <c r="C4476" s="32" t="n">
        <f aca="false">Demand_History!D4476</f>
        <v>74</v>
      </c>
      <c r="D4476" s="33" t="n">
        <f aca="false">IF(B4476&gt;=2,C4475,"")</f>
        <v>83</v>
      </c>
      <c r="E4476" s="33" t="str">
        <f aca="false">IF(B4476&gt;=5,AVERAGE(C4472:C4475),"")</f>
        <v/>
      </c>
      <c r="F4476" s="33" t="str">
        <f aca="false">IF(B4476&gt;=9,AVERAGE(C4468:C4475),"")</f>
        <v/>
      </c>
      <c r="G4476" s="33" t="n">
        <f aca="false">IF(B4476=1,"",IF(B4476=2,C4475,SES_Alpha*C4475+(1-SES_Alpha)*G4475))</f>
        <v>80.2</v>
      </c>
      <c r="H4476" s="33" t="n">
        <f aca="false">IF(D4476="","",D4476-C4476)</f>
        <v>9</v>
      </c>
      <c r="I4476" s="33" t="str">
        <f aca="false">IF(E4476="","",E4476-C4476)</f>
        <v/>
      </c>
      <c r="J4476" s="33" t="str">
        <f aca="false">IF(F4476="","",F4476-C4476)</f>
        <v/>
      </c>
      <c r="K4476" s="33" t="n">
        <f aca="false">IF(G4476="","",G4476-C4476)</f>
        <v>6.19999999999999</v>
      </c>
      <c r="L4476" s="33" t="n">
        <f aca="false">IF(H4476="","",ABS(H4476))</f>
        <v>9</v>
      </c>
      <c r="M4476" s="33" t="str">
        <f aca="false">IF(I4476="","",ABS(I4476))</f>
        <v/>
      </c>
      <c r="N4476" s="33" t="str">
        <f aca="false">IF(J4476="","",ABS(J4476))</f>
        <v/>
      </c>
      <c r="O4476" s="33" t="n">
        <f aca="false">IF(K4476="","",ABS(K4476))</f>
        <v>6.19999999999999</v>
      </c>
      <c r="P4476" s="34" t="str">
        <f aca="false">IF(B4476&gt;=Eval_Start_Week,"YES","")</f>
        <v/>
      </c>
      <c r="Q4476" s="34" t="str">
        <f aca="false">IF(AND(B4476&gt;=Cal_Start_Week,B4476&lt;=Cal_End_Week),"YES","")</f>
        <v/>
      </c>
    </row>
    <row r="4477" customFormat="false" ht="15" hidden="false" customHeight="false" outlineLevel="0" collapsed="false">
      <c r="A4477" s="31" t="str">
        <f aca="false">Demand_History!C4477</f>
        <v>CLN-007</v>
      </c>
      <c r="B4477" s="31" t="n">
        <f aca="false">Demand_History!A4477</f>
        <v>4</v>
      </c>
      <c r="C4477" s="32" t="n">
        <f aca="false">Demand_History!D4477</f>
        <v>71</v>
      </c>
      <c r="D4477" s="33" t="n">
        <f aca="false">IF(B4477&gt;=2,C4476,"")</f>
        <v>74</v>
      </c>
      <c r="E4477" s="33" t="str">
        <f aca="false">IF(B4477&gt;=5,AVERAGE(C4473:C4476),"")</f>
        <v/>
      </c>
      <c r="F4477" s="33" t="str">
        <f aca="false">IF(B4477&gt;=9,AVERAGE(C4469:C4476),"")</f>
        <v/>
      </c>
      <c r="G4477" s="33" t="n">
        <f aca="false">IF(B4477=1,"",IF(B4477=2,C4476,SES_Alpha*C4476+(1-SES_Alpha)*G4476))</f>
        <v>78.34</v>
      </c>
      <c r="H4477" s="33" t="n">
        <f aca="false">IF(D4477="","",D4477-C4477)</f>
        <v>3</v>
      </c>
      <c r="I4477" s="33" t="str">
        <f aca="false">IF(E4477="","",E4477-C4477)</f>
        <v/>
      </c>
      <c r="J4477" s="33" t="str">
        <f aca="false">IF(F4477="","",F4477-C4477)</f>
        <v/>
      </c>
      <c r="K4477" s="33" t="n">
        <f aca="false">IF(G4477="","",G4477-C4477)</f>
        <v>7.33999999999999</v>
      </c>
      <c r="L4477" s="33" t="n">
        <f aca="false">IF(H4477="","",ABS(H4477))</f>
        <v>3</v>
      </c>
      <c r="M4477" s="33" t="str">
        <f aca="false">IF(I4477="","",ABS(I4477))</f>
        <v/>
      </c>
      <c r="N4477" s="33" t="str">
        <f aca="false">IF(J4477="","",ABS(J4477))</f>
        <v/>
      </c>
      <c r="O4477" s="33" t="n">
        <f aca="false">IF(K4477="","",ABS(K4477))</f>
        <v>7.33999999999999</v>
      </c>
      <c r="P4477" s="34" t="str">
        <f aca="false">IF(B4477&gt;=Eval_Start_Week,"YES","")</f>
        <v/>
      </c>
      <c r="Q4477" s="34" t="str">
        <f aca="false">IF(AND(B4477&gt;=Cal_Start_Week,B4477&lt;=Cal_End_Week),"YES","")</f>
        <v/>
      </c>
    </row>
    <row r="4478" customFormat="false" ht="15" hidden="false" customHeight="false" outlineLevel="0" collapsed="false">
      <c r="A4478" s="31" t="str">
        <f aca="false">Demand_History!C4478</f>
        <v>CLN-007</v>
      </c>
      <c r="B4478" s="31" t="n">
        <f aca="false">Demand_History!A4478</f>
        <v>5</v>
      </c>
      <c r="C4478" s="32" t="n">
        <f aca="false">Demand_History!D4478</f>
        <v>71</v>
      </c>
      <c r="D4478" s="33" t="n">
        <f aca="false">IF(B4478&gt;=2,C4477,"")</f>
        <v>71</v>
      </c>
      <c r="E4478" s="33" t="n">
        <f aca="false">IF(B4478&gt;=5,AVERAGE(C4474:C4477),"")</f>
        <v>76.75</v>
      </c>
      <c r="F4478" s="33" t="str">
        <f aca="false">IF(B4478&gt;=9,AVERAGE(C4470:C4477),"")</f>
        <v/>
      </c>
      <c r="G4478" s="33" t="n">
        <f aca="false">IF(B4478=1,"",IF(B4478=2,C4477,SES_Alpha*C4477+(1-SES_Alpha)*G4477))</f>
        <v>76.138</v>
      </c>
      <c r="H4478" s="33" t="n">
        <f aca="false">IF(D4478="","",D4478-C4478)</f>
        <v>0</v>
      </c>
      <c r="I4478" s="33" t="n">
        <f aca="false">IF(E4478="","",E4478-C4478)</f>
        <v>5.75</v>
      </c>
      <c r="J4478" s="33" t="str">
        <f aca="false">IF(F4478="","",F4478-C4478)</f>
        <v/>
      </c>
      <c r="K4478" s="33" t="n">
        <f aca="false">IF(G4478="","",G4478-C4478)</f>
        <v>5.13799999999999</v>
      </c>
      <c r="L4478" s="33" t="n">
        <f aca="false">IF(H4478="","",ABS(H4478))</f>
        <v>0</v>
      </c>
      <c r="M4478" s="33" t="n">
        <f aca="false">IF(I4478="","",ABS(I4478))</f>
        <v>5.75</v>
      </c>
      <c r="N4478" s="33" t="str">
        <f aca="false">IF(J4478="","",ABS(J4478))</f>
        <v/>
      </c>
      <c r="O4478" s="33" t="n">
        <f aca="false">IF(K4478="","",ABS(K4478))</f>
        <v>5.13799999999999</v>
      </c>
      <c r="P4478" s="34" t="str">
        <f aca="false">IF(B4478&gt;=Eval_Start_Week,"YES","")</f>
        <v/>
      </c>
      <c r="Q4478" s="34" t="str">
        <f aca="false">IF(AND(B4478&gt;=Cal_Start_Week,B4478&lt;=Cal_End_Week),"YES","")</f>
        <v/>
      </c>
    </row>
    <row r="4479" customFormat="false" ht="15" hidden="false" customHeight="false" outlineLevel="0" collapsed="false">
      <c r="A4479" s="31" t="str">
        <f aca="false">Demand_History!C4479</f>
        <v>CLN-007</v>
      </c>
      <c r="B4479" s="31" t="n">
        <f aca="false">Demand_History!A4479</f>
        <v>6</v>
      </c>
      <c r="C4479" s="32" t="n">
        <f aca="false">Demand_History!D4479</f>
        <v>63</v>
      </c>
      <c r="D4479" s="33" t="n">
        <f aca="false">IF(B4479&gt;=2,C4478,"")</f>
        <v>71</v>
      </c>
      <c r="E4479" s="33" t="n">
        <f aca="false">IF(B4479&gt;=5,AVERAGE(C4475:C4478),"")</f>
        <v>74.75</v>
      </c>
      <c r="F4479" s="33" t="str">
        <f aca="false">IF(B4479&gt;=9,AVERAGE(C4471:C4478),"")</f>
        <v/>
      </c>
      <c r="G4479" s="33" t="n">
        <f aca="false">IF(B4479=1,"",IF(B4479=2,C4478,SES_Alpha*C4478+(1-SES_Alpha)*G4478))</f>
        <v>74.5966</v>
      </c>
      <c r="H4479" s="33" t="n">
        <f aca="false">IF(D4479="","",D4479-C4479)</f>
        <v>8</v>
      </c>
      <c r="I4479" s="33" t="n">
        <f aca="false">IF(E4479="","",E4479-C4479)</f>
        <v>11.75</v>
      </c>
      <c r="J4479" s="33" t="str">
        <f aca="false">IF(F4479="","",F4479-C4479)</f>
        <v/>
      </c>
      <c r="K4479" s="33" t="n">
        <f aca="false">IF(G4479="","",G4479-C4479)</f>
        <v>11.5966</v>
      </c>
      <c r="L4479" s="33" t="n">
        <f aca="false">IF(H4479="","",ABS(H4479))</f>
        <v>8</v>
      </c>
      <c r="M4479" s="33" t="n">
        <f aca="false">IF(I4479="","",ABS(I4479))</f>
        <v>11.75</v>
      </c>
      <c r="N4479" s="33" t="str">
        <f aca="false">IF(J4479="","",ABS(J4479))</f>
        <v/>
      </c>
      <c r="O4479" s="33" t="n">
        <f aca="false">IF(K4479="","",ABS(K4479))</f>
        <v>11.5966</v>
      </c>
      <c r="P4479" s="34" t="str">
        <f aca="false">IF(B4479&gt;=Eval_Start_Week,"YES","")</f>
        <v/>
      </c>
      <c r="Q4479" s="34" t="str">
        <f aca="false">IF(AND(B4479&gt;=Cal_Start_Week,B4479&lt;=Cal_End_Week),"YES","")</f>
        <v/>
      </c>
    </row>
    <row r="4480" customFormat="false" ht="15" hidden="false" customHeight="false" outlineLevel="0" collapsed="false">
      <c r="A4480" s="31" t="str">
        <f aca="false">Demand_History!C4480</f>
        <v>CLN-007</v>
      </c>
      <c r="B4480" s="31" t="n">
        <f aca="false">Demand_History!A4480</f>
        <v>7</v>
      </c>
      <c r="C4480" s="32" t="n">
        <f aca="false">Demand_History!D4480</f>
        <v>68</v>
      </c>
      <c r="D4480" s="33" t="n">
        <f aca="false">IF(B4480&gt;=2,C4479,"")</f>
        <v>63</v>
      </c>
      <c r="E4480" s="33" t="n">
        <f aca="false">IF(B4480&gt;=5,AVERAGE(C4476:C4479),"")</f>
        <v>69.75</v>
      </c>
      <c r="F4480" s="33" t="str">
        <f aca="false">IF(B4480&gt;=9,AVERAGE(C4472:C4479),"")</f>
        <v/>
      </c>
      <c r="G4480" s="33" t="n">
        <f aca="false">IF(B4480=1,"",IF(B4480=2,C4479,SES_Alpha*C4479+(1-SES_Alpha)*G4479))</f>
        <v>71.11762</v>
      </c>
      <c r="H4480" s="33" t="n">
        <f aca="false">IF(D4480="","",D4480-C4480)</f>
        <v>-5</v>
      </c>
      <c r="I4480" s="33" t="n">
        <f aca="false">IF(E4480="","",E4480-C4480)</f>
        <v>1.75</v>
      </c>
      <c r="J4480" s="33" t="str">
        <f aca="false">IF(F4480="","",F4480-C4480)</f>
        <v/>
      </c>
      <c r="K4480" s="33" t="n">
        <f aca="false">IF(G4480="","",G4480-C4480)</f>
        <v>3.11761999999999</v>
      </c>
      <c r="L4480" s="33" t="n">
        <f aca="false">IF(H4480="","",ABS(H4480))</f>
        <v>5</v>
      </c>
      <c r="M4480" s="33" t="n">
        <f aca="false">IF(I4480="","",ABS(I4480))</f>
        <v>1.75</v>
      </c>
      <c r="N4480" s="33" t="str">
        <f aca="false">IF(J4480="","",ABS(J4480))</f>
        <v/>
      </c>
      <c r="O4480" s="33" t="n">
        <f aca="false">IF(K4480="","",ABS(K4480))</f>
        <v>3.11761999999999</v>
      </c>
      <c r="P4480" s="34" t="str">
        <f aca="false">IF(B4480&gt;=Eval_Start_Week,"YES","")</f>
        <v/>
      </c>
      <c r="Q4480" s="34" t="str">
        <f aca="false">IF(AND(B4480&gt;=Cal_Start_Week,B4480&lt;=Cal_End_Week),"YES","")</f>
        <v/>
      </c>
    </row>
    <row r="4481" customFormat="false" ht="15" hidden="false" customHeight="false" outlineLevel="0" collapsed="false">
      <c r="A4481" s="31" t="str">
        <f aca="false">Demand_History!C4481</f>
        <v>CLN-007</v>
      </c>
      <c r="B4481" s="31" t="n">
        <f aca="false">Demand_History!A4481</f>
        <v>8</v>
      </c>
      <c r="C4481" s="32" t="n">
        <f aca="false">Demand_History!D4481</f>
        <v>63</v>
      </c>
      <c r="D4481" s="33" t="n">
        <f aca="false">IF(B4481&gt;=2,C4480,"")</f>
        <v>68</v>
      </c>
      <c r="E4481" s="33" t="n">
        <f aca="false">IF(B4481&gt;=5,AVERAGE(C4477:C4480),"")</f>
        <v>68.25</v>
      </c>
      <c r="F4481" s="33" t="str">
        <f aca="false">IF(B4481&gt;=9,AVERAGE(C4473:C4480),"")</f>
        <v/>
      </c>
      <c r="G4481" s="33" t="n">
        <f aca="false">IF(B4481=1,"",IF(B4481=2,C4480,SES_Alpha*C4480+(1-SES_Alpha)*G4480))</f>
        <v>70.182334</v>
      </c>
      <c r="H4481" s="33" t="n">
        <f aca="false">IF(D4481="","",D4481-C4481)</f>
        <v>5</v>
      </c>
      <c r="I4481" s="33" t="n">
        <f aca="false">IF(E4481="","",E4481-C4481)</f>
        <v>5.25</v>
      </c>
      <c r="J4481" s="33" t="str">
        <f aca="false">IF(F4481="","",F4481-C4481)</f>
        <v/>
      </c>
      <c r="K4481" s="33" t="n">
        <f aca="false">IF(G4481="","",G4481-C4481)</f>
        <v>7.182334</v>
      </c>
      <c r="L4481" s="33" t="n">
        <f aca="false">IF(H4481="","",ABS(H4481))</f>
        <v>5</v>
      </c>
      <c r="M4481" s="33" t="n">
        <f aca="false">IF(I4481="","",ABS(I4481))</f>
        <v>5.25</v>
      </c>
      <c r="N4481" s="33" t="str">
        <f aca="false">IF(J4481="","",ABS(J4481))</f>
        <v/>
      </c>
      <c r="O4481" s="33" t="n">
        <f aca="false">IF(K4481="","",ABS(K4481))</f>
        <v>7.182334</v>
      </c>
      <c r="P4481" s="34" t="str">
        <f aca="false">IF(B4481&gt;=Eval_Start_Week,"YES","")</f>
        <v/>
      </c>
      <c r="Q4481" s="34" t="str">
        <f aca="false">IF(AND(B4481&gt;=Cal_Start_Week,B4481&lt;=Cal_End_Week),"YES","")</f>
        <v/>
      </c>
    </row>
    <row r="4482" customFormat="false" ht="15" hidden="false" customHeight="false" outlineLevel="0" collapsed="false">
      <c r="A4482" s="31" t="str">
        <f aca="false">Demand_History!C4482</f>
        <v>CLN-007</v>
      </c>
      <c r="B4482" s="31" t="n">
        <f aca="false">Demand_History!A4482</f>
        <v>9</v>
      </c>
      <c r="C4482" s="32" t="n">
        <f aca="false">Demand_History!D4482</f>
        <v>69</v>
      </c>
      <c r="D4482" s="33" t="n">
        <f aca="false">IF(B4482&gt;=2,C4481,"")</f>
        <v>63</v>
      </c>
      <c r="E4482" s="33" t="n">
        <f aca="false">IF(B4482&gt;=5,AVERAGE(C4478:C4481),"")</f>
        <v>66.25</v>
      </c>
      <c r="F4482" s="33" t="n">
        <f aca="false">IF(B4482&gt;=9,AVERAGE(C4474:C4481),"")</f>
        <v>71.5</v>
      </c>
      <c r="G4482" s="33" t="n">
        <f aca="false">IF(B4482=1,"",IF(B4482=2,C4481,SES_Alpha*C4481+(1-SES_Alpha)*G4481))</f>
        <v>68.0276338</v>
      </c>
      <c r="H4482" s="33" t="n">
        <f aca="false">IF(D4482="","",D4482-C4482)</f>
        <v>-6</v>
      </c>
      <c r="I4482" s="33" t="n">
        <f aca="false">IF(E4482="","",E4482-C4482)</f>
        <v>-2.75</v>
      </c>
      <c r="J4482" s="33" t="n">
        <f aca="false">IF(F4482="","",F4482-C4482)</f>
        <v>2.5</v>
      </c>
      <c r="K4482" s="33" t="n">
        <f aca="false">IF(G4482="","",G4482-C4482)</f>
        <v>-0.97236620000001</v>
      </c>
      <c r="L4482" s="33" t="n">
        <f aca="false">IF(H4482="","",ABS(H4482))</f>
        <v>6</v>
      </c>
      <c r="M4482" s="33" t="n">
        <f aca="false">IF(I4482="","",ABS(I4482))</f>
        <v>2.75</v>
      </c>
      <c r="N4482" s="33" t="n">
        <f aca="false">IF(J4482="","",ABS(J4482))</f>
        <v>2.5</v>
      </c>
      <c r="O4482" s="33" t="n">
        <f aca="false">IF(K4482="","",ABS(K4482))</f>
        <v>0.97236620000001</v>
      </c>
      <c r="P4482" s="34" t="str">
        <f aca="false">IF(B4482&gt;=Eval_Start_Week,"YES","")</f>
        <v/>
      </c>
      <c r="Q4482" s="34" t="str">
        <f aca="false">IF(AND(B4482&gt;=Cal_Start_Week,B4482&lt;=Cal_End_Week),"YES","")</f>
        <v/>
      </c>
    </row>
    <row r="4483" customFormat="false" ht="15" hidden="false" customHeight="false" outlineLevel="0" collapsed="false">
      <c r="A4483" s="31" t="str">
        <f aca="false">Demand_History!C4483</f>
        <v>CLN-007</v>
      </c>
      <c r="B4483" s="31" t="n">
        <f aca="false">Demand_History!A4483</f>
        <v>10</v>
      </c>
      <c r="C4483" s="32" t="n">
        <f aca="false">Demand_History!D4483</f>
        <v>45</v>
      </c>
      <c r="D4483" s="33" t="n">
        <f aca="false">IF(B4483&gt;=2,C4482,"")</f>
        <v>69</v>
      </c>
      <c r="E4483" s="33" t="n">
        <f aca="false">IF(B4483&gt;=5,AVERAGE(C4479:C4482),"")</f>
        <v>65.75</v>
      </c>
      <c r="F4483" s="33" t="n">
        <f aca="false">IF(B4483&gt;=9,AVERAGE(C4475:C4482),"")</f>
        <v>70.25</v>
      </c>
      <c r="G4483" s="33" t="n">
        <f aca="false">IF(B4483=1,"",IF(B4483=2,C4482,SES_Alpha*C4482+(1-SES_Alpha)*G4482))</f>
        <v>68.31934366</v>
      </c>
      <c r="H4483" s="33" t="n">
        <f aca="false">IF(D4483="","",D4483-C4483)</f>
        <v>24</v>
      </c>
      <c r="I4483" s="33" t="n">
        <f aca="false">IF(E4483="","",E4483-C4483)</f>
        <v>20.75</v>
      </c>
      <c r="J4483" s="33" t="n">
        <f aca="false">IF(F4483="","",F4483-C4483)</f>
        <v>25.25</v>
      </c>
      <c r="K4483" s="33" t="n">
        <f aca="false">IF(G4483="","",G4483-C4483)</f>
        <v>23.31934366</v>
      </c>
      <c r="L4483" s="33" t="n">
        <f aca="false">IF(H4483="","",ABS(H4483))</f>
        <v>24</v>
      </c>
      <c r="M4483" s="33" t="n">
        <f aca="false">IF(I4483="","",ABS(I4483))</f>
        <v>20.75</v>
      </c>
      <c r="N4483" s="33" t="n">
        <f aca="false">IF(J4483="","",ABS(J4483))</f>
        <v>25.25</v>
      </c>
      <c r="O4483" s="33" t="n">
        <f aca="false">IF(K4483="","",ABS(K4483))</f>
        <v>23.31934366</v>
      </c>
      <c r="P4483" s="34" t="str">
        <f aca="false">IF(B4483&gt;=Eval_Start_Week,"YES","")</f>
        <v/>
      </c>
      <c r="Q4483" s="34" t="str">
        <f aca="false">IF(AND(B4483&gt;=Cal_Start_Week,B4483&lt;=Cal_End_Week),"YES","")</f>
        <v/>
      </c>
    </row>
    <row r="4484" customFormat="false" ht="15" hidden="false" customHeight="false" outlineLevel="0" collapsed="false">
      <c r="A4484" s="31" t="str">
        <f aca="false">Demand_History!C4484</f>
        <v>CLN-007</v>
      </c>
      <c r="B4484" s="31" t="n">
        <f aca="false">Demand_History!A4484</f>
        <v>11</v>
      </c>
      <c r="C4484" s="32" t="n">
        <f aca="false">Demand_History!D4484</f>
        <v>51</v>
      </c>
      <c r="D4484" s="33" t="n">
        <f aca="false">IF(B4484&gt;=2,C4483,"")</f>
        <v>45</v>
      </c>
      <c r="E4484" s="33" t="n">
        <f aca="false">IF(B4484&gt;=5,AVERAGE(C4480:C4483),"")</f>
        <v>61.25</v>
      </c>
      <c r="F4484" s="33" t="n">
        <f aca="false">IF(B4484&gt;=9,AVERAGE(C4476:C4483),"")</f>
        <v>65.5</v>
      </c>
      <c r="G4484" s="33" t="n">
        <f aca="false">IF(B4484=1,"",IF(B4484=2,C4483,SES_Alpha*C4483+(1-SES_Alpha)*G4483))</f>
        <v>61.323540562</v>
      </c>
      <c r="H4484" s="33" t="n">
        <f aca="false">IF(D4484="","",D4484-C4484)</f>
        <v>-6</v>
      </c>
      <c r="I4484" s="33" t="n">
        <f aca="false">IF(E4484="","",E4484-C4484)</f>
        <v>10.25</v>
      </c>
      <c r="J4484" s="33" t="n">
        <f aca="false">IF(F4484="","",F4484-C4484)</f>
        <v>14.5</v>
      </c>
      <c r="K4484" s="33" t="n">
        <f aca="false">IF(G4484="","",G4484-C4484)</f>
        <v>10.323540562</v>
      </c>
      <c r="L4484" s="33" t="n">
        <f aca="false">IF(H4484="","",ABS(H4484))</f>
        <v>6</v>
      </c>
      <c r="M4484" s="33" t="n">
        <f aca="false">IF(I4484="","",ABS(I4484))</f>
        <v>10.25</v>
      </c>
      <c r="N4484" s="33" t="n">
        <f aca="false">IF(J4484="","",ABS(J4484))</f>
        <v>14.5</v>
      </c>
      <c r="O4484" s="33" t="n">
        <f aca="false">IF(K4484="","",ABS(K4484))</f>
        <v>10.323540562</v>
      </c>
      <c r="P4484" s="34" t="str">
        <f aca="false">IF(B4484&gt;=Eval_Start_Week,"YES","")</f>
        <v/>
      </c>
      <c r="Q4484" s="34" t="str">
        <f aca="false">IF(AND(B4484&gt;=Cal_Start_Week,B4484&lt;=Cal_End_Week),"YES","")</f>
        <v/>
      </c>
    </row>
    <row r="4485" customFormat="false" ht="15" hidden="false" customHeight="false" outlineLevel="0" collapsed="false">
      <c r="A4485" s="31" t="str">
        <f aca="false">Demand_History!C4485</f>
        <v>CLN-007</v>
      </c>
      <c r="B4485" s="31" t="n">
        <f aca="false">Demand_History!A4485</f>
        <v>12</v>
      </c>
      <c r="C4485" s="32" t="n">
        <f aca="false">Demand_History!D4485</f>
        <v>74</v>
      </c>
      <c r="D4485" s="33" t="n">
        <f aca="false">IF(B4485&gt;=2,C4484,"")</f>
        <v>51</v>
      </c>
      <c r="E4485" s="33" t="n">
        <f aca="false">IF(B4485&gt;=5,AVERAGE(C4481:C4484),"")</f>
        <v>57</v>
      </c>
      <c r="F4485" s="33" t="n">
        <f aca="false">IF(B4485&gt;=9,AVERAGE(C4477:C4484),"")</f>
        <v>62.625</v>
      </c>
      <c r="G4485" s="33" t="n">
        <f aca="false">IF(B4485=1,"",IF(B4485=2,C4484,SES_Alpha*C4484+(1-SES_Alpha)*G4484))</f>
        <v>58.2264783934</v>
      </c>
      <c r="H4485" s="33" t="n">
        <f aca="false">IF(D4485="","",D4485-C4485)</f>
        <v>-23</v>
      </c>
      <c r="I4485" s="33" t="n">
        <f aca="false">IF(E4485="","",E4485-C4485)</f>
        <v>-17</v>
      </c>
      <c r="J4485" s="33" t="n">
        <f aca="false">IF(F4485="","",F4485-C4485)</f>
        <v>-11.375</v>
      </c>
      <c r="K4485" s="33" t="n">
        <f aca="false">IF(G4485="","",G4485-C4485)</f>
        <v>-15.7735216066</v>
      </c>
      <c r="L4485" s="33" t="n">
        <f aca="false">IF(H4485="","",ABS(H4485))</f>
        <v>23</v>
      </c>
      <c r="M4485" s="33" t="n">
        <f aca="false">IF(I4485="","",ABS(I4485))</f>
        <v>17</v>
      </c>
      <c r="N4485" s="33" t="n">
        <f aca="false">IF(J4485="","",ABS(J4485))</f>
        <v>11.375</v>
      </c>
      <c r="O4485" s="33" t="n">
        <f aca="false">IF(K4485="","",ABS(K4485))</f>
        <v>15.7735216066</v>
      </c>
      <c r="P4485" s="34" t="str">
        <f aca="false">IF(B4485&gt;=Eval_Start_Week,"YES","")</f>
        <v/>
      </c>
      <c r="Q4485" s="34" t="str">
        <f aca="false">IF(AND(B4485&gt;=Cal_Start_Week,B4485&lt;=Cal_End_Week),"YES","")</f>
        <v/>
      </c>
    </row>
    <row r="4486" customFormat="false" ht="15" hidden="false" customHeight="false" outlineLevel="0" collapsed="false">
      <c r="A4486" s="31" t="str">
        <f aca="false">Demand_History!C4486</f>
        <v>CLN-007</v>
      </c>
      <c r="B4486" s="31" t="n">
        <f aca="false">Demand_History!A4486</f>
        <v>13</v>
      </c>
      <c r="C4486" s="32" t="n">
        <f aca="false">Demand_History!D4486</f>
        <v>57</v>
      </c>
      <c r="D4486" s="33" t="n">
        <f aca="false">IF(B4486&gt;=2,C4485,"")</f>
        <v>74</v>
      </c>
      <c r="E4486" s="33" t="n">
        <f aca="false">IF(B4486&gt;=5,AVERAGE(C4482:C4485),"")</f>
        <v>59.75</v>
      </c>
      <c r="F4486" s="33" t="n">
        <f aca="false">IF(B4486&gt;=9,AVERAGE(C4478:C4485),"")</f>
        <v>63</v>
      </c>
      <c r="G4486" s="33" t="n">
        <f aca="false">IF(B4486=1,"",IF(B4486=2,C4485,SES_Alpha*C4485+(1-SES_Alpha)*G4485))</f>
        <v>62.95853487538</v>
      </c>
      <c r="H4486" s="33" t="n">
        <f aca="false">IF(D4486="","",D4486-C4486)</f>
        <v>17</v>
      </c>
      <c r="I4486" s="33" t="n">
        <f aca="false">IF(E4486="","",E4486-C4486)</f>
        <v>2.75</v>
      </c>
      <c r="J4486" s="33" t="n">
        <f aca="false">IF(F4486="","",F4486-C4486)</f>
        <v>6</v>
      </c>
      <c r="K4486" s="33" t="n">
        <f aca="false">IF(G4486="","",G4486-C4486)</f>
        <v>5.95853487537998</v>
      </c>
      <c r="L4486" s="33" t="n">
        <f aca="false">IF(H4486="","",ABS(H4486))</f>
        <v>17</v>
      </c>
      <c r="M4486" s="33" t="n">
        <f aca="false">IF(I4486="","",ABS(I4486))</f>
        <v>2.75</v>
      </c>
      <c r="N4486" s="33" t="n">
        <f aca="false">IF(J4486="","",ABS(J4486))</f>
        <v>6</v>
      </c>
      <c r="O4486" s="33" t="n">
        <f aca="false">IF(K4486="","",ABS(K4486))</f>
        <v>5.95853487537998</v>
      </c>
      <c r="P4486" s="34" t="str">
        <f aca="false">IF(B4486&gt;=Eval_Start_Week,"YES","")</f>
        <v/>
      </c>
      <c r="Q4486" s="34" t="str">
        <f aca="false">IF(AND(B4486&gt;=Cal_Start_Week,B4486&lt;=Cal_End_Week),"YES","")</f>
        <v/>
      </c>
    </row>
    <row r="4487" customFormat="false" ht="15" hidden="false" customHeight="false" outlineLevel="0" collapsed="false">
      <c r="A4487" s="31" t="str">
        <f aca="false">Demand_History!C4487</f>
        <v>CLN-007</v>
      </c>
      <c r="B4487" s="31" t="n">
        <f aca="false">Demand_History!A4487</f>
        <v>14</v>
      </c>
      <c r="C4487" s="32" t="n">
        <f aca="false">Demand_History!D4487</f>
        <v>17</v>
      </c>
      <c r="D4487" s="33" t="n">
        <f aca="false">IF(B4487&gt;=2,C4486,"")</f>
        <v>57</v>
      </c>
      <c r="E4487" s="33" t="n">
        <f aca="false">IF(B4487&gt;=5,AVERAGE(C4483:C4486),"")</f>
        <v>56.75</v>
      </c>
      <c r="F4487" s="33" t="n">
        <f aca="false">IF(B4487&gt;=9,AVERAGE(C4479:C4486),"")</f>
        <v>61.25</v>
      </c>
      <c r="G4487" s="33" t="n">
        <f aca="false">IF(B4487=1,"",IF(B4487=2,C4486,SES_Alpha*C4486+(1-SES_Alpha)*G4486))</f>
        <v>61.170974412766</v>
      </c>
      <c r="H4487" s="33" t="n">
        <f aca="false">IF(D4487="","",D4487-C4487)</f>
        <v>40</v>
      </c>
      <c r="I4487" s="33" t="n">
        <f aca="false">IF(E4487="","",E4487-C4487)</f>
        <v>39.75</v>
      </c>
      <c r="J4487" s="33" t="n">
        <f aca="false">IF(F4487="","",F4487-C4487)</f>
        <v>44.25</v>
      </c>
      <c r="K4487" s="33" t="n">
        <f aca="false">IF(G4487="","",G4487-C4487)</f>
        <v>44.170974412766</v>
      </c>
      <c r="L4487" s="33" t="n">
        <f aca="false">IF(H4487="","",ABS(H4487))</f>
        <v>40</v>
      </c>
      <c r="M4487" s="33" t="n">
        <f aca="false">IF(I4487="","",ABS(I4487))</f>
        <v>39.75</v>
      </c>
      <c r="N4487" s="33" t="n">
        <f aca="false">IF(J4487="","",ABS(J4487))</f>
        <v>44.25</v>
      </c>
      <c r="O4487" s="33" t="n">
        <f aca="false">IF(K4487="","",ABS(K4487))</f>
        <v>44.170974412766</v>
      </c>
      <c r="P4487" s="34" t="str">
        <f aca="false">IF(B4487&gt;=Eval_Start_Week,"YES","")</f>
        <v/>
      </c>
      <c r="Q4487" s="34" t="str">
        <f aca="false">IF(AND(B4487&gt;=Cal_Start_Week,B4487&lt;=Cal_End_Week),"YES","")</f>
        <v/>
      </c>
    </row>
    <row r="4488" customFormat="false" ht="15" hidden="false" customHeight="false" outlineLevel="0" collapsed="false">
      <c r="A4488" s="31" t="str">
        <f aca="false">Demand_History!C4488</f>
        <v>CLN-007</v>
      </c>
      <c r="B4488" s="31" t="n">
        <f aca="false">Demand_History!A4488</f>
        <v>15</v>
      </c>
      <c r="C4488" s="32" t="n">
        <f aca="false">Demand_History!D4488</f>
        <v>65</v>
      </c>
      <c r="D4488" s="33" t="n">
        <f aca="false">IF(B4488&gt;=2,C4487,"")</f>
        <v>17</v>
      </c>
      <c r="E4488" s="33" t="n">
        <f aca="false">IF(B4488&gt;=5,AVERAGE(C4484:C4487),"")</f>
        <v>49.75</v>
      </c>
      <c r="F4488" s="33" t="n">
        <f aca="false">IF(B4488&gt;=9,AVERAGE(C4480:C4487),"")</f>
        <v>55.5</v>
      </c>
      <c r="G4488" s="33" t="n">
        <f aca="false">IF(B4488=1,"",IF(B4488=2,C4487,SES_Alpha*C4487+(1-SES_Alpha)*G4487))</f>
        <v>47.9196820889362</v>
      </c>
      <c r="H4488" s="33" t="n">
        <f aca="false">IF(D4488="","",D4488-C4488)</f>
        <v>-48</v>
      </c>
      <c r="I4488" s="33" t="n">
        <f aca="false">IF(E4488="","",E4488-C4488)</f>
        <v>-15.25</v>
      </c>
      <c r="J4488" s="33" t="n">
        <f aca="false">IF(F4488="","",F4488-C4488)</f>
        <v>-9.5</v>
      </c>
      <c r="K4488" s="33" t="n">
        <f aca="false">IF(G4488="","",G4488-C4488)</f>
        <v>-17.0803179110638</v>
      </c>
      <c r="L4488" s="33" t="n">
        <f aca="false">IF(H4488="","",ABS(H4488))</f>
        <v>48</v>
      </c>
      <c r="M4488" s="33" t="n">
        <f aca="false">IF(I4488="","",ABS(I4488))</f>
        <v>15.25</v>
      </c>
      <c r="N4488" s="33" t="n">
        <f aca="false">IF(J4488="","",ABS(J4488))</f>
        <v>9.5</v>
      </c>
      <c r="O4488" s="33" t="n">
        <f aca="false">IF(K4488="","",ABS(K4488))</f>
        <v>17.0803179110638</v>
      </c>
      <c r="P4488" s="34" t="str">
        <f aca="false">IF(B4488&gt;=Eval_Start_Week,"YES","")</f>
        <v/>
      </c>
      <c r="Q4488" s="34" t="str">
        <f aca="false">IF(AND(B4488&gt;=Cal_Start_Week,B4488&lt;=Cal_End_Week),"YES","")</f>
        <v/>
      </c>
    </row>
    <row r="4489" customFormat="false" ht="15" hidden="false" customHeight="false" outlineLevel="0" collapsed="false">
      <c r="A4489" s="31" t="str">
        <f aca="false">Demand_History!C4489</f>
        <v>CLN-007</v>
      </c>
      <c r="B4489" s="31" t="n">
        <f aca="false">Demand_History!A4489</f>
        <v>16</v>
      </c>
      <c r="C4489" s="32" t="n">
        <f aca="false">Demand_History!D4489</f>
        <v>20</v>
      </c>
      <c r="D4489" s="33" t="n">
        <f aca="false">IF(B4489&gt;=2,C4488,"")</f>
        <v>65</v>
      </c>
      <c r="E4489" s="33" t="n">
        <f aca="false">IF(B4489&gt;=5,AVERAGE(C4485:C4488),"")</f>
        <v>53.25</v>
      </c>
      <c r="F4489" s="33" t="n">
        <f aca="false">IF(B4489&gt;=9,AVERAGE(C4481:C4488),"")</f>
        <v>55.125</v>
      </c>
      <c r="G4489" s="33" t="n">
        <f aca="false">IF(B4489=1,"",IF(B4489=2,C4488,SES_Alpha*C4488+(1-SES_Alpha)*G4488))</f>
        <v>53.0437774622553</v>
      </c>
      <c r="H4489" s="33" t="n">
        <f aca="false">IF(D4489="","",D4489-C4489)</f>
        <v>45</v>
      </c>
      <c r="I4489" s="33" t="n">
        <f aca="false">IF(E4489="","",E4489-C4489)</f>
        <v>33.25</v>
      </c>
      <c r="J4489" s="33" t="n">
        <f aca="false">IF(F4489="","",F4489-C4489)</f>
        <v>35.125</v>
      </c>
      <c r="K4489" s="33" t="n">
        <f aca="false">IF(G4489="","",G4489-C4489)</f>
        <v>33.0437774622553</v>
      </c>
      <c r="L4489" s="33" t="n">
        <f aca="false">IF(H4489="","",ABS(H4489))</f>
        <v>45</v>
      </c>
      <c r="M4489" s="33" t="n">
        <f aca="false">IF(I4489="","",ABS(I4489))</f>
        <v>33.25</v>
      </c>
      <c r="N4489" s="33" t="n">
        <f aca="false">IF(J4489="","",ABS(J4489))</f>
        <v>35.125</v>
      </c>
      <c r="O4489" s="33" t="n">
        <f aca="false">IF(K4489="","",ABS(K4489))</f>
        <v>33.0437774622553</v>
      </c>
      <c r="P4489" s="34" t="str">
        <f aca="false">IF(B4489&gt;=Eval_Start_Week,"YES","")</f>
        <v/>
      </c>
      <c r="Q4489" s="34" t="str">
        <f aca="false">IF(AND(B4489&gt;=Cal_Start_Week,B4489&lt;=Cal_End_Week),"YES","")</f>
        <v/>
      </c>
    </row>
    <row r="4490" customFormat="false" ht="15" hidden="false" customHeight="false" outlineLevel="0" collapsed="false">
      <c r="A4490" s="31" t="str">
        <f aca="false">Demand_History!C4490</f>
        <v>CLN-007</v>
      </c>
      <c r="B4490" s="31" t="n">
        <f aca="false">Demand_History!A4490</f>
        <v>17</v>
      </c>
      <c r="C4490" s="32" t="n">
        <f aca="false">Demand_History!D4490</f>
        <v>99</v>
      </c>
      <c r="D4490" s="33" t="n">
        <f aca="false">IF(B4490&gt;=2,C4489,"")</f>
        <v>20</v>
      </c>
      <c r="E4490" s="33" t="n">
        <f aca="false">IF(B4490&gt;=5,AVERAGE(C4486:C4489),"")</f>
        <v>39.75</v>
      </c>
      <c r="F4490" s="33" t="n">
        <f aca="false">IF(B4490&gt;=9,AVERAGE(C4482:C4489),"")</f>
        <v>49.75</v>
      </c>
      <c r="G4490" s="33" t="n">
        <f aca="false">IF(B4490=1,"",IF(B4490=2,C4489,SES_Alpha*C4489+(1-SES_Alpha)*G4489))</f>
        <v>43.1306442235787</v>
      </c>
      <c r="H4490" s="33" t="n">
        <f aca="false">IF(D4490="","",D4490-C4490)</f>
        <v>-79</v>
      </c>
      <c r="I4490" s="33" t="n">
        <f aca="false">IF(E4490="","",E4490-C4490)</f>
        <v>-59.25</v>
      </c>
      <c r="J4490" s="33" t="n">
        <f aca="false">IF(F4490="","",F4490-C4490)</f>
        <v>-49.25</v>
      </c>
      <c r="K4490" s="33" t="n">
        <f aca="false">IF(G4490="","",G4490-C4490)</f>
        <v>-55.8693557764213</v>
      </c>
      <c r="L4490" s="33" t="n">
        <f aca="false">IF(H4490="","",ABS(H4490))</f>
        <v>79</v>
      </c>
      <c r="M4490" s="33" t="n">
        <f aca="false">IF(I4490="","",ABS(I4490))</f>
        <v>59.25</v>
      </c>
      <c r="N4490" s="33" t="n">
        <f aca="false">IF(J4490="","",ABS(J4490))</f>
        <v>49.25</v>
      </c>
      <c r="O4490" s="33" t="n">
        <f aca="false">IF(K4490="","",ABS(K4490))</f>
        <v>55.8693557764213</v>
      </c>
      <c r="P4490" s="34" t="str">
        <f aca="false">IF(B4490&gt;=Eval_Start_Week,"YES","")</f>
        <v/>
      </c>
      <c r="Q4490" s="34" t="str">
        <f aca="false">IF(AND(B4490&gt;=Cal_Start_Week,B4490&lt;=Cal_End_Week),"YES","")</f>
        <v/>
      </c>
    </row>
    <row r="4491" customFormat="false" ht="15" hidden="false" customHeight="false" outlineLevel="0" collapsed="false">
      <c r="A4491" s="31" t="str">
        <f aca="false">Demand_History!C4491</f>
        <v>CLN-007</v>
      </c>
      <c r="B4491" s="31" t="n">
        <f aca="false">Demand_History!A4491</f>
        <v>18</v>
      </c>
      <c r="C4491" s="32" t="n">
        <f aca="false">Demand_History!D4491</f>
        <v>77</v>
      </c>
      <c r="D4491" s="33" t="n">
        <f aca="false">IF(B4491&gt;=2,C4490,"")</f>
        <v>99</v>
      </c>
      <c r="E4491" s="33" t="n">
        <f aca="false">IF(B4491&gt;=5,AVERAGE(C4487:C4490),"")</f>
        <v>50.25</v>
      </c>
      <c r="F4491" s="33" t="n">
        <f aca="false">IF(B4491&gt;=9,AVERAGE(C4483:C4490),"")</f>
        <v>53.5</v>
      </c>
      <c r="G4491" s="33" t="n">
        <f aca="false">IF(B4491=1,"",IF(B4491=2,C4490,SES_Alpha*C4490+(1-SES_Alpha)*G4490))</f>
        <v>59.8914509565051</v>
      </c>
      <c r="H4491" s="33" t="n">
        <f aca="false">IF(D4491="","",D4491-C4491)</f>
        <v>22</v>
      </c>
      <c r="I4491" s="33" t="n">
        <f aca="false">IF(E4491="","",E4491-C4491)</f>
        <v>-26.75</v>
      </c>
      <c r="J4491" s="33" t="n">
        <f aca="false">IF(F4491="","",F4491-C4491)</f>
        <v>-23.5</v>
      </c>
      <c r="K4491" s="33" t="n">
        <f aca="false">IF(G4491="","",G4491-C4491)</f>
        <v>-17.1085490434949</v>
      </c>
      <c r="L4491" s="33" t="n">
        <f aca="false">IF(H4491="","",ABS(H4491))</f>
        <v>22</v>
      </c>
      <c r="M4491" s="33" t="n">
        <f aca="false">IF(I4491="","",ABS(I4491))</f>
        <v>26.75</v>
      </c>
      <c r="N4491" s="33" t="n">
        <f aca="false">IF(J4491="","",ABS(J4491))</f>
        <v>23.5</v>
      </c>
      <c r="O4491" s="33" t="n">
        <f aca="false">IF(K4491="","",ABS(K4491))</f>
        <v>17.1085490434949</v>
      </c>
      <c r="P4491" s="34" t="str">
        <f aca="false">IF(B4491&gt;=Eval_Start_Week,"YES","")</f>
        <v/>
      </c>
      <c r="Q4491" s="34" t="str">
        <f aca="false">IF(AND(B4491&gt;=Cal_Start_Week,B4491&lt;=Cal_End_Week),"YES","")</f>
        <v/>
      </c>
    </row>
    <row r="4492" customFormat="false" ht="15" hidden="false" customHeight="false" outlineLevel="0" collapsed="false">
      <c r="A4492" s="31" t="str">
        <f aca="false">Demand_History!C4492</f>
        <v>CLN-007</v>
      </c>
      <c r="B4492" s="31" t="n">
        <f aca="false">Demand_History!A4492</f>
        <v>19</v>
      </c>
      <c r="C4492" s="32" t="n">
        <f aca="false">Demand_History!D4492</f>
        <v>76</v>
      </c>
      <c r="D4492" s="33" t="n">
        <f aca="false">IF(B4492&gt;=2,C4491,"")</f>
        <v>77</v>
      </c>
      <c r="E4492" s="33" t="n">
        <f aca="false">IF(B4492&gt;=5,AVERAGE(C4488:C4491),"")</f>
        <v>65.25</v>
      </c>
      <c r="F4492" s="33" t="n">
        <f aca="false">IF(B4492&gt;=9,AVERAGE(C4484:C4491),"")</f>
        <v>57.5</v>
      </c>
      <c r="G4492" s="33" t="n">
        <f aca="false">IF(B4492=1,"",IF(B4492=2,C4491,SES_Alpha*C4491+(1-SES_Alpha)*G4491))</f>
        <v>65.0240156695536</v>
      </c>
      <c r="H4492" s="33" t="n">
        <f aca="false">IF(D4492="","",D4492-C4492)</f>
        <v>1</v>
      </c>
      <c r="I4492" s="33" t="n">
        <f aca="false">IF(E4492="","",E4492-C4492)</f>
        <v>-10.75</v>
      </c>
      <c r="J4492" s="33" t="n">
        <f aca="false">IF(F4492="","",F4492-C4492)</f>
        <v>-18.5</v>
      </c>
      <c r="K4492" s="33" t="n">
        <f aca="false">IF(G4492="","",G4492-C4492)</f>
        <v>-10.9759843304464</v>
      </c>
      <c r="L4492" s="33" t="n">
        <f aca="false">IF(H4492="","",ABS(H4492))</f>
        <v>1</v>
      </c>
      <c r="M4492" s="33" t="n">
        <f aca="false">IF(I4492="","",ABS(I4492))</f>
        <v>10.75</v>
      </c>
      <c r="N4492" s="33" t="n">
        <f aca="false">IF(J4492="","",ABS(J4492))</f>
        <v>18.5</v>
      </c>
      <c r="O4492" s="33" t="n">
        <f aca="false">IF(K4492="","",ABS(K4492))</f>
        <v>10.9759843304464</v>
      </c>
      <c r="P4492" s="34" t="str">
        <f aca="false">IF(B4492&gt;=Eval_Start_Week,"YES","")</f>
        <v/>
      </c>
      <c r="Q4492" s="34" t="str">
        <f aca="false">IF(AND(B4492&gt;=Cal_Start_Week,B4492&lt;=Cal_End_Week),"YES","")</f>
        <v/>
      </c>
    </row>
    <row r="4493" customFormat="false" ht="15" hidden="false" customHeight="false" outlineLevel="0" collapsed="false">
      <c r="A4493" s="31" t="str">
        <f aca="false">Demand_History!C4493</f>
        <v>CLN-007</v>
      </c>
      <c r="B4493" s="31" t="n">
        <f aca="false">Demand_History!A4493</f>
        <v>20</v>
      </c>
      <c r="C4493" s="32" t="n">
        <f aca="false">Demand_History!D4493</f>
        <v>51</v>
      </c>
      <c r="D4493" s="33" t="n">
        <f aca="false">IF(B4493&gt;=2,C4492,"")</f>
        <v>76</v>
      </c>
      <c r="E4493" s="33" t="n">
        <f aca="false">IF(B4493&gt;=5,AVERAGE(C4489:C4492),"")</f>
        <v>68</v>
      </c>
      <c r="F4493" s="33" t="n">
        <f aca="false">IF(B4493&gt;=9,AVERAGE(C4485:C4492),"")</f>
        <v>60.625</v>
      </c>
      <c r="G4493" s="33" t="n">
        <f aca="false">IF(B4493=1,"",IF(B4493=2,C4492,SES_Alpha*C4492+(1-SES_Alpha)*G4492))</f>
        <v>68.3168109686875</v>
      </c>
      <c r="H4493" s="33" t="n">
        <f aca="false">IF(D4493="","",D4493-C4493)</f>
        <v>25</v>
      </c>
      <c r="I4493" s="33" t="n">
        <f aca="false">IF(E4493="","",E4493-C4493)</f>
        <v>17</v>
      </c>
      <c r="J4493" s="33" t="n">
        <f aca="false">IF(F4493="","",F4493-C4493)</f>
        <v>9.625</v>
      </c>
      <c r="K4493" s="33" t="n">
        <f aca="false">IF(G4493="","",G4493-C4493)</f>
        <v>17.3168109686875</v>
      </c>
      <c r="L4493" s="33" t="n">
        <f aca="false">IF(H4493="","",ABS(H4493))</f>
        <v>25</v>
      </c>
      <c r="M4493" s="33" t="n">
        <f aca="false">IF(I4493="","",ABS(I4493))</f>
        <v>17</v>
      </c>
      <c r="N4493" s="33" t="n">
        <f aca="false">IF(J4493="","",ABS(J4493))</f>
        <v>9.625</v>
      </c>
      <c r="O4493" s="33" t="n">
        <f aca="false">IF(K4493="","",ABS(K4493))</f>
        <v>17.3168109686875</v>
      </c>
      <c r="P4493" s="34" t="str">
        <f aca="false">IF(B4493&gt;=Eval_Start_Week,"YES","")</f>
        <v/>
      </c>
      <c r="Q4493" s="34" t="str">
        <f aca="false">IF(AND(B4493&gt;=Cal_Start_Week,B4493&lt;=Cal_End_Week),"YES","")</f>
        <v/>
      </c>
    </row>
    <row r="4494" customFormat="false" ht="15" hidden="false" customHeight="false" outlineLevel="0" collapsed="false">
      <c r="A4494" s="31" t="str">
        <f aca="false">Demand_History!C4494</f>
        <v>CLN-007</v>
      </c>
      <c r="B4494" s="31" t="n">
        <f aca="false">Demand_History!A4494</f>
        <v>21</v>
      </c>
      <c r="C4494" s="32" t="n">
        <f aca="false">Demand_History!D4494</f>
        <v>42</v>
      </c>
      <c r="D4494" s="33" t="n">
        <f aca="false">IF(B4494&gt;=2,C4493,"")</f>
        <v>51</v>
      </c>
      <c r="E4494" s="33" t="n">
        <f aca="false">IF(B4494&gt;=5,AVERAGE(C4490:C4493),"")</f>
        <v>75.75</v>
      </c>
      <c r="F4494" s="33" t="n">
        <f aca="false">IF(B4494&gt;=9,AVERAGE(C4486:C4493),"")</f>
        <v>57.75</v>
      </c>
      <c r="G4494" s="33" t="n">
        <f aca="false">IF(B4494=1,"",IF(B4494=2,C4493,SES_Alpha*C4493+(1-SES_Alpha)*G4493))</f>
        <v>63.1217676780813</v>
      </c>
      <c r="H4494" s="33" t="n">
        <f aca="false">IF(D4494="","",D4494-C4494)</f>
        <v>9</v>
      </c>
      <c r="I4494" s="33" t="n">
        <f aca="false">IF(E4494="","",E4494-C4494)</f>
        <v>33.75</v>
      </c>
      <c r="J4494" s="33" t="n">
        <f aca="false">IF(F4494="","",F4494-C4494)</f>
        <v>15.75</v>
      </c>
      <c r="K4494" s="33" t="n">
        <f aca="false">IF(G4494="","",G4494-C4494)</f>
        <v>21.1217676780812</v>
      </c>
      <c r="L4494" s="33" t="n">
        <f aca="false">IF(H4494="","",ABS(H4494))</f>
        <v>9</v>
      </c>
      <c r="M4494" s="33" t="n">
        <f aca="false">IF(I4494="","",ABS(I4494))</f>
        <v>33.75</v>
      </c>
      <c r="N4494" s="33" t="n">
        <f aca="false">IF(J4494="","",ABS(J4494))</f>
        <v>15.75</v>
      </c>
      <c r="O4494" s="33" t="n">
        <f aca="false">IF(K4494="","",ABS(K4494))</f>
        <v>21.1217676780812</v>
      </c>
      <c r="P4494" s="34" t="str">
        <f aca="false">IF(B4494&gt;=Eval_Start_Week,"YES","")</f>
        <v/>
      </c>
      <c r="Q4494" s="34" t="str">
        <f aca="false">IF(AND(B4494&gt;=Cal_Start_Week,B4494&lt;=Cal_End_Week),"YES","")</f>
        <v/>
      </c>
    </row>
    <row r="4495" customFormat="false" ht="15" hidden="false" customHeight="false" outlineLevel="0" collapsed="false">
      <c r="A4495" s="31" t="str">
        <f aca="false">Demand_History!C4495</f>
        <v>CLN-007</v>
      </c>
      <c r="B4495" s="31" t="n">
        <f aca="false">Demand_History!A4495</f>
        <v>22</v>
      </c>
      <c r="C4495" s="32" t="n">
        <f aca="false">Demand_History!D4495</f>
        <v>59</v>
      </c>
      <c r="D4495" s="33" t="n">
        <f aca="false">IF(B4495&gt;=2,C4494,"")</f>
        <v>42</v>
      </c>
      <c r="E4495" s="33" t="n">
        <f aca="false">IF(B4495&gt;=5,AVERAGE(C4491:C4494),"")</f>
        <v>61.5</v>
      </c>
      <c r="F4495" s="33" t="n">
        <f aca="false">IF(B4495&gt;=9,AVERAGE(C4487:C4494),"")</f>
        <v>55.875</v>
      </c>
      <c r="G4495" s="33" t="n">
        <f aca="false">IF(B4495=1,"",IF(B4495=2,C4494,SES_Alpha*C4494+(1-SES_Alpha)*G4494))</f>
        <v>56.7852373746569</v>
      </c>
      <c r="H4495" s="33" t="n">
        <f aca="false">IF(D4495="","",D4495-C4495)</f>
        <v>-17</v>
      </c>
      <c r="I4495" s="33" t="n">
        <f aca="false">IF(E4495="","",E4495-C4495)</f>
        <v>2.5</v>
      </c>
      <c r="J4495" s="33" t="n">
        <f aca="false">IF(F4495="","",F4495-C4495)</f>
        <v>-3.125</v>
      </c>
      <c r="K4495" s="33" t="n">
        <f aca="false">IF(G4495="","",G4495-C4495)</f>
        <v>-2.21476262534313</v>
      </c>
      <c r="L4495" s="33" t="n">
        <f aca="false">IF(H4495="","",ABS(H4495))</f>
        <v>17</v>
      </c>
      <c r="M4495" s="33" t="n">
        <f aca="false">IF(I4495="","",ABS(I4495))</f>
        <v>2.5</v>
      </c>
      <c r="N4495" s="33" t="n">
        <f aca="false">IF(J4495="","",ABS(J4495))</f>
        <v>3.125</v>
      </c>
      <c r="O4495" s="33" t="n">
        <f aca="false">IF(K4495="","",ABS(K4495))</f>
        <v>2.21476262534313</v>
      </c>
      <c r="P4495" s="34" t="str">
        <f aca="false">IF(B4495&gt;=Eval_Start_Week,"YES","")</f>
        <v/>
      </c>
      <c r="Q4495" s="34" t="str">
        <f aca="false">IF(AND(B4495&gt;=Cal_Start_Week,B4495&lt;=Cal_End_Week),"YES","")</f>
        <v/>
      </c>
    </row>
    <row r="4496" customFormat="false" ht="15" hidden="false" customHeight="false" outlineLevel="0" collapsed="false">
      <c r="A4496" s="31" t="str">
        <f aca="false">Demand_History!C4496</f>
        <v>CLN-007</v>
      </c>
      <c r="B4496" s="31" t="n">
        <f aca="false">Demand_History!A4496</f>
        <v>23</v>
      </c>
      <c r="C4496" s="32" t="n">
        <f aca="false">Demand_History!D4496</f>
        <v>64</v>
      </c>
      <c r="D4496" s="33" t="n">
        <f aca="false">IF(B4496&gt;=2,C4495,"")</f>
        <v>59</v>
      </c>
      <c r="E4496" s="33" t="n">
        <f aca="false">IF(B4496&gt;=5,AVERAGE(C4492:C4495),"")</f>
        <v>57</v>
      </c>
      <c r="F4496" s="33" t="n">
        <f aca="false">IF(B4496&gt;=9,AVERAGE(C4488:C4495),"")</f>
        <v>61.125</v>
      </c>
      <c r="G4496" s="33" t="n">
        <f aca="false">IF(B4496=1,"",IF(B4496=2,C4495,SES_Alpha*C4495+(1-SES_Alpha)*G4495))</f>
        <v>57.4496661622598</v>
      </c>
      <c r="H4496" s="33" t="n">
        <f aca="false">IF(D4496="","",D4496-C4496)</f>
        <v>-5</v>
      </c>
      <c r="I4496" s="33" t="n">
        <f aca="false">IF(E4496="","",E4496-C4496)</f>
        <v>-7</v>
      </c>
      <c r="J4496" s="33" t="n">
        <f aca="false">IF(F4496="","",F4496-C4496)</f>
        <v>-2.875</v>
      </c>
      <c r="K4496" s="33" t="n">
        <f aca="false">IF(G4496="","",G4496-C4496)</f>
        <v>-6.5503338377402</v>
      </c>
      <c r="L4496" s="33" t="n">
        <f aca="false">IF(H4496="","",ABS(H4496))</f>
        <v>5</v>
      </c>
      <c r="M4496" s="33" t="n">
        <f aca="false">IF(I4496="","",ABS(I4496))</f>
        <v>7</v>
      </c>
      <c r="N4496" s="33" t="n">
        <f aca="false">IF(J4496="","",ABS(J4496))</f>
        <v>2.875</v>
      </c>
      <c r="O4496" s="33" t="n">
        <f aca="false">IF(K4496="","",ABS(K4496))</f>
        <v>6.5503338377402</v>
      </c>
      <c r="P4496" s="34" t="str">
        <f aca="false">IF(B4496&gt;=Eval_Start_Week,"YES","")</f>
        <v/>
      </c>
      <c r="Q4496" s="34" t="str">
        <f aca="false">IF(AND(B4496&gt;=Cal_Start_Week,B4496&lt;=Cal_End_Week),"YES","")</f>
        <v/>
      </c>
    </row>
    <row r="4497" customFormat="false" ht="15" hidden="false" customHeight="false" outlineLevel="0" collapsed="false">
      <c r="A4497" s="31" t="str">
        <f aca="false">Demand_History!C4497</f>
        <v>CLN-007</v>
      </c>
      <c r="B4497" s="31" t="n">
        <f aca="false">Demand_History!A4497</f>
        <v>24</v>
      </c>
      <c r="C4497" s="32" t="n">
        <f aca="false">Demand_History!D4497</f>
        <v>49</v>
      </c>
      <c r="D4497" s="33" t="n">
        <f aca="false">IF(B4497&gt;=2,C4496,"")</f>
        <v>64</v>
      </c>
      <c r="E4497" s="33" t="n">
        <f aca="false">IF(B4497&gt;=5,AVERAGE(C4493:C4496),"")</f>
        <v>54</v>
      </c>
      <c r="F4497" s="33" t="n">
        <f aca="false">IF(B4497&gt;=9,AVERAGE(C4489:C4496),"")</f>
        <v>61</v>
      </c>
      <c r="G4497" s="33" t="n">
        <f aca="false">IF(B4497=1,"",IF(B4497=2,C4496,SES_Alpha*C4496+(1-SES_Alpha)*G4496))</f>
        <v>59.4147663135819</v>
      </c>
      <c r="H4497" s="33" t="n">
        <f aca="false">IF(D4497="","",D4497-C4497)</f>
        <v>15</v>
      </c>
      <c r="I4497" s="33" t="n">
        <f aca="false">IF(E4497="","",E4497-C4497)</f>
        <v>5</v>
      </c>
      <c r="J4497" s="33" t="n">
        <f aca="false">IF(F4497="","",F4497-C4497)</f>
        <v>12</v>
      </c>
      <c r="K4497" s="33" t="n">
        <f aca="false">IF(G4497="","",G4497-C4497)</f>
        <v>10.4147663135819</v>
      </c>
      <c r="L4497" s="33" t="n">
        <f aca="false">IF(H4497="","",ABS(H4497))</f>
        <v>15</v>
      </c>
      <c r="M4497" s="33" t="n">
        <f aca="false">IF(I4497="","",ABS(I4497))</f>
        <v>5</v>
      </c>
      <c r="N4497" s="33" t="n">
        <f aca="false">IF(J4497="","",ABS(J4497))</f>
        <v>12</v>
      </c>
      <c r="O4497" s="33" t="n">
        <f aca="false">IF(K4497="","",ABS(K4497))</f>
        <v>10.4147663135819</v>
      </c>
      <c r="P4497" s="34" t="str">
        <f aca="false">IF(B4497&gt;=Eval_Start_Week,"YES","")</f>
        <v/>
      </c>
      <c r="Q4497" s="34" t="str">
        <f aca="false">IF(AND(B4497&gt;=Cal_Start_Week,B4497&lt;=Cal_End_Week),"YES","")</f>
        <v/>
      </c>
    </row>
    <row r="4498" customFormat="false" ht="15" hidden="false" customHeight="false" outlineLevel="0" collapsed="false">
      <c r="A4498" s="31" t="str">
        <f aca="false">Demand_History!C4498</f>
        <v>CLN-007</v>
      </c>
      <c r="B4498" s="31" t="n">
        <f aca="false">Demand_History!A4498</f>
        <v>25</v>
      </c>
      <c r="C4498" s="32" t="n">
        <f aca="false">Demand_History!D4498</f>
        <v>66</v>
      </c>
      <c r="D4498" s="33" t="n">
        <f aca="false">IF(B4498&gt;=2,C4497,"")</f>
        <v>49</v>
      </c>
      <c r="E4498" s="33" t="n">
        <f aca="false">IF(B4498&gt;=5,AVERAGE(C4494:C4497),"")</f>
        <v>53.5</v>
      </c>
      <c r="F4498" s="33" t="n">
        <f aca="false">IF(B4498&gt;=9,AVERAGE(C4490:C4497),"")</f>
        <v>64.625</v>
      </c>
      <c r="G4498" s="33" t="n">
        <f aca="false">IF(B4498=1,"",IF(B4498=2,C4497,SES_Alpha*C4497+(1-SES_Alpha)*G4497))</f>
        <v>56.2903364195073</v>
      </c>
      <c r="H4498" s="33" t="n">
        <f aca="false">IF(D4498="","",D4498-C4498)</f>
        <v>-17</v>
      </c>
      <c r="I4498" s="33" t="n">
        <f aca="false">IF(E4498="","",E4498-C4498)</f>
        <v>-12.5</v>
      </c>
      <c r="J4498" s="33" t="n">
        <f aca="false">IF(F4498="","",F4498-C4498)</f>
        <v>-1.375</v>
      </c>
      <c r="K4498" s="33" t="n">
        <f aca="false">IF(G4498="","",G4498-C4498)</f>
        <v>-9.7096635804927</v>
      </c>
      <c r="L4498" s="33" t="n">
        <f aca="false">IF(H4498="","",ABS(H4498))</f>
        <v>17</v>
      </c>
      <c r="M4498" s="33" t="n">
        <f aca="false">IF(I4498="","",ABS(I4498))</f>
        <v>12.5</v>
      </c>
      <c r="N4498" s="33" t="n">
        <f aca="false">IF(J4498="","",ABS(J4498))</f>
        <v>1.375</v>
      </c>
      <c r="O4498" s="33" t="n">
        <f aca="false">IF(K4498="","",ABS(K4498))</f>
        <v>9.7096635804927</v>
      </c>
      <c r="P4498" s="34" t="str">
        <f aca="false">IF(B4498&gt;=Eval_Start_Week,"YES","")</f>
        <v/>
      </c>
      <c r="Q4498" s="34" t="str">
        <f aca="false">IF(AND(B4498&gt;=Cal_Start_Week,B4498&lt;=Cal_End_Week),"YES","")</f>
        <v/>
      </c>
    </row>
    <row r="4499" customFormat="false" ht="15" hidden="false" customHeight="false" outlineLevel="0" collapsed="false">
      <c r="A4499" s="31" t="str">
        <f aca="false">Demand_History!C4499</f>
        <v>CLN-007</v>
      </c>
      <c r="B4499" s="31" t="n">
        <f aca="false">Demand_History!A4499</f>
        <v>26</v>
      </c>
      <c r="C4499" s="32" t="n">
        <f aca="false">Demand_History!D4499</f>
        <v>76</v>
      </c>
      <c r="D4499" s="33" t="n">
        <f aca="false">IF(B4499&gt;=2,C4498,"")</f>
        <v>66</v>
      </c>
      <c r="E4499" s="33" t="n">
        <f aca="false">IF(B4499&gt;=5,AVERAGE(C4495:C4498),"")</f>
        <v>59.5</v>
      </c>
      <c r="F4499" s="33" t="n">
        <f aca="false">IF(B4499&gt;=9,AVERAGE(C4491:C4498),"")</f>
        <v>60.5</v>
      </c>
      <c r="G4499" s="33" t="n">
        <f aca="false">IF(B4499=1,"",IF(B4499=2,C4498,SES_Alpha*C4498+(1-SES_Alpha)*G4498))</f>
        <v>59.2032354936551</v>
      </c>
      <c r="H4499" s="33" t="n">
        <f aca="false">IF(D4499="","",D4499-C4499)</f>
        <v>-10</v>
      </c>
      <c r="I4499" s="33" t="n">
        <f aca="false">IF(E4499="","",E4499-C4499)</f>
        <v>-16.5</v>
      </c>
      <c r="J4499" s="33" t="n">
        <f aca="false">IF(F4499="","",F4499-C4499)</f>
        <v>-15.5</v>
      </c>
      <c r="K4499" s="33" t="n">
        <f aca="false">IF(G4499="","",G4499-C4499)</f>
        <v>-16.7967645063449</v>
      </c>
      <c r="L4499" s="33" t="n">
        <f aca="false">IF(H4499="","",ABS(H4499))</f>
        <v>10</v>
      </c>
      <c r="M4499" s="33" t="n">
        <f aca="false">IF(I4499="","",ABS(I4499))</f>
        <v>16.5</v>
      </c>
      <c r="N4499" s="33" t="n">
        <f aca="false">IF(J4499="","",ABS(J4499))</f>
        <v>15.5</v>
      </c>
      <c r="O4499" s="33" t="n">
        <f aca="false">IF(K4499="","",ABS(K4499))</f>
        <v>16.7967645063449</v>
      </c>
      <c r="P4499" s="34" t="str">
        <f aca="false">IF(B4499&gt;=Eval_Start_Week,"YES","")</f>
        <v/>
      </c>
      <c r="Q4499" s="34" t="str">
        <f aca="false">IF(AND(B4499&gt;=Cal_Start_Week,B4499&lt;=Cal_End_Week),"YES","")</f>
        <v/>
      </c>
    </row>
    <row r="4500" customFormat="false" ht="15" hidden="false" customHeight="false" outlineLevel="0" collapsed="false">
      <c r="A4500" s="31" t="str">
        <f aca="false">Demand_History!C4500</f>
        <v>CLN-007</v>
      </c>
      <c r="B4500" s="31" t="n">
        <f aca="false">Demand_History!A4500</f>
        <v>27</v>
      </c>
      <c r="C4500" s="32" t="n">
        <f aca="false">Demand_History!D4500</f>
        <v>74</v>
      </c>
      <c r="D4500" s="33" t="n">
        <f aca="false">IF(B4500&gt;=2,C4499,"")</f>
        <v>76</v>
      </c>
      <c r="E4500" s="33" t="n">
        <f aca="false">IF(B4500&gt;=5,AVERAGE(C4496:C4499),"")</f>
        <v>63.75</v>
      </c>
      <c r="F4500" s="33" t="n">
        <f aca="false">IF(B4500&gt;=9,AVERAGE(C4492:C4499),"")</f>
        <v>60.375</v>
      </c>
      <c r="G4500" s="33" t="n">
        <f aca="false">IF(B4500=1,"",IF(B4500=2,C4499,SES_Alpha*C4499+(1-SES_Alpha)*G4499))</f>
        <v>64.2422648455586</v>
      </c>
      <c r="H4500" s="33" t="n">
        <f aca="false">IF(D4500="","",D4500-C4500)</f>
        <v>2</v>
      </c>
      <c r="I4500" s="33" t="n">
        <f aca="false">IF(E4500="","",E4500-C4500)</f>
        <v>-10.25</v>
      </c>
      <c r="J4500" s="33" t="n">
        <f aca="false">IF(F4500="","",F4500-C4500)</f>
        <v>-13.625</v>
      </c>
      <c r="K4500" s="33" t="n">
        <f aca="false">IF(G4500="","",G4500-C4500)</f>
        <v>-9.75773515444143</v>
      </c>
      <c r="L4500" s="33" t="n">
        <f aca="false">IF(H4500="","",ABS(H4500))</f>
        <v>2</v>
      </c>
      <c r="M4500" s="33" t="n">
        <f aca="false">IF(I4500="","",ABS(I4500))</f>
        <v>10.25</v>
      </c>
      <c r="N4500" s="33" t="n">
        <f aca="false">IF(J4500="","",ABS(J4500))</f>
        <v>13.625</v>
      </c>
      <c r="O4500" s="33" t="n">
        <f aca="false">IF(K4500="","",ABS(K4500))</f>
        <v>9.75773515444143</v>
      </c>
      <c r="P4500" s="34" t="str">
        <f aca="false">IF(B4500&gt;=Eval_Start_Week,"YES","")</f>
        <v/>
      </c>
      <c r="Q4500" s="34" t="str">
        <f aca="false">IF(AND(B4500&gt;=Cal_Start_Week,B4500&lt;=Cal_End_Week),"YES","")</f>
        <v/>
      </c>
    </row>
    <row r="4501" customFormat="false" ht="15" hidden="false" customHeight="false" outlineLevel="0" collapsed="false">
      <c r="A4501" s="31" t="str">
        <f aca="false">Demand_History!C4501</f>
        <v>CLN-007</v>
      </c>
      <c r="B4501" s="31" t="n">
        <f aca="false">Demand_History!A4501</f>
        <v>28</v>
      </c>
      <c r="C4501" s="32" t="n">
        <f aca="false">Demand_History!D4501</f>
        <v>44</v>
      </c>
      <c r="D4501" s="33" t="n">
        <f aca="false">IF(B4501&gt;=2,C4500,"")</f>
        <v>74</v>
      </c>
      <c r="E4501" s="33" t="n">
        <f aca="false">IF(B4501&gt;=5,AVERAGE(C4497:C4500),"")</f>
        <v>66.25</v>
      </c>
      <c r="F4501" s="33" t="n">
        <f aca="false">IF(B4501&gt;=9,AVERAGE(C4493:C4500),"")</f>
        <v>60.125</v>
      </c>
      <c r="G4501" s="33" t="n">
        <f aca="false">IF(B4501=1,"",IF(B4501=2,C4500,SES_Alpha*C4500+(1-SES_Alpha)*G4500))</f>
        <v>67.169585391891</v>
      </c>
      <c r="H4501" s="33" t="n">
        <f aca="false">IF(D4501="","",D4501-C4501)</f>
        <v>30</v>
      </c>
      <c r="I4501" s="33" t="n">
        <f aca="false">IF(E4501="","",E4501-C4501)</f>
        <v>22.25</v>
      </c>
      <c r="J4501" s="33" t="n">
        <f aca="false">IF(F4501="","",F4501-C4501)</f>
        <v>16.125</v>
      </c>
      <c r="K4501" s="33" t="n">
        <f aca="false">IF(G4501="","",G4501-C4501)</f>
        <v>23.169585391891</v>
      </c>
      <c r="L4501" s="33" t="n">
        <f aca="false">IF(H4501="","",ABS(H4501))</f>
        <v>30</v>
      </c>
      <c r="M4501" s="33" t="n">
        <f aca="false">IF(I4501="","",ABS(I4501))</f>
        <v>22.25</v>
      </c>
      <c r="N4501" s="33" t="n">
        <f aca="false">IF(J4501="","",ABS(J4501))</f>
        <v>16.125</v>
      </c>
      <c r="O4501" s="33" t="n">
        <f aca="false">IF(K4501="","",ABS(K4501))</f>
        <v>23.169585391891</v>
      </c>
      <c r="P4501" s="34" t="str">
        <f aca="false">IF(B4501&gt;=Eval_Start_Week,"YES","")</f>
        <v/>
      </c>
      <c r="Q4501" s="34" t="str">
        <f aca="false">IF(AND(B4501&gt;=Cal_Start_Week,B4501&lt;=Cal_End_Week),"YES","")</f>
        <v/>
      </c>
    </row>
    <row r="4502" customFormat="false" ht="15" hidden="false" customHeight="false" outlineLevel="0" collapsed="false">
      <c r="A4502" s="31" t="str">
        <f aca="false">Demand_History!C4502</f>
        <v>CLN-007</v>
      </c>
      <c r="B4502" s="31" t="n">
        <f aca="false">Demand_History!A4502</f>
        <v>29</v>
      </c>
      <c r="C4502" s="32" t="n">
        <f aca="false">Demand_History!D4502</f>
        <v>22</v>
      </c>
      <c r="D4502" s="33" t="n">
        <f aca="false">IF(B4502&gt;=2,C4501,"")</f>
        <v>44</v>
      </c>
      <c r="E4502" s="33" t="n">
        <f aca="false">IF(B4502&gt;=5,AVERAGE(C4498:C4501),"")</f>
        <v>65</v>
      </c>
      <c r="F4502" s="33" t="n">
        <f aca="false">IF(B4502&gt;=9,AVERAGE(C4494:C4501),"")</f>
        <v>59.25</v>
      </c>
      <c r="G4502" s="33" t="n">
        <f aca="false">IF(B4502=1,"",IF(B4502=2,C4501,SES_Alpha*C4501+(1-SES_Alpha)*G4501))</f>
        <v>60.2187097743237</v>
      </c>
      <c r="H4502" s="33" t="n">
        <f aca="false">IF(D4502="","",D4502-C4502)</f>
        <v>22</v>
      </c>
      <c r="I4502" s="33" t="n">
        <f aca="false">IF(E4502="","",E4502-C4502)</f>
        <v>43</v>
      </c>
      <c r="J4502" s="33" t="n">
        <f aca="false">IF(F4502="","",F4502-C4502)</f>
        <v>37.25</v>
      </c>
      <c r="K4502" s="33" t="n">
        <f aca="false">IF(G4502="","",G4502-C4502)</f>
        <v>38.2187097743237</v>
      </c>
      <c r="L4502" s="33" t="n">
        <f aca="false">IF(H4502="","",ABS(H4502))</f>
        <v>22</v>
      </c>
      <c r="M4502" s="33" t="n">
        <f aca="false">IF(I4502="","",ABS(I4502))</f>
        <v>43</v>
      </c>
      <c r="N4502" s="33" t="n">
        <f aca="false">IF(J4502="","",ABS(J4502))</f>
        <v>37.25</v>
      </c>
      <c r="O4502" s="33" t="n">
        <f aca="false">IF(K4502="","",ABS(K4502))</f>
        <v>38.2187097743237</v>
      </c>
      <c r="P4502" s="34" t="str">
        <f aca="false">IF(B4502&gt;=Eval_Start_Week,"YES","")</f>
        <v/>
      </c>
      <c r="Q4502" s="34" t="str">
        <f aca="false">IF(AND(B4502&gt;=Cal_Start_Week,B4502&lt;=Cal_End_Week),"YES","")</f>
        <v/>
      </c>
    </row>
    <row r="4503" customFormat="false" ht="15" hidden="false" customHeight="false" outlineLevel="0" collapsed="false">
      <c r="A4503" s="31" t="str">
        <f aca="false">Demand_History!C4503</f>
        <v>CLN-007</v>
      </c>
      <c r="B4503" s="31" t="n">
        <f aca="false">Demand_History!A4503</f>
        <v>30</v>
      </c>
      <c r="C4503" s="32" t="n">
        <f aca="false">Demand_History!D4503</f>
        <v>63</v>
      </c>
      <c r="D4503" s="33" t="n">
        <f aca="false">IF(B4503&gt;=2,C4502,"")</f>
        <v>22</v>
      </c>
      <c r="E4503" s="33" t="n">
        <f aca="false">IF(B4503&gt;=5,AVERAGE(C4499:C4502),"")</f>
        <v>54</v>
      </c>
      <c r="F4503" s="33" t="n">
        <f aca="false">IF(B4503&gt;=9,AVERAGE(C4495:C4502),"")</f>
        <v>56.75</v>
      </c>
      <c r="G4503" s="33" t="n">
        <f aca="false">IF(B4503=1,"",IF(B4503=2,C4502,SES_Alpha*C4502+(1-SES_Alpha)*G4502))</f>
        <v>48.7530968420266</v>
      </c>
      <c r="H4503" s="33" t="n">
        <f aca="false">IF(D4503="","",D4503-C4503)</f>
        <v>-41</v>
      </c>
      <c r="I4503" s="33" t="n">
        <f aca="false">IF(E4503="","",E4503-C4503)</f>
        <v>-9</v>
      </c>
      <c r="J4503" s="33" t="n">
        <f aca="false">IF(F4503="","",F4503-C4503)</f>
        <v>-6.25</v>
      </c>
      <c r="K4503" s="33" t="n">
        <f aca="false">IF(G4503="","",G4503-C4503)</f>
        <v>-14.2469031579734</v>
      </c>
      <c r="L4503" s="33" t="n">
        <f aca="false">IF(H4503="","",ABS(H4503))</f>
        <v>41</v>
      </c>
      <c r="M4503" s="33" t="n">
        <f aca="false">IF(I4503="","",ABS(I4503))</f>
        <v>9</v>
      </c>
      <c r="N4503" s="33" t="n">
        <f aca="false">IF(J4503="","",ABS(J4503))</f>
        <v>6.25</v>
      </c>
      <c r="O4503" s="33" t="n">
        <f aca="false">IF(K4503="","",ABS(K4503))</f>
        <v>14.2469031579734</v>
      </c>
      <c r="P4503" s="34" t="str">
        <f aca="false">IF(B4503&gt;=Eval_Start_Week,"YES","")</f>
        <v/>
      </c>
      <c r="Q4503" s="34" t="str">
        <f aca="false">IF(AND(B4503&gt;=Cal_Start_Week,B4503&lt;=Cal_End_Week),"YES","")</f>
        <v/>
      </c>
    </row>
    <row r="4504" customFormat="false" ht="15" hidden="false" customHeight="false" outlineLevel="0" collapsed="false">
      <c r="A4504" s="31" t="str">
        <f aca="false">Demand_History!C4504</f>
        <v>CLN-007</v>
      </c>
      <c r="B4504" s="31" t="n">
        <f aca="false">Demand_History!A4504</f>
        <v>31</v>
      </c>
      <c r="C4504" s="32" t="n">
        <f aca="false">Demand_History!D4504</f>
        <v>51</v>
      </c>
      <c r="D4504" s="33" t="n">
        <f aca="false">IF(B4504&gt;=2,C4503,"")</f>
        <v>63</v>
      </c>
      <c r="E4504" s="33" t="n">
        <f aca="false">IF(B4504&gt;=5,AVERAGE(C4500:C4503),"")</f>
        <v>50.75</v>
      </c>
      <c r="F4504" s="33" t="n">
        <f aca="false">IF(B4504&gt;=9,AVERAGE(C4496:C4503),"")</f>
        <v>57.25</v>
      </c>
      <c r="G4504" s="33" t="n">
        <f aca="false">IF(B4504=1,"",IF(B4504=2,C4503,SES_Alpha*C4503+(1-SES_Alpha)*G4503))</f>
        <v>53.0271677894186</v>
      </c>
      <c r="H4504" s="33" t="n">
        <f aca="false">IF(D4504="","",D4504-C4504)</f>
        <v>12</v>
      </c>
      <c r="I4504" s="33" t="n">
        <f aca="false">IF(E4504="","",E4504-C4504)</f>
        <v>-0.25</v>
      </c>
      <c r="J4504" s="33" t="n">
        <f aca="false">IF(F4504="","",F4504-C4504)</f>
        <v>6.25</v>
      </c>
      <c r="K4504" s="33" t="n">
        <f aca="false">IF(G4504="","",G4504-C4504)</f>
        <v>2.0271677894186</v>
      </c>
      <c r="L4504" s="33" t="n">
        <f aca="false">IF(H4504="","",ABS(H4504))</f>
        <v>12</v>
      </c>
      <c r="M4504" s="33" t="n">
        <f aca="false">IF(I4504="","",ABS(I4504))</f>
        <v>0.25</v>
      </c>
      <c r="N4504" s="33" t="n">
        <f aca="false">IF(J4504="","",ABS(J4504))</f>
        <v>6.25</v>
      </c>
      <c r="O4504" s="33" t="n">
        <f aca="false">IF(K4504="","",ABS(K4504))</f>
        <v>2.0271677894186</v>
      </c>
      <c r="P4504" s="34" t="str">
        <f aca="false">IF(B4504&gt;=Eval_Start_Week,"YES","")</f>
        <v/>
      </c>
      <c r="Q4504" s="34" t="str">
        <f aca="false">IF(AND(B4504&gt;=Cal_Start_Week,B4504&lt;=Cal_End_Week),"YES","")</f>
        <v/>
      </c>
    </row>
    <row r="4505" customFormat="false" ht="15" hidden="false" customHeight="false" outlineLevel="0" collapsed="false">
      <c r="A4505" s="31" t="str">
        <f aca="false">Demand_History!C4505</f>
        <v>CLN-007</v>
      </c>
      <c r="B4505" s="31" t="n">
        <f aca="false">Demand_History!A4505</f>
        <v>32</v>
      </c>
      <c r="C4505" s="32" t="n">
        <f aca="false">Demand_History!D4505</f>
        <v>72</v>
      </c>
      <c r="D4505" s="33" t="n">
        <f aca="false">IF(B4505&gt;=2,C4504,"")</f>
        <v>51</v>
      </c>
      <c r="E4505" s="33" t="n">
        <f aca="false">IF(B4505&gt;=5,AVERAGE(C4501:C4504),"")</f>
        <v>45</v>
      </c>
      <c r="F4505" s="33" t="n">
        <f aca="false">IF(B4505&gt;=9,AVERAGE(C4497:C4504),"")</f>
        <v>55.625</v>
      </c>
      <c r="G4505" s="33" t="n">
        <f aca="false">IF(B4505=1,"",IF(B4505=2,C4504,SES_Alpha*C4504+(1-SES_Alpha)*G4504))</f>
        <v>52.419017452593</v>
      </c>
      <c r="H4505" s="33" t="n">
        <f aca="false">IF(D4505="","",D4505-C4505)</f>
        <v>-21</v>
      </c>
      <c r="I4505" s="33" t="n">
        <f aca="false">IF(E4505="","",E4505-C4505)</f>
        <v>-27</v>
      </c>
      <c r="J4505" s="33" t="n">
        <f aca="false">IF(F4505="","",F4505-C4505)</f>
        <v>-16.375</v>
      </c>
      <c r="K4505" s="33" t="n">
        <f aca="false">IF(G4505="","",G4505-C4505)</f>
        <v>-19.580982547407</v>
      </c>
      <c r="L4505" s="33" t="n">
        <f aca="false">IF(H4505="","",ABS(H4505))</f>
        <v>21</v>
      </c>
      <c r="M4505" s="33" t="n">
        <f aca="false">IF(I4505="","",ABS(I4505))</f>
        <v>27</v>
      </c>
      <c r="N4505" s="33" t="n">
        <f aca="false">IF(J4505="","",ABS(J4505))</f>
        <v>16.375</v>
      </c>
      <c r="O4505" s="33" t="n">
        <f aca="false">IF(K4505="","",ABS(K4505))</f>
        <v>19.580982547407</v>
      </c>
      <c r="P4505" s="34" t="str">
        <f aca="false">IF(B4505&gt;=Eval_Start_Week,"YES","")</f>
        <v/>
      </c>
      <c r="Q4505" s="34" t="str">
        <f aca="false">IF(AND(B4505&gt;=Cal_Start_Week,B4505&lt;=Cal_End_Week),"YES","")</f>
        <v/>
      </c>
    </row>
    <row r="4506" customFormat="false" ht="15" hidden="false" customHeight="false" outlineLevel="0" collapsed="false">
      <c r="A4506" s="31" t="str">
        <f aca="false">Demand_History!C4506</f>
        <v>CLN-007</v>
      </c>
      <c r="B4506" s="31" t="n">
        <f aca="false">Demand_History!A4506</f>
        <v>33</v>
      </c>
      <c r="C4506" s="32" t="n">
        <f aca="false">Demand_History!D4506</f>
        <v>94</v>
      </c>
      <c r="D4506" s="33" t="n">
        <f aca="false">IF(B4506&gt;=2,C4505,"")</f>
        <v>72</v>
      </c>
      <c r="E4506" s="33" t="n">
        <f aca="false">IF(B4506&gt;=5,AVERAGE(C4502:C4505),"")</f>
        <v>52</v>
      </c>
      <c r="F4506" s="33" t="n">
        <f aca="false">IF(B4506&gt;=9,AVERAGE(C4498:C4505),"")</f>
        <v>58.5</v>
      </c>
      <c r="G4506" s="33" t="n">
        <f aca="false">IF(B4506=1,"",IF(B4506=2,C4505,SES_Alpha*C4505+(1-SES_Alpha)*G4505))</f>
        <v>58.2933122168151</v>
      </c>
      <c r="H4506" s="33" t="n">
        <f aca="false">IF(D4506="","",D4506-C4506)</f>
        <v>-22</v>
      </c>
      <c r="I4506" s="33" t="n">
        <f aca="false">IF(E4506="","",E4506-C4506)</f>
        <v>-42</v>
      </c>
      <c r="J4506" s="33" t="n">
        <f aca="false">IF(F4506="","",F4506-C4506)</f>
        <v>-35.5</v>
      </c>
      <c r="K4506" s="33" t="n">
        <f aca="false">IF(G4506="","",G4506-C4506)</f>
        <v>-35.7066877831849</v>
      </c>
      <c r="L4506" s="33" t="n">
        <f aca="false">IF(H4506="","",ABS(H4506))</f>
        <v>22</v>
      </c>
      <c r="M4506" s="33" t="n">
        <f aca="false">IF(I4506="","",ABS(I4506))</f>
        <v>42</v>
      </c>
      <c r="N4506" s="33" t="n">
        <f aca="false">IF(J4506="","",ABS(J4506))</f>
        <v>35.5</v>
      </c>
      <c r="O4506" s="33" t="n">
        <f aca="false">IF(K4506="","",ABS(K4506))</f>
        <v>35.7066877831849</v>
      </c>
      <c r="P4506" s="34" t="str">
        <f aca="false">IF(B4506&gt;=Eval_Start_Week,"YES","")</f>
        <v/>
      </c>
      <c r="Q4506" s="34" t="str">
        <f aca="false">IF(AND(B4506&gt;=Cal_Start_Week,B4506&lt;=Cal_End_Week),"YES","")</f>
        <v/>
      </c>
    </row>
    <row r="4507" customFormat="false" ht="15" hidden="false" customHeight="false" outlineLevel="0" collapsed="false">
      <c r="A4507" s="31" t="str">
        <f aca="false">Demand_History!C4507</f>
        <v>CLN-007</v>
      </c>
      <c r="B4507" s="31" t="n">
        <f aca="false">Demand_History!A4507</f>
        <v>34</v>
      </c>
      <c r="C4507" s="32" t="n">
        <f aca="false">Demand_History!D4507</f>
        <v>94</v>
      </c>
      <c r="D4507" s="33" t="n">
        <f aca="false">IF(B4507&gt;=2,C4506,"")</f>
        <v>94</v>
      </c>
      <c r="E4507" s="33" t="n">
        <f aca="false">IF(B4507&gt;=5,AVERAGE(C4503:C4506),"")</f>
        <v>70</v>
      </c>
      <c r="F4507" s="33" t="n">
        <f aca="false">IF(B4507&gt;=9,AVERAGE(C4499:C4506),"")</f>
        <v>62</v>
      </c>
      <c r="G4507" s="33" t="n">
        <f aca="false">IF(B4507=1,"",IF(B4507=2,C4506,SES_Alpha*C4506+(1-SES_Alpha)*G4506))</f>
        <v>69.0053185517706</v>
      </c>
      <c r="H4507" s="33" t="n">
        <f aca="false">IF(D4507="","",D4507-C4507)</f>
        <v>0</v>
      </c>
      <c r="I4507" s="33" t="n">
        <f aca="false">IF(E4507="","",E4507-C4507)</f>
        <v>-24</v>
      </c>
      <c r="J4507" s="33" t="n">
        <f aca="false">IF(F4507="","",F4507-C4507)</f>
        <v>-32</v>
      </c>
      <c r="K4507" s="33" t="n">
        <f aca="false">IF(G4507="","",G4507-C4507)</f>
        <v>-24.9946814482294</v>
      </c>
      <c r="L4507" s="33" t="n">
        <f aca="false">IF(H4507="","",ABS(H4507))</f>
        <v>0</v>
      </c>
      <c r="M4507" s="33" t="n">
        <f aca="false">IF(I4507="","",ABS(I4507))</f>
        <v>24</v>
      </c>
      <c r="N4507" s="33" t="n">
        <f aca="false">IF(J4507="","",ABS(J4507))</f>
        <v>32</v>
      </c>
      <c r="O4507" s="33" t="n">
        <f aca="false">IF(K4507="","",ABS(K4507))</f>
        <v>24.9946814482294</v>
      </c>
      <c r="P4507" s="34" t="str">
        <f aca="false">IF(B4507&gt;=Eval_Start_Week,"YES","")</f>
        <v/>
      </c>
      <c r="Q4507" s="34" t="str">
        <f aca="false">IF(AND(B4507&gt;=Cal_Start_Week,B4507&lt;=Cal_End_Week),"YES","")</f>
        <v/>
      </c>
    </row>
    <row r="4508" customFormat="false" ht="15" hidden="false" customHeight="false" outlineLevel="0" collapsed="false">
      <c r="A4508" s="31" t="str">
        <f aca="false">Demand_History!C4508</f>
        <v>CLN-007</v>
      </c>
      <c r="B4508" s="31" t="n">
        <f aca="false">Demand_History!A4508</f>
        <v>35</v>
      </c>
      <c r="C4508" s="32" t="n">
        <f aca="false">Demand_History!D4508</f>
        <v>69</v>
      </c>
      <c r="D4508" s="33" t="n">
        <f aca="false">IF(B4508&gt;=2,C4507,"")</f>
        <v>94</v>
      </c>
      <c r="E4508" s="33" t="n">
        <f aca="false">IF(B4508&gt;=5,AVERAGE(C4504:C4507),"")</f>
        <v>77.75</v>
      </c>
      <c r="F4508" s="33" t="n">
        <f aca="false">IF(B4508&gt;=9,AVERAGE(C4500:C4507),"")</f>
        <v>64.25</v>
      </c>
      <c r="G4508" s="33" t="n">
        <f aca="false">IF(B4508=1,"",IF(B4508=2,C4507,SES_Alpha*C4507+(1-SES_Alpha)*G4507))</f>
        <v>76.5037229862394</v>
      </c>
      <c r="H4508" s="33" t="n">
        <f aca="false">IF(D4508="","",D4508-C4508)</f>
        <v>25</v>
      </c>
      <c r="I4508" s="33" t="n">
        <f aca="false">IF(E4508="","",E4508-C4508)</f>
        <v>8.75</v>
      </c>
      <c r="J4508" s="33" t="n">
        <f aca="false">IF(F4508="","",F4508-C4508)</f>
        <v>-4.75</v>
      </c>
      <c r="K4508" s="33" t="n">
        <f aca="false">IF(G4508="","",G4508-C4508)</f>
        <v>7.50372298623938</v>
      </c>
      <c r="L4508" s="33" t="n">
        <f aca="false">IF(H4508="","",ABS(H4508))</f>
        <v>25</v>
      </c>
      <c r="M4508" s="33" t="n">
        <f aca="false">IF(I4508="","",ABS(I4508))</f>
        <v>8.75</v>
      </c>
      <c r="N4508" s="33" t="n">
        <f aca="false">IF(J4508="","",ABS(J4508))</f>
        <v>4.75</v>
      </c>
      <c r="O4508" s="33" t="n">
        <f aca="false">IF(K4508="","",ABS(K4508))</f>
        <v>7.50372298623938</v>
      </c>
      <c r="P4508" s="34" t="str">
        <f aca="false">IF(B4508&gt;=Eval_Start_Week,"YES","")</f>
        <v/>
      </c>
      <c r="Q4508" s="34" t="str">
        <f aca="false">IF(AND(B4508&gt;=Cal_Start_Week,B4508&lt;=Cal_End_Week),"YES","")</f>
        <v/>
      </c>
    </row>
    <row r="4509" customFormat="false" ht="15" hidden="false" customHeight="false" outlineLevel="0" collapsed="false">
      <c r="A4509" s="31" t="str">
        <f aca="false">Demand_History!C4509</f>
        <v>CLN-007</v>
      </c>
      <c r="B4509" s="31" t="n">
        <f aca="false">Demand_History!A4509</f>
        <v>36</v>
      </c>
      <c r="C4509" s="32" t="n">
        <f aca="false">Demand_History!D4509</f>
        <v>84</v>
      </c>
      <c r="D4509" s="33" t="n">
        <f aca="false">IF(B4509&gt;=2,C4508,"")</f>
        <v>69</v>
      </c>
      <c r="E4509" s="33" t="n">
        <f aca="false">IF(B4509&gt;=5,AVERAGE(C4505:C4508),"")</f>
        <v>82.25</v>
      </c>
      <c r="F4509" s="33" t="n">
        <f aca="false">IF(B4509&gt;=9,AVERAGE(C4501:C4508),"")</f>
        <v>63.625</v>
      </c>
      <c r="G4509" s="33" t="n">
        <f aca="false">IF(B4509=1,"",IF(B4509=2,C4508,SES_Alpha*C4508+(1-SES_Alpha)*G4508))</f>
        <v>74.2526060903676</v>
      </c>
      <c r="H4509" s="33" t="n">
        <f aca="false">IF(D4509="","",D4509-C4509)</f>
        <v>-15</v>
      </c>
      <c r="I4509" s="33" t="n">
        <f aca="false">IF(E4509="","",E4509-C4509)</f>
        <v>-1.75</v>
      </c>
      <c r="J4509" s="33" t="n">
        <f aca="false">IF(F4509="","",F4509-C4509)</f>
        <v>-20.375</v>
      </c>
      <c r="K4509" s="33" t="n">
        <f aca="false">IF(G4509="","",G4509-C4509)</f>
        <v>-9.74739390963244</v>
      </c>
      <c r="L4509" s="33" t="n">
        <f aca="false">IF(H4509="","",ABS(H4509))</f>
        <v>15</v>
      </c>
      <c r="M4509" s="33" t="n">
        <f aca="false">IF(I4509="","",ABS(I4509))</f>
        <v>1.75</v>
      </c>
      <c r="N4509" s="33" t="n">
        <f aca="false">IF(J4509="","",ABS(J4509))</f>
        <v>20.375</v>
      </c>
      <c r="O4509" s="33" t="n">
        <f aca="false">IF(K4509="","",ABS(K4509))</f>
        <v>9.74739390963244</v>
      </c>
      <c r="P4509" s="34" t="str">
        <f aca="false">IF(B4509&gt;=Eval_Start_Week,"YES","")</f>
        <v/>
      </c>
      <c r="Q4509" s="34" t="str">
        <f aca="false">IF(AND(B4509&gt;=Cal_Start_Week,B4509&lt;=Cal_End_Week),"YES","")</f>
        <v/>
      </c>
    </row>
    <row r="4510" customFormat="false" ht="15" hidden="false" customHeight="false" outlineLevel="0" collapsed="false">
      <c r="A4510" s="31" t="str">
        <f aca="false">Demand_History!C4510</f>
        <v>CLN-007</v>
      </c>
      <c r="B4510" s="31" t="n">
        <f aca="false">Demand_History!A4510</f>
        <v>37</v>
      </c>
      <c r="C4510" s="32" t="n">
        <f aca="false">Demand_History!D4510</f>
        <v>94</v>
      </c>
      <c r="D4510" s="33" t="n">
        <f aca="false">IF(B4510&gt;=2,C4509,"")</f>
        <v>84</v>
      </c>
      <c r="E4510" s="33" t="n">
        <f aca="false">IF(B4510&gt;=5,AVERAGE(C4506:C4509),"")</f>
        <v>85.25</v>
      </c>
      <c r="F4510" s="33" t="n">
        <f aca="false">IF(B4510&gt;=9,AVERAGE(C4502:C4509),"")</f>
        <v>68.625</v>
      </c>
      <c r="G4510" s="33" t="n">
        <f aca="false">IF(B4510=1,"",IF(B4510=2,C4509,SES_Alpha*C4509+(1-SES_Alpha)*G4509))</f>
        <v>77.1768242632573</v>
      </c>
      <c r="H4510" s="33" t="n">
        <f aca="false">IF(D4510="","",D4510-C4510)</f>
        <v>-10</v>
      </c>
      <c r="I4510" s="33" t="n">
        <f aca="false">IF(E4510="","",E4510-C4510)</f>
        <v>-8.75</v>
      </c>
      <c r="J4510" s="33" t="n">
        <f aca="false">IF(F4510="","",F4510-C4510)</f>
        <v>-25.375</v>
      </c>
      <c r="K4510" s="33" t="n">
        <f aca="false">IF(G4510="","",G4510-C4510)</f>
        <v>-16.8231757367427</v>
      </c>
      <c r="L4510" s="33" t="n">
        <f aca="false">IF(H4510="","",ABS(H4510))</f>
        <v>10</v>
      </c>
      <c r="M4510" s="33" t="n">
        <f aca="false">IF(I4510="","",ABS(I4510))</f>
        <v>8.75</v>
      </c>
      <c r="N4510" s="33" t="n">
        <f aca="false">IF(J4510="","",ABS(J4510))</f>
        <v>25.375</v>
      </c>
      <c r="O4510" s="33" t="n">
        <f aca="false">IF(K4510="","",ABS(K4510))</f>
        <v>16.8231757367427</v>
      </c>
      <c r="P4510" s="34" t="str">
        <f aca="false">IF(B4510&gt;=Eval_Start_Week,"YES","")</f>
        <v/>
      </c>
      <c r="Q4510" s="34" t="str">
        <f aca="false">IF(AND(B4510&gt;=Cal_Start_Week,B4510&lt;=Cal_End_Week),"YES","")</f>
        <v>YES</v>
      </c>
    </row>
    <row r="4511" customFormat="false" ht="15" hidden="false" customHeight="false" outlineLevel="0" collapsed="false">
      <c r="A4511" s="31" t="str">
        <f aca="false">Demand_History!C4511</f>
        <v>CLN-007</v>
      </c>
      <c r="B4511" s="31" t="n">
        <f aca="false">Demand_History!A4511</f>
        <v>38</v>
      </c>
      <c r="C4511" s="32" t="n">
        <f aca="false">Demand_History!D4511</f>
        <v>64</v>
      </c>
      <c r="D4511" s="33" t="n">
        <f aca="false">IF(B4511&gt;=2,C4510,"")</f>
        <v>94</v>
      </c>
      <c r="E4511" s="33" t="n">
        <f aca="false">IF(B4511&gt;=5,AVERAGE(C4507:C4510),"")</f>
        <v>85.25</v>
      </c>
      <c r="F4511" s="33" t="n">
        <f aca="false">IF(B4511&gt;=9,AVERAGE(C4503:C4510),"")</f>
        <v>77.625</v>
      </c>
      <c r="G4511" s="33" t="n">
        <f aca="false">IF(B4511=1,"",IF(B4511=2,C4510,SES_Alpha*C4510+(1-SES_Alpha)*G4510))</f>
        <v>82.2237769842801</v>
      </c>
      <c r="H4511" s="33" t="n">
        <f aca="false">IF(D4511="","",D4511-C4511)</f>
        <v>30</v>
      </c>
      <c r="I4511" s="33" t="n">
        <f aca="false">IF(E4511="","",E4511-C4511)</f>
        <v>21.25</v>
      </c>
      <c r="J4511" s="33" t="n">
        <f aca="false">IF(F4511="","",F4511-C4511)</f>
        <v>13.625</v>
      </c>
      <c r="K4511" s="33" t="n">
        <f aca="false">IF(G4511="","",G4511-C4511)</f>
        <v>18.2237769842801</v>
      </c>
      <c r="L4511" s="33" t="n">
        <f aca="false">IF(H4511="","",ABS(H4511))</f>
        <v>30</v>
      </c>
      <c r="M4511" s="33" t="n">
        <f aca="false">IF(I4511="","",ABS(I4511))</f>
        <v>21.25</v>
      </c>
      <c r="N4511" s="33" t="n">
        <f aca="false">IF(J4511="","",ABS(J4511))</f>
        <v>13.625</v>
      </c>
      <c r="O4511" s="33" t="n">
        <f aca="false">IF(K4511="","",ABS(K4511))</f>
        <v>18.2237769842801</v>
      </c>
      <c r="P4511" s="34" t="str">
        <f aca="false">IF(B4511&gt;=Eval_Start_Week,"YES","")</f>
        <v/>
      </c>
      <c r="Q4511" s="34" t="str">
        <f aca="false">IF(AND(B4511&gt;=Cal_Start_Week,B4511&lt;=Cal_End_Week),"YES","")</f>
        <v>YES</v>
      </c>
    </row>
    <row r="4512" customFormat="false" ht="15" hidden="false" customHeight="false" outlineLevel="0" collapsed="false">
      <c r="A4512" s="31" t="str">
        <f aca="false">Demand_History!C4512</f>
        <v>CLN-007</v>
      </c>
      <c r="B4512" s="31" t="n">
        <f aca="false">Demand_History!A4512</f>
        <v>39</v>
      </c>
      <c r="C4512" s="32" t="n">
        <f aca="false">Demand_History!D4512</f>
        <v>68</v>
      </c>
      <c r="D4512" s="33" t="n">
        <f aca="false">IF(B4512&gt;=2,C4511,"")</f>
        <v>64</v>
      </c>
      <c r="E4512" s="33" t="n">
        <f aca="false">IF(B4512&gt;=5,AVERAGE(C4508:C4511),"")</f>
        <v>77.75</v>
      </c>
      <c r="F4512" s="33" t="n">
        <f aca="false">IF(B4512&gt;=9,AVERAGE(C4504:C4511),"")</f>
        <v>77.75</v>
      </c>
      <c r="G4512" s="33" t="n">
        <f aca="false">IF(B4512=1,"",IF(B4512=2,C4511,SES_Alpha*C4511+(1-SES_Alpha)*G4511))</f>
        <v>76.7566438889961</v>
      </c>
      <c r="H4512" s="33" t="n">
        <f aca="false">IF(D4512="","",D4512-C4512)</f>
        <v>-4</v>
      </c>
      <c r="I4512" s="33" t="n">
        <f aca="false">IF(E4512="","",E4512-C4512)</f>
        <v>9.75</v>
      </c>
      <c r="J4512" s="33" t="n">
        <f aca="false">IF(F4512="","",F4512-C4512)</f>
        <v>9.75</v>
      </c>
      <c r="K4512" s="33" t="n">
        <f aca="false">IF(G4512="","",G4512-C4512)</f>
        <v>8.75664388899607</v>
      </c>
      <c r="L4512" s="33" t="n">
        <f aca="false">IF(H4512="","",ABS(H4512))</f>
        <v>4</v>
      </c>
      <c r="M4512" s="33" t="n">
        <f aca="false">IF(I4512="","",ABS(I4512))</f>
        <v>9.75</v>
      </c>
      <c r="N4512" s="33" t="n">
        <f aca="false">IF(J4512="","",ABS(J4512))</f>
        <v>9.75</v>
      </c>
      <c r="O4512" s="33" t="n">
        <f aca="false">IF(K4512="","",ABS(K4512))</f>
        <v>8.75664388899607</v>
      </c>
      <c r="P4512" s="34" t="str">
        <f aca="false">IF(B4512&gt;=Eval_Start_Week,"YES","")</f>
        <v/>
      </c>
      <c r="Q4512" s="34" t="str">
        <f aca="false">IF(AND(B4512&gt;=Cal_Start_Week,B4512&lt;=Cal_End_Week),"YES","")</f>
        <v>YES</v>
      </c>
    </row>
    <row r="4513" customFormat="false" ht="15" hidden="false" customHeight="false" outlineLevel="0" collapsed="false">
      <c r="A4513" s="31" t="str">
        <f aca="false">Demand_History!C4513</f>
        <v>CLN-007</v>
      </c>
      <c r="B4513" s="31" t="n">
        <f aca="false">Demand_History!A4513</f>
        <v>40</v>
      </c>
      <c r="C4513" s="32" t="n">
        <f aca="false">Demand_History!D4513</f>
        <v>79</v>
      </c>
      <c r="D4513" s="33" t="n">
        <f aca="false">IF(B4513&gt;=2,C4512,"")</f>
        <v>68</v>
      </c>
      <c r="E4513" s="33" t="n">
        <f aca="false">IF(B4513&gt;=5,AVERAGE(C4509:C4512),"")</f>
        <v>77.5</v>
      </c>
      <c r="F4513" s="33" t="n">
        <f aca="false">IF(B4513&gt;=9,AVERAGE(C4505:C4512),"")</f>
        <v>79.875</v>
      </c>
      <c r="G4513" s="33" t="n">
        <f aca="false">IF(B4513=1,"",IF(B4513=2,C4512,SES_Alpha*C4512+(1-SES_Alpha)*G4512))</f>
        <v>74.1296507222972</v>
      </c>
      <c r="H4513" s="33" t="n">
        <f aca="false">IF(D4513="","",D4513-C4513)</f>
        <v>-11</v>
      </c>
      <c r="I4513" s="33" t="n">
        <f aca="false">IF(E4513="","",E4513-C4513)</f>
        <v>-1.5</v>
      </c>
      <c r="J4513" s="33" t="n">
        <f aca="false">IF(F4513="","",F4513-C4513)</f>
        <v>0.875</v>
      </c>
      <c r="K4513" s="33" t="n">
        <f aca="false">IF(G4513="","",G4513-C4513)</f>
        <v>-4.87034927770276</v>
      </c>
      <c r="L4513" s="33" t="n">
        <f aca="false">IF(H4513="","",ABS(H4513))</f>
        <v>11</v>
      </c>
      <c r="M4513" s="33" t="n">
        <f aca="false">IF(I4513="","",ABS(I4513))</f>
        <v>1.5</v>
      </c>
      <c r="N4513" s="33" t="n">
        <f aca="false">IF(J4513="","",ABS(J4513))</f>
        <v>0.875</v>
      </c>
      <c r="O4513" s="33" t="n">
        <f aca="false">IF(K4513="","",ABS(K4513))</f>
        <v>4.87034927770276</v>
      </c>
      <c r="P4513" s="34" t="str">
        <f aca="false">IF(B4513&gt;=Eval_Start_Week,"YES","")</f>
        <v/>
      </c>
      <c r="Q4513" s="34" t="str">
        <f aca="false">IF(AND(B4513&gt;=Cal_Start_Week,B4513&lt;=Cal_End_Week),"YES","")</f>
        <v>YES</v>
      </c>
    </row>
    <row r="4514" customFormat="false" ht="15" hidden="false" customHeight="false" outlineLevel="0" collapsed="false">
      <c r="A4514" s="31" t="str">
        <f aca="false">Demand_History!C4514</f>
        <v>CLN-007</v>
      </c>
      <c r="B4514" s="31" t="n">
        <f aca="false">Demand_History!A4514</f>
        <v>41</v>
      </c>
      <c r="C4514" s="32" t="n">
        <f aca="false">Demand_History!D4514</f>
        <v>63</v>
      </c>
      <c r="D4514" s="33" t="n">
        <f aca="false">IF(B4514&gt;=2,C4513,"")</f>
        <v>79</v>
      </c>
      <c r="E4514" s="33" t="n">
        <f aca="false">IF(B4514&gt;=5,AVERAGE(C4510:C4513),"")</f>
        <v>76.25</v>
      </c>
      <c r="F4514" s="33" t="n">
        <f aca="false">IF(B4514&gt;=9,AVERAGE(C4506:C4513),"")</f>
        <v>80.75</v>
      </c>
      <c r="G4514" s="33" t="n">
        <f aca="false">IF(B4514=1,"",IF(B4514=2,C4513,SES_Alpha*C4513+(1-SES_Alpha)*G4513))</f>
        <v>75.5907555056081</v>
      </c>
      <c r="H4514" s="33" t="n">
        <f aca="false">IF(D4514="","",D4514-C4514)</f>
        <v>16</v>
      </c>
      <c r="I4514" s="33" t="n">
        <f aca="false">IF(E4514="","",E4514-C4514)</f>
        <v>13.25</v>
      </c>
      <c r="J4514" s="33" t="n">
        <f aca="false">IF(F4514="","",F4514-C4514)</f>
        <v>17.75</v>
      </c>
      <c r="K4514" s="33" t="n">
        <f aca="false">IF(G4514="","",G4514-C4514)</f>
        <v>12.5907555056081</v>
      </c>
      <c r="L4514" s="33" t="n">
        <f aca="false">IF(H4514="","",ABS(H4514))</f>
        <v>16</v>
      </c>
      <c r="M4514" s="33" t="n">
        <f aca="false">IF(I4514="","",ABS(I4514))</f>
        <v>13.25</v>
      </c>
      <c r="N4514" s="33" t="n">
        <f aca="false">IF(J4514="","",ABS(J4514))</f>
        <v>17.75</v>
      </c>
      <c r="O4514" s="33" t="n">
        <f aca="false">IF(K4514="","",ABS(K4514))</f>
        <v>12.5907555056081</v>
      </c>
      <c r="P4514" s="34" t="str">
        <f aca="false">IF(B4514&gt;=Eval_Start_Week,"YES","")</f>
        <v/>
      </c>
      <c r="Q4514" s="34" t="str">
        <f aca="false">IF(AND(B4514&gt;=Cal_Start_Week,B4514&lt;=Cal_End_Week),"YES","")</f>
        <v>YES</v>
      </c>
    </row>
    <row r="4515" customFormat="false" ht="15" hidden="false" customHeight="false" outlineLevel="0" collapsed="false">
      <c r="A4515" s="31" t="str">
        <f aca="false">Demand_History!C4515</f>
        <v>CLN-007</v>
      </c>
      <c r="B4515" s="31" t="n">
        <f aca="false">Demand_History!A4515</f>
        <v>42</v>
      </c>
      <c r="C4515" s="32" t="n">
        <f aca="false">Demand_History!D4515</f>
        <v>54</v>
      </c>
      <c r="D4515" s="33" t="n">
        <f aca="false">IF(B4515&gt;=2,C4514,"")</f>
        <v>63</v>
      </c>
      <c r="E4515" s="33" t="n">
        <f aca="false">IF(B4515&gt;=5,AVERAGE(C4511:C4514),"")</f>
        <v>68.5</v>
      </c>
      <c r="F4515" s="33" t="n">
        <f aca="false">IF(B4515&gt;=9,AVERAGE(C4507:C4514),"")</f>
        <v>76.875</v>
      </c>
      <c r="G4515" s="33" t="n">
        <f aca="false">IF(B4515=1,"",IF(B4515=2,C4514,SES_Alpha*C4514+(1-SES_Alpha)*G4514))</f>
        <v>71.8135288539257</v>
      </c>
      <c r="H4515" s="33" t="n">
        <f aca="false">IF(D4515="","",D4515-C4515)</f>
        <v>9</v>
      </c>
      <c r="I4515" s="33" t="n">
        <f aca="false">IF(E4515="","",E4515-C4515)</f>
        <v>14.5</v>
      </c>
      <c r="J4515" s="33" t="n">
        <f aca="false">IF(F4515="","",F4515-C4515)</f>
        <v>22.875</v>
      </c>
      <c r="K4515" s="33" t="n">
        <f aca="false">IF(G4515="","",G4515-C4515)</f>
        <v>17.8135288539256</v>
      </c>
      <c r="L4515" s="33" t="n">
        <f aca="false">IF(H4515="","",ABS(H4515))</f>
        <v>9</v>
      </c>
      <c r="M4515" s="33" t="n">
        <f aca="false">IF(I4515="","",ABS(I4515))</f>
        <v>14.5</v>
      </c>
      <c r="N4515" s="33" t="n">
        <f aca="false">IF(J4515="","",ABS(J4515))</f>
        <v>22.875</v>
      </c>
      <c r="O4515" s="33" t="n">
        <f aca="false">IF(K4515="","",ABS(K4515))</f>
        <v>17.8135288539256</v>
      </c>
      <c r="P4515" s="34" t="str">
        <f aca="false">IF(B4515&gt;=Eval_Start_Week,"YES","")</f>
        <v/>
      </c>
      <c r="Q4515" s="34" t="str">
        <f aca="false">IF(AND(B4515&gt;=Cal_Start_Week,B4515&lt;=Cal_End_Week),"YES","")</f>
        <v>YES</v>
      </c>
    </row>
    <row r="4516" customFormat="false" ht="15" hidden="false" customHeight="false" outlineLevel="0" collapsed="false">
      <c r="A4516" s="31" t="str">
        <f aca="false">Demand_History!C4516</f>
        <v>CLN-007</v>
      </c>
      <c r="B4516" s="31" t="n">
        <f aca="false">Demand_History!A4516</f>
        <v>43</v>
      </c>
      <c r="C4516" s="32" t="n">
        <f aca="false">Demand_History!D4516</f>
        <v>49</v>
      </c>
      <c r="D4516" s="33" t="n">
        <f aca="false">IF(B4516&gt;=2,C4515,"")</f>
        <v>54</v>
      </c>
      <c r="E4516" s="33" t="n">
        <f aca="false">IF(B4516&gt;=5,AVERAGE(C4512:C4515),"")</f>
        <v>66</v>
      </c>
      <c r="F4516" s="33" t="n">
        <f aca="false">IF(B4516&gt;=9,AVERAGE(C4508:C4515),"")</f>
        <v>71.875</v>
      </c>
      <c r="G4516" s="33" t="n">
        <f aca="false">IF(B4516=1,"",IF(B4516=2,C4515,SES_Alpha*C4515+(1-SES_Alpha)*G4515))</f>
        <v>66.469470197748</v>
      </c>
      <c r="H4516" s="33" t="n">
        <f aca="false">IF(D4516="","",D4516-C4516)</f>
        <v>5</v>
      </c>
      <c r="I4516" s="33" t="n">
        <f aca="false">IF(E4516="","",E4516-C4516)</f>
        <v>17</v>
      </c>
      <c r="J4516" s="33" t="n">
        <f aca="false">IF(F4516="","",F4516-C4516)</f>
        <v>22.875</v>
      </c>
      <c r="K4516" s="33" t="n">
        <f aca="false">IF(G4516="","",G4516-C4516)</f>
        <v>17.469470197748</v>
      </c>
      <c r="L4516" s="33" t="n">
        <f aca="false">IF(H4516="","",ABS(H4516))</f>
        <v>5</v>
      </c>
      <c r="M4516" s="33" t="n">
        <f aca="false">IF(I4516="","",ABS(I4516))</f>
        <v>17</v>
      </c>
      <c r="N4516" s="33" t="n">
        <f aca="false">IF(J4516="","",ABS(J4516))</f>
        <v>22.875</v>
      </c>
      <c r="O4516" s="33" t="n">
        <f aca="false">IF(K4516="","",ABS(K4516))</f>
        <v>17.469470197748</v>
      </c>
      <c r="P4516" s="34" t="str">
        <f aca="false">IF(B4516&gt;=Eval_Start_Week,"YES","")</f>
        <v/>
      </c>
      <c r="Q4516" s="34" t="str">
        <f aca="false">IF(AND(B4516&gt;=Cal_Start_Week,B4516&lt;=Cal_End_Week),"YES","")</f>
        <v>YES</v>
      </c>
    </row>
    <row r="4517" customFormat="false" ht="15" hidden="false" customHeight="false" outlineLevel="0" collapsed="false">
      <c r="A4517" s="31" t="str">
        <f aca="false">Demand_History!C4517</f>
        <v>CLN-007</v>
      </c>
      <c r="B4517" s="31" t="n">
        <f aca="false">Demand_History!A4517</f>
        <v>44</v>
      </c>
      <c r="C4517" s="32" t="n">
        <f aca="false">Demand_History!D4517</f>
        <v>63</v>
      </c>
      <c r="D4517" s="33" t="n">
        <f aca="false">IF(B4517&gt;=2,C4516,"")</f>
        <v>49</v>
      </c>
      <c r="E4517" s="33" t="n">
        <f aca="false">IF(B4517&gt;=5,AVERAGE(C4513:C4516),"")</f>
        <v>61.25</v>
      </c>
      <c r="F4517" s="33" t="n">
        <f aca="false">IF(B4517&gt;=9,AVERAGE(C4509:C4516),"")</f>
        <v>69.375</v>
      </c>
      <c r="G4517" s="33" t="n">
        <f aca="false">IF(B4517=1,"",IF(B4517=2,C4516,SES_Alpha*C4516+(1-SES_Alpha)*G4516))</f>
        <v>61.2286291384236</v>
      </c>
      <c r="H4517" s="33" t="n">
        <f aca="false">IF(D4517="","",D4517-C4517)</f>
        <v>-14</v>
      </c>
      <c r="I4517" s="33" t="n">
        <f aca="false">IF(E4517="","",E4517-C4517)</f>
        <v>-1.75</v>
      </c>
      <c r="J4517" s="33" t="n">
        <f aca="false">IF(F4517="","",F4517-C4517)</f>
        <v>6.375</v>
      </c>
      <c r="K4517" s="33" t="n">
        <f aca="false">IF(G4517="","",G4517-C4517)</f>
        <v>-1.77137086157644</v>
      </c>
      <c r="L4517" s="33" t="n">
        <f aca="false">IF(H4517="","",ABS(H4517))</f>
        <v>14</v>
      </c>
      <c r="M4517" s="33" t="n">
        <f aca="false">IF(I4517="","",ABS(I4517))</f>
        <v>1.75</v>
      </c>
      <c r="N4517" s="33" t="n">
        <f aca="false">IF(J4517="","",ABS(J4517))</f>
        <v>6.375</v>
      </c>
      <c r="O4517" s="33" t="n">
        <f aca="false">IF(K4517="","",ABS(K4517))</f>
        <v>1.77137086157644</v>
      </c>
      <c r="P4517" s="34" t="str">
        <f aca="false">IF(B4517&gt;=Eval_Start_Week,"YES","")</f>
        <v/>
      </c>
      <c r="Q4517" s="34" t="str">
        <f aca="false">IF(AND(B4517&gt;=Cal_Start_Week,B4517&lt;=Cal_End_Week),"YES","")</f>
        <v>YES</v>
      </c>
    </row>
    <row r="4518" customFormat="false" ht="15" hidden="false" customHeight="false" outlineLevel="0" collapsed="false">
      <c r="A4518" s="31" t="str">
        <f aca="false">Demand_History!C4518</f>
        <v>CLN-007</v>
      </c>
      <c r="B4518" s="31" t="n">
        <f aca="false">Demand_History!A4518</f>
        <v>45</v>
      </c>
      <c r="C4518" s="32" t="n">
        <f aca="false">Demand_History!D4518</f>
        <v>52</v>
      </c>
      <c r="D4518" s="33" t="n">
        <f aca="false">IF(B4518&gt;=2,C4517,"")</f>
        <v>63</v>
      </c>
      <c r="E4518" s="33" t="n">
        <f aca="false">IF(B4518&gt;=5,AVERAGE(C4514:C4517),"")</f>
        <v>57.25</v>
      </c>
      <c r="F4518" s="33" t="n">
        <f aca="false">IF(B4518&gt;=9,AVERAGE(C4510:C4517),"")</f>
        <v>66.75</v>
      </c>
      <c r="G4518" s="33" t="n">
        <f aca="false">IF(B4518=1,"",IF(B4518=2,C4517,SES_Alpha*C4517+(1-SES_Alpha)*G4517))</f>
        <v>61.7600403968965</v>
      </c>
      <c r="H4518" s="33" t="n">
        <f aca="false">IF(D4518="","",D4518-C4518)</f>
        <v>11</v>
      </c>
      <c r="I4518" s="33" t="n">
        <f aca="false">IF(E4518="","",E4518-C4518)</f>
        <v>5.25</v>
      </c>
      <c r="J4518" s="33" t="n">
        <f aca="false">IF(F4518="","",F4518-C4518)</f>
        <v>14.75</v>
      </c>
      <c r="K4518" s="33" t="n">
        <f aca="false">IF(G4518="","",G4518-C4518)</f>
        <v>9.76004039689649</v>
      </c>
      <c r="L4518" s="33" t="n">
        <f aca="false">IF(H4518="","",ABS(H4518))</f>
        <v>11</v>
      </c>
      <c r="M4518" s="33" t="n">
        <f aca="false">IF(I4518="","",ABS(I4518))</f>
        <v>5.25</v>
      </c>
      <c r="N4518" s="33" t="n">
        <f aca="false">IF(J4518="","",ABS(J4518))</f>
        <v>14.75</v>
      </c>
      <c r="O4518" s="33" t="n">
        <f aca="false">IF(K4518="","",ABS(K4518))</f>
        <v>9.76004039689649</v>
      </c>
      <c r="P4518" s="34" t="str">
        <f aca="false">IF(B4518&gt;=Eval_Start_Week,"YES","")</f>
        <v/>
      </c>
      <c r="Q4518" s="34" t="str">
        <f aca="false">IF(AND(B4518&gt;=Cal_Start_Week,B4518&lt;=Cal_End_Week),"YES","")</f>
        <v>YES</v>
      </c>
    </row>
    <row r="4519" customFormat="false" ht="15" hidden="false" customHeight="false" outlineLevel="0" collapsed="false">
      <c r="A4519" s="31" t="str">
        <f aca="false">Demand_History!C4519</f>
        <v>CLN-007</v>
      </c>
      <c r="B4519" s="31" t="n">
        <f aca="false">Demand_History!A4519</f>
        <v>46</v>
      </c>
      <c r="C4519" s="32" t="n">
        <f aca="false">Demand_History!D4519</f>
        <v>78</v>
      </c>
      <c r="D4519" s="33" t="n">
        <f aca="false">IF(B4519&gt;=2,C4518,"")</f>
        <v>52</v>
      </c>
      <c r="E4519" s="33" t="n">
        <f aca="false">IF(B4519&gt;=5,AVERAGE(C4515:C4518),"")</f>
        <v>54.5</v>
      </c>
      <c r="F4519" s="33" t="n">
        <f aca="false">IF(B4519&gt;=9,AVERAGE(C4511:C4518),"")</f>
        <v>61.5</v>
      </c>
      <c r="G4519" s="33" t="n">
        <f aca="false">IF(B4519=1,"",IF(B4519=2,C4518,SES_Alpha*C4518+(1-SES_Alpha)*G4518))</f>
        <v>58.8320282778275</v>
      </c>
      <c r="H4519" s="33" t="n">
        <f aca="false">IF(D4519="","",D4519-C4519)</f>
        <v>-26</v>
      </c>
      <c r="I4519" s="33" t="n">
        <f aca="false">IF(E4519="","",E4519-C4519)</f>
        <v>-23.5</v>
      </c>
      <c r="J4519" s="33" t="n">
        <f aca="false">IF(F4519="","",F4519-C4519)</f>
        <v>-16.5</v>
      </c>
      <c r="K4519" s="33" t="n">
        <f aca="false">IF(G4519="","",G4519-C4519)</f>
        <v>-19.1679717221725</v>
      </c>
      <c r="L4519" s="33" t="n">
        <f aca="false">IF(H4519="","",ABS(H4519))</f>
        <v>26</v>
      </c>
      <c r="M4519" s="33" t="n">
        <f aca="false">IF(I4519="","",ABS(I4519))</f>
        <v>23.5</v>
      </c>
      <c r="N4519" s="33" t="n">
        <f aca="false">IF(J4519="","",ABS(J4519))</f>
        <v>16.5</v>
      </c>
      <c r="O4519" s="33" t="n">
        <f aca="false">IF(K4519="","",ABS(K4519))</f>
        <v>19.1679717221725</v>
      </c>
      <c r="P4519" s="34" t="str">
        <f aca="false">IF(B4519&gt;=Eval_Start_Week,"YES","")</f>
        <v/>
      </c>
      <c r="Q4519" s="34" t="str">
        <f aca="false">IF(AND(B4519&gt;=Cal_Start_Week,B4519&lt;=Cal_End_Week),"YES","")</f>
        <v>YES</v>
      </c>
    </row>
    <row r="4520" customFormat="false" ht="15" hidden="false" customHeight="false" outlineLevel="0" collapsed="false">
      <c r="A4520" s="31" t="str">
        <f aca="false">Demand_History!C4520</f>
        <v>CLN-007</v>
      </c>
      <c r="B4520" s="31" t="n">
        <f aca="false">Demand_History!A4520</f>
        <v>47</v>
      </c>
      <c r="C4520" s="32" t="n">
        <f aca="false">Demand_History!D4520</f>
        <v>57</v>
      </c>
      <c r="D4520" s="33" t="n">
        <f aca="false">IF(B4520&gt;=2,C4519,"")</f>
        <v>78</v>
      </c>
      <c r="E4520" s="33" t="n">
        <f aca="false">IF(B4520&gt;=5,AVERAGE(C4516:C4519),"")</f>
        <v>60.5</v>
      </c>
      <c r="F4520" s="33" t="n">
        <f aca="false">IF(B4520&gt;=9,AVERAGE(C4512:C4519),"")</f>
        <v>63.25</v>
      </c>
      <c r="G4520" s="33" t="n">
        <f aca="false">IF(B4520=1,"",IF(B4520=2,C4519,SES_Alpha*C4519+(1-SES_Alpha)*G4519))</f>
        <v>64.5824197944793</v>
      </c>
      <c r="H4520" s="33" t="n">
        <f aca="false">IF(D4520="","",D4520-C4520)</f>
        <v>21</v>
      </c>
      <c r="I4520" s="33" t="n">
        <f aca="false">IF(E4520="","",E4520-C4520)</f>
        <v>3.5</v>
      </c>
      <c r="J4520" s="33" t="n">
        <f aca="false">IF(F4520="","",F4520-C4520)</f>
        <v>6.25</v>
      </c>
      <c r="K4520" s="33" t="n">
        <f aca="false">IF(G4520="","",G4520-C4520)</f>
        <v>7.58241979447928</v>
      </c>
      <c r="L4520" s="33" t="n">
        <f aca="false">IF(H4520="","",ABS(H4520))</f>
        <v>21</v>
      </c>
      <c r="M4520" s="33" t="n">
        <f aca="false">IF(I4520="","",ABS(I4520))</f>
        <v>3.5</v>
      </c>
      <c r="N4520" s="33" t="n">
        <f aca="false">IF(J4520="","",ABS(J4520))</f>
        <v>6.25</v>
      </c>
      <c r="O4520" s="33" t="n">
        <f aca="false">IF(K4520="","",ABS(K4520))</f>
        <v>7.58241979447928</v>
      </c>
      <c r="P4520" s="34" t="str">
        <f aca="false">IF(B4520&gt;=Eval_Start_Week,"YES","")</f>
        <v/>
      </c>
      <c r="Q4520" s="34" t="str">
        <f aca="false">IF(AND(B4520&gt;=Cal_Start_Week,B4520&lt;=Cal_End_Week),"YES","")</f>
        <v>YES</v>
      </c>
    </row>
    <row r="4521" customFormat="false" ht="15" hidden="false" customHeight="false" outlineLevel="0" collapsed="false">
      <c r="A4521" s="31" t="str">
        <f aca="false">Demand_History!C4521</f>
        <v>CLN-007</v>
      </c>
      <c r="B4521" s="31" t="n">
        <f aca="false">Demand_History!A4521</f>
        <v>48</v>
      </c>
      <c r="C4521" s="32" t="n">
        <f aca="false">Demand_History!D4521</f>
        <v>91</v>
      </c>
      <c r="D4521" s="33" t="n">
        <f aca="false">IF(B4521&gt;=2,C4520,"")</f>
        <v>57</v>
      </c>
      <c r="E4521" s="33" t="n">
        <f aca="false">IF(B4521&gt;=5,AVERAGE(C4517:C4520),"")</f>
        <v>62.5</v>
      </c>
      <c r="F4521" s="33" t="n">
        <f aca="false">IF(B4521&gt;=9,AVERAGE(C4513:C4520),"")</f>
        <v>61.875</v>
      </c>
      <c r="G4521" s="33" t="n">
        <f aca="false">IF(B4521=1,"",IF(B4521=2,C4520,SES_Alpha*C4520+(1-SES_Alpha)*G4520))</f>
        <v>62.3076938561355</v>
      </c>
      <c r="H4521" s="33" t="n">
        <f aca="false">IF(D4521="","",D4521-C4521)</f>
        <v>-34</v>
      </c>
      <c r="I4521" s="33" t="n">
        <f aca="false">IF(E4521="","",E4521-C4521)</f>
        <v>-28.5</v>
      </c>
      <c r="J4521" s="33" t="n">
        <f aca="false">IF(F4521="","",F4521-C4521)</f>
        <v>-29.125</v>
      </c>
      <c r="K4521" s="33" t="n">
        <f aca="false">IF(G4521="","",G4521-C4521)</f>
        <v>-28.6923061438645</v>
      </c>
      <c r="L4521" s="33" t="n">
        <f aca="false">IF(H4521="","",ABS(H4521))</f>
        <v>34</v>
      </c>
      <c r="M4521" s="33" t="n">
        <f aca="false">IF(I4521="","",ABS(I4521))</f>
        <v>28.5</v>
      </c>
      <c r="N4521" s="33" t="n">
        <f aca="false">IF(J4521="","",ABS(J4521))</f>
        <v>29.125</v>
      </c>
      <c r="O4521" s="33" t="n">
        <f aca="false">IF(K4521="","",ABS(K4521))</f>
        <v>28.6923061438645</v>
      </c>
      <c r="P4521" s="34" t="str">
        <f aca="false">IF(B4521&gt;=Eval_Start_Week,"YES","")</f>
        <v/>
      </c>
      <c r="Q4521" s="34" t="str">
        <f aca="false">IF(AND(B4521&gt;=Cal_Start_Week,B4521&lt;=Cal_End_Week),"YES","")</f>
        <v>YES</v>
      </c>
    </row>
    <row r="4522" customFormat="false" ht="15" hidden="false" customHeight="false" outlineLevel="0" collapsed="false">
      <c r="A4522" s="31" t="str">
        <f aca="false">Demand_History!C4522</f>
        <v>CLN-007</v>
      </c>
      <c r="B4522" s="31" t="n">
        <f aca="false">Demand_History!A4522</f>
        <v>49</v>
      </c>
      <c r="C4522" s="32" t="n">
        <f aca="false">Demand_History!D4522</f>
        <v>86</v>
      </c>
      <c r="D4522" s="33" t="n">
        <f aca="false">IF(B4522&gt;=2,C4521,"")</f>
        <v>91</v>
      </c>
      <c r="E4522" s="33" t="n">
        <f aca="false">IF(B4522&gt;=5,AVERAGE(C4518:C4521),"")</f>
        <v>69.5</v>
      </c>
      <c r="F4522" s="33" t="n">
        <f aca="false">IF(B4522&gt;=9,AVERAGE(C4514:C4521),"")</f>
        <v>63.375</v>
      </c>
      <c r="G4522" s="33" t="n">
        <f aca="false">IF(B4522=1,"",IF(B4522=2,C4521,SES_Alpha*C4521+(1-SES_Alpha)*G4521))</f>
        <v>70.9153856992948</v>
      </c>
      <c r="H4522" s="33" t="n">
        <f aca="false">IF(D4522="","",D4522-C4522)</f>
        <v>5</v>
      </c>
      <c r="I4522" s="33" t="n">
        <f aca="false">IF(E4522="","",E4522-C4522)</f>
        <v>-16.5</v>
      </c>
      <c r="J4522" s="33" t="n">
        <f aca="false">IF(F4522="","",F4522-C4522)</f>
        <v>-22.625</v>
      </c>
      <c r="K4522" s="33" t="n">
        <f aca="false">IF(G4522="","",G4522-C4522)</f>
        <v>-15.0846143007052</v>
      </c>
      <c r="L4522" s="33" t="n">
        <f aca="false">IF(H4522="","",ABS(H4522))</f>
        <v>5</v>
      </c>
      <c r="M4522" s="33" t="n">
        <f aca="false">IF(I4522="","",ABS(I4522))</f>
        <v>16.5</v>
      </c>
      <c r="N4522" s="33" t="n">
        <f aca="false">IF(J4522="","",ABS(J4522))</f>
        <v>22.625</v>
      </c>
      <c r="O4522" s="33" t="n">
        <f aca="false">IF(K4522="","",ABS(K4522))</f>
        <v>15.0846143007052</v>
      </c>
      <c r="P4522" s="34" t="str">
        <f aca="false">IF(B4522&gt;=Eval_Start_Week,"YES","")</f>
        <v/>
      </c>
      <c r="Q4522" s="34" t="str">
        <f aca="false">IF(AND(B4522&gt;=Cal_Start_Week,B4522&lt;=Cal_End_Week),"YES","")</f>
        <v>YES</v>
      </c>
    </row>
    <row r="4523" customFormat="false" ht="15" hidden="false" customHeight="false" outlineLevel="0" collapsed="false">
      <c r="A4523" s="31" t="str">
        <f aca="false">Demand_History!C4523</f>
        <v>CLN-007</v>
      </c>
      <c r="B4523" s="31" t="n">
        <f aca="false">Demand_History!A4523</f>
        <v>50</v>
      </c>
      <c r="C4523" s="32" t="n">
        <f aca="false">Demand_History!D4523</f>
        <v>40</v>
      </c>
      <c r="D4523" s="33" t="n">
        <f aca="false">IF(B4523&gt;=2,C4522,"")</f>
        <v>86</v>
      </c>
      <c r="E4523" s="33" t="n">
        <f aca="false">IF(B4523&gt;=5,AVERAGE(C4519:C4522),"")</f>
        <v>78</v>
      </c>
      <c r="F4523" s="33" t="n">
        <f aca="false">IF(B4523&gt;=9,AVERAGE(C4515:C4522),"")</f>
        <v>66.25</v>
      </c>
      <c r="G4523" s="33" t="n">
        <f aca="false">IF(B4523=1,"",IF(B4523=2,C4522,SES_Alpha*C4522+(1-SES_Alpha)*G4522))</f>
        <v>75.4407699895064</v>
      </c>
      <c r="H4523" s="33" t="n">
        <f aca="false">IF(D4523="","",D4523-C4523)</f>
        <v>46</v>
      </c>
      <c r="I4523" s="33" t="n">
        <f aca="false">IF(E4523="","",E4523-C4523)</f>
        <v>38</v>
      </c>
      <c r="J4523" s="33" t="n">
        <f aca="false">IF(F4523="","",F4523-C4523)</f>
        <v>26.25</v>
      </c>
      <c r="K4523" s="33" t="n">
        <f aca="false">IF(G4523="","",G4523-C4523)</f>
        <v>35.4407699895064</v>
      </c>
      <c r="L4523" s="33" t="n">
        <f aca="false">IF(H4523="","",ABS(H4523))</f>
        <v>46</v>
      </c>
      <c r="M4523" s="33" t="n">
        <f aca="false">IF(I4523="","",ABS(I4523))</f>
        <v>38</v>
      </c>
      <c r="N4523" s="33" t="n">
        <f aca="false">IF(J4523="","",ABS(J4523))</f>
        <v>26.25</v>
      </c>
      <c r="O4523" s="33" t="n">
        <f aca="false">IF(K4523="","",ABS(K4523))</f>
        <v>35.4407699895064</v>
      </c>
      <c r="P4523" s="34" t="str">
        <f aca="false">IF(B4523&gt;=Eval_Start_Week,"YES","")</f>
        <v/>
      </c>
      <c r="Q4523" s="34" t="str">
        <f aca="false">IF(AND(B4523&gt;=Cal_Start_Week,B4523&lt;=Cal_End_Week),"YES","")</f>
        <v>YES</v>
      </c>
    </row>
    <row r="4524" customFormat="false" ht="15" hidden="false" customHeight="false" outlineLevel="0" collapsed="false">
      <c r="A4524" s="31" t="str">
        <f aca="false">Demand_History!C4524</f>
        <v>CLN-007</v>
      </c>
      <c r="B4524" s="31" t="n">
        <f aca="false">Demand_History!A4524</f>
        <v>51</v>
      </c>
      <c r="C4524" s="32" t="n">
        <f aca="false">Demand_History!D4524</f>
        <v>84</v>
      </c>
      <c r="D4524" s="33" t="n">
        <f aca="false">IF(B4524&gt;=2,C4523,"")</f>
        <v>40</v>
      </c>
      <c r="E4524" s="33" t="n">
        <f aca="false">IF(B4524&gt;=5,AVERAGE(C4520:C4523),"")</f>
        <v>68.5</v>
      </c>
      <c r="F4524" s="33" t="n">
        <f aca="false">IF(B4524&gt;=9,AVERAGE(C4516:C4523),"")</f>
        <v>64.5</v>
      </c>
      <c r="G4524" s="33" t="n">
        <f aca="false">IF(B4524=1,"",IF(B4524=2,C4523,SES_Alpha*C4523+(1-SES_Alpha)*G4523))</f>
        <v>64.8085389926545</v>
      </c>
      <c r="H4524" s="33" t="n">
        <f aca="false">IF(D4524="","",D4524-C4524)</f>
        <v>-44</v>
      </c>
      <c r="I4524" s="33" t="n">
        <f aca="false">IF(E4524="","",E4524-C4524)</f>
        <v>-15.5</v>
      </c>
      <c r="J4524" s="33" t="n">
        <f aca="false">IF(F4524="","",F4524-C4524)</f>
        <v>-19.5</v>
      </c>
      <c r="K4524" s="33" t="n">
        <f aca="false">IF(G4524="","",G4524-C4524)</f>
        <v>-19.1914610073455</v>
      </c>
      <c r="L4524" s="33" t="n">
        <f aca="false">IF(H4524="","",ABS(H4524))</f>
        <v>44</v>
      </c>
      <c r="M4524" s="33" t="n">
        <f aca="false">IF(I4524="","",ABS(I4524))</f>
        <v>15.5</v>
      </c>
      <c r="N4524" s="33" t="n">
        <f aca="false">IF(J4524="","",ABS(J4524))</f>
        <v>19.5</v>
      </c>
      <c r="O4524" s="33" t="n">
        <f aca="false">IF(K4524="","",ABS(K4524))</f>
        <v>19.1914610073455</v>
      </c>
      <c r="P4524" s="34" t="str">
        <f aca="false">IF(B4524&gt;=Eval_Start_Week,"YES","")</f>
        <v/>
      </c>
      <c r="Q4524" s="34" t="str">
        <f aca="false">IF(AND(B4524&gt;=Cal_Start_Week,B4524&lt;=Cal_End_Week),"YES","")</f>
        <v>YES</v>
      </c>
    </row>
    <row r="4525" customFormat="false" ht="15" hidden="false" customHeight="false" outlineLevel="0" collapsed="false">
      <c r="A4525" s="31" t="str">
        <f aca="false">Demand_History!C4525</f>
        <v>CLN-007</v>
      </c>
      <c r="B4525" s="31" t="n">
        <f aca="false">Demand_History!A4525</f>
        <v>52</v>
      </c>
      <c r="C4525" s="32" t="n">
        <f aca="false">Demand_History!D4525</f>
        <v>56</v>
      </c>
      <c r="D4525" s="33" t="n">
        <f aca="false">IF(B4525&gt;=2,C4524,"")</f>
        <v>84</v>
      </c>
      <c r="E4525" s="33" t="n">
        <f aca="false">IF(B4525&gt;=5,AVERAGE(C4521:C4524),"")</f>
        <v>75.25</v>
      </c>
      <c r="F4525" s="33" t="n">
        <f aca="false">IF(B4525&gt;=9,AVERAGE(C4517:C4524),"")</f>
        <v>68.875</v>
      </c>
      <c r="G4525" s="33" t="n">
        <f aca="false">IF(B4525=1,"",IF(B4525=2,C4524,SES_Alpha*C4524+(1-SES_Alpha)*G4524))</f>
        <v>70.5659772948581</v>
      </c>
      <c r="H4525" s="33" t="n">
        <f aca="false">IF(D4525="","",D4525-C4525)</f>
        <v>28</v>
      </c>
      <c r="I4525" s="33" t="n">
        <f aca="false">IF(E4525="","",E4525-C4525)</f>
        <v>19.25</v>
      </c>
      <c r="J4525" s="33" t="n">
        <f aca="false">IF(F4525="","",F4525-C4525)</f>
        <v>12.875</v>
      </c>
      <c r="K4525" s="33" t="n">
        <f aca="false">IF(G4525="","",G4525-C4525)</f>
        <v>14.5659772948581</v>
      </c>
      <c r="L4525" s="33" t="n">
        <f aca="false">IF(H4525="","",ABS(H4525))</f>
        <v>28</v>
      </c>
      <c r="M4525" s="33" t="n">
        <f aca="false">IF(I4525="","",ABS(I4525))</f>
        <v>19.25</v>
      </c>
      <c r="N4525" s="33" t="n">
        <f aca="false">IF(J4525="","",ABS(J4525))</f>
        <v>12.875</v>
      </c>
      <c r="O4525" s="33" t="n">
        <f aca="false">IF(K4525="","",ABS(K4525))</f>
        <v>14.5659772948581</v>
      </c>
      <c r="P4525" s="34" t="str">
        <f aca="false">IF(B4525&gt;=Eval_Start_Week,"YES","")</f>
        <v/>
      </c>
      <c r="Q4525" s="34" t="str">
        <f aca="false">IF(AND(B4525&gt;=Cal_Start_Week,B4525&lt;=Cal_End_Week),"YES","")</f>
        <v>YES</v>
      </c>
    </row>
    <row r="4526" customFormat="false" ht="15" hidden="false" customHeight="false" outlineLevel="0" collapsed="false">
      <c r="A4526" s="31" t="str">
        <f aca="false">Demand_History!C4526</f>
        <v>CLN-007</v>
      </c>
      <c r="B4526" s="31" t="n">
        <f aca="false">Demand_History!A4526</f>
        <v>53</v>
      </c>
      <c r="C4526" s="32" t="n">
        <f aca="false">Demand_History!D4526</f>
        <v>89</v>
      </c>
      <c r="D4526" s="33" t="n">
        <f aca="false">IF(B4526&gt;=2,C4525,"")</f>
        <v>56</v>
      </c>
      <c r="E4526" s="33" t="n">
        <f aca="false">IF(B4526&gt;=5,AVERAGE(C4522:C4525),"")</f>
        <v>66.5</v>
      </c>
      <c r="F4526" s="33" t="n">
        <f aca="false">IF(B4526&gt;=9,AVERAGE(C4518:C4525),"")</f>
        <v>68</v>
      </c>
      <c r="G4526" s="33" t="n">
        <f aca="false">IF(B4526=1,"",IF(B4526=2,C4525,SES_Alpha*C4525+(1-SES_Alpha)*G4525))</f>
        <v>66.1961841064007</v>
      </c>
      <c r="H4526" s="33" t="n">
        <f aca="false">IF(D4526="","",D4526-C4526)</f>
        <v>-33</v>
      </c>
      <c r="I4526" s="33" t="n">
        <f aca="false">IF(E4526="","",E4526-C4526)</f>
        <v>-22.5</v>
      </c>
      <c r="J4526" s="33" t="n">
        <f aca="false">IF(F4526="","",F4526-C4526)</f>
        <v>-21</v>
      </c>
      <c r="K4526" s="33" t="n">
        <f aca="false">IF(G4526="","",G4526-C4526)</f>
        <v>-22.8038158935993</v>
      </c>
      <c r="L4526" s="33" t="n">
        <f aca="false">IF(H4526="","",ABS(H4526))</f>
        <v>33</v>
      </c>
      <c r="M4526" s="33" t="n">
        <f aca="false">IF(I4526="","",ABS(I4526))</f>
        <v>22.5</v>
      </c>
      <c r="N4526" s="33" t="n">
        <f aca="false">IF(J4526="","",ABS(J4526))</f>
        <v>21</v>
      </c>
      <c r="O4526" s="33" t="n">
        <f aca="false">IF(K4526="","",ABS(K4526))</f>
        <v>22.8038158935993</v>
      </c>
      <c r="P4526" s="34" t="str">
        <f aca="false">IF(B4526&gt;=Eval_Start_Week,"YES","")</f>
        <v>YES</v>
      </c>
      <c r="Q4526" s="34" t="str">
        <f aca="false">IF(AND(B4526&gt;=Cal_Start_Week,B4526&lt;=Cal_End_Week),"YES","")</f>
        <v>YES</v>
      </c>
    </row>
    <row r="4527" customFormat="false" ht="15" hidden="false" customHeight="false" outlineLevel="0" collapsed="false">
      <c r="A4527" s="31" t="str">
        <f aca="false">Demand_History!C4527</f>
        <v>CLN-007</v>
      </c>
      <c r="B4527" s="31" t="n">
        <f aca="false">Demand_History!A4527</f>
        <v>54</v>
      </c>
      <c r="C4527" s="32" t="n">
        <f aca="false">Demand_History!D4527</f>
        <v>73</v>
      </c>
      <c r="D4527" s="33" t="n">
        <f aca="false">IF(B4527&gt;=2,C4526,"")</f>
        <v>89</v>
      </c>
      <c r="E4527" s="33" t="n">
        <f aca="false">IF(B4527&gt;=5,AVERAGE(C4523:C4526),"")</f>
        <v>67.25</v>
      </c>
      <c r="F4527" s="33" t="n">
        <f aca="false">IF(B4527&gt;=9,AVERAGE(C4519:C4526),"")</f>
        <v>72.625</v>
      </c>
      <c r="G4527" s="33" t="n">
        <f aca="false">IF(B4527=1,"",IF(B4527=2,C4526,SES_Alpha*C4526+(1-SES_Alpha)*G4526))</f>
        <v>73.0373288744805</v>
      </c>
      <c r="H4527" s="33" t="n">
        <f aca="false">IF(D4527="","",D4527-C4527)</f>
        <v>16</v>
      </c>
      <c r="I4527" s="33" t="n">
        <f aca="false">IF(E4527="","",E4527-C4527)</f>
        <v>-5.75</v>
      </c>
      <c r="J4527" s="33" t="n">
        <f aca="false">IF(F4527="","",F4527-C4527)</f>
        <v>-0.375</v>
      </c>
      <c r="K4527" s="33" t="n">
        <f aca="false">IF(G4527="","",G4527-C4527)</f>
        <v>0.0373288744804654</v>
      </c>
      <c r="L4527" s="33" t="n">
        <f aca="false">IF(H4527="","",ABS(H4527))</f>
        <v>16</v>
      </c>
      <c r="M4527" s="33" t="n">
        <f aca="false">IF(I4527="","",ABS(I4527))</f>
        <v>5.75</v>
      </c>
      <c r="N4527" s="33" t="n">
        <f aca="false">IF(J4527="","",ABS(J4527))</f>
        <v>0.375</v>
      </c>
      <c r="O4527" s="33" t="n">
        <f aca="false">IF(K4527="","",ABS(K4527))</f>
        <v>0.0373288744804654</v>
      </c>
      <c r="P4527" s="34" t="str">
        <f aca="false">IF(B4527&gt;=Eval_Start_Week,"YES","")</f>
        <v>YES</v>
      </c>
      <c r="Q4527" s="34" t="str">
        <f aca="false">IF(AND(B4527&gt;=Cal_Start_Week,B4527&lt;=Cal_End_Week),"YES","")</f>
        <v>YES</v>
      </c>
    </row>
    <row r="4528" customFormat="false" ht="15" hidden="false" customHeight="false" outlineLevel="0" collapsed="false">
      <c r="A4528" s="31" t="str">
        <f aca="false">Demand_History!C4528</f>
        <v>CLN-007</v>
      </c>
      <c r="B4528" s="31" t="n">
        <f aca="false">Demand_History!A4528</f>
        <v>55</v>
      </c>
      <c r="C4528" s="32" t="n">
        <f aca="false">Demand_History!D4528</f>
        <v>63</v>
      </c>
      <c r="D4528" s="33" t="n">
        <f aca="false">IF(B4528&gt;=2,C4527,"")</f>
        <v>73</v>
      </c>
      <c r="E4528" s="33" t="n">
        <f aca="false">IF(B4528&gt;=5,AVERAGE(C4524:C4527),"")</f>
        <v>75.5</v>
      </c>
      <c r="F4528" s="33" t="n">
        <f aca="false">IF(B4528&gt;=9,AVERAGE(C4520:C4527),"")</f>
        <v>72</v>
      </c>
      <c r="G4528" s="33" t="n">
        <f aca="false">IF(B4528=1,"",IF(B4528=2,C4527,SES_Alpha*C4527+(1-SES_Alpha)*G4527))</f>
        <v>73.0261302121363</v>
      </c>
      <c r="H4528" s="33" t="n">
        <f aca="false">IF(D4528="","",D4528-C4528)</f>
        <v>10</v>
      </c>
      <c r="I4528" s="33" t="n">
        <f aca="false">IF(E4528="","",E4528-C4528)</f>
        <v>12.5</v>
      </c>
      <c r="J4528" s="33" t="n">
        <f aca="false">IF(F4528="","",F4528-C4528)</f>
        <v>9</v>
      </c>
      <c r="K4528" s="33" t="n">
        <f aca="false">IF(G4528="","",G4528-C4528)</f>
        <v>10.0261302121363</v>
      </c>
      <c r="L4528" s="33" t="n">
        <f aca="false">IF(H4528="","",ABS(H4528))</f>
        <v>10</v>
      </c>
      <c r="M4528" s="33" t="n">
        <f aca="false">IF(I4528="","",ABS(I4528))</f>
        <v>12.5</v>
      </c>
      <c r="N4528" s="33" t="n">
        <f aca="false">IF(J4528="","",ABS(J4528))</f>
        <v>9</v>
      </c>
      <c r="O4528" s="33" t="n">
        <f aca="false">IF(K4528="","",ABS(K4528))</f>
        <v>10.0261302121363</v>
      </c>
      <c r="P4528" s="34" t="str">
        <f aca="false">IF(B4528&gt;=Eval_Start_Week,"YES","")</f>
        <v>YES</v>
      </c>
      <c r="Q4528" s="34" t="str">
        <f aca="false">IF(AND(B4528&gt;=Cal_Start_Week,B4528&lt;=Cal_End_Week),"YES","")</f>
        <v>YES</v>
      </c>
    </row>
    <row r="4529" customFormat="false" ht="15" hidden="false" customHeight="false" outlineLevel="0" collapsed="false">
      <c r="A4529" s="31" t="str">
        <f aca="false">Demand_History!C4529</f>
        <v>CLN-007</v>
      </c>
      <c r="B4529" s="31" t="n">
        <f aca="false">Demand_History!A4529</f>
        <v>56</v>
      </c>
      <c r="C4529" s="32" t="n">
        <f aca="false">Demand_History!D4529</f>
        <v>76</v>
      </c>
      <c r="D4529" s="33" t="n">
        <f aca="false">IF(B4529&gt;=2,C4528,"")</f>
        <v>63</v>
      </c>
      <c r="E4529" s="33" t="n">
        <f aca="false">IF(B4529&gt;=5,AVERAGE(C4525:C4528),"")</f>
        <v>70.25</v>
      </c>
      <c r="F4529" s="33" t="n">
        <f aca="false">IF(B4529&gt;=9,AVERAGE(C4521:C4528),"")</f>
        <v>72.75</v>
      </c>
      <c r="G4529" s="33" t="n">
        <f aca="false">IF(B4529=1,"",IF(B4529=2,C4528,SES_Alpha*C4528+(1-SES_Alpha)*G4528))</f>
        <v>70.0182911484954</v>
      </c>
      <c r="H4529" s="33" t="n">
        <f aca="false">IF(D4529="","",D4529-C4529)</f>
        <v>-13</v>
      </c>
      <c r="I4529" s="33" t="n">
        <f aca="false">IF(E4529="","",E4529-C4529)</f>
        <v>-5.75</v>
      </c>
      <c r="J4529" s="33" t="n">
        <f aca="false">IF(F4529="","",F4529-C4529)</f>
        <v>-3.25</v>
      </c>
      <c r="K4529" s="33" t="n">
        <f aca="false">IF(G4529="","",G4529-C4529)</f>
        <v>-5.98170885150458</v>
      </c>
      <c r="L4529" s="33" t="n">
        <f aca="false">IF(H4529="","",ABS(H4529))</f>
        <v>13</v>
      </c>
      <c r="M4529" s="33" t="n">
        <f aca="false">IF(I4529="","",ABS(I4529))</f>
        <v>5.75</v>
      </c>
      <c r="N4529" s="33" t="n">
        <f aca="false">IF(J4529="","",ABS(J4529))</f>
        <v>3.25</v>
      </c>
      <c r="O4529" s="33" t="n">
        <f aca="false">IF(K4529="","",ABS(K4529))</f>
        <v>5.98170885150458</v>
      </c>
      <c r="P4529" s="34" t="str">
        <f aca="false">IF(B4529&gt;=Eval_Start_Week,"YES","")</f>
        <v>YES</v>
      </c>
      <c r="Q4529" s="34" t="str">
        <f aca="false">IF(AND(B4529&gt;=Cal_Start_Week,B4529&lt;=Cal_End_Week),"YES","")</f>
        <v>YES</v>
      </c>
    </row>
    <row r="4530" customFormat="false" ht="15" hidden="false" customHeight="false" outlineLevel="0" collapsed="false">
      <c r="A4530" s="31" t="str">
        <f aca="false">Demand_History!C4530</f>
        <v>CLN-007</v>
      </c>
      <c r="B4530" s="31" t="n">
        <f aca="false">Demand_History!A4530</f>
        <v>57</v>
      </c>
      <c r="C4530" s="32" t="n">
        <f aca="false">Demand_History!D4530</f>
        <v>53</v>
      </c>
      <c r="D4530" s="33" t="n">
        <f aca="false">IF(B4530&gt;=2,C4529,"")</f>
        <v>76</v>
      </c>
      <c r="E4530" s="33" t="n">
        <f aca="false">IF(B4530&gt;=5,AVERAGE(C4526:C4529),"")</f>
        <v>75.25</v>
      </c>
      <c r="F4530" s="33" t="n">
        <f aca="false">IF(B4530&gt;=9,AVERAGE(C4522:C4529),"")</f>
        <v>70.875</v>
      </c>
      <c r="G4530" s="33" t="n">
        <f aca="false">IF(B4530=1,"",IF(B4530=2,C4529,SES_Alpha*C4529+(1-SES_Alpha)*G4529))</f>
        <v>71.8128038039468</v>
      </c>
      <c r="H4530" s="33" t="n">
        <f aca="false">IF(D4530="","",D4530-C4530)</f>
        <v>23</v>
      </c>
      <c r="I4530" s="33" t="n">
        <f aca="false">IF(E4530="","",E4530-C4530)</f>
        <v>22.25</v>
      </c>
      <c r="J4530" s="33" t="n">
        <f aca="false">IF(F4530="","",F4530-C4530)</f>
        <v>17.875</v>
      </c>
      <c r="K4530" s="33" t="n">
        <f aca="false">IF(G4530="","",G4530-C4530)</f>
        <v>18.8128038039468</v>
      </c>
      <c r="L4530" s="33" t="n">
        <f aca="false">IF(H4530="","",ABS(H4530))</f>
        <v>23</v>
      </c>
      <c r="M4530" s="33" t="n">
        <f aca="false">IF(I4530="","",ABS(I4530))</f>
        <v>22.25</v>
      </c>
      <c r="N4530" s="33" t="n">
        <f aca="false">IF(J4530="","",ABS(J4530))</f>
        <v>17.875</v>
      </c>
      <c r="O4530" s="33" t="n">
        <f aca="false">IF(K4530="","",ABS(K4530))</f>
        <v>18.8128038039468</v>
      </c>
      <c r="P4530" s="34" t="str">
        <f aca="false">IF(B4530&gt;=Eval_Start_Week,"YES","")</f>
        <v>YES</v>
      </c>
      <c r="Q4530" s="34" t="str">
        <f aca="false">IF(AND(B4530&gt;=Cal_Start_Week,B4530&lt;=Cal_End_Week),"YES","")</f>
        <v>YES</v>
      </c>
    </row>
    <row r="4531" customFormat="false" ht="15" hidden="false" customHeight="false" outlineLevel="0" collapsed="false">
      <c r="A4531" s="31" t="str">
        <f aca="false">Demand_History!C4531</f>
        <v>CLN-007</v>
      </c>
      <c r="B4531" s="31" t="n">
        <f aca="false">Demand_History!A4531</f>
        <v>58</v>
      </c>
      <c r="C4531" s="32" t="n">
        <f aca="false">Demand_History!D4531</f>
        <v>70</v>
      </c>
      <c r="D4531" s="33" t="n">
        <f aca="false">IF(B4531&gt;=2,C4530,"")</f>
        <v>53</v>
      </c>
      <c r="E4531" s="33" t="n">
        <f aca="false">IF(B4531&gt;=5,AVERAGE(C4527:C4530),"")</f>
        <v>66.25</v>
      </c>
      <c r="F4531" s="33" t="n">
        <f aca="false">IF(B4531&gt;=9,AVERAGE(C4523:C4530),"")</f>
        <v>66.75</v>
      </c>
      <c r="G4531" s="33" t="n">
        <f aca="false">IF(B4531=1,"",IF(B4531=2,C4530,SES_Alpha*C4530+(1-SES_Alpha)*G4530))</f>
        <v>66.1689626627628</v>
      </c>
      <c r="H4531" s="33" t="n">
        <f aca="false">IF(D4531="","",D4531-C4531)</f>
        <v>-17</v>
      </c>
      <c r="I4531" s="33" t="n">
        <f aca="false">IF(E4531="","",E4531-C4531)</f>
        <v>-3.75</v>
      </c>
      <c r="J4531" s="33" t="n">
        <f aca="false">IF(F4531="","",F4531-C4531)</f>
        <v>-3.25</v>
      </c>
      <c r="K4531" s="33" t="n">
        <f aca="false">IF(G4531="","",G4531-C4531)</f>
        <v>-3.83103733723725</v>
      </c>
      <c r="L4531" s="33" t="n">
        <f aca="false">IF(H4531="","",ABS(H4531))</f>
        <v>17</v>
      </c>
      <c r="M4531" s="33" t="n">
        <f aca="false">IF(I4531="","",ABS(I4531))</f>
        <v>3.75</v>
      </c>
      <c r="N4531" s="33" t="n">
        <f aca="false">IF(J4531="","",ABS(J4531))</f>
        <v>3.25</v>
      </c>
      <c r="O4531" s="33" t="n">
        <f aca="false">IF(K4531="","",ABS(K4531))</f>
        <v>3.83103733723725</v>
      </c>
      <c r="P4531" s="34" t="str">
        <f aca="false">IF(B4531&gt;=Eval_Start_Week,"YES","")</f>
        <v>YES</v>
      </c>
      <c r="Q4531" s="34" t="str">
        <f aca="false">IF(AND(B4531&gt;=Cal_Start_Week,B4531&lt;=Cal_End_Week),"YES","")</f>
        <v>YES</v>
      </c>
    </row>
    <row r="4532" customFormat="false" ht="15" hidden="false" customHeight="false" outlineLevel="0" collapsed="false">
      <c r="A4532" s="31" t="str">
        <f aca="false">Demand_History!C4532</f>
        <v>CLN-007</v>
      </c>
      <c r="B4532" s="31" t="n">
        <f aca="false">Demand_History!A4532</f>
        <v>59</v>
      </c>
      <c r="C4532" s="32" t="n">
        <f aca="false">Demand_History!D4532</f>
        <v>71</v>
      </c>
      <c r="D4532" s="33" t="n">
        <f aca="false">IF(B4532&gt;=2,C4531,"")</f>
        <v>70</v>
      </c>
      <c r="E4532" s="33" t="n">
        <f aca="false">IF(B4532&gt;=5,AVERAGE(C4528:C4531),"")</f>
        <v>65.5</v>
      </c>
      <c r="F4532" s="33" t="n">
        <f aca="false">IF(B4532&gt;=9,AVERAGE(C4524:C4531),"")</f>
        <v>70.5</v>
      </c>
      <c r="G4532" s="33" t="n">
        <f aca="false">IF(B4532=1,"",IF(B4532=2,C4531,SES_Alpha*C4531+(1-SES_Alpha)*G4531))</f>
        <v>67.3182738639339</v>
      </c>
      <c r="H4532" s="33" t="n">
        <f aca="false">IF(D4532="","",D4532-C4532)</f>
        <v>-1</v>
      </c>
      <c r="I4532" s="33" t="n">
        <f aca="false">IF(E4532="","",E4532-C4532)</f>
        <v>-5.5</v>
      </c>
      <c r="J4532" s="33" t="n">
        <f aca="false">IF(F4532="","",F4532-C4532)</f>
        <v>-0.5</v>
      </c>
      <c r="K4532" s="33" t="n">
        <f aca="false">IF(G4532="","",G4532-C4532)</f>
        <v>-3.68172613606608</v>
      </c>
      <c r="L4532" s="33" t="n">
        <f aca="false">IF(H4532="","",ABS(H4532))</f>
        <v>1</v>
      </c>
      <c r="M4532" s="33" t="n">
        <f aca="false">IF(I4532="","",ABS(I4532))</f>
        <v>5.5</v>
      </c>
      <c r="N4532" s="33" t="n">
        <f aca="false">IF(J4532="","",ABS(J4532))</f>
        <v>0.5</v>
      </c>
      <c r="O4532" s="33" t="n">
        <f aca="false">IF(K4532="","",ABS(K4532))</f>
        <v>3.68172613606608</v>
      </c>
      <c r="P4532" s="34" t="str">
        <f aca="false">IF(B4532&gt;=Eval_Start_Week,"YES","")</f>
        <v>YES</v>
      </c>
      <c r="Q4532" s="34" t="str">
        <f aca="false">IF(AND(B4532&gt;=Cal_Start_Week,B4532&lt;=Cal_End_Week),"YES","")</f>
        <v>YES</v>
      </c>
    </row>
    <row r="4533" customFormat="false" ht="15" hidden="false" customHeight="false" outlineLevel="0" collapsed="false">
      <c r="A4533" s="31" t="str">
        <f aca="false">Demand_History!C4533</f>
        <v>CLN-007</v>
      </c>
      <c r="B4533" s="31" t="n">
        <f aca="false">Demand_History!A4533</f>
        <v>60</v>
      </c>
      <c r="C4533" s="32" t="n">
        <f aca="false">Demand_History!D4533</f>
        <v>61</v>
      </c>
      <c r="D4533" s="33" t="n">
        <f aca="false">IF(B4533&gt;=2,C4532,"")</f>
        <v>71</v>
      </c>
      <c r="E4533" s="33" t="n">
        <f aca="false">IF(B4533&gt;=5,AVERAGE(C4529:C4532),"")</f>
        <v>67.5</v>
      </c>
      <c r="F4533" s="33" t="n">
        <f aca="false">IF(B4533&gt;=9,AVERAGE(C4525:C4532),"")</f>
        <v>68.875</v>
      </c>
      <c r="G4533" s="33" t="n">
        <f aca="false">IF(B4533=1,"",IF(B4533=2,C4532,SES_Alpha*C4532+(1-SES_Alpha)*G4532))</f>
        <v>68.4227917047538</v>
      </c>
      <c r="H4533" s="33" t="n">
        <f aca="false">IF(D4533="","",D4533-C4533)</f>
        <v>10</v>
      </c>
      <c r="I4533" s="33" t="n">
        <f aca="false">IF(E4533="","",E4533-C4533)</f>
        <v>6.5</v>
      </c>
      <c r="J4533" s="33" t="n">
        <f aca="false">IF(F4533="","",F4533-C4533)</f>
        <v>7.875</v>
      </c>
      <c r="K4533" s="33" t="n">
        <f aca="false">IF(G4533="","",G4533-C4533)</f>
        <v>7.42279170475375</v>
      </c>
      <c r="L4533" s="33" t="n">
        <f aca="false">IF(H4533="","",ABS(H4533))</f>
        <v>10</v>
      </c>
      <c r="M4533" s="33" t="n">
        <f aca="false">IF(I4533="","",ABS(I4533))</f>
        <v>6.5</v>
      </c>
      <c r="N4533" s="33" t="n">
        <f aca="false">IF(J4533="","",ABS(J4533))</f>
        <v>7.875</v>
      </c>
      <c r="O4533" s="33" t="n">
        <f aca="false">IF(K4533="","",ABS(K4533))</f>
        <v>7.42279170475375</v>
      </c>
      <c r="P4533" s="34" t="str">
        <f aca="false">IF(B4533&gt;=Eval_Start_Week,"YES","")</f>
        <v>YES</v>
      </c>
      <c r="Q4533" s="34" t="str">
        <f aca="false">IF(AND(B4533&gt;=Cal_Start_Week,B4533&lt;=Cal_End_Week),"YES","")</f>
        <v>YES</v>
      </c>
    </row>
    <row r="4534" customFormat="false" ht="15" hidden="false" customHeight="false" outlineLevel="0" collapsed="false">
      <c r="A4534" s="31" t="str">
        <f aca="false">Demand_History!C4534</f>
        <v>CLN-007</v>
      </c>
      <c r="B4534" s="31" t="n">
        <f aca="false">Demand_History!A4534</f>
        <v>61</v>
      </c>
      <c r="C4534" s="32" t="n">
        <f aca="false">Demand_History!D4534</f>
        <v>71</v>
      </c>
      <c r="D4534" s="33" t="n">
        <f aca="false">IF(B4534&gt;=2,C4533,"")</f>
        <v>61</v>
      </c>
      <c r="E4534" s="33" t="n">
        <f aca="false">IF(B4534&gt;=5,AVERAGE(C4530:C4533),"")</f>
        <v>63.75</v>
      </c>
      <c r="F4534" s="33" t="n">
        <f aca="false">IF(B4534&gt;=9,AVERAGE(C4526:C4533),"")</f>
        <v>69.5</v>
      </c>
      <c r="G4534" s="33" t="n">
        <f aca="false">IF(B4534=1,"",IF(B4534=2,C4533,SES_Alpha*C4533+(1-SES_Alpha)*G4533))</f>
        <v>66.1959541933276</v>
      </c>
      <c r="H4534" s="33" t="n">
        <f aca="false">IF(D4534="","",D4534-C4534)</f>
        <v>-10</v>
      </c>
      <c r="I4534" s="33" t="n">
        <f aca="false">IF(E4534="","",E4534-C4534)</f>
        <v>-7.25</v>
      </c>
      <c r="J4534" s="33" t="n">
        <f aca="false">IF(F4534="","",F4534-C4534)</f>
        <v>-1.5</v>
      </c>
      <c r="K4534" s="33" t="n">
        <f aca="false">IF(G4534="","",G4534-C4534)</f>
        <v>-4.80404580667238</v>
      </c>
      <c r="L4534" s="33" t="n">
        <f aca="false">IF(H4534="","",ABS(H4534))</f>
        <v>10</v>
      </c>
      <c r="M4534" s="33" t="n">
        <f aca="false">IF(I4534="","",ABS(I4534))</f>
        <v>7.25</v>
      </c>
      <c r="N4534" s="33" t="n">
        <f aca="false">IF(J4534="","",ABS(J4534))</f>
        <v>1.5</v>
      </c>
      <c r="O4534" s="33" t="n">
        <f aca="false">IF(K4534="","",ABS(K4534))</f>
        <v>4.80404580667238</v>
      </c>
      <c r="P4534" s="34" t="str">
        <f aca="false">IF(B4534&gt;=Eval_Start_Week,"YES","")</f>
        <v>YES</v>
      </c>
      <c r="Q4534" s="34" t="str">
        <f aca="false">IF(AND(B4534&gt;=Cal_Start_Week,B4534&lt;=Cal_End_Week),"YES","")</f>
        <v>YES</v>
      </c>
    </row>
    <row r="4535" customFormat="false" ht="15" hidden="false" customHeight="false" outlineLevel="0" collapsed="false">
      <c r="A4535" s="31" t="str">
        <f aca="false">Demand_History!C4535</f>
        <v>CLN-007</v>
      </c>
      <c r="B4535" s="31" t="n">
        <f aca="false">Demand_History!A4535</f>
        <v>62</v>
      </c>
      <c r="C4535" s="32" t="n">
        <f aca="false">Demand_History!D4535</f>
        <v>45</v>
      </c>
      <c r="D4535" s="33" t="n">
        <f aca="false">IF(B4535&gt;=2,C4534,"")</f>
        <v>71</v>
      </c>
      <c r="E4535" s="33" t="n">
        <f aca="false">IF(B4535&gt;=5,AVERAGE(C4531:C4534),"")</f>
        <v>68.25</v>
      </c>
      <c r="F4535" s="33" t="n">
        <f aca="false">IF(B4535&gt;=9,AVERAGE(C4527:C4534),"")</f>
        <v>67.25</v>
      </c>
      <c r="G4535" s="33" t="n">
        <f aca="false">IF(B4535=1,"",IF(B4535=2,C4534,SES_Alpha*C4534+(1-SES_Alpha)*G4534))</f>
        <v>67.6371679353293</v>
      </c>
      <c r="H4535" s="33" t="n">
        <f aca="false">IF(D4535="","",D4535-C4535)</f>
        <v>26</v>
      </c>
      <c r="I4535" s="33" t="n">
        <f aca="false">IF(E4535="","",E4535-C4535)</f>
        <v>23.25</v>
      </c>
      <c r="J4535" s="33" t="n">
        <f aca="false">IF(F4535="","",F4535-C4535)</f>
        <v>22.25</v>
      </c>
      <c r="K4535" s="33" t="n">
        <f aca="false">IF(G4535="","",G4535-C4535)</f>
        <v>22.6371679353293</v>
      </c>
      <c r="L4535" s="33" t="n">
        <f aca="false">IF(H4535="","",ABS(H4535))</f>
        <v>26</v>
      </c>
      <c r="M4535" s="33" t="n">
        <f aca="false">IF(I4535="","",ABS(I4535))</f>
        <v>23.25</v>
      </c>
      <c r="N4535" s="33" t="n">
        <f aca="false">IF(J4535="","",ABS(J4535))</f>
        <v>22.25</v>
      </c>
      <c r="O4535" s="33" t="n">
        <f aca="false">IF(K4535="","",ABS(K4535))</f>
        <v>22.6371679353293</v>
      </c>
      <c r="P4535" s="34" t="str">
        <f aca="false">IF(B4535&gt;=Eval_Start_Week,"YES","")</f>
        <v>YES</v>
      </c>
      <c r="Q4535" s="34" t="str">
        <f aca="false">IF(AND(B4535&gt;=Cal_Start_Week,B4535&lt;=Cal_End_Week),"YES","")</f>
        <v>YES</v>
      </c>
    </row>
    <row r="4536" customFormat="false" ht="15" hidden="false" customHeight="false" outlineLevel="0" collapsed="false">
      <c r="A4536" s="31" t="str">
        <f aca="false">Demand_History!C4536</f>
        <v>CLN-007</v>
      </c>
      <c r="B4536" s="31" t="n">
        <f aca="false">Demand_History!A4536</f>
        <v>63</v>
      </c>
      <c r="C4536" s="32" t="n">
        <f aca="false">Demand_History!D4536</f>
        <v>74</v>
      </c>
      <c r="D4536" s="33" t="n">
        <f aca="false">IF(B4536&gt;=2,C4535,"")</f>
        <v>45</v>
      </c>
      <c r="E4536" s="33" t="n">
        <f aca="false">IF(B4536&gt;=5,AVERAGE(C4532:C4535),"")</f>
        <v>62</v>
      </c>
      <c r="F4536" s="33" t="n">
        <f aca="false">IF(B4536&gt;=9,AVERAGE(C4528:C4535),"")</f>
        <v>63.75</v>
      </c>
      <c r="G4536" s="33" t="n">
        <f aca="false">IF(B4536=1,"",IF(B4536=2,C4535,SES_Alpha*C4535+(1-SES_Alpha)*G4535))</f>
        <v>60.8460175547305</v>
      </c>
      <c r="H4536" s="33" t="n">
        <f aca="false">IF(D4536="","",D4536-C4536)</f>
        <v>-29</v>
      </c>
      <c r="I4536" s="33" t="n">
        <f aca="false">IF(E4536="","",E4536-C4536)</f>
        <v>-12</v>
      </c>
      <c r="J4536" s="33" t="n">
        <f aca="false">IF(F4536="","",F4536-C4536)</f>
        <v>-10.25</v>
      </c>
      <c r="K4536" s="33" t="n">
        <f aca="false">IF(G4536="","",G4536-C4536)</f>
        <v>-13.1539824452695</v>
      </c>
      <c r="L4536" s="33" t="n">
        <f aca="false">IF(H4536="","",ABS(H4536))</f>
        <v>29</v>
      </c>
      <c r="M4536" s="33" t="n">
        <f aca="false">IF(I4536="","",ABS(I4536))</f>
        <v>12</v>
      </c>
      <c r="N4536" s="33" t="n">
        <f aca="false">IF(J4536="","",ABS(J4536))</f>
        <v>10.25</v>
      </c>
      <c r="O4536" s="33" t="n">
        <f aca="false">IF(K4536="","",ABS(K4536))</f>
        <v>13.1539824452695</v>
      </c>
      <c r="P4536" s="34" t="str">
        <f aca="false">IF(B4536&gt;=Eval_Start_Week,"YES","")</f>
        <v>YES</v>
      </c>
      <c r="Q4536" s="34" t="str">
        <f aca="false">IF(AND(B4536&gt;=Cal_Start_Week,B4536&lt;=Cal_End_Week),"YES","")</f>
        <v>YES</v>
      </c>
    </row>
    <row r="4537" customFormat="false" ht="15" hidden="false" customHeight="false" outlineLevel="0" collapsed="false">
      <c r="A4537" s="31" t="str">
        <f aca="false">Demand_History!C4537</f>
        <v>CLN-007</v>
      </c>
      <c r="B4537" s="31" t="n">
        <f aca="false">Demand_History!A4537</f>
        <v>64</v>
      </c>
      <c r="C4537" s="32" t="n">
        <f aca="false">Demand_History!D4537</f>
        <v>41</v>
      </c>
      <c r="D4537" s="33" t="n">
        <f aca="false">IF(B4537&gt;=2,C4536,"")</f>
        <v>74</v>
      </c>
      <c r="E4537" s="33" t="n">
        <f aca="false">IF(B4537&gt;=5,AVERAGE(C4533:C4536),"")</f>
        <v>62.75</v>
      </c>
      <c r="F4537" s="33" t="n">
        <f aca="false">IF(B4537&gt;=9,AVERAGE(C4529:C4536),"")</f>
        <v>65.125</v>
      </c>
      <c r="G4537" s="33" t="n">
        <f aca="false">IF(B4537=1,"",IF(B4537=2,C4536,SES_Alpha*C4536+(1-SES_Alpha)*G4536))</f>
        <v>64.7922122883114</v>
      </c>
      <c r="H4537" s="33" t="n">
        <f aca="false">IF(D4537="","",D4537-C4537)</f>
        <v>33</v>
      </c>
      <c r="I4537" s="33" t="n">
        <f aca="false">IF(E4537="","",E4537-C4537)</f>
        <v>21.75</v>
      </c>
      <c r="J4537" s="33" t="n">
        <f aca="false">IF(F4537="","",F4537-C4537)</f>
        <v>24.125</v>
      </c>
      <c r="K4537" s="33" t="n">
        <f aca="false">IF(G4537="","",G4537-C4537)</f>
        <v>23.7922122883114</v>
      </c>
      <c r="L4537" s="33" t="n">
        <f aca="false">IF(H4537="","",ABS(H4537))</f>
        <v>33</v>
      </c>
      <c r="M4537" s="33" t="n">
        <f aca="false">IF(I4537="","",ABS(I4537))</f>
        <v>21.75</v>
      </c>
      <c r="N4537" s="33" t="n">
        <f aca="false">IF(J4537="","",ABS(J4537))</f>
        <v>24.125</v>
      </c>
      <c r="O4537" s="33" t="n">
        <f aca="false">IF(K4537="","",ABS(K4537))</f>
        <v>23.7922122883114</v>
      </c>
      <c r="P4537" s="34" t="str">
        <f aca="false">IF(B4537&gt;=Eval_Start_Week,"YES","")</f>
        <v>YES</v>
      </c>
      <c r="Q4537" s="34" t="str">
        <f aca="false">IF(AND(B4537&gt;=Cal_Start_Week,B4537&lt;=Cal_End_Week),"YES","")</f>
        <v>YES</v>
      </c>
    </row>
    <row r="4538" customFormat="false" ht="15" hidden="false" customHeight="false" outlineLevel="0" collapsed="false">
      <c r="A4538" s="31" t="str">
        <f aca="false">Demand_History!C4538</f>
        <v>CLN-007</v>
      </c>
      <c r="B4538" s="31" t="n">
        <f aca="false">Demand_History!A4538</f>
        <v>65</v>
      </c>
      <c r="C4538" s="32" t="n">
        <f aca="false">Demand_History!D4538</f>
        <v>75</v>
      </c>
      <c r="D4538" s="33" t="n">
        <f aca="false">IF(B4538&gt;=2,C4537,"")</f>
        <v>41</v>
      </c>
      <c r="E4538" s="33" t="n">
        <f aca="false">IF(B4538&gt;=5,AVERAGE(C4534:C4537),"")</f>
        <v>57.75</v>
      </c>
      <c r="F4538" s="33" t="n">
        <f aca="false">IF(B4538&gt;=9,AVERAGE(C4530:C4537),"")</f>
        <v>60.75</v>
      </c>
      <c r="G4538" s="33" t="n">
        <f aca="false">IF(B4538=1,"",IF(B4538=2,C4537,SES_Alpha*C4537+(1-SES_Alpha)*G4537))</f>
        <v>57.654548601818</v>
      </c>
      <c r="H4538" s="33" t="n">
        <f aca="false">IF(D4538="","",D4538-C4538)</f>
        <v>-34</v>
      </c>
      <c r="I4538" s="33" t="n">
        <f aca="false">IF(E4538="","",E4538-C4538)</f>
        <v>-17.25</v>
      </c>
      <c r="J4538" s="33" t="n">
        <f aca="false">IF(F4538="","",F4538-C4538)</f>
        <v>-14.25</v>
      </c>
      <c r="K4538" s="33" t="n">
        <f aca="false">IF(G4538="","",G4538-C4538)</f>
        <v>-17.3454513981821</v>
      </c>
      <c r="L4538" s="33" t="n">
        <f aca="false">IF(H4538="","",ABS(H4538))</f>
        <v>34</v>
      </c>
      <c r="M4538" s="33" t="n">
        <f aca="false">IF(I4538="","",ABS(I4538))</f>
        <v>17.25</v>
      </c>
      <c r="N4538" s="33" t="n">
        <f aca="false">IF(J4538="","",ABS(J4538))</f>
        <v>14.25</v>
      </c>
      <c r="O4538" s="33" t="n">
        <f aca="false">IF(K4538="","",ABS(K4538))</f>
        <v>17.3454513981821</v>
      </c>
      <c r="P4538" s="34" t="str">
        <f aca="false">IF(B4538&gt;=Eval_Start_Week,"YES","")</f>
        <v>YES</v>
      </c>
      <c r="Q4538" s="34" t="str">
        <f aca="false">IF(AND(B4538&gt;=Cal_Start_Week,B4538&lt;=Cal_End_Week),"YES","")</f>
        <v>YES</v>
      </c>
    </row>
    <row r="4539" customFormat="false" ht="15" hidden="false" customHeight="false" outlineLevel="0" collapsed="false">
      <c r="A4539" s="31" t="str">
        <f aca="false">Demand_History!C4539</f>
        <v>CLN-007</v>
      </c>
      <c r="B4539" s="31" t="n">
        <f aca="false">Demand_History!A4539</f>
        <v>66</v>
      </c>
      <c r="C4539" s="32" t="n">
        <f aca="false">Demand_History!D4539</f>
        <v>72</v>
      </c>
      <c r="D4539" s="33" t="n">
        <f aca="false">IF(B4539&gt;=2,C4538,"")</f>
        <v>75</v>
      </c>
      <c r="E4539" s="33" t="n">
        <f aca="false">IF(B4539&gt;=5,AVERAGE(C4535:C4538),"")</f>
        <v>58.75</v>
      </c>
      <c r="F4539" s="33" t="n">
        <f aca="false">IF(B4539&gt;=9,AVERAGE(C4531:C4538),"")</f>
        <v>63.5</v>
      </c>
      <c r="G4539" s="33" t="n">
        <f aca="false">IF(B4539=1,"",IF(B4539=2,C4538,SES_Alpha*C4538+(1-SES_Alpha)*G4538))</f>
        <v>62.8581840212726</v>
      </c>
      <c r="H4539" s="33" t="n">
        <f aca="false">IF(D4539="","",D4539-C4539)</f>
        <v>3</v>
      </c>
      <c r="I4539" s="33" t="n">
        <f aca="false">IF(E4539="","",E4539-C4539)</f>
        <v>-13.25</v>
      </c>
      <c r="J4539" s="33" t="n">
        <f aca="false">IF(F4539="","",F4539-C4539)</f>
        <v>-8.5</v>
      </c>
      <c r="K4539" s="33" t="n">
        <f aca="false">IF(G4539="","",G4539-C4539)</f>
        <v>-9.14181597872744</v>
      </c>
      <c r="L4539" s="33" t="n">
        <f aca="false">IF(H4539="","",ABS(H4539))</f>
        <v>3</v>
      </c>
      <c r="M4539" s="33" t="n">
        <f aca="false">IF(I4539="","",ABS(I4539))</f>
        <v>13.25</v>
      </c>
      <c r="N4539" s="33" t="n">
        <f aca="false">IF(J4539="","",ABS(J4539))</f>
        <v>8.5</v>
      </c>
      <c r="O4539" s="33" t="n">
        <f aca="false">IF(K4539="","",ABS(K4539))</f>
        <v>9.14181597872744</v>
      </c>
      <c r="P4539" s="34" t="str">
        <f aca="false">IF(B4539&gt;=Eval_Start_Week,"YES","")</f>
        <v>YES</v>
      </c>
      <c r="Q4539" s="34" t="str">
        <f aca="false">IF(AND(B4539&gt;=Cal_Start_Week,B4539&lt;=Cal_End_Week),"YES","")</f>
        <v>YES</v>
      </c>
    </row>
    <row r="4540" customFormat="false" ht="15" hidden="false" customHeight="false" outlineLevel="0" collapsed="false">
      <c r="A4540" s="31" t="str">
        <f aca="false">Demand_History!C4540</f>
        <v>CLN-007</v>
      </c>
      <c r="B4540" s="31" t="n">
        <f aca="false">Demand_History!A4540</f>
        <v>67</v>
      </c>
      <c r="C4540" s="32" t="n">
        <f aca="false">Demand_History!D4540</f>
        <v>77</v>
      </c>
      <c r="D4540" s="33" t="n">
        <f aca="false">IF(B4540&gt;=2,C4539,"")</f>
        <v>72</v>
      </c>
      <c r="E4540" s="33" t="n">
        <f aca="false">IF(B4540&gt;=5,AVERAGE(C4536:C4539),"")</f>
        <v>65.5</v>
      </c>
      <c r="F4540" s="33" t="n">
        <f aca="false">IF(B4540&gt;=9,AVERAGE(C4532:C4539),"")</f>
        <v>63.75</v>
      </c>
      <c r="G4540" s="33" t="n">
        <f aca="false">IF(B4540=1,"",IF(B4540=2,C4539,SES_Alpha*C4539+(1-SES_Alpha)*G4539))</f>
        <v>65.6007288148908</v>
      </c>
      <c r="H4540" s="33" t="n">
        <f aca="false">IF(D4540="","",D4540-C4540)</f>
        <v>-5</v>
      </c>
      <c r="I4540" s="33" t="n">
        <f aca="false">IF(E4540="","",E4540-C4540)</f>
        <v>-11.5</v>
      </c>
      <c r="J4540" s="33" t="n">
        <f aca="false">IF(F4540="","",F4540-C4540)</f>
        <v>-13.25</v>
      </c>
      <c r="K4540" s="33" t="n">
        <f aca="false">IF(G4540="","",G4540-C4540)</f>
        <v>-11.3992711851092</v>
      </c>
      <c r="L4540" s="33" t="n">
        <f aca="false">IF(H4540="","",ABS(H4540))</f>
        <v>5</v>
      </c>
      <c r="M4540" s="33" t="n">
        <f aca="false">IF(I4540="","",ABS(I4540))</f>
        <v>11.5</v>
      </c>
      <c r="N4540" s="33" t="n">
        <f aca="false">IF(J4540="","",ABS(J4540))</f>
        <v>13.25</v>
      </c>
      <c r="O4540" s="33" t="n">
        <f aca="false">IF(K4540="","",ABS(K4540))</f>
        <v>11.3992711851092</v>
      </c>
      <c r="P4540" s="34" t="str">
        <f aca="false">IF(B4540&gt;=Eval_Start_Week,"YES","")</f>
        <v>YES</v>
      </c>
      <c r="Q4540" s="34" t="str">
        <f aca="false">IF(AND(B4540&gt;=Cal_Start_Week,B4540&lt;=Cal_End_Week),"YES","")</f>
        <v>YES</v>
      </c>
    </row>
    <row r="4541" customFormat="false" ht="15" hidden="false" customHeight="false" outlineLevel="0" collapsed="false">
      <c r="A4541" s="31" t="str">
        <f aca="false">Demand_History!C4541</f>
        <v>CLN-007</v>
      </c>
      <c r="B4541" s="31" t="n">
        <f aca="false">Demand_History!A4541</f>
        <v>68</v>
      </c>
      <c r="C4541" s="32" t="n">
        <f aca="false">Demand_History!D4541</f>
        <v>53</v>
      </c>
      <c r="D4541" s="33" t="n">
        <f aca="false">IF(B4541&gt;=2,C4540,"")</f>
        <v>77</v>
      </c>
      <c r="E4541" s="33" t="n">
        <f aca="false">IF(B4541&gt;=5,AVERAGE(C4537:C4540),"")</f>
        <v>66.25</v>
      </c>
      <c r="F4541" s="33" t="n">
        <f aca="false">IF(B4541&gt;=9,AVERAGE(C4533:C4540),"")</f>
        <v>64.5</v>
      </c>
      <c r="G4541" s="33" t="n">
        <f aca="false">IF(B4541=1,"",IF(B4541=2,C4540,SES_Alpha*C4540+(1-SES_Alpha)*G4540))</f>
        <v>69.0205101704236</v>
      </c>
      <c r="H4541" s="33" t="n">
        <f aca="false">IF(D4541="","",D4541-C4541)</f>
        <v>24</v>
      </c>
      <c r="I4541" s="33" t="n">
        <f aca="false">IF(E4541="","",E4541-C4541)</f>
        <v>13.25</v>
      </c>
      <c r="J4541" s="33" t="n">
        <f aca="false">IF(F4541="","",F4541-C4541)</f>
        <v>11.5</v>
      </c>
      <c r="K4541" s="33" t="n">
        <f aca="false">IF(G4541="","",G4541-C4541)</f>
        <v>16.0205101704236</v>
      </c>
      <c r="L4541" s="33" t="n">
        <f aca="false">IF(H4541="","",ABS(H4541))</f>
        <v>24</v>
      </c>
      <c r="M4541" s="33" t="n">
        <f aca="false">IF(I4541="","",ABS(I4541))</f>
        <v>13.25</v>
      </c>
      <c r="N4541" s="33" t="n">
        <f aca="false">IF(J4541="","",ABS(J4541))</f>
        <v>11.5</v>
      </c>
      <c r="O4541" s="33" t="n">
        <f aca="false">IF(K4541="","",ABS(K4541))</f>
        <v>16.0205101704236</v>
      </c>
      <c r="P4541" s="34" t="str">
        <f aca="false">IF(B4541&gt;=Eval_Start_Week,"YES","")</f>
        <v>YES</v>
      </c>
      <c r="Q4541" s="34" t="str">
        <f aca="false">IF(AND(B4541&gt;=Cal_Start_Week,B4541&lt;=Cal_End_Week),"YES","")</f>
        <v>YES</v>
      </c>
    </row>
    <row r="4542" customFormat="false" ht="15" hidden="false" customHeight="false" outlineLevel="0" collapsed="false">
      <c r="A4542" s="31" t="str">
        <f aca="false">Demand_History!C4542</f>
        <v>CLN-007</v>
      </c>
      <c r="B4542" s="31" t="n">
        <f aca="false">Demand_History!A4542</f>
        <v>69</v>
      </c>
      <c r="C4542" s="32" t="n">
        <f aca="false">Demand_History!D4542</f>
        <v>120</v>
      </c>
      <c r="D4542" s="33" t="n">
        <f aca="false">IF(B4542&gt;=2,C4541,"")</f>
        <v>53</v>
      </c>
      <c r="E4542" s="33" t="n">
        <f aca="false">IF(B4542&gt;=5,AVERAGE(C4538:C4541),"")</f>
        <v>69.25</v>
      </c>
      <c r="F4542" s="33" t="n">
        <f aca="false">IF(B4542&gt;=9,AVERAGE(C4534:C4541),"")</f>
        <v>63.5</v>
      </c>
      <c r="G4542" s="33" t="n">
        <f aca="false">IF(B4542=1,"",IF(B4542=2,C4541,SES_Alpha*C4541+(1-SES_Alpha)*G4541))</f>
        <v>64.2143571192965</v>
      </c>
      <c r="H4542" s="33" t="n">
        <f aca="false">IF(D4542="","",D4542-C4542)</f>
        <v>-67</v>
      </c>
      <c r="I4542" s="33" t="n">
        <f aca="false">IF(E4542="","",E4542-C4542)</f>
        <v>-50.75</v>
      </c>
      <c r="J4542" s="33" t="n">
        <f aca="false">IF(F4542="","",F4542-C4542)</f>
        <v>-56.5</v>
      </c>
      <c r="K4542" s="33" t="n">
        <f aca="false">IF(G4542="","",G4542-C4542)</f>
        <v>-55.7856428807035</v>
      </c>
      <c r="L4542" s="33" t="n">
        <f aca="false">IF(H4542="","",ABS(H4542))</f>
        <v>67</v>
      </c>
      <c r="M4542" s="33" t="n">
        <f aca="false">IF(I4542="","",ABS(I4542))</f>
        <v>50.75</v>
      </c>
      <c r="N4542" s="33" t="n">
        <f aca="false">IF(J4542="","",ABS(J4542))</f>
        <v>56.5</v>
      </c>
      <c r="O4542" s="33" t="n">
        <f aca="false">IF(K4542="","",ABS(K4542))</f>
        <v>55.7856428807035</v>
      </c>
      <c r="P4542" s="34" t="str">
        <f aca="false">IF(B4542&gt;=Eval_Start_Week,"YES","")</f>
        <v>YES</v>
      </c>
      <c r="Q4542" s="34" t="str">
        <f aca="false">IF(AND(B4542&gt;=Cal_Start_Week,B4542&lt;=Cal_End_Week),"YES","")</f>
        <v>YES</v>
      </c>
    </row>
    <row r="4543" customFormat="false" ht="15" hidden="false" customHeight="false" outlineLevel="0" collapsed="false">
      <c r="A4543" s="31" t="str">
        <f aca="false">Demand_History!C4543</f>
        <v>CLN-007</v>
      </c>
      <c r="B4543" s="31" t="n">
        <f aca="false">Demand_History!A4543</f>
        <v>70</v>
      </c>
      <c r="C4543" s="32" t="n">
        <f aca="false">Demand_History!D4543</f>
        <v>59</v>
      </c>
      <c r="D4543" s="33" t="n">
        <f aca="false">IF(B4543&gt;=2,C4542,"")</f>
        <v>120</v>
      </c>
      <c r="E4543" s="33" t="n">
        <f aca="false">IF(B4543&gt;=5,AVERAGE(C4539:C4542),"")</f>
        <v>80.5</v>
      </c>
      <c r="F4543" s="33" t="n">
        <f aca="false">IF(B4543&gt;=9,AVERAGE(C4535:C4542),"")</f>
        <v>69.625</v>
      </c>
      <c r="G4543" s="33" t="n">
        <f aca="false">IF(B4543=1,"",IF(B4543=2,C4542,SES_Alpha*C4542+(1-SES_Alpha)*G4542))</f>
        <v>80.9500499835075</v>
      </c>
      <c r="H4543" s="33" t="n">
        <f aca="false">IF(D4543="","",D4543-C4543)</f>
        <v>61</v>
      </c>
      <c r="I4543" s="33" t="n">
        <f aca="false">IF(E4543="","",E4543-C4543)</f>
        <v>21.5</v>
      </c>
      <c r="J4543" s="33" t="n">
        <f aca="false">IF(F4543="","",F4543-C4543)</f>
        <v>10.625</v>
      </c>
      <c r="K4543" s="33" t="n">
        <f aca="false">IF(G4543="","",G4543-C4543)</f>
        <v>21.9500499835075</v>
      </c>
      <c r="L4543" s="33" t="n">
        <f aca="false">IF(H4543="","",ABS(H4543))</f>
        <v>61</v>
      </c>
      <c r="M4543" s="33" t="n">
        <f aca="false">IF(I4543="","",ABS(I4543))</f>
        <v>21.5</v>
      </c>
      <c r="N4543" s="33" t="n">
        <f aca="false">IF(J4543="","",ABS(J4543))</f>
        <v>10.625</v>
      </c>
      <c r="O4543" s="33" t="n">
        <f aca="false">IF(K4543="","",ABS(K4543))</f>
        <v>21.9500499835075</v>
      </c>
      <c r="P4543" s="34" t="str">
        <f aca="false">IF(B4543&gt;=Eval_Start_Week,"YES","")</f>
        <v>YES</v>
      </c>
      <c r="Q4543" s="34" t="str">
        <f aca="false">IF(AND(B4543&gt;=Cal_Start_Week,B4543&lt;=Cal_End_Week),"YES","")</f>
        <v>YES</v>
      </c>
    </row>
    <row r="4544" customFormat="false" ht="15" hidden="false" customHeight="false" outlineLevel="0" collapsed="false">
      <c r="A4544" s="31" t="str">
        <f aca="false">Demand_History!C4544</f>
        <v>CLN-007</v>
      </c>
      <c r="B4544" s="31" t="n">
        <f aca="false">Demand_History!A4544</f>
        <v>71</v>
      </c>
      <c r="C4544" s="32" t="n">
        <f aca="false">Demand_History!D4544</f>
        <v>66</v>
      </c>
      <c r="D4544" s="33" t="n">
        <f aca="false">IF(B4544&gt;=2,C4543,"")</f>
        <v>59</v>
      </c>
      <c r="E4544" s="33" t="n">
        <f aca="false">IF(B4544&gt;=5,AVERAGE(C4540:C4543),"")</f>
        <v>77.25</v>
      </c>
      <c r="F4544" s="33" t="n">
        <f aca="false">IF(B4544&gt;=9,AVERAGE(C4536:C4543),"")</f>
        <v>71.375</v>
      </c>
      <c r="G4544" s="33" t="n">
        <f aca="false">IF(B4544=1,"",IF(B4544=2,C4543,SES_Alpha*C4543+(1-SES_Alpha)*G4543))</f>
        <v>74.3650349884553</v>
      </c>
      <c r="H4544" s="33" t="n">
        <f aca="false">IF(D4544="","",D4544-C4544)</f>
        <v>-7</v>
      </c>
      <c r="I4544" s="33" t="n">
        <f aca="false">IF(E4544="","",E4544-C4544)</f>
        <v>11.25</v>
      </c>
      <c r="J4544" s="33" t="n">
        <f aca="false">IF(F4544="","",F4544-C4544)</f>
        <v>5.375</v>
      </c>
      <c r="K4544" s="33" t="n">
        <f aca="false">IF(G4544="","",G4544-C4544)</f>
        <v>8.36503498845528</v>
      </c>
      <c r="L4544" s="33" t="n">
        <f aca="false">IF(H4544="","",ABS(H4544))</f>
        <v>7</v>
      </c>
      <c r="M4544" s="33" t="n">
        <f aca="false">IF(I4544="","",ABS(I4544))</f>
        <v>11.25</v>
      </c>
      <c r="N4544" s="33" t="n">
        <f aca="false">IF(J4544="","",ABS(J4544))</f>
        <v>5.375</v>
      </c>
      <c r="O4544" s="33" t="n">
        <f aca="false">IF(K4544="","",ABS(K4544))</f>
        <v>8.36503498845528</v>
      </c>
      <c r="P4544" s="34" t="str">
        <f aca="false">IF(B4544&gt;=Eval_Start_Week,"YES","")</f>
        <v>YES</v>
      </c>
      <c r="Q4544" s="34" t="str">
        <f aca="false">IF(AND(B4544&gt;=Cal_Start_Week,B4544&lt;=Cal_End_Week),"YES","")</f>
        <v>YES</v>
      </c>
    </row>
    <row r="4545" customFormat="false" ht="15" hidden="false" customHeight="false" outlineLevel="0" collapsed="false">
      <c r="A4545" s="31" t="str">
        <f aca="false">Demand_History!C4545</f>
        <v>CLN-007</v>
      </c>
      <c r="B4545" s="31" t="n">
        <f aca="false">Demand_History!A4545</f>
        <v>72</v>
      </c>
      <c r="C4545" s="32" t="n">
        <f aca="false">Demand_History!D4545</f>
        <v>50</v>
      </c>
      <c r="D4545" s="33" t="n">
        <f aca="false">IF(B4545&gt;=2,C4544,"")</f>
        <v>66</v>
      </c>
      <c r="E4545" s="33" t="n">
        <f aca="false">IF(B4545&gt;=5,AVERAGE(C4541:C4544),"")</f>
        <v>74.5</v>
      </c>
      <c r="F4545" s="33" t="n">
        <f aca="false">IF(B4545&gt;=9,AVERAGE(C4537:C4544),"")</f>
        <v>70.375</v>
      </c>
      <c r="G4545" s="33" t="n">
        <f aca="false">IF(B4545=1,"",IF(B4545=2,C4544,SES_Alpha*C4544+(1-SES_Alpha)*G4544))</f>
        <v>71.8555244919187</v>
      </c>
      <c r="H4545" s="33" t="n">
        <f aca="false">IF(D4545="","",D4545-C4545)</f>
        <v>16</v>
      </c>
      <c r="I4545" s="33" t="n">
        <f aca="false">IF(E4545="","",E4545-C4545)</f>
        <v>24.5</v>
      </c>
      <c r="J4545" s="33" t="n">
        <f aca="false">IF(F4545="","",F4545-C4545)</f>
        <v>20.375</v>
      </c>
      <c r="K4545" s="33" t="n">
        <f aca="false">IF(G4545="","",G4545-C4545)</f>
        <v>21.8555244919187</v>
      </c>
      <c r="L4545" s="33" t="n">
        <f aca="false">IF(H4545="","",ABS(H4545))</f>
        <v>16</v>
      </c>
      <c r="M4545" s="33" t="n">
        <f aca="false">IF(I4545="","",ABS(I4545))</f>
        <v>24.5</v>
      </c>
      <c r="N4545" s="33" t="n">
        <f aca="false">IF(J4545="","",ABS(J4545))</f>
        <v>20.375</v>
      </c>
      <c r="O4545" s="33" t="n">
        <f aca="false">IF(K4545="","",ABS(K4545))</f>
        <v>21.8555244919187</v>
      </c>
      <c r="P4545" s="34" t="str">
        <f aca="false">IF(B4545&gt;=Eval_Start_Week,"YES","")</f>
        <v>YES</v>
      </c>
      <c r="Q4545" s="34" t="str">
        <f aca="false">IF(AND(B4545&gt;=Cal_Start_Week,B4545&lt;=Cal_End_Week),"YES","")</f>
        <v>YES</v>
      </c>
    </row>
    <row r="4546" customFormat="false" ht="15" hidden="false" customHeight="false" outlineLevel="0" collapsed="false">
      <c r="A4546" s="31" t="str">
        <f aca="false">Demand_History!C4546</f>
        <v>CLN-007</v>
      </c>
      <c r="B4546" s="31" t="n">
        <f aca="false">Demand_History!A4546</f>
        <v>73</v>
      </c>
      <c r="C4546" s="32" t="n">
        <f aca="false">Demand_History!D4546</f>
        <v>90</v>
      </c>
      <c r="D4546" s="33" t="n">
        <f aca="false">IF(B4546&gt;=2,C4545,"")</f>
        <v>50</v>
      </c>
      <c r="E4546" s="33" t="n">
        <f aca="false">IF(B4546&gt;=5,AVERAGE(C4542:C4545),"")</f>
        <v>73.75</v>
      </c>
      <c r="F4546" s="33" t="n">
        <f aca="false">IF(B4546&gt;=9,AVERAGE(C4538:C4545),"")</f>
        <v>71.5</v>
      </c>
      <c r="G4546" s="33" t="n">
        <f aca="false">IF(B4546=1,"",IF(B4546=2,C4545,SES_Alpha*C4545+(1-SES_Alpha)*G4545))</f>
        <v>65.2988671443431</v>
      </c>
      <c r="H4546" s="33" t="n">
        <f aca="false">IF(D4546="","",D4546-C4546)</f>
        <v>-40</v>
      </c>
      <c r="I4546" s="33" t="n">
        <f aca="false">IF(E4546="","",E4546-C4546)</f>
        <v>-16.25</v>
      </c>
      <c r="J4546" s="33" t="n">
        <f aca="false">IF(F4546="","",F4546-C4546)</f>
        <v>-18.5</v>
      </c>
      <c r="K4546" s="33" t="n">
        <f aca="false">IF(G4546="","",G4546-C4546)</f>
        <v>-24.7011328556569</v>
      </c>
      <c r="L4546" s="33" t="n">
        <f aca="false">IF(H4546="","",ABS(H4546))</f>
        <v>40</v>
      </c>
      <c r="M4546" s="33" t="n">
        <f aca="false">IF(I4546="","",ABS(I4546))</f>
        <v>16.25</v>
      </c>
      <c r="N4546" s="33" t="n">
        <f aca="false">IF(J4546="","",ABS(J4546))</f>
        <v>18.5</v>
      </c>
      <c r="O4546" s="33" t="n">
        <f aca="false">IF(K4546="","",ABS(K4546))</f>
        <v>24.7011328556569</v>
      </c>
      <c r="P4546" s="34" t="str">
        <f aca="false">IF(B4546&gt;=Eval_Start_Week,"YES","")</f>
        <v>YES</v>
      </c>
      <c r="Q4546" s="34" t="str">
        <f aca="false">IF(AND(B4546&gt;=Cal_Start_Week,B4546&lt;=Cal_End_Week),"YES","")</f>
        <v>YES</v>
      </c>
    </row>
    <row r="4547" customFormat="false" ht="15" hidden="false" customHeight="false" outlineLevel="0" collapsed="false">
      <c r="A4547" s="31" t="str">
        <f aca="false">Demand_History!C4547</f>
        <v>CLN-007</v>
      </c>
      <c r="B4547" s="31" t="n">
        <f aca="false">Demand_History!A4547</f>
        <v>74</v>
      </c>
      <c r="C4547" s="32" t="n">
        <f aca="false">Demand_History!D4547</f>
        <v>55</v>
      </c>
      <c r="D4547" s="33" t="n">
        <f aca="false">IF(B4547&gt;=2,C4546,"")</f>
        <v>90</v>
      </c>
      <c r="E4547" s="33" t="n">
        <f aca="false">IF(B4547&gt;=5,AVERAGE(C4543:C4546),"")</f>
        <v>66.25</v>
      </c>
      <c r="F4547" s="33" t="n">
        <f aca="false">IF(B4547&gt;=9,AVERAGE(C4539:C4546),"")</f>
        <v>73.375</v>
      </c>
      <c r="G4547" s="33" t="n">
        <f aca="false">IF(B4547=1,"",IF(B4547=2,C4546,SES_Alpha*C4546+(1-SES_Alpha)*G4546))</f>
        <v>72.7092070010401</v>
      </c>
      <c r="H4547" s="33" t="n">
        <f aca="false">IF(D4547="","",D4547-C4547)</f>
        <v>35</v>
      </c>
      <c r="I4547" s="33" t="n">
        <f aca="false">IF(E4547="","",E4547-C4547)</f>
        <v>11.25</v>
      </c>
      <c r="J4547" s="33" t="n">
        <f aca="false">IF(F4547="","",F4547-C4547)</f>
        <v>18.375</v>
      </c>
      <c r="K4547" s="33" t="n">
        <f aca="false">IF(G4547="","",G4547-C4547)</f>
        <v>17.7092070010401</v>
      </c>
      <c r="L4547" s="33" t="n">
        <f aca="false">IF(H4547="","",ABS(H4547))</f>
        <v>35</v>
      </c>
      <c r="M4547" s="33" t="n">
        <f aca="false">IF(I4547="","",ABS(I4547))</f>
        <v>11.25</v>
      </c>
      <c r="N4547" s="33" t="n">
        <f aca="false">IF(J4547="","",ABS(J4547))</f>
        <v>18.375</v>
      </c>
      <c r="O4547" s="33" t="n">
        <f aca="false">IF(K4547="","",ABS(K4547))</f>
        <v>17.7092070010401</v>
      </c>
      <c r="P4547" s="34" t="str">
        <f aca="false">IF(B4547&gt;=Eval_Start_Week,"YES","")</f>
        <v>YES</v>
      </c>
      <c r="Q4547" s="34" t="str">
        <f aca="false">IF(AND(B4547&gt;=Cal_Start_Week,B4547&lt;=Cal_End_Week),"YES","")</f>
        <v>YES</v>
      </c>
    </row>
    <row r="4548" customFormat="false" ht="15" hidden="false" customHeight="false" outlineLevel="0" collapsed="false">
      <c r="A4548" s="31" t="str">
        <f aca="false">Demand_History!C4548</f>
        <v>CLN-007</v>
      </c>
      <c r="B4548" s="31" t="n">
        <f aca="false">Demand_History!A4548</f>
        <v>75</v>
      </c>
      <c r="C4548" s="32" t="n">
        <f aca="false">Demand_History!D4548</f>
        <v>82</v>
      </c>
      <c r="D4548" s="33" t="n">
        <f aca="false">IF(B4548&gt;=2,C4547,"")</f>
        <v>55</v>
      </c>
      <c r="E4548" s="33" t="n">
        <f aca="false">IF(B4548&gt;=5,AVERAGE(C4544:C4547),"")</f>
        <v>65.25</v>
      </c>
      <c r="F4548" s="33" t="n">
        <f aca="false">IF(B4548&gt;=9,AVERAGE(C4540:C4547),"")</f>
        <v>71.25</v>
      </c>
      <c r="G4548" s="33" t="n">
        <f aca="false">IF(B4548=1,"",IF(B4548=2,C4547,SES_Alpha*C4547+(1-SES_Alpha)*G4547))</f>
        <v>67.3964449007281</v>
      </c>
      <c r="H4548" s="33" t="n">
        <f aca="false">IF(D4548="","",D4548-C4548)</f>
        <v>-27</v>
      </c>
      <c r="I4548" s="33" t="n">
        <f aca="false">IF(E4548="","",E4548-C4548)</f>
        <v>-16.75</v>
      </c>
      <c r="J4548" s="33" t="n">
        <f aca="false">IF(F4548="","",F4548-C4548)</f>
        <v>-10.75</v>
      </c>
      <c r="K4548" s="33" t="n">
        <f aca="false">IF(G4548="","",G4548-C4548)</f>
        <v>-14.6035550992719</v>
      </c>
      <c r="L4548" s="33" t="n">
        <f aca="false">IF(H4548="","",ABS(H4548))</f>
        <v>27</v>
      </c>
      <c r="M4548" s="33" t="n">
        <f aca="false">IF(I4548="","",ABS(I4548))</f>
        <v>16.75</v>
      </c>
      <c r="N4548" s="33" t="n">
        <f aca="false">IF(J4548="","",ABS(J4548))</f>
        <v>10.75</v>
      </c>
      <c r="O4548" s="33" t="n">
        <f aca="false">IF(K4548="","",ABS(K4548))</f>
        <v>14.6035550992719</v>
      </c>
      <c r="P4548" s="34" t="str">
        <f aca="false">IF(B4548&gt;=Eval_Start_Week,"YES","")</f>
        <v>YES</v>
      </c>
      <c r="Q4548" s="34" t="str">
        <f aca="false">IF(AND(B4548&gt;=Cal_Start_Week,B4548&lt;=Cal_End_Week),"YES","")</f>
        <v>YES</v>
      </c>
    </row>
    <row r="4549" customFormat="false" ht="15" hidden="false" customHeight="false" outlineLevel="0" collapsed="false">
      <c r="A4549" s="31" t="str">
        <f aca="false">Demand_History!C4549</f>
        <v>CLN-007</v>
      </c>
      <c r="B4549" s="31" t="n">
        <f aca="false">Demand_History!A4549</f>
        <v>76</v>
      </c>
      <c r="C4549" s="32" t="n">
        <f aca="false">Demand_History!D4549</f>
        <v>46</v>
      </c>
      <c r="D4549" s="33" t="n">
        <f aca="false">IF(B4549&gt;=2,C4548,"")</f>
        <v>82</v>
      </c>
      <c r="E4549" s="33" t="n">
        <f aca="false">IF(B4549&gt;=5,AVERAGE(C4545:C4548),"")</f>
        <v>69.25</v>
      </c>
      <c r="F4549" s="33" t="n">
        <f aca="false">IF(B4549&gt;=9,AVERAGE(C4541:C4548),"")</f>
        <v>71.875</v>
      </c>
      <c r="G4549" s="33" t="n">
        <f aca="false">IF(B4549=1,"",IF(B4549=2,C4548,SES_Alpha*C4548+(1-SES_Alpha)*G4548))</f>
        <v>71.7775114305097</v>
      </c>
      <c r="H4549" s="33" t="n">
        <f aca="false">IF(D4549="","",D4549-C4549)</f>
        <v>36</v>
      </c>
      <c r="I4549" s="33" t="n">
        <f aca="false">IF(E4549="","",E4549-C4549)</f>
        <v>23.25</v>
      </c>
      <c r="J4549" s="33" t="n">
        <f aca="false">IF(F4549="","",F4549-C4549)</f>
        <v>25.875</v>
      </c>
      <c r="K4549" s="33" t="n">
        <f aca="false">IF(G4549="","",G4549-C4549)</f>
        <v>25.7775114305097</v>
      </c>
      <c r="L4549" s="33" t="n">
        <f aca="false">IF(H4549="","",ABS(H4549))</f>
        <v>36</v>
      </c>
      <c r="M4549" s="33" t="n">
        <f aca="false">IF(I4549="","",ABS(I4549))</f>
        <v>23.25</v>
      </c>
      <c r="N4549" s="33" t="n">
        <f aca="false">IF(J4549="","",ABS(J4549))</f>
        <v>25.875</v>
      </c>
      <c r="O4549" s="33" t="n">
        <f aca="false">IF(K4549="","",ABS(K4549))</f>
        <v>25.7775114305097</v>
      </c>
      <c r="P4549" s="34" t="str">
        <f aca="false">IF(B4549&gt;=Eval_Start_Week,"YES","")</f>
        <v>YES</v>
      </c>
      <c r="Q4549" s="34" t="str">
        <f aca="false">IF(AND(B4549&gt;=Cal_Start_Week,B4549&lt;=Cal_End_Week),"YES","")</f>
        <v>YES</v>
      </c>
    </row>
    <row r="4550" customFormat="false" ht="15" hidden="false" customHeight="false" outlineLevel="0" collapsed="false">
      <c r="A4550" s="31" t="str">
        <f aca="false">Demand_History!C4550</f>
        <v>CLN-007</v>
      </c>
      <c r="B4550" s="31" t="n">
        <f aca="false">Demand_History!A4550</f>
        <v>77</v>
      </c>
      <c r="C4550" s="32" t="n">
        <f aca="false">Demand_History!D4550</f>
        <v>70</v>
      </c>
      <c r="D4550" s="33" t="n">
        <f aca="false">IF(B4550&gt;=2,C4549,"")</f>
        <v>46</v>
      </c>
      <c r="E4550" s="33" t="n">
        <f aca="false">IF(B4550&gt;=5,AVERAGE(C4546:C4549),"")</f>
        <v>68.25</v>
      </c>
      <c r="F4550" s="33" t="n">
        <f aca="false">IF(B4550&gt;=9,AVERAGE(C4542:C4549),"")</f>
        <v>71</v>
      </c>
      <c r="G4550" s="33" t="n">
        <f aca="false">IF(B4550=1,"",IF(B4550=2,C4549,SES_Alpha*C4549+(1-SES_Alpha)*G4549))</f>
        <v>64.0442580013568</v>
      </c>
      <c r="H4550" s="33" t="n">
        <f aca="false">IF(D4550="","",D4550-C4550)</f>
        <v>-24</v>
      </c>
      <c r="I4550" s="33" t="n">
        <f aca="false">IF(E4550="","",E4550-C4550)</f>
        <v>-1.75</v>
      </c>
      <c r="J4550" s="33" t="n">
        <f aca="false">IF(F4550="","",F4550-C4550)</f>
        <v>1</v>
      </c>
      <c r="K4550" s="33" t="n">
        <f aca="false">IF(G4550="","",G4550-C4550)</f>
        <v>-5.95574199864323</v>
      </c>
      <c r="L4550" s="33" t="n">
        <f aca="false">IF(H4550="","",ABS(H4550))</f>
        <v>24</v>
      </c>
      <c r="M4550" s="33" t="n">
        <f aca="false">IF(I4550="","",ABS(I4550))</f>
        <v>1.75</v>
      </c>
      <c r="N4550" s="33" t="n">
        <f aca="false">IF(J4550="","",ABS(J4550))</f>
        <v>1</v>
      </c>
      <c r="O4550" s="33" t="n">
        <f aca="false">IF(K4550="","",ABS(K4550))</f>
        <v>5.95574199864323</v>
      </c>
      <c r="P4550" s="34" t="str">
        <f aca="false">IF(B4550&gt;=Eval_Start_Week,"YES","")</f>
        <v>YES</v>
      </c>
      <c r="Q4550" s="34" t="str">
        <f aca="false">IF(AND(B4550&gt;=Cal_Start_Week,B4550&lt;=Cal_End_Week),"YES","")</f>
        <v>YES</v>
      </c>
    </row>
    <row r="4551" customFormat="false" ht="15" hidden="false" customHeight="false" outlineLevel="0" collapsed="false">
      <c r="A4551" s="31" t="str">
        <f aca="false">Demand_History!C4551</f>
        <v>CLN-007</v>
      </c>
      <c r="B4551" s="31" t="n">
        <f aca="false">Demand_History!A4551</f>
        <v>78</v>
      </c>
      <c r="C4551" s="32" t="n">
        <f aca="false">Demand_History!D4551</f>
        <v>57</v>
      </c>
      <c r="D4551" s="33" t="n">
        <f aca="false">IF(B4551&gt;=2,C4550,"")</f>
        <v>70</v>
      </c>
      <c r="E4551" s="33" t="n">
        <f aca="false">IF(B4551&gt;=5,AVERAGE(C4547:C4550),"")</f>
        <v>63.25</v>
      </c>
      <c r="F4551" s="33" t="n">
        <f aca="false">IF(B4551&gt;=9,AVERAGE(C4543:C4550),"")</f>
        <v>64.75</v>
      </c>
      <c r="G4551" s="33" t="n">
        <f aca="false">IF(B4551=1,"",IF(B4551=2,C4550,SES_Alpha*C4550+(1-SES_Alpha)*G4550))</f>
        <v>65.8309806009497</v>
      </c>
      <c r="H4551" s="33" t="n">
        <f aca="false">IF(D4551="","",D4551-C4551)</f>
        <v>13</v>
      </c>
      <c r="I4551" s="33" t="n">
        <f aca="false">IF(E4551="","",E4551-C4551)</f>
        <v>6.25</v>
      </c>
      <c r="J4551" s="33" t="n">
        <f aca="false">IF(F4551="","",F4551-C4551)</f>
        <v>7.75</v>
      </c>
      <c r="K4551" s="33" t="n">
        <f aca="false">IF(G4551="","",G4551-C4551)</f>
        <v>8.83098060094974</v>
      </c>
      <c r="L4551" s="33" t="n">
        <f aca="false">IF(H4551="","",ABS(H4551))</f>
        <v>13</v>
      </c>
      <c r="M4551" s="33" t="n">
        <f aca="false">IF(I4551="","",ABS(I4551))</f>
        <v>6.25</v>
      </c>
      <c r="N4551" s="33" t="n">
        <f aca="false">IF(J4551="","",ABS(J4551))</f>
        <v>7.75</v>
      </c>
      <c r="O4551" s="33" t="n">
        <f aca="false">IF(K4551="","",ABS(K4551))</f>
        <v>8.83098060094974</v>
      </c>
      <c r="P4551" s="34" t="str">
        <f aca="false">IF(B4551&gt;=Eval_Start_Week,"YES","")</f>
        <v>YES</v>
      </c>
      <c r="Q4551" s="34" t="str">
        <f aca="false">IF(AND(B4551&gt;=Cal_Start_Week,B4551&lt;=Cal_End_Week),"YES","")</f>
        <v>YES</v>
      </c>
    </row>
    <row r="4552" customFormat="false" ht="15" hidden="false" customHeight="false" outlineLevel="0" collapsed="false">
      <c r="A4552" s="31" t="str">
        <f aca="false">Demand_History!C4552</f>
        <v>CLN-007</v>
      </c>
      <c r="B4552" s="31" t="n">
        <f aca="false">Demand_History!A4552</f>
        <v>79</v>
      </c>
      <c r="C4552" s="32" t="n">
        <f aca="false">Demand_History!D4552</f>
        <v>81</v>
      </c>
      <c r="D4552" s="33" t="n">
        <f aca="false">IF(B4552&gt;=2,C4551,"")</f>
        <v>57</v>
      </c>
      <c r="E4552" s="33" t="n">
        <f aca="false">IF(B4552&gt;=5,AVERAGE(C4548:C4551),"")</f>
        <v>63.75</v>
      </c>
      <c r="F4552" s="33" t="n">
        <f aca="false">IF(B4552&gt;=9,AVERAGE(C4544:C4551),"")</f>
        <v>64.5</v>
      </c>
      <c r="G4552" s="33" t="n">
        <f aca="false">IF(B4552=1,"",IF(B4552=2,C4551,SES_Alpha*C4551+(1-SES_Alpha)*G4551))</f>
        <v>63.1816864206648</v>
      </c>
      <c r="H4552" s="33" t="n">
        <f aca="false">IF(D4552="","",D4552-C4552)</f>
        <v>-24</v>
      </c>
      <c r="I4552" s="33" t="n">
        <f aca="false">IF(E4552="","",E4552-C4552)</f>
        <v>-17.25</v>
      </c>
      <c r="J4552" s="33" t="n">
        <f aca="false">IF(F4552="","",F4552-C4552)</f>
        <v>-16.5</v>
      </c>
      <c r="K4552" s="33" t="n">
        <f aca="false">IF(G4552="","",G4552-C4552)</f>
        <v>-17.8183135793352</v>
      </c>
      <c r="L4552" s="33" t="n">
        <f aca="false">IF(H4552="","",ABS(H4552))</f>
        <v>24</v>
      </c>
      <c r="M4552" s="33" t="n">
        <f aca="false">IF(I4552="","",ABS(I4552))</f>
        <v>17.25</v>
      </c>
      <c r="N4552" s="33" t="n">
        <f aca="false">IF(J4552="","",ABS(J4552))</f>
        <v>16.5</v>
      </c>
      <c r="O4552" s="33" t="n">
        <f aca="false">IF(K4552="","",ABS(K4552))</f>
        <v>17.8183135793352</v>
      </c>
      <c r="P4552" s="34" t="str">
        <f aca="false">IF(B4552&gt;=Eval_Start_Week,"YES","")</f>
        <v>YES</v>
      </c>
      <c r="Q4552" s="34" t="str">
        <f aca="false">IF(AND(B4552&gt;=Cal_Start_Week,B4552&lt;=Cal_End_Week),"YES","")</f>
        <v>YES</v>
      </c>
    </row>
    <row r="4553" customFormat="false" ht="15" hidden="false" customHeight="false" outlineLevel="0" collapsed="false">
      <c r="A4553" s="31" t="str">
        <f aca="false">Demand_History!C4553</f>
        <v>CLN-007</v>
      </c>
      <c r="B4553" s="31" t="n">
        <f aca="false">Demand_History!A4553</f>
        <v>80</v>
      </c>
      <c r="C4553" s="32" t="n">
        <f aca="false">Demand_History!D4553</f>
        <v>58</v>
      </c>
      <c r="D4553" s="33" t="n">
        <f aca="false">IF(B4553&gt;=2,C4552,"")</f>
        <v>81</v>
      </c>
      <c r="E4553" s="33" t="n">
        <f aca="false">IF(B4553&gt;=5,AVERAGE(C4549:C4552),"")</f>
        <v>63.5</v>
      </c>
      <c r="F4553" s="33" t="n">
        <f aca="false">IF(B4553&gt;=9,AVERAGE(C4545:C4552),"")</f>
        <v>66.375</v>
      </c>
      <c r="G4553" s="33" t="n">
        <f aca="false">IF(B4553=1,"",IF(B4553=2,C4552,SES_Alpha*C4552+(1-SES_Alpha)*G4552))</f>
        <v>68.5271804944654</v>
      </c>
      <c r="H4553" s="33" t="n">
        <f aca="false">IF(D4553="","",D4553-C4553)</f>
        <v>23</v>
      </c>
      <c r="I4553" s="33" t="n">
        <f aca="false">IF(E4553="","",E4553-C4553)</f>
        <v>5.5</v>
      </c>
      <c r="J4553" s="33" t="n">
        <f aca="false">IF(F4553="","",F4553-C4553)</f>
        <v>8.375</v>
      </c>
      <c r="K4553" s="33" t="n">
        <f aca="false">IF(G4553="","",G4553-C4553)</f>
        <v>10.5271804944654</v>
      </c>
      <c r="L4553" s="33" t="n">
        <f aca="false">IF(H4553="","",ABS(H4553))</f>
        <v>23</v>
      </c>
      <c r="M4553" s="33" t="n">
        <f aca="false">IF(I4553="","",ABS(I4553))</f>
        <v>5.5</v>
      </c>
      <c r="N4553" s="33" t="n">
        <f aca="false">IF(J4553="","",ABS(J4553))</f>
        <v>8.375</v>
      </c>
      <c r="O4553" s="33" t="n">
        <f aca="false">IF(K4553="","",ABS(K4553))</f>
        <v>10.5271804944654</v>
      </c>
      <c r="P4553" s="34" t="str">
        <f aca="false">IF(B4553&gt;=Eval_Start_Week,"YES","")</f>
        <v>YES</v>
      </c>
      <c r="Q4553" s="34" t="str">
        <f aca="false">IF(AND(B4553&gt;=Cal_Start_Week,B4553&lt;=Cal_End_Week),"YES","")</f>
        <v>YES</v>
      </c>
    </row>
    <row r="4554" customFormat="false" ht="15" hidden="false" customHeight="false" outlineLevel="0" collapsed="false">
      <c r="A4554" s="31" t="str">
        <f aca="false">Demand_History!C4554</f>
        <v>CLN-007</v>
      </c>
      <c r="B4554" s="31" t="n">
        <f aca="false">Demand_History!A4554</f>
        <v>81</v>
      </c>
      <c r="C4554" s="32" t="n">
        <f aca="false">Demand_History!D4554</f>
        <v>48</v>
      </c>
      <c r="D4554" s="33" t="n">
        <f aca="false">IF(B4554&gt;=2,C4553,"")</f>
        <v>58</v>
      </c>
      <c r="E4554" s="33" t="n">
        <f aca="false">IF(B4554&gt;=5,AVERAGE(C4550:C4553),"")</f>
        <v>66.5</v>
      </c>
      <c r="F4554" s="33" t="n">
        <f aca="false">IF(B4554&gt;=9,AVERAGE(C4546:C4553),"")</f>
        <v>67.375</v>
      </c>
      <c r="G4554" s="33" t="n">
        <f aca="false">IF(B4554=1,"",IF(B4554=2,C4553,SES_Alpha*C4553+(1-SES_Alpha)*G4553))</f>
        <v>65.3690263461258</v>
      </c>
      <c r="H4554" s="33" t="n">
        <f aca="false">IF(D4554="","",D4554-C4554)</f>
        <v>10</v>
      </c>
      <c r="I4554" s="33" t="n">
        <f aca="false">IF(E4554="","",E4554-C4554)</f>
        <v>18.5</v>
      </c>
      <c r="J4554" s="33" t="n">
        <f aca="false">IF(F4554="","",F4554-C4554)</f>
        <v>19.375</v>
      </c>
      <c r="K4554" s="33" t="n">
        <f aca="false">IF(G4554="","",G4554-C4554)</f>
        <v>17.3690263461258</v>
      </c>
      <c r="L4554" s="33" t="n">
        <f aca="false">IF(H4554="","",ABS(H4554))</f>
        <v>10</v>
      </c>
      <c r="M4554" s="33" t="n">
        <f aca="false">IF(I4554="","",ABS(I4554))</f>
        <v>18.5</v>
      </c>
      <c r="N4554" s="33" t="n">
        <f aca="false">IF(J4554="","",ABS(J4554))</f>
        <v>19.375</v>
      </c>
      <c r="O4554" s="33" t="n">
        <f aca="false">IF(K4554="","",ABS(K4554))</f>
        <v>17.3690263461258</v>
      </c>
      <c r="P4554" s="34" t="str">
        <f aca="false">IF(B4554&gt;=Eval_Start_Week,"YES","")</f>
        <v>YES</v>
      </c>
      <c r="Q4554" s="34" t="str">
        <f aca="false">IF(AND(B4554&gt;=Cal_Start_Week,B4554&lt;=Cal_End_Week),"YES","")</f>
        <v>YES</v>
      </c>
    </row>
    <row r="4555" customFormat="false" ht="15" hidden="false" customHeight="false" outlineLevel="0" collapsed="false">
      <c r="A4555" s="31" t="str">
        <f aca="false">Demand_History!C4555</f>
        <v>CLN-007</v>
      </c>
      <c r="B4555" s="31" t="n">
        <f aca="false">Demand_History!A4555</f>
        <v>82</v>
      </c>
      <c r="C4555" s="32" t="n">
        <f aca="false">Demand_History!D4555</f>
        <v>72</v>
      </c>
      <c r="D4555" s="33" t="n">
        <f aca="false">IF(B4555&gt;=2,C4554,"")</f>
        <v>48</v>
      </c>
      <c r="E4555" s="33" t="n">
        <f aca="false">IF(B4555&gt;=5,AVERAGE(C4551:C4554),"")</f>
        <v>61</v>
      </c>
      <c r="F4555" s="33" t="n">
        <f aca="false">IF(B4555&gt;=9,AVERAGE(C4547:C4554),"")</f>
        <v>62.125</v>
      </c>
      <c r="G4555" s="33" t="n">
        <f aca="false">IF(B4555=1,"",IF(B4555=2,C4554,SES_Alpha*C4554+(1-SES_Alpha)*G4554))</f>
        <v>60.158318442288</v>
      </c>
      <c r="H4555" s="33" t="n">
        <f aca="false">IF(D4555="","",D4555-C4555)</f>
        <v>-24</v>
      </c>
      <c r="I4555" s="33" t="n">
        <f aca="false">IF(E4555="","",E4555-C4555)</f>
        <v>-11</v>
      </c>
      <c r="J4555" s="33" t="n">
        <f aca="false">IF(F4555="","",F4555-C4555)</f>
        <v>-9.875</v>
      </c>
      <c r="K4555" s="33" t="n">
        <f aca="false">IF(G4555="","",G4555-C4555)</f>
        <v>-11.841681557712</v>
      </c>
      <c r="L4555" s="33" t="n">
        <f aca="false">IF(H4555="","",ABS(H4555))</f>
        <v>24</v>
      </c>
      <c r="M4555" s="33" t="n">
        <f aca="false">IF(I4555="","",ABS(I4555))</f>
        <v>11</v>
      </c>
      <c r="N4555" s="33" t="n">
        <f aca="false">IF(J4555="","",ABS(J4555))</f>
        <v>9.875</v>
      </c>
      <c r="O4555" s="33" t="n">
        <f aca="false">IF(K4555="","",ABS(K4555))</f>
        <v>11.841681557712</v>
      </c>
      <c r="P4555" s="34" t="str">
        <f aca="false">IF(B4555&gt;=Eval_Start_Week,"YES","")</f>
        <v>YES</v>
      </c>
      <c r="Q4555" s="34" t="str">
        <f aca="false">IF(AND(B4555&gt;=Cal_Start_Week,B4555&lt;=Cal_End_Week),"YES","")</f>
        <v>YES</v>
      </c>
    </row>
    <row r="4556" customFormat="false" ht="15" hidden="false" customHeight="false" outlineLevel="0" collapsed="false">
      <c r="A4556" s="31" t="str">
        <f aca="false">Demand_History!C4556</f>
        <v>CLN-007</v>
      </c>
      <c r="B4556" s="31" t="n">
        <f aca="false">Demand_History!A4556</f>
        <v>83</v>
      </c>
      <c r="C4556" s="32" t="n">
        <f aca="false">Demand_History!D4556</f>
        <v>42</v>
      </c>
      <c r="D4556" s="33" t="n">
        <f aca="false">IF(B4556&gt;=2,C4555,"")</f>
        <v>72</v>
      </c>
      <c r="E4556" s="33" t="n">
        <f aca="false">IF(B4556&gt;=5,AVERAGE(C4552:C4555),"")</f>
        <v>64.75</v>
      </c>
      <c r="F4556" s="33" t="n">
        <f aca="false">IF(B4556&gt;=9,AVERAGE(C4548:C4555),"")</f>
        <v>64.25</v>
      </c>
      <c r="G4556" s="33" t="n">
        <f aca="false">IF(B4556=1,"",IF(B4556=2,C4555,SES_Alpha*C4555+(1-SES_Alpha)*G4555))</f>
        <v>63.7108229096016</v>
      </c>
      <c r="H4556" s="33" t="n">
        <f aca="false">IF(D4556="","",D4556-C4556)</f>
        <v>30</v>
      </c>
      <c r="I4556" s="33" t="n">
        <f aca="false">IF(E4556="","",E4556-C4556)</f>
        <v>22.75</v>
      </c>
      <c r="J4556" s="33" t="n">
        <f aca="false">IF(F4556="","",F4556-C4556)</f>
        <v>22.25</v>
      </c>
      <c r="K4556" s="33" t="n">
        <f aca="false">IF(G4556="","",G4556-C4556)</f>
        <v>21.7108229096016</v>
      </c>
      <c r="L4556" s="33" t="n">
        <f aca="false">IF(H4556="","",ABS(H4556))</f>
        <v>30</v>
      </c>
      <c r="M4556" s="33" t="n">
        <f aca="false">IF(I4556="","",ABS(I4556))</f>
        <v>22.75</v>
      </c>
      <c r="N4556" s="33" t="n">
        <f aca="false">IF(J4556="","",ABS(J4556))</f>
        <v>22.25</v>
      </c>
      <c r="O4556" s="33" t="n">
        <f aca="false">IF(K4556="","",ABS(K4556))</f>
        <v>21.7108229096016</v>
      </c>
      <c r="P4556" s="34" t="str">
        <f aca="false">IF(B4556&gt;=Eval_Start_Week,"YES","")</f>
        <v>YES</v>
      </c>
      <c r="Q4556" s="34" t="str">
        <f aca="false">IF(AND(B4556&gt;=Cal_Start_Week,B4556&lt;=Cal_End_Week),"YES","")</f>
        <v>YES</v>
      </c>
    </row>
    <row r="4557" customFormat="false" ht="15" hidden="false" customHeight="false" outlineLevel="0" collapsed="false">
      <c r="A4557" s="31" t="str">
        <f aca="false">Demand_History!C4557</f>
        <v>CLN-007</v>
      </c>
      <c r="B4557" s="31" t="n">
        <f aca="false">Demand_History!A4557</f>
        <v>84</v>
      </c>
      <c r="C4557" s="32" t="n">
        <f aca="false">Demand_History!D4557</f>
        <v>46</v>
      </c>
      <c r="D4557" s="33" t="n">
        <f aca="false">IF(B4557&gt;=2,C4556,"")</f>
        <v>42</v>
      </c>
      <c r="E4557" s="33" t="n">
        <f aca="false">IF(B4557&gt;=5,AVERAGE(C4553:C4556),"")</f>
        <v>55</v>
      </c>
      <c r="F4557" s="33" t="n">
        <f aca="false">IF(B4557&gt;=9,AVERAGE(C4549:C4556),"")</f>
        <v>59.25</v>
      </c>
      <c r="G4557" s="33" t="n">
        <f aca="false">IF(B4557=1,"",IF(B4557=2,C4556,SES_Alpha*C4556+(1-SES_Alpha)*G4556))</f>
        <v>57.1975760367211</v>
      </c>
      <c r="H4557" s="33" t="n">
        <f aca="false">IF(D4557="","",D4557-C4557)</f>
        <v>-4</v>
      </c>
      <c r="I4557" s="33" t="n">
        <f aca="false">IF(E4557="","",E4557-C4557)</f>
        <v>9</v>
      </c>
      <c r="J4557" s="33" t="n">
        <f aca="false">IF(F4557="","",F4557-C4557)</f>
        <v>13.25</v>
      </c>
      <c r="K4557" s="33" t="n">
        <f aca="false">IF(G4557="","",G4557-C4557)</f>
        <v>11.1975760367211</v>
      </c>
      <c r="L4557" s="33" t="n">
        <f aca="false">IF(H4557="","",ABS(H4557))</f>
        <v>4</v>
      </c>
      <c r="M4557" s="33" t="n">
        <f aca="false">IF(I4557="","",ABS(I4557))</f>
        <v>9</v>
      </c>
      <c r="N4557" s="33" t="n">
        <f aca="false">IF(J4557="","",ABS(J4557))</f>
        <v>13.25</v>
      </c>
      <c r="O4557" s="33" t="n">
        <f aca="false">IF(K4557="","",ABS(K4557))</f>
        <v>11.1975760367211</v>
      </c>
      <c r="P4557" s="34" t="str">
        <f aca="false">IF(B4557&gt;=Eval_Start_Week,"YES","")</f>
        <v>YES</v>
      </c>
      <c r="Q4557" s="34" t="str">
        <f aca="false">IF(AND(B4557&gt;=Cal_Start_Week,B4557&lt;=Cal_End_Week),"YES","")</f>
        <v>YES</v>
      </c>
    </row>
    <row r="4558" customFormat="false" ht="15" hidden="false" customHeight="false" outlineLevel="0" collapsed="false">
      <c r="A4558" s="31" t="str">
        <f aca="false">Demand_History!C4558</f>
        <v>CLN-007</v>
      </c>
      <c r="B4558" s="31" t="n">
        <f aca="false">Demand_History!A4558</f>
        <v>85</v>
      </c>
      <c r="C4558" s="32" t="n">
        <f aca="false">Demand_History!D4558</f>
        <v>78</v>
      </c>
      <c r="D4558" s="33" t="n">
        <f aca="false">IF(B4558&gt;=2,C4557,"")</f>
        <v>46</v>
      </c>
      <c r="E4558" s="33" t="n">
        <f aca="false">IF(B4558&gt;=5,AVERAGE(C4554:C4557),"")</f>
        <v>52</v>
      </c>
      <c r="F4558" s="33" t="n">
        <f aca="false">IF(B4558&gt;=9,AVERAGE(C4550:C4557),"")</f>
        <v>59.25</v>
      </c>
      <c r="G4558" s="33" t="n">
        <f aca="false">IF(B4558=1,"",IF(B4558=2,C4557,SES_Alpha*C4557+(1-SES_Alpha)*G4557))</f>
        <v>53.8383032257048</v>
      </c>
      <c r="H4558" s="33" t="n">
        <f aca="false">IF(D4558="","",D4558-C4558)</f>
        <v>-32</v>
      </c>
      <c r="I4558" s="33" t="n">
        <f aca="false">IF(E4558="","",E4558-C4558)</f>
        <v>-26</v>
      </c>
      <c r="J4558" s="33" t="n">
        <f aca="false">IF(F4558="","",F4558-C4558)</f>
        <v>-18.75</v>
      </c>
      <c r="K4558" s="33" t="n">
        <f aca="false">IF(G4558="","",G4558-C4558)</f>
        <v>-24.1616967742952</v>
      </c>
      <c r="L4558" s="33" t="n">
        <f aca="false">IF(H4558="","",ABS(H4558))</f>
        <v>32</v>
      </c>
      <c r="M4558" s="33" t="n">
        <f aca="false">IF(I4558="","",ABS(I4558))</f>
        <v>26</v>
      </c>
      <c r="N4558" s="33" t="n">
        <f aca="false">IF(J4558="","",ABS(J4558))</f>
        <v>18.75</v>
      </c>
      <c r="O4558" s="33" t="n">
        <f aca="false">IF(K4558="","",ABS(K4558))</f>
        <v>24.1616967742952</v>
      </c>
      <c r="P4558" s="34" t="str">
        <f aca="false">IF(B4558&gt;=Eval_Start_Week,"YES","")</f>
        <v>YES</v>
      </c>
      <c r="Q4558" s="34" t="str">
        <f aca="false">IF(AND(B4558&gt;=Cal_Start_Week,B4558&lt;=Cal_End_Week),"YES","")</f>
        <v>YES</v>
      </c>
    </row>
    <row r="4559" customFormat="false" ht="15" hidden="false" customHeight="false" outlineLevel="0" collapsed="false">
      <c r="A4559" s="31" t="str">
        <f aca="false">Demand_History!C4559</f>
        <v>CLN-007</v>
      </c>
      <c r="B4559" s="31" t="n">
        <f aca="false">Demand_History!A4559</f>
        <v>86</v>
      </c>
      <c r="C4559" s="32" t="n">
        <f aca="false">Demand_History!D4559</f>
        <v>29</v>
      </c>
      <c r="D4559" s="33" t="n">
        <f aca="false">IF(B4559&gt;=2,C4558,"")</f>
        <v>78</v>
      </c>
      <c r="E4559" s="33" t="n">
        <f aca="false">IF(B4559&gt;=5,AVERAGE(C4555:C4558),"")</f>
        <v>59.5</v>
      </c>
      <c r="F4559" s="33" t="n">
        <f aca="false">IF(B4559&gt;=9,AVERAGE(C4551:C4558),"")</f>
        <v>60.25</v>
      </c>
      <c r="G4559" s="33" t="n">
        <f aca="false">IF(B4559=1,"",IF(B4559=2,C4558,SES_Alpha*C4558+(1-SES_Alpha)*G4558))</f>
        <v>61.0868122579933</v>
      </c>
      <c r="H4559" s="33" t="n">
        <f aca="false">IF(D4559="","",D4559-C4559)</f>
        <v>49</v>
      </c>
      <c r="I4559" s="33" t="n">
        <f aca="false">IF(E4559="","",E4559-C4559)</f>
        <v>30.5</v>
      </c>
      <c r="J4559" s="33" t="n">
        <f aca="false">IF(F4559="","",F4559-C4559)</f>
        <v>31.25</v>
      </c>
      <c r="K4559" s="33" t="n">
        <f aca="false">IF(G4559="","",G4559-C4559)</f>
        <v>32.0868122579933</v>
      </c>
      <c r="L4559" s="33" t="n">
        <f aca="false">IF(H4559="","",ABS(H4559))</f>
        <v>49</v>
      </c>
      <c r="M4559" s="33" t="n">
        <f aca="false">IF(I4559="","",ABS(I4559))</f>
        <v>30.5</v>
      </c>
      <c r="N4559" s="33" t="n">
        <f aca="false">IF(J4559="","",ABS(J4559))</f>
        <v>31.25</v>
      </c>
      <c r="O4559" s="33" t="n">
        <f aca="false">IF(K4559="","",ABS(K4559))</f>
        <v>32.0868122579933</v>
      </c>
      <c r="P4559" s="34" t="str">
        <f aca="false">IF(B4559&gt;=Eval_Start_Week,"YES","")</f>
        <v>YES</v>
      </c>
      <c r="Q4559" s="34" t="str">
        <f aca="false">IF(AND(B4559&gt;=Cal_Start_Week,B4559&lt;=Cal_End_Week),"YES","")</f>
        <v>YES</v>
      </c>
    </row>
    <row r="4560" customFormat="false" ht="15" hidden="false" customHeight="false" outlineLevel="0" collapsed="false">
      <c r="A4560" s="31" t="str">
        <f aca="false">Demand_History!C4560</f>
        <v>CLN-007</v>
      </c>
      <c r="B4560" s="31" t="n">
        <f aca="false">Demand_History!A4560</f>
        <v>87</v>
      </c>
      <c r="C4560" s="32" t="n">
        <f aca="false">Demand_History!D4560</f>
        <v>78</v>
      </c>
      <c r="D4560" s="33" t="n">
        <f aca="false">IF(B4560&gt;=2,C4559,"")</f>
        <v>29</v>
      </c>
      <c r="E4560" s="33" t="n">
        <f aca="false">IF(B4560&gt;=5,AVERAGE(C4556:C4559),"")</f>
        <v>48.75</v>
      </c>
      <c r="F4560" s="33" t="n">
        <f aca="false">IF(B4560&gt;=9,AVERAGE(C4552:C4559),"")</f>
        <v>56.75</v>
      </c>
      <c r="G4560" s="33" t="n">
        <f aca="false">IF(B4560=1,"",IF(B4560=2,C4559,SES_Alpha*C4559+(1-SES_Alpha)*G4559))</f>
        <v>51.4607685805953</v>
      </c>
      <c r="H4560" s="33" t="n">
        <f aca="false">IF(D4560="","",D4560-C4560)</f>
        <v>-49</v>
      </c>
      <c r="I4560" s="33" t="n">
        <f aca="false">IF(E4560="","",E4560-C4560)</f>
        <v>-29.25</v>
      </c>
      <c r="J4560" s="33" t="n">
        <f aca="false">IF(F4560="","",F4560-C4560)</f>
        <v>-21.25</v>
      </c>
      <c r="K4560" s="33" t="n">
        <f aca="false">IF(G4560="","",G4560-C4560)</f>
        <v>-26.5392314194047</v>
      </c>
      <c r="L4560" s="33" t="n">
        <f aca="false">IF(H4560="","",ABS(H4560))</f>
        <v>49</v>
      </c>
      <c r="M4560" s="33" t="n">
        <f aca="false">IF(I4560="","",ABS(I4560))</f>
        <v>29.25</v>
      </c>
      <c r="N4560" s="33" t="n">
        <f aca="false">IF(J4560="","",ABS(J4560))</f>
        <v>21.25</v>
      </c>
      <c r="O4560" s="33" t="n">
        <f aca="false">IF(K4560="","",ABS(K4560))</f>
        <v>26.5392314194047</v>
      </c>
      <c r="P4560" s="34" t="str">
        <f aca="false">IF(B4560&gt;=Eval_Start_Week,"YES","")</f>
        <v>YES</v>
      </c>
      <c r="Q4560" s="34" t="str">
        <f aca="false">IF(AND(B4560&gt;=Cal_Start_Week,B4560&lt;=Cal_End_Week),"YES","")</f>
        <v>YES</v>
      </c>
    </row>
    <row r="4561" customFormat="false" ht="15" hidden="false" customHeight="false" outlineLevel="0" collapsed="false">
      <c r="A4561" s="31" t="str">
        <f aca="false">Demand_History!C4561</f>
        <v>CLN-007</v>
      </c>
      <c r="B4561" s="31" t="n">
        <f aca="false">Demand_History!A4561</f>
        <v>88</v>
      </c>
      <c r="C4561" s="32" t="n">
        <f aca="false">Demand_History!D4561</f>
        <v>56</v>
      </c>
      <c r="D4561" s="33" t="n">
        <f aca="false">IF(B4561&gt;=2,C4560,"")</f>
        <v>78</v>
      </c>
      <c r="E4561" s="33" t="n">
        <f aca="false">IF(B4561&gt;=5,AVERAGE(C4557:C4560),"")</f>
        <v>57.75</v>
      </c>
      <c r="F4561" s="33" t="n">
        <f aca="false">IF(B4561&gt;=9,AVERAGE(C4553:C4560),"")</f>
        <v>56.375</v>
      </c>
      <c r="G4561" s="33" t="n">
        <f aca="false">IF(B4561=1,"",IF(B4561=2,C4560,SES_Alpha*C4560+(1-SES_Alpha)*G4560))</f>
        <v>59.4225380064167</v>
      </c>
      <c r="H4561" s="33" t="n">
        <f aca="false">IF(D4561="","",D4561-C4561)</f>
        <v>22</v>
      </c>
      <c r="I4561" s="33" t="n">
        <f aca="false">IF(E4561="","",E4561-C4561)</f>
        <v>1.75</v>
      </c>
      <c r="J4561" s="33" t="n">
        <f aca="false">IF(F4561="","",F4561-C4561)</f>
        <v>0.375</v>
      </c>
      <c r="K4561" s="33" t="n">
        <f aca="false">IF(G4561="","",G4561-C4561)</f>
        <v>3.42253800641674</v>
      </c>
      <c r="L4561" s="33" t="n">
        <f aca="false">IF(H4561="","",ABS(H4561))</f>
        <v>22</v>
      </c>
      <c r="M4561" s="33" t="n">
        <f aca="false">IF(I4561="","",ABS(I4561))</f>
        <v>1.75</v>
      </c>
      <c r="N4561" s="33" t="n">
        <f aca="false">IF(J4561="","",ABS(J4561))</f>
        <v>0.375</v>
      </c>
      <c r="O4561" s="33" t="n">
        <f aca="false">IF(K4561="","",ABS(K4561))</f>
        <v>3.42253800641674</v>
      </c>
      <c r="P4561" s="34" t="str">
        <f aca="false">IF(B4561&gt;=Eval_Start_Week,"YES","")</f>
        <v>YES</v>
      </c>
      <c r="Q4561" s="34" t="str">
        <f aca="false">IF(AND(B4561&gt;=Cal_Start_Week,B4561&lt;=Cal_End_Week),"YES","")</f>
        <v>YES</v>
      </c>
    </row>
    <row r="4562" customFormat="false" ht="15" hidden="false" customHeight="false" outlineLevel="0" collapsed="false">
      <c r="A4562" s="31" t="str">
        <f aca="false">Demand_History!C4562</f>
        <v>CLN-007</v>
      </c>
      <c r="B4562" s="31" t="n">
        <f aca="false">Demand_History!A4562</f>
        <v>89</v>
      </c>
      <c r="C4562" s="32" t="n">
        <f aca="false">Demand_History!D4562</f>
        <v>47</v>
      </c>
      <c r="D4562" s="33" t="n">
        <f aca="false">IF(B4562&gt;=2,C4561,"")</f>
        <v>56</v>
      </c>
      <c r="E4562" s="33" t="n">
        <f aca="false">IF(B4562&gt;=5,AVERAGE(C4558:C4561),"")</f>
        <v>60.25</v>
      </c>
      <c r="F4562" s="33" t="n">
        <f aca="false">IF(B4562&gt;=9,AVERAGE(C4554:C4561),"")</f>
        <v>56.125</v>
      </c>
      <c r="G4562" s="33" t="n">
        <f aca="false">IF(B4562=1,"",IF(B4562=2,C4561,SES_Alpha*C4561+(1-SES_Alpha)*G4561))</f>
        <v>58.3957766044917</v>
      </c>
      <c r="H4562" s="33" t="n">
        <f aca="false">IF(D4562="","",D4562-C4562)</f>
        <v>9</v>
      </c>
      <c r="I4562" s="33" t="n">
        <f aca="false">IF(E4562="","",E4562-C4562)</f>
        <v>13.25</v>
      </c>
      <c r="J4562" s="33" t="n">
        <f aca="false">IF(F4562="","",F4562-C4562)</f>
        <v>9.125</v>
      </c>
      <c r="K4562" s="33" t="n">
        <f aca="false">IF(G4562="","",G4562-C4562)</f>
        <v>11.3957766044917</v>
      </c>
      <c r="L4562" s="33" t="n">
        <f aca="false">IF(H4562="","",ABS(H4562))</f>
        <v>9</v>
      </c>
      <c r="M4562" s="33" t="n">
        <f aca="false">IF(I4562="","",ABS(I4562))</f>
        <v>13.25</v>
      </c>
      <c r="N4562" s="33" t="n">
        <f aca="false">IF(J4562="","",ABS(J4562))</f>
        <v>9.125</v>
      </c>
      <c r="O4562" s="33" t="n">
        <f aca="false">IF(K4562="","",ABS(K4562))</f>
        <v>11.3957766044917</v>
      </c>
      <c r="P4562" s="34" t="str">
        <f aca="false">IF(B4562&gt;=Eval_Start_Week,"YES","")</f>
        <v>YES</v>
      </c>
      <c r="Q4562" s="34" t="str">
        <f aca="false">IF(AND(B4562&gt;=Cal_Start_Week,B4562&lt;=Cal_End_Week),"YES","")</f>
        <v/>
      </c>
    </row>
    <row r="4563" customFormat="false" ht="15" hidden="false" customHeight="false" outlineLevel="0" collapsed="false">
      <c r="A4563" s="31" t="str">
        <f aca="false">Demand_History!C4563</f>
        <v>CLN-007</v>
      </c>
      <c r="B4563" s="31" t="n">
        <f aca="false">Demand_History!A4563</f>
        <v>90</v>
      </c>
      <c r="C4563" s="32" t="n">
        <f aca="false">Demand_History!D4563</f>
        <v>69</v>
      </c>
      <c r="D4563" s="33" t="n">
        <f aca="false">IF(B4563&gt;=2,C4562,"")</f>
        <v>47</v>
      </c>
      <c r="E4563" s="33" t="n">
        <f aca="false">IF(B4563&gt;=5,AVERAGE(C4559:C4562),"")</f>
        <v>52.5</v>
      </c>
      <c r="F4563" s="33" t="n">
        <f aca="false">IF(B4563&gt;=9,AVERAGE(C4555:C4562),"")</f>
        <v>56</v>
      </c>
      <c r="G4563" s="33" t="n">
        <f aca="false">IF(B4563=1,"",IF(B4563=2,C4562,SES_Alpha*C4562+(1-SES_Alpha)*G4562))</f>
        <v>54.9770436231442</v>
      </c>
      <c r="H4563" s="33" t="n">
        <f aca="false">IF(D4563="","",D4563-C4563)</f>
        <v>-22</v>
      </c>
      <c r="I4563" s="33" t="n">
        <f aca="false">IF(E4563="","",E4563-C4563)</f>
        <v>-16.5</v>
      </c>
      <c r="J4563" s="33" t="n">
        <f aca="false">IF(F4563="","",F4563-C4563)</f>
        <v>-13</v>
      </c>
      <c r="K4563" s="33" t="n">
        <f aca="false">IF(G4563="","",G4563-C4563)</f>
        <v>-14.0229563768558</v>
      </c>
      <c r="L4563" s="33" t="n">
        <f aca="false">IF(H4563="","",ABS(H4563))</f>
        <v>22</v>
      </c>
      <c r="M4563" s="33" t="n">
        <f aca="false">IF(I4563="","",ABS(I4563))</f>
        <v>16.5</v>
      </c>
      <c r="N4563" s="33" t="n">
        <f aca="false">IF(J4563="","",ABS(J4563))</f>
        <v>13</v>
      </c>
      <c r="O4563" s="33" t="n">
        <f aca="false">IF(K4563="","",ABS(K4563))</f>
        <v>14.0229563768558</v>
      </c>
      <c r="P4563" s="34" t="str">
        <f aca="false">IF(B4563&gt;=Eval_Start_Week,"YES","")</f>
        <v>YES</v>
      </c>
      <c r="Q4563" s="34" t="str">
        <f aca="false">IF(AND(B4563&gt;=Cal_Start_Week,B4563&lt;=Cal_End_Week),"YES","")</f>
        <v/>
      </c>
    </row>
    <row r="4564" customFormat="false" ht="15" hidden="false" customHeight="false" outlineLevel="0" collapsed="false">
      <c r="A4564" s="31" t="str">
        <f aca="false">Demand_History!C4564</f>
        <v>CLN-007</v>
      </c>
      <c r="B4564" s="31" t="n">
        <f aca="false">Demand_History!A4564</f>
        <v>91</v>
      </c>
      <c r="C4564" s="32" t="n">
        <f aca="false">Demand_History!D4564</f>
        <v>76</v>
      </c>
      <c r="D4564" s="33" t="n">
        <f aca="false">IF(B4564&gt;=2,C4563,"")</f>
        <v>69</v>
      </c>
      <c r="E4564" s="33" t="n">
        <f aca="false">IF(B4564&gt;=5,AVERAGE(C4560:C4563),"")</f>
        <v>62.5</v>
      </c>
      <c r="F4564" s="33" t="n">
        <f aca="false">IF(B4564&gt;=9,AVERAGE(C4556:C4563),"")</f>
        <v>55.625</v>
      </c>
      <c r="G4564" s="33" t="n">
        <f aca="false">IF(B4564=1,"",IF(B4564=2,C4563,SES_Alpha*C4563+(1-SES_Alpha)*G4563))</f>
        <v>59.1839305362009</v>
      </c>
      <c r="H4564" s="33" t="n">
        <f aca="false">IF(D4564="","",D4564-C4564)</f>
        <v>-7</v>
      </c>
      <c r="I4564" s="33" t="n">
        <f aca="false">IF(E4564="","",E4564-C4564)</f>
        <v>-13.5</v>
      </c>
      <c r="J4564" s="33" t="n">
        <f aca="false">IF(F4564="","",F4564-C4564)</f>
        <v>-20.375</v>
      </c>
      <c r="K4564" s="33" t="n">
        <f aca="false">IF(G4564="","",G4564-C4564)</f>
        <v>-16.8160694637991</v>
      </c>
      <c r="L4564" s="33" t="n">
        <f aca="false">IF(H4564="","",ABS(H4564))</f>
        <v>7</v>
      </c>
      <c r="M4564" s="33" t="n">
        <f aca="false">IF(I4564="","",ABS(I4564))</f>
        <v>13.5</v>
      </c>
      <c r="N4564" s="33" t="n">
        <f aca="false">IF(J4564="","",ABS(J4564))</f>
        <v>20.375</v>
      </c>
      <c r="O4564" s="33" t="n">
        <f aca="false">IF(K4564="","",ABS(K4564))</f>
        <v>16.8160694637991</v>
      </c>
      <c r="P4564" s="34" t="str">
        <f aca="false">IF(B4564&gt;=Eval_Start_Week,"YES","")</f>
        <v>YES</v>
      </c>
      <c r="Q4564" s="34" t="str">
        <f aca="false">IF(AND(B4564&gt;=Cal_Start_Week,B4564&lt;=Cal_End_Week),"YES","")</f>
        <v/>
      </c>
    </row>
    <row r="4565" customFormat="false" ht="15" hidden="false" customHeight="false" outlineLevel="0" collapsed="false">
      <c r="A4565" s="31" t="str">
        <f aca="false">Demand_History!C4565</f>
        <v>CLN-007</v>
      </c>
      <c r="B4565" s="31" t="n">
        <f aca="false">Demand_History!A4565</f>
        <v>92</v>
      </c>
      <c r="C4565" s="32" t="n">
        <f aca="false">Demand_History!D4565</f>
        <v>53</v>
      </c>
      <c r="D4565" s="33" t="n">
        <f aca="false">IF(B4565&gt;=2,C4564,"")</f>
        <v>76</v>
      </c>
      <c r="E4565" s="33" t="n">
        <f aca="false">IF(B4565&gt;=5,AVERAGE(C4561:C4564),"")</f>
        <v>62</v>
      </c>
      <c r="F4565" s="33" t="n">
        <f aca="false">IF(B4565&gt;=9,AVERAGE(C4557:C4564),"")</f>
        <v>59.875</v>
      </c>
      <c r="G4565" s="33" t="n">
        <f aca="false">IF(B4565=1,"",IF(B4565=2,C4564,SES_Alpha*C4564+(1-SES_Alpha)*G4564))</f>
        <v>64.2287513753407</v>
      </c>
      <c r="H4565" s="33" t="n">
        <f aca="false">IF(D4565="","",D4565-C4565)</f>
        <v>23</v>
      </c>
      <c r="I4565" s="33" t="n">
        <f aca="false">IF(E4565="","",E4565-C4565)</f>
        <v>9</v>
      </c>
      <c r="J4565" s="33" t="n">
        <f aca="false">IF(F4565="","",F4565-C4565)</f>
        <v>6.875</v>
      </c>
      <c r="K4565" s="33" t="n">
        <f aca="false">IF(G4565="","",G4565-C4565)</f>
        <v>11.2287513753407</v>
      </c>
      <c r="L4565" s="33" t="n">
        <f aca="false">IF(H4565="","",ABS(H4565))</f>
        <v>23</v>
      </c>
      <c r="M4565" s="33" t="n">
        <f aca="false">IF(I4565="","",ABS(I4565))</f>
        <v>9</v>
      </c>
      <c r="N4565" s="33" t="n">
        <f aca="false">IF(J4565="","",ABS(J4565))</f>
        <v>6.875</v>
      </c>
      <c r="O4565" s="33" t="n">
        <f aca="false">IF(K4565="","",ABS(K4565))</f>
        <v>11.2287513753407</v>
      </c>
      <c r="P4565" s="34" t="str">
        <f aca="false">IF(B4565&gt;=Eval_Start_Week,"YES","")</f>
        <v>YES</v>
      </c>
      <c r="Q4565" s="34" t="str">
        <f aca="false">IF(AND(B4565&gt;=Cal_Start_Week,B4565&lt;=Cal_End_Week),"YES","")</f>
        <v/>
      </c>
    </row>
    <row r="4566" customFormat="false" ht="15" hidden="false" customHeight="false" outlineLevel="0" collapsed="false">
      <c r="A4566" s="31" t="str">
        <f aca="false">Demand_History!C4566</f>
        <v>CLN-007</v>
      </c>
      <c r="B4566" s="31" t="n">
        <f aca="false">Demand_History!A4566</f>
        <v>93</v>
      </c>
      <c r="C4566" s="32" t="n">
        <f aca="false">Demand_History!D4566</f>
        <v>61</v>
      </c>
      <c r="D4566" s="33" t="n">
        <f aca="false">IF(B4566&gt;=2,C4565,"")</f>
        <v>53</v>
      </c>
      <c r="E4566" s="33" t="n">
        <f aca="false">IF(B4566&gt;=5,AVERAGE(C4562:C4565),"")</f>
        <v>61.25</v>
      </c>
      <c r="F4566" s="33" t="n">
        <f aca="false">IF(B4566&gt;=9,AVERAGE(C4558:C4565),"")</f>
        <v>60.75</v>
      </c>
      <c r="G4566" s="33" t="n">
        <f aca="false">IF(B4566=1,"",IF(B4566=2,C4565,SES_Alpha*C4565+(1-SES_Alpha)*G4565))</f>
        <v>60.8601259627385</v>
      </c>
      <c r="H4566" s="33" t="n">
        <f aca="false">IF(D4566="","",D4566-C4566)</f>
        <v>-8</v>
      </c>
      <c r="I4566" s="33" t="n">
        <f aca="false">IF(E4566="","",E4566-C4566)</f>
        <v>0.25</v>
      </c>
      <c r="J4566" s="33" t="n">
        <f aca="false">IF(F4566="","",F4566-C4566)</f>
        <v>-0.25</v>
      </c>
      <c r="K4566" s="33" t="n">
        <f aca="false">IF(G4566="","",G4566-C4566)</f>
        <v>-0.139874037261549</v>
      </c>
      <c r="L4566" s="33" t="n">
        <f aca="false">IF(H4566="","",ABS(H4566))</f>
        <v>8</v>
      </c>
      <c r="M4566" s="33" t="n">
        <f aca="false">IF(I4566="","",ABS(I4566))</f>
        <v>0.25</v>
      </c>
      <c r="N4566" s="33" t="n">
        <f aca="false">IF(J4566="","",ABS(J4566))</f>
        <v>0.25</v>
      </c>
      <c r="O4566" s="33" t="n">
        <f aca="false">IF(K4566="","",ABS(K4566))</f>
        <v>0.139874037261549</v>
      </c>
      <c r="P4566" s="34" t="str">
        <f aca="false">IF(B4566&gt;=Eval_Start_Week,"YES","")</f>
        <v>YES</v>
      </c>
      <c r="Q4566" s="34" t="str">
        <f aca="false">IF(AND(B4566&gt;=Cal_Start_Week,B4566&lt;=Cal_End_Week),"YES","")</f>
        <v/>
      </c>
    </row>
    <row r="4567" customFormat="false" ht="15" hidden="false" customHeight="false" outlineLevel="0" collapsed="false">
      <c r="A4567" s="31" t="str">
        <f aca="false">Demand_History!C4567</f>
        <v>CLN-007</v>
      </c>
      <c r="B4567" s="31" t="n">
        <f aca="false">Demand_History!A4567</f>
        <v>94</v>
      </c>
      <c r="C4567" s="32" t="n">
        <f aca="false">Demand_History!D4567</f>
        <v>79</v>
      </c>
      <c r="D4567" s="33" t="n">
        <f aca="false">IF(B4567&gt;=2,C4566,"")</f>
        <v>61</v>
      </c>
      <c r="E4567" s="33" t="n">
        <f aca="false">IF(B4567&gt;=5,AVERAGE(C4563:C4566),"")</f>
        <v>64.75</v>
      </c>
      <c r="F4567" s="33" t="n">
        <f aca="false">IF(B4567&gt;=9,AVERAGE(C4559:C4566),"")</f>
        <v>58.625</v>
      </c>
      <c r="G4567" s="33" t="n">
        <f aca="false">IF(B4567=1,"",IF(B4567=2,C4566,SES_Alpha*C4566+(1-SES_Alpha)*G4566))</f>
        <v>60.9020881739169</v>
      </c>
      <c r="H4567" s="33" t="n">
        <f aca="false">IF(D4567="","",D4567-C4567)</f>
        <v>-18</v>
      </c>
      <c r="I4567" s="33" t="n">
        <f aca="false">IF(E4567="","",E4567-C4567)</f>
        <v>-14.25</v>
      </c>
      <c r="J4567" s="33" t="n">
        <f aca="false">IF(F4567="","",F4567-C4567)</f>
        <v>-20.375</v>
      </c>
      <c r="K4567" s="33" t="n">
        <f aca="false">IF(G4567="","",G4567-C4567)</f>
        <v>-18.0979118260831</v>
      </c>
      <c r="L4567" s="33" t="n">
        <f aca="false">IF(H4567="","",ABS(H4567))</f>
        <v>18</v>
      </c>
      <c r="M4567" s="33" t="n">
        <f aca="false">IF(I4567="","",ABS(I4567))</f>
        <v>14.25</v>
      </c>
      <c r="N4567" s="33" t="n">
        <f aca="false">IF(J4567="","",ABS(J4567))</f>
        <v>20.375</v>
      </c>
      <c r="O4567" s="33" t="n">
        <f aca="false">IF(K4567="","",ABS(K4567))</f>
        <v>18.0979118260831</v>
      </c>
      <c r="P4567" s="34" t="str">
        <f aca="false">IF(B4567&gt;=Eval_Start_Week,"YES","")</f>
        <v>YES</v>
      </c>
      <c r="Q4567" s="34" t="str">
        <f aca="false">IF(AND(B4567&gt;=Cal_Start_Week,B4567&lt;=Cal_End_Week),"YES","")</f>
        <v/>
      </c>
    </row>
    <row r="4568" customFormat="false" ht="15" hidden="false" customHeight="false" outlineLevel="0" collapsed="false">
      <c r="A4568" s="31" t="str">
        <f aca="false">Demand_History!C4568</f>
        <v>CLN-007</v>
      </c>
      <c r="B4568" s="31" t="n">
        <f aca="false">Demand_History!A4568</f>
        <v>95</v>
      </c>
      <c r="C4568" s="32" t="n">
        <f aca="false">Demand_History!D4568</f>
        <v>78</v>
      </c>
      <c r="D4568" s="33" t="n">
        <f aca="false">IF(B4568&gt;=2,C4567,"")</f>
        <v>79</v>
      </c>
      <c r="E4568" s="33" t="n">
        <f aca="false">IF(B4568&gt;=5,AVERAGE(C4564:C4567),"")</f>
        <v>67.25</v>
      </c>
      <c r="F4568" s="33" t="n">
        <f aca="false">IF(B4568&gt;=9,AVERAGE(C4560:C4567),"")</f>
        <v>64.875</v>
      </c>
      <c r="G4568" s="33" t="n">
        <f aca="false">IF(B4568=1,"",IF(B4568=2,C4567,SES_Alpha*C4567+(1-SES_Alpha)*G4567))</f>
        <v>66.3314617217418</v>
      </c>
      <c r="H4568" s="33" t="n">
        <f aca="false">IF(D4568="","",D4568-C4568)</f>
        <v>1</v>
      </c>
      <c r="I4568" s="33" t="n">
        <f aca="false">IF(E4568="","",E4568-C4568)</f>
        <v>-10.75</v>
      </c>
      <c r="J4568" s="33" t="n">
        <f aca="false">IF(F4568="","",F4568-C4568)</f>
        <v>-13.125</v>
      </c>
      <c r="K4568" s="33" t="n">
        <f aca="false">IF(G4568="","",G4568-C4568)</f>
        <v>-11.6685382782582</v>
      </c>
      <c r="L4568" s="33" t="n">
        <f aca="false">IF(H4568="","",ABS(H4568))</f>
        <v>1</v>
      </c>
      <c r="M4568" s="33" t="n">
        <f aca="false">IF(I4568="","",ABS(I4568))</f>
        <v>10.75</v>
      </c>
      <c r="N4568" s="33" t="n">
        <f aca="false">IF(J4568="","",ABS(J4568))</f>
        <v>13.125</v>
      </c>
      <c r="O4568" s="33" t="n">
        <f aca="false">IF(K4568="","",ABS(K4568))</f>
        <v>11.6685382782582</v>
      </c>
      <c r="P4568" s="34" t="str">
        <f aca="false">IF(B4568&gt;=Eval_Start_Week,"YES","")</f>
        <v>YES</v>
      </c>
      <c r="Q4568" s="34" t="str">
        <f aca="false">IF(AND(B4568&gt;=Cal_Start_Week,B4568&lt;=Cal_End_Week),"YES","")</f>
        <v/>
      </c>
    </row>
    <row r="4569" customFormat="false" ht="15" hidden="false" customHeight="false" outlineLevel="0" collapsed="false">
      <c r="A4569" s="31" t="str">
        <f aca="false">Demand_History!C4569</f>
        <v>CLN-007</v>
      </c>
      <c r="B4569" s="31" t="n">
        <f aca="false">Demand_History!A4569</f>
        <v>96</v>
      </c>
      <c r="C4569" s="32" t="n">
        <f aca="false">Demand_History!D4569</f>
        <v>63</v>
      </c>
      <c r="D4569" s="33" t="n">
        <f aca="false">IF(B4569&gt;=2,C4568,"")</f>
        <v>78</v>
      </c>
      <c r="E4569" s="33" t="n">
        <f aca="false">IF(B4569&gt;=5,AVERAGE(C4565:C4568),"")</f>
        <v>67.75</v>
      </c>
      <c r="F4569" s="33" t="n">
        <f aca="false">IF(B4569&gt;=9,AVERAGE(C4561:C4568),"")</f>
        <v>64.875</v>
      </c>
      <c r="G4569" s="33" t="n">
        <f aca="false">IF(B4569=1,"",IF(B4569=2,C4568,SES_Alpha*C4568+(1-SES_Alpha)*G4568))</f>
        <v>69.8320232052193</v>
      </c>
      <c r="H4569" s="33" t="n">
        <f aca="false">IF(D4569="","",D4569-C4569)</f>
        <v>15</v>
      </c>
      <c r="I4569" s="33" t="n">
        <f aca="false">IF(E4569="","",E4569-C4569)</f>
        <v>4.75</v>
      </c>
      <c r="J4569" s="33" t="n">
        <f aca="false">IF(F4569="","",F4569-C4569)</f>
        <v>1.875</v>
      </c>
      <c r="K4569" s="33" t="n">
        <f aca="false">IF(G4569="","",G4569-C4569)</f>
        <v>6.83202320521929</v>
      </c>
      <c r="L4569" s="33" t="n">
        <f aca="false">IF(H4569="","",ABS(H4569))</f>
        <v>15</v>
      </c>
      <c r="M4569" s="33" t="n">
        <f aca="false">IF(I4569="","",ABS(I4569))</f>
        <v>4.75</v>
      </c>
      <c r="N4569" s="33" t="n">
        <f aca="false">IF(J4569="","",ABS(J4569))</f>
        <v>1.875</v>
      </c>
      <c r="O4569" s="33" t="n">
        <f aca="false">IF(K4569="","",ABS(K4569))</f>
        <v>6.83202320521929</v>
      </c>
      <c r="P4569" s="34" t="str">
        <f aca="false">IF(B4569&gt;=Eval_Start_Week,"YES","")</f>
        <v>YES</v>
      </c>
      <c r="Q4569" s="34" t="str">
        <f aca="false">IF(AND(B4569&gt;=Cal_Start_Week,B4569&lt;=Cal_End_Week),"YES","")</f>
        <v/>
      </c>
    </row>
    <row r="4570" customFormat="false" ht="15" hidden="false" customHeight="false" outlineLevel="0" collapsed="false">
      <c r="A4570" s="31" t="str">
        <f aca="false">Demand_History!C4570</f>
        <v>CLN-007</v>
      </c>
      <c r="B4570" s="31" t="n">
        <f aca="false">Demand_History!A4570</f>
        <v>97</v>
      </c>
      <c r="C4570" s="32" t="n">
        <f aca="false">Demand_History!D4570</f>
        <v>50</v>
      </c>
      <c r="D4570" s="33" t="n">
        <f aca="false">IF(B4570&gt;=2,C4569,"")</f>
        <v>63</v>
      </c>
      <c r="E4570" s="33" t="n">
        <f aca="false">IF(B4570&gt;=5,AVERAGE(C4566:C4569),"")</f>
        <v>70.25</v>
      </c>
      <c r="F4570" s="33" t="n">
        <f aca="false">IF(B4570&gt;=9,AVERAGE(C4562:C4569),"")</f>
        <v>65.75</v>
      </c>
      <c r="G4570" s="33" t="n">
        <f aca="false">IF(B4570=1,"",IF(B4570=2,C4569,SES_Alpha*C4569+(1-SES_Alpha)*G4569))</f>
        <v>67.7824162436535</v>
      </c>
      <c r="H4570" s="33" t="n">
        <f aca="false">IF(D4570="","",D4570-C4570)</f>
        <v>13</v>
      </c>
      <c r="I4570" s="33" t="n">
        <f aca="false">IF(E4570="","",E4570-C4570)</f>
        <v>20.25</v>
      </c>
      <c r="J4570" s="33" t="n">
        <f aca="false">IF(F4570="","",F4570-C4570)</f>
        <v>15.75</v>
      </c>
      <c r="K4570" s="33" t="n">
        <f aca="false">IF(G4570="","",G4570-C4570)</f>
        <v>17.7824162436535</v>
      </c>
      <c r="L4570" s="33" t="n">
        <f aca="false">IF(H4570="","",ABS(H4570))</f>
        <v>13</v>
      </c>
      <c r="M4570" s="33" t="n">
        <f aca="false">IF(I4570="","",ABS(I4570))</f>
        <v>20.25</v>
      </c>
      <c r="N4570" s="33" t="n">
        <f aca="false">IF(J4570="","",ABS(J4570))</f>
        <v>15.75</v>
      </c>
      <c r="O4570" s="33" t="n">
        <f aca="false">IF(K4570="","",ABS(K4570))</f>
        <v>17.7824162436535</v>
      </c>
      <c r="P4570" s="34" t="str">
        <f aca="false">IF(B4570&gt;=Eval_Start_Week,"YES","")</f>
        <v>YES</v>
      </c>
      <c r="Q4570" s="34" t="str">
        <f aca="false">IF(AND(B4570&gt;=Cal_Start_Week,B4570&lt;=Cal_End_Week),"YES","")</f>
        <v/>
      </c>
    </row>
    <row r="4571" customFormat="false" ht="15" hidden="false" customHeight="false" outlineLevel="0" collapsed="false">
      <c r="A4571" s="31" t="str">
        <f aca="false">Demand_History!C4571</f>
        <v>CLN-007</v>
      </c>
      <c r="B4571" s="31" t="n">
        <f aca="false">Demand_History!A4571</f>
        <v>98</v>
      </c>
      <c r="C4571" s="32" t="n">
        <f aca="false">Demand_History!D4571</f>
        <v>47</v>
      </c>
      <c r="D4571" s="33" t="n">
        <f aca="false">IF(B4571&gt;=2,C4570,"")</f>
        <v>50</v>
      </c>
      <c r="E4571" s="33" t="n">
        <f aca="false">IF(B4571&gt;=5,AVERAGE(C4567:C4570),"")</f>
        <v>67.5</v>
      </c>
      <c r="F4571" s="33" t="n">
        <f aca="false">IF(B4571&gt;=9,AVERAGE(C4563:C4570),"")</f>
        <v>66.125</v>
      </c>
      <c r="G4571" s="33" t="n">
        <f aca="false">IF(B4571=1,"",IF(B4571=2,C4570,SES_Alpha*C4570+(1-SES_Alpha)*G4570))</f>
        <v>62.4476913705575</v>
      </c>
      <c r="H4571" s="33" t="n">
        <f aca="false">IF(D4571="","",D4571-C4571)</f>
        <v>3</v>
      </c>
      <c r="I4571" s="33" t="n">
        <f aca="false">IF(E4571="","",E4571-C4571)</f>
        <v>20.5</v>
      </c>
      <c r="J4571" s="33" t="n">
        <f aca="false">IF(F4571="","",F4571-C4571)</f>
        <v>19.125</v>
      </c>
      <c r="K4571" s="33" t="n">
        <f aca="false">IF(G4571="","",G4571-C4571)</f>
        <v>15.4476913705575</v>
      </c>
      <c r="L4571" s="33" t="n">
        <f aca="false">IF(H4571="","",ABS(H4571))</f>
        <v>3</v>
      </c>
      <c r="M4571" s="33" t="n">
        <f aca="false">IF(I4571="","",ABS(I4571))</f>
        <v>20.5</v>
      </c>
      <c r="N4571" s="33" t="n">
        <f aca="false">IF(J4571="","",ABS(J4571))</f>
        <v>19.125</v>
      </c>
      <c r="O4571" s="33" t="n">
        <f aca="false">IF(K4571="","",ABS(K4571))</f>
        <v>15.4476913705575</v>
      </c>
      <c r="P4571" s="34" t="str">
        <f aca="false">IF(B4571&gt;=Eval_Start_Week,"YES","")</f>
        <v>YES</v>
      </c>
      <c r="Q4571" s="34" t="str">
        <f aca="false">IF(AND(B4571&gt;=Cal_Start_Week,B4571&lt;=Cal_End_Week),"YES","")</f>
        <v/>
      </c>
    </row>
    <row r="4572" customFormat="false" ht="15" hidden="false" customHeight="false" outlineLevel="0" collapsed="false">
      <c r="A4572" s="31" t="str">
        <f aca="false">Demand_History!C4572</f>
        <v>CLN-007</v>
      </c>
      <c r="B4572" s="31" t="n">
        <f aca="false">Demand_History!A4572</f>
        <v>99</v>
      </c>
      <c r="C4572" s="32" t="n">
        <f aca="false">Demand_History!D4572</f>
        <v>53</v>
      </c>
      <c r="D4572" s="33" t="n">
        <f aca="false">IF(B4572&gt;=2,C4571,"")</f>
        <v>47</v>
      </c>
      <c r="E4572" s="33" t="n">
        <f aca="false">IF(B4572&gt;=5,AVERAGE(C4568:C4571),"")</f>
        <v>59.5</v>
      </c>
      <c r="F4572" s="33" t="n">
        <f aca="false">IF(B4572&gt;=9,AVERAGE(C4564:C4571),"")</f>
        <v>63.375</v>
      </c>
      <c r="G4572" s="33" t="n">
        <f aca="false">IF(B4572=1,"",IF(B4572=2,C4571,SES_Alpha*C4571+(1-SES_Alpha)*G4571))</f>
        <v>57.8133839593902</v>
      </c>
      <c r="H4572" s="33" t="n">
        <f aca="false">IF(D4572="","",D4572-C4572)</f>
        <v>-6</v>
      </c>
      <c r="I4572" s="33" t="n">
        <f aca="false">IF(E4572="","",E4572-C4572)</f>
        <v>6.5</v>
      </c>
      <c r="J4572" s="33" t="n">
        <f aca="false">IF(F4572="","",F4572-C4572)</f>
        <v>10.375</v>
      </c>
      <c r="K4572" s="33" t="n">
        <f aca="false">IF(G4572="","",G4572-C4572)</f>
        <v>4.81338395939022</v>
      </c>
      <c r="L4572" s="33" t="n">
        <f aca="false">IF(H4572="","",ABS(H4572))</f>
        <v>6</v>
      </c>
      <c r="M4572" s="33" t="n">
        <f aca="false">IF(I4572="","",ABS(I4572))</f>
        <v>6.5</v>
      </c>
      <c r="N4572" s="33" t="n">
        <f aca="false">IF(J4572="","",ABS(J4572))</f>
        <v>10.375</v>
      </c>
      <c r="O4572" s="33" t="n">
        <f aca="false">IF(K4572="","",ABS(K4572))</f>
        <v>4.81338395939022</v>
      </c>
      <c r="P4572" s="34" t="str">
        <f aca="false">IF(B4572&gt;=Eval_Start_Week,"YES","")</f>
        <v>YES</v>
      </c>
      <c r="Q4572" s="34" t="str">
        <f aca="false">IF(AND(B4572&gt;=Cal_Start_Week,B4572&lt;=Cal_End_Week),"YES","")</f>
        <v/>
      </c>
    </row>
    <row r="4573" customFormat="false" ht="15" hidden="false" customHeight="false" outlineLevel="0" collapsed="false">
      <c r="A4573" s="31" t="str">
        <f aca="false">Demand_History!C4573</f>
        <v>CLN-007</v>
      </c>
      <c r="B4573" s="31" t="n">
        <f aca="false">Demand_History!A4573</f>
        <v>100</v>
      </c>
      <c r="C4573" s="32" t="n">
        <f aca="false">Demand_History!D4573</f>
        <v>77</v>
      </c>
      <c r="D4573" s="33" t="n">
        <f aca="false">IF(B4573&gt;=2,C4572,"")</f>
        <v>53</v>
      </c>
      <c r="E4573" s="33" t="n">
        <f aca="false">IF(B4573&gt;=5,AVERAGE(C4569:C4572),"")</f>
        <v>53.25</v>
      </c>
      <c r="F4573" s="33" t="n">
        <f aca="false">IF(B4573&gt;=9,AVERAGE(C4565:C4572),"")</f>
        <v>60.5</v>
      </c>
      <c r="G4573" s="33" t="n">
        <f aca="false">IF(B4573=1,"",IF(B4573=2,C4572,SES_Alpha*C4572+(1-SES_Alpha)*G4572))</f>
        <v>56.3693687715732</v>
      </c>
      <c r="H4573" s="33" t="n">
        <f aca="false">IF(D4573="","",D4573-C4573)</f>
        <v>-24</v>
      </c>
      <c r="I4573" s="33" t="n">
        <f aca="false">IF(E4573="","",E4573-C4573)</f>
        <v>-23.75</v>
      </c>
      <c r="J4573" s="33" t="n">
        <f aca="false">IF(F4573="","",F4573-C4573)</f>
        <v>-16.5</v>
      </c>
      <c r="K4573" s="33" t="n">
        <f aca="false">IF(G4573="","",G4573-C4573)</f>
        <v>-20.6306312284269</v>
      </c>
      <c r="L4573" s="33" t="n">
        <f aca="false">IF(H4573="","",ABS(H4573))</f>
        <v>24</v>
      </c>
      <c r="M4573" s="33" t="n">
        <f aca="false">IF(I4573="","",ABS(I4573))</f>
        <v>23.75</v>
      </c>
      <c r="N4573" s="33" t="n">
        <f aca="false">IF(J4573="","",ABS(J4573))</f>
        <v>16.5</v>
      </c>
      <c r="O4573" s="33" t="n">
        <f aca="false">IF(K4573="","",ABS(K4573))</f>
        <v>20.6306312284269</v>
      </c>
      <c r="P4573" s="34" t="str">
        <f aca="false">IF(B4573&gt;=Eval_Start_Week,"YES","")</f>
        <v>YES</v>
      </c>
      <c r="Q4573" s="34" t="str">
        <f aca="false">IF(AND(B4573&gt;=Cal_Start_Week,B4573&lt;=Cal_End_Week),"YES","")</f>
        <v/>
      </c>
    </row>
    <row r="4574" customFormat="false" ht="15" hidden="false" customHeight="false" outlineLevel="0" collapsed="false">
      <c r="A4574" s="31" t="str">
        <f aca="false">Demand_History!C4574</f>
        <v>CLN-007</v>
      </c>
      <c r="B4574" s="31" t="n">
        <f aca="false">Demand_History!A4574</f>
        <v>101</v>
      </c>
      <c r="C4574" s="32" t="n">
        <f aca="false">Demand_History!D4574</f>
        <v>75</v>
      </c>
      <c r="D4574" s="33" t="n">
        <f aca="false">IF(B4574&gt;=2,C4573,"")</f>
        <v>77</v>
      </c>
      <c r="E4574" s="33" t="n">
        <f aca="false">IF(B4574&gt;=5,AVERAGE(C4570:C4573),"")</f>
        <v>56.75</v>
      </c>
      <c r="F4574" s="33" t="n">
        <f aca="false">IF(B4574&gt;=9,AVERAGE(C4566:C4573),"")</f>
        <v>63.5</v>
      </c>
      <c r="G4574" s="33" t="n">
        <f aca="false">IF(B4574=1,"",IF(B4574=2,C4573,SES_Alpha*C4573+(1-SES_Alpha)*G4573))</f>
        <v>62.5585581401012</v>
      </c>
      <c r="H4574" s="33" t="n">
        <f aca="false">IF(D4574="","",D4574-C4574)</f>
        <v>2</v>
      </c>
      <c r="I4574" s="33" t="n">
        <f aca="false">IF(E4574="","",E4574-C4574)</f>
        <v>-18.25</v>
      </c>
      <c r="J4574" s="33" t="n">
        <f aca="false">IF(F4574="","",F4574-C4574)</f>
        <v>-11.5</v>
      </c>
      <c r="K4574" s="33" t="n">
        <f aca="false">IF(G4574="","",G4574-C4574)</f>
        <v>-12.4414418598988</v>
      </c>
      <c r="L4574" s="33" t="n">
        <f aca="false">IF(H4574="","",ABS(H4574))</f>
        <v>2</v>
      </c>
      <c r="M4574" s="33" t="n">
        <f aca="false">IF(I4574="","",ABS(I4574))</f>
        <v>18.25</v>
      </c>
      <c r="N4574" s="33" t="n">
        <f aca="false">IF(J4574="","",ABS(J4574))</f>
        <v>11.5</v>
      </c>
      <c r="O4574" s="33" t="n">
        <f aca="false">IF(K4574="","",ABS(K4574))</f>
        <v>12.4414418598988</v>
      </c>
      <c r="P4574" s="34" t="str">
        <f aca="false">IF(B4574&gt;=Eval_Start_Week,"YES","")</f>
        <v>YES</v>
      </c>
      <c r="Q4574" s="34" t="str">
        <f aca="false">IF(AND(B4574&gt;=Cal_Start_Week,B4574&lt;=Cal_End_Week),"YES","")</f>
        <v/>
      </c>
    </row>
    <row r="4575" customFormat="false" ht="15" hidden="false" customHeight="false" outlineLevel="0" collapsed="false">
      <c r="A4575" s="31" t="str">
        <f aca="false">Demand_History!C4575</f>
        <v>CLN-007</v>
      </c>
      <c r="B4575" s="31" t="n">
        <f aca="false">Demand_History!A4575</f>
        <v>102</v>
      </c>
      <c r="C4575" s="32" t="n">
        <f aca="false">Demand_History!D4575</f>
        <v>70</v>
      </c>
      <c r="D4575" s="33" t="n">
        <f aca="false">IF(B4575&gt;=2,C4574,"")</f>
        <v>75</v>
      </c>
      <c r="E4575" s="33" t="n">
        <f aca="false">IF(B4575&gt;=5,AVERAGE(C4571:C4574),"")</f>
        <v>63</v>
      </c>
      <c r="F4575" s="33" t="n">
        <f aca="false">IF(B4575&gt;=9,AVERAGE(C4567:C4574),"")</f>
        <v>65.25</v>
      </c>
      <c r="G4575" s="33" t="n">
        <f aca="false">IF(B4575=1,"",IF(B4575=2,C4574,SES_Alpha*C4574+(1-SES_Alpha)*G4574))</f>
        <v>66.2909906980708</v>
      </c>
      <c r="H4575" s="33" t="n">
        <f aca="false">IF(D4575="","",D4575-C4575)</f>
        <v>5</v>
      </c>
      <c r="I4575" s="33" t="n">
        <f aca="false">IF(E4575="","",E4575-C4575)</f>
        <v>-7</v>
      </c>
      <c r="J4575" s="33" t="n">
        <f aca="false">IF(F4575="","",F4575-C4575)</f>
        <v>-4.75</v>
      </c>
      <c r="K4575" s="33" t="n">
        <f aca="false">IF(G4575="","",G4575-C4575)</f>
        <v>-3.70900930192917</v>
      </c>
      <c r="L4575" s="33" t="n">
        <f aca="false">IF(H4575="","",ABS(H4575))</f>
        <v>5</v>
      </c>
      <c r="M4575" s="33" t="n">
        <f aca="false">IF(I4575="","",ABS(I4575))</f>
        <v>7</v>
      </c>
      <c r="N4575" s="33" t="n">
        <f aca="false">IF(J4575="","",ABS(J4575))</f>
        <v>4.75</v>
      </c>
      <c r="O4575" s="33" t="n">
        <f aca="false">IF(K4575="","",ABS(K4575))</f>
        <v>3.70900930192917</v>
      </c>
      <c r="P4575" s="34" t="str">
        <f aca="false">IF(B4575&gt;=Eval_Start_Week,"YES","")</f>
        <v>YES</v>
      </c>
      <c r="Q4575" s="34" t="str">
        <f aca="false">IF(AND(B4575&gt;=Cal_Start_Week,B4575&lt;=Cal_End_Week),"YES","")</f>
        <v/>
      </c>
    </row>
    <row r="4576" customFormat="false" ht="15" hidden="false" customHeight="false" outlineLevel="0" collapsed="false">
      <c r="A4576" s="31" t="str">
        <f aca="false">Demand_History!C4576</f>
        <v>CLN-007</v>
      </c>
      <c r="B4576" s="31" t="n">
        <f aca="false">Demand_History!A4576</f>
        <v>103</v>
      </c>
      <c r="C4576" s="32" t="n">
        <f aca="false">Demand_History!D4576</f>
        <v>90</v>
      </c>
      <c r="D4576" s="33" t="n">
        <f aca="false">IF(B4576&gt;=2,C4575,"")</f>
        <v>70</v>
      </c>
      <c r="E4576" s="33" t="n">
        <f aca="false">IF(B4576&gt;=5,AVERAGE(C4572:C4575),"")</f>
        <v>68.75</v>
      </c>
      <c r="F4576" s="33" t="n">
        <f aca="false">IF(B4576&gt;=9,AVERAGE(C4568:C4575),"")</f>
        <v>64.125</v>
      </c>
      <c r="G4576" s="33" t="n">
        <f aca="false">IF(B4576=1,"",IF(B4576=2,C4575,SES_Alpha*C4575+(1-SES_Alpha)*G4575))</f>
        <v>67.4036934886496</v>
      </c>
      <c r="H4576" s="33" t="n">
        <f aca="false">IF(D4576="","",D4576-C4576)</f>
        <v>-20</v>
      </c>
      <c r="I4576" s="33" t="n">
        <f aca="false">IF(E4576="","",E4576-C4576)</f>
        <v>-21.25</v>
      </c>
      <c r="J4576" s="33" t="n">
        <f aca="false">IF(F4576="","",F4576-C4576)</f>
        <v>-25.875</v>
      </c>
      <c r="K4576" s="33" t="n">
        <f aca="false">IF(G4576="","",G4576-C4576)</f>
        <v>-22.5963065113504</v>
      </c>
      <c r="L4576" s="33" t="n">
        <f aca="false">IF(H4576="","",ABS(H4576))</f>
        <v>20</v>
      </c>
      <c r="M4576" s="33" t="n">
        <f aca="false">IF(I4576="","",ABS(I4576))</f>
        <v>21.25</v>
      </c>
      <c r="N4576" s="33" t="n">
        <f aca="false">IF(J4576="","",ABS(J4576))</f>
        <v>25.875</v>
      </c>
      <c r="O4576" s="33" t="n">
        <f aca="false">IF(K4576="","",ABS(K4576))</f>
        <v>22.5963065113504</v>
      </c>
      <c r="P4576" s="34" t="str">
        <f aca="false">IF(B4576&gt;=Eval_Start_Week,"YES","")</f>
        <v>YES</v>
      </c>
      <c r="Q4576" s="34" t="str">
        <f aca="false">IF(AND(B4576&gt;=Cal_Start_Week,B4576&lt;=Cal_End_Week),"YES","")</f>
        <v/>
      </c>
    </row>
    <row r="4577" customFormat="false" ht="15" hidden="false" customHeight="false" outlineLevel="0" collapsed="false">
      <c r="A4577" s="31" t="str">
        <f aca="false">Demand_History!C4577</f>
        <v>CLN-007</v>
      </c>
      <c r="B4577" s="31" t="n">
        <f aca="false">Demand_History!A4577</f>
        <v>104</v>
      </c>
      <c r="C4577" s="32" t="n">
        <f aca="false">Demand_History!D4577</f>
        <v>59</v>
      </c>
      <c r="D4577" s="33" t="n">
        <f aca="false">IF(B4577&gt;=2,C4576,"")</f>
        <v>90</v>
      </c>
      <c r="E4577" s="33" t="n">
        <f aca="false">IF(B4577&gt;=5,AVERAGE(C4573:C4576),"")</f>
        <v>78</v>
      </c>
      <c r="F4577" s="33" t="n">
        <f aca="false">IF(B4577&gt;=9,AVERAGE(C4569:C4576),"")</f>
        <v>65.625</v>
      </c>
      <c r="G4577" s="33" t="n">
        <f aca="false">IF(B4577=1,"",IF(B4577=2,C4576,SES_Alpha*C4576+(1-SES_Alpha)*G4576))</f>
        <v>74.1825854420547</v>
      </c>
      <c r="H4577" s="33" t="n">
        <f aca="false">IF(D4577="","",D4577-C4577)</f>
        <v>31</v>
      </c>
      <c r="I4577" s="33" t="n">
        <f aca="false">IF(E4577="","",E4577-C4577)</f>
        <v>19</v>
      </c>
      <c r="J4577" s="33" t="n">
        <f aca="false">IF(F4577="","",F4577-C4577)</f>
        <v>6.625</v>
      </c>
      <c r="K4577" s="33" t="n">
        <f aca="false">IF(G4577="","",G4577-C4577)</f>
        <v>15.1825854420547</v>
      </c>
      <c r="L4577" s="33" t="n">
        <f aca="false">IF(H4577="","",ABS(H4577))</f>
        <v>31</v>
      </c>
      <c r="M4577" s="33" t="n">
        <f aca="false">IF(I4577="","",ABS(I4577))</f>
        <v>19</v>
      </c>
      <c r="N4577" s="33" t="n">
        <f aca="false">IF(J4577="","",ABS(J4577))</f>
        <v>6.625</v>
      </c>
      <c r="O4577" s="33" t="n">
        <f aca="false">IF(K4577="","",ABS(K4577))</f>
        <v>15.1825854420547</v>
      </c>
      <c r="P4577" s="34" t="str">
        <f aca="false">IF(B4577&gt;=Eval_Start_Week,"YES","")</f>
        <v>YES</v>
      </c>
      <c r="Q4577" s="34" t="str">
        <f aca="false">IF(AND(B4577&gt;=Cal_Start_Week,B4577&lt;=Cal_End_Week),"YES","")</f>
        <v/>
      </c>
    </row>
    <row r="4578" customFormat="false" ht="15" hidden="false" customHeight="false" outlineLevel="0" collapsed="false">
      <c r="A4578" s="31" t="str">
        <f aca="false">Demand_History!C4578</f>
        <v>CLN-008</v>
      </c>
      <c r="B4578" s="31" t="n">
        <f aca="false">Demand_History!A4578</f>
        <v>1</v>
      </c>
      <c r="C4578" s="32" t="n">
        <f aca="false">Demand_History!D4578</f>
        <v>75</v>
      </c>
      <c r="D4578" s="33" t="str">
        <f aca="false">IF(B4578&gt;=2,C4577,"")</f>
        <v/>
      </c>
      <c r="E4578" s="33" t="str">
        <f aca="false">IF(B4578&gt;=5,AVERAGE(C4574:C4577),"")</f>
        <v/>
      </c>
      <c r="F4578" s="33" t="str">
        <f aca="false">IF(B4578&gt;=9,AVERAGE(C4570:C4577),"")</f>
        <v/>
      </c>
      <c r="G4578" s="33" t="str">
        <f aca="false">IF(B4578=1,"",IF(B4578=2,C4577,SES_Alpha*C4577+(1-SES_Alpha)*G4577))</f>
        <v/>
      </c>
      <c r="H4578" s="33" t="str">
        <f aca="false">IF(D4578="","",D4578-C4578)</f>
        <v/>
      </c>
      <c r="I4578" s="33" t="str">
        <f aca="false">IF(E4578="","",E4578-C4578)</f>
        <v/>
      </c>
      <c r="J4578" s="33" t="str">
        <f aca="false">IF(F4578="","",F4578-C4578)</f>
        <v/>
      </c>
      <c r="K4578" s="33" t="str">
        <f aca="false">IF(G4578="","",G4578-C4578)</f>
        <v/>
      </c>
      <c r="L4578" s="33" t="str">
        <f aca="false">IF(H4578="","",ABS(H4578))</f>
        <v/>
      </c>
      <c r="M4578" s="33" t="str">
        <f aca="false">IF(I4578="","",ABS(I4578))</f>
        <v/>
      </c>
      <c r="N4578" s="33" t="str">
        <f aca="false">IF(J4578="","",ABS(J4578))</f>
        <v/>
      </c>
      <c r="O4578" s="33" t="str">
        <f aca="false">IF(K4578="","",ABS(K4578))</f>
        <v/>
      </c>
      <c r="P4578" s="34" t="str">
        <f aca="false">IF(B4578&gt;=Eval_Start_Week,"YES","")</f>
        <v/>
      </c>
      <c r="Q4578" s="34" t="str">
        <f aca="false">IF(AND(B4578&gt;=Cal_Start_Week,B4578&lt;=Cal_End_Week),"YES","")</f>
        <v/>
      </c>
    </row>
    <row r="4579" customFormat="false" ht="15" hidden="false" customHeight="false" outlineLevel="0" collapsed="false">
      <c r="A4579" s="31" t="str">
        <f aca="false">Demand_History!C4579</f>
        <v>CLN-008</v>
      </c>
      <c r="B4579" s="31" t="n">
        <f aca="false">Demand_History!A4579</f>
        <v>2</v>
      </c>
      <c r="C4579" s="32" t="n">
        <f aca="false">Demand_History!D4579</f>
        <v>100</v>
      </c>
      <c r="D4579" s="33" t="n">
        <f aca="false">IF(B4579&gt;=2,C4578,"")</f>
        <v>75</v>
      </c>
      <c r="E4579" s="33" t="str">
        <f aca="false">IF(B4579&gt;=5,AVERAGE(C4575:C4578),"")</f>
        <v/>
      </c>
      <c r="F4579" s="33" t="str">
        <f aca="false">IF(B4579&gt;=9,AVERAGE(C4571:C4578),"")</f>
        <v/>
      </c>
      <c r="G4579" s="33" t="n">
        <f aca="false">IF(B4579=1,"",IF(B4579=2,C4578,SES_Alpha*C4578+(1-SES_Alpha)*G4578))</f>
        <v>75</v>
      </c>
      <c r="H4579" s="33" t="n">
        <f aca="false">IF(D4579="","",D4579-C4579)</f>
        <v>-25</v>
      </c>
      <c r="I4579" s="33" t="str">
        <f aca="false">IF(E4579="","",E4579-C4579)</f>
        <v/>
      </c>
      <c r="J4579" s="33" t="str">
        <f aca="false">IF(F4579="","",F4579-C4579)</f>
        <v/>
      </c>
      <c r="K4579" s="33" t="n">
        <f aca="false">IF(G4579="","",G4579-C4579)</f>
        <v>-25</v>
      </c>
      <c r="L4579" s="33" t="n">
        <f aca="false">IF(H4579="","",ABS(H4579))</f>
        <v>25</v>
      </c>
      <c r="M4579" s="33" t="str">
        <f aca="false">IF(I4579="","",ABS(I4579))</f>
        <v/>
      </c>
      <c r="N4579" s="33" t="str">
        <f aca="false">IF(J4579="","",ABS(J4579))</f>
        <v/>
      </c>
      <c r="O4579" s="33" t="n">
        <f aca="false">IF(K4579="","",ABS(K4579))</f>
        <v>25</v>
      </c>
      <c r="P4579" s="34" t="str">
        <f aca="false">IF(B4579&gt;=Eval_Start_Week,"YES","")</f>
        <v/>
      </c>
      <c r="Q4579" s="34" t="str">
        <f aca="false">IF(AND(B4579&gt;=Cal_Start_Week,B4579&lt;=Cal_End_Week),"YES","")</f>
        <v/>
      </c>
    </row>
    <row r="4580" customFormat="false" ht="15" hidden="false" customHeight="false" outlineLevel="0" collapsed="false">
      <c r="A4580" s="31" t="str">
        <f aca="false">Demand_History!C4580</f>
        <v>CLN-008</v>
      </c>
      <c r="B4580" s="31" t="n">
        <f aca="false">Demand_History!A4580</f>
        <v>3</v>
      </c>
      <c r="C4580" s="32" t="n">
        <f aca="false">Demand_History!D4580</f>
        <v>58</v>
      </c>
      <c r="D4580" s="33" t="n">
        <f aca="false">IF(B4580&gt;=2,C4579,"")</f>
        <v>100</v>
      </c>
      <c r="E4580" s="33" t="str">
        <f aca="false">IF(B4580&gt;=5,AVERAGE(C4576:C4579),"")</f>
        <v/>
      </c>
      <c r="F4580" s="33" t="str">
        <f aca="false">IF(B4580&gt;=9,AVERAGE(C4572:C4579),"")</f>
        <v/>
      </c>
      <c r="G4580" s="33" t="n">
        <f aca="false">IF(B4580=1,"",IF(B4580=2,C4579,SES_Alpha*C4579+(1-SES_Alpha)*G4579))</f>
        <v>82.5</v>
      </c>
      <c r="H4580" s="33" t="n">
        <f aca="false">IF(D4580="","",D4580-C4580)</f>
        <v>42</v>
      </c>
      <c r="I4580" s="33" t="str">
        <f aca="false">IF(E4580="","",E4580-C4580)</f>
        <v/>
      </c>
      <c r="J4580" s="33" t="str">
        <f aca="false">IF(F4580="","",F4580-C4580)</f>
        <v/>
      </c>
      <c r="K4580" s="33" t="n">
        <f aca="false">IF(G4580="","",G4580-C4580)</f>
        <v>24.5</v>
      </c>
      <c r="L4580" s="33" t="n">
        <f aca="false">IF(H4580="","",ABS(H4580))</f>
        <v>42</v>
      </c>
      <c r="M4580" s="33" t="str">
        <f aca="false">IF(I4580="","",ABS(I4580))</f>
        <v/>
      </c>
      <c r="N4580" s="33" t="str">
        <f aca="false">IF(J4580="","",ABS(J4580))</f>
        <v/>
      </c>
      <c r="O4580" s="33" t="n">
        <f aca="false">IF(K4580="","",ABS(K4580))</f>
        <v>24.5</v>
      </c>
      <c r="P4580" s="34" t="str">
        <f aca="false">IF(B4580&gt;=Eval_Start_Week,"YES","")</f>
        <v/>
      </c>
      <c r="Q4580" s="34" t="str">
        <f aca="false">IF(AND(B4580&gt;=Cal_Start_Week,B4580&lt;=Cal_End_Week),"YES","")</f>
        <v/>
      </c>
    </row>
    <row r="4581" customFormat="false" ht="15" hidden="false" customHeight="false" outlineLevel="0" collapsed="false">
      <c r="A4581" s="31" t="str">
        <f aca="false">Demand_History!C4581</f>
        <v>CLN-008</v>
      </c>
      <c r="B4581" s="31" t="n">
        <f aca="false">Demand_History!A4581</f>
        <v>4</v>
      </c>
      <c r="C4581" s="32" t="n">
        <f aca="false">Demand_History!D4581</f>
        <v>83</v>
      </c>
      <c r="D4581" s="33" t="n">
        <f aca="false">IF(B4581&gt;=2,C4580,"")</f>
        <v>58</v>
      </c>
      <c r="E4581" s="33" t="str">
        <f aca="false">IF(B4581&gt;=5,AVERAGE(C4577:C4580),"")</f>
        <v/>
      </c>
      <c r="F4581" s="33" t="str">
        <f aca="false">IF(B4581&gt;=9,AVERAGE(C4573:C4580),"")</f>
        <v/>
      </c>
      <c r="G4581" s="33" t="n">
        <f aca="false">IF(B4581=1,"",IF(B4581=2,C4580,SES_Alpha*C4580+(1-SES_Alpha)*G4580))</f>
        <v>75.15</v>
      </c>
      <c r="H4581" s="33" t="n">
        <f aca="false">IF(D4581="","",D4581-C4581)</f>
        <v>-25</v>
      </c>
      <c r="I4581" s="33" t="str">
        <f aca="false">IF(E4581="","",E4581-C4581)</f>
        <v/>
      </c>
      <c r="J4581" s="33" t="str">
        <f aca="false">IF(F4581="","",F4581-C4581)</f>
        <v/>
      </c>
      <c r="K4581" s="33" t="n">
        <f aca="false">IF(G4581="","",G4581-C4581)</f>
        <v>-7.85000000000001</v>
      </c>
      <c r="L4581" s="33" t="n">
        <f aca="false">IF(H4581="","",ABS(H4581))</f>
        <v>25</v>
      </c>
      <c r="M4581" s="33" t="str">
        <f aca="false">IF(I4581="","",ABS(I4581))</f>
        <v/>
      </c>
      <c r="N4581" s="33" t="str">
        <f aca="false">IF(J4581="","",ABS(J4581))</f>
        <v/>
      </c>
      <c r="O4581" s="33" t="n">
        <f aca="false">IF(K4581="","",ABS(K4581))</f>
        <v>7.85000000000001</v>
      </c>
      <c r="P4581" s="34" t="str">
        <f aca="false">IF(B4581&gt;=Eval_Start_Week,"YES","")</f>
        <v/>
      </c>
      <c r="Q4581" s="34" t="str">
        <f aca="false">IF(AND(B4581&gt;=Cal_Start_Week,B4581&lt;=Cal_End_Week),"YES","")</f>
        <v/>
      </c>
    </row>
    <row r="4582" customFormat="false" ht="15" hidden="false" customHeight="false" outlineLevel="0" collapsed="false">
      <c r="A4582" s="31" t="str">
        <f aca="false">Demand_History!C4582</f>
        <v>CLN-008</v>
      </c>
      <c r="B4582" s="31" t="n">
        <f aca="false">Demand_History!A4582</f>
        <v>5</v>
      </c>
      <c r="C4582" s="32" t="n">
        <f aca="false">Demand_History!D4582</f>
        <v>84</v>
      </c>
      <c r="D4582" s="33" t="n">
        <f aca="false">IF(B4582&gt;=2,C4581,"")</f>
        <v>83</v>
      </c>
      <c r="E4582" s="33" t="n">
        <f aca="false">IF(B4582&gt;=5,AVERAGE(C4578:C4581),"")</f>
        <v>79</v>
      </c>
      <c r="F4582" s="33" t="str">
        <f aca="false">IF(B4582&gt;=9,AVERAGE(C4574:C4581),"")</f>
        <v/>
      </c>
      <c r="G4582" s="33" t="n">
        <f aca="false">IF(B4582=1,"",IF(B4582=2,C4581,SES_Alpha*C4581+(1-SES_Alpha)*G4581))</f>
        <v>77.505</v>
      </c>
      <c r="H4582" s="33" t="n">
        <f aca="false">IF(D4582="","",D4582-C4582)</f>
        <v>-1</v>
      </c>
      <c r="I4582" s="33" t="n">
        <f aca="false">IF(E4582="","",E4582-C4582)</f>
        <v>-5</v>
      </c>
      <c r="J4582" s="33" t="str">
        <f aca="false">IF(F4582="","",F4582-C4582)</f>
        <v/>
      </c>
      <c r="K4582" s="33" t="n">
        <f aca="false">IF(G4582="","",G4582-C4582)</f>
        <v>-6.495</v>
      </c>
      <c r="L4582" s="33" t="n">
        <f aca="false">IF(H4582="","",ABS(H4582))</f>
        <v>1</v>
      </c>
      <c r="M4582" s="33" t="n">
        <f aca="false">IF(I4582="","",ABS(I4582))</f>
        <v>5</v>
      </c>
      <c r="N4582" s="33" t="str">
        <f aca="false">IF(J4582="","",ABS(J4582))</f>
        <v/>
      </c>
      <c r="O4582" s="33" t="n">
        <f aca="false">IF(K4582="","",ABS(K4582))</f>
        <v>6.495</v>
      </c>
      <c r="P4582" s="34" t="str">
        <f aca="false">IF(B4582&gt;=Eval_Start_Week,"YES","")</f>
        <v/>
      </c>
      <c r="Q4582" s="34" t="str">
        <f aca="false">IF(AND(B4582&gt;=Cal_Start_Week,B4582&lt;=Cal_End_Week),"YES","")</f>
        <v/>
      </c>
    </row>
    <row r="4583" customFormat="false" ht="15" hidden="false" customHeight="false" outlineLevel="0" collapsed="false">
      <c r="A4583" s="31" t="str">
        <f aca="false">Demand_History!C4583</f>
        <v>CLN-008</v>
      </c>
      <c r="B4583" s="31" t="n">
        <f aca="false">Demand_History!A4583</f>
        <v>6</v>
      </c>
      <c r="C4583" s="32" t="n">
        <f aca="false">Demand_History!D4583</f>
        <v>80</v>
      </c>
      <c r="D4583" s="33" t="n">
        <f aca="false">IF(B4583&gt;=2,C4582,"")</f>
        <v>84</v>
      </c>
      <c r="E4583" s="33" t="n">
        <f aca="false">IF(B4583&gt;=5,AVERAGE(C4579:C4582),"")</f>
        <v>81.25</v>
      </c>
      <c r="F4583" s="33" t="str">
        <f aca="false">IF(B4583&gt;=9,AVERAGE(C4575:C4582),"")</f>
        <v/>
      </c>
      <c r="G4583" s="33" t="n">
        <f aca="false">IF(B4583=1,"",IF(B4583=2,C4582,SES_Alpha*C4582+(1-SES_Alpha)*G4582))</f>
        <v>79.4535</v>
      </c>
      <c r="H4583" s="33" t="n">
        <f aca="false">IF(D4583="","",D4583-C4583)</f>
        <v>4</v>
      </c>
      <c r="I4583" s="33" t="n">
        <f aca="false">IF(E4583="","",E4583-C4583)</f>
        <v>1.25</v>
      </c>
      <c r="J4583" s="33" t="str">
        <f aca="false">IF(F4583="","",F4583-C4583)</f>
        <v/>
      </c>
      <c r="K4583" s="33" t="n">
        <f aca="false">IF(G4583="","",G4583-C4583)</f>
        <v>-0.546500000000009</v>
      </c>
      <c r="L4583" s="33" t="n">
        <f aca="false">IF(H4583="","",ABS(H4583))</f>
        <v>4</v>
      </c>
      <c r="M4583" s="33" t="n">
        <f aca="false">IF(I4583="","",ABS(I4583))</f>
        <v>1.25</v>
      </c>
      <c r="N4583" s="33" t="str">
        <f aca="false">IF(J4583="","",ABS(J4583))</f>
        <v/>
      </c>
      <c r="O4583" s="33" t="n">
        <f aca="false">IF(K4583="","",ABS(K4583))</f>
        <v>0.546500000000009</v>
      </c>
      <c r="P4583" s="34" t="str">
        <f aca="false">IF(B4583&gt;=Eval_Start_Week,"YES","")</f>
        <v/>
      </c>
      <c r="Q4583" s="34" t="str">
        <f aca="false">IF(AND(B4583&gt;=Cal_Start_Week,B4583&lt;=Cal_End_Week),"YES","")</f>
        <v/>
      </c>
    </row>
    <row r="4584" customFormat="false" ht="15" hidden="false" customHeight="false" outlineLevel="0" collapsed="false">
      <c r="A4584" s="31" t="str">
        <f aca="false">Demand_History!C4584</f>
        <v>CLN-008</v>
      </c>
      <c r="B4584" s="31" t="n">
        <f aca="false">Demand_History!A4584</f>
        <v>7</v>
      </c>
      <c r="C4584" s="32" t="n">
        <f aca="false">Demand_History!D4584</f>
        <v>105</v>
      </c>
      <c r="D4584" s="33" t="n">
        <f aca="false">IF(B4584&gt;=2,C4583,"")</f>
        <v>80</v>
      </c>
      <c r="E4584" s="33" t="n">
        <f aca="false">IF(B4584&gt;=5,AVERAGE(C4580:C4583),"")</f>
        <v>76.25</v>
      </c>
      <c r="F4584" s="33" t="str">
        <f aca="false">IF(B4584&gt;=9,AVERAGE(C4576:C4583),"")</f>
        <v/>
      </c>
      <c r="G4584" s="33" t="n">
        <f aca="false">IF(B4584=1,"",IF(B4584=2,C4583,SES_Alpha*C4583+(1-SES_Alpha)*G4583))</f>
        <v>79.61745</v>
      </c>
      <c r="H4584" s="33" t="n">
        <f aca="false">IF(D4584="","",D4584-C4584)</f>
        <v>-25</v>
      </c>
      <c r="I4584" s="33" t="n">
        <f aca="false">IF(E4584="","",E4584-C4584)</f>
        <v>-28.75</v>
      </c>
      <c r="J4584" s="33" t="str">
        <f aca="false">IF(F4584="","",F4584-C4584)</f>
        <v/>
      </c>
      <c r="K4584" s="33" t="n">
        <f aca="false">IF(G4584="","",G4584-C4584)</f>
        <v>-25.38255</v>
      </c>
      <c r="L4584" s="33" t="n">
        <f aca="false">IF(H4584="","",ABS(H4584))</f>
        <v>25</v>
      </c>
      <c r="M4584" s="33" t="n">
        <f aca="false">IF(I4584="","",ABS(I4584))</f>
        <v>28.75</v>
      </c>
      <c r="N4584" s="33" t="str">
        <f aca="false">IF(J4584="","",ABS(J4584))</f>
        <v/>
      </c>
      <c r="O4584" s="33" t="n">
        <f aca="false">IF(K4584="","",ABS(K4584))</f>
        <v>25.38255</v>
      </c>
      <c r="P4584" s="34" t="str">
        <f aca="false">IF(B4584&gt;=Eval_Start_Week,"YES","")</f>
        <v/>
      </c>
      <c r="Q4584" s="34" t="str">
        <f aca="false">IF(AND(B4584&gt;=Cal_Start_Week,B4584&lt;=Cal_End_Week),"YES","")</f>
        <v/>
      </c>
    </row>
    <row r="4585" customFormat="false" ht="15" hidden="false" customHeight="false" outlineLevel="0" collapsed="false">
      <c r="A4585" s="31" t="str">
        <f aca="false">Demand_History!C4585</f>
        <v>CLN-008</v>
      </c>
      <c r="B4585" s="31" t="n">
        <f aca="false">Demand_History!A4585</f>
        <v>8</v>
      </c>
      <c r="C4585" s="32" t="n">
        <f aca="false">Demand_History!D4585</f>
        <v>92</v>
      </c>
      <c r="D4585" s="33" t="n">
        <f aca="false">IF(B4585&gt;=2,C4584,"")</f>
        <v>105</v>
      </c>
      <c r="E4585" s="33" t="n">
        <f aca="false">IF(B4585&gt;=5,AVERAGE(C4581:C4584),"")</f>
        <v>88</v>
      </c>
      <c r="F4585" s="33" t="str">
        <f aca="false">IF(B4585&gt;=9,AVERAGE(C4577:C4584),"")</f>
        <v/>
      </c>
      <c r="G4585" s="33" t="n">
        <f aca="false">IF(B4585=1,"",IF(B4585=2,C4584,SES_Alpha*C4584+(1-SES_Alpha)*G4584))</f>
        <v>87.232215</v>
      </c>
      <c r="H4585" s="33" t="n">
        <f aca="false">IF(D4585="","",D4585-C4585)</f>
        <v>13</v>
      </c>
      <c r="I4585" s="33" t="n">
        <f aca="false">IF(E4585="","",E4585-C4585)</f>
        <v>-4</v>
      </c>
      <c r="J4585" s="33" t="str">
        <f aca="false">IF(F4585="","",F4585-C4585)</f>
        <v/>
      </c>
      <c r="K4585" s="33" t="n">
        <f aca="false">IF(G4585="","",G4585-C4585)</f>
        <v>-4.767785</v>
      </c>
      <c r="L4585" s="33" t="n">
        <f aca="false">IF(H4585="","",ABS(H4585))</f>
        <v>13</v>
      </c>
      <c r="M4585" s="33" t="n">
        <f aca="false">IF(I4585="","",ABS(I4585))</f>
        <v>4</v>
      </c>
      <c r="N4585" s="33" t="str">
        <f aca="false">IF(J4585="","",ABS(J4585))</f>
        <v/>
      </c>
      <c r="O4585" s="33" t="n">
        <f aca="false">IF(K4585="","",ABS(K4585))</f>
        <v>4.767785</v>
      </c>
      <c r="P4585" s="34" t="str">
        <f aca="false">IF(B4585&gt;=Eval_Start_Week,"YES","")</f>
        <v/>
      </c>
      <c r="Q4585" s="34" t="str">
        <f aca="false">IF(AND(B4585&gt;=Cal_Start_Week,B4585&lt;=Cal_End_Week),"YES","")</f>
        <v/>
      </c>
    </row>
    <row r="4586" customFormat="false" ht="15" hidden="false" customHeight="false" outlineLevel="0" collapsed="false">
      <c r="A4586" s="31" t="str">
        <f aca="false">Demand_History!C4586</f>
        <v>CLN-008</v>
      </c>
      <c r="B4586" s="31" t="n">
        <f aca="false">Demand_History!A4586</f>
        <v>9</v>
      </c>
      <c r="C4586" s="32" t="n">
        <f aca="false">Demand_History!D4586</f>
        <v>88</v>
      </c>
      <c r="D4586" s="33" t="n">
        <f aca="false">IF(B4586&gt;=2,C4585,"")</f>
        <v>92</v>
      </c>
      <c r="E4586" s="33" t="n">
        <f aca="false">IF(B4586&gt;=5,AVERAGE(C4582:C4585),"")</f>
        <v>90.25</v>
      </c>
      <c r="F4586" s="33" t="n">
        <f aca="false">IF(B4586&gt;=9,AVERAGE(C4578:C4585),"")</f>
        <v>84.625</v>
      </c>
      <c r="G4586" s="33" t="n">
        <f aca="false">IF(B4586=1,"",IF(B4586=2,C4585,SES_Alpha*C4585+(1-SES_Alpha)*G4585))</f>
        <v>88.6625505</v>
      </c>
      <c r="H4586" s="33" t="n">
        <f aca="false">IF(D4586="","",D4586-C4586)</f>
        <v>4</v>
      </c>
      <c r="I4586" s="33" t="n">
        <f aca="false">IF(E4586="","",E4586-C4586)</f>
        <v>2.25</v>
      </c>
      <c r="J4586" s="33" t="n">
        <f aca="false">IF(F4586="","",F4586-C4586)</f>
        <v>-3.375</v>
      </c>
      <c r="K4586" s="33" t="n">
        <f aca="false">IF(G4586="","",G4586-C4586)</f>
        <v>0.662550499999995</v>
      </c>
      <c r="L4586" s="33" t="n">
        <f aca="false">IF(H4586="","",ABS(H4586))</f>
        <v>4</v>
      </c>
      <c r="M4586" s="33" t="n">
        <f aca="false">IF(I4586="","",ABS(I4586))</f>
        <v>2.25</v>
      </c>
      <c r="N4586" s="33" t="n">
        <f aca="false">IF(J4586="","",ABS(J4586))</f>
        <v>3.375</v>
      </c>
      <c r="O4586" s="33" t="n">
        <f aca="false">IF(K4586="","",ABS(K4586))</f>
        <v>0.662550499999995</v>
      </c>
      <c r="P4586" s="34" t="str">
        <f aca="false">IF(B4586&gt;=Eval_Start_Week,"YES","")</f>
        <v/>
      </c>
      <c r="Q4586" s="34" t="str">
        <f aca="false">IF(AND(B4586&gt;=Cal_Start_Week,B4586&lt;=Cal_End_Week),"YES","")</f>
        <v/>
      </c>
    </row>
    <row r="4587" customFormat="false" ht="15" hidden="false" customHeight="false" outlineLevel="0" collapsed="false">
      <c r="A4587" s="31" t="str">
        <f aca="false">Demand_History!C4587</f>
        <v>CLN-008</v>
      </c>
      <c r="B4587" s="31" t="n">
        <f aca="false">Demand_History!A4587</f>
        <v>10</v>
      </c>
      <c r="C4587" s="32" t="n">
        <f aca="false">Demand_History!D4587</f>
        <v>70</v>
      </c>
      <c r="D4587" s="33" t="n">
        <f aca="false">IF(B4587&gt;=2,C4586,"")</f>
        <v>88</v>
      </c>
      <c r="E4587" s="33" t="n">
        <f aca="false">IF(B4587&gt;=5,AVERAGE(C4583:C4586),"")</f>
        <v>91.25</v>
      </c>
      <c r="F4587" s="33" t="n">
        <f aca="false">IF(B4587&gt;=9,AVERAGE(C4579:C4586),"")</f>
        <v>86.25</v>
      </c>
      <c r="G4587" s="33" t="n">
        <f aca="false">IF(B4587=1,"",IF(B4587=2,C4586,SES_Alpha*C4586+(1-SES_Alpha)*G4586))</f>
        <v>88.46378535</v>
      </c>
      <c r="H4587" s="33" t="n">
        <f aca="false">IF(D4587="","",D4587-C4587)</f>
        <v>18</v>
      </c>
      <c r="I4587" s="33" t="n">
        <f aca="false">IF(E4587="","",E4587-C4587)</f>
        <v>21.25</v>
      </c>
      <c r="J4587" s="33" t="n">
        <f aca="false">IF(F4587="","",F4587-C4587)</f>
        <v>16.25</v>
      </c>
      <c r="K4587" s="33" t="n">
        <f aca="false">IF(G4587="","",G4587-C4587)</f>
        <v>18.46378535</v>
      </c>
      <c r="L4587" s="33" t="n">
        <f aca="false">IF(H4587="","",ABS(H4587))</f>
        <v>18</v>
      </c>
      <c r="M4587" s="33" t="n">
        <f aca="false">IF(I4587="","",ABS(I4587))</f>
        <v>21.25</v>
      </c>
      <c r="N4587" s="33" t="n">
        <f aca="false">IF(J4587="","",ABS(J4587))</f>
        <v>16.25</v>
      </c>
      <c r="O4587" s="33" t="n">
        <f aca="false">IF(K4587="","",ABS(K4587))</f>
        <v>18.46378535</v>
      </c>
      <c r="P4587" s="34" t="str">
        <f aca="false">IF(B4587&gt;=Eval_Start_Week,"YES","")</f>
        <v/>
      </c>
      <c r="Q4587" s="34" t="str">
        <f aca="false">IF(AND(B4587&gt;=Cal_Start_Week,B4587&lt;=Cal_End_Week),"YES","")</f>
        <v/>
      </c>
    </row>
    <row r="4588" customFormat="false" ht="15" hidden="false" customHeight="false" outlineLevel="0" collapsed="false">
      <c r="A4588" s="31" t="str">
        <f aca="false">Demand_History!C4588</f>
        <v>CLN-008</v>
      </c>
      <c r="B4588" s="31" t="n">
        <f aca="false">Demand_History!A4588</f>
        <v>11</v>
      </c>
      <c r="C4588" s="32" t="n">
        <f aca="false">Demand_History!D4588</f>
        <v>85</v>
      </c>
      <c r="D4588" s="33" t="n">
        <f aca="false">IF(B4588&gt;=2,C4587,"")</f>
        <v>70</v>
      </c>
      <c r="E4588" s="33" t="n">
        <f aca="false">IF(B4588&gt;=5,AVERAGE(C4584:C4587),"")</f>
        <v>88.75</v>
      </c>
      <c r="F4588" s="33" t="n">
        <f aca="false">IF(B4588&gt;=9,AVERAGE(C4580:C4587),"")</f>
        <v>82.5</v>
      </c>
      <c r="G4588" s="33" t="n">
        <f aca="false">IF(B4588=1,"",IF(B4588=2,C4587,SES_Alpha*C4587+(1-SES_Alpha)*G4587))</f>
        <v>82.924649745</v>
      </c>
      <c r="H4588" s="33" t="n">
        <f aca="false">IF(D4588="","",D4588-C4588)</f>
        <v>-15</v>
      </c>
      <c r="I4588" s="33" t="n">
        <f aca="false">IF(E4588="","",E4588-C4588)</f>
        <v>3.75</v>
      </c>
      <c r="J4588" s="33" t="n">
        <f aca="false">IF(F4588="","",F4588-C4588)</f>
        <v>-2.5</v>
      </c>
      <c r="K4588" s="33" t="n">
        <f aca="false">IF(G4588="","",G4588-C4588)</f>
        <v>-2.07535025500002</v>
      </c>
      <c r="L4588" s="33" t="n">
        <f aca="false">IF(H4588="","",ABS(H4588))</f>
        <v>15</v>
      </c>
      <c r="M4588" s="33" t="n">
        <f aca="false">IF(I4588="","",ABS(I4588))</f>
        <v>3.75</v>
      </c>
      <c r="N4588" s="33" t="n">
        <f aca="false">IF(J4588="","",ABS(J4588))</f>
        <v>2.5</v>
      </c>
      <c r="O4588" s="33" t="n">
        <f aca="false">IF(K4588="","",ABS(K4588))</f>
        <v>2.07535025500002</v>
      </c>
      <c r="P4588" s="34" t="str">
        <f aca="false">IF(B4588&gt;=Eval_Start_Week,"YES","")</f>
        <v/>
      </c>
      <c r="Q4588" s="34" t="str">
        <f aca="false">IF(AND(B4588&gt;=Cal_Start_Week,B4588&lt;=Cal_End_Week),"YES","")</f>
        <v/>
      </c>
    </row>
    <row r="4589" customFormat="false" ht="15" hidden="false" customHeight="false" outlineLevel="0" collapsed="false">
      <c r="A4589" s="31" t="str">
        <f aca="false">Demand_History!C4589</f>
        <v>CLN-008</v>
      </c>
      <c r="B4589" s="31" t="n">
        <f aca="false">Demand_History!A4589</f>
        <v>12</v>
      </c>
      <c r="C4589" s="32" t="n">
        <f aca="false">Demand_History!D4589</f>
        <v>76</v>
      </c>
      <c r="D4589" s="33" t="n">
        <f aca="false">IF(B4589&gt;=2,C4588,"")</f>
        <v>85</v>
      </c>
      <c r="E4589" s="33" t="n">
        <f aca="false">IF(B4589&gt;=5,AVERAGE(C4585:C4588),"")</f>
        <v>83.75</v>
      </c>
      <c r="F4589" s="33" t="n">
        <f aca="false">IF(B4589&gt;=9,AVERAGE(C4581:C4588),"")</f>
        <v>85.875</v>
      </c>
      <c r="G4589" s="33" t="n">
        <f aca="false">IF(B4589=1,"",IF(B4589=2,C4588,SES_Alpha*C4588+(1-SES_Alpha)*G4588))</f>
        <v>83.5472548215</v>
      </c>
      <c r="H4589" s="33" t="n">
        <f aca="false">IF(D4589="","",D4589-C4589)</f>
        <v>9</v>
      </c>
      <c r="I4589" s="33" t="n">
        <f aca="false">IF(E4589="","",E4589-C4589)</f>
        <v>7.75</v>
      </c>
      <c r="J4589" s="33" t="n">
        <f aca="false">IF(F4589="","",F4589-C4589)</f>
        <v>9.875</v>
      </c>
      <c r="K4589" s="33" t="n">
        <f aca="false">IF(G4589="","",G4589-C4589)</f>
        <v>7.54725482149999</v>
      </c>
      <c r="L4589" s="33" t="n">
        <f aca="false">IF(H4589="","",ABS(H4589))</f>
        <v>9</v>
      </c>
      <c r="M4589" s="33" t="n">
        <f aca="false">IF(I4589="","",ABS(I4589))</f>
        <v>7.75</v>
      </c>
      <c r="N4589" s="33" t="n">
        <f aca="false">IF(J4589="","",ABS(J4589))</f>
        <v>9.875</v>
      </c>
      <c r="O4589" s="33" t="n">
        <f aca="false">IF(K4589="","",ABS(K4589))</f>
        <v>7.54725482149999</v>
      </c>
      <c r="P4589" s="34" t="str">
        <f aca="false">IF(B4589&gt;=Eval_Start_Week,"YES","")</f>
        <v/>
      </c>
      <c r="Q4589" s="34" t="str">
        <f aca="false">IF(AND(B4589&gt;=Cal_Start_Week,B4589&lt;=Cal_End_Week),"YES","")</f>
        <v/>
      </c>
    </row>
    <row r="4590" customFormat="false" ht="15" hidden="false" customHeight="false" outlineLevel="0" collapsed="false">
      <c r="A4590" s="31" t="str">
        <f aca="false">Demand_History!C4590</f>
        <v>CLN-008</v>
      </c>
      <c r="B4590" s="31" t="n">
        <f aca="false">Demand_History!A4590</f>
        <v>13</v>
      </c>
      <c r="C4590" s="32" t="n">
        <f aca="false">Demand_History!D4590</f>
        <v>80</v>
      </c>
      <c r="D4590" s="33" t="n">
        <f aca="false">IF(B4590&gt;=2,C4589,"")</f>
        <v>76</v>
      </c>
      <c r="E4590" s="33" t="n">
        <f aca="false">IF(B4590&gt;=5,AVERAGE(C4586:C4589),"")</f>
        <v>79.75</v>
      </c>
      <c r="F4590" s="33" t="n">
        <f aca="false">IF(B4590&gt;=9,AVERAGE(C4582:C4589),"")</f>
        <v>85</v>
      </c>
      <c r="G4590" s="33" t="n">
        <f aca="false">IF(B4590=1,"",IF(B4590=2,C4589,SES_Alpha*C4589+(1-SES_Alpha)*G4589))</f>
        <v>81.28307837505</v>
      </c>
      <c r="H4590" s="33" t="n">
        <f aca="false">IF(D4590="","",D4590-C4590)</f>
        <v>-4</v>
      </c>
      <c r="I4590" s="33" t="n">
        <f aca="false">IF(E4590="","",E4590-C4590)</f>
        <v>-0.25</v>
      </c>
      <c r="J4590" s="33" t="n">
        <f aca="false">IF(F4590="","",F4590-C4590)</f>
        <v>5</v>
      </c>
      <c r="K4590" s="33" t="n">
        <f aca="false">IF(G4590="","",G4590-C4590)</f>
        <v>1.28307837505</v>
      </c>
      <c r="L4590" s="33" t="n">
        <f aca="false">IF(H4590="","",ABS(H4590))</f>
        <v>4</v>
      </c>
      <c r="M4590" s="33" t="n">
        <f aca="false">IF(I4590="","",ABS(I4590))</f>
        <v>0.25</v>
      </c>
      <c r="N4590" s="33" t="n">
        <f aca="false">IF(J4590="","",ABS(J4590))</f>
        <v>5</v>
      </c>
      <c r="O4590" s="33" t="n">
        <f aca="false">IF(K4590="","",ABS(K4590))</f>
        <v>1.28307837505</v>
      </c>
      <c r="P4590" s="34" t="str">
        <f aca="false">IF(B4590&gt;=Eval_Start_Week,"YES","")</f>
        <v/>
      </c>
      <c r="Q4590" s="34" t="str">
        <f aca="false">IF(AND(B4590&gt;=Cal_Start_Week,B4590&lt;=Cal_End_Week),"YES","")</f>
        <v/>
      </c>
    </row>
    <row r="4591" customFormat="false" ht="15" hidden="false" customHeight="false" outlineLevel="0" collapsed="false">
      <c r="A4591" s="31" t="str">
        <f aca="false">Demand_History!C4591</f>
        <v>CLN-008</v>
      </c>
      <c r="B4591" s="31" t="n">
        <f aca="false">Demand_History!A4591</f>
        <v>14</v>
      </c>
      <c r="C4591" s="32" t="n">
        <f aca="false">Demand_History!D4591</f>
        <v>82</v>
      </c>
      <c r="D4591" s="33" t="n">
        <f aca="false">IF(B4591&gt;=2,C4590,"")</f>
        <v>80</v>
      </c>
      <c r="E4591" s="33" t="n">
        <f aca="false">IF(B4591&gt;=5,AVERAGE(C4587:C4590),"")</f>
        <v>77.75</v>
      </c>
      <c r="F4591" s="33" t="n">
        <f aca="false">IF(B4591&gt;=9,AVERAGE(C4583:C4590),"")</f>
        <v>84.5</v>
      </c>
      <c r="G4591" s="33" t="n">
        <f aca="false">IF(B4591=1,"",IF(B4591=2,C4590,SES_Alpha*C4590+(1-SES_Alpha)*G4590))</f>
        <v>80.898154862535</v>
      </c>
      <c r="H4591" s="33" t="n">
        <f aca="false">IF(D4591="","",D4591-C4591)</f>
        <v>-2</v>
      </c>
      <c r="I4591" s="33" t="n">
        <f aca="false">IF(E4591="","",E4591-C4591)</f>
        <v>-4.25</v>
      </c>
      <c r="J4591" s="33" t="n">
        <f aca="false">IF(F4591="","",F4591-C4591)</f>
        <v>2.5</v>
      </c>
      <c r="K4591" s="33" t="n">
        <f aca="false">IF(G4591="","",G4591-C4591)</f>
        <v>-1.10184513746501</v>
      </c>
      <c r="L4591" s="33" t="n">
        <f aca="false">IF(H4591="","",ABS(H4591))</f>
        <v>2</v>
      </c>
      <c r="M4591" s="33" t="n">
        <f aca="false">IF(I4591="","",ABS(I4591))</f>
        <v>4.25</v>
      </c>
      <c r="N4591" s="33" t="n">
        <f aca="false">IF(J4591="","",ABS(J4591))</f>
        <v>2.5</v>
      </c>
      <c r="O4591" s="33" t="n">
        <f aca="false">IF(K4591="","",ABS(K4591))</f>
        <v>1.10184513746501</v>
      </c>
      <c r="P4591" s="34" t="str">
        <f aca="false">IF(B4591&gt;=Eval_Start_Week,"YES","")</f>
        <v/>
      </c>
      <c r="Q4591" s="34" t="str">
        <f aca="false">IF(AND(B4591&gt;=Cal_Start_Week,B4591&lt;=Cal_End_Week),"YES","")</f>
        <v/>
      </c>
    </row>
    <row r="4592" customFormat="false" ht="15" hidden="false" customHeight="false" outlineLevel="0" collapsed="false">
      <c r="A4592" s="31" t="str">
        <f aca="false">Demand_History!C4592</f>
        <v>CLN-008</v>
      </c>
      <c r="B4592" s="31" t="n">
        <f aca="false">Demand_History!A4592</f>
        <v>15</v>
      </c>
      <c r="C4592" s="32" t="n">
        <f aca="false">Demand_History!D4592</f>
        <v>75</v>
      </c>
      <c r="D4592" s="33" t="n">
        <f aca="false">IF(B4592&gt;=2,C4591,"")</f>
        <v>82</v>
      </c>
      <c r="E4592" s="33" t="n">
        <f aca="false">IF(B4592&gt;=5,AVERAGE(C4588:C4591),"")</f>
        <v>80.75</v>
      </c>
      <c r="F4592" s="33" t="n">
        <f aca="false">IF(B4592&gt;=9,AVERAGE(C4584:C4591),"")</f>
        <v>84.75</v>
      </c>
      <c r="G4592" s="33" t="n">
        <f aca="false">IF(B4592=1,"",IF(B4592=2,C4591,SES_Alpha*C4591+(1-SES_Alpha)*G4591))</f>
        <v>81.2287084037745</v>
      </c>
      <c r="H4592" s="33" t="n">
        <f aca="false">IF(D4592="","",D4592-C4592)</f>
        <v>7</v>
      </c>
      <c r="I4592" s="33" t="n">
        <f aca="false">IF(E4592="","",E4592-C4592)</f>
        <v>5.75</v>
      </c>
      <c r="J4592" s="33" t="n">
        <f aca="false">IF(F4592="","",F4592-C4592)</f>
        <v>9.75</v>
      </c>
      <c r="K4592" s="33" t="n">
        <f aca="false">IF(G4592="","",G4592-C4592)</f>
        <v>6.22870840377449</v>
      </c>
      <c r="L4592" s="33" t="n">
        <f aca="false">IF(H4592="","",ABS(H4592))</f>
        <v>7</v>
      </c>
      <c r="M4592" s="33" t="n">
        <f aca="false">IF(I4592="","",ABS(I4592))</f>
        <v>5.75</v>
      </c>
      <c r="N4592" s="33" t="n">
        <f aca="false">IF(J4592="","",ABS(J4592))</f>
        <v>9.75</v>
      </c>
      <c r="O4592" s="33" t="n">
        <f aca="false">IF(K4592="","",ABS(K4592))</f>
        <v>6.22870840377449</v>
      </c>
      <c r="P4592" s="34" t="str">
        <f aca="false">IF(B4592&gt;=Eval_Start_Week,"YES","")</f>
        <v/>
      </c>
      <c r="Q4592" s="34" t="str">
        <f aca="false">IF(AND(B4592&gt;=Cal_Start_Week,B4592&lt;=Cal_End_Week),"YES","")</f>
        <v/>
      </c>
    </row>
    <row r="4593" customFormat="false" ht="15" hidden="false" customHeight="false" outlineLevel="0" collapsed="false">
      <c r="A4593" s="31" t="str">
        <f aca="false">Demand_History!C4593</f>
        <v>CLN-008</v>
      </c>
      <c r="B4593" s="31" t="n">
        <f aca="false">Demand_History!A4593</f>
        <v>16</v>
      </c>
      <c r="C4593" s="32" t="n">
        <f aca="false">Demand_History!D4593</f>
        <v>86</v>
      </c>
      <c r="D4593" s="33" t="n">
        <f aca="false">IF(B4593&gt;=2,C4592,"")</f>
        <v>75</v>
      </c>
      <c r="E4593" s="33" t="n">
        <f aca="false">IF(B4593&gt;=5,AVERAGE(C4589:C4592),"")</f>
        <v>78.25</v>
      </c>
      <c r="F4593" s="33" t="n">
        <f aca="false">IF(B4593&gt;=9,AVERAGE(C4585:C4592),"")</f>
        <v>81</v>
      </c>
      <c r="G4593" s="33" t="n">
        <f aca="false">IF(B4593=1,"",IF(B4593=2,C4592,SES_Alpha*C4592+(1-SES_Alpha)*G4592))</f>
        <v>79.3600958826421</v>
      </c>
      <c r="H4593" s="33" t="n">
        <f aca="false">IF(D4593="","",D4593-C4593)</f>
        <v>-11</v>
      </c>
      <c r="I4593" s="33" t="n">
        <f aca="false">IF(E4593="","",E4593-C4593)</f>
        <v>-7.75</v>
      </c>
      <c r="J4593" s="33" t="n">
        <f aca="false">IF(F4593="","",F4593-C4593)</f>
        <v>-5</v>
      </c>
      <c r="K4593" s="33" t="n">
        <f aca="false">IF(G4593="","",G4593-C4593)</f>
        <v>-6.63990411735786</v>
      </c>
      <c r="L4593" s="33" t="n">
        <f aca="false">IF(H4593="","",ABS(H4593))</f>
        <v>11</v>
      </c>
      <c r="M4593" s="33" t="n">
        <f aca="false">IF(I4593="","",ABS(I4593))</f>
        <v>7.75</v>
      </c>
      <c r="N4593" s="33" t="n">
        <f aca="false">IF(J4593="","",ABS(J4593))</f>
        <v>5</v>
      </c>
      <c r="O4593" s="33" t="n">
        <f aca="false">IF(K4593="","",ABS(K4593))</f>
        <v>6.63990411735786</v>
      </c>
      <c r="P4593" s="34" t="str">
        <f aca="false">IF(B4593&gt;=Eval_Start_Week,"YES","")</f>
        <v/>
      </c>
      <c r="Q4593" s="34" t="str">
        <f aca="false">IF(AND(B4593&gt;=Cal_Start_Week,B4593&lt;=Cal_End_Week),"YES","")</f>
        <v/>
      </c>
    </row>
    <row r="4594" customFormat="false" ht="15" hidden="false" customHeight="false" outlineLevel="0" collapsed="false">
      <c r="A4594" s="31" t="str">
        <f aca="false">Demand_History!C4594</f>
        <v>CLN-008</v>
      </c>
      <c r="B4594" s="31" t="n">
        <f aca="false">Demand_History!A4594</f>
        <v>17</v>
      </c>
      <c r="C4594" s="32" t="n">
        <f aca="false">Demand_History!D4594</f>
        <v>97</v>
      </c>
      <c r="D4594" s="33" t="n">
        <f aca="false">IF(B4594&gt;=2,C4593,"")</f>
        <v>86</v>
      </c>
      <c r="E4594" s="33" t="n">
        <f aca="false">IF(B4594&gt;=5,AVERAGE(C4590:C4593),"")</f>
        <v>80.75</v>
      </c>
      <c r="F4594" s="33" t="n">
        <f aca="false">IF(B4594&gt;=9,AVERAGE(C4586:C4593),"")</f>
        <v>80.25</v>
      </c>
      <c r="G4594" s="33" t="n">
        <f aca="false">IF(B4594=1,"",IF(B4594=2,C4593,SES_Alpha*C4593+(1-SES_Alpha)*G4593))</f>
        <v>81.3520671178495</v>
      </c>
      <c r="H4594" s="33" t="n">
        <f aca="false">IF(D4594="","",D4594-C4594)</f>
        <v>-11</v>
      </c>
      <c r="I4594" s="33" t="n">
        <f aca="false">IF(E4594="","",E4594-C4594)</f>
        <v>-16.25</v>
      </c>
      <c r="J4594" s="33" t="n">
        <f aca="false">IF(F4594="","",F4594-C4594)</f>
        <v>-16.75</v>
      </c>
      <c r="K4594" s="33" t="n">
        <f aca="false">IF(G4594="","",G4594-C4594)</f>
        <v>-15.6479328821505</v>
      </c>
      <c r="L4594" s="33" t="n">
        <f aca="false">IF(H4594="","",ABS(H4594))</f>
        <v>11</v>
      </c>
      <c r="M4594" s="33" t="n">
        <f aca="false">IF(I4594="","",ABS(I4594))</f>
        <v>16.25</v>
      </c>
      <c r="N4594" s="33" t="n">
        <f aca="false">IF(J4594="","",ABS(J4594))</f>
        <v>16.75</v>
      </c>
      <c r="O4594" s="33" t="n">
        <f aca="false">IF(K4594="","",ABS(K4594))</f>
        <v>15.6479328821505</v>
      </c>
      <c r="P4594" s="34" t="str">
        <f aca="false">IF(B4594&gt;=Eval_Start_Week,"YES","")</f>
        <v/>
      </c>
      <c r="Q4594" s="34" t="str">
        <f aca="false">IF(AND(B4594&gt;=Cal_Start_Week,B4594&lt;=Cal_End_Week),"YES","")</f>
        <v/>
      </c>
    </row>
    <row r="4595" customFormat="false" ht="15" hidden="false" customHeight="false" outlineLevel="0" collapsed="false">
      <c r="A4595" s="31" t="str">
        <f aca="false">Demand_History!C4595</f>
        <v>CLN-008</v>
      </c>
      <c r="B4595" s="31" t="n">
        <f aca="false">Demand_History!A4595</f>
        <v>18</v>
      </c>
      <c r="C4595" s="32" t="n">
        <f aca="false">Demand_History!D4595</f>
        <v>91</v>
      </c>
      <c r="D4595" s="33" t="n">
        <f aca="false">IF(B4595&gt;=2,C4594,"")</f>
        <v>97</v>
      </c>
      <c r="E4595" s="33" t="n">
        <f aca="false">IF(B4595&gt;=5,AVERAGE(C4591:C4594),"")</f>
        <v>85</v>
      </c>
      <c r="F4595" s="33" t="n">
        <f aca="false">IF(B4595&gt;=9,AVERAGE(C4587:C4594),"")</f>
        <v>81.375</v>
      </c>
      <c r="G4595" s="33" t="n">
        <f aca="false">IF(B4595=1,"",IF(B4595=2,C4594,SES_Alpha*C4594+(1-SES_Alpha)*G4594))</f>
        <v>86.0464469824946</v>
      </c>
      <c r="H4595" s="33" t="n">
        <f aca="false">IF(D4595="","",D4595-C4595)</f>
        <v>6</v>
      </c>
      <c r="I4595" s="33" t="n">
        <f aca="false">IF(E4595="","",E4595-C4595)</f>
        <v>-6</v>
      </c>
      <c r="J4595" s="33" t="n">
        <f aca="false">IF(F4595="","",F4595-C4595)</f>
        <v>-9.625</v>
      </c>
      <c r="K4595" s="33" t="n">
        <f aca="false">IF(G4595="","",G4595-C4595)</f>
        <v>-4.95355301750536</v>
      </c>
      <c r="L4595" s="33" t="n">
        <f aca="false">IF(H4595="","",ABS(H4595))</f>
        <v>6</v>
      </c>
      <c r="M4595" s="33" t="n">
        <f aca="false">IF(I4595="","",ABS(I4595))</f>
        <v>6</v>
      </c>
      <c r="N4595" s="33" t="n">
        <f aca="false">IF(J4595="","",ABS(J4595))</f>
        <v>9.625</v>
      </c>
      <c r="O4595" s="33" t="n">
        <f aca="false">IF(K4595="","",ABS(K4595))</f>
        <v>4.95355301750536</v>
      </c>
      <c r="P4595" s="34" t="str">
        <f aca="false">IF(B4595&gt;=Eval_Start_Week,"YES","")</f>
        <v/>
      </c>
      <c r="Q4595" s="34" t="str">
        <f aca="false">IF(AND(B4595&gt;=Cal_Start_Week,B4595&lt;=Cal_End_Week),"YES","")</f>
        <v/>
      </c>
    </row>
    <row r="4596" customFormat="false" ht="15" hidden="false" customHeight="false" outlineLevel="0" collapsed="false">
      <c r="A4596" s="31" t="str">
        <f aca="false">Demand_History!C4596</f>
        <v>CLN-008</v>
      </c>
      <c r="B4596" s="31" t="n">
        <f aca="false">Demand_History!A4596</f>
        <v>19</v>
      </c>
      <c r="C4596" s="32" t="n">
        <f aca="false">Demand_History!D4596</f>
        <v>82</v>
      </c>
      <c r="D4596" s="33" t="n">
        <f aca="false">IF(B4596&gt;=2,C4595,"")</f>
        <v>91</v>
      </c>
      <c r="E4596" s="33" t="n">
        <f aca="false">IF(B4596&gt;=5,AVERAGE(C4592:C4595),"")</f>
        <v>87.25</v>
      </c>
      <c r="F4596" s="33" t="n">
        <f aca="false">IF(B4596&gt;=9,AVERAGE(C4588:C4595),"")</f>
        <v>84</v>
      </c>
      <c r="G4596" s="33" t="n">
        <f aca="false">IF(B4596=1,"",IF(B4596=2,C4595,SES_Alpha*C4595+(1-SES_Alpha)*G4595))</f>
        <v>87.5325128877463</v>
      </c>
      <c r="H4596" s="33" t="n">
        <f aca="false">IF(D4596="","",D4596-C4596)</f>
        <v>9</v>
      </c>
      <c r="I4596" s="33" t="n">
        <f aca="false">IF(E4596="","",E4596-C4596)</f>
        <v>5.25</v>
      </c>
      <c r="J4596" s="33" t="n">
        <f aca="false">IF(F4596="","",F4596-C4596)</f>
        <v>2</v>
      </c>
      <c r="K4596" s="33" t="n">
        <f aca="false">IF(G4596="","",G4596-C4596)</f>
        <v>5.53251288774625</v>
      </c>
      <c r="L4596" s="33" t="n">
        <f aca="false">IF(H4596="","",ABS(H4596))</f>
        <v>9</v>
      </c>
      <c r="M4596" s="33" t="n">
        <f aca="false">IF(I4596="","",ABS(I4596))</f>
        <v>5.25</v>
      </c>
      <c r="N4596" s="33" t="n">
        <f aca="false">IF(J4596="","",ABS(J4596))</f>
        <v>2</v>
      </c>
      <c r="O4596" s="33" t="n">
        <f aca="false">IF(K4596="","",ABS(K4596))</f>
        <v>5.53251288774625</v>
      </c>
      <c r="P4596" s="34" t="str">
        <f aca="false">IF(B4596&gt;=Eval_Start_Week,"YES","")</f>
        <v/>
      </c>
      <c r="Q4596" s="34" t="str">
        <f aca="false">IF(AND(B4596&gt;=Cal_Start_Week,B4596&lt;=Cal_End_Week),"YES","")</f>
        <v/>
      </c>
    </row>
    <row r="4597" customFormat="false" ht="15" hidden="false" customHeight="false" outlineLevel="0" collapsed="false">
      <c r="A4597" s="31" t="str">
        <f aca="false">Demand_History!C4597</f>
        <v>CLN-008</v>
      </c>
      <c r="B4597" s="31" t="n">
        <f aca="false">Demand_History!A4597</f>
        <v>20</v>
      </c>
      <c r="C4597" s="32" t="n">
        <f aca="false">Demand_History!D4597</f>
        <v>59</v>
      </c>
      <c r="D4597" s="33" t="n">
        <f aca="false">IF(B4597&gt;=2,C4596,"")</f>
        <v>82</v>
      </c>
      <c r="E4597" s="33" t="n">
        <f aca="false">IF(B4597&gt;=5,AVERAGE(C4593:C4596),"")</f>
        <v>89</v>
      </c>
      <c r="F4597" s="33" t="n">
        <f aca="false">IF(B4597&gt;=9,AVERAGE(C4589:C4596),"")</f>
        <v>83.625</v>
      </c>
      <c r="G4597" s="33" t="n">
        <f aca="false">IF(B4597=1,"",IF(B4597=2,C4596,SES_Alpha*C4596+(1-SES_Alpha)*G4596))</f>
        <v>85.8727590214224</v>
      </c>
      <c r="H4597" s="33" t="n">
        <f aca="false">IF(D4597="","",D4597-C4597)</f>
        <v>23</v>
      </c>
      <c r="I4597" s="33" t="n">
        <f aca="false">IF(E4597="","",E4597-C4597)</f>
        <v>30</v>
      </c>
      <c r="J4597" s="33" t="n">
        <f aca="false">IF(F4597="","",F4597-C4597)</f>
        <v>24.625</v>
      </c>
      <c r="K4597" s="33" t="n">
        <f aca="false">IF(G4597="","",G4597-C4597)</f>
        <v>26.8727590214224</v>
      </c>
      <c r="L4597" s="33" t="n">
        <f aca="false">IF(H4597="","",ABS(H4597))</f>
        <v>23</v>
      </c>
      <c r="M4597" s="33" t="n">
        <f aca="false">IF(I4597="","",ABS(I4597))</f>
        <v>30</v>
      </c>
      <c r="N4597" s="33" t="n">
        <f aca="false">IF(J4597="","",ABS(J4597))</f>
        <v>24.625</v>
      </c>
      <c r="O4597" s="33" t="n">
        <f aca="false">IF(K4597="","",ABS(K4597))</f>
        <v>26.8727590214224</v>
      </c>
      <c r="P4597" s="34" t="str">
        <f aca="false">IF(B4597&gt;=Eval_Start_Week,"YES","")</f>
        <v/>
      </c>
      <c r="Q4597" s="34" t="str">
        <f aca="false">IF(AND(B4597&gt;=Cal_Start_Week,B4597&lt;=Cal_End_Week),"YES","")</f>
        <v/>
      </c>
    </row>
    <row r="4598" customFormat="false" ht="15" hidden="false" customHeight="false" outlineLevel="0" collapsed="false">
      <c r="A4598" s="31" t="str">
        <f aca="false">Demand_History!C4598</f>
        <v>CLN-008</v>
      </c>
      <c r="B4598" s="31" t="n">
        <f aca="false">Demand_History!A4598</f>
        <v>21</v>
      </c>
      <c r="C4598" s="32" t="n">
        <f aca="false">Demand_History!D4598</f>
        <v>91</v>
      </c>
      <c r="D4598" s="33" t="n">
        <f aca="false">IF(B4598&gt;=2,C4597,"")</f>
        <v>59</v>
      </c>
      <c r="E4598" s="33" t="n">
        <f aca="false">IF(B4598&gt;=5,AVERAGE(C4594:C4597),"")</f>
        <v>82.25</v>
      </c>
      <c r="F4598" s="33" t="n">
        <f aca="false">IF(B4598&gt;=9,AVERAGE(C4590:C4597),"")</f>
        <v>81.5</v>
      </c>
      <c r="G4598" s="33" t="n">
        <f aca="false">IF(B4598=1,"",IF(B4598=2,C4597,SES_Alpha*C4597+(1-SES_Alpha)*G4597))</f>
        <v>77.8109313149957</v>
      </c>
      <c r="H4598" s="33" t="n">
        <f aca="false">IF(D4598="","",D4598-C4598)</f>
        <v>-32</v>
      </c>
      <c r="I4598" s="33" t="n">
        <f aca="false">IF(E4598="","",E4598-C4598)</f>
        <v>-8.75</v>
      </c>
      <c r="J4598" s="33" t="n">
        <f aca="false">IF(F4598="","",F4598-C4598)</f>
        <v>-9.5</v>
      </c>
      <c r="K4598" s="33" t="n">
        <f aca="false">IF(G4598="","",G4598-C4598)</f>
        <v>-13.1890686850043</v>
      </c>
      <c r="L4598" s="33" t="n">
        <f aca="false">IF(H4598="","",ABS(H4598))</f>
        <v>32</v>
      </c>
      <c r="M4598" s="33" t="n">
        <f aca="false">IF(I4598="","",ABS(I4598))</f>
        <v>8.75</v>
      </c>
      <c r="N4598" s="33" t="n">
        <f aca="false">IF(J4598="","",ABS(J4598))</f>
        <v>9.5</v>
      </c>
      <c r="O4598" s="33" t="n">
        <f aca="false">IF(K4598="","",ABS(K4598))</f>
        <v>13.1890686850043</v>
      </c>
      <c r="P4598" s="34" t="str">
        <f aca="false">IF(B4598&gt;=Eval_Start_Week,"YES","")</f>
        <v/>
      </c>
      <c r="Q4598" s="34" t="str">
        <f aca="false">IF(AND(B4598&gt;=Cal_Start_Week,B4598&lt;=Cal_End_Week),"YES","")</f>
        <v/>
      </c>
    </row>
    <row r="4599" customFormat="false" ht="15" hidden="false" customHeight="false" outlineLevel="0" collapsed="false">
      <c r="A4599" s="31" t="str">
        <f aca="false">Demand_History!C4599</f>
        <v>CLN-008</v>
      </c>
      <c r="B4599" s="31" t="n">
        <f aca="false">Demand_History!A4599</f>
        <v>22</v>
      </c>
      <c r="C4599" s="32" t="n">
        <f aca="false">Demand_History!D4599</f>
        <v>91</v>
      </c>
      <c r="D4599" s="33" t="n">
        <f aca="false">IF(B4599&gt;=2,C4598,"")</f>
        <v>91</v>
      </c>
      <c r="E4599" s="33" t="n">
        <f aca="false">IF(B4599&gt;=5,AVERAGE(C4595:C4598),"")</f>
        <v>80.75</v>
      </c>
      <c r="F4599" s="33" t="n">
        <f aca="false">IF(B4599&gt;=9,AVERAGE(C4591:C4598),"")</f>
        <v>82.875</v>
      </c>
      <c r="G4599" s="33" t="n">
        <f aca="false">IF(B4599=1,"",IF(B4599=2,C4598,SES_Alpha*C4598+(1-SES_Alpha)*G4598))</f>
        <v>81.767651920497</v>
      </c>
      <c r="H4599" s="33" t="n">
        <f aca="false">IF(D4599="","",D4599-C4599)</f>
        <v>0</v>
      </c>
      <c r="I4599" s="33" t="n">
        <f aca="false">IF(E4599="","",E4599-C4599)</f>
        <v>-10.25</v>
      </c>
      <c r="J4599" s="33" t="n">
        <f aca="false">IF(F4599="","",F4599-C4599)</f>
        <v>-8.125</v>
      </c>
      <c r="K4599" s="33" t="n">
        <f aca="false">IF(G4599="","",G4599-C4599)</f>
        <v>-9.23234807950304</v>
      </c>
      <c r="L4599" s="33" t="n">
        <f aca="false">IF(H4599="","",ABS(H4599))</f>
        <v>0</v>
      </c>
      <c r="M4599" s="33" t="n">
        <f aca="false">IF(I4599="","",ABS(I4599))</f>
        <v>10.25</v>
      </c>
      <c r="N4599" s="33" t="n">
        <f aca="false">IF(J4599="","",ABS(J4599))</f>
        <v>8.125</v>
      </c>
      <c r="O4599" s="33" t="n">
        <f aca="false">IF(K4599="","",ABS(K4599))</f>
        <v>9.23234807950304</v>
      </c>
      <c r="P4599" s="34" t="str">
        <f aca="false">IF(B4599&gt;=Eval_Start_Week,"YES","")</f>
        <v/>
      </c>
      <c r="Q4599" s="34" t="str">
        <f aca="false">IF(AND(B4599&gt;=Cal_Start_Week,B4599&lt;=Cal_End_Week),"YES","")</f>
        <v/>
      </c>
    </row>
    <row r="4600" customFormat="false" ht="15" hidden="false" customHeight="false" outlineLevel="0" collapsed="false">
      <c r="A4600" s="31" t="str">
        <f aca="false">Demand_History!C4600</f>
        <v>CLN-008</v>
      </c>
      <c r="B4600" s="31" t="n">
        <f aca="false">Demand_History!A4600</f>
        <v>23</v>
      </c>
      <c r="C4600" s="32" t="n">
        <f aca="false">Demand_History!D4600</f>
        <v>78</v>
      </c>
      <c r="D4600" s="33" t="n">
        <f aca="false">IF(B4600&gt;=2,C4599,"")</f>
        <v>91</v>
      </c>
      <c r="E4600" s="33" t="n">
        <f aca="false">IF(B4600&gt;=5,AVERAGE(C4596:C4599),"")</f>
        <v>80.75</v>
      </c>
      <c r="F4600" s="33" t="n">
        <f aca="false">IF(B4600&gt;=9,AVERAGE(C4592:C4599),"")</f>
        <v>84</v>
      </c>
      <c r="G4600" s="33" t="n">
        <f aca="false">IF(B4600=1,"",IF(B4600=2,C4599,SES_Alpha*C4599+(1-SES_Alpha)*G4599))</f>
        <v>84.5373563443479</v>
      </c>
      <c r="H4600" s="33" t="n">
        <f aca="false">IF(D4600="","",D4600-C4600)</f>
        <v>13</v>
      </c>
      <c r="I4600" s="33" t="n">
        <f aca="false">IF(E4600="","",E4600-C4600)</f>
        <v>2.75</v>
      </c>
      <c r="J4600" s="33" t="n">
        <f aca="false">IF(F4600="","",F4600-C4600)</f>
        <v>6</v>
      </c>
      <c r="K4600" s="33" t="n">
        <f aca="false">IF(G4600="","",G4600-C4600)</f>
        <v>6.53735634434787</v>
      </c>
      <c r="L4600" s="33" t="n">
        <f aca="false">IF(H4600="","",ABS(H4600))</f>
        <v>13</v>
      </c>
      <c r="M4600" s="33" t="n">
        <f aca="false">IF(I4600="","",ABS(I4600))</f>
        <v>2.75</v>
      </c>
      <c r="N4600" s="33" t="n">
        <f aca="false">IF(J4600="","",ABS(J4600))</f>
        <v>6</v>
      </c>
      <c r="O4600" s="33" t="n">
        <f aca="false">IF(K4600="","",ABS(K4600))</f>
        <v>6.53735634434787</v>
      </c>
      <c r="P4600" s="34" t="str">
        <f aca="false">IF(B4600&gt;=Eval_Start_Week,"YES","")</f>
        <v/>
      </c>
      <c r="Q4600" s="34" t="str">
        <f aca="false">IF(AND(B4600&gt;=Cal_Start_Week,B4600&lt;=Cal_End_Week),"YES","")</f>
        <v/>
      </c>
    </row>
    <row r="4601" customFormat="false" ht="15" hidden="false" customHeight="false" outlineLevel="0" collapsed="false">
      <c r="A4601" s="31" t="str">
        <f aca="false">Demand_History!C4601</f>
        <v>CLN-008</v>
      </c>
      <c r="B4601" s="31" t="n">
        <f aca="false">Demand_History!A4601</f>
        <v>24</v>
      </c>
      <c r="C4601" s="32" t="n">
        <f aca="false">Demand_History!D4601</f>
        <v>75</v>
      </c>
      <c r="D4601" s="33" t="n">
        <f aca="false">IF(B4601&gt;=2,C4600,"")</f>
        <v>78</v>
      </c>
      <c r="E4601" s="33" t="n">
        <f aca="false">IF(B4601&gt;=5,AVERAGE(C4597:C4600),"")</f>
        <v>79.75</v>
      </c>
      <c r="F4601" s="33" t="n">
        <f aca="false">IF(B4601&gt;=9,AVERAGE(C4593:C4600),"")</f>
        <v>84.375</v>
      </c>
      <c r="G4601" s="33" t="n">
        <f aca="false">IF(B4601=1,"",IF(B4601=2,C4600,SES_Alpha*C4600+(1-SES_Alpha)*G4600))</f>
        <v>82.5761494410435</v>
      </c>
      <c r="H4601" s="33" t="n">
        <f aca="false">IF(D4601="","",D4601-C4601)</f>
        <v>3</v>
      </c>
      <c r="I4601" s="33" t="n">
        <f aca="false">IF(E4601="","",E4601-C4601)</f>
        <v>4.75</v>
      </c>
      <c r="J4601" s="33" t="n">
        <f aca="false">IF(F4601="","",F4601-C4601)</f>
        <v>9.375</v>
      </c>
      <c r="K4601" s="33" t="n">
        <f aca="false">IF(G4601="","",G4601-C4601)</f>
        <v>7.5761494410435</v>
      </c>
      <c r="L4601" s="33" t="n">
        <f aca="false">IF(H4601="","",ABS(H4601))</f>
        <v>3</v>
      </c>
      <c r="M4601" s="33" t="n">
        <f aca="false">IF(I4601="","",ABS(I4601))</f>
        <v>4.75</v>
      </c>
      <c r="N4601" s="33" t="n">
        <f aca="false">IF(J4601="","",ABS(J4601))</f>
        <v>9.375</v>
      </c>
      <c r="O4601" s="33" t="n">
        <f aca="false">IF(K4601="","",ABS(K4601))</f>
        <v>7.5761494410435</v>
      </c>
      <c r="P4601" s="34" t="str">
        <f aca="false">IF(B4601&gt;=Eval_Start_Week,"YES","")</f>
        <v/>
      </c>
      <c r="Q4601" s="34" t="str">
        <f aca="false">IF(AND(B4601&gt;=Cal_Start_Week,B4601&lt;=Cal_End_Week),"YES","")</f>
        <v/>
      </c>
    </row>
    <row r="4602" customFormat="false" ht="15" hidden="false" customHeight="false" outlineLevel="0" collapsed="false">
      <c r="A4602" s="31" t="str">
        <f aca="false">Demand_History!C4602</f>
        <v>CLN-008</v>
      </c>
      <c r="B4602" s="31" t="n">
        <f aca="false">Demand_History!A4602</f>
        <v>25</v>
      </c>
      <c r="C4602" s="32" t="n">
        <f aca="false">Demand_History!D4602</f>
        <v>87</v>
      </c>
      <c r="D4602" s="33" t="n">
        <f aca="false">IF(B4602&gt;=2,C4601,"")</f>
        <v>75</v>
      </c>
      <c r="E4602" s="33" t="n">
        <f aca="false">IF(B4602&gt;=5,AVERAGE(C4598:C4601),"")</f>
        <v>83.75</v>
      </c>
      <c r="F4602" s="33" t="n">
        <f aca="false">IF(B4602&gt;=9,AVERAGE(C4594:C4601),"")</f>
        <v>83</v>
      </c>
      <c r="G4602" s="33" t="n">
        <f aca="false">IF(B4602=1,"",IF(B4602=2,C4601,SES_Alpha*C4601+(1-SES_Alpha)*G4601))</f>
        <v>80.3033046087304</v>
      </c>
      <c r="H4602" s="33" t="n">
        <f aca="false">IF(D4602="","",D4602-C4602)</f>
        <v>-12</v>
      </c>
      <c r="I4602" s="33" t="n">
        <f aca="false">IF(E4602="","",E4602-C4602)</f>
        <v>-3.25</v>
      </c>
      <c r="J4602" s="33" t="n">
        <f aca="false">IF(F4602="","",F4602-C4602)</f>
        <v>-4</v>
      </c>
      <c r="K4602" s="33" t="n">
        <f aca="false">IF(G4602="","",G4602-C4602)</f>
        <v>-6.69669539126956</v>
      </c>
      <c r="L4602" s="33" t="n">
        <f aca="false">IF(H4602="","",ABS(H4602))</f>
        <v>12</v>
      </c>
      <c r="M4602" s="33" t="n">
        <f aca="false">IF(I4602="","",ABS(I4602))</f>
        <v>3.25</v>
      </c>
      <c r="N4602" s="33" t="n">
        <f aca="false">IF(J4602="","",ABS(J4602))</f>
        <v>4</v>
      </c>
      <c r="O4602" s="33" t="n">
        <f aca="false">IF(K4602="","",ABS(K4602))</f>
        <v>6.69669539126956</v>
      </c>
      <c r="P4602" s="34" t="str">
        <f aca="false">IF(B4602&gt;=Eval_Start_Week,"YES","")</f>
        <v/>
      </c>
      <c r="Q4602" s="34" t="str">
        <f aca="false">IF(AND(B4602&gt;=Cal_Start_Week,B4602&lt;=Cal_End_Week),"YES","")</f>
        <v/>
      </c>
    </row>
    <row r="4603" customFormat="false" ht="15" hidden="false" customHeight="false" outlineLevel="0" collapsed="false">
      <c r="A4603" s="31" t="str">
        <f aca="false">Demand_History!C4603</f>
        <v>CLN-008</v>
      </c>
      <c r="B4603" s="31" t="n">
        <f aca="false">Demand_History!A4603</f>
        <v>26</v>
      </c>
      <c r="C4603" s="32" t="n">
        <f aca="false">Demand_History!D4603</f>
        <v>71</v>
      </c>
      <c r="D4603" s="33" t="n">
        <f aca="false">IF(B4603&gt;=2,C4602,"")</f>
        <v>87</v>
      </c>
      <c r="E4603" s="33" t="n">
        <f aca="false">IF(B4603&gt;=5,AVERAGE(C4599:C4602),"")</f>
        <v>82.75</v>
      </c>
      <c r="F4603" s="33" t="n">
        <f aca="false">IF(B4603&gt;=9,AVERAGE(C4595:C4602),"")</f>
        <v>81.75</v>
      </c>
      <c r="G4603" s="33" t="n">
        <f aca="false">IF(B4603=1,"",IF(B4603=2,C4602,SES_Alpha*C4602+(1-SES_Alpha)*G4602))</f>
        <v>82.3123132261113</v>
      </c>
      <c r="H4603" s="33" t="n">
        <f aca="false">IF(D4603="","",D4603-C4603)</f>
        <v>16</v>
      </c>
      <c r="I4603" s="33" t="n">
        <f aca="false">IF(E4603="","",E4603-C4603)</f>
        <v>11.75</v>
      </c>
      <c r="J4603" s="33" t="n">
        <f aca="false">IF(F4603="","",F4603-C4603)</f>
        <v>10.75</v>
      </c>
      <c r="K4603" s="33" t="n">
        <f aca="false">IF(G4603="","",G4603-C4603)</f>
        <v>11.3123132261113</v>
      </c>
      <c r="L4603" s="33" t="n">
        <f aca="false">IF(H4603="","",ABS(H4603))</f>
        <v>16</v>
      </c>
      <c r="M4603" s="33" t="n">
        <f aca="false">IF(I4603="","",ABS(I4603))</f>
        <v>11.75</v>
      </c>
      <c r="N4603" s="33" t="n">
        <f aca="false">IF(J4603="","",ABS(J4603))</f>
        <v>10.75</v>
      </c>
      <c r="O4603" s="33" t="n">
        <f aca="false">IF(K4603="","",ABS(K4603))</f>
        <v>11.3123132261113</v>
      </c>
      <c r="P4603" s="34" t="str">
        <f aca="false">IF(B4603&gt;=Eval_Start_Week,"YES","")</f>
        <v/>
      </c>
      <c r="Q4603" s="34" t="str">
        <f aca="false">IF(AND(B4603&gt;=Cal_Start_Week,B4603&lt;=Cal_End_Week),"YES","")</f>
        <v/>
      </c>
    </row>
    <row r="4604" customFormat="false" ht="15" hidden="false" customHeight="false" outlineLevel="0" collapsed="false">
      <c r="A4604" s="31" t="str">
        <f aca="false">Demand_History!C4604</f>
        <v>CLN-008</v>
      </c>
      <c r="B4604" s="31" t="n">
        <f aca="false">Demand_History!A4604</f>
        <v>27</v>
      </c>
      <c r="C4604" s="32" t="n">
        <f aca="false">Demand_History!D4604</f>
        <v>88</v>
      </c>
      <c r="D4604" s="33" t="n">
        <f aca="false">IF(B4604&gt;=2,C4603,"")</f>
        <v>71</v>
      </c>
      <c r="E4604" s="33" t="n">
        <f aca="false">IF(B4604&gt;=5,AVERAGE(C4600:C4603),"")</f>
        <v>77.75</v>
      </c>
      <c r="F4604" s="33" t="n">
        <f aca="false">IF(B4604&gt;=9,AVERAGE(C4596:C4603),"")</f>
        <v>79.25</v>
      </c>
      <c r="G4604" s="33" t="n">
        <f aca="false">IF(B4604=1,"",IF(B4604=2,C4603,SES_Alpha*C4603+(1-SES_Alpha)*G4603))</f>
        <v>78.9186192582779</v>
      </c>
      <c r="H4604" s="33" t="n">
        <f aca="false">IF(D4604="","",D4604-C4604)</f>
        <v>-17</v>
      </c>
      <c r="I4604" s="33" t="n">
        <f aca="false">IF(E4604="","",E4604-C4604)</f>
        <v>-10.25</v>
      </c>
      <c r="J4604" s="33" t="n">
        <f aca="false">IF(F4604="","",F4604-C4604)</f>
        <v>-8.75</v>
      </c>
      <c r="K4604" s="33" t="n">
        <f aca="false">IF(G4604="","",G4604-C4604)</f>
        <v>-9.0813807417221</v>
      </c>
      <c r="L4604" s="33" t="n">
        <f aca="false">IF(H4604="","",ABS(H4604))</f>
        <v>17</v>
      </c>
      <c r="M4604" s="33" t="n">
        <f aca="false">IF(I4604="","",ABS(I4604))</f>
        <v>10.25</v>
      </c>
      <c r="N4604" s="33" t="n">
        <f aca="false">IF(J4604="","",ABS(J4604))</f>
        <v>8.75</v>
      </c>
      <c r="O4604" s="33" t="n">
        <f aca="false">IF(K4604="","",ABS(K4604))</f>
        <v>9.0813807417221</v>
      </c>
      <c r="P4604" s="34" t="str">
        <f aca="false">IF(B4604&gt;=Eval_Start_Week,"YES","")</f>
        <v/>
      </c>
      <c r="Q4604" s="34" t="str">
        <f aca="false">IF(AND(B4604&gt;=Cal_Start_Week,B4604&lt;=Cal_End_Week),"YES","")</f>
        <v/>
      </c>
    </row>
    <row r="4605" customFormat="false" ht="15" hidden="false" customHeight="false" outlineLevel="0" collapsed="false">
      <c r="A4605" s="31" t="str">
        <f aca="false">Demand_History!C4605</f>
        <v>CLN-008</v>
      </c>
      <c r="B4605" s="31" t="n">
        <f aca="false">Demand_History!A4605</f>
        <v>28</v>
      </c>
      <c r="C4605" s="32" t="n">
        <f aca="false">Demand_History!D4605</f>
        <v>68</v>
      </c>
      <c r="D4605" s="33" t="n">
        <f aca="false">IF(B4605&gt;=2,C4604,"")</f>
        <v>88</v>
      </c>
      <c r="E4605" s="33" t="n">
        <f aca="false">IF(B4605&gt;=5,AVERAGE(C4601:C4604),"")</f>
        <v>80.25</v>
      </c>
      <c r="F4605" s="33" t="n">
        <f aca="false">IF(B4605&gt;=9,AVERAGE(C4597:C4604),"")</f>
        <v>80</v>
      </c>
      <c r="G4605" s="33" t="n">
        <f aca="false">IF(B4605=1,"",IF(B4605=2,C4604,SES_Alpha*C4604+(1-SES_Alpha)*G4604))</f>
        <v>81.6430334807945</v>
      </c>
      <c r="H4605" s="33" t="n">
        <f aca="false">IF(D4605="","",D4605-C4605)</f>
        <v>20</v>
      </c>
      <c r="I4605" s="33" t="n">
        <f aca="false">IF(E4605="","",E4605-C4605)</f>
        <v>12.25</v>
      </c>
      <c r="J4605" s="33" t="n">
        <f aca="false">IF(F4605="","",F4605-C4605)</f>
        <v>12</v>
      </c>
      <c r="K4605" s="33" t="n">
        <f aca="false">IF(G4605="","",G4605-C4605)</f>
        <v>13.6430334807945</v>
      </c>
      <c r="L4605" s="33" t="n">
        <f aca="false">IF(H4605="","",ABS(H4605))</f>
        <v>20</v>
      </c>
      <c r="M4605" s="33" t="n">
        <f aca="false">IF(I4605="","",ABS(I4605))</f>
        <v>12.25</v>
      </c>
      <c r="N4605" s="33" t="n">
        <f aca="false">IF(J4605="","",ABS(J4605))</f>
        <v>12</v>
      </c>
      <c r="O4605" s="33" t="n">
        <f aca="false">IF(K4605="","",ABS(K4605))</f>
        <v>13.6430334807945</v>
      </c>
      <c r="P4605" s="34" t="str">
        <f aca="false">IF(B4605&gt;=Eval_Start_Week,"YES","")</f>
        <v/>
      </c>
      <c r="Q4605" s="34" t="str">
        <f aca="false">IF(AND(B4605&gt;=Cal_Start_Week,B4605&lt;=Cal_End_Week),"YES","")</f>
        <v/>
      </c>
    </row>
    <row r="4606" customFormat="false" ht="15" hidden="false" customHeight="false" outlineLevel="0" collapsed="false">
      <c r="A4606" s="31" t="str">
        <f aca="false">Demand_History!C4606</f>
        <v>CLN-008</v>
      </c>
      <c r="B4606" s="31" t="n">
        <f aca="false">Demand_History!A4606</f>
        <v>29</v>
      </c>
      <c r="C4606" s="32" t="n">
        <f aca="false">Demand_History!D4606</f>
        <v>70</v>
      </c>
      <c r="D4606" s="33" t="n">
        <f aca="false">IF(B4606&gt;=2,C4605,"")</f>
        <v>68</v>
      </c>
      <c r="E4606" s="33" t="n">
        <f aca="false">IF(B4606&gt;=5,AVERAGE(C4602:C4605),"")</f>
        <v>78.5</v>
      </c>
      <c r="F4606" s="33" t="n">
        <f aca="false">IF(B4606&gt;=9,AVERAGE(C4598:C4605),"")</f>
        <v>81.125</v>
      </c>
      <c r="G4606" s="33" t="n">
        <f aca="false">IF(B4606=1,"",IF(B4606=2,C4605,SES_Alpha*C4605+(1-SES_Alpha)*G4605))</f>
        <v>77.5501234365562</v>
      </c>
      <c r="H4606" s="33" t="n">
        <f aca="false">IF(D4606="","",D4606-C4606)</f>
        <v>-2</v>
      </c>
      <c r="I4606" s="33" t="n">
        <f aca="false">IF(E4606="","",E4606-C4606)</f>
        <v>8.5</v>
      </c>
      <c r="J4606" s="33" t="n">
        <f aca="false">IF(F4606="","",F4606-C4606)</f>
        <v>11.125</v>
      </c>
      <c r="K4606" s="33" t="n">
        <f aca="false">IF(G4606="","",G4606-C4606)</f>
        <v>7.55012343655616</v>
      </c>
      <c r="L4606" s="33" t="n">
        <f aca="false">IF(H4606="","",ABS(H4606))</f>
        <v>2</v>
      </c>
      <c r="M4606" s="33" t="n">
        <f aca="false">IF(I4606="","",ABS(I4606))</f>
        <v>8.5</v>
      </c>
      <c r="N4606" s="33" t="n">
        <f aca="false">IF(J4606="","",ABS(J4606))</f>
        <v>11.125</v>
      </c>
      <c r="O4606" s="33" t="n">
        <f aca="false">IF(K4606="","",ABS(K4606))</f>
        <v>7.55012343655616</v>
      </c>
      <c r="P4606" s="34" t="str">
        <f aca="false">IF(B4606&gt;=Eval_Start_Week,"YES","")</f>
        <v/>
      </c>
      <c r="Q4606" s="34" t="str">
        <f aca="false">IF(AND(B4606&gt;=Cal_Start_Week,B4606&lt;=Cal_End_Week),"YES","")</f>
        <v/>
      </c>
    </row>
    <row r="4607" customFormat="false" ht="15" hidden="false" customHeight="false" outlineLevel="0" collapsed="false">
      <c r="A4607" s="31" t="str">
        <f aca="false">Demand_History!C4607</f>
        <v>CLN-008</v>
      </c>
      <c r="B4607" s="31" t="n">
        <f aca="false">Demand_History!A4607</f>
        <v>30</v>
      </c>
      <c r="C4607" s="32" t="n">
        <f aca="false">Demand_History!D4607</f>
        <v>80</v>
      </c>
      <c r="D4607" s="33" t="n">
        <f aca="false">IF(B4607&gt;=2,C4606,"")</f>
        <v>70</v>
      </c>
      <c r="E4607" s="33" t="n">
        <f aca="false">IF(B4607&gt;=5,AVERAGE(C4603:C4606),"")</f>
        <v>74.25</v>
      </c>
      <c r="F4607" s="33" t="n">
        <f aca="false">IF(B4607&gt;=9,AVERAGE(C4599:C4606),"")</f>
        <v>78.5</v>
      </c>
      <c r="G4607" s="33" t="n">
        <f aca="false">IF(B4607=1,"",IF(B4607=2,C4606,SES_Alpha*C4606+(1-SES_Alpha)*G4606))</f>
        <v>75.2850864055893</v>
      </c>
      <c r="H4607" s="33" t="n">
        <f aca="false">IF(D4607="","",D4607-C4607)</f>
        <v>-10</v>
      </c>
      <c r="I4607" s="33" t="n">
        <f aca="false">IF(E4607="","",E4607-C4607)</f>
        <v>-5.75</v>
      </c>
      <c r="J4607" s="33" t="n">
        <f aca="false">IF(F4607="","",F4607-C4607)</f>
        <v>-1.5</v>
      </c>
      <c r="K4607" s="33" t="n">
        <f aca="false">IF(G4607="","",G4607-C4607)</f>
        <v>-4.71491359441069</v>
      </c>
      <c r="L4607" s="33" t="n">
        <f aca="false">IF(H4607="","",ABS(H4607))</f>
        <v>10</v>
      </c>
      <c r="M4607" s="33" t="n">
        <f aca="false">IF(I4607="","",ABS(I4607))</f>
        <v>5.75</v>
      </c>
      <c r="N4607" s="33" t="n">
        <f aca="false">IF(J4607="","",ABS(J4607))</f>
        <v>1.5</v>
      </c>
      <c r="O4607" s="33" t="n">
        <f aca="false">IF(K4607="","",ABS(K4607))</f>
        <v>4.71491359441069</v>
      </c>
      <c r="P4607" s="34" t="str">
        <f aca="false">IF(B4607&gt;=Eval_Start_Week,"YES","")</f>
        <v/>
      </c>
      <c r="Q4607" s="34" t="str">
        <f aca="false">IF(AND(B4607&gt;=Cal_Start_Week,B4607&lt;=Cal_End_Week),"YES","")</f>
        <v/>
      </c>
    </row>
    <row r="4608" customFormat="false" ht="15" hidden="false" customHeight="false" outlineLevel="0" collapsed="false">
      <c r="A4608" s="31" t="str">
        <f aca="false">Demand_History!C4608</f>
        <v>CLN-008</v>
      </c>
      <c r="B4608" s="31" t="n">
        <f aca="false">Demand_History!A4608</f>
        <v>31</v>
      </c>
      <c r="C4608" s="32" t="n">
        <f aca="false">Demand_History!D4608</f>
        <v>64</v>
      </c>
      <c r="D4608" s="33" t="n">
        <f aca="false">IF(B4608&gt;=2,C4607,"")</f>
        <v>80</v>
      </c>
      <c r="E4608" s="33" t="n">
        <f aca="false">IF(B4608&gt;=5,AVERAGE(C4604:C4607),"")</f>
        <v>76.5</v>
      </c>
      <c r="F4608" s="33" t="n">
        <f aca="false">IF(B4608&gt;=9,AVERAGE(C4600:C4607),"")</f>
        <v>77.125</v>
      </c>
      <c r="G4608" s="33" t="n">
        <f aca="false">IF(B4608=1,"",IF(B4608=2,C4607,SES_Alpha*C4607+(1-SES_Alpha)*G4607))</f>
        <v>76.6995604839125</v>
      </c>
      <c r="H4608" s="33" t="n">
        <f aca="false">IF(D4608="","",D4608-C4608)</f>
        <v>16</v>
      </c>
      <c r="I4608" s="33" t="n">
        <f aca="false">IF(E4608="","",E4608-C4608)</f>
        <v>12.5</v>
      </c>
      <c r="J4608" s="33" t="n">
        <f aca="false">IF(F4608="","",F4608-C4608)</f>
        <v>13.125</v>
      </c>
      <c r="K4608" s="33" t="n">
        <f aca="false">IF(G4608="","",G4608-C4608)</f>
        <v>12.6995604839125</v>
      </c>
      <c r="L4608" s="33" t="n">
        <f aca="false">IF(H4608="","",ABS(H4608))</f>
        <v>16</v>
      </c>
      <c r="M4608" s="33" t="n">
        <f aca="false">IF(I4608="","",ABS(I4608))</f>
        <v>12.5</v>
      </c>
      <c r="N4608" s="33" t="n">
        <f aca="false">IF(J4608="","",ABS(J4608))</f>
        <v>13.125</v>
      </c>
      <c r="O4608" s="33" t="n">
        <f aca="false">IF(K4608="","",ABS(K4608))</f>
        <v>12.6995604839125</v>
      </c>
      <c r="P4608" s="34" t="str">
        <f aca="false">IF(B4608&gt;=Eval_Start_Week,"YES","")</f>
        <v/>
      </c>
      <c r="Q4608" s="34" t="str">
        <f aca="false">IF(AND(B4608&gt;=Cal_Start_Week,B4608&lt;=Cal_End_Week),"YES","")</f>
        <v/>
      </c>
    </row>
    <row r="4609" customFormat="false" ht="15" hidden="false" customHeight="false" outlineLevel="0" collapsed="false">
      <c r="A4609" s="31" t="str">
        <f aca="false">Demand_History!C4609</f>
        <v>CLN-008</v>
      </c>
      <c r="B4609" s="31" t="n">
        <f aca="false">Demand_History!A4609</f>
        <v>32</v>
      </c>
      <c r="C4609" s="32" t="n">
        <f aca="false">Demand_History!D4609</f>
        <v>80</v>
      </c>
      <c r="D4609" s="33" t="n">
        <f aca="false">IF(B4609&gt;=2,C4608,"")</f>
        <v>64</v>
      </c>
      <c r="E4609" s="33" t="n">
        <f aca="false">IF(B4609&gt;=5,AVERAGE(C4605:C4608),"")</f>
        <v>70.5</v>
      </c>
      <c r="F4609" s="33" t="n">
        <f aca="false">IF(B4609&gt;=9,AVERAGE(C4601:C4608),"")</f>
        <v>75.375</v>
      </c>
      <c r="G4609" s="33" t="n">
        <f aca="false">IF(B4609=1,"",IF(B4609=2,C4608,SES_Alpha*C4608+(1-SES_Alpha)*G4608))</f>
        <v>72.8896923387388</v>
      </c>
      <c r="H4609" s="33" t="n">
        <f aca="false">IF(D4609="","",D4609-C4609)</f>
        <v>-16</v>
      </c>
      <c r="I4609" s="33" t="n">
        <f aca="false">IF(E4609="","",E4609-C4609)</f>
        <v>-9.5</v>
      </c>
      <c r="J4609" s="33" t="n">
        <f aca="false">IF(F4609="","",F4609-C4609)</f>
        <v>-4.625</v>
      </c>
      <c r="K4609" s="33" t="n">
        <f aca="false">IF(G4609="","",G4609-C4609)</f>
        <v>-7.11030766126125</v>
      </c>
      <c r="L4609" s="33" t="n">
        <f aca="false">IF(H4609="","",ABS(H4609))</f>
        <v>16</v>
      </c>
      <c r="M4609" s="33" t="n">
        <f aca="false">IF(I4609="","",ABS(I4609))</f>
        <v>9.5</v>
      </c>
      <c r="N4609" s="33" t="n">
        <f aca="false">IF(J4609="","",ABS(J4609))</f>
        <v>4.625</v>
      </c>
      <c r="O4609" s="33" t="n">
        <f aca="false">IF(K4609="","",ABS(K4609))</f>
        <v>7.11030766126125</v>
      </c>
      <c r="P4609" s="34" t="str">
        <f aca="false">IF(B4609&gt;=Eval_Start_Week,"YES","")</f>
        <v/>
      </c>
      <c r="Q4609" s="34" t="str">
        <f aca="false">IF(AND(B4609&gt;=Cal_Start_Week,B4609&lt;=Cal_End_Week),"YES","")</f>
        <v/>
      </c>
    </row>
    <row r="4610" customFormat="false" ht="15" hidden="false" customHeight="false" outlineLevel="0" collapsed="false">
      <c r="A4610" s="31" t="str">
        <f aca="false">Demand_History!C4610</f>
        <v>CLN-008</v>
      </c>
      <c r="B4610" s="31" t="n">
        <f aca="false">Demand_History!A4610</f>
        <v>33</v>
      </c>
      <c r="C4610" s="32" t="n">
        <f aca="false">Demand_History!D4610</f>
        <v>86</v>
      </c>
      <c r="D4610" s="33" t="n">
        <f aca="false">IF(B4610&gt;=2,C4609,"")</f>
        <v>80</v>
      </c>
      <c r="E4610" s="33" t="n">
        <f aca="false">IF(B4610&gt;=5,AVERAGE(C4606:C4609),"")</f>
        <v>73.5</v>
      </c>
      <c r="F4610" s="33" t="n">
        <f aca="false">IF(B4610&gt;=9,AVERAGE(C4602:C4609),"")</f>
        <v>76</v>
      </c>
      <c r="G4610" s="33" t="n">
        <f aca="false">IF(B4610=1,"",IF(B4610=2,C4609,SES_Alpha*C4609+(1-SES_Alpha)*G4609))</f>
        <v>75.0227846371171</v>
      </c>
      <c r="H4610" s="33" t="n">
        <f aca="false">IF(D4610="","",D4610-C4610)</f>
        <v>-6</v>
      </c>
      <c r="I4610" s="33" t="n">
        <f aca="false">IF(E4610="","",E4610-C4610)</f>
        <v>-12.5</v>
      </c>
      <c r="J4610" s="33" t="n">
        <f aca="false">IF(F4610="","",F4610-C4610)</f>
        <v>-10</v>
      </c>
      <c r="K4610" s="33" t="n">
        <f aca="false">IF(G4610="","",G4610-C4610)</f>
        <v>-10.9772153628829</v>
      </c>
      <c r="L4610" s="33" t="n">
        <f aca="false">IF(H4610="","",ABS(H4610))</f>
        <v>6</v>
      </c>
      <c r="M4610" s="33" t="n">
        <f aca="false">IF(I4610="","",ABS(I4610))</f>
        <v>12.5</v>
      </c>
      <c r="N4610" s="33" t="n">
        <f aca="false">IF(J4610="","",ABS(J4610))</f>
        <v>10</v>
      </c>
      <c r="O4610" s="33" t="n">
        <f aca="false">IF(K4610="","",ABS(K4610))</f>
        <v>10.9772153628829</v>
      </c>
      <c r="P4610" s="34" t="str">
        <f aca="false">IF(B4610&gt;=Eval_Start_Week,"YES","")</f>
        <v/>
      </c>
      <c r="Q4610" s="34" t="str">
        <f aca="false">IF(AND(B4610&gt;=Cal_Start_Week,B4610&lt;=Cal_End_Week),"YES","")</f>
        <v/>
      </c>
    </row>
    <row r="4611" customFormat="false" ht="15" hidden="false" customHeight="false" outlineLevel="0" collapsed="false">
      <c r="A4611" s="31" t="str">
        <f aca="false">Demand_History!C4611</f>
        <v>CLN-008</v>
      </c>
      <c r="B4611" s="31" t="n">
        <f aca="false">Demand_History!A4611</f>
        <v>34</v>
      </c>
      <c r="C4611" s="32" t="n">
        <f aca="false">Demand_History!D4611</f>
        <v>66</v>
      </c>
      <c r="D4611" s="33" t="n">
        <f aca="false">IF(B4611&gt;=2,C4610,"")</f>
        <v>86</v>
      </c>
      <c r="E4611" s="33" t="n">
        <f aca="false">IF(B4611&gt;=5,AVERAGE(C4607:C4610),"")</f>
        <v>77.5</v>
      </c>
      <c r="F4611" s="33" t="n">
        <f aca="false">IF(B4611&gt;=9,AVERAGE(C4603:C4610),"")</f>
        <v>75.875</v>
      </c>
      <c r="G4611" s="33" t="n">
        <f aca="false">IF(B4611=1,"",IF(B4611=2,C4610,SES_Alpha*C4610+(1-SES_Alpha)*G4610))</f>
        <v>78.315949245982</v>
      </c>
      <c r="H4611" s="33" t="n">
        <f aca="false">IF(D4611="","",D4611-C4611)</f>
        <v>20</v>
      </c>
      <c r="I4611" s="33" t="n">
        <f aca="false">IF(E4611="","",E4611-C4611)</f>
        <v>11.5</v>
      </c>
      <c r="J4611" s="33" t="n">
        <f aca="false">IF(F4611="","",F4611-C4611)</f>
        <v>9.875</v>
      </c>
      <c r="K4611" s="33" t="n">
        <f aca="false">IF(G4611="","",G4611-C4611)</f>
        <v>12.315949245982</v>
      </c>
      <c r="L4611" s="33" t="n">
        <f aca="false">IF(H4611="","",ABS(H4611))</f>
        <v>20</v>
      </c>
      <c r="M4611" s="33" t="n">
        <f aca="false">IF(I4611="","",ABS(I4611))</f>
        <v>11.5</v>
      </c>
      <c r="N4611" s="33" t="n">
        <f aca="false">IF(J4611="","",ABS(J4611))</f>
        <v>9.875</v>
      </c>
      <c r="O4611" s="33" t="n">
        <f aca="false">IF(K4611="","",ABS(K4611))</f>
        <v>12.315949245982</v>
      </c>
      <c r="P4611" s="34" t="str">
        <f aca="false">IF(B4611&gt;=Eval_Start_Week,"YES","")</f>
        <v/>
      </c>
      <c r="Q4611" s="34" t="str">
        <f aca="false">IF(AND(B4611&gt;=Cal_Start_Week,B4611&lt;=Cal_End_Week),"YES","")</f>
        <v/>
      </c>
    </row>
    <row r="4612" customFormat="false" ht="15" hidden="false" customHeight="false" outlineLevel="0" collapsed="false">
      <c r="A4612" s="31" t="str">
        <f aca="false">Demand_History!C4612</f>
        <v>CLN-008</v>
      </c>
      <c r="B4612" s="31" t="n">
        <f aca="false">Demand_History!A4612</f>
        <v>35</v>
      </c>
      <c r="C4612" s="32" t="n">
        <f aca="false">Demand_History!D4612</f>
        <v>90</v>
      </c>
      <c r="D4612" s="33" t="n">
        <f aca="false">IF(B4612&gt;=2,C4611,"")</f>
        <v>66</v>
      </c>
      <c r="E4612" s="33" t="n">
        <f aca="false">IF(B4612&gt;=5,AVERAGE(C4608:C4611),"")</f>
        <v>74</v>
      </c>
      <c r="F4612" s="33" t="n">
        <f aca="false">IF(B4612&gt;=9,AVERAGE(C4604:C4611),"")</f>
        <v>75.25</v>
      </c>
      <c r="G4612" s="33" t="n">
        <f aca="false">IF(B4612=1,"",IF(B4612=2,C4611,SES_Alpha*C4611+(1-SES_Alpha)*G4611))</f>
        <v>74.6211644721874</v>
      </c>
      <c r="H4612" s="33" t="n">
        <f aca="false">IF(D4612="","",D4612-C4612)</f>
        <v>-24</v>
      </c>
      <c r="I4612" s="33" t="n">
        <f aca="false">IF(E4612="","",E4612-C4612)</f>
        <v>-16</v>
      </c>
      <c r="J4612" s="33" t="n">
        <f aca="false">IF(F4612="","",F4612-C4612)</f>
        <v>-14.75</v>
      </c>
      <c r="K4612" s="33" t="n">
        <f aca="false">IF(G4612="","",G4612-C4612)</f>
        <v>-15.3788355278126</v>
      </c>
      <c r="L4612" s="33" t="n">
        <f aca="false">IF(H4612="","",ABS(H4612))</f>
        <v>24</v>
      </c>
      <c r="M4612" s="33" t="n">
        <f aca="false">IF(I4612="","",ABS(I4612))</f>
        <v>16</v>
      </c>
      <c r="N4612" s="33" t="n">
        <f aca="false">IF(J4612="","",ABS(J4612))</f>
        <v>14.75</v>
      </c>
      <c r="O4612" s="33" t="n">
        <f aca="false">IF(K4612="","",ABS(K4612))</f>
        <v>15.3788355278126</v>
      </c>
      <c r="P4612" s="34" t="str">
        <f aca="false">IF(B4612&gt;=Eval_Start_Week,"YES","")</f>
        <v/>
      </c>
      <c r="Q4612" s="34" t="str">
        <f aca="false">IF(AND(B4612&gt;=Cal_Start_Week,B4612&lt;=Cal_End_Week),"YES","")</f>
        <v/>
      </c>
    </row>
    <row r="4613" customFormat="false" ht="15" hidden="false" customHeight="false" outlineLevel="0" collapsed="false">
      <c r="A4613" s="31" t="str">
        <f aca="false">Demand_History!C4613</f>
        <v>CLN-008</v>
      </c>
      <c r="B4613" s="31" t="n">
        <f aca="false">Demand_History!A4613</f>
        <v>36</v>
      </c>
      <c r="C4613" s="32" t="n">
        <f aca="false">Demand_History!D4613</f>
        <v>74</v>
      </c>
      <c r="D4613" s="33" t="n">
        <f aca="false">IF(B4613&gt;=2,C4612,"")</f>
        <v>90</v>
      </c>
      <c r="E4613" s="33" t="n">
        <f aca="false">IF(B4613&gt;=5,AVERAGE(C4609:C4612),"")</f>
        <v>80.5</v>
      </c>
      <c r="F4613" s="33" t="n">
        <f aca="false">IF(B4613&gt;=9,AVERAGE(C4605:C4612),"")</f>
        <v>75.5</v>
      </c>
      <c r="G4613" s="33" t="n">
        <f aca="false">IF(B4613=1,"",IF(B4613=2,C4612,SES_Alpha*C4612+(1-SES_Alpha)*G4612))</f>
        <v>79.2348151305312</v>
      </c>
      <c r="H4613" s="33" t="n">
        <f aca="false">IF(D4613="","",D4613-C4613)</f>
        <v>16</v>
      </c>
      <c r="I4613" s="33" t="n">
        <f aca="false">IF(E4613="","",E4613-C4613)</f>
        <v>6.5</v>
      </c>
      <c r="J4613" s="33" t="n">
        <f aca="false">IF(F4613="","",F4613-C4613)</f>
        <v>1.5</v>
      </c>
      <c r="K4613" s="33" t="n">
        <f aca="false">IF(G4613="","",G4613-C4613)</f>
        <v>5.23481513053116</v>
      </c>
      <c r="L4613" s="33" t="n">
        <f aca="false">IF(H4613="","",ABS(H4613))</f>
        <v>16</v>
      </c>
      <c r="M4613" s="33" t="n">
        <f aca="false">IF(I4613="","",ABS(I4613))</f>
        <v>6.5</v>
      </c>
      <c r="N4613" s="33" t="n">
        <f aca="false">IF(J4613="","",ABS(J4613))</f>
        <v>1.5</v>
      </c>
      <c r="O4613" s="33" t="n">
        <f aca="false">IF(K4613="","",ABS(K4613))</f>
        <v>5.23481513053116</v>
      </c>
      <c r="P4613" s="34" t="str">
        <f aca="false">IF(B4613&gt;=Eval_Start_Week,"YES","")</f>
        <v/>
      </c>
      <c r="Q4613" s="34" t="str">
        <f aca="false">IF(AND(B4613&gt;=Cal_Start_Week,B4613&lt;=Cal_End_Week),"YES","")</f>
        <v/>
      </c>
    </row>
    <row r="4614" customFormat="false" ht="15" hidden="false" customHeight="false" outlineLevel="0" collapsed="false">
      <c r="A4614" s="31" t="str">
        <f aca="false">Demand_History!C4614</f>
        <v>CLN-008</v>
      </c>
      <c r="B4614" s="31" t="n">
        <f aca="false">Demand_History!A4614</f>
        <v>37</v>
      </c>
      <c r="C4614" s="32" t="n">
        <f aca="false">Demand_History!D4614</f>
        <v>86</v>
      </c>
      <c r="D4614" s="33" t="n">
        <f aca="false">IF(B4614&gt;=2,C4613,"")</f>
        <v>74</v>
      </c>
      <c r="E4614" s="33" t="n">
        <f aca="false">IF(B4614&gt;=5,AVERAGE(C4610:C4613),"")</f>
        <v>79</v>
      </c>
      <c r="F4614" s="33" t="n">
        <f aca="false">IF(B4614&gt;=9,AVERAGE(C4606:C4613),"")</f>
        <v>76.25</v>
      </c>
      <c r="G4614" s="33" t="n">
        <f aca="false">IF(B4614=1,"",IF(B4614=2,C4613,SES_Alpha*C4613+(1-SES_Alpha)*G4613))</f>
        <v>77.6643705913718</v>
      </c>
      <c r="H4614" s="33" t="n">
        <f aca="false">IF(D4614="","",D4614-C4614)</f>
        <v>-12</v>
      </c>
      <c r="I4614" s="33" t="n">
        <f aca="false">IF(E4614="","",E4614-C4614)</f>
        <v>-7</v>
      </c>
      <c r="J4614" s="33" t="n">
        <f aca="false">IF(F4614="","",F4614-C4614)</f>
        <v>-9.75</v>
      </c>
      <c r="K4614" s="33" t="n">
        <f aca="false">IF(G4614="","",G4614-C4614)</f>
        <v>-8.33562940862819</v>
      </c>
      <c r="L4614" s="33" t="n">
        <f aca="false">IF(H4614="","",ABS(H4614))</f>
        <v>12</v>
      </c>
      <c r="M4614" s="33" t="n">
        <f aca="false">IF(I4614="","",ABS(I4614))</f>
        <v>7</v>
      </c>
      <c r="N4614" s="33" t="n">
        <f aca="false">IF(J4614="","",ABS(J4614))</f>
        <v>9.75</v>
      </c>
      <c r="O4614" s="33" t="n">
        <f aca="false">IF(K4614="","",ABS(K4614))</f>
        <v>8.33562940862819</v>
      </c>
      <c r="P4614" s="34" t="str">
        <f aca="false">IF(B4614&gt;=Eval_Start_Week,"YES","")</f>
        <v/>
      </c>
      <c r="Q4614" s="34" t="str">
        <f aca="false">IF(AND(B4614&gt;=Cal_Start_Week,B4614&lt;=Cal_End_Week),"YES","")</f>
        <v>YES</v>
      </c>
    </row>
    <row r="4615" customFormat="false" ht="15" hidden="false" customHeight="false" outlineLevel="0" collapsed="false">
      <c r="A4615" s="31" t="str">
        <f aca="false">Demand_History!C4615</f>
        <v>CLN-008</v>
      </c>
      <c r="B4615" s="31" t="n">
        <f aca="false">Demand_History!A4615</f>
        <v>38</v>
      </c>
      <c r="C4615" s="32" t="n">
        <f aca="false">Demand_History!D4615</f>
        <v>82</v>
      </c>
      <c r="D4615" s="33" t="n">
        <f aca="false">IF(B4615&gt;=2,C4614,"")</f>
        <v>86</v>
      </c>
      <c r="E4615" s="33" t="n">
        <f aca="false">IF(B4615&gt;=5,AVERAGE(C4611:C4614),"")</f>
        <v>79</v>
      </c>
      <c r="F4615" s="33" t="n">
        <f aca="false">IF(B4615&gt;=9,AVERAGE(C4607:C4614),"")</f>
        <v>78.25</v>
      </c>
      <c r="G4615" s="33" t="n">
        <f aca="false">IF(B4615=1,"",IF(B4615=2,C4614,SES_Alpha*C4614+(1-SES_Alpha)*G4614))</f>
        <v>80.1650594139603</v>
      </c>
      <c r="H4615" s="33" t="n">
        <f aca="false">IF(D4615="","",D4615-C4615)</f>
        <v>4</v>
      </c>
      <c r="I4615" s="33" t="n">
        <f aca="false">IF(E4615="","",E4615-C4615)</f>
        <v>-3</v>
      </c>
      <c r="J4615" s="33" t="n">
        <f aca="false">IF(F4615="","",F4615-C4615)</f>
        <v>-3.75</v>
      </c>
      <c r="K4615" s="33" t="n">
        <f aca="false">IF(G4615="","",G4615-C4615)</f>
        <v>-1.83494058603974</v>
      </c>
      <c r="L4615" s="33" t="n">
        <f aca="false">IF(H4615="","",ABS(H4615))</f>
        <v>4</v>
      </c>
      <c r="M4615" s="33" t="n">
        <f aca="false">IF(I4615="","",ABS(I4615))</f>
        <v>3</v>
      </c>
      <c r="N4615" s="33" t="n">
        <f aca="false">IF(J4615="","",ABS(J4615))</f>
        <v>3.75</v>
      </c>
      <c r="O4615" s="33" t="n">
        <f aca="false">IF(K4615="","",ABS(K4615))</f>
        <v>1.83494058603974</v>
      </c>
      <c r="P4615" s="34" t="str">
        <f aca="false">IF(B4615&gt;=Eval_Start_Week,"YES","")</f>
        <v/>
      </c>
      <c r="Q4615" s="34" t="str">
        <f aca="false">IF(AND(B4615&gt;=Cal_Start_Week,B4615&lt;=Cal_End_Week),"YES","")</f>
        <v>YES</v>
      </c>
    </row>
    <row r="4616" customFormat="false" ht="15" hidden="false" customHeight="false" outlineLevel="0" collapsed="false">
      <c r="A4616" s="31" t="str">
        <f aca="false">Demand_History!C4616</f>
        <v>CLN-008</v>
      </c>
      <c r="B4616" s="31" t="n">
        <f aca="false">Demand_History!A4616</f>
        <v>39</v>
      </c>
      <c r="C4616" s="32" t="n">
        <f aca="false">Demand_History!D4616</f>
        <v>75</v>
      </c>
      <c r="D4616" s="33" t="n">
        <f aca="false">IF(B4616&gt;=2,C4615,"")</f>
        <v>82</v>
      </c>
      <c r="E4616" s="33" t="n">
        <f aca="false">IF(B4616&gt;=5,AVERAGE(C4612:C4615),"")</f>
        <v>83</v>
      </c>
      <c r="F4616" s="33" t="n">
        <f aca="false">IF(B4616&gt;=9,AVERAGE(C4608:C4615),"")</f>
        <v>78.5</v>
      </c>
      <c r="G4616" s="33" t="n">
        <f aca="false">IF(B4616=1,"",IF(B4616=2,C4615,SES_Alpha*C4615+(1-SES_Alpha)*G4615))</f>
        <v>80.7155415897722</v>
      </c>
      <c r="H4616" s="33" t="n">
        <f aca="false">IF(D4616="","",D4616-C4616)</f>
        <v>7</v>
      </c>
      <c r="I4616" s="33" t="n">
        <f aca="false">IF(E4616="","",E4616-C4616)</f>
        <v>8</v>
      </c>
      <c r="J4616" s="33" t="n">
        <f aca="false">IF(F4616="","",F4616-C4616)</f>
        <v>3.5</v>
      </c>
      <c r="K4616" s="33" t="n">
        <f aca="false">IF(G4616="","",G4616-C4616)</f>
        <v>5.71554158977217</v>
      </c>
      <c r="L4616" s="33" t="n">
        <f aca="false">IF(H4616="","",ABS(H4616))</f>
        <v>7</v>
      </c>
      <c r="M4616" s="33" t="n">
        <f aca="false">IF(I4616="","",ABS(I4616))</f>
        <v>8</v>
      </c>
      <c r="N4616" s="33" t="n">
        <f aca="false">IF(J4616="","",ABS(J4616))</f>
        <v>3.5</v>
      </c>
      <c r="O4616" s="33" t="n">
        <f aca="false">IF(K4616="","",ABS(K4616))</f>
        <v>5.71554158977217</v>
      </c>
      <c r="P4616" s="34" t="str">
        <f aca="false">IF(B4616&gt;=Eval_Start_Week,"YES","")</f>
        <v/>
      </c>
      <c r="Q4616" s="34" t="str">
        <f aca="false">IF(AND(B4616&gt;=Cal_Start_Week,B4616&lt;=Cal_End_Week),"YES","")</f>
        <v>YES</v>
      </c>
    </row>
    <row r="4617" customFormat="false" ht="15" hidden="false" customHeight="false" outlineLevel="0" collapsed="false">
      <c r="A4617" s="31" t="str">
        <f aca="false">Demand_History!C4617</f>
        <v>CLN-008</v>
      </c>
      <c r="B4617" s="31" t="n">
        <f aca="false">Demand_History!A4617</f>
        <v>40</v>
      </c>
      <c r="C4617" s="32" t="n">
        <f aca="false">Demand_History!D4617</f>
        <v>74</v>
      </c>
      <c r="D4617" s="33" t="n">
        <f aca="false">IF(B4617&gt;=2,C4616,"")</f>
        <v>75</v>
      </c>
      <c r="E4617" s="33" t="n">
        <f aca="false">IF(B4617&gt;=5,AVERAGE(C4613:C4616),"")</f>
        <v>79.25</v>
      </c>
      <c r="F4617" s="33" t="n">
        <f aca="false">IF(B4617&gt;=9,AVERAGE(C4609:C4616),"")</f>
        <v>79.875</v>
      </c>
      <c r="G4617" s="33" t="n">
        <f aca="false">IF(B4617=1,"",IF(B4617=2,C4616,SES_Alpha*C4616+(1-SES_Alpha)*G4616))</f>
        <v>79.0008791128405</v>
      </c>
      <c r="H4617" s="33" t="n">
        <f aca="false">IF(D4617="","",D4617-C4617)</f>
        <v>1</v>
      </c>
      <c r="I4617" s="33" t="n">
        <f aca="false">IF(E4617="","",E4617-C4617)</f>
        <v>5.25</v>
      </c>
      <c r="J4617" s="33" t="n">
        <f aca="false">IF(F4617="","",F4617-C4617)</f>
        <v>5.875</v>
      </c>
      <c r="K4617" s="33" t="n">
        <f aca="false">IF(G4617="","",G4617-C4617)</f>
        <v>5.00087911284052</v>
      </c>
      <c r="L4617" s="33" t="n">
        <f aca="false">IF(H4617="","",ABS(H4617))</f>
        <v>1</v>
      </c>
      <c r="M4617" s="33" t="n">
        <f aca="false">IF(I4617="","",ABS(I4617))</f>
        <v>5.25</v>
      </c>
      <c r="N4617" s="33" t="n">
        <f aca="false">IF(J4617="","",ABS(J4617))</f>
        <v>5.875</v>
      </c>
      <c r="O4617" s="33" t="n">
        <f aca="false">IF(K4617="","",ABS(K4617))</f>
        <v>5.00087911284052</v>
      </c>
      <c r="P4617" s="34" t="str">
        <f aca="false">IF(B4617&gt;=Eval_Start_Week,"YES","")</f>
        <v/>
      </c>
      <c r="Q4617" s="34" t="str">
        <f aca="false">IF(AND(B4617&gt;=Cal_Start_Week,B4617&lt;=Cal_End_Week),"YES","")</f>
        <v>YES</v>
      </c>
    </row>
    <row r="4618" customFormat="false" ht="15" hidden="false" customHeight="false" outlineLevel="0" collapsed="false">
      <c r="A4618" s="31" t="str">
        <f aca="false">Demand_History!C4618</f>
        <v>CLN-008</v>
      </c>
      <c r="B4618" s="31" t="n">
        <f aca="false">Demand_History!A4618</f>
        <v>41</v>
      </c>
      <c r="C4618" s="32" t="n">
        <f aca="false">Demand_History!D4618</f>
        <v>62</v>
      </c>
      <c r="D4618" s="33" t="n">
        <f aca="false">IF(B4618&gt;=2,C4617,"")</f>
        <v>74</v>
      </c>
      <c r="E4618" s="33" t="n">
        <f aca="false">IF(B4618&gt;=5,AVERAGE(C4614:C4617),"")</f>
        <v>79.25</v>
      </c>
      <c r="F4618" s="33" t="n">
        <f aca="false">IF(B4618&gt;=9,AVERAGE(C4610:C4617),"")</f>
        <v>79.125</v>
      </c>
      <c r="G4618" s="33" t="n">
        <f aca="false">IF(B4618=1,"",IF(B4618=2,C4617,SES_Alpha*C4617+(1-SES_Alpha)*G4617))</f>
        <v>77.5006153789884</v>
      </c>
      <c r="H4618" s="33" t="n">
        <f aca="false">IF(D4618="","",D4618-C4618)</f>
        <v>12</v>
      </c>
      <c r="I4618" s="33" t="n">
        <f aca="false">IF(E4618="","",E4618-C4618)</f>
        <v>17.25</v>
      </c>
      <c r="J4618" s="33" t="n">
        <f aca="false">IF(F4618="","",F4618-C4618)</f>
        <v>17.125</v>
      </c>
      <c r="K4618" s="33" t="n">
        <f aca="false">IF(G4618="","",G4618-C4618)</f>
        <v>15.5006153789884</v>
      </c>
      <c r="L4618" s="33" t="n">
        <f aca="false">IF(H4618="","",ABS(H4618))</f>
        <v>12</v>
      </c>
      <c r="M4618" s="33" t="n">
        <f aca="false">IF(I4618="","",ABS(I4618))</f>
        <v>17.25</v>
      </c>
      <c r="N4618" s="33" t="n">
        <f aca="false">IF(J4618="","",ABS(J4618))</f>
        <v>17.125</v>
      </c>
      <c r="O4618" s="33" t="n">
        <f aca="false">IF(K4618="","",ABS(K4618))</f>
        <v>15.5006153789884</v>
      </c>
      <c r="P4618" s="34" t="str">
        <f aca="false">IF(B4618&gt;=Eval_Start_Week,"YES","")</f>
        <v/>
      </c>
      <c r="Q4618" s="34" t="str">
        <f aca="false">IF(AND(B4618&gt;=Cal_Start_Week,B4618&lt;=Cal_End_Week),"YES","")</f>
        <v>YES</v>
      </c>
    </row>
    <row r="4619" customFormat="false" ht="15" hidden="false" customHeight="false" outlineLevel="0" collapsed="false">
      <c r="A4619" s="31" t="str">
        <f aca="false">Demand_History!C4619</f>
        <v>CLN-008</v>
      </c>
      <c r="B4619" s="31" t="n">
        <f aca="false">Demand_History!A4619</f>
        <v>42</v>
      </c>
      <c r="C4619" s="32" t="n">
        <f aca="false">Demand_History!D4619</f>
        <v>72</v>
      </c>
      <c r="D4619" s="33" t="n">
        <f aca="false">IF(B4619&gt;=2,C4618,"")</f>
        <v>62</v>
      </c>
      <c r="E4619" s="33" t="n">
        <f aca="false">IF(B4619&gt;=5,AVERAGE(C4615:C4618),"")</f>
        <v>73.25</v>
      </c>
      <c r="F4619" s="33" t="n">
        <f aca="false">IF(B4619&gt;=9,AVERAGE(C4611:C4618),"")</f>
        <v>76.125</v>
      </c>
      <c r="G4619" s="33" t="n">
        <f aca="false">IF(B4619=1,"",IF(B4619=2,C4618,SES_Alpha*C4618+(1-SES_Alpha)*G4618))</f>
        <v>72.8504307652919</v>
      </c>
      <c r="H4619" s="33" t="n">
        <f aca="false">IF(D4619="","",D4619-C4619)</f>
        <v>-10</v>
      </c>
      <c r="I4619" s="33" t="n">
        <f aca="false">IF(E4619="","",E4619-C4619)</f>
        <v>1.25</v>
      </c>
      <c r="J4619" s="33" t="n">
        <f aca="false">IF(F4619="","",F4619-C4619)</f>
        <v>4.125</v>
      </c>
      <c r="K4619" s="33" t="n">
        <f aca="false">IF(G4619="","",G4619-C4619)</f>
        <v>0.850430765291847</v>
      </c>
      <c r="L4619" s="33" t="n">
        <f aca="false">IF(H4619="","",ABS(H4619))</f>
        <v>10</v>
      </c>
      <c r="M4619" s="33" t="n">
        <f aca="false">IF(I4619="","",ABS(I4619))</f>
        <v>1.25</v>
      </c>
      <c r="N4619" s="33" t="n">
        <f aca="false">IF(J4619="","",ABS(J4619))</f>
        <v>4.125</v>
      </c>
      <c r="O4619" s="33" t="n">
        <f aca="false">IF(K4619="","",ABS(K4619))</f>
        <v>0.850430765291847</v>
      </c>
      <c r="P4619" s="34" t="str">
        <f aca="false">IF(B4619&gt;=Eval_Start_Week,"YES","")</f>
        <v/>
      </c>
      <c r="Q4619" s="34" t="str">
        <f aca="false">IF(AND(B4619&gt;=Cal_Start_Week,B4619&lt;=Cal_End_Week),"YES","")</f>
        <v>YES</v>
      </c>
    </row>
    <row r="4620" customFormat="false" ht="15" hidden="false" customHeight="false" outlineLevel="0" collapsed="false">
      <c r="A4620" s="31" t="str">
        <f aca="false">Demand_History!C4620</f>
        <v>CLN-008</v>
      </c>
      <c r="B4620" s="31" t="n">
        <f aca="false">Demand_History!A4620</f>
        <v>43</v>
      </c>
      <c r="C4620" s="32" t="n">
        <f aca="false">Demand_History!D4620</f>
        <v>72</v>
      </c>
      <c r="D4620" s="33" t="n">
        <f aca="false">IF(B4620&gt;=2,C4619,"")</f>
        <v>72</v>
      </c>
      <c r="E4620" s="33" t="n">
        <f aca="false">IF(B4620&gt;=5,AVERAGE(C4616:C4619),"")</f>
        <v>70.75</v>
      </c>
      <c r="F4620" s="33" t="n">
        <f aca="false">IF(B4620&gt;=9,AVERAGE(C4612:C4619),"")</f>
        <v>76.875</v>
      </c>
      <c r="G4620" s="33" t="n">
        <f aca="false">IF(B4620=1,"",IF(B4620=2,C4619,SES_Alpha*C4619+(1-SES_Alpha)*G4619))</f>
        <v>72.5953015357043</v>
      </c>
      <c r="H4620" s="33" t="n">
        <f aca="false">IF(D4620="","",D4620-C4620)</f>
        <v>0</v>
      </c>
      <c r="I4620" s="33" t="n">
        <f aca="false">IF(E4620="","",E4620-C4620)</f>
        <v>-1.25</v>
      </c>
      <c r="J4620" s="33" t="n">
        <f aca="false">IF(F4620="","",F4620-C4620)</f>
        <v>4.875</v>
      </c>
      <c r="K4620" s="33" t="n">
        <f aca="false">IF(G4620="","",G4620-C4620)</f>
        <v>0.595301535704294</v>
      </c>
      <c r="L4620" s="33" t="n">
        <f aca="false">IF(H4620="","",ABS(H4620))</f>
        <v>0</v>
      </c>
      <c r="M4620" s="33" t="n">
        <f aca="false">IF(I4620="","",ABS(I4620))</f>
        <v>1.25</v>
      </c>
      <c r="N4620" s="33" t="n">
        <f aca="false">IF(J4620="","",ABS(J4620))</f>
        <v>4.875</v>
      </c>
      <c r="O4620" s="33" t="n">
        <f aca="false">IF(K4620="","",ABS(K4620))</f>
        <v>0.595301535704294</v>
      </c>
      <c r="P4620" s="34" t="str">
        <f aca="false">IF(B4620&gt;=Eval_Start_Week,"YES","")</f>
        <v/>
      </c>
      <c r="Q4620" s="34" t="str">
        <f aca="false">IF(AND(B4620&gt;=Cal_Start_Week,B4620&lt;=Cal_End_Week),"YES","")</f>
        <v>YES</v>
      </c>
    </row>
    <row r="4621" customFormat="false" ht="15" hidden="false" customHeight="false" outlineLevel="0" collapsed="false">
      <c r="A4621" s="31" t="str">
        <f aca="false">Demand_History!C4621</f>
        <v>CLN-008</v>
      </c>
      <c r="B4621" s="31" t="n">
        <f aca="false">Demand_History!A4621</f>
        <v>44</v>
      </c>
      <c r="C4621" s="32" t="n">
        <f aca="false">Demand_History!D4621</f>
        <v>97</v>
      </c>
      <c r="D4621" s="33" t="n">
        <f aca="false">IF(B4621&gt;=2,C4620,"")</f>
        <v>72</v>
      </c>
      <c r="E4621" s="33" t="n">
        <f aca="false">IF(B4621&gt;=5,AVERAGE(C4617:C4620),"")</f>
        <v>70</v>
      </c>
      <c r="F4621" s="33" t="n">
        <f aca="false">IF(B4621&gt;=9,AVERAGE(C4613:C4620),"")</f>
        <v>74.625</v>
      </c>
      <c r="G4621" s="33" t="n">
        <f aca="false">IF(B4621=1,"",IF(B4621=2,C4620,SES_Alpha*C4620+(1-SES_Alpha)*G4620))</f>
        <v>72.416711074993</v>
      </c>
      <c r="H4621" s="33" t="n">
        <f aca="false">IF(D4621="","",D4621-C4621)</f>
        <v>-25</v>
      </c>
      <c r="I4621" s="33" t="n">
        <f aca="false">IF(E4621="","",E4621-C4621)</f>
        <v>-27</v>
      </c>
      <c r="J4621" s="33" t="n">
        <f aca="false">IF(F4621="","",F4621-C4621)</f>
        <v>-22.375</v>
      </c>
      <c r="K4621" s="33" t="n">
        <f aca="false">IF(G4621="","",G4621-C4621)</f>
        <v>-24.583288925007</v>
      </c>
      <c r="L4621" s="33" t="n">
        <f aca="false">IF(H4621="","",ABS(H4621))</f>
        <v>25</v>
      </c>
      <c r="M4621" s="33" t="n">
        <f aca="false">IF(I4621="","",ABS(I4621))</f>
        <v>27</v>
      </c>
      <c r="N4621" s="33" t="n">
        <f aca="false">IF(J4621="","",ABS(J4621))</f>
        <v>22.375</v>
      </c>
      <c r="O4621" s="33" t="n">
        <f aca="false">IF(K4621="","",ABS(K4621))</f>
        <v>24.583288925007</v>
      </c>
      <c r="P4621" s="34" t="str">
        <f aca="false">IF(B4621&gt;=Eval_Start_Week,"YES","")</f>
        <v/>
      </c>
      <c r="Q4621" s="34" t="str">
        <f aca="false">IF(AND(B4621&gt;=Cal_Start_Week,B4621&lt;=Cal_End_Week),"YES","")</f>
        <v>YES</v>
      </c>
    </row>
    <row r="4622" customFormat="false" ht="15" hidden="false" customHeight="false" outlineLevel="0" collapsed="false">
      <c r="A4622" s="31" t="str">
        <f aca="false">Demand_History!C4622</f>
        <v>CLN-008</v>
      </c>
      <c r="B4622" s="31" t="n">
        <f aca="false">Demand_History!A4622</f>
        <v>45</v>
      </c>
      <c r="C4622" s="32" t="n">
        <f aca="false">Demand_History!D4622</f>
        <v>91</v>
      </c>
      <c r="D4622" s="33" t="n">
        <f aca="false">IF(B4622&gt;=2,C4621,"")</f>
        <v>97</v>
      </c>
      <c r="E4622" s="33" t="n">
        <f aca="false">IF(B4622&gt;=5,AVERAGE(C4618:C4621),"")</f>
        <v>75.75</v>
      </c>
      <c r="F4622" s="33" t="n">
        <f aca="false">IF(B4622&gt;=9,AVERAGE(C4614:C4621),"")</f>
        <v>77.5</v>
      </c>
      <c r="G4622" s="33" t="n">
        <f aca="false">IF(B4622=1,"",IF(B4622=2,C4621,SES_Alpha*C4621+(1-SES_Alpha)*G4621))</f>
        <v>79.7916977524951</v>
      </c>
      <c r="H4622" s="33" t="n">
        <f aca="false">IF(D4622="","",D4622-C4622)</f>
        <v>6</v>
      </c>
      <c r="I4622" s="33" t="n">
        <f aca="false">IF(E4622="","",E4622-C4622)</f>
        <v>-15.25</v>
      </c>
      <c r="J4622" s="33" t="n">
        <f aca="false">IF(F4622="","",F4622-C4622)</f>
        <v>-13.5</v>
      </c>
      <c r="K4622" s="33" t="n">
        <f aca="false">IF(G4622="","",G4622-C4622)</f>
        <v>-11.2083022475049</v>
      </c>
      <c r="L4622" s="33" t="n">
        <f aca="false">IF(H4622="","",ABS(H4622))</f>
        <v>6</v>
      </c>
      <c r="M4622" s="33" t="n">
        <f aca="false">IF(I4622="","",ABS(I4622))</f>
        <v>15.25</v>
      </c>
      <c r="N4622" s="33" t="n">
        <f aca="false">IF(J4622="","",ABS(J4622))</f>
        <v>13.5</v>
      </c>
      <c r="O4622" s="33" t="n">
        <f aca="false">IF(K4622="","",ABS(K4622))</f>
        <v>11.2083022475049</v>
      </c>
      <c r="P4622" s="34" t="str">
        <f aca="false">IF(B4622&gt;=Eval_Start_Week,"YES","")</f>
        <v/>
      </c>
      <c r="Q4622" s="34" t="str">
        <f aca="false">IF(AND(B4622&gt;=Cal_Start_Week,B4622&lt;=Cal_End_Week),"YES","")</f>
        <v>YES</v>
      </c>
    </row>
    <row r="4623" customFormat="false" ht="15" hidden="false" customHeight="false" outlineLevel="0" collapsed="false">
      <c r="A4623" s="31" t="str">
        <f aca="false">Demand_History!C4623</f>
        <v>CLN-008</v>
      </c>
      <c r="B4623" s="31" t="n">
        <f aca="false">Demand_History!A4623</f>
        <v>46</v>
      </c>
      <c r="C4623" s="32" t="n">
        <f aca="false">Demand_History!D4623</f>
        <v>65</v>
      </c>
      <c r="D4623" s="33" t="n">
        <f aca="false">IF(B4623&gt;=2,C4622,"")</f>
        <v>91</v>
      </c>
      <c r="E4623" s="33" t="n">
        <f aca="false">IF(B4623&gt;=5,AVERAGE(C4619:C4622),"")</f>
        <v>83</v>
      </c>
      <c r="F4623" s="33" t="n">
        <f aca="false">IF(B4623&gt;=9,AVERAGE(C4615:C4622),"")</f>
        <v>78.125</v>
      </c>
      <c r="G4623" s="33" t="n">
        <f aca="false">IF(B4623=1,"",IF(B4623=2,C4622,SES_Alpha*C4622+(1-SES_Alpha)*G4622))</f>
        <v>83.1541884267466</v>
      </c>
      <c r="H4623" s="33" t="n">
        <f aca="false">IF(D4623="","",D4623-C4623)</f>
        <v>26</v>
      </c>
      <c r="I4623" s="33" t="n">
        <f aca="false">IF(E4623="","",E4623-C4623)</f>
        <v>18</v>
      </c>
      <c r="J4623" s="33" t="n">
        <f aca="false">IF(F4623="","",F4623-C4623)</f>
        <v>13.125</v>
      </c>
      <c r="K4623" s="33" t="n">
        <f aca="false">IF(G4623="","",G4623-C4623)</f>
        <v>18.1541884267466</v>
      </c>
      <c r="L4623" s="33" t="n">
        <f aca="false">IF(H4623="","",ABS(H4623))</f>
        <v>26</v>
      </c>
      <c r="M4623" s="33" t="n">
        <f aca="false">IF(I4623="","",ABS(I4623))</f>
        <v>18</v>
      </c>
      <c r="N4623" s="33" t="n">
        <f aca="false">IF(J4623="","",ABS(J4623))</f>
        <v>13.125</v>
      </c>
      <c r="O4623" s="33" t="n">
        <f aca="false">IF(K4623="","",ABS(K4623))</f>
        <v>18.1541884267466</v>
      </c>
      <c r="P4623" s="34" t="str">
        <f aca="false">IF(B4623&gt;=Eval_Start_Week,"YES","")</f>
        <v/>
      </c>
      <c r="Q4623" s="34" t="str">
        <f aca="false">IF(AND(B4623&gt;=Cal_Start_Week,B4623&lt;=Cal_End_Week),"YES","")</f>
        <v>YES</v>
      </c>
    </row>
    <row r="4624" customFormat="false" ht="15" hidden="false" customHeight="false" outlineLevel="0" collapsed="false">
      <c r="A4624" s="31" t="str">
        <f aca="false">Demand_History!C4624</f>
        <v>CLN-008</v>
      </c>
      <c r="B4624" s="31" t="n">
        <f aca="false">Demand_History!A4624</f>
        <v>47</v>
      </c>
      <c r="C4624" s="32" t="n">
        <f aca="false">Demand_History!D4624</f>
        <v>88</v>
      </c>
      <c r="D4624" s="33" t="n">
        <f aca="false">IF(B4624&gt;=2,C4623,"")</f>
        <v>65</v>
      </c>
      <c r="E4624" s="33" t="n">
        <f aca="false">IF(B4624&gt;=5,AVERAGE(C4620:C4623),"")</f>
        <v>81.25</v>
      </c>
      <c r="F4624" s="33" t="n">
        <f aca="false">IF(B4624&gt;=9,AVERAGE(C4616:C4623),"")</f>
        <v>76</v>
      </c>
      <c r="G4624" s="33" t="n">
        <f aca="false">IF(B4624=1,"",IF(B4624=2,C4623,SES_Alpha*C4623+(1-SES_Alpha)*G4623))</f>
        <v>77.7079318987226</v>
      </c>
      <c r="H4624" s="33" t="n">
        <f aca="false">IF(D4624="","",D4624-C4624)</f>
        <v>-23</v>
      </c>
      <c r="I4624" s="33" t="n">
        <f aca="false">IF(E4624="","",E4624-C4624)</f>
        <v>-6.75</v>
      </c>
      <c r="J4624" s="33" t="n">
        <f aca="false">IF(F4624="","",F4624-C4624)</f>
        <v>-12</v>
      </c>
      <c r="K4624" s="33" t="n">
        <f aca="false">IF(G4624="","",G4624-C4624)</f>
        <v>-10.2920681012774</v>
      </c>
      <c r="L4624" s="33" t="n">
        <f aca="false">IF(H4624="","",ABS(H4624))</f>
        <v>23</v>
      </c>
      <c r="M4624" s="33" t="n">
        <f aca="false">IF(I4624="","",ABS(I4624))</f>
        <v>6.75</v>
      </c>
      <c r="N4624" s="33" t="n">
        <f aca="false">IF(J4624="","",ABS(J4624))</f>
        <v>12</v>
      </c>
      <c r="O4624" s="33" t="n">
        <f aca="false">IF(K4624="","",ABS(K4624))</f>
        <v>10.2920681012774</v>
      </c>
      <c r="P4624" s="34" t="str">
        <f aca="false">IF(B4624&gt;=Eval_Start_Week,"YES","")</f>
        <v/>
      </c>
      <c r="Q4624" s="34" t="str">
        <f aca="false">IF(AND(B4624&gt;=Cal_Start_Week,B4624&lt;=Cal_End_Week),"YES","")</f>
        <v>YES</v>
      </c>
    </row>
    <row r="4625" customFormat="false" ht="15" hidden="false" customHeight="false" outlineLevel="0" collapsed="false">
      <c r="A4625" s="31" t="str">
        <f aca="false">Demand_History!C4625</f>
        <v>CLN-008</v>
      </c>
      <c r="B4625" s="31" t="n">
        <f aca="false">Demand_History!A4625</f>
        <v>48</v>
      </c>
      <c r="C4625" s="32" t="n">
        <f aca="false">Demand_History!D4625</f>
        <v>82</v>
      </c>
      <c r="D4625" s="33" t="n">
        <f aca="false">IF(B4625&gt;=2,C4624,"")</f>
        <v>88</v>
      </c>
      <c r="E4625" s="33" t="n">
        <f aca="false">IF(B4625&gt;=5,AVERAGE(C4621:C4624),"")</f>
        <v>85.25</v>
      </c>
      <c r="F4625" s="33" t="n">
        <f aca="false">IF(B4625&gt;=9,AVERAGE(C4617:C4624),"")</f>
        <v>77.625</v>
      </c>
      <c r="G4625" s="33" t="n">
        <f aca="false">IF(B4625=1,"",IF(B4625=2,C4624,SES_Alpha*C4624+(1-SES_Alpha)*G4624))</f>
        <v>80.7955523291058</v>
      </c>
      <c r="H4625" s="33" t="n">
        <f aca="false">IF(D4625="","",D4625-C4625)</f>
        <v>6</v>
      </c>
      <c r="I4625" s="33" t="n">
        <f aca="false">IF(E4625="","",E4625-C4625)</f>
        <v>3.25</v>
      </c>
      <c r="J4625" s="33" t="n">
        <f aca="false">IF(F4625="","",F4625-C4625)</f>
        <v>-4.375</v>
      </c>
      <c r="K4625" s="33" t="n">
        <f aca="false">IF(G4625="","",G4625-C4625)</f>
        <v>-1.20444767089418</v>
      </c>
      <c r="L4625" s="33" t="n">
        <f aca="false">IF(H4625="","",ABS(H4625))</f>
        <v>6</v>
      </c>
      <c r="M4625" s="33" t="n">
        <f aca="false">IF(I4625="","",ABS(I4625))</f>
        <v>3.25</v>
      </c>
      <c r="N4625" s="33" t="n">
        <f aca="false">IF(J4625="","",ABS(J4625))</f>
        <v>4.375</v>
      </c>
      <c r="O4625" s="33" t="n">
        <f aca="false">IF(K4625="","",ABS(K4625))</f>
        <v>1.20444767089418</v>
      </c>
      <c r="P4625" s="34" t="str">
        <f aca="false">IF(B4625&gt;=Eval_Start_Week,"YES","")</f>
        <v/>
      </c>
      <c r="Q4625" s="34" t="str">
        <f aca="false">IF(AND(B4625&gt;=Cal_Start_Week,B4625&lt;=Cal_End_Week),"YES","")</f>
        <v>YES</v>
      </c>
    </row>
    <row r="4626" customFormat="false" ht="15" hidden="false" customHeight="false" outlineLevel="0" collapsed="false">
      <c r="A4626" s="31" t="str">
        <f aca="false">Demand_History!C4626</f>
        <v>CLN-008</v>
      </c>
      <c r="B4626" s="31" t="n">
        <f aca="false">Demand_History!A4626</f>
        <v>49</v>
      </c>
      <c r="C4626" s="32" t="n">
        <f aca="false">Demand_History!D4626</f>
        <v>76</v>
      </c>
      <c r="D4626" s="33" t="n">
        <f aca="false">IF(B4626&gt;=2,C4625,"")</f>
        <v>82</v>
      </c>
      <c r="E4626" s="33" t="n">
        <f aca="false">IF(B4626&gt;=5,AVERAGE(C4622:C4625),"")</f>
        <v>81.5</v>
      </c>
      <c r="F4626" s="33" t="n">
        <f aca="false">IF(B4626&gt;=9,AVERAGE(C4618:C4625),"")</f>
        <v>78.625</v>
      </c>
      <c r="G4626" s="33" t="n">
        <f aca="false">IF(B4626=1,"",IF(B4626=2,C4625,SES_Alpha*C4625+(1-SES_Alpha)*G4625))</f>
        <v>81.1568866303741</v>
      </c>
      <c r="H4626" s="33" t="n">
        <f aca="false">IF(D4626="","",D4626-C4626)</f>
        <v>6</v>
      </c>
      <c r="I4626" s="33" t="n">
        <f aca="false">IF(E4626="","",E4626-C4626)</f>
        <v>5.5</v>
      </c>
      <c r="J4626" s="33" t="n">
        <f aca="false">IF(F4626="","",F4626-C4626)</f>
        <v>2.625</v>
      </c>
      <c r="K4626" s="33" t="n">
        <f aca="false">IF(G4626="","",G4626-C4626)</f>
        <v>5.15688663037406</v>
      </c>
      <c r="L4626" s="33" t="n">
        <f aca="false">IF(H4626="","",ABS(H4626))</f>
        <v>6</v>
      </c>
      <c r="M4626" s="33" t="n">
        <f aca="false">IF(I4626="","",ABS(I4626))</f>
        <v>5.5</v>
      </c>
      <c r="N4626" s="33" t="n">
        <f aca="false">IF(J4626="","",ABS(J4626))</f>
        <v>2.625</v>
      </c>
      <c r="O4626" s="33" t="n">
        <f aca="false">IF(K4626="","",ABS(K4626))</f>
        <v>5.15688663037406</v>
      </c>
      <c r="P4626" s="34" t="str">
        <f aca="false">IF(B4626&gt;=Eval_Start_Week,"YES","")</f>
        <v/>
      </c>
      <c r="Q4626" s="34" t="str">
        <f aca="false">IF(AND(B4626&gt;=Cal_Start_Week,B4626&lt;=Cal_End_Week),"YES","")</f>
        <v>YES</v>
      </c>
    </row>
    <row r="4627" customFormat="false" ht="15" hidden="false" customHeight="false" outlineLevel="0" collapsed="false">
      <c r="A4627" s="31" t="str">
        <f aca="false">Demand_History!C4627</f>
        <v>CLN-008</v>
      </c>
      <c r="B4627" s="31" t="n">
        <f aca="false">Demand_History!A4627</f>
        <v>50</v>
      </c>
      <c r="C4627" s="32" t="n">
        <f aca="false">Demand_History!D4627</f>
        <v>85</v>
      </c>
      <c r="D4627" s="33" t="n">
        <f aca="false">IF(B4627&gt;=2,C4626,"")</f>
        <v>76</v>
      </c>
      <c r="E4627" s="33" t="n">
        <f aca="false">IF(B4627&gt;=5,AVERAGE(C4623:C4626),"")</f>
        <v>77.75</v>
      </c>
      <c r="F4627" s="33" t="n">
        <f aca="false">IF(B4627&gt;=9,AVERAGE(C4619:C4626),"")</f>
        <v>80.375</v>
      </c>
      <c r="G4627" s="33" t="n">
        <f aca="false">IF(B4627=1,"",IF(B4627=2,C4626,SES_Alpha*C4626+(1-SES_Alpha)*G4626))</f>
        <v>79.6098206412618</v>
      </c>
      <c r="H4627" s="33" t="n">
        <f aca="false">IF(D4627="","",D4627-C4627)</f>
        <v>-9</v>
      </c>
      <c r="I4627" s="33" t="n">
        <f aca="false">IF(E4627="","",E4627-C4627)</f>
        <v>-7.25</v>
      </c>
      <c r="J4627" s="33" t="n">
        <f aca="false">IF(F4627="","",F4627-C4627)</f>
        <v>-4.625</v>
      </c>
      <c r="K4627" s="33" t="n">
        <f aca="false">IF(G4627="","",G4627-C4627)</f>
        <v>-5.39017935873817</v>
      </c>
      <c r="L4627" s="33" t="n">
        <f aca="false">IF(H4627="","",ABS(H4627))</f>
        <v>9</v>
      </c>
      <c r="M4627" s="33" t="n">
        <f aca="false">IF(I4627="","",ABS(I4627))</f>
        <v>7.25</v>
      </c>
      <c r="N4627" s="33" t="n">
        <f aca="false">IF(J4627="","",ABS(J4627))</f>
        <v>4.625</v>
      </c>
      <c r="O4627" s="33" t="n">
        <f aca="false">IF(K4627="","",ABS(K4627))</f>
        <v>5.39017935873817</v>
      </c>
      <c r="P4627" s="34" t="str">
        <f aca="false">IF(B4627&gt;=Eval_Start_Week,"YES","")</f>
        <v/>
      </c>
      <c r="Q4627" s="34" t="str">
        <f aca="false">IF(AND(B4627&gt;=Cal_Start_Week,B4627&lt;=Cal_End_Week),"YES","")</f>
        <v>YES</v>
      </c>
    </row>
    <row r="4628" customFormat="false" ht="15" hidden="false" customHeight="false" outlineLevel="0" collapsed="false">
      <c r="A4628" s="31" t="str">
        <f aca="false">Demand_History!C4628</f>
        <v>CLN-008</v>
      </c>
      <c r="B4628" s="31" t="n">
        <f aca="false">Demand_History!A4628</f>
        <v>51</v>
      </c>
      <c r="C4628" s="32" t="n">
        <f aca="false">Demand_History!D4628</f>
        <v>88</v>
      </c>
      <c r="D4628" s="33" t="n">
        <f aca="false">IF(B4628&gt;=2,C4627,"")</f>
        <v>85</v>
      </c>
      <c r="E4628" s="33" t="n">
        <f aca="false">IF(B4628&gt;=5,AVERAGE(C4624:C4627),"")</f>
        <v>82.75</v>
      </c>
      <c r="F4628" s="33" t="n">
        <f aca="false">IF(B4628&gt;=9,AVERAGE(C4620:C4627),"")</f>
        <v>82</v>
      </c>
      <c r="G4628" s="33" t="n">
        <f aca="false">IF(B4628=1,"",IF(B4628=2,C4627,SES_Alpha*C4627+(1-SES_Alpha)*G4627))</f>
        <v>81.2268744488833</v>
      </c>
      <c r="H4628" s="33" t="n">
        <f aca="false">IF(D4628="","",D4628-C4628)</f>
        <v>-3</v>
      </c>
      <c r="I4628" s="33" t="n">
        <f aca="false">IF(E4628="","",E4628-C4628)</f>
        <v>-5.25</v>
      </c>
      <c r="J4628" s="33" t="n">
        <f aca="false">IF(F4628="","",F4628-C4628)</f>
        <v>-6</v>
      </c>
      <c r="K4628" s="33" t="n">
        <f aca="false">IF(G4628="","",G4628-C4628)</f>
        <v>-6.77312555111672</v>
      </c>
      <c r="L4628" s="33" t="n">
        <f aca="false">IF(H4628="","",ABS(H4628))</f>
        <v>3</v>
      </c>
      <c r="M4628" s="33" t="n">
        <f aca="false">IF(I4628="","",ABS(I4628))</f>
        <v>5.25</v>
      </c>
      <c r="N4628" s="33" t="n">
        <f aca="false">IF(J4628="","",ABS(J4628))</f>
        <v>6</v>
      </c>
      <c r="O4628" s="33" t="n">
        <f aca="false">IF(K4628="","",ABS(K4628))</f>
        <v>6.77312555111672</v>
      </c>
      <c r="P4628" s="34" t="str">
        <f aca="false">IF(B4628&gt;=Eval_Start_Week,"YES","")</f>
        <v/>
      </c>
      <c r="Q4628" s="34" t="str">
        <f aca="false">IF(AND(B4628&gt;=Cal_Start_Week,B4628&lt;=Cal_End_Week),"YES","")</f>
        <v>YES</v>
      </c>
    </row>
    <row r="4629" customFormat="false" ht="15" hidden="false" customHeight="false" outlineLevel="0" collapsed="false">
      <c r="A4629" s="31" t="str">
        <f aca="false">Demand_History!C4629</f>
        <v>CLN-008</v>
      </c>
      <c r="B4629" s="31" t="n">
        <f aca="false">Demand_History!A4629</f>
        <v>52</v>
      </c>
      <c r="C4629" s="32" t="n">
        <f aca="false">Demand_History!D4629</f>
        <v>74</v>
      </c>
      <c r="D4629" s="33" t="n">
        <f aca="false">IF(B4629&gt;=2,C4628,"")</f>
        <v>88</v>
      </c>
      <c r="E4629" s="33" t="n">
        <f aca="false">IF(B4629&gt;=5,AVERAGE(C4625:C4628),"")</f>
        <v>82.75</v>
      </c>
      <c r="F4629" s="33" t="n">
        <f aca="false">IF(B4629&gt;=9,AVERAGE(C4621:C4628),"")</f>
        <v>84</v>
      </c>
      <c r="G4629" s="33" t="n">
        <f aca="false">IF(B4629=1,"",IF(B4629=2,C4628,SES_Alpha*C4628+(1-SES_Alpha)*G4628))</f>
        <v>83.2588121142183</v>
      </c>
      <c r="H4629" s="33" t="n">
        <f aca="false">IF(D4629="","",D4629-C4629)</f>
        <v>14</v>
      </c>
      <c r="I4629" s="33" t="n">
        <f aca="false">IF(E4629="","",E4629-C4629)</f>
        <v>8.75</v>
      </c>
      <c r="J4629" s="33" t="n">
        <f aca="false">IF(F4629="","",F4629-C4629)</f>
        <v>10</v>
      </c>
      <c r="K4629" s="33" t="n">
        <f aca="false">IF(G4629="","",G4629-C4629)</f>
        <v>9.25881211421829</v>
      </c>
      <c r="L4629" s="33" t="n">
        <f aca="false">IF(H4629="","",ABS(H4629))</f>
        <v>14</v>
      </c>
      <c r="M4629" s="33" t="n">
        <f aca="false">IF(I4629="","",ABS(I4629))</f>
        <v>8.75</v>
      </c>
      <c r="N4629" s="33" t="n">
        <f aca="false">IF(J4629="","",ABS(J4629))</f>
        <v>10</v>
      </c>
      <c r="O4629" s="33" t="n">
        <f aca="false">IF(K4629="","",ABS(K4629))</f>
        <v>9.25881211421829</v>
      </c>
      <c r="P4629" s="34" t="str">
        <f aca="false">IF(B4629&gt;=Eval_Start_Week,"YES","")</f>
        <v/>
      </c>
      <c r="Q4629" s="34" t="str">
        <f aca="false">IF(AND(B4629&gt;=Cal_Start_Week,B4629&lt;=Cal_End_Week),"YES","")</f>
        <v>YES</v>
      </c>
    </row>
    <row r="4630" customFormat="false" ht="15" hidden="false" customHeight="false" outlineLevel="0" collapsed="false">
      <c r="A4630" s="31" t="str">
        <f aca="false">Demand_History!C4630</f>
        <v>CLN-008</v>
      </c>
      <c r="B4630" s="31" t="n">
        <f aca="false">Demand_History!A4630</f>
        <v>53</v>
      </c>
      <c r="C4630" s="32" t="n">
        <f aca="false">Demand_History!D4630</f>
        <v>77</v>
      </c>
      <c r="D4630" s="33" t="n">
        <f aca="false">IF(B4630&gt;=2,C4629,"")</f>
        <v>74</v>
      </c>
      <c r="E4630" s="33" t="n">
        <f aca="false">IF(B4630&gt;=5,AVERAGE(C4626:C4629),"")</f>
        <v>80.75</v>
      </c>
      <c r="F4630" s="33" t="n">
        <f aca="false">IF(B4630&gt;=9,AVERAGE(C4622:C4629),"")</f>
        <v>81.125</v>
      </c>
      <c r="G4630" s="33" t="n">
        <f aca="false">IF(B4630=1,"",IF(B4630=2,C4629,SES_Alpha*C4629+(1-SES_Alpha)*G4629))</f>
        <v>80.4811684799528</v>
      </c>
      <c r="H4630" s="33" t="n">
        <f aca="false">IF(D4630="","",D4630-C4630)</f>
        <v>-3</v>
      </c>
      <c r="I4630" s="33" t="n">
        <f aca="false">IF(E4630="","",E4630-C4630)</f>
        <v>3.75</v>
      </c>
      <c r="J4630" s="33" t="n">
        <f aca="false">IF(F4630="","",F4630-C4630)</f>
        <v>4.125</v>
      </c>
      <c r="K4630" s="33" t="n">
        <f aca="false">IF(G4630="","",G4630-C4630)</f>
        <v>3.4811684799528</v>
      </c>
      <c r="L4630" s="33" t="n">
        <f aca="false">IF(H4630="","",ABS(H4630))</f>
        <v>3</v>
      </c>
      <c r="M4630" s="33" t="n">
        <f aca="false">IF(I4630="","",ABS(I4630))</f>
        <v>3.75</v>
      </c>
      <c r="N4630" s="33" t="n">
        <f aca="false">IF(J4630="","",ABS(J4630))</f>
        <v>4.125</v>
      </c>
      <c r="O4630" s="33" t="n">
        <f aca="false">IF(K4630="","",ABS(K4630))</f>
        <v>3.4811684799528</v>
      </c>
      <c r="P4630" s="34" t="str">
        <f aca="false">IF(B4630&gt;=Eval_Start_Week,"YES","")</f>
        <v>YES</v>
      </c>
      <c r="Q4630" s="34" t="str">
        <f aca="false">IF(AND(B4630&gt;=Cal_Start_Week,B4630&lt;=Cal_End_Week),"YES","")</f>
        <v>YES</v>
      </c>
    </row>
    <row r="4631" customFormat="false" ht="15" hidden="false" customHeight="false" outlineLevel="0" collapsed="false">
      <c r="A4631" s="31" t="str">
        <f aca="false">Demand_History!C4631</f>
        <v>CLN-008</v>
      </c>
      <c r="B4631" s="31" t="n">
        <f aca="false">Demand_History!A4631</f>
        <v>54</v>
      </c>
      <c r="C4631" s="32" t="n">
        <f aca="false">Demand_History!D4631</f>
        <v>82</v>
      </c>
      <c r="D4631" s="33" t="n">
        <f aca="false">IF(B4631&gt;=2,C4630,"")</f>
        <v>77</v>
      </c>
      <c r="E4631" s="33" t="n">
        <f aca="false">IF(B4631&gt;=5,AVERAGE(C4627:C4630),"")</f>
        <v>81</v>
      </c>
      <c r="F4631" s="33" t="n">
        <f aca="false">IF(B4631&gt;=9,AVERAGE(C4623:C4630),"")</f>
        <v>79.375</v>
      </c>
      <c r="G4631" s="33" t="n">
        <f aca="false">IF(B4631=1,"",IF(B4631=2,C4630,SES_Alpha*C4630+(1-SES_Alpha)*G4630))</f>
        <v>79.436817935967</v>
      </c>
      <c r="H4631" s="33" t="n">
        <f aca="false">IF(D4631="","",D4631-C4631)</f>
        <v>-5</v>
      </c>
      <c r="I4631" s="33" t="n">
        <f aca="false">IF(E4631="","",E4631-C4631)</f>
        <v>-1</v>
      </c>
      <c r="J4631" s="33" t="n">
        <f aca="false">IF(F4631="","",F4631-C4631)</f>
        <v>-2.625</v>
      </c>
      <c r="K4631" s="33" t="n">
        <f aca="false">IF(G4631="","",G4631-C4631)</f>
        <v>-2.56318206403304</v>
      </c>
      <c r="L4631" s="33" t="n">
        <f aca="false">IF(H4631="","",ABS(H4631))</f>
        <v>5</v>
      </c>
      <c r="M4631" s="33" t="n">
        <f aca="false">IF(I4631="","",ABS(I4631))</f>
        <v>1</v>
      </c>
      <c r="N4631" s="33" t="n">
        <f aca="false">IF(J4631="","",ABS(J4631))</f>
        <v>2.625</v>
      </c>
      <c r="O4631" s="33" t="n">
        <f aca="false">IF(K4631="","",ABS(K4631))</f>
        <v>2.56318206403304</v>
      </c>
      <c r="P4631" s="34" t="str">
        <f aca="false">IF(B4631&gt;=Eval_Start_Week,"YES","")</f>
        <v>YES</v>
      </c>
      <c r="Q4631" s="34" t="str">
        <f aca="false">IF(AND(B4631&gt;=Cal_Start_Week,B4631&lt;=Cal_End_Week),"YES","")</f>
        <v>YES</v>
      </c>
    </row>
    <row r="4632" customFormat="false" ht="15" hidden="false" customHeight="false" outlineLevel="0" collapsed="false">
      <c r="A4632" s="31" t="str">
        <f aca="false">Demand_History!C4632</f>
        <v>CLN-008</v>
      </c>
      <c r="B4632" s="31" t="n">
        <f aca="false">Demand_History!A4632</f>
        <v>55</v>
      </c>
      <c r="C4632" s="32" t="n">
        <f aca="false">Demand_History!D4632</f>
        <v>69</v>
      </c>
      <c r="D4632" s="33" t="n">
        <f aca="false">IF(B4632&gt;=2,C4631,"")</f>
        <v>82</v>
      </c>
      <c r="E4632" s="33" t="n">
        <f aca="false">IF(B4632&gt;=5,AVERAGE(C4628:C4631),"")</f>
        <v>80.25</v>
      </c>
      <c r="F4632" s="33" t="n">
        <f aca="false">IF(B4632&gt;=9,AVERAGE(C4624:C4631),"")</f>
        <v>81.5</v>
      </c>
      <c r="G4632" s="33" t="n">
        <f aca="false">IF(B4632=1,"",IF(B4632=2,C4631,SES_Alpha*C4631+(1-SES_Alpha)*G4631))</f>
        <v>80.2057725551769</v>
      </c>
      <c r="H4632" s="33" t="n">
        <f aca="false">IF(D4632="","",D4632-C4632)</f>
        <v>13</v>
      </c>
      <c r="I4632" s="33" t="n">
        <f aca="false">IF(E4632="","",E4632-C4632)</f>
        <v>11.25</v>
      </c>
      <c r="J4632" s="33" t="n">
        <f aca="false">IF(F4632="","",F4632-C4632)</f>
        <v>12.5</v>
      </c>
      <c r="K4632" s="33" t="n">
        <f aca="false">IF(G4632="","",G4632-C4632)</f>
        <v>11.2057725551769</v>
      </c>
      <c r="L4632" s="33" t="n">
        <f aca="false">IF(H4632="","",ABS(H4632))</f>
        <v>13</v>
      </c>
      <c r="M4632" s="33" t="n">
        <f aca="false">IF(I4632="","",ABS(I4632))</f>
        <v>11.25</v>
      </c>
      <c r="N4632" s="33" t="n">
        <f aca="false">IF(J4632="","",ABS(J4632))</f>
        <v>12.5</v>
      </c>
      <c r="O4632" s="33" t="n">
        <f aca="false">IF(K4632="","",ABS(K4632))</f>
        <v>11.2057725551769</v>
      </c>
      <c r="P4632" s="34" t="str">
        <f aca="false">IF(B4632&gt;=Eval_Start_Week,"YES","")</f>
        <v>YES</v>
      </c>
      <c r="Q4632" s="34" t="str">
        <f aca="false">IF(AND(B4632&gt;=Cal_Start_Week,B4632&lt;=Cal_End_Week),"YES","")</f>
        <v>YES</v>
      </c>
    </row>
    <row r="4633" customFormat="false" ht="15" hidden="false" customHeight="false" outlineLevel="0" collapsed="false">
      <c r="A4633" s="31" t="str">
        <f aca="false">Demand_History!C4633</f>
        <v>CLN-008</v>
      </c>
      <c r="B4633" s="31" t="n">
        <f aca="false">Demand_History!A4633</f>
        <v>56</v>
      </c>
      <c r="C4633" s="32" t="n">
        <f aca="false">Demand_History!D4633</f>
        <v>82</v>
      </c>
      <c r="D4633" s="33" t="n">
        <f aca="false">IF(B4633&gt;=2,C4632,"")</f>
        <v>69</v>
      </c>
      <c r="E4633" s="33" t="n">
        <f aca="false">IF(B4633&gt;=5,AVERAGE(C4629:C4632),"")</f>
        <v>75.5</v>
      </c>
      <c r="F4633" s="33" t="n">
        <f aca="false">IF(B4633&gt;=9,AVERAGE(C4625:C4632),"")</f>
        <v>79.125</v>
      </c>
      <c r="G4633" s="33" t="n">
        <f aca="false">IF(B4633=1,"",IF(B4633=2,C4632,SES_Alpha*C4632+(1-SES_Alpha)*G4632))</f>
        <v>76.8440407886238</v>
      </c>
      <c r="H4633" s="33" t="n">
        <f aca="false">IF(D4633="","",D4633-C4633)</f>
        <v>-13</v>
      </c>
      <c r="I4633" s="33" t="n">
        <f aca="false">IF(E4633="","",E4633-C4633)</f>
        <v>-6.5</v>
      </c>
      <c r="J4633" s="33" t="n">
        <f aca="false">IF(F4633="","",F4633-C4633)</f>
        <v>-2.875</v>
      </c>
      <c r="K4633" s="33" t="n">
        <f aca="false">IF(G4633="","",G4633-C4633)</f>
        <v>-5.1559592113762</v>
      </c>
      <c r="L4633" s="33" t="n">
        <f aca="false">IF(H4633="","",ABS(H4633))</f>
        <v>13</v>
      </c>
      <c r="M4633" s="33" t="n">
        <f aca="false">IF(I4633="","",ABS(I4633))</f>
        <v>6.5</v>
      </c>
      <c r="N4633" s="33" t="n">
        <f aca="false">IF(J4633="","",ABS(J4633))</f>
        <v>2.875</v>
      </c>
      <c r="O4633" s="33" t="n">
        <f aca="false">IF(K4633="","",ABS(K4633))</f>
        <v>5.1559592113762</v>
      </c>
      <c r="P4633" s="34" t="str">
        <f aca="false">IF(B4633&gt;=Eval_Start_Week,"YES","")</f>
        <v>YES</v>
      </c>
      <c r="Q4633" s="34" t="str">
        <f aca="false">IF(AND(B4633&gt;=Cal_Start_Week,B4633&lt;=Cal_End_Week),"YES","")</f>
        <v>YES</v>
      </c>
    </row>
    <row r="4634" customFormat="false" ht="15" hidden="false" customHeight="false" outlineLevel="0" collapsed="false">
      <c r="A4634" s="31" t="str">
        <f aca="false">Demand_History!C4634</f>
        <v>CLN-008</v>
      </c>
      <c r="B4634" s="31" t="n">
        <f aca="false">Demand_History!A4634</f>
        <v>57</v>
      </c>
      <c r="C4634" s="32" t="n">
        <f aca="false">Demand_History!D4634</f>
        <v>79</v>
      </c>
      <c r="D4634" s="33" t="n">
        <f aca="false">IF(B4634&gt;=2,C4633,"")</f>
        <v>82</v>
      </c>
      <c r="E4634" s="33" t="n">
        <f aca="false">IF(B4634&gt;=5,AVERAGE(C4630:C4633),"")</f>
        <v>77.5</v>
      </c>
      <c r="F4634" s="33" t="n">
        <f aca="false">IF(B4634&gt;=9,AVERAGE(C4626:C4633),"")</f>
        <v>79.125</v>
      </c>
      <c r="G4634" s="33" t="n">
        <f aca="false">IF(B4634=1,"",IF(B4634=2,C4633,SES_Alpha*C4633+(1-SES_Alpha)*G4633))</f>
        <v>78.3908285520367</v>
      </c>
      <c r="H4634" s="33" t="n">
        <f aca="false">IF(D4634="","",D4634-C4634)</f>
        <v>3</v>
      </c>
      <c r="I4634" s="33" t="n">
        <f aca="false">IF(E4634="","",E4634-C4634)</f>
        <v>-1.5</v>
      </c>
      <c r="J4634" s="33" t="n">
        <f aca="false">IF(F4634="","",F4634-C4634)</f>
        <v>0.125</v>
      </c>
      <c r="K4634" s="33" t="n">
        <f aca="false">IF(G4634="","",G4634-C4634)</f>
        <v>-0.609171447963348</v>
      </c>
      <c r="L4634" s="33" t="n">
        <f aca="false">IF(H4634="","",ABS(H4634))</f>
        <v>3</v>
      </c>
      <c r="M4634" s="33" t="n">
        <f aca="false">IF(I4634="","",ABS(I4634))</f>
        <v>1.5</v>
      </c>
      <c r="N4634" s="33" t="n">
        <f aca="false">IF(J4634="","",ABS(J4634))</f>
        <v>0.125</v>
      </c>
      <c r="O4634" s="33" t="n">
        <f aca="false">IF(K4634="","",ABS(K4634))</f>
        <v>0.609171447963348</v>
      </c>
      <c r="P4634" s="34" t="str">
        <f aca="false">IF(B4634&gt;=Eval_Start_Week,"YES","")</f>
        <v>YES</v>
      </c>
      <c r="Q4634" s="34" t="str">
        <f aca="false">IF(AND(B4634&gt;=Cal_Start_Week,B4634&lt;=Cal_End_Week),"YES","")</f>
        <v>YES</v>
      </c>
    </row>
    <row r="4635" customFormat="false" ht="15" hidden="false" customHeight="false" outlineLevel="0" collapsed="false">
      <c r="A4635" s="31" t="str">
        <f aca="false">Demand_History!C4635</f>
        <v>CLN-008</v>
      </c>
      <c r="B4635" s="31" t="n">
        <f aca="false">Demand_History!A4635</f>
        <v>58</v>
      </c>
      <c r="C4635" s="32" t="n">
        <f aca="false">Demand_History!D4635</f>
        <v>73</v>
      </c>
      <c r="D4635" s="33" t="n">
        <f aca="false">IF(B4635&gt;=2,C4634,"")</f>
        <v>79</v>
      </c>
      <c r="E4635" s="33" t="n">
        <f aca="false">IF(B4635&gt;=5,AVERAGE(C4631:C4634),"")</f>
        <v>78</v>
      </c>
      <c r="F4635" s="33" t="n">
        <f aca="false">IF(B4635&gt;=9,AVERAGE(C4627:C4634),"")</f>
        <v>79.5</v>
      </c>
      <c r="G4635" s="33" t="n">
        <f aca="false">IF(B4635=1,"",IF(B4635=2,C4634,SES_Alpha*C4634+(1-SES_Alpha)*G4634))</f>
        <v>78.5735799864257</v>
      </c>
      <c r="H4635" s="33" t="n">
        <f aca="false">IF(D4635="","",D4635-C4635)</f>
        <v>6</v>
      </c>
      <c r="I4635" s="33" t="n">
        <f aca="false">IF(E4635="","",E4635-C4635)</f>
        <v>5</v>
      </c>
      <c r="J4635" s="33" t="n">
        <f aca="false">IF(F4635="","",F4635-C4635)</f>
        <v>6.5</v>
      </c>
      <c r="K4635" s="33" t="n">
        <f aca="false">IF(G4635="","",G4635-C4635)</f>
        <v>5.57357998642566</v>
      </c>
      <c r="L4635" s="33" t="n">
        <f aca="false">IF(H4635="","",ABS(H4635))</f>
        <v>6</v>
      </c>
      <c r="M4635" s="33" t="n">
        <f aca="false">IF(I4635="","",ABS(I4635))</f>
        <v>5</v>
      </c>
      <c r="N4635" s="33" t="n">
        <f aca="false">IF(J4635="","",ABS(J4635))</f>
        <v>6.5</v>
      </c>
      <c r="O4635" s="33" t="n">
        <f aca="false">IF(K4635="","",ABS(K4635))</f>
        <v>5.57357998642566</v>
      </c>
      <c r="P4635" s="34" t="str">
        <f aca="false">IF(B4635&gt;=Eval_Start_Week,"YES","")</f>
        <v>YES</v>
      </c>
      <c r="Q4635" s="34" t="str">
        <f aca="false">IF(AND(B4635&gt;=Cal_Start_Week,B4635&lt;=Cal_End_Week),"YES","")</f>
        <v>YES</v>
      </c>
    </row>
    <row r="4636" customFormat="false" ht="15" hidden="false" customHeight="false" outlineLevel="0" collapsed="false">
      <c r="A4636" s="31" t="str">
        <f aca="false">Demand_History!C4636</f>
        <v>CLN-008</v>
      </c>
      <c r="B4636" s="31" t="n">
        <f aca="false">Demand_History!A4636</f>
        <v>59</v>
      </c>
      <c r="C4636" s="32" t="n">
        <f aca="false">Demand_History!D4636</f>
        <v>71</v>
      </c>
      <c r="D4636" s="33" t="n">
        <f aca="false">IF(B4636&gt;=2,C4635,"")</f>
        <v>73</v>
      </c>
      <c r="E4636" s="33" t="n">
        <f aca="false">IF(B4636&gt;=5,AVERAGE(C4632:C4635),"")</f>
        <v>75.75</v>
      </c>
      <c r="F4636" s="33" t="n">
        <f aca="false">IF(B4636&gt;=9,AVERAGE(C4628:C4635),"")</f>
        <v>78</v>
      </c>
      <c r="G4636" s="33" t="n">
        <f aca="false">IF(B4636=1,"",IF(B4636=2,C4635,SES_Alpha*C4635+(1-SES_Alpha)*G4635))</f>
        <v>76.901505990498</v>
      </c>
      <c r="H4636" s="33" t="n">
        <f aca="false">IF(D4636="","",D4636-C4636)</f>
        <v>2</v>
      </c>
      <c r="I4636" s="33" t="n">
        <f aca="false">IF(E4636="","",E4636-C4636)</f>
        <v>4.75</v>
      </c>
      <c r="J4636" s="33" t="n">
        <f aca="false">IF(F4636="","",F4636-C4636)</f>
        <v>7</v>
      </c>
      <c r="K4636" s="33" t="n">
        <f aca="false">IF(G4636="","",G4636-C4636)</f>
        <v>5.90150599049795</v>
      </c>
      <c r="L4636" s="33" t="n">
        <f aca="false">IF(H4636="","",ABS(H4636))</f>
        <v>2</v>
      </c>
      <c r="M4636" s="33" t="n">
        <f aca="false">IF(I4636="","",ABS(I4636))</f>
        <v>4.75</v>
      </c>
      <c r="N4636" s="33" t="n">
        <f aca="false">IF(J4636="","",ABS(J4636))</f>
        <v>7</v>
      </c>
      <c r="O4636" s="33" t="n">
        <f aca="false">IF(K4636="","",ABS(K4636))</f>
        <v>5.90150599049795</v>
      </c>
      <c r="P4636" s="34" t="str">
        <f aca="false">IF(B4636&gt;=Eval_Start_Week,"YES","")</f>
        <v>YES</v>
      </c>
      <c r="Q4636" s="34" t="str">
        <f aca="false">IF(AND(B4636&gt;=Cal_Start_Week,B4636&lt;=Cal_End_Week),"YES","")</f>
        <v>YES</v>
      </c>
    </row>
    <row r="4637" customFormat="false" ht="15" hidden="false" customHeight="false" outlineLevel="0" collapsed="false">
      <c r="A4637" s="31" t="str">
        <f aca="false">Demand_History!C4637</f>
        <v>CLN-008</v>
      </c>
      <c r="B4637" s="31" t="n">
        <f aca="false">Demand_History!A4637</f>
        <v>60</v>
      </c>
      <c r="C4637" s="32" t="n">
        <f aca="false">Demand_History!D4637</f>
        <v>83</v>
      </c>
      <c r="D4637" s="33" t="n">
        <f aca="false">IF(B4637&gt;=2,C4636,"")</f>
        <v>71</v>
      </c>
      <c r="E4637" s="33" t="n">
        <f aca="false">IF(B4637&gt;=5,AVERAGE(C4633:C4636),"")</f>
        <v>76.25</v>
      </c>
      <c r="F4637" s="33" t="n">
        <f aca="false">IF(B4637&gt;=9,AVERAGE(C4629:C4636),"")</f>
        <v>75.875</v>
      </c>
      <c r="G4637" s="33" t="n">
        <f aca="false">IF(B4637=1,"",IF(B4637=2,C4636,SES_Alpha*C4636+(1-SES_Alpha)*G4636))</f>
        <v>75.1310541933486</v>
      </c>
      <c r="H4637" s="33" t="n">
        <f aca="false">IF(D4637="","",D4637-C4637)</f>
        <v>-12</v>
      </c>
      <c r="I4637" s="33" t="n">
        <f aca="false">IF(E4637="","",E4637-C4637)</f>
        <v>-6.75</v>
      </c>
      <c r="J4637" s="33" t="n">
        <f aca="false">IF(F4637="","",F4637-C4637)</f>
        <v>-7.125</v>
      </c>
      <c r="K4637" s="33" t="n">
        <f aca="false">IF(G4637="","",G4637-C4637)</f>
        <v>-7.86894580665144</v>
      </c>
      <c r="L4637" s="33" t="n">
        <f aca="false">IF(H4637="","",ABS(H4637))</f>
        <v>12</v>
      </c>
      <c r="M4637" s="33" t="n">
        <f aca="false">IF(I4637="","",ABS(I4637))</f>
        <v>6.75</v>
      </c>
      <c r="N4637" s="33" t="n">
        <f aca="false">IF(J4637="","",ABS(J4637))</f>
        <v>7.125</v>
      </c>
      <c r="O4637" s="33" t="n">
        <f aca="false">IF(K4637="","",ABS(K4637))</f>
        <v>7.86894580665144</v>
      </c>
      <c r="P4637" s="34" t="str">
        <f aca="false">IF(B4637&gt;=Eval_Start_Week,"YES","")</f>
        <v>YES</v>
      </c>
      <c r="Q4637" s="34" t="str">
        <f aca="false">IF(AND(B4637&gt;=Cal_Start_Week,B4637&lt;=Cal_End_Week),"YES","")</f>
        <v>YES</v>
      </c>
    </row>
    <row r="4638" customFormat="false" ht="15" hidden="false" customHeight="false" outlineLevel="0" collapsed="false">
      <c r="A4638" s="31" t="str">
        <f aca="false">Demand_History!C4638</f>
        <v>CLN-008</v>
      </c>
      <c r="B4638" s="31" t="n">
        <f aca="false">Demand_History!A4638</f>
        <v>61</v>
      </c>
      <c r="C4638" s="32" t="n">
        <f aca="false">Demand_History!D4638</f>
        <v>89</v>
      </c>
      <c r="D4638" s="33" t="n">
        <f aca="false">IF(B4638&gt;=2,C4637,"")</f>
        <v>83</v>
      </c>
      <c r="E4638" s="33" t="n">
        <f aca="false">IF(B4638&gt;=5,AVERAGE(C4634:C4637),"")</f>
        <v>76.5</v>
      </c>
      <c r="F4638" s="33" t="n">
        <f aca="false">IF(B4638&gt;=9,AVERAGE(C4630:C4637),"")</f>
        <v>77</v>
      </c>
      <c r="G4638" s="33" t="n">
        <f aca="false">IF(B4638=1,"",IF(B4638=2,C4637,SES_Alpha*C4637+(1-SES_Alpha)*G4637))</f>
        <v>77.491737935344</v>
      </c>
      <c r="H4638" s="33" t="n">
        <f aca="false">IF(D4638="","",D4638-C4638)</f>
        <v>-6</v>
      </c>
      <c r="I4638" s="33" t="n">
        <f aca="false">IF(E4638="","",E4638-C4638)</f>
        <v>-12.5</v>
      </c>
      <c r="J4638" s="33" t="n">
        <f aca="false">IF(F4638="","",F4638-C4638)</f>
        <v>-12</v>
      </c>
      <c r="K4638" s="33" t="n">
        <f aca="false">IF(G4638="","",G4638-C4638)</f>
        <v>-11.508262064656</v>
      </c>
      <c r="L4638" s="33" t="n">
        <f aca="false">IF(H4638="","",ABS(H4638))</f>
        <v>6</v>
      </c>
      <c r="M4638" s="33" t="n">
        <f aca="false">IF(I4638="","",ABS(I4638))</f>
        <v>12.5</v>
      </c>
      <c r="N4638" s="33" t="n">
        <f aca="false">IF(J4638="","",ABS(J4638))</f>
        <v>12</v>
      </c>
      <c r="O4638" s="33" t="n">
        <f aca="false">IF(K4638="","",ABS(K4638))</f>
        <v>11.508262064656</v>
      </c>
      <c r="P4638" s="34" t="str">
        <f aca="false">IF(B4638&gt;=Eval_Start_Week,"YES","")</f>
        <v>YES</v>
      </c>
      <c r="Q4638" s="34" t="str">
        <f aca="false">IF(AND(B4638&gt;=Cal_Start_Week,B4638&lt;=Cal_End_Week),"YES","")</f>
        <v>YES</v>
      </c>
    </row>
    <row r="4639" customFormat="false" ht="15" hidden="false" customHeight="false" outlineLevel="0" collapsed="false">
      <c r="A4639" s="31" t="str">
        <f aca="false">Demand_History!C4639</f>
        <v>CLN-008</v>
      </c>
      <c r="B4639" s="31" t="n">
        <f aca="false">Demand_History!A4639</f>
        <v>62</v>
      </c>
      <c r="C4639" s="32" t="n">
        <f aca="false">Demand_History!D4639</f>
        <v>83</v>
      </c>
      <c r="D4639" s="33" t="n">
        <f aca="false">IF(B4639&gt;=2,C4638,"")</f>
        <v>89</v>
      </c>
      <c r="E4639" s="33" t="n">
        <f aca="false">IF(B4639&gt;=5,AVERAGE(C4635:C4638),"")</f>
        <v>79</v>
      </c>
      <c r="F4639" s="33" t="n">
        <f aca="false">IF(B4639&gt;=9,AVERAGE(C4631:C4638),"")</f>
        <v>78.5</v>
      </c>
      <c r="G4639" s="33" t="n">
        <f aca="false">IF(B4639=1,"",IF(B4639=2,C4638,SES_Alpha*C4638+(1-SES_Alpha)*G4638))</f>
        <v>80.9442165547408</v>
      </c>
      <c r="H4639" s="33" t="n">
        <f aca="false">IF(D4639="","",D4639-C4639)</f>
        <v>6</v>
      </c>
      <c r="I4639" s="33" t="n">
        <f aca="false">IF(E4639="","",E4639-C4639)</f>
        <v>-4</v>
      </c>
      <c r="J4639" s="33" t="n">
        <f aca="false">IF(F4639="","",F4639-C4639)</f>
        <v>-4.5</v>
      </c>
      <c r="K4639" s="33" t="n">
        <f aca="false">IF(G4639="","",G4639-C4639)</f>
        <v>-2.05578344525921</v>
      </c>
      <c r="L4639" s="33" t="n">
        <f aca="false">IF(H4639="","",ABS(H4639))</f>
        <v>6</v>
      </c>
      <c r="M4639" s="33" t="n">
        <f aca="false">IF(I4639="","",ABS(I4639))</f>
        <v>4</v>
      </c>
      <c r="N4639" s="33" t="n">
        <f aca="false">IF(J4639="","",ABS(J4639))</f>
        <v>4.5</v>
      </c>
      <c r="O4639" s="33" t="n">
        <f aca="false">IF(K4639="","",ABS(K4639))</f>
        <v>2.05578344525921</v>
      </c>
      <c r="P4639" s="34" t="str">
        <f aca="false">IF(B4639&gt;=Eval_Start_Week,"YES","")</f>
        <v>YES</v>
      </c>
      <c r="Q4639" s="34" t="str">
        <f aca="false">IF(AND(B4639&gt;=Cal_Start_Week,B4639&lt;=Cal_End_Week),"YES","")</f>
        <v>YES</v>
      </c>
    </row>
    <row r="4640" customFormat="false" ht="15" hidden="false" customHeight="false" outlineLevel="0" collapsed="false">
      <c r="A4640" s="31" t="str">
        <f aca="false">Demand_History!C4640</f>
        <v>CLN-008</v>
      </c>
      <c r="B4640" s="31" t="n">
        <f aca="false">Demand_History!A4640</f>
        <v>63</v>
      </c>
      <c r="C4640" s="32" t="n">
        <f aca="false">Demand_History!D4640</f>
        <v>71</v>
      </c>
      <c r="D4640" s="33" t="n">
        <f aca="false">IF(B4640&gt;=2,C4639,"")</f>
        <v>83</v>
      </c>
      <c r="E4640" s="33" t="n">
        <f aca="false">IF(B4640&gt;=5,AVERAGE(C4636:C4639),"")</f>
        <v>81.5</v>
      </c>
      <c r="F4640" s="33" t="n">
        <f aca="false">IF(B4640&gt;=9,AVERAGE(C4632:C4639),"")</f>
        <v>78.625</v>
      </c>
      <c r="G4640" s="33" t="n">
        <f aca="false">IF(B4640=1,"",IF(B4640=2,C4639,SES_Alpha*C4639+(1-SES_Alpha)*G4639))</f>
        <v>81.5609515883186</v>
      </c>
      <c r="H4640" s="33" t="n">
        <f aca="false">IF(D4640="","",D4640-C4640)</f>
        <v>12</v>
      </c>
      <c r="I4640" s="33" t="n">
        <f aca="false">IF(E4640="","",E4640-C4640)</f>
        <v>10.5</v>
      </c>
      <c r="J4640" s="33" t="n">
        <f aca="false">IF(F4640="","",F4640-C4640)</f>
        <v>7.625</v>
      </c>
      <c r="K4640" s="33" t="n">
        <f aca="false">IF(G4640="","",G4640-C4640)</f>
        <v>10.5609515883185</v>
      </c>
      <c r="L4640" s="33" t="n">
        <f aca="false">IF(H4640="","",ABS(H4640))</f>
        <v>12</v>
      </c>
      <c r="M4640" s="33" t="n">
        <f aca="false">IF(I4640="","",ABS(I4640))</f>
        <v>10.5</v>
      </c>
      <c r="N4640" s="33" t="n">
        <f aca="false">IF(J4640="","",ABS(J4640))</f>
        <v>7.625</v>
      </c>
      <c r="O4640" s="33" t="n">
        <f aca="false">IF(K4640="","",ABS(K4640))</f>
        <v>10.5609515883185</v>
      </c>
      <c r="P4640" s="34" t="str">
        <f aca="false">IF(B4640&gt;=Eval_Start_Week,"YES","")</f>
        <v>YES</v>
      </c>
      <c r="Q4640" s="34" t="str">
        <f aca="false">IF(AND(B4640&gt;=Cal_Start_Week,B4640&lt;=Cal_End_Week),"YES","")</f>
        <v>YES</v>
      </c>
    </row>
    <row r="4641" customFormat="false" ht="15" hidden="false" customHeight="false" outlineLevel="0" collapsed="false">
      <c r="A4641" s="31" t="str">
        <f aca="false">Demand_History!C4641</f>
        <v>CLN-008</v>
      </c>
      <c r="B4641" s="31" t="n">
        <f aca="false">Demand_History!A4641</f>
        <v>64</v>
      </c>
      <c r="C4641" s="32" t="n">
        <f aca="false">Demand_History!D4641</f>
        <v>88</v>
      </c>
      <c r="D4641" s="33" t="n">
        <f aca="false">IF(B4641&gt;=2,C4640,"")</f>
        <v>71</v>
      </c>
      <c r="E4641" s="33" t="n">
        <f aca="false">IF(B4641&gt;=5,AVERAGE(C4637:C4640),"")</f>
        <v>81.5</v>
      </c>
      <c r="F4641" s="33" t="n">
        <f aca="false">IF(B4641&gt;=9,AVERAGE(C4633:C4640),"")</f>
        <v>78.875</v>
      </c>
      <c r="G4641" s="33" t="n">
        <f aca="false">IF(B4641=1,"",IF(B4641=2,C4640,SES_Alpha*C4640+(1-SES_Alpha)*G4640))</f>
        <v>78.392666111823</v>
      </c>
      <c r="H4641" s="33" t="n">
        <f aca="false">IF(D4641="","",D4641-C4641)</f>
        <v>-17</v>
      </c>
      <c r="I4641" s="33" t="n">
        <f aca="false">IF(E4641="","",E4641-C4641)</f>
        <v>-6.5</v>
      </c>
      <c r="J4641" s="33" t="n">
        <f aca="false">IF(F4641="","",F4641-C4641)</f>
        <v>-9.125</v>
      </c>
      <c r="K4641" s="33" t="n">
        <f aca="false">IF(G4641="","",G4641-C4641)</f>
        <v>-9.60733388817702</v>
      </c>
      <c r="L4641" s="33" t="n">
        <f aca="false">IF(H4641="","",ABS(H4641))</f>
        <v>17</v>
      </c>
      <c r="M4641" s="33" t="n">
        <f aca="false">IF(I4641="","",ABS(I4641))</f>
        <v>6.5</v>
      </c>
      <c r="N4641" s="33" t="n">
        <f aca="false">IF(J4641="","",ABS(J4641))</f>
        <v>9.125</v>
      </c>
      <c r="O4641" s="33" t="n">
        <f aca="false">IF(K4641="","",ABS(K4641))</f>
        <v>9.60733388817702</v>
      </c>
      <c r="P4641" s="34" t="str">
        <f aca="false">IF(B4641&gt;=Eval_Start_Week,"YES","")</f>
        <v>YES</v>
      </c>
      <c r="Q4641" s="34" t="str">
        <f aca="false">IF(AND(B4641&gt;=Cal_Start_Week,B4641&lt;=Cal_End_Week),"YES","")</f>
        <v>YES</v>
      </c>
    </row>
    <row r="4642" customFormat="false" ht="15" hidden="false" customHeight="false" outlineLevel="0" collapsed="false">
      <c r="A4642" s="31" t="str">
        <f aca="false">Demand_History!C4642</f>
        <v>CLN-008</v>
      </c>
      <c r="B4642" s="31" t="n">
        <f aca="false">Demand_History!A4642</f>
        <v>65</v>
      </c>
      <c r="C4642" s="32" t="n">
        <f aca="false">Demand_History!D4642</f>
        <v>82</v>
      </c>
      <c r="D4642" s="33" t="n">
        <f aca="false">IF(B4642&gt;=2,C4641,"")</f>
        <v>88</v>
      </c>
      <c r="E4642" s="33" t="n">
        <f aca="false">IF(B4642&gt;=5,AVERAGE(C4638:C4641),"")</f>
        <v>82.75</v>
      </c>
      <c r="F4642" s="33" t="n">
        <f aca="false">IF(B4642&gt;=9,AVERAGE(C4634:C4641),"")</f>
        <v>79.625</v>
      </c>
      <c r="G4642" s="33" t="n">
        <f aca="false">IF(B4642=1,"",IF(B4642=2,C4641,SES_Alpha*C4641+(1-SES_Alpha)*G4641))</f>
        <v>81.2748662782761</v>
      </c>
      <c r="H4642" s="33" t="n">
        <f aca="false">IF(D4642="","",D4642-C4642)</f>
        <v>6</v>
      </c>
      <c r="I4642" s="33" t="n">
        <f aca="false">IF(E4642="","",E4642-C4642)</f>
        <v>0.75</v>
      </c>
      <c r="J4642" s="33" t="n">
        <f aca="false">IF(F4642="","",F4642-C4642)</f>
        <v>-2.375</v>
      </c>
      <c r="K4642" s="33" t="n">
        <f aca="false">IF(G4642="","",G4642-C4642)</f>
        <v>-0.725133721723921</v>
      </c>
      <c r="L4642" s="33" t="n">
        <f aca="false">IF(H4642="","",ABS(H4642))</f>
        <v>6</v>
      </c>
      <c r="M4642" s="33" t="n">
        <f aca="false">IF(I4642="","",ABS(I4642))</f>
        <v>0.75</v>
      </c>
      <c r="N4642" s="33" t="n">
        <f aca="false">IF(J4642="","",ABS(J4642))</f>
        <v>2.375</v>
      </c>
      <c r="O4642" s="33" t="n">
        <f aca="false">IF(K4642="","",ABS(K4642))</f>
        <v>0.725133721723921</v>
      </c>
      <c r="P4642" s="34" t="str">
        <f aca="false">IF(B4642&gt;=Eval_Start_Week,"YES","")</f>
        <v>YES</v>
      </c>
      <c r="Q4642" s="34" t="str">
        <f aca="false">IF(AND(B4642&gt;=Cal_Start_Week,B4642&lt;=Cal_End_Week),"YES","")</f>
        <v>YES</v>
      </c>
    </row>
    <row r="4643" customFormat="false" ht="15" hidden="false" customHeight="false" outlineLevel="0" collapsed="false">
      <c r="A4643" s="31" t="str">
        <f aca="false">Demand_History!C4643</f>
        <v>CLN-008</v>
      </c>
      <c r="B4643" s="31" t="n">
        <f aca="false">Demand_History!A4643</f>
        <v>66</v>
      </c>
      <c r="C4643" s="32" t="n">
        <f aca="false">Demand_History!D4643</f>
        <v>86</v>
      </c>
      <c r="D4643" s="33" t="n">
        <f aca="false">IF(B4643&gt;=2,C4642,"")</f>
        <v>82</v>
      </c>
      <c r="E4643" s="33" t="n">
        <f aca="false">IF(B4643&gt;=5,AVERAGE(C4639:C4642),"")</f>
        <v>81</v>
      </c>
      <c r="F4643" s="33" t="n">
        <f aca="false">IF(B4643&gt;=9,AVERAGE(C4635:C4642),"")</f>
        <v>80</v>
      </c>
      <c r="G4643" s="33" t="n">
        <f aca="false">IF(B4643=1,"",IF(B4643=2,C4642,SES_Alpha*C4642+(1-SES_Alpha)*G4642))</f>
        <v>81.4924063947933</v>
      </c>
      <c r="H4643" s="33" t="n">
        <f aca="false">IF(D4643="","",D4643-C4643)</f>
        <v>-4</v>
      </c>
      <c r="I4643" s="33" t="n">
        <f aca="false">IF(E4643="","",E4643-C4643)</f>
        <v>-5</v>
      </c>
      <c r="J4643" s="33" t="n">
        <f aca="false">IF(F4643="","",F4643-C4643)</f>
        <v>-6</v>
      </c>
      <c r="K4643" s="33" t="n">
        <f aca="false">IF(G4643="","",G4643-C4643)</f>
        <v>-4.50759360520675</v>
      </c>
      <c r="L4643" s="33" t="n">
        <f aca="false">IF(H4643="","",ABS(H4643))</f>
        <v>4</v>
      </c>
      <c r="M4643" s="33" t="n">
        <f aca="false">IF(I4643="","",ABS(I4643))</f>
        <v>5</v>
      </c>
      <c r="N4643" s="33" t="n">
        <f aca="false">IF(J4643="","",ABS(J4643))</f>
        <v>6</v>
      </c>
      <c r="O4643" s="33" t="n">
        <f aca="false">IF(K4643="","",ABS(K4643))</f>
        <v>4.50759360520675</v>
      </c>
      <c r="P4643" s="34" t="str">
        <f aca="false">IF(B4643&gt;=Eval_Start_Week,"YES","")</f>
        <v>YES</v>
      </c>
      <c r="Q4643" s="34" t="str">
        <f aca="false">IF(AND(B4643&gt;=Cal_Start_Week,B4643&lt;=Cal_End_Week),"YES","")</f>
        <v>YES</v>
      </c>
    </row>
    <row r="4644" customFormat="false" ht="15" hidden="false" customHeight="false" outlineLevel="0" collapsed="false">
      <c r="A4644" s="31" t="str">
        <f aca="false">Demand_History!C4644</f>
        <v>CLN-008</v>
      </c>
      <c r="B4644" s="31" t="n">
        <f aca="false">Demand_History!A4644</f>
        <v>67</v>
      </c>
      <c r="C4644" s="32" t="n">
        <f aca="false">Demand_History!D4644</f>
        <v>92</v>
      </c>
      <c r="D4644" s="33" t="n">
        <f aca="false">IF(B4644&gt;=2,C4643,"")</f>
        <v>86</v>
      </c>
      <c r="E4644" s="33" t="n">
        <f aca="false">IF(B4644&gt;=5,AVERAGE(C4640:C4643),"")</f>
        <v>81.75</v>
      </c>
      <c r="F4644" s="33" t="n">
        <f aca="false">IF(B4644&gt;=9,AVERAGE(C4636:C4643),"")</f>
        <v>81.625</v>
      </c>
      <c r="G4644" s="33" t="n">
        <f aca="false">IF(B4644=1,"",IF(B4644=2,C4643,SES_Alpha*C4643+(1-SES_Alpha)*G4643))</f>
        <v>82.8446844763553</v>
      </c>
      <c r="H4644" s="33" t="n">
        <f aca="false">IF(D4644="","",D4644-C4644)</f>
        <v>-6</v>
      </c>
      <c r="I4644" s="33" t="n">
        <f aca="false">IF(E4644="","",E4644-C4644)</f>
        <v>-10.25</v>
      </c>
      <c r="J4644" s="33" t="n">
        <f aca="false">IF(F4644="","",F4644-C4644)</f>
        <v>-10.375</v>
      </c>
      <c r="K4644" s="33" t="n">
        <f aca="false">IF(G4644="","",G4644-C4644)</f>
        <v>-9.15531552364473</v>
      </c>
      <c r="L4644" s="33" t="n">
        <f aca="false">IF(H4644="","",ABS(H4644))</f>
        <v>6</v>
      </c>
      <c r="M4644" s="33" t="n">
        <f aca="false">IF(I4644="","",ABS(I4644))</f>
        <v>10.25</v>
      </c>
      <c r="N4644" s="33" t="n">
        <f aca="false">IF(J4644="","",ABS(J4644))</f>
        <v>10.375</v>
      </c>
      <c r="O4644" s="33" t="n">
        <f aca="false">IF(K4644="","",ABS(K4644))</f>
        <v>9.15531552364473</v>
      </c>
      <c r="P4644" s="34" t="str">
        <f aca="false">IF(B4644&gt;=Eval_Start_Week,"YES","")</f>
        <v>YES</v>
      </c>
      <c r="Q4644" s="34" t="str">
        <f aca="false">IF(AND(B4644&gt;=Cal_Start_Week,B4644&lt;=Cal_End_Week),"YES","")</f>
        <v>YES</v>
      </c>
    </row>
    <row r="4645" customFormat="false" ht="15" hidden="false" customHeight="false" outlineLevel="0" collapsed="false">
      <c r="A4645" s="31" t="str">
        <f aca="false">Demand_History!C4645</f>
        <v>CLN-008</v>
      </c>
      <c r="B4645" s="31" t="n">
        <f aca="false">Demand_History!A4645</f>
        <v>68</v>
      </c>
      <c r="C4645" s="32" t="n">
        <f aca="false">Demand_History!D4645</f>
        <v>70</v>
      </c>
      <c r="D4645" s="33" t="n">
        <f aca="false">IF(B4645&gt;=2,C4644,"")</f>
        <v>92</v>
      </c>
      <c r="E4645" s="33" t="n">
        <f aca="false">IF(B4645&gt;=5,AVERAGE(C4641:C4644),"")</f>
        <v>87</v>
      </c>
      <c r="F4645" s="33" t="n">
        <f aca="false">IF(B4645&gt;=9,AVERAGE(C4637:C4644),"")</f>
        <v>84.25</v>
      </c>
      <c r="G4645" s="33" t="n">
        <f aca="false">IF(B4645=1,"",IF(B4645=2,C4644,SES_Alpha*C4644+(1-SES_Alpha)*G4644))</f>
        <v>85.5912791334487</v>
      </c>
      <c r="H4645" s="33" t="n">
        <f aca="false">IF(D4645="","",D4645-C4645)</f>
        <v>22</v>
      </c>
      <c r="I4645" s="33" t="n">
        <f aca="false">IF(E4645="","",E4645-C4645)</f>
        <v>17</v>
      </c>
      <c r="J4645" s="33" t="n">
        <f aca="false">IF(F4645="","",F4645-C4645)</f>
        <v>14.25</v>
      </c>
      <c r="K4645" s="33" t="n">
        <f aca="false">IF(G4645="","",G4645-C4645)</f>
        <v>15.5912791334487</v>
      </c>
      <c r="L4645" s="33" t="n">
        <f aca="false">IF(H4645="","",ABS(H4645))</f>
        <v>22</v>
      </c>
      <c r="M4645" s="33" t="n">
        <f aca="false">IF(I4645="","",ABS(I4645))</f>
        <v>17</v>
      </c>
      <c r="N4645" s="33" t="n">
        <f aca="false">IF(J4645="","",ABS(J4645))</f>
        <v>14.25</v>
      </c>
      <c r="O4645" s="33" t="n">
        <f aca="false">IF(K4645="","",ABS(K4645))</f>
        <v>15.5912791334487</v>
      </c>
      <c r="P4645" s="34" t="str">
        <f aca="false">IF(B4645&gt;=Eval_Start_Week,"YES","")</f>
        <v>YES</v>
      </c>
      <c r="Q4645" s="34" t="str">
        <f aca="false">IF(AND(B4645&gt;=Cal_Start_Week,B4645&lt;=Cal_End_Week),"YES","")</f>
        <v>YES</v>
      </c>
    </row>
    <row r="4646" customFormat="false" ht="15" hidden="false" customHeight="false" outlineLevel="0" collapsed="false">
      <c r="A4646" s="31" t="str">
        <f aca="false">Demand_History!C4646</f>
        <v>CLN-008</v>
      </c>
      <c r="B4646" s="31" t="n">
        <f aca="false">Demand_History!A4646</f>
        <v>69</v>
      </c>
      <c r="C4646" s="32" t="n">
        <f aca="false">Demand_History!D4646</f>
        <v>78</v>
      </c>
      <c r="D4646" s="33" t="n">
        <f aca="false">IF(B4646&gt;=2,C4645,"")</f>
        <v>70</v>
      </c>
      <c r="E4646" s="33" t="n">
        <f aca="false">IF(B4646&gt;=5,AVERAGE(C4642:C4645),"")</f>
        <v>82.5</v>
      </c>
      <c r="F4646" s="33" t="n">
        <f aca="false">IF(B4646&gt;=9,AVERAGE(C4638:C4645),"")</f>
        <v>82.625</v>
      </c>
      <c r="G4646" s="33" t="n">
        <f aca="false">IF(B4646=1,"",IF(B4646=2,C4645,SES_Alpha*C4645+(1-SES_Alpha)*G4645))</f>
        <v>80.9138953934141</v>
      </c>
      <c r="H4646" s="33" t="n">
        <f aca="false">IF(D4646="","",D4646-C4646)</f>
        <v>-8</v>
      </c>
      <c r="I4646" s="33" t="n">
        <f aca="false">IF(E4646="","",E4646-C4646)</f>
        <v>4.5</v>
      </c>
      <c r="J4646" s="33" t="n">
        <f aca="false">IF(F4646="","",F4646-C4646)</f>
        <v>4.625</v>
      </c>
      <c r="K4646" s="33" t="n">
        <f aca="false">IF(G4646="","",G4646-C4646)</f>
        <v>2.91389539341407</v>
      </c>
      <c r="L4646" s="33" t="n">
        <f aca="false">IF(H4646="","",ABS(H4646))</f>
        <v>8</v>
      </c>
      <c r="M4646" s="33" t="n">
        <f aca="false">IF(I4646="","",ABS(I4646))</f>
        <v>4.5</v>
      </c>
      <c r="N4646" s="33" t="n">
        <f aca="false">IF(J4646="","",ABS(J4646))</f>
        <v>4.625</v>
      </c>
      <c r="O4646" s="33" t="n">
        <f aca="false">IF(K4646="","",ABS(K4646))</f>
        <v>2.91389539341407</v>
      </c>
      <c r="P4646" s="34" t="str">
        <f aca="false">IF(B4646&gt;=Eval_Start_Week,"YES","")</f>
        <v>YES</v>
      </c>
      <c r="Q4646" s="34" t="str">
        <f aca="false">IF(AND(B4646&gt;=Cal_Start_Week,B4646&lt;=Cal_End_Week),"YES","")</f>
        <v>YES</v>
      </c>
    </row>
    <row r="4647" customFormat="false" ht="15" hidden="false" customHeight="false" outlineLevel="0" collapsed="false">
      <c r="A4647" s="31" t="str">
        <f aca="false">Demand_History!C4647</f>
        <v>CLN-008</v>
      </c>
      <c r="B4647" s="31" t="n">
        <f aca="false">Demand_History!A4647</f>
        <v>70</v>
      </c>
      <c r="C4647" s="32" t="n">
        <f aca="false">Demand_History!D4647</f>
        <v>74</v>
      </c>
      <c r="D4647" s="33" t="n">
        <f aca="false">IF(B4647&gt;=2,C4646,"")</f>
        <v>78</v>
      </c>
      <c r="E4647" s="33" t="n">
        <f aca="false">IF(B4647&gt;=5,AVERAGE(C4643:C4646),"")</f>
        <v>81.5</v>
      </c>
      <c r="F4647" s="33" t="n">
        <f aca="false">IF(B4647&gt;=9,AVERAGE(C4639:C4646),"")</f>
        <v>81.25</v>
      </c>
      <c r="G4647" s="33" t="n">
        <f aca="false">IF(B4647=1,"",IF(B4647=2,C4646,SES_Alpha*C4646+(1-SES_Alpha)*G4646))</f>
        <v>80.0397267753898</v>
      </c>
      <c r="H4647" s="33" t="n">
        <f aca="false">IF(D4647="","",D4647-C4647)</f>
        <v>4</v>
      </c>
      <c r="I4647" s="33" t="n">
        <f aca="false">IF(E4647="","",E4647-C4647)</f>
        <v>7.5</v>
      </c>
      <c r="J4647" s="33" t="n">
        <f aca="false">IF(F4647="","",F4647-C4647)</f>
        <v>7.25</v>
      </c>
      <c r="K4647" s="33" t="n">
        <f aca="false">IF(G4647="","",G4647-C4647)</f>
        <v>6.03972677538984</v>
      </c>
      <c r="L4647" s="33" t="n">
        <f aca="false">IF(H4647="","",ABS(H4647))</f>
        <v>4</v>
      </c>
      <c r="M4647" s="33" t="n">
        <f aca="false">IF(I4647="","",ABS(I4647))</f>
        <v>7.5</v>
      </c>
      <c r="N4647" s="33" t="n">
        <f aca="false">IF(J4647="","",ABS(J4647))</f>
        <v>7.25</v>
      </c>
      <c r="O4647" s="33" t="n">
        <f aca="false">IF(K4647="","",ABS(K4647))</f>
        <v>6.03972677538984</v>
      </c>
      <c r="P4647" s="34" t="str">
        <f aca="false">IF(B4647&gt;=Eval_Start_Week,"YES","")</f>
        <v>YES</v>
      </c>
      <c r="Q4647" s="34" t="str">
        <f aca="false">IF(AND(B4647&gt;=Cal_Start_Week,B4647&lt;=Cal_End_Week),"YES","")</f>
        <v>YES</v>
      </c>
    </row>
    <row r="4648" customFormat="false" ht="15" hidden="false" customHeight="false" outlineLevel="0" collapsed="false">
      <c r="A4648" s="31" t="str">
        <f aca="false">Demand_History!C4648</f>
        <v>CLN-008</v>
      </c>
      <c r="B4648" s="31" t="n">
        <f aca="false">Demand_History!A4648</f>
        <v>71</v>
      </c>
      <c r="C4648" s="32" t="n">
        <f aca="false">Demand_History!D4648</f>
        <v>71</v>
      </c>
      <c r="D4648" s="33" t="n">
        <f aca="false">IF(B4648&gt;=2,C4647,"")</f>
        <v>74</v>
      </c>
      <c r="E4648" s="33" t="n">
        <f aca="false">IF(B4648&gt;=5,AVERAGE(C4644:C4647),"")</f>
        <v>78.5</v>
      </c>
      <c r="F4648" s="33" t="n">
        <f aca="false">IF(B4648&gt;=9,AVERAGE(C4640:C4647),"")</f>
        <v>80.125</v>
      </c>
      <c r="G4648" s="33" t="n">
        <f aca="false">IF(B4648=1,"",IF(B4648=2,C4647,SES_Alpha*C4647+(1-SES_Alpha)*G4647))</f>
        <v>78.2278087427729</v>
      </c>
      <c r="H4648" s="33" t="n">
        <f aca="false">IF(D4648="","",D4648-C4648)</f>
        <v>3</v>
      </c>
      <c r="I4648" s="33" t="n">
        <f aca="false">IF(E4648="","",E4648-C4648)</f>
        <v>7.5</v>
      </c>
      <c r="J4648" s="33" t="n">
        <f aca="false">IF(F4648="","",F4648-C4648)</f>
        <v>9.125</v>
      </c>
      <c r="K4648" s="33" t="n">
        <f aca="false">IF(G4648="","",G4648-C4648)</f>
        <v>7.22780874277288</v>
      </c>
      <c r="L4648" s="33" t="n">
        <f aca="false">IF(H4648="","",ABS(H4648))</f>
        <v>3</v>
      </c>
      <c r="M4648" s="33" t="n">
        <f aca="false">IF(I4648="","",ABS(I4648))</f>
        <v>7.5</v>
      </c>
      <c r="N4648" s="33" t="n">
        <f aca="false">IF(J4648="","",ABS(J4648))</f>
        <v>9.125</v>
      </c>
      <c r="O4648" s="33" t="n">
        <f aca="false">IF(K4648="","",ABS(K4648))</f>
        <v>7.22780874277288</v>
      </c>
      <c r="P4648" s="34" t="str">
        <f aca="false">IF(B4648&gt;=Eval_Start_Week,"YES","")</f>
        <v>YES</v>
      </c>
      <c r="Q4648" s="34" t="str">
        <f aca="false">IF(AND(B4648&gt;=Cal_Start_Week,B4648&lt;=Cal_End_Week),"YES","")</f>
        <v>YES</v>
      </c>
    </row>
    <row r="4649" customFormat="false" ht="15" hidden="false" customHeight="false" outlineLevel="0" collapsed="false">
      <c r="A4649" s="31" t="str">
        <f aca="false">Demand_History!C4649</f>
        <v>CLN-008</v>
      </c>
      <c r="B4649" s="31" t="n">
        <f aca="false">Demand_History!A4649</f>
        <v>72</v>
      </c>
      <c r="C4649" s="32" t="n">
        <f aca="false">Demand_History!D4649</f>
        <v>101</v>
      </c>
      <c r="D4649" s="33" t="n">
        <f aca="false">IF(B4649&gt;=2,C4648,"")</f>
        <v>71</v>
      </c>
      <c r="E4649" s="33" t="n">
        <f aca="false">IF(B4649&gt;=5,AVERAGE(C4645:C4648),"")</f>
        <v>73.25</v>
      </c>
      <c r="F4649" s="33" t="n">
        <f aca="false">IF(B4649&gt;=9,AVERAGE(C4641:C4648),"")</f>
        <v>80.125</v>
      </c>
      <c r="G4649" s="33" t="n">
        <f aca="false">IF(B4649=1,"",IF(B4649=2,C4648,SES_Alpha*C4648+(1-SES_Alpha)*G4648))</f>
        <v>76.059466119941</v>
      </c>
      <c r="H4649" s="33" t="n">
        <f aca="false">IF(D4649="","",D4649-C4649)</f>
        <v>-30</v>
      </c>
      <c r="I4649" s="33" t="n">
        <f aca="false">IF(E4649="","",E4649-C4649)</f>
        <v>-27.75</v>
      </c>
      <c r="J4649" s="33" t="n">
        <f aca="false">IF(F4649="","",F4649-C4649)</f>
        <v>-20.875</v>
      </c>
      <c r="K4649" s="33" t="n">
        <f aca="false">IF(G4649="","",G4649-C4649)</f>
        <v>-24.940533880059</v>
      </c>
      <c r="L4649" s="33" t="n">
        <f aca="false">IF(H4649="","",ABS(H4649))</f>
        <v>30</v>
      </c>
      <c r="M4649" s="33" t="n">
        <f aca="false">IF(I4649="","",ABS(I4649))</f>
        <v>27.75</v>
      </c>
      <c r="N4649" s="33" t="n">
        <f aca="false">IF(J4649="","",ABS(J4649))</f>
        <v>20.875</v>
      </c>
      <c r="O4649" s="33" t="n">
        <f aca="false">IF(K4649="","",ABS(K4649))</f>
        <v>24.940533880059</v>
      </c>
      <c r="P4649" s="34" t="str">
        <f aca="false">IF(B4649&gt;=Eval_Start_Week,"YES","")</f>
        <v>YES</v>
      </c>
      <c r="Q4649" s="34" t="str">
        <f aca="false">IF(AND(B4649&gt;=Cal_Start_Week,B4649&lt;=Cal_End_Week),"YES","")</f>
        <v>YES</v>
      </c>
    </row>
    <row r="4650" customFormat="false" ht="15" hidden="false" customHeight="false" outlineLevel="0" collapsed="false">
      <c r="A4650" s="31" t="str">
        <f aca="false">Demand_History!C4650</f>
        <v>CLN-008</v>
      </c>
      <c r="B4650" s="31" t="n">
        <f aca="false">Demand_History!A4650</f>
        <v>73</v>
      </c>
      <c r="C4650" s="32" t="n">
        <f aca="false">Demand_History!D4650</f>
        <v>90</v>
      </c>
      <c r="D4650" s="33" t="n">
        <f aca="false">IF(B4650&gt;=2,C4649,"")</f>
        <v>101</v>
      </c>
      <c r="E4650" s="33" t="n">
        <f aca="false">IF(B4650&gt;=5,AVERAGE(C4646:C4649),"")</f>
        <v>81</v>
      </c>
      <c r="F4650" s="33" t="n">
        <f aca="false">IF(B4650&gt;=9,AVERAGE(C4642:C4649),"")</f>
        <v>81.75</v>
      </c>
      <c r="G4650" s="33" t="n">
        <f aca="false">IF(B4650=1,"",IF(B4650=2,C4649,SES_Alpha*C4649+(1-SES_Alpha)*G4649))</f>
        <v>83.5416262839587</v>
      </c>
      <c r="H4650" s="33" t="n">
        <f aca="false">IF(D4650="","",D4650-C4650)</f>
        <v>11</v>
      </c>
      <c r="I4650" s="33" t="n">
        <f aca="false">IF(E4650="","",E4650-C4650)</f>
        <v>-9</v>
      </c>
      <c r="J4650" s="33" t="n">
        <f aca="false">IF(F4650="","",F4650-C4650)</f>
        <v>-8.25</v>
      </c>
      <c r="K4650" s="33" t="n">
        <f aca="false">IF(G4650="","",G4650-C4650)</f>
        <v>-6.45837371604131</v>
      </c>
      <c r="L4650" s="33" t="n">
        <f aca="false">IF(H4650="","",ABS(H4650))</f>
        <v>11</v>
      </c>
      <c r="M4650" s="33" t="n">
        <f aca="false">IF(I4650="","",ABS(I4650))</f>
        <v>9</v>
      </c>
      <c r="N4650" s="33" t="n">
        <f aca="false">IF(J4650="","",ABS(J4650))</f>
        <v>8.25</v>
      </c>
      <c r="O4650" s="33" t="n">
        <f aca="false">IF(K4650="","",ABS(K4650))</f>
        <v>6.45837371604131</v>
      </c>
      <c r="P4650" s="34" t="str">
        <f aca="false">IF(B4650&gt;=Eval_Start_Week,"YES","")</f>
        <v>YES</v>
      </c>
      <c r="Q4650" s="34" t="str">
        <f aca="false">IF(AND(B4650&gt;=Cal_Start_Week,B4650&lt;=Cal_End_Week),"YES","")</f>
        <v>YES</v>
      </c>
    </row>
    <row r="4651" customFormat="false" ht="15" hidden="false" customHeight="false" outlineLevel="0" collapsed="false">
      <c r="A4651" s="31" t="str">
        <f aca="false">Demand_History!C4651</f>
        <v>CLN-008</v>
      </c>
      <c r="B4651" s="31" t="n">
        <f aca="false">Demand_History!A4651</f>
        <v>74</v>
      </c>
      <c r="C4651" s="32" t="n">
        <f aca="false">Demand_History!D4651</f>
        <v>61</v>
      </c>
      <c r="D4651" s="33" t="n">
        <f aca="false">IF(B4651&gt;=2,C4650,"")</f>
        <v>90</v>
      </c>
      <c r="E4651" s="33" t="n">
        <f aca="false">IF(B4651&gt;=5,AVERAGE(C4647:C4650),"")</f>
        <v>84</v>
      </c>
      <c r="F4651" s="33" t="n">
        <f aca="false">IF(B4651&gt;=9,AVERAGE(C4643:C4650),"")</f>
        <v>82.75</v>
      </c>
      <c r="G4651" s="33" t="n">
        <f aca="false">IF(B4651=1,"",IF(B4651=2,C4650,SES_Alpha*C4650+(1-SES_Alpha)*G4650))</f>
        <v>85.4791383987711</v>
      </c>
      <c r="H4651" s="33" t="n">
        <f aca="false">IF(D4651="","",D4651-C4651)</f>
        <v>29</v>
      </c>
      <c r="I4651" s="33" t="n">
        <f aca="false">IF(E4651="","",E4651-C4651)</f>
        <v>23</v>
      </c>
      <c r="J4651" s="33" t="n">
        <f aca="false">IF(F4651="","",F4651-C4651)</f>
        <v>21.75</v>
      </c>
      <c r="K4651" s="33" t="n">
        <f aca="false">IF(G4651="","",G4651-C4651)</f>
        <v>24.4791383987711</v>
      </c>
      <c r="L4651" s="33" t="n">
        <f aca="false">IF(H4651="","",ABS(H4651))</f>
        <v>29</v>
      </c>
      <c r="M4651" s="33" t="n">
        <f aca="false">IF(I4651="","",ABS(I4651))</f>
        <v>23</v>
      </c>
      <c r="N4651" s="33" t="n">
        <f aca="false">IF(J4651="","",ABS(J4651))</f>
        <v>21.75</v>
      </c>
      <c r="O4651" s="33" t="n">
        <f aca="false">IF(K4651="","",ABS(K4651))</f>
        <v>24.4791383987711</v>
      </c>
      <c r="P4651" s="34" t="str">
        <f aca="false">IF(B4651&gt;=Eval_Start_Week,"YES","")</f>
        <v>YES</v>
      </c>
      <c r="Q4651" s="34" t="str">
        <f aca="false">IF(AND(B4651&gt;=Cal_Start_Week,B4651&lt;=Cal_End_Week),"YES","")</f>
        <v>YES</v>
      </c>
    </row>
    <row r="4652" customFormat="false" ht="15" hidden="false" customHeight="false" outlineLevel="0" collapsed="false">
      <c r="A4652" s="31" t="str">
        <f aca="false">Demand_History!C4652</f>
        <v>CLN-008</v>
      </c>
      <c r="B4652" s="31" t="n">
        <f aca="false">Demand_History!A4652</f>
        <v>75</v>
      </c>
      <c r="C4652" s="32" t="n">
        <f aca="false">Demand_History!D4652</f>
        <v>84</v>
      </c>
      <c r="D4652" s="33" t="n">
        <f aca="false">IF(B4652&gt;=2,C4651,"")</f>
        <v>61</v>
      </c>
      <c r="E4652" s="33" t="n">
        <f aca="false">IF(B4652&gt;=5,AVERAGE(C4648:C4651),"")</f>
        <v>80.75</v>
      </c>
      <c r="F4652" s="33" t="n">
        <f aca="false">IF(B4652&gt;=9,AVERAGE(C4644:C4651),"")</f>
        <v>79.625</v>
      </c>
      <c r="G4652" s="33" t="n">
        <f aca="false">IF(B4652=1,"",IF(B4652=2,C4651,SES_Alpha*C4651+(1-SES_Alpha)*G4651))</f>
        <v>78.1353968791398</v>
      </c>
      <c r="H4652" s="33" t="n">
        <f aca="false">IF(D4652="","",D4652-C4652)</f>
        <v>-23</v>
      </c>
      <c r="I4652" s="33" t="n">
        <f aca="false">IF(E4652="","",E4652-C4652)</f>
        <v>-3.25</v>
      </c>
      <c r="J4652" s="33" t="n">
        <f aca="false">IF(F4652="","",F4652-C4652)</f>
        <v>-4.375</v>
      </c>
      <c r="K4652" s="33" t="n">
        <f aca="false">IF(G4652="","",G4652-C4652)</f>
        <v>-5.86460312086024</v>
      </c>
      <c r="L4652" s="33" t="n">
        <f aca="false">IF(H4652="","",ABS(H4652))</f>
        <v>23</v>
      </c>
      <c r="M4652" s="33" t="n">
        <f aca="false">IF(I4652="","",ABS(I4652))</f>
        <v>3.25</v>
      </c>
      <c r="N4652" s="33" t="n">
        <f aca="false">IF(J4652="","",ABS(J4652))</f>
        <v>4.375</v>
      </c>
      <c r="O4652" s="33" t="n">
        <f aca="false">IF(K4652="","",ABS(K4652))</f>
        <v>5.86460312086024</v>
      </c>
      <c r="P4652" s="34" t="str">
        <f aca="false">IF(B4652&gt;=Eval_Start_Week,"YES","")</f>
        <v>YES</v>
      </c>
      <c r="Q4652" s="34" t="str">
        <f aca="false">IF(AND(B4652&gt;=Cal_Start_Week,B4652&lt;=Cal_End_Week),"YES","")</f>
        <v>YES</v>
      </c>
    </row>
    <row r="4653" customFormat="false" ht="15" hidden="false" customHeight="false" outlineLevel="0" collapsed="false">
      <c r="A4653" s="31" t="str">
        <f aca="false">Demand_History!C4653</f>
        <v>CLN-008</v>
      </c>
      <c r="B4653" s="31" t="n">
        <f aca="false">Demand_History!A4653</f>
        <v>76</v>
      </c>
      <c r="C4653" s="32" t="n">
        <f aca="false">Demand_History!D4653</f>
        <v>74</v>
      </c>
      <c r="D4653" s="33" t="n">
        <f aca="false">IF(B4653&gt;=2,C4652,"")</f>
        <v>84</v>
      </c>
      <c r="E4653" s="33" t="n">
        <f aca="false">IF(B4653&gt;=5,AVERAGE(C4649:C4652),"")</f>
        <v>84</v>
      </c>
      <c r="F4653" s="33" t="n">
        <f aca="false">IF(B4653&gt;=9,AVERAGE(C4645:C4652),"")</f>
        <v>78.625</v>
      </c>
      <c r="G4653" s="33" t="n">
        <f aca="false">IF(B4653=1,"",IF(B4653=2,C4652,SES_Alpha*C4652+(1-SES_Alpha)*G4652))</f>
        <v>79.8947778153978</v>
      </c>
      <c r="H4653" s="33" t="n">
        <f aca="false">IF(D4653="","",D4653-C4653)</f>
        <v>10</v>
      </c>
      <c r="I4653" s="33" t="n">
        <f aca="false">IF(E4653="","",E4653-C4653)</f>
        <v>10</v>
      </c>
      <c r="J4653" s="33" t="n">
        <f aca="false">IF(F4653="","",F4653-C4653)</f>
        <v>4.625</v>
      </c>
      <c r="K4653" s="33" t="n">
        <f aca="false">IF(G4653="","",G4653-C4653)</f>
        <v>5.89477781539783</v>
      </c>
      <c r="L4653" s="33" t="n">
        <f aca="false">IF(H4653="","",ABS(H4653))</f>
        <v>10</v>
      </c>
      <c r="M4653" s="33" t="n">
        <f aca="false">IF(I4653="","",ABS(I4653))</f>
        <v>10</v>
      </c>
      <c r="N4653" s="33" t="n">
        <f aca="false">IF(J4653="","",ABS(J4653))</f>
        <v>4.625</v>
      </c>
      <c r="O4653" s="33" t="n">
        <f aca="false">IF(K4653="","",ABS(K4653))</f>
        <v>5.89477781539783</v>
      </c>
      <c r="P4653" s="34" t="str">
        <f aca="false">IF(B4653&gt;=Eval_Start_Week,"YES","")</f>
        <v>YES</v>
      </c>
      <c r="Q4653" s="34" t="str">
        <f aca="false">IF(AND(B4653&gt;=Cal_Start_Week,B4653&lt;=Cal_End_Week),"YES","")</f>
        <v>YES</v>
      </c>
    </row>
    <row r="4654" customFormat="false" ht="15" hidden="false" customHeight="false" outlineLevel="0" collapsed="false">
      <c r="A4654" s="31" t="str">
        <f aca="false">Demand_History!C4654</f>
        <v>CLN-008</v>
      </c>
      <c r="B4654" s="31" t="n">
        <f aca="false">Demand_History!A4654</f>
        <v>77</v>
      </c>
      <c r="C4654" s="32" t="n">
        <f aca="false">Demand_History!D4654</f>
        <v>92</v>
      </c>
      <c r="D4654" s="33" t="n">
        <f aca="false">IF(B4654&gt;=2,C4653,"")</f>
        <v>74</v>
      </c>
      <c r="E4654" s="33" t="n">
        <f aca="false">IF(B4654&gt;=5,AVERAGE(C4650:C4653),"")</f>
        <v>77.25</v>
      </c>
      <c r="F4654" s="33" t="n">
        <f aca="false">IF(B4654&gt;=9,AVERAGE(C4646:C4653),"")</f>
        <v>79.125</v>
      </c>
      <c r="G4654" s="33" t="n">
        <f aca="false">IF(B4654=1,"",IF(B4654=2,C4653,SES_Alpha*C4653+(1-SES_Alpha)*G4653))</f>
        <v>78.1263444707785</v>
      </c>
      <c r="H4654" s="33" t="n">
        <f aca="false">IF(D4654="","",D4654-C4654)</f>
        <v>-18</v>
      </c>
      <c r="I4654" s="33" t="n">
        <f aca="false">IF(E4654="","",E4654-C4654)</f>
        <v>-14.75</v>
      </c>
      <c r="J4654" s="33" t="n">
        <f aca="false">IF(F4654="","",F4654-C4654)</f>
        <v>-12.875</v>
      </c>
      <c r="K4654" s="33" t="n">
        <f aca="false">IF(G4654="","",G4654-C4654)</f>
        <v>-13.8736555292215</v>
      </c>
      <c r="L4654" s="33" t="n">
        <f aca="false">IF(H4654="","",ABS(H4654))</f>
        <v>18</v>
      </c>
      <c r="M4654" s="33" t="n">
        <f aca="false">IF(I4654="","",ABS(I4654))</f>
        <v>14.75</v>
      </c>
      <c r="N4654" s="33" t="n">
        <f aca="false">IF(J4654="","",ABS(J4654))</f>
        <v>12.875</v>
      </c>
      <c r="O4654" s="33" t="n">
        <f aca="false">IF(K4654="","",ABS(K4654))</f>
        <v>13.8736555292215</v>
      </c>
      <c r="P4654" s="34" t="str">
        <f aca="false">IF(B4654&gt;=Eval_Start_Week,"YES","")</f>
        <v>YES</v>
      </c>
      <c r="Q4654" s="34" t="str">
        <f aca="false">IF(AND(B4654&gt;=Cal_Start_Week,B4654&lt;=Cal_End_Week),"YES","")</f>
        <v>YES</v>
      </c>
    </row>
    <row r="4655" customFormat="false" ht="15" hidden="false" customHeight="false" outlineLevel="0" collapsed="false">
      <c r="A4655" s="31" t="str">
        <f aca="false">Demand_History!C4655</f>
        <v>CLN-008</v>
      </c>
      <c r="B4655" s="31" t="n">
        <f aca="false">Demand_History!A4655</f>
        <v>78</v>
      </c>
      <c r="C4655" s="32" t="n">
        <f aca="false">Demand_History!D4655</f>
        <v>81</v>
      </c>
      <c r="D4655" s="33" t="n">
        <f aca="false">IF(B4655&gt;=2,C4654,"")</f>
        <v>92</v>
      </c>
      <c r="E4655" s="33" t="n">
        <f aca="false">IF(B4655&gt;=5,AVERAGE(C4651:C4654),"")</f>
        <v>77.75</v>
      </c>
      <c r="F4655" s="33" t="n">
        <f aca="false">IF(B4655&gt;=9,AVERAGE(C4647:C4654),"")</f>
        <v>80.875</v>
      </c>
      <c r="G4655" s="33" t="n">
        <f aca="false">IF(B4655=1,"",IF(B4655=2,C4654,SES_Alpha*C4654+(1-SES_Alpha)*G4654))</f>
        <v>82.2884411295449</v>
      </c>
      <c r="H4655" s="33" t="n">
        <f aca="false">IF(D4655="","",D4655-C4655)</f>
        <v>11</v>
      </c>
      <c r="I4655" s="33" t="n">
        <f aca="false">IF(E4655="","",E4655-C4655)</f>
        <v>-3.25</v>
      </c>
      <c r="J4655" s="33" t="n">
        <f aca="false">IF(F4655="","",F4655-C4655)</f>
        <v>-0.125</v>
      </c>
      <c r="K4655" s="33" t="n">
        <f aca="false">IF(G4655="","",G4655-C4655)</f>
        <v>1.28844112954494</v>
      </c>
      <c r="L4655" s="33" t="n">
        <f aca="false">IF(H4655="","",ABS(H4655))</f>
        <v>11</v>
      </c>
      <c r="M4655" s="33" t="n">
        <f aca="false">IF(I4655="","",ABS(I4655))</f>
        <v>3.25</v>
      </c>
      <c r="N4655" s="33" t="n">
        <f aca="false">IF(J4655="","",ABS(J4655))</f>
        <v>0.125</v>
      </c>
      <c r="O4655" s="33" t="n">
        <f aca="false">IF(K4655="","",ABS(K4655))</f>
        <v>1.28844112954494</v>
      </c>
      <c r="P4655" s="34" t="str">
        <f aca="false">IF(B4655&gt;=Eval_Start_Week,"YES","")</f>
        <v>YES</v>
      </c>
      <c r="Q4655" s="34" t="str">
        <f aca="false">IF(AND(B4655&gt;=Cal_Start_Week,B4655&lt;=Cal_End_Week),"YES","")</f>
        <v>YES</v>
      </c>
    </row>
    <row r="4656" customFormat="false" ht="15" hidden="false" customHeight="false" outlineLevel="0" collapsed="false">
      <c r="A4656" s="31" t="str">
        <f aca="false">Demand_History!C4656</f>
        <v>CLN-008</v>
      </c>
      <c r="B4656" s="31" t="n">
        <f aca="false">Demand_History!A4656</f>
        <v>79</v>
      </c>
      <c r="C4656" s="32" t="n">
        <f aca="false">Demand_History!D4656</f>
        <v>78</v>
      </c>
      <c r="D4656" s="33" t="n">
        <f aca="false">IF(B4656&gt;=2,C4655,"")</f>
        <v>81</v>
      </c>
      <c r="E4656" s="33" t="n">
        <f aca="false">IF(B4656&gt;=5,AVERAGE(C4652:C4655),"")</f>
        <v>82.75</v>
      </c>
      <c r="F4656" s="33" t="n">
        <f aca="false">IF(B4656&gt;=9,AVERAGE(C4648:C4655),"")</f>
        <v>81.75</v>
      </c>
      <c r="G4656" s="33" t="n">
        <f aca="false">IF(B4656=1,"",IF(B4656=2,C4655,SES_Alpha*C4655+(1-SES_Alpha)*G4655))</f>
        <v>81.9019087906815</v>
      </c>
      <c r="H4656" s="33" t="n">
        <f aca="false">IF(D4656="","",D4656-C4656)</f>
        <v>3</v>
      </c>
      <c r="I4656" s="33" t="n">
        <f aca="false">IF(E4656="","",E4656-C4656)</f>
        <v>4.75</v>
      </c>
      <c r="J4656" s="33" t="n">
        <f aca="false">IF(F4656="","",F4656-C4656)</f>
        <v>3.75</v>
      </c>
      <c r="K4656" s="33" t="n">
        <f aca="false">IF(G4656="","",G4656-C4656)</f>
        <v>3.90190879068145</v>
      </c>
      <c r="L4656" s="33" t="n">
        <f aca="false">IF(H4656="","",ABS(H4656))</f>
        <v>3</v>
      </c>
      <c r="M4656" s="33" t="n">
        <f aca="false">IF(I4656="","",ABS(I4656))</f>
        <v>4.75</v>
      </c>
      <c r="N4656" s="33" t="n">
        <f aca="false">IF(J4656="","",ABS(J4656))</f>
        <v>3.75</v>
      </c>
      <c r="O4656" s="33" t="n">
        <f aca="false">IF(K4656="","",ABS(K4656))</f>
        <v>3.90190879068145</v>
      </c>
      <c r="P4656" s="34" t="str">
        <f aca="false">IF(B4656&gt;=Eval_Start_Week,"YES","")</f>
        <v>YES</v>
      </c>
      <c r="Q4656" s="34" t="str">
        <f aca="false">IF(AND(B4656&gt;=Cal_Start_Week,B4656&lt;=Cal_End_Week),"YES","")</f>
        <v>YES</v>
      </c>
    </row>
    <row r="4657" customFormat="false" ht="15" hidden="false" customHeight="false" outlineLevel="0" collapsed="false">
      <c r="A4657" s="31" t="str">
        <f aca="false">Demand_History!C4657</f>
        <v>CLN-008</v>
      </c>
      <c r="B4657" s="31" t="n">
        <f aca="false">Demand_History!A4657</f>
        <v>80</v>
      </c>
      <c r="C4657" s="32" t="n">
        <f aca="false">Demand_History!D4657</f>
        <v>81</v>
      </c>
      <c r="D4657" s="33" t="n">
        <f aca="false">IF(B4657&gt;=2,C4656,"")</f>
        <v>78</v>
      </c>
      <c r="E4657" s="33" t="n">
        <f aca="false">IF(B4657&gt;=5,AVERAGE(C4653:C4656),"")</f>
        <v>81.25</v>
      </c>
      <c r="F4657" s="33" t="n">
        <f aca="false">IF(B4657&gt;=9,AVERAGE(C4649:C4656),"")</f>
        <v>82.625</v>
      </c>
      <c r="G4657" s="33" t="n">
        <f aca="false">IF(B4657=1,"",IF(B4657=2,C4656,SES_Alpha*C4656+(1-SES_Alpha)*G4656))</f>
        <v>80.731336153477</v>
      </c>
      <c r="H4657" s="33" t="n">
        <f aca="false">IF(D4657="","",D4657-C4657)</f>
        <v>-3</v>
      </c>
      <c r="I4657" s="33" t="n">
        <f aca="false">IF(E4657="","",E4657-C4657)</f>
        <v>0.25</v>
      </c>
      <c r="J4657" s="33" t="n">
        <f aca="false">IF(F4657="","",F4657-C4657)</f>
        <v>1.625</v>
      </c>
      <c r="K4657" s="33" t="n">
        <f aca="false">IF(G4657="","",G4657-C4657)</f>
        <v>-0.268663846522998</v>
      </c>
      <c r="L4657" s="33" t="n">
        <f aca="false">IF(H4657="","",ABS(H4657))</f>
        <v>3</v>
      </c>
      <c r="M4657" s="33" t="n">
        <f aca="false">IF(I4657="","",ABS(I4657))</f>
        <v>0.25</v>
      </c>
      <c r="N4657" s="33" t="n">
        <f aca="false">IF(J4657="","",ABS(J4657))</f>
        <v>1.625</v>
      </c>
      <c r="O4657" s="33" t="n">
        <f aca="false">IF(K4657="","",ABS(K4657))</f>
        <v>0.268663846522998</v>
      </c>
      <c r="P4657" s="34" t="str">
        <f aca="false">IF(B4657&gt;=Eval_Start_Week,"YES","")</f>
        <v>YES</v>
      </c>
      <c r="Q4657" s="34" t="str">
        <f aca="false">IF(AND(B4657&gt;=Cal_Start_Week,B4657&lt;=Cal_End_Week),"YES","")</f>
        <v>YES</v>
      </c>
    </row>
    <row r="4658" customFormat="false" ht="15" hidden="false" customHeight="false" outlineLevel="0" collapsed="false">
      <c r="A4658" s="31" t="str">
        <f aca="false">Demand_History!C4658</f>
        <v>CLN-008</v>
      </c>
      <c r="B4658" s="31" t="n">
        <f aca="false">Demand_History!A4658</f>
        <v>81</v>
      </c>
      <c r="C4658" s="32" t="n">
        <f aca="false">Demand_History!D4658</f>
        <v>84</v>
      </c>
      <c r="D4658" s="33" t="n">
        <f aca="false">IF(B4658&gt;=2,C4657,"")</f>
        <v>81</v>
      </c>
      <c r="E4658" s="33" t="n">
        <f aca="false">IF(B4658&gt;=5,AVERAGE(C4654:C4657),"")</f>
        <v>83</v>
      </c>
      <c r="F4658" s="33" t="n">
        <f aca="false">IF(B4658&gt;=9,AVERAGE(C4650:C4657),"")</f>
        <v>80.125</v>
      </c>
      <c r="G4658" s="33" t="n">
        <f aca="false">IF(B4658=1,"",IF(B4658=2,C4657,SES_Alpha*C4657+(1-SES_Alpha)*G4657))</f>
        <v>80.8119353074339</v>
      </c>
      <c r="H4658" s="33" t="n">
        <f aca="false">IF(D4658="","",D4658-C4658)</f>
        <v>-3</v>
      </c>
      <c r="I4658" s="33" t="n">
        <f aca="false">IF(E4658="","",E4658-C4658)</f>
        <v>-1</v>
      </c>
      <c r="J4658" s="33" t="n">
        <f aca="false">IF(F4658="","",F4658-C4658)</f>
        <v>-3.875</v>
      </c>
      <c r="K4658" s="33" t="n">
        <f aca="false">IF(G4658="","",G4658-C4658)</f>
        <v>-3.1880646925661</v>
      </c>
      <c r="L4658" s="33" t="n">
        <f aca="false">IF(H4658="","",ABS(H4658))</f>
        <v>3</v>
      </c>
      <c r="M4658" s="33" t="n">
        <f aca="false">IF(I4658="","",ABS(I4658))</f>
        <v>1</v>
      </c>
      <c r="N4658" s="33" t="n">
        <f aca="false">IF(J4658="","",ABS(J4658))</f>
        <v>3.875</v>
      </c>
      <c r="O4658" s="33" t="n">
        <f aca="false">IF(K4658="","",ABS(K4658))</f>
        <v>3.1880646925661</v>
      </c>
      <c r="P4658" s="34" t="str">
        <f aca="false">IF(B4658&gt;=Eval_Start_Week,"YES","")</f>
        <v>YES</v>
      </c>
      <c r="Q4658" s="34" t="str">
        <f aca="false">IF(AND(B4658&gt;=Cal_Start_Week,B4658&lt;=Cal_End_Week),"YES","")</f>
        <v>YES</v>
      </c>
    </row>
    <row r="4659" customFormat="false" ht="15" hidden="false" customHeight="false" outlineLevel="0" collapsed="false">
      <c r="A4659" s="31" t="str">
        <f aca="false">Demand_History!C4659</f>
        <v>CLN-008</v>
      </c>
      <c r="B4659" s="31" t="n">
        <f aca="false">Demand_History!A4659</f>
        <v>82</v>
      </c>
      <c r="C4659" s="32" t="n">
        <f aca="false">Demand_History!D4659</f>
        <v>80</v>
      </c>
      <c r="D4659" s="33" t="n">
        <f aca="false">IF(B4659&gt;=2,C4658,"")</f>
        <v>84</v>
      </c>
      <c r="E4659" s="33" t="n">
        <f aca="false">IF(B4659&gt;=5,AVERAGE(C4655:C4658),"")</f>
        <v>81</v>
      </c>
      <c r="F4659" s="33" t="n">
        <f aca="false">IF(B4659&gt;=9,AVERAGE(C4651:C4658),"")</f>
        <v>79.375</v>
      </c>
      <c r="G4659" s="33" t="n">
        <f aca="false">IF(B4659=1,"",IF(B4659=2,C4658,SES_Alpha*C4658+(1-SES_Alpha)*G4658))</f>
        <v>81.7683547152037</v>
      </c>
      <c r="H4659" s="33" t="n">
        <f aca="false">IF(D4659="","",D4659-C4659)</f>
        <v>4</v>
      </c>
      <c r="I4659" s="33" t="n">
        <f aca="false">IF(E4659="","",E4659-C4659)</f>
        <v>1</v>
      </c>
      <c r="J4659" s="33" t="n">
        <f aca="false">IF(F4659="","",F4659-C4659)</f>
        <v>-0.625</v>
      </c>
      <c r="K4659" s="33" t="n">
        <f aca="false">IF(G4659="","",G4659-C4659)</f>
        <v>1.76835471520373</v>
      </c>
      <c r="L4659" s="33" t="n">
        <f aca="false">IF(H4659="","",ABS(H4659))</f>
        <v>4</v>
      </c>
      <c r="M4659" s="33" t="n">
        <f aca="false">IF(I4659="","",ABS(I4659))</f>
        <v>1</v>
      </c>
      <c r="N4659" s="33" t="n">
        <f aca="false">IF(J4659="","",ABS(J4659))</f>
        <v>0.625</v>
      </c>
      <c r="O4659" s="33" t="n">
        <f aca="false">IF(K4659="","",ABS(K4659))</f>
        <v>1.76835471520373</v>
      </c>
      <c r="P4659" s="34" t="str">
        <f aca="false">IF(B4659&gt;=Eval_Start_Week,"YES","")</f>
        <v>YES</v>
      </c>
      <c r="Q4659" s="34" t="str">
        <f aca="false">IF(AND(B4659&gt;=Cal_Start_Week,B4659&lt;=Cal_End_Week),"YES","")</f>
        <v>YES</v>
      </c>
    </row>
    <row r="4660" customFormat="false" ht="15" hidden="false" customHeight="false" outlineLevel="0" collapsed="false">
      <c r="A4660" s="31" t="str">
        <f aca="false">Demand_History!C4660</f>
        <v>CLN-008</v>
      </c>
      <c r="B4660" s="31" t="n">
        <f aca="false">Demand_History!A4660</f>
        <v>83</v>
      </c>
      <c r="C4660" s="32" t="n">
        <f aca="false">Demand_History!D4660</f>
        <v>78</v>
      </c>
      <c r="D4660" s="33" t="n">
        <f aca="false">IF(B4660&gt;=2,C4659,"")</f>
        <v>80</v>
      </c>
      <c r="E4660" s="33" t="n">
        <f aca="false">IF(B4660&gt;=5,AVERAGE(C4656:C4659),"")</f>
        <v>80.75</v>
      </c>
      <c r="F4660" s="33" t="n">
        <f aca="false">IF(B4660&gt;=9,AVERAGE(C4652:C4659),"")</f>
        <v>81.75</v>
      </c>
      <c r="G4660" s="33" t="n">
        <f aca="false">IF(B4660=1,"",IF(B4660=2,C4659,SES_Alpha*C4659+(1-SES_Alpha)*G4659))</f>
        <v>81.2378483006426</v>
      </c>
      <c r="H4660" s="33" t="n">
        <f aca="false">IF(D4660="","",D4660-C4660)</f>
        <v>2</v>
      </c>
      <c r="I4660" s="33" t="n">
        <f aca="false">IF(E4660="","",E4660-C4660)</f>
        <v>2.75</v>
      </c>
      <c r="J4660" s="33" t="n">
        <f aca="false">IF(F4660="","",F4660-C4660)</f>
        <v>3.75</v>
      </c>
      <c r="K4660" s="33" t="n">
        <f aca="false">IF(G4660="","",G4660-C4660)</f>
        <v>3.23784830064261</v>
      </c>
      <c r="L4660" s="33" t="n">
        <f aca="false">IF(H4660="","",ABS(H4660))</f>
        <v>2</v>
      </c>
      <c r="M4660" s="33" t="n">
        <f aca="false">IF(I4660="","",ABS(I4660))</f>
        <v>2.75</v>
      </c>
      <c r="N4660" s="33" t="n">
        <f aca="false">IF(J4660="","",ABS(J4660))</f>
        <v>3.75</v>
      </c>
      <c r="O4660" s="33" t="n">
        <f aca="false">IF(K4660="","",ABS(K4660))</f>
        <v>3.23784830064261</v>
      </c>
      <c r="P4660" s="34" t="str">
        <f aca="false">IF(B4660&gt;=Eval_Start_Week,"YES","")</f>
        <v>YES</v>
      </c>
      <c r="Q4660" s="34" t="str">
        <f aca="false">IF(AND(B4660&gt;=Cal_Start_Week,B4660&lt;=Cal_End_Week),"YES","")</f>
        <v>YES</v>
      </c>
    </row>
    <row r="4661" customFormat="false" ht="15" hidden="false" customHeight="false" outlineLevel="0" collapsed="false">
      <c r="A4661" s="31" t="str">
        <f aca="false">Demand_History!C4661</f>
        <v>CLN-008</v>
      </c>
      <c r="B4661" s="31" t="n">
        <f aca="false">Demand_History!A4661</f>
        <v>84</v>
      </c>
      <c r="C4661" s="32" t="n">
        <f aca="false">Demand_History!D4661</f>
        <v>79</v>
      </c>
      <c r="D4661" s="33" t="n">
        <f aca="false">IF(B4661&gt;=2,C4660,"")</f>
        <v>78</v>
      </c>
      <c r="E4661" s="33" t="n">
        <f aca="false">IF(B4661&gt;=5,AVERAGE(C4657:C4660),"")</f>
        <v>80.75</v>
      </c>
      <c r="F4661" s="33" t="n">
        <f aca="false">IF(B4661&gt;=9,AVERAGE(C4653:C4660),"")</f>
        <v>81</v>
      </c>
      <c r="G4661" s="33" t="n">
        <f aca="false">IF(B4661=1,"",IF(B4661=2,C4660,SES_Alpha*C4660+(1-SES_Alpha)*G4660))</f>
        <v>80.2664938104498</v>
      </c>
      <c r="H4661" s="33" t="n">
        <f aca="false">IF(D4661="","",D4661-C4661)</f>
        <v>-1</v>
      </c>
      <c r="I4661" s="33" t="n">
        <f aca="false">IF(E4661="","",E4661-C4661)</f>
        <v>1.75</v>
      </c>
      <c r="J4661" s="33" t="n">
        <f aca="false">IF(F4661="","",F4661-C4661)</f>
        <v>2</v>
      </c>
      <c r="K4661" s="33" t="n">
        <f aca="false">IF(G4661="","",G4661-C4661)</f>
        <v>1.26649381044982</v>
      </c>
      <c r="L4661" s="33" t="n">
        <f aca="false">IF(H4661="","",ABS(H4661))</f>
        <v>1</v>
      </c>
      <c r="M4661" s="33" t="n">
        <f aca="false">IF(I4661="","",ABS(I4661))</f>
        <v>1.75</v>
      </c>
      <c r="N4661" s="33" t="n">
        <f aca="false">IF(J4661="","",ABS(J4661))</f>
        <v>2</v>
      </c>
      <c r="O4661" s="33" t="n">
        <f aca="false">IF(K4661="","",ABS(K4661))</f>
        <v>1.26649381044982</v>
      </c>
      <c r="P4661" s="34" t="str">
        <f aca="false">IF(B4661&gt;=Eval_Start_Week,"YES","")</f>
        <v>YES</v>
      </c>
      <c r="Q4661" s="34" t="str">
        <f aca="false">IF(AND(B4661&gt;=Cal_Start_Week,B4661&lt;=Cal_End_Week),"YES","")</f>
        <v>YES</v>
      </c>
    </row>
    <row r="4662" customFormat="false" ht="15" hidden="false" customHeight="false" outlineLevel="0" collapsed="false">
      <c r="A4662" s="31" t="str">
        <f aca="false">Demand_History!C4662</f>
        <v>CLN-008</v>
      </c>
      <c r="B4662" s="31" t="n">
        <f aca="false">Demand_History!A4662</f>
        <v>85</v>
      </c>
      <c r="C4662" s="32" t="n">
        <f aca="false">Demand_History!D4662</f>
        <v>85</v>
      </c>
      <c r="D4662" s="33" t="n">
        <f aca="false">IF(B4662&gt;=2,C4661,"")</f>
        <v>79</v>
      </c>
      <c r="E4662" s="33" t="n">
        <f aca="false">IF(B4662&gt;=5,AVERAGE(C4658:C4661),"")</f>
        <v>80.25</v>
      </c>
      <c r="F4662" s="33" t="n">
        <f aca="false">IF(B4662&gt;=9,AVERAGE(C4654:C4661),"")</f>
        <v>81.625</v>
      </c>
      <c r="G4662" s="33" t="n">
        <f aca="false">IF(B4662=1,"",IF(B4662=2,C4661,SES_Alpha*C4661+(1-SES_Alpha)*G4661))</f>
        <v>79.8865456673149</v>
      </c>
      <c r="H4662" s="33" t="n">
        <f aca="false">IF(D4662="","",D4662-C4662)</f>
        <v>-6</v>
      </c>
      <c r="I4662" s="33" t="n">
        <f aca="false">IF(E4662="","",E4662-C4662)</f>
        <v>-4.75</v>
      </c>
      <c r="J4662" s="33" t="n">
        <f aca="false">IF(F4662="","",F4662-C4662)</f>
        <v>-3.375</v>
      </c>
      <c r="K4662" s="33" t="n">
        <f aca="false">IF(G4662="","",G4662-C4662)</f>
        <v>-5.11345433268514</v>
      </c>
      <c r="L4662" s="33" t="n">
        <f aca="false">IF(H4662="","",ABS(H4662))</f>
        <v>6</v>
      </c>
      <c r="M4662" s="33" t="n">
        <f aca="false">IF(I4662="","",ABS(I4662))</f>
        <v>4.75</v>
      </c>
      <c r="N4662" s="33" t="n">
        <f aca="false">IF(J4662="","",ABS(J4662))</f>
        <v>3.375</v>
      </c>
      <c r="O4662" s="33" t="n">
        <f aca="false">IF(K4662="","",ABS(K4662))</f>
        <v>5.11345433268514</v>
      </c>
      <c r="P4662" s="34" t="str">
        <f aca="false">IF(B4662&gt;=Eval_Start_Week,"YES","")</f>
        <v>YES</v>
      </c>
      <c r="Q4662" s="34" t="str">
        <f aca="false">IF(AND(B4662&gt;=Cal_Start_Week,B4662&lt;=Cal_End_Week),"YES","")</f>
        <v>YES</v>
      </c>
    </row>
    <row r="4663" customFormat="false" ht="15" hidden="false" customHeight="false" outlineLevel="0" collapsed="false">
      <c r="A4663" s="31" t="str">
        <f aca="false">Demand_History!C4663</f>
        <v>CLN-008</v>
      </c>
      <c r="B4663" s="31" t="n">
        <f aca="false">Demand_History!A4663</f>
        <v>86</v>
      </c>
      <c r="C4663" s="32" t="n">
        <f aca="false">Demand_History!D4663</f>
        <v>68</v>
      </c>
      <c r="D4663" s="33" t="n">
        <f aca="false">IF(B4663&gt;=2,C4662,"")</f>
        <v>85</v>
      </c>
      <c r="E4663" s="33" t="n">
        <f aca="false">IF(B4663&gt;=5,AVERAGE(C4659:C4662),"")</f>
        <v>80.5</v>
      </c>
      <c r="F4663" s="33" t="n">
        <f aca="false">IF(B4663&gt;=9,AVERAGE(C4655:C4662),"")</f>
        <v>80.75</v>
      </c>
      <c r="G4663" s="33" t="n">
        <f aca="false">IF(B4663=1,"",IF(B4663=2,C4662,SES_Alpha*C4662+(1-SES_Alpha)*G4662))</f>
        <v>81.4205819671204</v>
      </c>
      <c r="H4663" s="33" t="n">
        <f aca="false">IF(D4663="","",D4663-C4663)</f>
        <v>17</v>
      </c>
      <c r="I4663" s="33" t="n">
        <f aca="false">IF(E4663="","",E4663-C4663)</f>
        <v>12.5</v>
      </c>
      <c r="J4663" s="33" t="n">
        <f aca="false">IF(F4663="","",F4663-C4663)</f>
        <v>12.75</v>
      </c>
      <c r="K4663" s="33" t="n">
        <f aca="false">IF(G4663="","",G4663-C4663)</f>
        <v>13.4205819671204</v>
      </c>
      <c r="L4663" s="33" t="n">
        <f aca="false">IF(H4663="","",ABS(H4663))</f>
        <v>17</v>
      </c>
      <c r="M4663" s="33" t="n">
        <f aca="false">IF(I4663="","",ABS(I4663))</f>
        <v>12.5</v>
      </c>
      <c r="N4663" s="33" t="n">
        <f aca="false">IF(J4663="","",ABS(J4663))</f>
        <v>12.75</v>
      </c>
      <c r="O4663" s="33" t="n">
        <f aca="false">IF(K4663="","",ABS(K4663))</f>
        <v>13.4205819671204</v>
      </c>
      <c r="P4663" s="34" t="str">
        <f aca="false">IF(B4663&gt;=Eval_Start_Week,"YES","")</f>
        <v>YES</v>
      </c>
      <c r="Q4663" s="34" t="str">
        <f aca="false">IF(AND(B4663&gt;=Cal_Start_Week,B4663&lt;=Cal_End_Week),"YES","")</f>
        <v>YES</v>
      </c>
    </row>
    <row r="4664" customFormat="false" ht="15" hidden="false" customHeight="false" outlineLevel="0" collapsed="false">
      <c r="A4664" s="31" t="str">
        <f aca="false">Demand_History!C4664</f>
        <v>CLN-008</v>
      </c>
      <c r="B4664" s="31" t="n">
        <f aca="false">Demand_History!A4664</f>
        <v>87</v>
      </c>
      <c r="C4664" s="32" t="n">
        <f aca="false">Demand_History!D4664</f>
        <v>80</v>
      </c>
      <c r="D4664" s="33" t="n">
        <f aca="false">IF(B4664&gt;=2,C4663,"")</f>
        <v>68</v>
      </c>
      <c r="E4664" s="33" t="n">
        <f aca="false">IF(B4664&gt;=5,AVERAGE(C4660:C4663),"")</f>
        <v>77.5</v>
      </c>
      <c r="F4664" s="33" t="n">
        <f aca="false">IF(B4664&gt;=9,AVERAGE(C4656:C4663),"")</f>
        <v>79.125</v>
      </c>
      <c r="G4664" s="33" t="n">
        <f aca="false">IF(B4664=1,"",IF(B4664=2,C4663,SES_Alpha*C4663+(1-SES_Alpha)*G4663))</f>
        <v>77.3944073769843</v>
      </c>
      <c r="H4664" s="33" t="n">
        <f aca="false">IF(D4664="","",D4664-C4664)</f>
        <v>-12</v>
      </c>
      <c r="I4664" s="33" t="n">
        <f aca="false">IF(E4664="","",E4664-C4664)</f>
        <v>-2.5</v>
      </c>
      <c r="J4664" s="33" t="n">
        <f aca="false">IF(F4664="","",F4664-C4664)</f>
        <v>-0.875</v>
      </c>
      <c r="K4664" s="33" t="n">
        <f aca="false">IF(G4664="","",G4664-C4664)</f>
        <v>-2.60559262301572</v>
      </c>
      <c r="L4664" s="33" t="n">
        <f aca="false">IF(H4664="","",ABS(H4664))</f>
        <v>12</v>
      </c>
      <c r="M4664" s="33" t="n">
        <f aca="false">IF(I4664="","",ABS(I4664))</f>
        <v>2.5</v>
      </c>
      <c r="N4664" s="33" t="n">
        <f aca="false">IF(J4664="","",ABS(J4664))</f>
        <v>0.875</v>
      </c>
      <c r="O4664" s="33" t="n">
        <f aca="false">IF(K4664="","",ABS(K4664))</f>
        <v>2.60559262301572</v>
      </c>
      <c r="P4664" s="34" t="str">
        <f aca="false">IF(B4664&gt;=Eval_Start_Week,"YES","")</f>
        <v>YES</v>
      </c>
      <c r="Q4664" s="34" t="str">
        <f aca="false">IF(AND(B4664&gt;=Cal_Start_Week,B4664&lt;=Cal_End_Week),"YES","")</f>
        <v>YES</v>
      </c>
    </row>
    <row r="4665" customFormat="false" ht="15" hidden="false" customHeight="false" outlineLevel="0" collapsed="false">
      <c r="A4665" s="31" t="str">
        <f aca="false">Demand_History!C4665</f>
        <v>CLN-008</v>
      </c>
      <c r="B4665" s="31" t="n">
        <f aca="false">Demand_History!A4665</f>
        <v>88</v>
      </c>
      <c r="C4665" s="32" t="n">
        <f aca="false">Demand_History!D4665</f>
        <v>79</v>
      </c>
      <c r="D4665" s="33" t="n">
        <f aca="false">IF(B4665&gt;=2,C4664,"")</f>
        <v>80</v>
      </c>
      <c r="E4665" s="33" t="n">
        <f aca="false">IF(B4665&gt;=5,AVERAGE(C4661:C4664),"")</f>
        <v>78</v>
      </c>
      <c r="F4665" s="33" t="n">
        <f aca="false">IF(B4665&gt;=9,AVERAGE(C4657:C4664),"")</f>
        <v>79.375</v>
      </c>
      <c r="G4665" s="33" t="n">
        <f aca="false">IF(B4665=1,"",IF(B4665=2,C4664,SES_Alpha*C4664+(1-SES_Alpha)*G4664))</f>
        <v>78.176085163889</v>
      </c>
      <c r="H4665" s="33" t="n">
        <f aca="false">IF(D4665="","",D4665-C4665)</f>
        <v>1</v>
      </c>
      <c r="I4665" s="33" t="n">
        <f aca="false">IF(E4665="","",E4665-C4665)</f>
        <v>-1</v>
      </c>
      <c r="J4665" s="33" t="n">
        <f aca="false">IF(F4665="","",F4665-C4665)</f>
        <v>0.375</v>
      </c>
      <c r="K4665" s="33" t="n">
        <f aca="false">IF(G4665="","",G4665-C4665)</f>
        <v>-0.823914836111015</v>
      </c>
      <c r="L4665" s="33" t="n">
        <f aca="false">IF(H4665="","",ABS(H4665))</f>
        <v>1</v>
      </c>
      <c r="M4665" s="33" t="n">
        <f aca="false">IF(I4665="","",ABS(I4665))</f>
        <v>1</v>
      </c>
      <c r="N4665" s="33" t="n">
        <f aca="false">IF(J4665="","",ABS(J4665))</f>
        <v>0.375</v>
      </c>
      <c r="O4665" s="33" t="n">
        <f aca="false">IF(K4665="","",ABS(K4665))</f>
        <v>0.823914836111015</v>
      </c>
      <c r="P4665" s="34" t="str">
        <f aca="false">IF(B4665&gt;=Eval_Start_Week,"YES","")</f>
        <v>YES</v>
      </c>
      <c r="Q4665" s="34" t="str">
        <f aca="false">IF(AND(B4665&gt;=Cal_Start_Week,B4665&lt;=Cal_End_Week),"YES","")</f>
        <v>YES</v>
      </c>
    </row>
    <row r="4666" customFormat="false" ht="15" hidden="false" customHeight="false" outlineLevel="0" collapsed="false">
      <c r="A4666" s="31" t="str">
        <f aca="false">Demand_History!C4666</f>
        <v>CLN-008</v>
      </c>
      <c r="B4666" s="31" t="n">
        <f aca="false">Demand_History!A4666</f>
        <v>89</v>
      </c>
      <c r="C4666" s="32" t="n">
        <f aca="false">Demand_History!D4666</f>
        <v>75</v>
      </c>
      <c r="D4666" s="33" t="n">
        <f aca="false">IF(B4666&gt;=2,C4665,"")</f>
        <v>79</v>
      </c>
      <c r="E4666" s="33" t="n">
        <f aca="false">IF(B4666&gt;=5,AVERAGE(C4662:C4665),"")</f>
        <v>78</v>
      </c>
      <c r="F4666" s="33" t="n">
        <f aca="false">IF(B4666&gt;=9,AVERAGE(C4658:C4665),"")</f>
        <v>79.125</v>
      </c>
      <c r="G4666" s="33" t="n">
        <f aca="false">IF(B4666=1,"",IF(B4666=2,C4665,SES_Alpha*C4665+(1-SES_Alpha)*G4665))</f>
        <v>78.4232596147223</v>
      </c>
      <c r="H4666" s="33" t="n">
        <f aca="false">IF(D4666="","",D4666-C4666)</f>
        <v>4</v>
      </c>
      <c r="I4666" s="33" t="n">
        <f aca="false">IF(E4666="","",E4666-C4666)</f>
        <v>3</v>
      </c>
      <c r="J4666" s="33" t="n">
        <f aca="false">IF(F4666="","",F4666-C4666)</f>
        <v>4.125</v>
      </c>
      <c r="K4666" s="33" t="n">
        <f aca="false">IF(G4666="","",G4666-C4666)</f>
        <v>3.42325961472228</v>
      </c>
      <c r="L4666" s="33" t="n">
        <f aca="false">IF(H4666="","",ABS(H4666))</f>
        <v>4</v>
      </c>
      <c r="M4666" s="33" t="n">
        <f aca="false">IF(I4666="","",ABS(I4666))</f>
        <v>3</v>
      </c>
      <c r="N4666" s="33" t="n">
        <f aca="false">IF(J4666="","",ABS(J4666))</f>
        <v>4.125</v>
      </c>
      <c r="O4666" s="33" t="n">
        <f aca="false">IF(K4666="","",ABS(K4666))</f>
        <v>3.42325961472228</v>
      </c>
      <c r="P4666" s="34" t="str">
        <f aca="false">IF(B4666&gt;=Eval_Start_Week,"YES","")</f>
        <v>YES</v>
      </c>
      <c r="Q4666" s="34" t="str">
        <f aca="false">IF(AND(B4666&gt;=Cal_Start_Week,B4666&lt;=Cal_End_Week),"YES","")</f>
        <v/>
      </c>
    </row>
    <row r="4667" customFormat="false" ht="15" hidden="false" customHeight="false" outlineLevel="0" collapsed="false">
      <c r="A4667" s="31" t="str">
        <f aca="false">Demand_History!C4667</f>
        <v>CLN-008</v>
      </c>
      <c r="B4667" s="31" t="n">
        <f aca="false">Demand_History!A4667</f>
        <v>90</v>
      </c>
      <c r="C4667" s="32" t="n">
        <f aca="false">Demand_History!D4667</f>
        <v>88</v>
      </c>
      <c r="D4667" s="33" t="n">
        <f aca="false">IF(B4667&gt;=2,C4666,"")</f>
        <v>75</v>
      </c>
      <c r="E4667" s="33" t="n">
        <f aca="false">IF(B4667&gt;=5,AVERAGE(C4663:C4666),"")</f>
        <v>75.5</v>
      </c>
      <c r="F4667" s="33" t="n">
        <f aca="false">IF(B4667&gt;=9,AVERAGE(C4659:C4666),"")</f>
        <v>78</v>
      </c>
      <c r="G4667" s="33" t="n">
        <f aca="false">IF(B4667=1,"",IF(B4667=2,C4666,SES_Alpha*C4666+(1-SES_Alpha)*G4666))</f>
        <v>77.3962817303056</v>
      </c>
      <c r="H4667" s="33" t="n">
        <f aca="false">IF(D4667="","",D4667-C4667)</f>
        <v>-13</v>
      </c>
      <c r="I4667" s="33" t="n">
        <f aca="false">IF(E4667="","",E4667-C4667)</f>
        <v>-12.5</v>
      </c>
      <c r="J4667" s="33" t="n">
        <f aca="false">IF(F4667="","",F4667-C4667)</f>
        <v>-10</v>
      </c>
      <c r="K4667" s="33" t="n">
        <f aca="false">IF(G4667="","",G4667-C4667)</f>
        <v>-10.6037182696944</v>
      </c>
      <c r="L4667" s="33" t="n">
        <f aca="false">IF(H4667="","",ABS(H4667))</f>
        <v>13</v>
      </c>
      <c r="M4667" s="33" t="n">
        <f aca="false">IF(I4667="","",ABS(I4667))</f>
        <v>12.5</v>
      </c>
      <c r="N4667" s="33" t="n">
        <f aca="false">IF(J4667="","",ABS(J4667))</f>
        <v>10</v>
      </c>
      <c r="O4667" s="33" t="n">
        <f aca="false">IF(K4667="","",ABS(K4667))</f>
        <v>10.6037182696944</v>
      </c>
      <c r="P4667" s="34" t="str">
        <f aca="false">IF(B4667&gt;=Eval_Start_Week,"YES","")</f>
        <v>YES</v>
      </c>
      <c r="Q4667" s="34" t="str">
        <f aca="false">IF(AND(B4667&gt;=Cal_Start_Week,B4667&lt;=Cal_End_Week),"YES","")</f>
        <v/>
      </c>
    </row>
    <row r="4668" customFormat="false" ht="15" hidden="false" customHeight="false" outlineLevel="0" collapsed="false">
      <c r="A4668" s="31" t="str">
        <f aca="false">Demand_History!C4668</f>
        <v>CLN-008</v>
      </c>
      <c r="B4668" s="31" t="n">
        <f aca="false">Demand_History!A4668</f>
        <v>91</v>
      </c>
      <c r="C4668" s="32" t="n">
        <f aca="false">Demand_History!D4668</f>
        <v>66</v>
      </c>
      <c r="D4668" s="33" t="n">
        <f aca="false">IF(B4668&gt;=2,C4667,"")</f>
        <v>88</v>
      </c>
      <c r="E4668" s="33" t="n">
        <f aca="false">IF(B4668&gt;=5,AVERAGE(C4664:C4667),"")</f>
        <v>80.5</v>
      </c>
      <c r="F4668" s="33" t="n">
        <f aca="false">IF(B4668&gt;=9,AVERAGE(C4660:C4667),"")</f>
        <v>79</v>
      </c>
      <c r="G4668" s="33" t="n">
        <f aca="false">IF(B4668=1,"",IF(B4668=2,C4667,SES_Alpha*C4667+(1-SES_Alpha)*G4667))</f>
        <v>80.5773972112139</v>
      </c>
      <c r="H4668" s="33" t="n">
        <f aca="false">IF(D4668="","",D4668-C4668)</f>
        <v>22</v>
      </c>
      <c r="I4668" s="33" t="n">
        <f aca="false">IF(E4668="","",E4668-C4668)</f>
        <v>14.5</v>
      </c>
      <c r="J4668" s="33" t="n">
        <f aca="false">IF(F4668="","",F4668-C4668)</f>
        <v>13</v>
      </c>
      <c r="K4668" s="33" t="n">
        <f aca="false">IF(G4668="","",G4668-C4668)</f>
        <v>14.5773972112139</v>
      </c>
      <c r="L4668" s="33" t="n">
        <f aca="false">IF(H4668="","",ABS(H4668))</f>
        <v>22</v>
      </c>
      <c r="M4668" s="33" t="n">
        <f aca="false">IF(I4668="","",ABS(I4668))</f>
        <v>14.5</v>
      </c>
      <c r="N4668" s="33" t="n">
        <f aca="false">IF(J4668="","",ABS(J4668))</f>
        <v>13</v>
      </c>
      <c r="O4668" s="33" t="n">
        <f aca="false">IF(K4668="","",ABS(K4668))</f>
        <v>14.5773972112139</v>
      </c>
      <c r="P4668" s="34" t="str">
        <f aca="false">IF(B4668&gt;=Eval_Start_Week,"YES","")</f>
        <v>YES</v>
      </c>
      <c r="Q4668" s="34" t="str">
        <f aca="false">IF(AND(B4668&gt;=Cal_Start_Week,B4668&lt;=Cal_End_Week),"YES","")</f>
        <v/>
      </c>
    </row>
    <row r="4669" customFormat="false" ht="15" hidden="false" customHeight="false" outlineLevel="0" collapsed="false">
      <c r="A4669" s="31" t="str">
        <f aca="false">Demand_History!C4669</f>
        <v>CLN-008</v>
      </c>
      <c r="B4669" s="31" t="n">
        <f aca="false">Demand_History!A4669</f>
        <v>92</v>
      </c>
      <c r="C4669" s="32" t="n">
        <f aca="false">Demand_History!D4669</f>
        <v>76</v>
      </c>
      <c r="D4669" s="33" t="n">
        <f aca="false">IF(B4669&gt;=2,C4668,"")</f>
        <v>66</v>
      </c>
      <c r="E4669" s="33" t="n">
        <f aca="false">IF(B4669&gt;=5,AVERAGE(C4665:C4668),"")</f>
        <v>77</v>
      </c>
      <c r="F4669" s="33" t="n">
        <f aca="false">IF(B4669&gt;=9,AVERAGE(C4661:C4668),"")</f>
        <v>77.5</v>
      </c>
      <c r="G4669" s="33" t="n">
        <f aca="false">IF(B4669=1,"",IF(B4669=2,C4668,SES_Alpha*C4668+(1-SES_Alpha)*G4668))</f>
        <v>76.2041780478497</v>
      </c>
      <c r="H4669" s="33" t="n">
        <f aca="false">IF(D4669="","",D4669-C4669)</f>
        <v>-10</v>
      </c>
      <c r="I4669" s="33" t="n">
        <f aca="false">IF(E4669="","",E4669-C4669)</f>
        <v>1</v>
      </c>
      <c r="J4669" s="33" t="n">
        <f aca="false">IF(F4669="","",F4669-C4669)</f>
        <v>1.5</v>
      </c>
      <c r="K4669" s="33" t="n">
        <f aca="false">IF(G4669="","",G4669-C4669)</f>
        <v>0.204178047849737</v>
      </c>
      <c r="L4669" s="33" t="n">
        <f aca="false">IF(H4669="","",ABS(H4669))</f>
        <v>10</v>
      </c>
      <c r="M4669" s="33" t="n">
        <f aca="false">IF(I4669="","",ABS(I4669))</f>
        <v>1</v>
      </c>
      <c r="N4669" s="33" t="n">
        <f aca="false">IF(J4669="","",ABS(J4669))</f>
        <v>1.5</v>
      </c>
      <c r="O4669" s="33" t="n">
        <f aca="false">IF(K4669="","",ABS(K4669))</f>
        <v>0.204178047849737</v>
      </c>
      <c r="P4669" s="34" t="str">
        <f aca="false">IF(B4669&gt;=Eval_Start_Week,"YES","")</f>
        <v>YES</v>
      </c>
      <c r="Q4669" s="34" t="str">
        <f aca="false">IF(AND(B4669&gt;=Cal_Start_Week,B4669&lt;=Cal_End_Week),"YES","")</f>
        <v/>
      </c>
    </row>
    <row r="4670" customFormat="false" ht="15" hidden="false" customHeight="false" outlineLevel="0" collapsed="false">
      <c r="A4670" s="31" t="str">
        <f aca="false">Demand_History!C4670</f>
        <v>CLN-008</v>
      </c>
      <c r="B4670" s="31" t="n">
        <f aca="false">Demand_History!A4670</f>
        <v>93</v>
      </c>
      <c r="C4670" s="32" t="n">
        <f aca="false">Demand_History!D4670</f>
        <v>71</v>
      </c>
      <c r="D4670" s="33" t="n">
        <f aca="false">IF(B4670&gt;=2,C4669,"")</f>
        <v>76</v>
      </c>
      <c r="E4670" s="33" t="n">
        <f aca="false">IF(B4670&gt;=5,AVERAGE(C4666:C4669),"")</f>
        <v>76.25</v>
      </c>
      <c r="F4670" s="33" t="n">
        <f aca="false">IF(B4670&gt;=9,AVERAGE(C4662:C4669),"")</f>
        <v>77.125</v>
      </c>
      <c r="G4670" s="33" t="n">
        <f aca="false">IF(B4670=1,"",IF(B4670=2,C4669,SES_Alpha*C4669+(1-SES_Alpha)*G4669))</f>
        <v>76.1429246334948</v>
      </c>
      <c r="H4670" s="33" t="n">
        <f aca="false">IF(D4670="","",D4670-C4670)</f>
        <v>5</v>
      </c>
      <c r="I4670" s="33" t="n">
        <f aca="false">IF(E4670="","",E4670-C4670)</f>
        <v>5.25</v>
      </c>
      <c r="J4670" s="33" t="n">
        <f aca="false">IF(F4670="","",F4670-C4670)</f>
        <v>6.125</v>
      </c>
      <c r="K4670" s="33" t="n">
        <f aca="false">IF(G4670="","",G4670-C4670)</f>
        <v>5.14292463349482</v>
      </c>
      <c r="L4670" s="33" t="n">
        <f aca="false">IF(H4670="","",ABS(H4670))</f>
        <v>5</v>
      </c>
      <c r="M4670" s="33" t="n">
        <f aca="false">IF(I4670="","",ABS(I4670))</f>
        <v>5.25</v>
      </c>
      <c r="N4670" s="33" t="n">
        <f aca="false">IF(J4670="","",ABS(J4670))</f>
        <v>6.125</v>
      </c>
      <c r="O4670" s="33" t="n">
        <f aca="false">IF(K4670="","",ABS(K4670))</f>
        <v>5.14292463349482</v>
      </c>
      <c r="P4670" s="34" t="str">
        <f aca="false">IF(B4670&gt;=Eval_Start_Week,"YES","")</f>
        <v>YES</v>
      </c>
      <c r="Q4670" s="34" t="str">
        <f aca="false">IF(AND(B4670&gt;=Cal_Start_Week,B4670&lt;=Cal_End_Week),"YES","")</f>
        <v/>
      </c>
    </row>
    <row r="4671" customFormat="false" ht="15" hidden="false" customHeight="false" outlineLevel="0" collapsed="false">
      <c r="A4671" s="31" t="str">
        <f aca="false">Demand_History!C4671</f>
        <v>CLN-008</v>
      </c>
      <c r="B4671" s="31" t="n">
        <f aca="false">Demand_History!A4671</f>
        <v>94</v>
      </c>
      <c r="C4671" s="32" t="n">
        <f aca="false">Demand_History!D4671</f>
        <v>86</v>
      </c>
      <c r="D4671" s="33" t="n">
        <f aca="false">IF(B4671&gt;=2,C4670,"")</f>
        <v>71</v>
      </c>
      <c r="E4671" s="33" t="n">
        <f aca="false">IF(B4671&gt;=5,AVERAGE(C4667:C4670),"")</f>
        <v>75.25</v>
      </c>
      <c r="F4671" s="33" t="n">
        <f aca="false">IF(B4671&gt;=9,AVERAGE(C4663:C4670),"")</f>
        <v>75.375</v>
      </c>
      <c r="G4671" s="33" t="n">
        <f aca="false">IF(B4671=1,"",IF(B4671=2,C4670,SES_Alpha*C4670+(1-SES_Alpha)*G4670))</f>
        <v>74.6000472434464</v>
      </c>
      <c r="H4671" s="33" t="n">
        <f aca="false">IF(D4671="","",D4671-C4671)</f>
        <v>-15</v>
      </c>
      <c r="I4671" s="33" t="n">
        <f aca="false">IF(E4671="","",E4671-C4671)</f>
        <v>-10.75</v>
      </c>
      <c r="J4671" s="33" t="n">
        <f aca="false">IF(F4671="","",F4671-C4671)</f>
        <v>-10.625</v>
      </c>
      <c r="K4671" s="33" t="n">
        <f aca="false">IF(G4671="","",G4671-C4671)</f>
        <v>-11.3999527565536</v>
      </c>
      <c r="L4671" s="33" t="n">
        <f aca="false">IF(H4671="","",ABS(H4671))</f>
        <v>15</v>
      </c>
      <c r="M4671" s="33" t="n">
        <f aca="false">IF(I4671="","",ABS(I4671))</f>
        <v>10.75</v>
      </c>
      <c r="N4671" s="33" t="n">
        <f aca="false">IF(J4671="","",ABS(J4671))</f>
        <v>10.625</v>
      </c>
      <c r="O4671" s="33" t="n">
        <f aca="false">IF(K4671="","",ABS(K4671))</f>
        <v>11.3999527565536</v>
      </c>
      <c r="P4671" s="34" t="str">
        <f aca="false">IF(B4671&gt;=Eval_Start_Week,"YES","")</f>
        <v>YES</v>
      </c>
      <c r="Q4671" s="34" t="str">
        <f aca="false">IF(AND(B4671&gt;=Cal_Start_Week,B4671&lt;=Cal_End_Week),"YES","")</f>
        <v/>
      </c>
    </row>
    <row r="4672" customFormat="false" ht="15" hidden="false" customHeight="false" outlineLevel="0" collapsed="false">
      <c r="A4672" s="31" t="str">
        <f aca="false">Demand_History!C4672</f>
        <v>CLN-008</v>
      </c>
      <c r="B4672" s="31" t="n">
        <f aca="false">Demand_History!A4672</f>
        <v>95</v>
      </c>
      <c r="C4672" s="32" t="n">
        <f aca="false">Demand_History!D4672</f>
        <v>75</v>
      </c>
      <c r="D4672" s="33" t="n">
        <f aca="false">IF(B4672&gt;=2,C4671,"")</f>
        <v>86</v>
      </c>
      <c r="E4672" s="33" t="n">
        <f aca="false">IF(B4672&gt;=5,AVERAGE(C4668:C4671),"")</f>
        <v>74.75</v>
      </c>
      <c r="F4672" s="33" t="n">
        <f aca="false">IF(B4672&gt;=9,AVERAGE(C4664:C4671),"")</f>
        <v>77.625</v>
      </c>
      <c r="G4672" s="33" t="n">
        <f aca="false">IF(B4672=1,"",IF(B4672=2,C4671,SES_Alpha*C4671+(1-SES_Alpha)*G4671))</f>
        <v>78.0200330704125</v>
      </c>
      <c r="H4672" s="33" t="n">
        <f aca="false">IF(D4672="","",D4672-C4672)</f>
        <v>11</v>
      </c>
      <c r="I4672" s="33" t="n">
        <f aca="false">IF(E4672="","",E4672-C4672)</f>
        <v>-0.25</v>
      </c>
      <c r="J4672" s="33" t="n">
        <f aca="false">IF(F4672="","",F4672-C4672)</f>
        <v>2.625</v>
      </c>
      <c r="K4672" s="33" t="n">
        <f aca="false">IF(G4672="","",G4672-C4672)</f>
        <v>3.02003307041245</v>
      </c>
      <c r="L4672" s="33" t="n">
        <f aca="false">IF(H4672="","",ABS(H4672))</f>
        <v>11</v>
      </c>
      <c r="M4672" s="33" t="n">
        <f aca="false">IF(I4672="","",ABS(I4672))</f>
        <v>0.25</v>
      </c>
      <c r="N4672" s="33" t="n">
        <f aca="false">IF(J4672="","",ABS(J4672))</f>
        <v>2.625</v>
      </c>
      <c r="O4672" s="33" t="n">
        <f aca="false">IF(K4672="","",ABS(K4672))</f>
        <v>3.02003307041245</v>
      </c>
      <c r="P4672" s="34" t="str">
        <f aca="false">IF(B4672&gt;=Eval_Start_Week,"YES","")</f>
        <v>YES</v>
      </c>
      <c r="Q4672" s="34" t="str">
        <f aca="false">IF(AND(B4672&gt;=Cal_Start_Week,B4672&lt;=Cal_End_Week),"YES","")</f>
        <v/>
      </c>
    </row>
    <row r="4673" customFormat="false" ht="15" hidden="false" customHeight="false" outlineLevel="0" collapsed="false">
      <c r="A4673" s="31" t="str">
        <f aca="false">Demand_History!C4673</f>
        <v>CLN-008</v>
      </c>
      <c r="B4673" s="31" t="n">
        <f aca="false">Demand_History!A4673</f>
        <v>96</v>
      </c>
      <c r="C4673" s="32" t="n">
        <f aca="false">Demand_History!D4673</f>
        <v>81</v>
      </c>
      <c r="D4673" s="33" t="n">
        <f aca="false">IF(B4673&gt;=2,C4672,"")</f>
        <v>75</v>
      </c>
      <c r="E4673" s="33" t="n">
        <f aca="false">IF(B4673&gt;=5,AVERAGE(C4669:C4672),"")</f>
        <v>77</v>
      </c>
      <c r="F4673" s="33" t="n">
        <f aca="false">IF(B4673&gt;=9,AVERAGE(C4665:C4672),"")</f>
        <v>77</v>
      </c>
      <c r="G4673" s="33" t="n">
        <f aca="false">IF(B4673=1,"",IF(B4673=2,C4672,SES_Alpha*C4672+(1-SES_Alpha)*G4672))</f>
        <v>77.1140231492887</v>
      </c>
      <c r="H4673" s="33" t="n">
        <f aca="false">IF(D4673="","",D4673-C4673)</f>
        <v>-6</v>
      </c>
      <c r="I4673" s="33" t="n">
        <f aca="false">IF(E4673="","",E4673-C4673)</f>
        <v>-4</v>
      </c>
      <c r="J4673" s="33" t="n">
        <f aca="false">IF(F4673="","",F4673-C4673)</f>
        <v>-4</v>
      </c>
      <c r="K4673" s="33" t="n">
        <f aca="false">IF(G4673="","",G4673-C4673)</f>
        <v>-3.88597685071129</v>
      </c>
      <c r="L4673" s="33" t="n">
        <f aca="false">IF(H4673="","",ABS(H4673))</f>
        <v>6</v>
      </c>
      <c r="M4673" s="33" t="n">
        <f aca="false">IF(I4673="","",ABS(I4673))</f>
        <v>4</v>
      </c>
      <c r="N4673" s="33" t="n">
        <f aca="false">IF(J4673="","",ABS(J4673))</f>
        <v>4</v>
      </c>
      <c r="O4673" s="33" t="n">
        <f aca="false">IF(K4673="","",ABS(K4673))</f>
        <v>3.88597685071129</v>
      </c>
      <c r="P4673" s="34" t="str">
        <f aca="false">IF(B4673&gt;=Eval_Start_Week,"YES","")</f>
        <v>YES</v>
      </c>
      <c r="Q4673" s="34" t="str">
        <f aca="false">IF(AND(B4673&gt;=Cal_Start_Week,B4673&lt;=Cal_End_Week),"YES","")</f>
        <v/>
      </c>
    </row>
    <row r="4674" customFormat="false" ht="15" hidden="false" customHeight="false" outlineLevel="0" collapsed="false">
      <c r="A4674" s="31" t="str">
        <f aca="false">Demand_History!C4674</f>
        <v>CLN-008</v>
      </c>
      <c r="B4674" s="31" t="n">
        <f aca="false">Demand_History!A4674</f>
        <v>97</v>
      </c>
      <c r="C4674" s="32" t="n">
        <f aca="false">Demand_History!D4674</f>
        <v>84</v>
      </c>
      <c r="D4674" s="33" t="n">
        <f aca="false">IF(B4674&gt;=2,C4673,"")</f>
        <v>81</v>
      </c>
      <c r="E4674" s="33" t="n">
        <f aca="false">IF(B4674&gt;=5,AVERAGE(C4670:C4673),"")</f>
        <v>78.25</v>
      </c>
      <c r="F4674" s="33" t="n">
        <f aca="false">IF(B4674&gt;=9,AVERAGE(C4666:C4673),"")</f>
        <v>77.25</v>
      </c>
      <c r="G4674" s="33" t="n">
        <f aca="false">IF(B4674=1,"",IF(B4674=2,C4673,SES_Alpha*C4673+(1-SES_Alpha)*G4673))</f>
        <v>78.2798162045021</v>
      </c>
      <c r="H4674" s="33" t="n">
        <f aca="false">IF(D4674="","",D4674-C4674)</f>
        <v>-3</v>
      </c>
      <c r="I4674" s="33" t="n">
        <f aca="false">IF(E4674="","",E4674-C4674)</f>
        <v>-5.75</v>
      </c>
      <c r="J4674" s="33" t="n">
        <f aca="false">IF(F4674="","",F4674-C4674)</f>
        <v>-6.75</v>
      </c>
      <c r="K4674" s="33" t="n">
        <f aca="false">IF(G4674="","",G4674-C4674)</f>
        <v>-5.7201837954979</v>
      </c>
      <c r="L4674" s="33" t="n">
        <f aca="false">IF(H4674="","",ABS(H4674))</f>
        <v>3</v>
      </c>
      <c r="M4674" s="33" t="n">
        <f aca="false">IF(I4674="","",ABS(I4674))</f>
        <v>5.75</v>
      </c>
      <c r="N4674" s="33" t="n">
        <f aca="false">IF(J4674="","",ABS(J4674))</f>
        <v>6.75</v>
      </c>
      <c r="O4674" s="33" t="n">
        <f aca="false">IF(K4674="","",ABS(K4674))</f>
        <v>5.7201837954979</v>
      </c>
      <c r="P4674" s="34" t="str">
        <f aca="false">IF(B4674&gt;=Eval_Start_Week,"YES","")</f>
        <v>YES</v>
      </c>
      <c r="Q4674" s="34" t="str">
        <f aca="false">IF(AND(B4674&gt;=Cal_Start_Week,B4674&lt;=Cal_End_Week),"YES","")</f>
        <v/>
      </c>
    </row>
    <row r="4675" customFormat="false" ht="15" hidden="false" customHeight="false" outlineLevel="0" collapsed="false">
      <c r="A4675" s="31" t="str">
        <f aca="false">Demand_History!C4675</f>
        <v>CLN-008</v>
      </c>
      <c r="B4675" s="31" t="n">
        <f aca="false">Demand_History!A4675</f>
        <v>98</v>
      </c>
      <c r="C4675" s="32" t="n">
        <f aca="false">Demand_History!D4675</f>
        <v>63</v>
      </c>
      <c r="D4675" s="33" t="n">
        <f aca="false">IF(B4675&gt;=2,C4674,"")</f>
        <v>84</v>
      </c>
      <c r="E4675" s="33" t="n">
        <f aca="false">IF(B4675&gt;=5,AVERAGE(C4671:C4674),"")</f>
        <v>81.5</v>
      </c>
      <c r="F4675" s="33" t="n">
        <f aca="false">IF(B4675&gt;=9,AVERAGE(C4667:C4674),"")</f>
        <v>78.375</v>
      </c>
      <c r="G4675" s="33" t="n">
        <f aca="false">IF(B4675=1,"",IF(B4675=2,C4674,SES_Alpha*C4674+(1-SES_Alpha)*G4674))</f>
        <v>79.9958713431515</v>
      </c>
      <c r="H4675" s="33" t="n">
        <f aca="false">IF(D4675="","",D4675-C4675)</f>
        <v>21</v>
      </c>
      <c r="I4675" s="33" t="n">
        <f aca="false">IF(E4675="","",E4675-C4675)</f>
        <v>18.5</v>
      </c>
      <c r="J4675" s="33" t="n">
        <f aca="false">IF(F4675="","",F4675-C4675)</f>
        <v>15.375</v>
      </c>
      <c r="K4675" s="33" t="n">
        <f aca="false">IF(G4675="","",G4675-C4675)</f>
        <v>16.9958713431515</v>
      </c>
      <c r="L4675" s="33" t="n">
        <f aca="false">IF(H4675="","",ABS(H4675))</f>
        <v>21</v>
      </c>
      <c r="M4675" s="33" t="n">
        <f aca="false">IF(I4675="","",ABS(I4675))</f>
        <v>18.5</v>
      </c>
      <c r="N4675" s="33" t="n">
        <f aca="false">IF(J4675="","",ABS(J4675))</f>
        <v>15.375</v>
      </c>
      <c r="O4675" s="33" t="n">
        <f aca="false">IF(K4675="","",ABS(K4675))</f>
        <v>16.9958713431515</v>
      </c>
      <c r="P4675" s="34" t="str">
        <f aca="false">IF(B4675&gt;=Eval_Start_Week,"YES","")</f>
        <v>YES</v>
      </c>
      <c r="Q4675" s="34" t="str">
        <f aca="false">IF(AND(B4675&gt;=Cal_Start_Week,B4675&lt;=Cal_End_Week),"YES","")</f>
        <v/>
      </c>
    </row>
    <row r="4676" customFormat="false" ht="15" hidden="false" customHeight="false" outlineLevel="0" collapsed="false">
      <c r="A4676" s="31" t="str">
        <f aca="false">Demand_History!C4676</f>
        <v>CLN-008</v>
      </c>
      <c r="B4676" s="31" t="n">
        <f aca="false">Demand_History!A4676</f>
        <v>99</v>
      </c>
      <c r="C4676" s="32" t="n">
        <f aca="false">Demand_History!D4676</f>
        <v>85</v>
      </c>
      <c r="D4676" s="33" t="n">
        <f aca="false">IF(B4676&gt;=2,C4675,"")</f>
        <v>63</v>
      </c>
      <c r="E4676" s="33" t="n">
        <f aca="false">IF(B4676&gt;=5,AVERAGE(C4672:C4675),"")</f>
        <v>75.75</v>
      </c>
      <c r="F4676" s="33" t="n">
        <f aca="false">IF(B4676&gt;=9,AVERAGE(C4668:C4675),"")</f>
        <v>75.25</v>
      </c>
      <c r="G4676" s="33" t="n">
        <f aca="false">IF(B4676=1,"",IF(B4676=2,C4675,SES_Alpha*C4675+(1-SES_Alpha)*G4675))</f>
        <v>74.897109940206</v>
      </c>
      <c r="H4676" s="33" t="n">
        <f aca="false">IF(D4676="","",D4676-C4676)</f>
        <v>-22</v>
      </c>
      <c r="I4676" s="33" t="n">
        <f aca="false">IF(E4676="","",E4676-C4676)</f>
        <v>-9.25</v>
      </c>
      <c r="J4676" s="33" t="n">
        <f aca="false">IF(F4676="","",F4676-C4676)</f>
        <v>-9.75</v>
      </c>
      <c r="K4676" s="33" t="n">
        <f aca="false">IF(G4676="","",G4676-C4676)</f>
        <v>-10.102890059794</v>
      </c>
      <c r="L4676" s="33" t="n">
        <f aca="false">IF(H4676="","",ABS(H4676))</f>
        <v>22</v>
      </c>
      <c r="M4676" s="33" t="n">
        <f aca="false">IF(I4676="","",ABS(I4676))</f>
        <v>9.25</v>
      </c>
      <c r="N4676" s="33" t="n">
        <f aca="false">IF(J4676="","",ABS(J4676))</f>
        <v>9.75</v>
      </c>
      <c r="O4676" s="33" t="n">
        <f aca="false">IF(K4676="","",ABS(K4676))</f>
        <v>10.102890059794</v>
      </c>
      <c r="P4676" s="34" t="str">
        <f aca="false">IF(B4676&gt;=Eval_Start_Week,"YES","")</f>
        <v>YES</v>
      </c>
      <c r="Q4676" s="34" t="str">
        <f aca="false">IF(AND(B4676&gt;=Cal_Start_Week,B4676&lt;=Cal_End_Week),"YES","")</f>
        <v/>
      </c>
    </row>
    <row r="4677" customFormat="false" ht="15" hidden="false" customHeight="false" outlineLevel="0" collapsed="false">
      <c r="A4677" s="31" t="str">
        <f aca="false">Demand_History!C4677</f>
        <v>CLN-008</v>
      </c>
      <c r="B4677" s="31" t="n">
        <f aca="false">Demand_History!A4677</f>
        <v>100</v>
      </c>
      <c r="C4677" s="32" t="n">
        <f aca="false">Demand_History!D4677</f>
        <v>72</v>
      </c>
      <c r="D4677" s="33" t="n">
        <f aca="false">IF(B4677&gt;=2,C4676,"")</f>
        <v>85</v>
      </c>
      <c r="E4677" s="33" t="n">
        <f aca="false">IF(B4677&gt;=5,AVERAGE(C4673:C4676),"")</f>
        <v>78.25</v>
      </c>
      <c r="F4677" s="33" t="n">
        <f aca="false">IF(B4677&gt;=9,AVERAGE(C4669:C4676),"")</f>
        <v>77.625</v>
      </c>
      <c r="G4677" s="33" t="n">
        <f aca="false">IF(B4677=1,"",IF(B4677=2,C4676,SES_Alpha*C4676+(1-SES_Alpha)*G4676))</f>
        <v>77.9279769581442</v>
      </c>
      <c r="H4677" s="33" t="n">
        <f aca="false">IF(D4677="","",D4677-C4677)</f>
        <v>13</v>
      </c>
      <c r="I4677" s="33" t="n">
        <f aca="false">IF(E4677="","",E4677-C4677)</f>
        <v>6.25</v>
      </c>
      <c r="J4677" s="33" t="n">
        <f aca="false">IF(F4677="","",F4677-C4677)</f>
        <v>5.625</v>
      </c>
      <c r="K4677" s="33" t="n">
        <f aca="false">IF(G4677="","",G4677-C4677)</f>
        <v>5.92797695814421</v>
      </c>
      <c r="L4677" s="33" t="n">
        <f aca="false">IF(H4677="","",ABS(H4677))</f>
        <v>13</v>
      </c>
      <c r="M4677" s="33" t="n">
        <f aca="false">IF(I4677="","",ABS(I4677))</f>
        <v>6.25</v>
      </c>
      <c r="N4677" s="33" t="n">
        <f aca="false">IF(J4677="","",ABS(J4677))</f>
        <v>5.625</v>
      </c>
      <c r="O4677" s="33" t="n">
        <f aca="false">IF(K4677="","",ABS(K4677))</f>
        <v>5.92797695814421</v>
      </c>
      <c r="P4677" s="34" t="str">
        <f aca="false">IF(B4677&gt;=Eval_Start_Week,"YES","")</f>
        <v>YES</v>
      </c>
      <c r="Q4677" s="34" t="str">
        <f aca="false">IF(AND(B4677&gt;=Cal_Start_Week,B4677&lt;=Cal_End_Week),"YES","")</f>
        <v/>
      </c>
    </row>
    <row r="4678" customFormat="false" ht="15" hidden="false" customHeight="false" outlineLevel="0" collapsed="false">
      <c r="A4678" s="31" t="str">
        <f aca="false">Demand_History!C4678</f>
        <v>CLN-008</v>
      </c>
      <c r="B4678" s="31" t="n">
        <f aca="false">Demand_History!A4678</f>
        <v>101</v>
      </c>
      <c r="C4678" s="32" t="n">
        <f aca="false">Demand_History!D4678</f>
        <v>77</v>
      </c>
      <c r="D4678" s="33" t="n">
        <f aca="false">IF(B4678&gt;=2,C4677,"")</f>
        <v>72</v>
      </c>
      <c r="E4678" s="33" t="n">
        <f aca="false">IF(B4678&gt;=5,AVERAGE(C4674:C4677),"")</f>
        <v>76</v>
      </c>
      <c r="F4678" s="33" t="n">
        <f aca="false">IF(B4678&gt;=9,AVERAGE(C4670:C4677),"")</f>
        <v>77.125</v>
      </c>
      <c r="G4678" s="33" t="n">
        <f aca="false">IF(B4678=1,"",IF(B4678=2,C4677,SES_Alpha*C4677+(1-SES_Alpha)*G4677))</f>
        <v>76.149583870701</v>
      </c>
      <c r="H4678" s="33" t="n">
        <f aca="false">IF(D4678="","",D4678-C4678)</f>
        <v>-5</v>
      </c>
      <c r="I4678" s="33" t="n">
        <f aca="false">IF(E4678="","",E4678-C4678)</f>
        <v>-1</v>
      </c>
      <c r="J4678" s="33" t="n">
        <f aca="false">IF(F4678="","",F4678-C4678)</f>
        <v>0.125</v>
      </c>
      <c r="K4678" s="33" t="n">
        <f aca="false">IF(G4678="","",G4678-C4678)</f>
        <v>-0.850416129299049</v>
      </c>
      <c r="L4678" s="33" t="n">
        <f aca="false">IF(H4678="","",ABS(H4678))</f>
        <v>5</v>
      </c>
      <c r="M4678" s="33" t="n">
        <f aca="false">IF(I4678="","",ABS(I4678))</f>
        <v>1</v>
      </c>
      <c r="N4678" s="33" t="n">
        <f aca="false">IF(J4678="","",ABS(J4678))</f>
        <v>0.125</v>
      </c>
      <c r="O4678" s="33" t="n">
        <f aca="false">IF(K4678="","",ABS(K4678))</f>
        <v>0.850416129299049</v>
      </c>
      <c r="P4678" s="34" t="str">
        <f aca="false">IF(B4678&gt;=Eval_Start_Week,"YES","")</f>
        <v>YES</v>
      </c>
      <c r="Q4678" s="34" t="str">
        <f aca="false">IF(AND(B4678&gt;=Cal_Start_Week,B4678&lt;=Cal_End_Week),"YES","")</f>
        <v/>
      </c>
    </row>
    <row r="4679" customFormat="false" ht="15" hidden="false" customHeight="false" outlineLevel="0" collapsed="false">
      <c r="A4679" s="31" t="str">
        <f aca="false">Demand_History!C4679</f>
        <v>CLN-008</v>
      </c>
      <c r="B4679" s="31" t="n">
        <f aca="false">Demand_History!A4679</f>
        <v>102</v>
      </c>
      <c r="C4679" s="32" t="n">
        <f aca="false">Demand_History!D4679</f>
        <v>79</v>
      </c>
      <c r="D4679" s="33" t="n">
        <f aca="false">IF(B4679&gt;=2,C4678,"")</f>
        <v>77</v>
      </c>
      <c r="E4679" s="33" t="n">
        <f aca="false">IF(B4679&gt;=5,AVERAGE(C4675:C4678),"")</f>
        <v>74.25</v>
      </c>
      <c r="F4679" s="33" t="n">
        <f aca="false">IF(B4679&gt;=9,AVERAGE(C4671:C4678),"")</f>
        <v>77.875</v>
      </c>
      <c r="G4679" s="33" t="n">
        <f aca="false">IF(B4679=1,"",IF(B4679=2,C4678,SES_Alpha*C4678+(1-SES_Alpha)*G4678))</f>
        <v>76.4047087094907</v>
      </c>
      <c r="H4679" s="33" t="n">
        <f aca="false">IF(D4679="","",D4679-C4679)</f>
        <v>-2</v>
      </c>
      <c r="I4679" s="33" t="n">
        <f aca="false">IF(E4679="","",E4679-C4679)</f>
        <v>-4.75</v>
      </c>
      <c r="J4679" s="33" t="n">
        <f aca="false">IF(F4679="","",F4679-C4679)</f>
        <v>-1.125</v>
      </c>
      <c r="K4679" s="33" t="n">
        <f aca="false">IF(G4679="","",G4679-C4679)</f>
        <v>-2.59529129050934</v>
      </c>
      <c r="L4679" s="33" t="n">
        <f aca="false">IF(H4679="","",ABS(H4679))</f>
        <v>2</v>
      </c>
      <c r="M4679" s="33" t="n">
        <f aca="false">IF(I4679="","",ABS(I4679))</f>
        <v>4.75</v>
      </c>
      <c r="N4679" s="33" t="n">
        <f aca="false">IF(J4679="","",ABS(J4679))</f>
        <v>1.125</v>
      </c>
      <c r="O4679" s="33" t="n">
        <f aca="false">IF(K4679="","",ABS(K4679))</f>
        <v>2.59529129050934</v>
      </c>
      <c r="P4679" s="34" t="str">
        <f aca="false">IF(B4679&gt;=Eval_Start_Week,"YES","")</f>
        <v>YES</v>
      </c>
      <c r="Q4679" s="34" t="str">
        <f aca="false">IF(AND(B4679&gt;=Cal_Start_Week,B4679&lt;=Cal_End_Week),"YES","")</f>
        <v/>
      </c>
    </row>
    <row r="4680" customFormat="false" ht="15" hidden="false" customHeight="false" outlineLevel="0" collapsed="false">
      <c r="A4680" s="31" t="str">
        <f aca="false">Demand_History!C4680</f>
        <v>CLN-008</v>
      </c>
      <c r="B4680" s="31" t="n">
        <f aca="false">Demand_History!A4680</f>
        <v>103</v>
      </c>
      <c r="C4680" s="32" t="n">
        <f aca="false">Demand_History!D4680</f>
        <v>89</v>
      </c>
      <c r="D4680" s="33" t="n">
        <f aca="false">IF(B4680&gt;=2,C4679,"")</f>
        <v>79</v>
      </c>
      <c r="E4680" s="33" t="n">
        <f aca="false">IF(B4680&gt;=5,AVERAGE(C4676:C4679),"")</f>
        <v>78.25</v>
      </c>
      <c r="F4680" s="33" t="n">
        <f aca="false">IF(B4680&gt;=9,AVERAGE(C4672:C4679),"")</f>
        <v>77</v>
      </c>
      <c r="G4680" s="33" t="n">
        <f aca="false">IF(B4680=1,"",IF(B4680=2,C4679,SES_Alpha*C4679+(1-SES_Alpha)*G4679))</f>
        <v>77.1832960966435</v>
      </c>
      <c r="H4680" s="33" t="n">
        <f aca="false">IF(D4680="","",D4680-C4680)</f>
        <v>-10</v>
      </c>
      <c r="I4680" s="33" t="n">
        <f aca="false">IF(E4680="","",E4680-C4680)</f>
        <v>-10.75</v>
      </c>
      <c r="J4680" s="33" t="n">
        <f aca="false">IF(F4680="","",F4680-C4680)</f>
        <v>-12</v>
      </c>
      <c r="K4680" s="33" t="n">
        <f aca="false">IF(G4680="","",G4680-C4680)</f>
        <v>-11.8167039033565</v>
      </c>
      <c r="L4680" s="33" t="n">
        <f aca="false">IF(H4680="","",ABS(H4680))</f>
        <v>10</v>
      </c>
      <c r="M4680" s="33" t="n">
        <f aca="false">IF(I4680="","",ABS(I4680))</f>
        <v>10.75</v>
      </c>
      <c r="N4680" s="33" t="n">
        <f aca="false">IF(J4680="","",ABS(J4680))</f>
        <v>12</v>
      </c>
      <c r="O4680" s="33" t="n">
        <f aca="false">IF(K4680="","",ABS(K4680))</f>
        <v>11.8167039033565</v>
      </c>
      <c r="P4680" s="34" t="str">
        <f aca="false">IF(B4680&gt;=Eval_Start_Week,"YES","")</f>
        <v>YES</v>
      </c>
      <c r="Q4680" s="34" t="str">
        <f aca="false">IF(AND(B4680&gt;=Cal_Start_Week,B4680&lt;=Cal_End_Week),"YES","")</f>
        <v/>
      </c>
    </row>
    <row r="4681" customFormat="false" ht="15" hidden="false" customHeight="false" outlineLevel="0" collapsed="false">
      <c r="A4681" s="31" t="str">
        <f aca="false">Demand_History!C4681</f>
        <v>CLN-008</v>
      </c>
      <c r="B4681" s="31" t="n">
        <f aca="false">Demand_History!A4681</f>
        <v>104</v>
      </c>
      <c r="C4681" s="32" t="n">
        <f aca="false">Demand_History!D4681</f>
        <v>88</v>
      </c>
      <c r="D4681" s="33" t="n">
        <f aca="false">IF(B4681&gt;=2,C4680,"")</f>
        <v>89</v>
      </c>
      <c r="E4681" s="33" t="n">
        <f aca="false">IF(B4681&gt;=5,AVERAGE(C4677:C4680),"")</f>
        <v>79.25</v>
      </c>
      <c r="F4681" s="33" t="n">
        <f aca="false">IF(B4681&gt;=9,AVERAGE(C4673:C4680),"")</f>
        <v>78.75</v>
      </c>
      <c r="G4681" s="33" t="n">
        <f aca="false">IF(B4681=1,"",IF(B4681=2,C4680,SES_Alpha*C4680+(1-SES_Alpha)*G4680))</f>
        <v>80.7283072676504</v>
      </c>
      <c r="H4681" s="33" t="n">
        <f aca="false">IF(D4681="","",D4681-C4681)</f>
        <v>1</v>
      </c>
      <c r="I4681" s="33" t="n">
        <f aca="false">IF(E4681="","",E4681-C4681)</f>
        <v>-8.75</v>
      </c>
      <c r="J4681" s="33" t="n">
        <f aca="false">IF(F4681="","",F4681-C4681)</f>
        <v>-9.25</v>
      </c>
      <c r="K4681" s="33" t="n">
        <f aca="false">IF(G4681="","",G4681-C4681)</f>
        <v>-7.27169273234958</v>
      </c>
      <c r="L4681" s="33" t="n">
        <f aca="false">IF(H4681="","",ABS(H4681))</f>
        <v>1</v>
      </c>
      <c r="M4681" s="33" t="n">
        <f aca="false">IF(I4681="","",ABS(I4681))</f>
        <v>8.75</v>
      </c>
      <c r="N4681" s="33" t="n">
        <f aca="false">IF(J4681="","",ABS(J4681))</f>
        <v>9.25</v>
      </c>
      <c r="O4681" s="33" t="n">
        <f aca="false">IF(K4681="","",ABS(K4681))</f>
        <v>7.27169273234958</v>
      </c>
      <c r="P4681" s="34" t="str">
        <f aca="false">IF(B4681&gt;=Eval_Start_Week,"YES","")</f>
        <v>YES</v>
      </c>
      <c r="Q4681" s="34" t="str">
        <f aca="false">IF(AND(B4681&gt;=Cal_Start_Week,B4681&lt;=Cal_End_Week),"YES","")</f>
        <v/>
      </c>
    </row>
    <row r="4682" customFormat="false" ht="15" hidden="false" customHeight="false" outlineLevel="0" collapsed="false">
      <c r="A4682" s="31" t="str">
        <f aca="false">Demand_History!C4682</f>
        <v>CLN-009</v>
      </c>
      <c r="B4682" s="31" t="n">
        <f aca="false">Demand_History!A4682</f>
        <v>1</v>
      </c>
      <c r="C4682" s="32" t="n">
        <f aca="false">Demand_History!D4682</f>
        <v>36</v>
      </c>
      <c r="D4682" s="33" t="str">
        <f aca="false">IF(B4682&gt;=2,C4681,"")</f>
        <v/>
      </c>
      <c r="E4682" s="33" t="str">
        <f aca="false">IF(B4682&gt;=5,AVERAGE(C4678:C4681),"")</f>
        <v/>
      </c>
      <c r="F4682" s="33" t="str">
        <f aca="false">IF(B4682&gt;=9,AVERAGE(C4674:C4681),"")</f>
        <v/>
      </c>
      <c r="G4682" s="33" t="str">
        <f aca="false">IF(B4682=1,"",IF(B4682=2,C4681,SES_Alpha*C4681+(1-SES_Alpha)*G4681))</f>
        <v/>
      </c>
      <c r="H4682" s="33" t="str">
        <f aca="false">IF(D4682="","",D4682-C4682)</f>
        <v/>
      </c>
      <c r="I4682" s="33" t="str">
        <f aca="false">IF(E4682="","",E4682-C4682)</f>
        <v/>
      </c>
      <c r="J4682" s="33" t="str">
        <f aca="false">IF(F4682="","",F4682-C4682)</f>
        <v/>
      </c>
      <c r="K4682" s="33" t="str">
        <f aca="false">IF(G4682="","",G4682-C4682)</f>
        <v/>
      </c>
      <c r="L4682" s="33" t="str">
        <f aca="false">IF(H4682="","",ABS(H4682))</f>
        <v/>
      </c>
      <c r="M4682" s="33" t="str">
        <f aca="false">IF(I4682="","",ABS(I4682))</f>
        <v/>
      </c>
      <c r="N4682" s="33" t="str">
        <f aca="false">IF(J4682="","",ABS(J4682))</f>
        <v/>
      </c>
      <c r="O4682" s="33" t="str">
        <f aca="false">IF(K4682="","",ABS(K4682))</f>
        <v/>
      </c>
      <c r="P4682" s="34" t="str">
        <f aca="false">IF(B4682&gt;=Eval_Start_Week,"YES","")</f>
        <v/>
      </c>
      <c r="Q4682" s="34" t="str">
        <f aca="false">IF(AND(B4682&gt;=Cal_Start_Week,B4682&lt;=Cal_End_Week),"YES","")</f>
        <v/>
      </c>
    </row>
    <row r="4683" customFormat="false" ht="15" hidden="false" customHeight="false" outlineLevel="0" collapsed="false">
      <c r="A4683" s="31" t="str">
        <f aca="false">Demand_History!C4683</f>
        <v>CLN-009</v>
      </c>
      <c r="B4683" s="31" t="n">
        <f aca="false">Demand_History!A4683</f>
        <v>2</v>
      </c>
      <c r="C4683" s="32" t="n">
        <f aca="false">Demand_History!D4683</f>
        <v>30</v>
      </c>
      <c r="D4683" s="33" t="n">
        <f aca="false">IF(B4683&gt;=2,C4682,"")</f>
        <v>36</v>
      </c>
      <c r="E4683" s="33" t="str">
        <f aca="false">IF(B4683&gt;=5,AVERAGE(C4679:C4682),"")</f>
        <v/>
      </c>
      <c r="F4683" s="33" t="str">
        <f aca="false">IF(B4683&gt;=9,AVERAGE(C4675:C4682),"")</f>
        <v/>
      </c>
      <c r="G4683" s="33" t="n">
        <f aca="false">IF(B4683=1,"",IF(B4683=2,C4682,SES_Alpha*C4682+(1-SES_Alpha)*G4682))</f>
        <v>36</v>
      </c>
      <c r="H4683" s="33" t="n">
        <f aca="false">IF(D4683="","",D4683-C4683)</f>
        <v>6</v>
      </c>
      <c r="I4683" s="33" t="str">
        <f aca="false">IF(E4683="","",E4683-C4683)</f>
        <v/>
      </c>
      <c r="J4683" s="33" t="str">
        <f aca="false">IF(F4683="","",F4683-C4683)</f>
        <v/>
      </c>
      <c r="K4683" s="33" t="n">
        <f aca="false">IF(G4683="","",G4683-C4683)</f>
        <v>6</v>
      </c>
      <c r="L4683" s="33" t="n">
        <f aca="false">IF(H4683="","",ABS(H4683))</f>
        <v>6</v>
      </c>
      <c r="M4683" s="33" t="str">
        <f aca="false">IF(I4683="","",ABS(I4683))</f>
        <v/>
      </c>
      <c r="N4683" s="33" t="str">
        <f aca="false">IF(J4683="","",ABS(J4683))</f>
        <v/>
      </c>
      <c r="O4683" s="33" t="n">
        <f aca="false">IF(K4683="","",ABS(K4683))</f>
        <v>6</v>
      </c>
      <c r="P4683" s="34" t="str">
        <f aca="false">IF(B4683&gt;=Eval_Start_Week,"YES","")</f>
        <v/>
      </c>
      <c r="Q4683" s="34" t="str">
        <f aca="false">IF(AND(B4683&gt;=Cal_Start_Week,B4683&lt;=Cal_End_Week),"YES","")</f>
        <v/>
      </c>
    </row>
    <row r="4684" customFormat="false" ht="15" hidden="false" customHeight="false" outlineLevel="0" collapsed="false">
      <c r="A4684" s="31" t="str">
        <f aca="false">Demand_History!C4684</f>
        <v>CLN-009</v>
      </c>
      <c r="B4684" s="31" t="n">
        <f aca="false">Demand_History!A4684</f>
        <v>3</v>
      </c>
      <c r="C4684" s="32" t="n">
        <f aca="false">Demand_History!D4684</f>
        <v>28</v>
      </c>
      <c r="D4684" s="33" t="n">
        <f aca="false">IF(B4684&gt;=2,C4683,"")</f>
        <v>30</v>
      </c>
      <c r="E4684" s="33" t="str">
        <f aca="false">IF(B4684&gt;=5,AVERAGE(C4680:C4683),"")</f>
        <v/>
      </c>
      <c r="F4684" s="33" t="str">
        <f aca="false">IF(B4684&gt;=9,AVERAGE(C4676:C4683),"")</f>
        <v/>
      </c>
      <c r="G4684" s="33" t="n">
        <f aca="false">IF(B4684=1,"",IF(B4684=2,C4683,SES_Alpha*C4683+(1-SES_Alpha)*G4683))</f>
        <v>34.2</v>
      </c>
      <c r="H4684" s="33" t="n">
        <f aca="false">IF(D4684="","",D4684-C4684)</f>
        <v>2</v>
      </c>
      <c r="I4684" s="33" t="str">
        <f aca="false">IF(E4684="","",E4684-C4684)</f>
        <v/>
      </c>
      <c r="J4684" s="33" t="str">
        <f aca="false">IF(F4684="","",F4684-C4684)</f>
        <v/>
      </c>
      <c r="K4684" s="33" t="n">
        <f aca="false">IF(G4684="","",G4684-C4684)</f>
        <v>6.2</v>
      </c>
      <c r="L4684" s="33" t="n">
        <f aca="false">IF(H4684="","",ABS(H4684))</f>
        <v>2</v>
      </c>
      <c r="M4684" s="33" t="str">
        <f aca="false">IF(I4684="","",ABS(I4684))</f>
        <v/>
      </c>
      <c r="N4684" s="33" t="str">
        <f aca="false">IF(J4684="","",ABS(J4684))</f>
        <v/>
      </c>
      <c r="O4684" s="33" t="n">
        <f aca="false">IF(K4684="","",ABS(K4684))</f>
        <v>6.2</v>
      </c>
      <c r="P4684" s="34" t="str">
        <f aca="false">IF(B4684&gt;=Eval_Start_Week,"YES","")</f>
        <v/>
      </c>
      <c r="Q4684" s="34" t="str">
        <f aca="false">IF(AND(B4684&gt;=Cal_Start_Week,B4684&lt;=Cal_End_Week),"YES","")</f>
        <v/>
      </c>
    </row>
    <row r="4685" customFormat="false" ht="15" hidden="false" customHeight="false" outlineLevel="0" collapsed="false">
      <c r="A4685" s="31" t="str">
        <f aca="false">Demand_History!C4685</f>
        <v>CLN-009</v>
      </c>
      <c r="B4685" s="31" t="n">
        <f aca="false">Demand_History!A4685</f>
        <v>4</v>
      </c>
      <c r="C4685" s="32" t="n">
        <f aca="false">Demand_History!D4685</f>
        <v>28</v>
      </c>
      <c r="D4685" s="33" t="n">
        <f aca="false">IF(B4685&gt;=2,C4684,"")</f>
        <v>28</v>
      </c>
      <c r="E4685" s="33" t="str">
        <f aca="false">IF(B4685&gt;=5,AVERAGE(C4681:C4684),"")</f>
        <v/>
      </c>
      <c r="F4685" s="33" t="str">
        <f aca="false">IF(B4685&gt;=9,AVERAGE(C4677:C4684),"")</f>
        <v/>
      </c>
      <c r="G4685" s="33" t="n">
        <f aca="false">IF(B4685=1,"",IF(B4685=2,C4684,SES_Alpha*C4684+(1-SES_Alpha)*G4684))</f>
        <v>32.34</v>
      </c>
      <c r="H4685" s="33" t="n">
        <f aca="false">IF(D4685="","",D4685-C4685)</f>
        <v>0</v>
      </c>
      <c r="I4685" s="33" t="str">
        <f aca="false">IF(E4685="","",E4685-C4685)</f>
        <v/>
      </c>
      <c r="J4685" s="33" t="str">
        <f aca="false">IF(F4685="","",F4685-C4685)</f>
        <v/>
      </c>
      <c r="K4685" s="33" t="n">
        <f aca="false">IF(G4685="","",G4685-C4685)</f>
        <v>4.34</v>
      </c>
      <c r="L4685" s="33" t="n">
        <f aca="false">IF(H4685="","",ABS(H4685))</f>
        <v>0</v>
      </c>
      <c r="M4685" s="33" t="str">
        <f aca="false">IF(I4685="","",ABS(I4685))</f>
        <v/>
      </c>
      <c r="N4685" s="33" t="str">
        <f aca="false">IF(J4685="","",ABS(J4685))</f>
        <v/>
      </c>
      <c r="O4685" s="33" t="n">
        <f aca="false">IF(K4685="","",ABS(K4685))</f>
        <v>4.34</v>
      </c>
      <c r="P4685" s="34" t="str">
        <f aca="false">IF(B4685&gt;=Eval_Start_Week,"YES","")</f>
        <v/>
      </c>
      <c r="Q4685" s="34" t="str">
        <f aca="false">IF(AND(B4685&gt;=Cal_Start_Week,B4685&lt;=Cal_End_Week),"YES","")</f>
        <v/>
      </c>
    </row>
    <row r="4686" customFormat="false" ht="15" hidden="false" customHeight="false" outlineLevel="0" collapsed="false">
      <c r="A4686" s="31" t="str">
        <f aca="false">Demand_History!C4686</f>
        <v>CLN-009</v>
      </c>
      <c r="B4686" s="31" t="n">
        <f aca="false">Demand_History!A4686</f>
        <v>5</v>
      </c>
      <c r="C4686" s="32" t="n">
        <f aca="false">Demand_History!D4686</f>
        <v>33</v>
      </c>
      <c r="D4686" s="33" t="n">
        <f aca="false">IF(B4686&gt;=2,C4685,"")</f>
        <v>28</v>
      </c>
      <c r="E4686" s="33" t="n">
        <f aca="false">IF(B4686&gt;=5,AVERAGE(C4682:C4685),"")</f>
        <v>30.5</v>
      </c>
      <c r="F4686" s="33" t="str">
        <f aca="false">IF(B4686&gt;=9,AVERAGE(C4678:C4685),"")</f>
        <v/>
      </c>
      <c r="G4686" s="33" t="n">
        <f aca="false">IF(B4686=1,"",IF(B4686=2,C4685,SES_Alpha*C4685+(1-SES_Alpha)*G4685))</f>
        <v>31.038</v>
      </c>
      <c r="H4686" s="33" t="n">
        <f aca="false">IF(D4686="","",D4686-C4686)</f>
        <v>-5</v>
      </c>
      <c r="I4686" s="33" t="n">
        <f aca="false">IF(E4686="","",E4686-C4686)</f>
        <v>-2.5</v>
      </c>
      <c r="J4686" s="33" t="str">
        <f aca="false">IF(F4686="","",F4686-C4686)</f>
        <v/>
      </c>
      <c r="K4686" s="33" t="n">
        <f aca="false">IF(G4686="","",G4686-C4686)</f>
        <v>-1.962</v>
      </c>
      <c r="L4686" s="33" t="n">
        <f aca="false">IF(H4686="","",ABS(H4686))</f>
        <v>5</v>
      </c>
      <c r="M4686" s="33" t="n">
        <f aca="false">IF(I4686="","",ABS(I4686))</f>
        <v>2.5</v>
      </c>
      <c r="N4686" s="33" t="str">
        <f aca="false">IF(J4686="","",ABS(J4686))</f>
        <v/>
      </c>
      <c r="O4686" s="33" t="n">
        <f aca="false">IF(K4686="","",ABS(K4686))</f>
        <v>1.962</v>
      </c>
      <c r="P4686" s="34" t="str">
        <f aca="false">IF(B4686&gt;=Eval_Start_Week,"YES","")</f>
        <v/>
      </c>
      <c r="Q4686" s="34" t="str">
        <f aca="false">IF(AND(B4686&gt;=Cal_Start_Week,B4686&lt;=Cal_End_Week),"YES","")</f>
        <v/>
      </c>
    </row>
    <row r="4687" customFormat="false" ht="15" hidden="false" customHeight="false" outlineLevel="0" collapsed="false">
      <c r="A4687" s="31" t="str">
        <f aca="false">Demand_History!C4687</f>
        <v>CLN-009</v>
      </c>
      <c r="B4687" s="31" t="n">
        <f aca="false">Demand_History!A4687</f>
        <v>6</v>
      </c>
      <c r="C4687" s="32" t="n">
        <f aca="false">Demand_History!D4687</f>
        <v>37</v>
      </c>
      <c r="D4687" s="33" t="n">
        <f aca="false">IF(B4687&gt;=2,C4686,"")</f>
        <v>33</v>
      </c>
      <c r="E4687" s="33" t="n">
        <f aca="false">IF(B4687&gt;=5,AVERAGE(C4683:C4686),"")</f>
        <v>29.75</v>
      </c>
      <c r="F4687" s="33" t="str">
        <f aca="false">IF(B4687&gt;=9,AVERAGE(C4679:C4686),"")</f>
        <v/>
      </c>
      <c r="G4687" s="33" t="n">
        <f aca="false">IF(B4687=1,"",IF(B4687=2,C4686,SES_Alpha*C4686+(1-SES_Alpha)*G4686))</f>
        <v>31.6266</v>
      </c>
      <c r="H4687" s="33" t="n">
        <f aca="false">IF(D4687="","",D4687-C4687)</f>
        <v>-4</v>
      </c>
      <c r="I4687" s="33" t="n">
        <f aca="false">IF(E4687="","",E4687-C4687)</f>
        <v>-7.25</v>
      </c>
      <c r="J4687" s="33" t="str">
        <f aca="false">IF(F4687="","",F4687-C4687)</f>
        <v/>
      </c>
      <c r="K4687" s="33" t="n">
        <f aca="false">IF(G4687="","",G4687-C4687)</f>
        <v>-5.3734</v>
      </c>
      <c r="L4687" s="33" t="n">
        <f aca="false">IF(H4687="","",ABS(H4687))</f>
        <v>4</v>
      </c>
      <c r="M4687" s="33" t="n">
        <f aca="false">IF(I4687="","",ABS(I4687))</f>
        <v>7.25</v>
      </c>
      <c r="N4687" s="33" t="str">
        <f aca="false">IF(J4687="","",ABS(J4687))</f>
        <v/>
      </c>
      <c r="O4687" s="33" t="n">
        <f aca="false">IF(K4687="","",ABS(K4687))</f>
        <v>5.3734</v>
      </c>
      <c r="P4687" s="34" t="str">
        <f aca="false">IF(B4687&gt;=Eval_Start_Week,"YES","")</f>
        <v/>
      </c>
      <c r="Q4687" s="34" t="str">
        <f aca="false">IF(AND(B4687&gt;=Cal_Start_Week,B4687&lt;=Cal_End_Week),"YES","")</f>
        <v/>
      </c>
    </row>
    <row r="4688" customFormat="false" ht="15" hidden="false" customHeight="false" outlineLevel="0" collapsed="false">
      <c r="A4688" s="31" t="str">
        <f aca="false">Demand_History!C4688</f>
        <v>CLN-009</v>
      </c>
      <c r="B4688" s="31" t="n">
        <f aca="false">Demand_History!A4688</f>
        <v>7</v>
      </c>
      <c r="C4688" s="32" t="n">
        <f aca="false">Demand_History!D4688</f>
        <v>33</v>
      </c>
      <c r="D4688" s="33" t="n">
        <f aca="false">IF(B4688&gt;=2,C4687,"")</f>
        <v>37</v>
      </c>
      <c r="E4688" s="33" t="n">
        <f aca="false">IF(B4688&gt;=5,AVERAGE(C4684:C4687),"")</f>
        <v>31.5</v>
      </c>
      <c r="F4688" s="33" t="str">
        <f aca="false">IF(B4688&gt;=9,AVERAGE(C4680:C4687),"")</f>
        <v/>
      </c>
      <c r="G4688" s="33" t="n">
        <f aca="false">IF(B4688=1,"",IF(B4688=2,C4687,SES_Alpha*C4687+(1-SES_Alpha)*G4687))</f>
        <v>33.23862</v>
      </c>
      <c r="H4688" s="33" t="n">
        <f aca="false">IF(D4688="","",D4688-C4688)</f>
        <v>4</v>
      </c>
      <c r="I4688" s="33" t="n">
        <f aca="false">IF(E4688="","",E4688-C4688)</f>
        <v>-1.5</v>
      </c>
      <c r="J4688" s="33" t="str">
        <f aca="false">IF(F4688="","",F4688-C4688)</f>
        <v/>
      </c>
      <c r="K4688" s="33" t="n">
        <f aca="false">IF(G4688="","",G4688-C4688)</f>
        <v>0.238619999999997</v>
      </c>
      <c r="L4688" s="33" t="n">
        <f aca="false">IF(H4688="","",ABS(H4688))</f>
        <v>4</v>
      </c>
      <c r="M4688" s="33" t="n">
        <f aca="false">IF(I4688="","",ABS(I4688))</f>
        <v>1.5</v>
      </c>
      <c r="N4688" s="33" t="str">
        <f aca="false">IF(J4688="","",ABS(J4688))</f>
        <v/>
      </c>
      <c r="O4688" s="33" t="n">
        <f aca="false">IF(K4688="","",ABS(K4688))</f>
        <v>0.238619999999997</v>
      </c>
      <c r="P4688" s="34" t="str">
        <f aca="false">IF(B4688&gt;=Eval_Start_Week,"YES","")</f>
        <v/>
      </c>
      <c r="Q4688" s="34" t="str">
        <f aca="false">IF(AND(B4688&gt;=Cal_Start_Week,B4688&lt;=Cal_End_Week),"YES","")</f>
        <v/>
      </c>
    </row>
    <row r="4689" customFormat="false" ht="15" hidden="false" customHeight="false" outlineLevel="0" collapsed="false">
      <c r="A4689" s="31" t="str">
        <f aca="false">Demand_History!C4689</f>
        <v>CLN-009</v>
      </c>
      <c r="B4689" s="31" t="n">
        <f aca="false">Demand_History!A4689</f>
        <v>8</v>
      </c>
      <c r="C4689" s="32" t="n">
        <f aca="false">Demand_History!D4689</f>
        <v>29</v>
      </c>
      <c r="D4689" s="33" t="n">
        <f aca="false">IF(B4689&gt;=2,C4688,"")</f>
        <v>33</v>
      </c>
      <c r="E4689" s="33" t="n">
        <f aca="false">IF(B4689&gt;=5,AVERAGE(C4685:C4688),"")</f>
        <v>32.75</v>
      </c>
      <c r="F4689" s="33" t="str">
        <f aca="false">IF(B4689&gt;=9,AVERAGE(C4681:C4688),"")</f>
        <v/>
      </c>
      <c r="G4689" s="33" t="n">
        <f aca="false">IF(B4689=1,"",IF(B4689=2,C4688,SES_Alpha*C4688+(1-SES_Alpha)*G4688))</f>
        <v>33.167034</v>
      </c>
      <c r="H4689" s="33" t="n">
        <f aca="false">IF(D4689="","",D4689-C4689)</f>
        <v>4</v>
      </c>
      <c r="I4689" s="33" t="n">
        <f aca="false">IF(E4689="","",E4689-C4689)</f>
        <v>3.75</v>
      </c>
      <c r="J4689" s="33" t="str">
        <f aca="false">IF(F4689="","",F4689-C4689)</f>
        <v/>
      </c>
      <c r="K4689" s="33" t="n">
        <f aca="false">IF(G4689="","",G4689-C4689)</f>
        <v>4.16703399999999</v>
      </c>
      <c r="L4689" s="33" t="n">
        <f aca="false">IF(H4689="","",ABS(H4689))</f>
        <v>4</v>
      </c>
      <c r="M4689" s="33" t="n">
        <f aca="false">IF(I4689="","",ABS(I4689))</f>
        <v>3.75</v>
      </c>
      <c r="N4689" s="33" t="str">
        <f aca="false">IF(J4689="","",ABS(J4689))</f>
        <v/>
      </c>
      <c r="O4689" s="33" t="n">
        <f aca="false">IF(K4689="","",ABS(K4689))</f>
        <v>4.16703399999999</v>
      </c>
      <c r="P4689" s="34" t="str">
        <f aca="false">IF(B4689&gt;=Eval_Start_Week,"YES","")</f>
        <v/>
      </c>
      <c r="Q4689" s="34" t="str">
        <f aca="false">IF(AND(B4689&gt;=Cal_Start_Week,B4689&lt;=Cal_End_Week),"YES","")</f>
        <v/>
      </c>
    </row>
    <row r="4690" customFormat="false" ht="15" hidden="false" customHeight="false" outlineLevel="0" collapsed="false">
      <c r="A4690" s="31" t="str">
        <f aca="false">Demand_History!C4690</f>
        <v>CLN-009</v>
      </c>
      <c r="B4690" s="31" t="n">
        <f aca="false">Demand_History!A4690</f>
        <v>9</v>
      </c>
      <c r="C4690" s="32" t="n">
        <f aca="false">Demand_History!D4690</f>
        <v>33</v>
      </c>
      <c r="D4690" s="33" t="n">
        <f aca="false">IF(B4690&gt;=2,C4689,"")</f>
        <v>29</v>
      </c>
      <c r="E4690" s="33" t="n">
        <f aca="false">IF(B4690&gt;=5,AVERAGE(C4686:C4689),"")</f>
        <v>33</v>
      </c>
      <c r="F4690" s="33" t="n">
        <f aca="false">IF(B4690&gt;=9,AVERAGE(C4682:C4689),"")</f>
        <v>31.75</v>
      </c>
      <c r="G4690" s="33" t="n">
        <f aca="false">IF(B4690=1,"",IF(B4690=2,C4689,SES_Alpha*C4689+(1-SES_Alpha)*G4689))</f>
        <v>31.9169238</v>
      </c>
      <c r="H4690" s="33" t="n">
        <f aca="false">IF(D4690="","",D4690-C4690)</f>
        <v>-4</v>
      </c>
      <c r="I4690" s="33" t="n">
        <f aca="false">IF(E4690="","",E4690-C4690)</f>
        <v>0</v>
      </c>
      <c r="J4690" s="33" t="n">
        <f aca="false">IF(F4690="","",F4690-C4690)</f>
        <v>-1.25</v>
      </c>
      <c r="K4690" s="33" t="n">
        <f aca="false">IF(G4690="","",G4690-C4690)</f>
        <v>-1.08307620000001</v>
      </c>
      <c r="L4690" s="33" t="n">
        <f aca="false">IF(H4690="","",ABS(H4690))</f>
        <v>4</v>
      </c>
      <c r="M4690" s="33" t="n">
        <f aca="false">IF(I4690="","",ABS(I4690))</f>
        <v>0</v>
      </c>
      <c r="N4690" s="33" t="n">
        <f aca="false">IF(J4690="","",ABS(J4690))</f>
        <v>1.25</v>
      </c>
      <c r="O4690" s="33" t="n">
        <f aca="false">IF(K4690="","",ABS(K4690))</f>
        <v>1.08307620000001</v>
      </c>
      <c r="P4690" s="34" t="str">
        <f aca="false">IF(B4690&gt;=Eval_Start_Week,"YES","")</f>
        <v/>
      </c>
      <c r="Q4690" s="34" t="str">
        <f aca="false">IF(AND(B4690&gt;=Cal_Start_Week,B4690&lt;=Cal_End_Week),"YES","")</f>
        <v/>
      </c>
    </row>
    <row r="4691" customFormat="false" ht="15" hidden="false" customHeight="false" outlineLevel="0" collapsed="false">
      <c r="A4691" s="31" t="str">
        <f aca="false">Demand_History!C4691</f>
        <v>CLN-009</v>
      </c>
      <c r="B4691" s="31" t="n">
        <f aca="false">Demand_History!A4691</f>
        <v>10</v>
      </c>
      <c r="C4691" s="32" t="n">
        <f aca="false">Demand_History!D4691</f>
        <v>33</v>
      </c>
      <c r="D4691" s="33" t="n">
        <f aca="false">IF(B4691&gt;=2,C4690,"")</f>
        <v>33</v>
      </c>
      <c r="E4691" s="33" t="n">
        <f aca="false">IF(B4691&gt;=5,AVERAGE(C4687:C4690),"")</f>
        <v>33</v>
      </c>
      <c r="F4691" s="33" t="n">
        <f aca="false">IF(B4691&gt;=9,AVERAGE(C4683:C4690),"")</f>
        <v>31.375</v>
      </c>
      <c r="G4691" s="33" t="n">
        <f aca="false">IF(B4691=1,"",IF(B4691=2,C4690,SES_Alpha*C4690+(1-SES_Alpha)*G4690))</f>
        <v>32.24184666</v>
      </c>
      <c r="H4691" s="33" t="n">
        <f aca="false">IF(D4691="","",D4691-C4691)</f>
        <v>0</v>
      </c>
      <c r="I4691" s="33" t="n">
        <f aca="false">IF(E4691="","",E4691-C4691)</f>
        <v>0</v>
      </c>
      <c r="J4691" s="33" t="n">
        <f aca="false">IF(F4691="","",F4691-C4691)</f>
        <v>-1.625</v>
      </c>
      <c r="K4691" s="33" t="n">
        <f aca="false">IF(G4691="","",G4691-C4691)</f>
        <v>-0.758153340000007</v>
      </c>
      <c r="L4691" s="33" t="n">
        <f aca="false">IF(H4691="","",ABS(H4691))</f>
        <v>0</v>
      </c>
      <c r="M4691" s="33" t="n">
        <f aca="false">IF(I4691="","",ABS(I4691))</f>
        <v>0</v>
      </c>
      <c r="N4691" s="33" t="n">
        <f aca="false">IF(J4691="","",ABS(J4691))</f>
        <v>1.625</v>
      </c>
      <c r="O4691" s="33" t="n">
        <f aca="false">IF(K4691="","",ABS(K4691))</f>
        <v>0.758153340000007</v>
      </c>
      <c r="P4691" s="34" t="str">
        <f aca="false">IF(B4691&gt;=Eval_Start_Week,"YES","")</f>
        <v/>
      </c>
      <c r="Q4691" s="34" t="str">
        <f aca="false">IF(AND(B4691&gt;=Cal_Start_Week,B4691&lt;=Cal_End_Week),"YES","")</f>
        <v/>
      </c>
    </row>
    <row r="4692" customFormat="false" ht="15" hidden="false" customHeight="false" outlineLevel="0" collapsed="false">
      <c r="A4692" s="31" t="str">
        <f aca="false">Demand_History!C4692</f>
        <v>CLN-009</v>
      </c>
      <c r="B4692" s="31" t="n">
        <f aca="false">Demand_History!A4692</f>
        <v>11</v>
      </c>
      <c r="C4692" s="32" t="n">
        <f aca="false">Demand_History!D4692</f>
        <v>33</v>
      </c>
      <c r="D4692" s="33" t="n">
        <f aca="false">IF(B4692&gt;=2,C4691,"")</f>
        <v>33</v>
      </c>
      <c r="E4692" s="33" t="n">
        <f aca="false">IF(B4692&gt;=5,AVERAGE(C4688:C4691),"")</f>
        <v>32</v>
      </c>
      <c r="F4692" s="33" t="n">
        <f aca="false">IF(B4692&gt;=9,AVERAGE(C4684:C4691),"")</f>
        <v>31.75</v>
      </c>
      <c r="G4692" s="33" t="n">
        <f aca="false">IF(B4692=1,"",IF(B4692=2,C4691,SES_Alpha*C4691+(1-SES_Alpha)*G4691))</f>
        <v>32.469292662</v>
      </c>
      <c r="H4692" s="33" t="n">
        <f aca="false">IF(D4692="","",D4692-C4692)</f>
        <v>0</v>
      </c>
      <c r="I4692" s="33" t="n">
        <f aca="false">IF(E4692="","",E4692-C4692)</f>
        <v>-1</v>
      </c>
      <c r="J4692" s="33" t="n">
        <f aca="false">IF(F4692="","",F4692-C4692)</f>
        <v>-1.25</v>
      </c>
      <c r="K4692" s="33" t="n">
        <f aca="false">IF(G4692="","",G4692-C4692)</f>
        <v>-0.530707338000006</v>
      </c>
      <c r="L4692" s="33" t="n">
        <f aca="false">IF(H4692="","",ABS(H4692))</f>
        <v>0</v>
      </c>
      <c r="M4692" s="33" t="n">
        <f aca="false">IF(I4692="","",ABS(I4692))</f>
        <v>1</v>
      </c>
      <c r="N4692" s="33" t="n">
        <f aca="false">IF(J4692="","",ABS(J4692))</f>
        <v>1.25</v>
      </c>
      <c r="O4692" s="33" t="n">
        <f aca="false">IF(K4692="","",ABS(K4692))</f>
        <v>0.530707338000006</v>
      </c>
      <c r="P4692" s="34" t="str">
        <f aca="false">IF(B4692&gt;=Eval_Start_Week,"YES","")</f>
        <v/>
      </c>
      <c r="Q4692" s="34" t="str">
        <f aca="false">IF(AND(B4692&gt;=Cal_Start_Week,B4692&lt;=Cal_End_Week),"YES","")</f>
        <v/>
      </c>
    </row>
    <row r="4693" customFormat="false" ht="15" hidden="false" customHeight="false" outlineLevel="0" collapsed="false">
      <c r="A4693" s="31" t="str">
        <f aca="false">Demand_History!C4693</f>
        <v>CLN-009</v>
      </c>
      <c r="B4693" s="31" t="n">
        <f aca="false">Demand_History!A4693</f>
        <v>12</v>
      </c>
      <c r="C4693" s="32" t="n">
        <f aca="false">Demand_History!D4693</f>
        <v>30</v>
      </c>
      <c r="D4693" s="33" t="n">
        <f aca="false">IF(B4693&gt;=2,C4692,"")</f>
        <v>33</v>
      </c>
      <c r="E4693" s="33" t="n">
        <f aca="false">IF(B4693&gt;=5,AVERAGE(C4689:C4692),"")</f>
        <v>32</v>
      </c>
      <c r="F4693" s="33" t="n">
        <f aca="false">IF(B4693&gt;=9,AVERAGE(C4685:C4692),"")</f>
        <v>32.375</v>
      </c>
      <c r="G4693" s="33" t="n">
        <f aca="false">IF(B4693=1,"",IF(B4693=2,C4692,SES_Alpha*C4692+(1-SES_Alpha)*G4692))</f>
        <v>32.6285048634</v>
      </c>
      <c r="H4693" s="33" t="n">
        <f aca="false">IF(D4693="","",D4693-C4693)</f>
        <v>3</v>
      </c>
      <c r="I4693" s="33" t="n">
        <f aca="false">IF(E4693="","",E4693-C4693)</f>
        <v>2</v>
      </c>
      <c r="J4693" s="33" t="n">
        <f aca="false">IF(F4693="","",F4693-C4693)</f>
        <v>2.375</v>
      </c>
      <c r="K4693" s="33" t="n">
        <f aca="false">IF(G4693="","",G4693-C4693)</f>
        <v>2.6285048634</v>
      </c>
      <c r="L4693" s="33" t="n">
        <f aca="false">IF(H4693="","",ABS(H4693))</f>
        <v>3</v>
      </c>
      <c r="M4693" s="33" t="n">
        <f aca="false">IF(I4693="","",ABS(I4693))</f>
        <v>2</v>
      </c>
      <c r="N4693" s="33" t="n">
        <f aca="false">IF(J4693="","",ABS(J4693))</f>
        <v>2.375</v>
      </c>
      <c r="O4693" s="33" t="n">
        <f aca="false">IF(K4693="","",ABS(K4693))</f>
        <v>2.6285048634</v>
      </c>
      <c r="P4693" s="34" t="str">
        <f aca="false">IF(B4693&gt;=Eval_Start_Week,"YES","")</f>
        <v/>
      </c>
      <c r="Q4693" s="34" t="str">
        <f aca="false">IF(AND(B4693&gt;=Cal_Start_Week,B4693&lt;=Cal_End_Week),"YES","")</f>
        <v/>
      </c>
    </row>
    <row r="4694" customFormat="false" ht="15" hidden="false" customHeight="false" outlineLevel="0" collapsed="false">
      <c r="A4694" s="31" t="str">
        <f aca="false">Demand_History!C4694</f>
        <v>CLN-009</v>
      </c>
      <c r="B4694" s="31" t="n">
        <f aca="false">Demand_History!A4694</f>
        <v>13</v>
      </c>
      <c r="C4694" s="32" t="n">
        <f aca="false">Demand_History!D4694</f>
        <v>22</v>
      </c>
      <c r="D4694" s="33" t="n">
        <f aca="false">IF(B4694&gt;=2,C4693,"")</f>
        <v>30</v>
      </c>
      <c r="E4694" s="33" t="n">
        <f aca="false">IF(B4694&gt;=5,AVERAGE(C4690:C4693),"")</f>
        <v>32.25</v>
      </c>
      <c r="F4694" s="33" t="n">
        <f aca="false">IF(B4694&gt;=9,AVERAGE(C4686:C4693),"")</f>
        <v>32.625</v>
      </c>
      <c r="G4694" s="33" t="n">
        <f aca="false">IF(B4694=1,"",IF(B4694=2,C4693,SES_Alpha*C4693+(1-SES_Alpha)*G4693))</f>
        <v>31.83995340438</v>
      </c>
      <c r="H4694" s="33" t="n">
        <f aca="false">IF(D4694="","",D4694-C4694)</f>
        <v>8</v>
      </c>
      <c r="I4694" s="33" t="n">
        <f aca="false">IF(E4694="","",E4694-C4694)</f>
        <v>10.25</v>
      </c>
      <c r="J4694" s="33" t="n">
        <f aca="false">IF(F4694="","",F4694-C4694)</f>
        <v>10.625</v>
      </c>
      <c r="K4694" s="33" t="n">
        <f aca="false">IF(G4694="","",G4694-C4694)</f>
        <v>9.83995340438</v>
      </c>
      <c r="L4694" s="33" t="n">
        <f aca="false">IF(H4694="","",ABS(H4694))</f>
        <v>8</v>
      </c>
      <c r="M4694" s="33" t="n">
        <f aca="false">IF(I4694="","",ABS(I4694))</f>
        <v>10.25</v>
      </c>
      <c r="N4694" s="33" t="n">
        <f aca="false">IF(J4694="","",ABS(J4694))</f>
        <v>10.625</v>
      </c>
      <c r="O4694" s="33" t="n">
        <f aca="false">IF(K4694="","",ABS(K4694))</f>
        <v>9.83995340438</v>
      </c>
      <c r="P4694" s="34" t="str">
        <f aca="false">IF(B4694&gt;=Eval_Start_Week,"YES","")</f>
        <v/>
      </c>
      <c r="Q4694" s="34" t="str">
        <f aca="false">IF(AND(B4694&gt;=Cal_Start_Week,B4694&lt;=Cal_End_Week),"YES","")</f>
        <v/>
      </c>
    </row>
    <row r="4695" customFormat="false" ht="15" hidden="false" customHeight="false" outlineLevel="0" collapsed="false">
      <c r="A4695" s="31" t="str">
        <f aca="false">Demand_History!C4695</f>
        <v>CLN-009</v>
      </c>
      <c r="B4695" s="31" t="n">
        <f aca="false">Demand_History!A4695</f>
        <v>14</v>
      </c>
      <c r="C4695" s="32" t="n">
        <f aca="false">Demand_History!D4695</f>
        <v>31</v>
      </c>
      <c r="D4695" s="33" t="n">
        <f aca="false">IF(B4695&gt;=2,C4694,"")</f>
        <v>22</v>
      </c>
      <c r="E4695" s="33" t="n">
        <f aca="false">IF(B4695&gt;=5,AVERAGE(C4691:C4694),"")</f>
        <v>29.5</v>
      </c>
      <c r="F4695" s="33" t="n">
        <f aca="false">IF(B4695&gt;=9,AVERAGE(C4687:C4694),"")</f>
        <v>31.25</v>
      </c>
      <c r="G4695" s="33" t="n">
        <f aca="false">IF(B4695=1,"",IF(B4695=2,C4694,SES_Alpha*C4694+(1-SES_Alpha)*G4694))</f>
        <v>28.887967383066</v>
      </c>
      <c r="H4695" s="33" t="n">
        <f aca="false">IF(D4695="","",D4695-C4695)</f>
        <v>-9</v>
      </c>
      <c r="I4695" s="33" t="n">
        <f aca="false">IF(E4695="","",E4695-C4695)</f>
        <v>-1.5</v>
      </c>
      <c r="J4695" s="33" t="n">
        <f aca="false">IF(F4695="","",F4695-C4695)</f>
        <v>0.25</v>
      </c>
      <c r="K4695" s="33" t="n">
        <f aca="false">IF(G4695="","",G4695-C4695)</f>
        <v>-2.112032616934</v>
      </c>
      <c r="L4695" s="33" t="n">
        <f aca="false">IF(H4695="","",ABS(H4695))</f>
        <v>9</v>
      </c>
      <c r="M4695" s="33" t="n">
        <f aca="false">IF(I4695="","",ABS(I4695))</f>
        <v>1.5</v>
      </c>
      <c r="N4695" s="33" t="n">
        <f aca="false">IF(J4695="","",ABS(J4695))</f>
        <v>0.25</v>
      </c>
      <c r="O4695" s="33" t="n">
        <f aca="false">IF(K4695="","",ABS(K4695))</f>
        <v>2.112032616934</v>
      </c>
      <c r="P4695" s="34" t="str">
        <f aca="false">IF(B4695&gt;=Eval_Start_Week,"YES","")</f>
        <v/>
      </c>
      <c r="Q4695" s="34" t="str">
        <f aca="false">IF(AND(B4695&gt;=Cal_Start_Week,B4695&lt;=Cal_End_Week),"YES","")</f>
        <v/>
      </c>
    </row>
    <row r="4696" customFormat="false" ht="15" hidden="false" customHeight="false" outlineLevel="0" collapsed="false">
      <c r="A4696" s="31" t="str">
        <f aca="false">Demand_History!C4696</f>
        <v>CLN-009</v>
      </c>
      <c r="B4696" s="31" t="n">
        <f aca="false">Demand_History!A4696</f>
        <v>15</v>
      </c>
      <c r="C4696" s="32" t="n">
        <f aca="false">Demand_History!D4696</f>
        <v>38</v>
      </c>
      <c r="D4696" s="33" t="n">
        <f aca="false">IF(B4696&gt;=2,C4695,"")</f>
        <v>31</v>
      </c>
      <c r="E4696" s="33" t="n">
        <f aca="false">IF(B4696&gt;=5,AVERAGE(C4692:C4695),"")</f>
        <v>29</v>
      </c>
      <c r="F4696" s="33" t="n">
        <f aca="false">IF(B4696&gt;=9,AVERAGE(C4688:C4695),"")</f>
        <v>30.5</v>
      </c>
      <c r="G4696" s="33" t="n">
        <f aca="false">IF(B4696=1,"",IF(B4696=2,C4695,SES_Alpha*C4695+(1-SES_Alpha)*G4695))</f>
        <v>29.5215771681462</v>
      </c>
      <c r="H4696" s="33" t="n">
        <f aca="false">IF(D4696="","",D4696-C4696)</f>
        <v>-7</v>
      </c>
      <c r="I4696" s="33" t="n">
        <f aca="false">IF(E4696="","",E4696-C4696)</f>
        <v>-9</v>
      </c>
      <c r="J4696" s="33" t="n">
        <f aca="false">IF(F4696="","",F4696-C4696)</f>
        <v>-7.5</v>
      </c>
      <c r="K4696" s="33" t="n">
        <f aca="false">IF(G4696="","",G4696-C4696)</f>
        <v>-8.47842283185381</v>
      </c>
      <c r="L4696" s="33" t="n">
        <f aca="false">IF(H4696="","",ABS(H4696))</f>
        <v>7</v>
      </c>
      <c r="M4696" s="33" t="n">
        <f aca="false">IF(I4696="","",ABS(I4696))</f>
        <v>9</v>
      </c>
      <c r="N4696" s="33" t="n">
        <f aca="false">IF(J4696="","",ABS(J4696))</f>
        <v>7.5</v>
      </c>
      <c r="O4696" s="33" t="n">
        <f aca="false">IF(K4696="","",ABS(K4696))</f>
        <v>8.47842283185381</v>
      </c>
      <c r="P4696" s="34" t="str">
        <f aca="false">IF(B4696&gt;=Eval_Start_Week,"YES","")</f>
        <v/>
      </c>
      <c r="Q4696" s="34" t="str">
        <f aca="false">IF(AND(B4696&gt;=Cal_Start_Week,B4696&lt;=Cal_End_Week),"YES","")</f>
        <v/>
      </c>
    </row>
    <row r="4697" customFormat="false" ht="15" hidden="false" customHeight="false" outlineLevel="0" collapsed="false">
      <c r="A4697" s="31" t="str">
        <f aca="false">Demand_History!C4697</f>
        <v>CLN-009</v>
      </c>
      <c r="B4697" s="31" t="n">
        <f aca="false">Demand_History!A4697</f>
        <v>16</v>
      </c>
      <c r="C4697" s="32" t="n">
        <f aca="false">Demand_History!D4697</f>
        <v>35</v>
      </c>
      <c r="D4697" s="33" t="n">
        <f aca="false">IF(B4697&gt;=2,C4696,"")</f>
        <v>38</v>
      </c>
      <c r="E4697" s="33" t="n">
        <f aca="false">IF(B4697&gt;=5,AVERAGE(C4693:C4696),"")</f>
        <v>30.25</v>
      </c>
      <c r="F4697" s="33" t="n">
        <f aca="false">IF(B4697&gt;=9,AVERAGE(C4689:C4696),"")</f>
        <v>31.125</v>
      </c>
      <c r="G4697" s="33" t="n">
        <f aca="false">IF(B4697=1,"",IF(B4697=2,C4696,SES_Alpha*C4696+(1-SES_Alpha)*G4696))</f>
        <v>32.0651040177023</v>
      </c>
      <c r="H4697" s="33" t="n">
        <f aca="false">IF(D4697="","",D4697-C4697)</f>
        <v>3</v>
      </c>
      <c r="I4697" s="33" t="n">
        <f aca="false">IF(E4697="","",E4697-C4697)</f>
        <v>-4.75</v>
      </c>
      <c r="J4697" s="33" t="n">
        <f aca="false">IF(F4697="","",F4697-C4697)</f>
        <v>-3.875</v>
      </c>
      <c r="K4697" s="33" t="n">
        <f aca="false">IF(G4697="","",G4697-C4697)</f>
        <v>-2.93489598229767</v>
      </c>
      <c r="L4697" s="33" t="n">
        <f aca="false">IF(H4697="","",ABS(H4697))</f>
        <v>3</v>
      </c>
      <c r="M4697" s="33" t="n">
        <f aca="false">IF(I4697="","",ABS(I4697))</f>
        <v>4.75</v>
      </c>
      <c r="N4697" s="33" t="n">
        <f aca="false">IF(J4697="","",ABS(J4697))</f>
        <v>3.875</v>
      </c>
      <c r="O4697" s="33" t="n">
        <f aca="false">IF(K4697="","",ABS(K4697))</f>
        <v>2.93489598229767</v>
      </c>
      <c r="P4697" s="34" t="str">
        <f aca="false">IF(B4697&gt;=Eval_Start_Week,"YES","")</f>
        <v/>
      </c>
      <c r="Q4697" s="34" t="str">
        <f aca="false">IF(AND(B4697&gt;=Cal_Start_Week,B4697&lt;=Cal_End_Week),"YES","")</f>
        <v/>
      </c>
    </row>
    <row r="4698" customFormat="false" ht="15" hidden="false" customHeight="false" outlineLevel="0" collapsed="false">
      <c r="A4698" s="31" t="str">
        <f aca="false">Demand_History!C4698</f>
        <v>CLN-009</v>
      </c>
      <c r="B4698" s="31" t="n">
        <f aca="false">Demand_History!A4698</f>
        <v>17</v>
      </c>
      <c r="C4698" s="32" t="n">
        <f aca="false">Demand_History!D4698</f>
        <v>25</v>
      </c>
      <c r="D4698" s="33" t="n">
        <f aca="false">IF(B4698&gt;=2,C4697,"")</f>
        <v>35</v>
      </c>
      <c r="E4698" s="33" t="n">
        <f aca="false">IF(B4698&gt;=5,AVERAGE(C4694:C4697),"")</f>
        <v>31.5</v>
      </c>
      <c r="F4698" s="33" t="n">
        <f aca="false">IF(B4698&gt;=9,AVERAGE(C4690:C4697),"")</f>
        <v>31.875</v>
      </c>
      <c r="G4698" s="33" t="n">
        <f aca="false">IF(B4698=1,"",IF(B4698=2,C4697,SES_Alpha*C4697+(1-SES_Alpha)*G4697))</f>
        <v>32.9455728123916</v>
      </c>
      <c r="H4698" s="33" t="n">
        <f aca="false">IF(D4698="","",D4698-C4698)</f>
        <v>10</v>
      </c>
      <c r="I4698" s="33" t="n">
        <f aca="false">IF(E4698="","",E4698-C4698)</f>
        <v>6.5</v>
      </c>
      <c r="J4698" s="33" t="n">
        <f aca="false">IF(F4698="","",F4698-C4698)</f>
        <v>6.875</v>
      </c>
      <c r="K4698" s="33" t="n">
        <f aca="false">IF(G4698="","",G4698-C4698)</f>
        <v>7.94557281239163</v>
      </c>
      <c r="L4698" s="33" t="n">
        <f aca="false">IF(H4698="","",ABS(H4698))</f>
        <v>10</v>
      </c>
      <c r="M4698" s="33" t="n">
        <f aca="false">IF(I4698="","",ABS(I4698))</f>
        <v>6.5</v>
      </c>
      <c r="N4698" s="33" t="n">
        <f aca="false">IF(J4698="","",ABS(J4698))</f>
        <v>6.875</v>
      </c>
      <c r="O4698" s="33" t="n">
        <f aca="false">IF(K4698="","",ABS(K4698))</f>
        <v>7.94557281239163</v>
      </c>
      <c r="P4698" s="34" t="str">
        <f aca="false">IF(B4698&gt;=Eval_Start_Week,"YES","")</f>
        <v/>
      </c>
      <c r="Q4698" s="34" t="str">
        <f aca="false">IF(AND(B4698&gt;=Cal_Start_Week,B4698&lt;=Cal_End_Week),"YES","")</f>
        <v/>
      </c>
    </row>
    <row r="4699" customFormat="false" ht="15" hidden="false" customHeight="false" outlineLevel="0" collapsed="false">
      <c r="A4699" s="31" t="str">
        <f aca="false">Demand_History!C4699</f>
        <v>CLN-009</v>
      </c>
      <c r="B4699" s="31" t="n">
        <f aca="false">Demand_History!A4699</f>
        <v>18</v>
      </c>
      <c r="C4699" s="32" t="n">
        <f aca="false">Demand_History!D4699</f>
        <v>35</v>
      </c>
      <c r="D4699" s="33" t="n">
        <f aca="false">IF(B4699&gt;=2,C4698,"")</f>
        <v>25</v>
      </c>
      <c r="E4699" s="33" t="n">
        <f aca="false">IF(B4699&gt;=5,AVERAGE(C4695:C4698),"")</f>
        <v>32.25</v>
      </c>
      <c r="F4699" s="33" t="n">
        <f aca="false">IF(B4699&gt;=9,AVERAGE(C4691:C4698),"")</f>
        <v>30.875</v>
      </c>
      <c r="G4699" s="33" t="n">
        <f aca="false">IF(B4699=1,"",IF(B4699=2,C4698,SES_Alpha*C4698+(1-SES_Alpha)*G4698))</f>
        <v>30.5619009686741</v>
      </c>
      <c r="H4699" s="33" t="n">
        <f aca="false">IF(D4699="","",D4699-C4699)</f>
        <v>-10</v>
      </c>
      <c r="I4699" s="33" t="n">
        <f aca="false">IF(E4699="","",E4699-C4699)</f>
        <v>-2.75</v>
      </c>
      <c r="J4699" s="33" t="n">
        <f aca="false">IF(F4699="","",F4699-C4699)</f>
        <v>-4.125</v>
      </c>
      <c r="K4699" s="33" t="n">
        <f aca="false">IF(G4699="","",G4699-C4699)</f>
        <v>-4.43809903132586</v>
      </c>
      <c r="L4699" s="33" t="n">
        <f aca="false">IF(H4699="","",ABS(H4699))</f>
        <v>10</v>
      </c>
      <c r="M4699" s="33" t="n">
        <f aca="false">IF(I4699="","",ABS(I4699))</f>
        <v>2.75</v>
      </c>
      <c r="N4699" s="33" t="n">
        <f aca="false">IF(J4699="","",ABS(J4699))</f>
        <v>4.125</v>
      </c>
      <c r="O4699" s="33" t="n">
        <f aca="false">IF(K4699="","",ABS(K4699))</f>
        <v>4.43809903132586</v>
      </c>
      <c r="P4699" s="34" t="str">
        <f aca="false">IF(B4699&gt;=Eval_Start_Week,"YES","")</f>
        <v/>
      </c>
      <c r="Q4699" s="34" t="str">
        <f aca="false">IF(AND(B4699&gt;=Cal_Start_Week,B4699&lt;=Cal_End_Week),"YES","")</f>
        <v/>
      </c>
    </row>
    <row r="4700" customFormat="false" ht="15" hidden="false" customHeight="false" outlineLevel="0" collapsed="false">
      <c r="A4700" s="31" t="str">
        <f aca="false">Demand_History!C4700</f>
        <v>CLN-009</v>
      </c>
      <c r="B4700" s="31" t="n">
        <f aca="false">Demand_History!A4700</f>
        <v>19</v>
      </c>
      <c r="C4700" s="32" t="n">
        <f aca="false">Demand_History!D4700</f>
        <v>27</v>
      </c>
      <c r="D4700" s="33" t="n">
        <f aca="false">IF(B4700&gt;=2,C4699,"")</f>
        <v>35</v>
      </c>
      <c r="E4700" s="33" t="n">
        <f aca="false">IF(B4700&gt;=5,AVERAGE(C4696:C4699),"")</f>
        <v>33.25</v>
      </c>
      <c r="F4700" s="33" t="n">
        <f aca="false">IF(B4700&gt;=9,AVERAGE(C4692:C4699),"")</f>
        <v>31.125</v>
      </c>
      <c r="G4700" s="33" t="n">
        <f aca="false">IF(B4700=1,"",IF(B4700=2,C4699,SES_Alpha*C4699+(1-SES_Alpha)*G4699))</f>
        <v>31.8933306780719</v>
      </c>
      <c r="H4700" s="33" t="n">
        <f aca="false">IF(D4700="","",D4700-C4700)</f>
        <v>8</v>
      </c>
      <c r="I4700" s="33" t="n">
        <f aca="false">IF(E4700="","",E4700-C4700)</f>
        <v>6.25</v>
      </c>
      <c r="J4700" s="33" t="n">
        <f aca="false">IF(F4700="","",F4700-C4700)</f>
        <v>4.125</v>
      </c>
      <c r="K4700" s="33" t="n">
        <f aca="false">IF(G4700="","",G4700-C4700)</f>
        <v>4.8933306780719</v>
      </c>
      <c r="L4700" s="33" t="n">
        <f aca="false">IF(H4700="","",ABS(H4700))</f>
        <v>8</v>
      </c>
      <c r="M4700" s="33" t="n">
        <f aca="false">IF(I4700="","",ABS(I4700))</f>
        <v>6.25</v>
      </c>
      <c r="N4700" s="33" t="n">
        <f aca="false">IF(J4700="","",ABS(J4700))</f>
        <v>4.125</v>
      </c>
      <c r="O4700" s="33" t="n">
        <f aca="false">IF(K4700="","",ABS(K4700))</f>
        <v>4.8933306780719</v>
      </c>
      <c r="P4700" s="34" t="str">
        <f aca="false">IF(B4700&gt;=Eval_Start_Week,"YES","")</f>
        <v/>
      </c>
      <c r="Q4700" s="34" t="str">
        <f aca="false">IF(AND(B4700&gt;=Cal_Start_Week,B4700&lt;=Cal_End_Week),"YES","")</f>
        <v/>
      </c>
    </row>
    <row r="4701" customFormat="false" ht="15" hidden="false" customHeight="false" outlineLevel="0" collapsed="false">
      <c r="A4701" s="31" t="str">
        <f aca="false">Demand_History!C4701</f>
        <v>CLN-009</v>
      </c>
      <c r="B4701" s="31" t="n">
        <f aca="false">Demand_History!A4701</f>
        <v>20</v>
      </c>
      <c r="C4701" s="32" t="n">
        <f aca="false">Demand_History!D4701</f>
        <v>45</v>
      </c>
      <c r="D4701" s="33" t="n">
        <f aca="false">IF(B4701&gt;=2,C4700,"")</f>
        <v>27</v>
      </c>
      <c r="E4701" s="33" t="n">
        <f aca="false">IF(B4701&gt;=5,AVERAGE(C4697:C4700),"")</f>
        <v>30.5</v>
      </c>
      <c r="F4701" s="33" t="n">
        <f aca="false">IF(B4701&gt;=9,AVERAGE(C4693:C4700),"")</f>
        <v>30.375</v>
      </c>
      <c r="G4701" s="33" t="n">
        <f aca="false">IF(B4701=1,"",IF(B4701=2,C4700,SES_Alpha*C4700+(1-SES_Alpha)*G4700))</f>
        <v>30.4253314746503</v>
      </c>
      <c r="H4701" s="33" t="n">
        <f aca="false">IF(D4701="","",D4701-C4701)</f>
        <v>-18</v>
      </c>
      <c r="I4701" s="33" t="n">
        <f aca="false">IF(E4701="","",E4701-C4701)</f>
        <v>-14.5</v>
      </c>
      <c r="J4701" s="33" t="n">
        <f aca="false">IF(F4701="","",F4701-C4701)</f>
        <v>-14.625</v>
      </c>
      <c r="K4701" s="33" t="n">
        <f aca="false">IF(G4701="","",G4701-C4701)</f>
        <v>-14.5746685253497</v>
      </c>
      <c r="L4701" s="33" t="n">
        <f aca="false">IF(H4701="","",ABS(H4701))</f>
        <v>18</v>
      </c>
      <c r="M4701" s="33" t="n">
        <f aca="false">IF(I4701="","",ABS(I4701))</f>
        <v>14.5</v>
      </c>
      <c r="N4701" s="33" t="n">
        <f aca="false">IF(J4701="","",ABS(J4701))</f>
        <v>14.625</v>
      </c>
      <c r="O4701" s="33" t="n">
        <f aca="false">IF(K4701="","",ABS(K4701))</f>
        <v>14.5746685253497</v>
      </c>
      <c r="P4701" s="34" t="str">
        <f aca="false">IF(B4701&gt;=Eval_Start_Week,"YES","")</f>
        <v/>
      </c>
      <c r="Q4701" s="34" t="str">
        <f aca="false">IF(AND(B4701&gt;=Cal_Start_Week,B4701&lt;=Cal_End_Week),"YES","")</f>
        <v/>
      </c>
    </row>
    <row r="4702" customFormat="false" ht="15" hidden="false" customHeight="false" outlineLevel="0" collapsed="false">
      <c r="A4702" s="31" t="str">
        <f aca="false">Demand_History!C4702</f>
        <v>CLN-009</v>
      </c>
      <c r="B4702" s="31" t="n">
        <f aca="false">Demand_History!A4702</f>
        <v>21</v>
      </c>
      <c r="C4702" s="32" t="n">
        <f aca="false">Demand_History!D4702</f>
        <v>37</v>
      </c>
      <c r="D4702" s="33" t="n">
        <f aca="false">IF(B4702&gt;=2,C4701,"")</f>
        <v>45</v>
      </c>
      <c r="E4702" s="33" t="n">
        <f aca="false">IF(B4702&gt;=5,AVERAGE(C4698:C4701),"")</f>
        <v>33</v>
      </c>
      <c r="F4702" s="33" t="n">
        <f aca="false">IF(B4702&gt;=9,AVERAGE(C4694:C4701),"")</f>
        <v>32.25</v>
      </c>
      <c r="G4702" s="33" t="n">
        <f aca="false">IF(B4702=1,"",IF(B4702=2,C4701,SES_Alpha*C4701+(1-SES_Alpha)*G4701))</f>
        <v>34.7977320322552</v>
      </c>
      <c r="H4702" s="33" t="n">
        <f aca="false">IF(D4702="","",D4702-C4702)</f>
        <v>8</v>
      </c>
      <c r="I4702" s="33" t="n">
        <f aca="false">IF(E4702="","",E4702-C4702)</f>
        <v>-4</v>
      </c>
      <c r="J4702" s="33" t="n">
        <f aca="false">IF(F4702="","",F4702-C4702)</f>
        <v>-4.75</v>
      </c>
      <c r="K4702" s="33" t="n">
        <f aca="false">IF(G4702="","",G4702-C4702)</f>
        <v>-2.20226796774477</v>
      </c>
      <c r="L4702" s="33" t="n">
        <f aca="false">IF(H4702="","",ABS(H4702))</f>
        <v>8</v>
      </c>
      <c r="M4702" s="33" t="n">
        <f aca="false">IF(I4702="","",ABS(I4702))</f>
        <v>4</v>
      </c>
      <c r="N4702" s="33" t="n">
        <f aca="false">IF(J4702="","",ABS(J4702))</f>
        <v>4.75</v>
      </c>
      <c r="O4702" s="33" t="n">
        <f aca="false">IF(K4702="","",ABS(K4702))</f>
        <v>2.20226796774477</v>
      </c>
      <c r="P4702" s="34" t="str">
        <f aca="false">IF(B4702&gt;=Eval_Start_Week,"YES","")</f>
        <v/>
      </c>
      <c r="Q4702" s="34" t="str">
        <f aca="false">IF(AND(B4702&gt;=Cal_Start_Week,B4702&lt;=Cal_End_Week),"YES","")</f>
        <v/>
      </c>
    </row>
    <row r="4703" customFormat="false" ht="15" hidden="false" customHeight="false" outlineLevel="0" collapsed="false">
      <c r="A4703" s="31" t="str">
        <f aca="false">Demand_History!C4703</f>
        <v>CLN-009</v>
      </c>
      <c r="B4703" s="31" t="n">
        <f aca="false">Demand_History!A4703</f>
        <v>22</v>
      </c>
      <c r="C4703" s="32" t="n">
        <f aca="false">Demand_History!D4703</f>
        <v>30</v>
      </c>
      <c r="D4703" s="33" t="n">
        <f aca="false">IF(B4703&gt;=2,C4702,"")</f>
        <v>37</v>
      </c>
      <c r="E4703" s="33" t="n">
        <f aca="false">IF(B4703&gt;=5,AVERAGE(C4699:C4702),"")</f>
        <v>36</v>
      </c>
      <c r="F4703" s="33" t="n">
        <f aca="false">IF(B4703&gt;=9,AVERAGE(C4695:C4702),"")</f>
        <v>34.125</v>
      </c>
      <c r="G4703" s="33" t="n">
        <f aca="false">IF(B4703=1,"",IF(B4703=2,C4702,SES_Alpha*C4702+(1-SES_Alpha)*G4702))</f>
        <v>35.4584124225787</v>
      </c>
      <c r="H4703" s="33" t="n">
        <f aca="false">IF(D4703="","",D4703-C4703)</f>
        <v>7</v>
      </c>
      <c r="I4703" s="33" t="n">
        <f aca="false">IF(E4703="","",E4703-C4703)</f>
        <v>6</v>
      </c>
      <c r="J4703" s="33" t="n">
        <f aca="false">IF(F4703="","",F4703-C4703)</f>
        <v>4.125</v>
      </c>
      <c r="K4703" s="33" t="n">
        <f aca="false">IF(G4703="","",G4703-C4703)</f>
        <v>5.45841242257865</v>
      </c>
      <c r="L4703" s="33" t="n">
        <f aca="false">IF(H4703="","",ABS(H4703))</f>
        <v>7</v>
      </c>
      <c r="M4703" s="33" t="n">
        <f aca="false">IF(I4703="","",ABS(I4703))</f>
        <v>6</v>
      </c>
      <c r="N4703" s="33" t="n">
        <f aca="false">IF(J4703="","",ABS(J4703))</f>
        <v>4.125</v>
      </c>
      <c r="O4703" s="33" t="n">
        <f aca="false">IF(K4703="","",ABS(K4703))</f>
        <v>5.45841242257865</v>
      </c>
      <c r="P4703" s="34" t="str">
        <f aca="false">IF(B4703&gt;=Eval_Start_Week,"YES","")</f>
        <v/>
      </c>
      <c r="Q4703" s="34" t="str">
        <f aca="false">IF(AND(B4703&gt;=Cal_Start_Week,B4703&lt;=Cal_End_Week),"YES","")</f>
        <v/>
      </c>
    </row>
    <row r="4704" customFormat="false" ht="15" hidden="false" customHeight="false" outlineLevel="0" collapsed="false">
      <c r="A4704" s="31" t="str">
        <f aca="false">Demand_History!C4704</f>
        <v>CLN-009</v>
      </c>
      <c r="B4704" s="31" t="n">
        <f aca="false">Demand_History!A4704</f>
        <v>23</v>
      </c>
      <c r="C4704" s="32" t="n">
        <f aca="false">Demand_History!D4704</f>
        <v>40</v>
      </c>
      <c r="D4704" s="33" t="n">
        <f aca="false">IF(B4704&gt;=2,C4703,"")</f>
        <v>30</v>
      </c>
      <c r="E4704" s="33" t="n">
        <f aca="false">IF(B4704&gt;=5,AVERAGE(C4700:C4703),"")</f>
        <v>34.75</v>
      </c>
      <c r="F4704" s="33" t="n">
        <f aca="false">IF(B4704&gt;=9,AVERAGE(C4696:C4703),"")</f>
        <v>34</v>
      </c>
      <c r="G4704" s="33" t="n">
        <f aca="false">IF(B4704=1,"",IF(B4704=2,C4703,SES_Alpha*C4703+(1-SES_Alpha)*G4703))</f>
        <v>33.8208886958051</v>
      </c>
      <c r="H4704" s="33" t="n">
        <f aca="false">IF(D4704="","",D4704-C4704)</f>
        <v>-10</v>
      </c>
      <c r="I4704" s="33" t="n">
        <f aca="false">IF(E4704="","",E4704-C4704)</f>
        <v>-5.25</v>
      </c>
      <c r="J4704" s="33" t="n">
        <f aca="false">IF(F4704="","",F4704-C4704)</f>
        <v>-6</v>
      </c>
      <c r="K4704" s="33" t="n">
        <f aca="false">IF(G4704="","",G4704-C4704)</f>
        <v>-6.17911130419495</v>
      </c>
      <c r="L4704" s="33" t="n">
        <f aca="false">IF(H4704="","",ABS(H4704))</f>
        <v>10</v>
      </c>
      <c r="M4704" s="33" t="n">
        <f aca="false">IF(I4704="","",ABS(I4704))</f>
        <v>5.25</v>
      </c>
      <c r="N4704" s="33" t="n">
        <f aca="false">IF(J4704="","",ABS(J4704))</f>
        <v>6</v>
      </c>
      <c r="O4704" s="33" t="n">
        <f aca="false">IF(K4704="","",ABS(K4704))</f>
        <v>6.17911130419495</v>
      </c>
      <c r="P4704" s="34" t="str">
        <f aca="false">IF(B4704&gt;=Eval_Start_Week,"YES","")</f>
        <v/>
      </c>
      <c r="Q4704" s="34" t="str">
        <f aca="false">IF(AND(B4704&gt;=Cal_Start_Week,B4704&lt;=Cal_End_Week),"YES","")</f>
        <v/>
      </c>
    </row>
    <row r="4705" customFormat="false" ht="15" hidden="false" customHeight="false" outlineLevel="0" collapsed="false">
      <c r="A4705" s="31" t="str">
        <f aca="false">Demand_History!C4705</f>
        <v>CLN-009</v>
      </c>
      <c r="B4705" s="31" t="n">
        <f aca="false">Demand_History!A4705</f>
        <v>24</v>
      </c>
      <c r="C4705" s="32" t="n">
        <f aca="false">Demand_History!D4705</f>
        <v>33</v>
      </c>
      <c r="D4705" s="33" t="n">
        <f aca="false">IF(B4705&gt;=2,C4704,"")</f>
        <v>40</v>
      </c>
      <c r="E4705" s="33" t="n">
        <f aca="false">IF(B4705&gt;=5,AVERAGE(C4701:C4704),"")</f>
        <v>38</v>
      </c>
      <c r="F4705" s="33" t="n">
        <f aca="false">IF(B4705&gt;=9,AVERAGE(C4697:C4704),"")</f>
        <v>34.25</v>
      </c>
      <c r="G4705" s="33" t="n">
        <f aca="false">IF(B4705=1,"",IF(B4705=2,C4704,SES_Alpha*C4704+(1-SES_Alpha)*G4704))</f>
        <v>35.6746220870635</v>
      </c>
      <c r="H4705" s="33" t="n">
        <f aca="false">IF(D4705="","",D4705-C4705)</f>
        <v>7</v>
      </c>
      <c r="I4705" s="33" t="n">
        <f aca="false">IF(E4705="","",E4705-C4705)</f>
        <v>5</v>
      </c>
      <c r="J4705" s="33" t="n">
        <f aca="false">IF(F4705="","",F4705-C4705)</f>
        <v>1.25</v>
      </c>
      <c r="K4705" s="33" t="n">
        <f aca="false">IF(G4705="","",G4705-C4705)</f>
        <v>2.67462208706354</v>
      </c>
      <c r="L4705" s="33" t="n">
        <f aca="false">IF(H4705="","",ABS(H4705))</f>
        <v>7</v>
      </c>
      <c r="M4705" s="33" t="n">
        <f aca="false">IF(I4705="","",ABS(I4705))</f>
        <v>5</v>
      </c>
      <c r="N4705" s="33" t="n">
        <f aca="false">IF(J4705="","",ABS(J4705))</f>
        <v>1.25</v>
      </c>
      <c r="O4705" s="33" t="n">
        <f aca="false">IF(K4705="","",ABS(K4705))</f>
        <v>2.67462208706354</v>
      </c>
      <c r="P4705" s="34" t="str">
        <f aca="false">IF(B4705&gt;=Eval_Start_Week,"YES","")</f>
        <v/>
      </c>
      <c r="Q4705" s="34" t="str">
        <f aca="false">IF(AND(B4705&gt;=Cal_Start_Week,B4705&lt;=Cal_End_Week),"YES","")</f>
        <v/>
      </c>
    </row>
    <row r="4706" customFormat="false" ht="15" hidden="false" customHeight="false" outlineLevel="0" collapsed="false">
      <c r="A4706" s="31" t="str">
        <f aca="false">Demand_History!C4706</f>
        <v>CLN-009</v>
      </c>
      <c r="B4706" s="31" t="n">
        <f aca="false">Demand_History!A4706</f>
        <v>25</v>
      </c>
      <c r="C4706" s="32" t="n">
        <f aca="false">Demand_History!D4706</f>
        <v>40</v>
      </c>
      <c r="D4706" s="33" t="n">
        <f aca="false">IF(B4706&gt;=2,C4705,"")</f>
        <v>33</v>
      </c>
      <c r="E4706" s="33" t="n">
        <f aca="false">IF(B4706&gt;=5,AVERAGE(C4702:C4705),"")</f>
        <v>35</v>
      </c>
      <c r="F4706" s="33" t="n">
        <f aca="false">IF(B4706&gt;=9,AVERAGE(C4698:C4705),"")</f>
        <v>34</v>
      </c>
      <c r="G4706" s="33" t="n">
        <f aca="false">IF(B4706=1,"",IF(B4706=2,C4705,SES_Alpha*C4705+(1-SES_Alpha)*G4705))</f>
        <v>34.8722354609445</v>
      </c>
      <c r="H4706" s="33" t="n">
        <f aca="false">IF(D4706="","",D4706-C4706)</f>
        <v>-7</v>
      </c>
      <c r="I4706" s="33" t="n">
        <f aca="false">IF(E4706="","",E4706-C4706)</f>
        <v>-5</v>
      </c>
      <c r="J4706" s="33" t="n">
        <f aca="false">IF(F4706="","",F4706-C4706)</f>
        <v>-6</v>
      </c>
      <c r="K4706" s="33" t="n">
        <f aca="false">IF(G4706="","",G4706-C4706)</f>
        <v>-5.12776453905553</v>
      </c>
      <c r="L4706" s="33" t="n">
        <f aca="false">IF(H4706="","",ABS(H4706))</f>
        <v>7</v>
      </c>
      <c r="M4706" s="33" t="n">
        <f aca="false">IF(I4706="","",ABS(I4706))</f>
        <v>5</v>
      </c>
      <c r="N4706" s="33" t="n">
        <f aca="false">IF(J4706="","",ABS(J4706))</f>
        <v>6</v>
      </c>
      <c r="O4706" s="33" t="n">
        <f aca="false">IF(K4706="","",ABS(K4706))</f>
        <v>5.12776453905553</v>
      </c>
      <c r="P4706" s="34" t="str">
        <f aca="false">IF(B4706&gt;=Eval_Start_Week,"YES","")</f>
        <v/>
      </c>
      <c r="Q4706" s="34" t="str">
        <f aca="false">IF(AND(B4706&gt;=Cal_Start_Week,B4706&lt;=Cal_End_Week),"YES","")</f>
        <v/>
      </c>
    </row>
    <row r="4707" customFormat="false" ht="15" hidden="false" customHeight="false" outlineLevel="0" collapsed="false">
      <c r="A4707" s="31" t="str">
        <f aca="false">Demand_History!C4707</f>
        <v>CLN-009</v>
      </c>
      <c r="B4707" s="31" t="n">
        <f aca="false">Demand_History!A4707</f>
        <v>26</v>
      </c>
      <c r="C4707" s="32" t="n">
        <f aca="false">Demand_History!D4707</f>
        <v>38</v>
      </c>
      <c r="D4707" s="33" t="n">
        <f aca="false">IF(B4707&gt;=2,C4706,"")</f>
        <v>40</v>
      </c>
      <c r="E4707" s="33" t="n">
        <f aca="false">IF(B4707&gt;=5,AVERAGE(C4703:C4706),"")</f>
        <v>35.75</v>
      </c>
      <c r="F4707" s="33" t="n">
        <f aca="false">IF(B4707&gt;=9,AVERAGE(C4699:C4706),"")</f>
        <v>35.875</v>
      </c>
      <c r="G4707" s="33" t="n">
        <f aca="false">IF(B4707=1,"",IF(B4707=2,C4706,SES_Alpha*C4706+(1-SES_Alpha)*G4706))</f>
        <v>36.4105648226611</v>
      </c>
      <c r="H4707" s="33" t="n">
        <f aca="false">IF(D4707="","",D4707-C4707)</f>
        <v>2</v>
      </c>
      <c r="I4707" s="33" t="n">
        <f aca="false">IF(E4707="","",E4707-C4707)</f>
        <v>-2.25</v>
      </c>
      <c r="J4707" s="33" t="n">
        <f aca="false">IF(F4707="","",F4707-C4707)</f>
        <v>-2.125</v>
      </c>
      <c r="K4707" s="33" t="n">
        <f aca="false">IF(G4707="","",G4707-C4707)</f>
        <v>-1.58943517733887</v>
      </c>
      <c r="L4707" s="33" t="n">
        <f aca="false">IF(H4707="","",ABS(H4707))</f>
        <v>2</v>
      </c>
      <c r="M4707" s="33" t="n">
        <f aca="false">IF(I4707="","",ABS(I4707))</f>
        <v>2.25</v>
      </c>
      <c r="N4707" s="33" t="n">
        <f aca="false">IF(J4707="","",ABS(J4707))</f>
        <v>2.125</v>
      </c>
      <c r="O4707" s="33" t="n">
        <f aca="false">IF(K4707="","",ABS(K4707))</f>
        <v>1.58943517733887</v>
      </c>
      <c r="P4707" s="34" t="str">
        <f aca="false">IF(B4707&gt;=Eval_Start_Week,"YES","")</f>
        <v/>
      </c>
      <c r="Q4707" s="34" t="str">
        <f aca="false">IF(AND(B4707&gt;=Cal_Start_Week,B4707&lt;=Cal_End_Week),"YES","")</f>
        <v/>
      </c>
    </row>
    <row r="4708" customFormat="false" ht="15" hidden="false" customHeight="false" outlineLevel="0" collapsed="false">
      <c r="A4708" s="31" t="str">
        <f aca="false">Demand_History!C4708</f>
        <v>CLN-009</v>
      </c>
      <c r="B4708" s="31" t="n">
        <f aca="false">Demand_History!A4708</f>
        <v>27</v>
      </c>
      <c r="C4708" s="32" t="n">
        <f aca="false">Demand_History!D4708</f>
        <v>32</v>
      </c>
      <c r="D4708" s="33" t="n">
        <f aca="false">IF(B4708&gt;=2,C4707,"")</f>
        <v>38</v>
      </c>
      <c r="E4708" s="33" t="n">
        <f aca="false">IF(B4708&gt;=5,AVERAGE(C4704:C4707),"")</f>
        <v>37.75</v>
      </c>
      <c r="F4708" s="33" t="n">
        <f aca="false">IF(B4708&gt;=9,AVERAGE(C4700:C4707),"")</f>
        <v>36.25</v>
      </c>
      <c r="G4708" s="33" t="n">
        <f aca="false">IF(B4708=1,"",IF(B4708=2,C4707,SES_Alpha*C4707+(1-SES_Alpha)*G4707))</f>
        <v>36.8873953758628</v>
      </c>
      <c r="H4708" s="33" t="n">
        <f aca="false">IF(D4708="","",D4708-C4708)</f>
        <v>6</v>
      </c>
      <c r="I4708" s="33" t="n">
        <f aca="false">IF(E4708="","",E4708-C4708)</f>
        <v>5.75</v>
      </c>
      <c r="J4708" s="33" t="n">
        <f aca="false">IF(F4708="","",F4708-C4708)</f>
        <v>4.25</v>
      </c>
      <c r="K4708" s="33" t="n">
        <f aca="false">IF(G4708="","",G4708-C4708)</f>
        <v>4.88739537586279</v>
      </c>
      <c r="L4708" s="33" t="n">
        <f aca="false">IF(H4708="","",ABS(H4708))</f>
        <v>6</v>
      </c>
      <c r="M4708" s="33" t="n">
        <f aca="false">IF(I4708="","",ABS(I4708))</f>
        <v>5.75</v>
      </c>
      <c r="N4708" s="33" t="n">
        <f aca="false">IF(J4708="","",ABS(J4708))</f>
        <v>4.25</v>
      </c>
      <c r="O4708" s="33" t="n">
        <f aca="false">IF(K4708="","",ABS(K4708))</f>
        <v>4.88739537586279</v>
      </c>
      <c r="P4708" s="34" t="str">
        <f aca="false">IF(B4708&gt;=Eval_Start_Week,"YES","")</f>
        <v/>
      </c>
      <c r="Q4708" s="34" t="str">
        <f aca="false">IF(AND(B4708&gt;=Cal_Start_Week,B4708&lt;=Cal_End_Week),"YES","")</f>
        <v/>
      </c>
    </row>
    <row r="4709" customFormat="false" ht="15" hidden="false" customHeight="false" outlineLevel="0" collapsed="false">
      <c r="A4709" s="31" t="str">
        <f aca="false">Demand_History!C4709</f>
        <v>CLN-009</v>
      </c>
      <c r="B4709" s="31" t="n">
        <f aca="false">Demand_History!A4709</f>
        <v>28</v>
      </c>
      <c r="C4709" s="32" t="n">
        <f aca="false">Demand_History!D4709</f>
        <v>41</v>
      </c>
      <c r="D4709" s="33" t="n">
        <f aca="false">IF(B4709&gt;=2,C4708,"")</f>
        <v>32</v>
      </c>
      <c r="E4709" s="33" t="n">
        <f aca="false">IF(B4709&gt;=5,AVERAGE(C4705:C4708),"")</f>
        <v>35.75</v>
      </c>
      <c r="F4709" s="33" t="n">
        <f aca="false">IF(B4709&gt;=9,AVERAGE(C4701:C4708),"")</f>
        <v>36.875</v>
      </c>
      <c r="G4709" s="33" t="n">
        <f aca="false">IF(B4709=1,"",IF(B4709=2,C4708,SES_Alpha*C4708+(1-SES_Alpha)*G4708))</f>
        <v>35.421176763104</v>
      </c>
      <c r="H4709" s="33" t="n">
        <f aca="false">IF(D4709="","",D4709-C4709)</f>
        <v>-9</v>
      </c>
      <c r="I4709" s="33" t="n">
        <f aca="false">IF(E4709="","",E4709-C4709)</f>
        <v>-5.25</v>
      </c>
      <c r="J4709" s="33" t="n">
        <f aca="false">IF(F4709="","",F4709-C4709)</f>
        <v>-4.125</v>
      </c>
      <c r="K4709" s="33" t="n">
        <f aca="false">IF(G4709="","",G4709-C4709)</f>
        <v>-5.57882323689605</v>
      </c>
      <c r="L4709" s="33" t="n">
        <f aca="false">IF(H4709="","",ABS(H4709))</f>
        <v>9</v>
      </c>
      <c r="M4709" s="33" t="n">
        <f aca="false">IF(I4709="","",ABS(I4709))</f>
        <v>5.25</v>
      </c>
      <c r="N4709" s="33" t="n">
        <f aca="false">IF(J4709="","",ABS(J4709))</f>
        <v>4.125</v>
      </c>
      <c r="O4709" s="33" t="n">
        <f aca="false">IF(K4709="","",ABS(K4709))</f>
        <v>5.57882323689605</v>
      </c>
      <c r="P4709" s="34" t="str">
        <f aca="false">IF(B4709&gt;=Eval_Start_Week,"YES","")</f>
        <v/>
      </c>
      <c r="Q4709" s="34" t="str">
        <f aca="false">IF(AND(B4709&gt;=Cal_Start_Week,B4709&lt;=Cal_End_Week),"YES","")</f>
        <v/>
      </c>
    </row>
    <row r="4710" customFormat="false" ht="15" hidden="false" customHeight="false" outlineLevel="0" collapsed="false">
      <c r="A4710" s="31" t="str">
        <f aca="false">Demand_History!C4710</f>
        <v>CLN-009</v>
      </c>
      <c r="B4710" s="31" t="n">
        <f aca="false">Demand_History!A4710</f>
        <v>29</v>
      </c>
      <c r="C4710" s="32" t="n">
        <f aca="false">Demand_History!D4710</f>
        <v>32</v>
      </c>
      <c r="D4710" s="33" t="n">
        <f aca="false">IF(B4710&gt;=2,C4709,"")</f>
        <v>41</v>
      </c>
      <c r="E4710" s="33" t="n">
        <f aca="false">IF(B4710&gt;=5,AVERAGE(C4706:C4709),"")</f>
        <v>37.75</v>
      </c>
      <c r="F4710" s="33" t="n">
        <f aca="false">IF(B4710&gt;=9,AVERAGE(C4702:C4709),"")</f>
        <v>36.375</v>
      </c>
      <c r="G4710" s="33" t="n">
        <f aca="false">IF(B4710=1,"",IF(B4710=2,C4709,SES_Alpha*C4709+(1-SES_Alpha)*G4709))</f>
        <v>37.0948237341728</v>
      </c>
      <c r="H4710" s="33" t="n">
        <f aca="false">IF(D4710="","",D4710-C4710)</f>
        <v>9</v>
      </c>
      <c r="I4710" s="33" t="n">
        <f aca="false">IF(E4710="","",E4710-C4710)</f>
        <v>5.75</v>
      </c>
      <c r="J4710" s="33" t="n">
        <f aca="false">IF(F4710="","",F4710-C4710)</f>
        <v>4.375</v>
      </c>
      <c r="K4710" s="33" t="n">
        <f aca="false">IF(G4710="","",G4710-C4710)</f>
        <v>5.09482373417276</v>
      </c>
      <c r="L4710" s="33" t="n">
        <f aca="false">IF(H4710="","",ABS(H4710))</f>
        <v>9</v>
      </c>
      <c r="M4710" s="33" t="n">
        <f aca="false">IF(I4710="","",ABS(I4710))</f>
        <v>5.75</v>
      </c>
      <c r="N4710" s="33" t="n">
        <f aca="false">IF(J4710="","",ABS(J4710))</f>
        <v>4.375</v>
      </c>
      <c r="O4710" s="33" t="n">
        <f aca="false">IF(K4710="","",ABS(K4710))</f>
        <v>5.09482373417276</v>
      </c>
      <c r="P4710" s="34" t="str">
        <f aca="false">IF(B4710&gt;=Eval_Start_Week,"YES","")</f>
        <v/>
      </c>
      <c r="Q4710" s="34" t="str">
        <f aca="false">IF(AND(B4710&gt;=Cal_Start_Week,B4710&lt;=Cal_End_Week),"YES","")</f>
        <v/>
      </c>
    </row>
    <row r="4711" customFormat="false" ht="15" hidden="false" customHeight="false" outlineLevel="0" collapsed="false">
      <c r="A4711" s="31" t="str">
        <f aca="false">Demand_History!C4711</f>
        <v>CLN-009</v>
      </c>
      <c r="B4711" s="31" t="n">
        <f aca="false">Demand_History!A4711</f>
        <v>30</v>
      </c>
      <c r="C4711" s="32" t="n">
        <f aca="false">Demand_History!D4711</f>
        <v>46</v>
      </c>
      <c r="D4711" s="33" t="n">
        <f aca="false">IF(B4711&gt;=2,C4710,"")</f>
        <v>32</v>
      </c>
      <c r="E4711" s="33" t="n">
        <f aca="false">IF(B4711&gt;=5,AVERAGE(C4707:C4710),"")</f>
        <v>35.75</v>
      </c>
      <c r="F4711" s="33" t="n">
        <f aca="false">IF(B4711&gt;=9,AVERAGE(C4703:C4710),"")</f>
        <v>35.75</v>
      </c>
      <c r="G4711" s="33" t="n">
        <f aca="false">IF(B4711=1,"",IF(B4711=2,C4710,SES_Alpha*C4710+(1-SES_Alpha)*G4710))</f>
        <v>35.5663766139209</v>
      </c>
      <c r="H4711" s="33" t="n">
        <f aca="false">IF(D4711="","",D4711-C4711)</f>
        <v>-14</v>
      </c>
      <c r="I4711" s="33" t="n">
        <f aca="false">IF(E4711="","",E4711-C4711)</f>
        <v>-10.25</v>
      </c>
      <c r="J4711" s="33" t="n">
        <f aca="false">IF(F4711="","",F4711-C4711)</f>
        <v>-10.25</v>
      </c>
      <c r="K4711" s="33" t="n">
        <f aca="false">IF(G4711="","",G4711-C4711)</f>
        <v>-10.4336233860791</v>
      </c>
      <c r="L4711" s="33" t="n">
        <f aca="false">IF(H4711="","",ABS(H4711))</f>
        <v>14</v>
      </c>
      <c r="M4711" s="33" t="n">
        <f aca="false">IF(I4711="","",ABS(I4711))</f>
        <v>10.25</v>
      </c>
      <c r="N4711" s="33" t="n">
        <f aca="false">IF(J4711="","",ABS(J4711))</f>
        <v>10.25</v>
      </c>
      <c r="O4711" s="33" t="n">
        <f aca="false">IF(K4711="","",ABS(K4711))</f>
        <v>10.4336233860791</v>
      </c>
      <c r="P4711" s="34" t="str">
        <f aca="false">IF(B4711&gt;=Eval_Start_Week,"YES","")</f>
        <v/>
      </c>
      <c r="Q4711" s="34" t="str">
        <f aca="false">IF(AND(B4711&gt;=Cal_Start_Week,B4711&lt;=Cal_End_Week),"YES","")</f>
        <v/>
      </c>
    </row>
    <row r="4712" customFormat="false" ht="15" hidden="false" customHeight="false" outlineLevel="0" collapsed="false">
      <c r="A4712" s="31" t="str">
        <f aca="false">Demand_History!C4712</f>
        <v>CLN-009</v>
      </c>
      <c r="B4712" s="31" t="n">
        <f aca="false">Demand_History!A4712</f>
        <v>31</v>
      </c>
      <c r="C4712" s="32" t="n">
        <f aca="false">Demand_History!D4712</f>
        <v>39</v>
      </c>
      <c r="D4712" s="33" t="n">
        <f aca="false">IF(B4712&gt;=2,C4711,"")</f>
        <v>46</v>
      </c>
      <c r="E4712" s="33" t="n">
        <f aca="false">IF(B4712&gt;=5,AVERAGE(C4708:C4711),"")</f>
        <v>37.75</v>
      </c>
      <c r="F4712" s="33" t="n">
        <f aca="false">IF(B4712&gt;=9,AVERAGE(C4704:C4711),"")</f>
        <v>37.75</v>
      </c>
      <c r="G4712" s="33" t="n">
        <f aca="false">IF(B4712=1,"",IF(B4712=2,C4711,SES_Alpha*C4711+(1-SES_Alpha)*G4711))</f>
        <v>38.6964636297447</v>
      </c>
      <c r="H4712" s="33" t="n">
        <f aca="false">IF(D4712="","",D4712-C4712)</f>
        <v>7</v>
      </c>
      <c r="I4712" s="33" t="n">
        <f aca="false">IF(E4712="","",E4712-C4712)</f>
        <v>-1.25</v>
      </c>
      <c r="J4712" s="33" t="n">
        <f aca="false">IF(F4712="","",F4712-C4712)</f>
        <v>-1.25</v>
      </c>
      <c r="K4712" s="33" t="n">
        <f aca="false">IF(G4712="","",G4712-C4712)</f>
        <v>-0.303536370255351</v>
      </c>
      <c r="L4712" s="33" t="n">
        <f aca="false">IF(H4712="","",ABS(H4712))</f>
        <v>7</v>
      </c>
      <c r="M4712" s="33" t="n">
        <f aca="false">IF(I4712="","",ABS(I4712))</f>
        <v>1.25</v>
      </c>
      <c r="N4712" s="33" t="n">
        <f aca="false">IF(J4712="","",ABS(J4712))</f>
        <v>1.25</v>
      </c>
      <c r="O4712" s="33" t="n">
        <f aca="false">IF(K4712="","",ABS(K4712))</f>
        <v>0.303536370255351</v>
      </c>
      <c r="P4712" s="34" t="str">
        <f aca="false">IF(B4712&gt;=Eval_Start_Week,"YES","")</f>
        <v/>
      </c>
      <c r="Q4712" s="34" t="str">
        <f aca="false">IF(AND(B4712&gt;=Cal_Start_Week,B4712&lt;=Cal_End_Week),"YES","")</f>
        <v/>
      </c>
    </row>
    <row r="4713" customFormat="false" ht="15" hidden="false" customHeight="false" outlineLevel="0" collapsed="false">
      <c r="A4713" s="31" t="str">
        <f aca="false">Demand_History!C4713</f>
        <v>CLN-009</v>
      </c>
      <c r="B4713" s="31" t="n">
        <f aca="false">Demand_History!A4713</f>
        <v>32</v>
      </c>
      <c r="C4713" s="32" t="n">
        <f aca="false">Demand_History!D4713</f>
        <v>34</v>
      </c>
      <c r="D4713" s="33" t="n">
        <f aca="false">IF(B4713&gt;=2,C4712,"")</f>
        <v>39</v>
      </c>
      <c r="E4713" s="33" t="n">
        <f aca="false">IF(B4713&gt;=5,AVERAGE(C4709:C4712),"")</f>
        <v>39.5</v>
      </c>
      <c r="F4713" s="33" t="n">
        <f aca="false">IF(B4713&gt;=9,AVERAGE(C4705:C4712),"")</f>
        <v>37.625</v>
      </c>
      <c r="G4713" s="33" t="n">
        <f aca="false">IF(B4713=1,"",IF(B4713=2,C4712,SES_Alpha*C4712+(1-SES_Alpha)*G4712))</f>
        <v>38.7875245408213</v>
      </c>
      <c r="H4713" s="33" t="n">
        <f aca="false">IF(D4713="","",D4713-C4713)</f>
        <v>5</v>
      </c>
      <c r="I4713" s="33" t="n">
        <f aca="false">IF(E4713="","",E4713-C4713)</f>
        <v>5.5</v>
      </c>
      <c r="J4713" s="33" t="n">
        <f aca="false">IF(F4713="","",F4713-C4713)</f>
        <v>3.625</v>
      </c>
      <c r="K4713" s="33" t="n">
        <f aca="false">IF(G4713="","",G4713-C4713)</f>
        <v>4.78752454082125</v>
      </c>
      <c r="L4713" s="33" t="n">
        <f aca="false">IF(H4713="","",ABS(H4713))</f>
        <v>5</v>
      </c>
      <c r="M4713" s="33" t="n">
        <f aca="false">IF(I4713="","",ABS(I4713))</f>
        <v>5.5</v>
      </c>
      <c r="N4713" s="33" t="n">
        <f aca="false">IF(J4713="","",ABS(J4713))</f>
        <v>3.625</v>
      </c>
      <c r="O4713" s="33" t="n">
        <f aca="false">IF(K4713="","",ABS(K4713))</f>
        <v>4.78752454082125</v>
      </c>
      <c r="P4713" s="34" t="str">
        <f aca="false">IF(B4713&gt;=Eval_Start_Week,"YES","")</f>
        <v/>
      </c>
      <c r="Q4713" s="34" t="str">
        <f aca="false">IF(AND(B4713&gt;=Cal_Start_Week,B4713&lt;=Cal_End_Week),"YES","")</f>
        <v/>
      </c>
    </row>
    <row r="4714" customFormat="false" ht="15" hidden="false" customHeight="false" outlineLevel="0" collapsed="false">
      <c r="A4714" s="31" t="str">
        <f aca="false">Demand_History!C4714</f>
        <v>CLN-009</v>
      </c>
      <c r="B4714" s="31" t="n">
        <f aca="false">Demand_History!A4714</f>
        <v>33</v>
      </c>
      <c r="C4714" s="32" t="n">
        <f aca="false">Demand_History!D4714</f>
        <v>30</v>
      </c>
      <c r="D4714" s="33" t="n">
        <f aca="false">IF(B4714&gt;=2,C4713,"")</f>
        <v>34</v>
      </c>
      <c r="E4714" s="33" t="n">
        <f aca="false">IF(B4714&gt;=5,AVERAGE(C4710:C4713),"")</f>
        <v>37.75</v>
      </c>
      <c r="F4714" s="33" t="n">
        <f aca="false">IF(B4714&gt;=9,AVERAGE(C4706:C4713),"")</f>
        <v>37.75</v>
      </c>
      <c r="G4714" s="33" t="n">
        <f aca="false">IF(B4714=1,"",IF(B4714=2,C4713,SES_Alpha*C4713+(1-SES_Alpha)*G4713))</f>
        <v>37.3512671785749</v>
      </c>
      <c r="H4714" s="33" t="n">
        <f aca="false">IF(D4714="","",D4714-C4714)</f>
        <v>4</v>
      </c>
      <c r="I4714" s="33" t="n">
        <f aca="false">IF(E4714="","",E4714-C4714)</f>
        <v>7.75</v>
      </c>
      <c r="J4714" s="33" t="n">
        <f aca="false">IF(F4714="","",F4714-C4714)</f>
        <v>7.75</v>
      </c>
      <c r="K4714" s="33" t="n">
        <f aca="false">IF(G4714="","",G4714-C4714)</f>
        <v>7.35126717857487</v>
      </c>
      <c r="L4714" s="33" t="n">
        <f aca="false">IF(H4714="","",ABS(H4714))</f>
        <v>4</v>
      </c>
      <c r="M4714" s="33" t="n">
        <f aca="false">IF(I4714="","",ABS(I4714))</f>
        <v>7.75</v>
      </c>
      <c r="N4714" s="33" t="n">
        <f aca="false">IF(J4714="","",ABS(J4714))</f>
        <v>7.75</v>
      </c>
      <c r="O4714" s="33" t="n">
        <f aca="false">IF(K4714="","",ABS(K4714))</f>
        <v>7.35126717857487</v>
      </c>
      <c r="P4714" s="34" t="str">
        <f aca="false">IF(B4714&gt;=Eval_Start_Week,"YES","")</f>
        <v/>
      </c>
      <c r="Q4714" s="34" t="str">
        <f aca="false">IF(AND(B4714&gt;=Cal_Start_Week,B4714&lt;=Cal_End_Week),"YES","")</f>
        <v/>
      </c>
    </row>
    <row r="4715" customFormat="false" ht="15" hidden="false" customHeight="false" outlineLevel="0" collapsed="false">
      <c r="A4715" s="31" t="str">
        <f aca="false">Demand_History!C4715</f>
        <v>CLN-009</v>
      </c>
      <c r="B4715" s="31" t="n">
        <f aca="false">Demand_History!A4715</f>
        <v>34</v>
      </c>
      <c r="C4715" s="32" t="n">
        <f aca="false">Demand_History!D4715</f>
        <v>49</v>
      </c>
      <c r="D4715" s="33" t="n">
        <f aca="false">IF(B4715&gt;=2,C4714,"")</f>
        <v>30</v>
      </c>
      <c r="E4715" s="33" t="n">
        <f aca="false">IF(B4715&gt;=5,AVERAGE(C4711:C4714),"")</f>
        <v>37.25</v>
      </c>
      <c r="F4715" s="33" t="n">
        <f aca="false">IF(B4715&gt;=9,AVERAGE(C4707:C4714),"")</f>
        <v>36.5</v>
      </c>
      <c r="G4715" s="33" t="n">
        <f aca="false">IF(B4715=1,"",IF(B4715=2,C4714,SES_Alpha*C4714+(1-SES_Alpha)*G4714))</f>
        <v>35.1458870250024</v>
      </c>
      <c r="H4715" s="33" t="n">
        <f aca="false">IF(D4715="","",D4715-C4715)</f>
        <v>-19</v>
      </c>
      <c r="I4715" s="33" t="n">
        <f aca="false">IF(E4715="","",E4715-C4715)</f>
        <v>-11.75</v>
      </c>
      <c r="J4715" s="33" t="n">
        <f aca="false">IF(F4715="","",F4715-C4715)</f>
        <v>-12.5</v>
      </c>
      <c r="K4715" s="33" t="n">
        <f aca="false">IF(G4715="","",G4715-C4715)</f>
        <v>-13.8541129749976</v>
      </c>
      <c r="L4715" s="33" t="n">
        <f aca="false">IF(H4715="","",ABS(H4715))</f>
        <v>19</v>
      </c>
      <c r="M4715" s="33" t="n">
        <f aca="false">IF(I4715="","",ABS(I4715))</f>
        <v>11.75</v>
      </c>
      <c r="N4715" s="33" t="n">
        <f aca="false">IF(J4715="","",ABS(J4715))</f>
        <v>12.5</v>
      </c>
      <c r="O4715" s="33" t="n">
        <f aca="false">IF(K4715="","",ABS(K4715))</f>
        <v>13.8541129749976</v>
      </c>
      <c r="P4715" s="34" t="str">
        <f aca="false">IF(B4715&gt;=Eval_Start_Week,"YES","")</f>
        <v/>
      </c>
      <c r="Q4715" s="34" t="str">
        <f aca="false">IF(AND(B4715&gt;=Cal_Start_Week,B4715&lt;=Cal_End_Week),"YES","")</f>
        <v/>
      </c>
    </row>
    <row r="4716" customFormat="false" ht="15" hidden="false" customHeight="false" outlineLevel="0" collapsed="false">
      <c r="A4716" s="31" t="str">
        <f aca="false">Demand_History!C4716</f>
        <v>CLN-009</v>
      </c>
      <c r="B4716" s="31" t="n">
        <f aca="false">Demand_History!A4716</f>
        <v>35</v>
      </c>
      <c r="C4716" s="32" t="n">
        <f aca="false">Demand_History!D4716</f>
        <v>48</v>
      </c>
      <c r="D4716" s="33" t="n">
        <f aca="false">IF(B4716&gt;=2,C4715,"")</f>
        <v>49</v>
      </c>
      <c r="E4716" s="33" t="n">
        <f aca="false">IF(B4716&gt;=5,AVERAGE(C4712:C4715),"")</f>
        <v>38</v>
      </c>
      <c r="F4716" s="33" t="n">
        <f aca="false">IF(B4716&gt;=9,AVERAGE(C4708:C4715),"")</f>
        <v>37.875</v>
      </c>
      <c r="G4716" s="33" t="n">
        <f aca="false">IF(B4716=1,"",IF(B4716=2,C4715,SES_Alpha*C4715+(1-SES_Alpha)*G4715))</f>
        <v>39.3021209175017</v>
      </c>
      <c r="H4716" s="33" t="n">
        <f aca="false">IF(D4716="","",D4716-C4716)</f>
        <v>1</v>
      </c>
      <c r="I4716" s="33" t="n">
        <f aca="false">IF(E4716="","",E4716-C4716)</f>
        <v>-10</v>
      </c>
      <c r="J4716" s="33" t="n">
        <f aca="false">IF(F4716="","",F4716-C4716)</f>
        <v>-10.125</v>
      </c>
      <c r="K4716" s="33" t="n">
        <f aca="false">IF(G4716="","",G4716-C4716)</f>
        <v>-8.69787908249832</v>
      </c>
      <c r="L4716" s="33" t="n">
        <f aca="false">IF(H4716="","",ABS(H4716))</f>
        <v>1</v>
      </c>
      <c r="M4716" s="33" t="n">
        <f aca="false">IF(I4716="","",ABS(I4716))</f>
        <v>10</v>
      </c>
      <c r="N4716" s="33" t="n">
        <f aca="false">IF(J4716="","",ABS(J4716))</f>
        <v>10.125</v>
      </c>
      <c r="O4716" s="33" t="n">
        <f aca="false">IF(K4716="","",ABS(K4716))</f>
        <v>8.69787908249832</v>
      </c>
      <c r="P4716" s="34" t="str">
        <f aca="false">IF(B4716&gt;=Eval_Start_Week,"YES","")</f>
        <v/>
      </c>
      <c r="Q4716" s="34" t="str">
        <f aca="false">IF(AND(B4716&gt;=Cal_Start_Week,B4716&lt;=Cal_End_Week),"YES","")</f>
        <v/>
      </c>
    </row>
    <row r="4717" customFormat="false" ht="15" hidden="false" customHeight="false" outlineLevel="0" collapsed="false">
      <c r="A4717" s="31" t="str">
        <f aca="false">Demand_History!C4717</f>
        <v>CLN-009</v>
      </c>
      <c r="B4717" s="31" t="n">
        <f aca="false">Demand_History!A4717</f>
        <v>36</v>
      </c>
      <c r="C4717" s="32" t="n">
        <f aca="false">Demand_History!D4717</f>
        <v>34</v>
      </c>
      <c r="D4717" s="33" t="n">
        <f aca="false">IF(B4717&gt;=2,C4716,"")</f>
        <v>48</v>
      </c>
      <c r="E4717" s="33" t="n">
        <f aca="false">IF(B4717&gt;=5,AVERAGE(C4713:C4716),"")</f>
        <v>40.25</v>
      </c>
      <c r="F4717" s="33" t="n">
        <f aca="false">IF(B4717&gt;=9,AVERAGE(C4709:C4716),"")</f>
        <v>39.875</v>
      </c>
      <c r="G4717" s="33" t="n">
        <f aca="false">IF(B4717=1,"",IF(B4717=2,C4716,SES_Alpha*C4716+(1-SES_Alpha)*G4716))</f>
        <v>41.9114846422512</v>
      </c>
      <c r="H4717" s="33" t="n">
        <f aca="false">IF(D4717="","",D4717-C4717)</f>
        <v>14</v>
      </c>
      <c r="I4717" s="33" t="n">
        <f aca="false">IF(E4717="","",E4717-C4717)</f>
        <v>6.25</v>
      </c>
      <c r="J4717" s="33" t="n">
        <f aca="false">IF(F4717="","",F4717-C4717)</f>
        <v>5.875</v>
      </c>
      <c r="K4717" s="33" t="n">
        <f aca="false">IF(G4717="","",G4717-C4717)</f>
        <v>7.91148464225118</v>
      </c>
      <c r="L4717" s="33" t="n">
        <f aca="false">IF(H4717="","",ABS(H4717))</f>
        <v>14</v>
      </c>
      <c r="M4717" s="33" t="n">
        <f aca="false">IF(I4717="","",ABS(I4717))</f>
        <v>6.25</v>
      </c>
      <c r="N4717" s="33" t="n">
        <f aca="false">IF(J4717="","",ABS(J4717))</f>
        <v>5.875</v>
      </c>
      <c r="O4717" s="33" t="n">
        <f aca="false">IF(K4717="","",ABS(K4717))</f>
        <v>7.91148464225118</v>
      </c>
      <c r="P4717" s="34" t="str">
        <f aca="false">IF(B4717&gt;=Eval_Start_Week,"YES","")</f>
        <v/>
      </c>
      <c r="Q4717" s="34" t="str">
        <f aca="false">IF(AND(B4717&gt;=Cal_Start_Week,B4717&lt;=Cal_End_Week),"YES","")</f>
        <v/>
      </c>
    </row>
    <row r="4718" customFormat="false" ht="15" hidden="false" customHeight="false" outlineLevel="0" collapsed="false">
      <c r="A4718" s="31" t="str">
        <f aca="false">Demand_History!C4718</f>
        <v>CLN-009</v>
      </c>
      <c r="B4718" s="31" t="n">
        <f aca="false">Demand_History!A4718</f>
        <v>37</v>
      </c>
      <c r="C4718" s="32" t="n">
        <f aca="false">Demand_History!D4718</f>
        <v>50</v>
      </c>
      <c r="D4718" s="33" t="n">
        <f aca="false">IF(B4718&gt;=2,C4717,"")</f>
        <v>34</v>
      </c>
      <c r="E4718" s="33" t="n">
        <f aca="false">IF(B4718&gt;=5,AVERAGE(C4714:C4717),"")</f>
        <v>40.25</v>
      </c>
      <c r="F4718" s="33" t="n">
        <f aca="false">IF(B4718&gt;=9,AVERAGE(C4710:C4717),"")</f>
        <v>39</v>
      </c>
      <c r="G4718" s="33" t="n">
        <f aca="false">IF(B4718=1,"",IF(B4718=2,C4717,SES_Alpha*C4717+(1-SES_Alpha)*G4717))</f>
        <v>39.5380392495758</v>
      </c>
      <c r="H4718" s="33" t="n">
        <f aca="false">IF(D4718="","",D4718-C4718)</f>
        <v>-16</v>
      </c>
      <c r="I4718" s="33" t="n">
        <f aca="false">IF(E4718="","",E4718-C4718)</f>
        <v>-9.75</v>
      </c>
      <c r="J4718" s="33" t="n">
        <f aca="false">IF(F4718="","",F4718-C4718)</f>
        <v>-11</v>
      </c>
      <c r="K4718" s="33" t="n">
        <f aca="false">IF(G4718="","",G4718-C4718)</f>
        <v>-10.4619607504242</v>
      </c>
      <c r="L4718" s="33" t="n">
        <f aca="false">IF(H4718="","",ABS(H4718))</f>
        <v>16</v>
      </c>
      <c r="M4718" s="33" t="n">
        <f aca="false">IF(I4718="","",ABS(I4718))</f>
        <v>9.75</v>
      </c>
      <c r="N4718" s="33" t="n">
        <f aca="false">IF(J4718="","",ABS(J4718))</f>
        <v>11</v>
      </c>
      <c r="O4718" s="33" t="n">
        <f aca="false">IF(K4718="","",ABS(K4718))</f>
        <v>10.4619607504242</v>
      </c>
      <c r="P4718" s="34" t="str">
        <f aca="false">IF(B4718&gt;=Eval_Start_Week,"YES","")</f>
        <v/>
      </c>
      <c r="Q4718" s="34" t="str">
        <f aca="false">IF(AND(B4718&gt;=Cal_Start_Week,B4718&lt;=Cal_End_Week),"YES","")</f>
        <v>YES</v>
      </c>
    </row>
    <row r="4719" customFormat="false" ht="15" hidden="false" customHeight="false" outlineLevel="0" collapsed="false">
      <c r="A4719" s="31" t="str">
        <f aca="false">Demand_History!C4719</f>
        <v>CLN-009</v>
      </c>
      <c r="B4719" s="31" t="n">
        <f aca="false">Demand_History!A4719</f>
        <v>38</v>
      </c>
      <c r="C4719" s="32" t="n">
        <f aca="false">Demand_History!D4719</f>
        <v>42</v>
      </c>
      <c r="D4719" s="33" t="n">
        <f aca="false">IF(B4719&gt;=2,C4718,"")</f>
        <v>50</v>
      </c>
      <c r="E4719" s="33" t="n">
        <f aca="false">IF(B4719&gt;=5,AVERAGE(C4715:C4718),"")</f>
        <v>45.25</v>
      </c>
      <c r="F4719" s="33" t="n">
        <f aca="false">IF(B4719&gt;=9,AVERAGE(C4711:C4718),"")</f>
        <v>41.25</v>
      </c>
      <c r="G4719" s="33" t="n">
        <f aca="false">IF(B4719=1,"",IF(B4719=2,C4718,SES_Alpha*C4718+(1-SES_Alpha)*G4718))</f>
        <v>42.6766274747031</v>
      </c>
      <c r="H4719" s="33" t="n">
        <f aca="false">IF(D4719="","",D4719-C4719)</f>
        <v>8</v>
      </c>
      <c r="I4719" s="33" t="n">
        <f aca="false">IF(E4719="","",E4719-C4719)</f>
        <v>3.25</v>
      </c>
      <c r="J4719" s="33" t="n">
        <f aca="false">IF(F4719="","",F4719-C4719)</f>
        <v>-0.75</v>
      </c>
      <c r="K4719" s="33" t="n">
        <f aca="false">IF(G4719="","",G4719-C4719)</f>
        <v>0.676627474703068</v>
      </c>
      <c r="L4719" s="33" t="n">
        <f aca="false">IF(H4719="","",ABS(H4719))</f>
        <v>8</v>
      </c>
      <c r="M4719" s="33" t="n">
        <f aca="false">IF(I4719="","",ABS(I4719))</f>
        <v>3.25</v>
      </c>
      <c r="N4719" s="33" t="n">
        <f aca="false">IF(J4719="","",ABS(J4719))</f>
        <v>0.75</v>
      </c>
      <c r="O4719" s="33" t="n">
        <f aca="false">IF(K4719="","",ABS(K4719))</f>
        <v>0.676627474703068</v>
      </c>
      <c r="P4719" s="34" t="str">
        <f aca="false">IF(B4719&gt;=Eval_Start_Week,"YES","")</f>
        <v/>
      </c>
      <c r="Q4719" s="34" t="str">
        <f aca="false">IF(AND(B4719&gt;=Cal_Start_Week,B4719&lt;=Cal_End_Week),"YES","")</f>
        <v>YES</v>
      </c>
    </row>
    <row r="4720" customFormat="false" ht="15" hidden="false" customHeight="false" outlineLevel="0" collapsed="false">
      <c r="A4720" s="31" t="str">
        <f aca="false">Demand_History!C4720</f>
        <v>CLN-009</v>
      </c>
      <c r="B4720" s="31" t="n">
        <f aca="false">Demand_History!A4720</f>
        <v>39</v>
      </c>
      <c r="C4720" s="32" t="n">
        <f aca="false">Demand_History!D4720</f>
        <v>40</v>
      </c>
      <c r="D4720" s="33" t="n">
        <f aca="false">IF(B4720&gt;=2,C4719,"")</f>
        <v>42</v>
      </c>
      <c r="E4720" s="33" t="n">
        <f aca="false">IF(B4720&gt;=5,AVERAGE(C4716:C4719),"")</f>
        <v>43.5</v>
      </c>
      <c r="F4720" s="33" t="n">
        <f aca="false">IF(B4720&gt;=9,AVERAGE(C4712:C4719),"")</f>
        <v>40.75</v>
      </c>
      <c r="G4720" s="33" t="n">
        <f aca="false">IF(B4720=1,"",IF(B4720=2,C4719,SES_Alpha*C4719+(1-SES_Alpha)*G4719))</f>
        <v>42.4736392322921</v>
      </c>
      <c r="H4720" s="33" t="n">
        <f aca="false">IF(D4720="","",D4720-C4720)</f>
        <v>2</v>
      </c>
      <c r="I4720" s="33" t="n">
        <f aca="false">IF(E4720="","",E4720-C4720)</f>
        <v>3.5</v>
      </c>
      <c r="J4720" s="33" t="n">
        <f aca="false">IF(F4720="","",F4720-C4720)</f>
        <v>0.75</v>
      </c>
      <c r="K4720" s="33" t="n">
        <f aca="false">IF(G4720="","",G4720-C4720)</f>
        <v>2.47363923229214</v>
      </c>
      <c r="L4720" s="33" t="n">
        <f aca="false">IF(H4720="","",ABS(H4720))</f>
        <v>2</v>
      </c>
      <c r="M4720" s="33" t="n">
        <f aca="false">IF(I4720="","",ABS(I4720))</f>
        <v>3.5</v>
      </c>
      <c r="N4720" s="33" t="n">
        <f aca="false">IF(J4720="","",ABS(J4720))</f>
        <v>0.75</v>
      </c>
      <c r="O4720" s="33" t="n">
        <f aca="false">IF(K4720="","",ABS(K4720))</f>
        <v>2.47363923229214</v>
      </c>
      <c r="P4720" s="34" t="str">
        <f aca="false">IF(B4720&gt;=Eval_Start_Week,"YES","")</f>
        <v/>
      </c>
      <c r="Q4720" s="34" t="str">
        <f aca="false">IF(AND(B4720&gt;=Cal_Start_Week,B4720&lt;=Cal_End_Week),"YES","")</f>
        <v>YES</v>
      </c>
    </row>
    <row r="4721" customFormat="false" ht="15" hidden="false" customHeight="false" outlineLevel="0" collapsed="false">
      <c r="A4721" s="31" t="str">
        <f aca="false">Demand_History!C4721</f>
        <v>CLN-009</v>
      </c>
      <c r="B4721" s="31" t="n">
        <f aca="false">Demand_History!A4721</f>
        <v>40</v>
      </c>
      <c r="C4721" s="32" t="n">
        <f aca="false">Demand_History!D4721</f>
        <v>42</v>
      </c>
      <c r="D4721" s="33" t="n">
        <f aca="false">IF(B4721&gt;=2,C4720,"")</f>
        <v>40</v>
      </c>
      <c r="E4721" s="33" t="n">
        <f aca="false">IF(B4721&gt;=5,AVERAGE(C4717:C4720),"")</f>
        <v>41.5</v>
      </c>
      <c r="F4721" s="33" t="n">
        <f aca="false">IF(B4721&gt;=9,AVERAGE(C4713:C4720),"")</f>
        <v>40.875</v>
      </c>
      <c r="G4721" s="33" t="n">
        <f aca="false">IF(B4721=1,"",IF(B4721=2,C4720,SES_Alpha*C4720+(1-SES_Alpha)*G4720))</f>
        <v>41.7315474626045</v>
      </c>
      <c r="H4721" s="33" t="n">
        <f aca="false">IF(D4721="","",D4721-C4721)</f>
        <v>-2</v>
      </c>
      <c r="I4721" s="33" t="n">
        <f aca="false">IF(E4721="","",E4721-C4721)</f>
        <v>-0.5</v>
      </c>
      <c r="J4721" s="33" t="n">
        <f aca="false">IF(F4721="","",F4721-C4721)</f>
        <v>-1.125</v>
      </c>
      <c r="K4721" s="33" t="n">
        <f aca="false">IF(G4721="","",G4721-C4721)</f>
        <v>-0.268452537395504</v>
      </c>
      <c r="L4721" s="33" t="n">
        <f aca="false">IF(H4721="","",ABS(H4721))</f>
        <v>2</v>
      </c>
      <c r="M4721" s="33" t="n">
        <f aca="false">IF(I4721="","",ABS(I4721))</f>
        <v>0.5</v>
      </c>
      <c r="N4721" s="33" t="n">
        <f aca="false">IF(J4721="","",ABS(J4721))</f>
        <v>1.125</v>
      </c>
      <c r="O4721" s="33" t="n">
        <f aca="false">IF(K4721="","",ABS(K4721))</f>
        <v>0.268452537395504</v>
      </c>
      <c r="P4721" s="34" t="str">
        <f aca="false">IF(B4721&gt;=Eval_Start_Week,"YES","")</f>
        <v/>
      </c>
      <c r="Q4721" s="34" t="str">
        <f aca="false">IF(AND(B4721&gt;=Cal_Start_Week,B4721&lt;=Cal_End_Week),"YES","")</f>
        <v>YES</v>
      </c>
    </row>
    <row r="4722" customFormat="false" ht="15" hidden="false" customHeight="false" outlineLevel="0" collapsed="false">
      <c r="A4722" s="31" t="str">
        <f aca="false">Demand_History!C4722</f>
        <v>CLN-009</v>
      </c>
      <c r="B4722" s="31" t="n">
        <f aca="false">Demand_History!A4722</f>
        <v>41</v>
      </c>
      <c r="C4722" s="32" t="n">
        <f aca="false">Demand_History!D4722</f>
        <v>41</v>
      </c>
      <c r="D4722" s="33" t="n">
        <f aca="false">IF(B4722&gt;=2,C4721,"")</f>
        <v>42</v>
      </c>
      <c r="E4722" s="33" t="n">
        <f aca="false">IF(B4722&gt;=5,AVERAGE(C4718:C4721),"")</f>
        <v>43.5</v>
      </c>
      <c r="F4722" s="33" t="n">
        <f aca="false">IF(B4722&gt;=9,AVERAGE(C4714:C4721),"")</f>
        <v>41.875</v>
      </c>
      <c r="G4722" s="33" t="n">
        <f aca="false">IF(B4722=1,"",IF(B4722=2,C4721,SES_Alpha*C4721+(1-SES_Alpha)*G4721))</f>
        <v>41.8120832238231</v>
      </c>
      <c r="H4722" s="33" t="n">
        <f aca="false">IF(D4722="","",D4722-C4722)</f>
        <v>1</v>
      </c>
      <c r="I4722" s="33" t="n">
        <f aca="false">IF(E4722="","",E4722-C4722)</f>
        <v>2.5</v>
      </c>
      <c r="J4722" s="33" t="n">
        <f aca="false">IF(F4722="","",F4722-C4722)</f>
        <v>0.875</v>
      </c>
      <c r="K4722" s="33" t="n">
        <f aca="false">IF(G4722="","",G4722-C4722)</f>
        <v>0.812083223823144</v>
      </c>
      <c r="L4722" s="33" t="n">
        <f aca="false">IF(H4722="","",ABS(H4722))</f>
        <v>1</v>
      </c>
      <c r="M4722" s="33" t="n">
        <f aca="false">IF(I4722="","",ABS(I4722))</f>
        <v>2.5</v>
      </c>
      <c r="N4722" s="33" t="n">
        <f aca="false">IF(J4722="","",ABS(J4722))</f>
        <v>0.875</v>
      </c>
      <c r="O4722" s="33" t="n">
        <f aca="false">IF(K4722="","",ABS(K4722))</f>
        <v>0.812083223823144</v>
      </c>
      <c r="P4722" s="34" t="str">
        <f aca="false">IF(B4722&gt;=Eval_Start_Week,"YES","")</f>
        <v/>
      </c>
      <c r="Q4722" s="34" t="str">
        <f aca="false">IF(AND(B4722&gt;=Cal_Start_Week,B4722&lt;=Cal_End_Week),"YES","")</f>
        <v>YES</v>
      </c>
    </row>
    <row r="4723" customFormat="false" ht="15" hidden="false" customHeight="false" outlineLevel="0" collapsed="false">
      <c r="A4723" s="31" t="str">
        <f aca="false">Demand_History!C4723</f>
        <v>CLN-009</v>
      </c>
      <c r="B4723" s="31" t="n">
        <f aca="false">Demand_History!A4723</f>
        <v>42</v>
      </c>
      <c r="C4723" s="32" t="n">
        <f aca="false">Demand_History!D4723</f>
        <v>51</v>
      </c>
      <c r="D4723" s="33" t="n">
        <f aca="false">IF(B4723&gt;=2,C4722,"")</f>
        <v>41</v>
      </c>
      <c r="E4723" s="33" t="n">
        <f aca="false">IF(B4723&gt;=5,AVERAGE(C4719:C4722),"")</f>
        <v>41.25</v>
      </c>
      <c r="F4723" s="33" t="n">
        <f aca="false">IF(B4723&gt;=9,AVERAGE(C4715:C4722),"")</f>
        <v>43.25</v>
      </c>
      <c r="G4723" s="33" t="n">
        <f aca="false">IF(B4723=1,"",IF(B4723=2,C4722,SES_Alpha*C4722+(1-SES_Alpha)*G4722))</f>
        <v>41.5684582566762</v>
      </c>
      <c r="H4723" s="33" t="n">
        <f aca="false">IF(D4723="","",D4723-C4723)</f>
        <v>-10</v>
      </c>
      <c r="I4723" s="33" t="n">
        <f aca="false">IF(E4723="","",E4723-C4723)</f>
        <v>-9.75</v>
      </c>
      <c r="J4723" s="33" t="n">
        <f aca="false">IF(F4723="","",F4723-C4723)</f>
        <v>-7.75</v>
      </c>
      <c r="K4723" s="33" t="n">
        <f aca="false">IF(G4723="","",G4723-C4723)</f>
        <v>-9.43154174332381</v>
      </c>
      <c r="L4723" s="33" t="n">
        <f aca="false">IF(H4723="","",ABS(H4723))</f>
        <v>10</v>
      </c>
      <c r="M4723" s="33" t="n">
        <f aca="false">IF(I4723="","",ABS(I4723))</f>
        <v>9.75</v>
      </c>
      <c r="N4723" s="33" t="n">
        <f aca="false">IF(J4723="","",ABS(J4723))</f>
        <v>7.75</v>
      </c>
      <c r="O4723" s="33" t="n">
        <f aca="false">IF(K4723="","",ABS(K4723))</f>
        <v>9.43154174332381</v>
      </c>
      <c r="P4723" s="34" t="str">
        <f aca="false">IF(B4723&gt;=Eval_Start_Week,"YES","")</f>
        <v/>
      </c>
      <c r="Q4723" s="34" t="str">
        <f aca="false">IF(AND(B4723&gt;=Cal_Start_Week,B4723&lt;=Cal_End_Week),"YES","")</f>
        <v>YES</v>
      </c>
    </row>
    <row r="4724" customFormat="false" ht="15" hidden="false" customHeight="false" outlineLevel="0" collapsed="false">
      <c r="A4724" s="31" t="str">
        <f aca="false">Demand_History!C4724</f>
        <v>CLN-009</v>
      </c>
      <c r="B4724" s="31" t="n">
        <f aca="false">Demand_History!A4724</f>
        <v>43</v>
      </c>
      <c r="C4724" s="32" t="n">
        <f aca="false">Demand_History!D4724</f>
        <v>44</v>
      </c>
      <c r="D4724" s="33" t="n">
        <f aca="false">IF(B4724&gt;=2,C4723,"")</f>
        <v>51</v>
      </c>
      <c r="E4724" s="33" t="n">
        <f aca="false">IF(B4724&gt;=5,AVERAGE(C4720:C4723),"")</f>
        <v>43.5</v>
      </c>
      <c r="F4724" s="33" t="n">
        <f aca="false">IF(B4724&gt;=9,AVERAGE(C4716:C4723),"")</f>
        <v>43.5</v>
      </c>
      <c r="G4724" s="33" t="n">
        <f aca="false">IF(B4724=1,"",IF(B4724=2,C4723,SES_Alpha*C4723+(1-SES_Alpha)*G4723))</f>
        <v>44.3979207796733</v>
      </c>
      <c r="H4724" s="33" t="n">
        <f aca="false">IF(D4724="","",D4724-C4724)</f>
        <v>7</v>
      </c>
      <c r="I4724" s="33" t="n">
        <f aca="false">IF(E4724="","",E4724-C4724)</f>
        <v>-0.5</v>
      </c>
      <c r="J4724" s="33" t="n">
        <f aca="false">IF(F4724="","",F4724-C4724)</f>
        <v>-0.5</v>
      </c>
      <c r="K4724" s="33" t="n">
        <f aca="false">IF(G4724="","",G4724-C4724)</f>
        <v>0.397920779673335</v>
      </c>
      <c r="L4724" s="33" t="n">
        <f aca="false">IF(H4724="","",ABS(H4724))</f>
        <v>7</v>
      </c>
      <c r="M4724" s="33" t="n">
        <f aca="false">IF(I4724="","",ABS(I4724))</f>
        <v>0.5</v>
      </c>
      <c r="N4724" s="33" t="n">
        <f aca="false">IF(J4724="","",ABS(J4724))</f>
        <v>0.5</v>
      </c>
      <c r="O4724" s="33" t="n">
        <f aca="false">IF(K4724="","",ABS(K4724))</f>
        <v>0.397920779673335</v>
      </c>
      <c r="P4724" s="34" t="str">
        <f aca="false">IF(B4724&gt;=Eval_Start_Week,"YES","")</f>
        <v/>
      </c>
      <c r="Q4724" s="34" t="str">
        <f aca="false">IF(AND(B4724&gt;=Cal_Start_Week,B4724&lt;=Cal_End_Week),"YES","")</f>
        <v>YES</v>
      </c>
    </row>
    <row r="4725" customFormat="false" ht="15" hidden="false" customHeight="false" outlineLevel="0" collapsed="false">
      <c r="A4725" s="31" t="str">
        <f aca="false">Demand_History!C4725</f>
        <v>CLN-009</v>
      </c>
      <c r="B4725" s="31" t="n">
        <f aca="false">Demand_History!A4725</f>
        <v>44</v>
      </c>
      <c r="C4725" s="32" t="n">
        <f aca="false">Demand_History!D4725</f>
        <v>33</v>
      </c>
      <c r="D4725" s="33" t="n">
        <f aca="false">IF(B4725&gt;=2,C4724,"")</f>
        <v>44</v>
      </c>
      <c r="E4725" s="33" t="n">
        <f aca="false">IF(B4725&gt;=5,AVERAGE(C4721:C4724),"")</f>
        <v>44.5</v>
      </c>
      <c r="F4725" s="33" t="n">
        <f aca="false">IF(B4725&gt;=9,AVERAGE(C4717:C4724),"")</f>
        <v>43</v>
      </c>
      <c r="G4725" s="33" t="n">
        <f aca="false">IF(B4725=1,"",IF(B4725=2,C4724,SES_Alpha*C4724+(1-SES_Alpha)*G4724))</f>
        <v>44.2785445457713</v>
      </c>
      <c r="H4725" s="33" t="n">
        <f aca="false">IF(D4725="","",D4725-C4725)</f>
        <v>11</v>
      </c>
      <c r="I4725" s="33" t="n">
        <f aca="false">IF(E4725="","",E4725-C4725)</f>
        <v>11.5</v>
      </c>
      <c r="J4725" s="33" t="n">
        <f aca="false">IF(F4725="","",F4725-C4725)</f>
        <v>10</v>
      </c>
      <c r="K4725" s="33" t="n">
        <f aca="false">IF(G4725="","",G4725-C4725)</f>
        <v>11.2785445457713</v>
      </c>
      <c r="L4725" s="33" t="n">
        <f aca="false">IF(H4725="","",ABS(H4725))</f>
        <v>11</v>
      </c>
      <c r="M4725" s="33" t="n">
        <f aca="false">IF(I4725="","",ABS(I4725))</f>
        <v>11.5</v>
      </c>
      <c r="N4725" s="33" t="n">
        <f aca="false">IF(J4725="","",ABS(J4725))</f>
        <v>10</v>
      </c>
      <c r="O4725" s="33" t="n">
        <f aca="false">IF(K4725="","",ABS(K4725))</f>
        <v>11.2785445457713</v>
      </c>
      <c r="P4725" s="34" t="str">
        <f aca="false">IF(B4725&gt;=Eval_Start_Week,"YES","")</f>
        <v/>
      </c>
      <c r="Q4725" s="34" t="str">
        <f aca="false">IF(AND(B4725&gt;=Cal_Start_Week,B4725&lt;=Cal_End_Week),"YES","")</f>
        <v>YES</v>
      </c>
    </row>
    <row r="4726" customFormat="false" ht="15" hidden="false" customHeight="false" outlineLevel="0" collapsed="false">
      <c r="A4726" s="31" t="str">
        <f aca="false">Demand_History!C4726</f>
        <v>CLN-009</v>
      </c>
      <c r="B4726" s="31" t="n">
        <f aca="false">Demand_History!A4726</f>
        <v>45</v>
      </c>
      <c r="C4726" s="32" t="n">
        <f aca="false">Demand_History!D4726</f>
        <v>56</v>
      </c>
      <c r="D4726" s="33" t="n">
        <f aca="false">IF(B4726&gt;=2,C4725,"")</f>
        <v>33</v>
      </c>
      <c r="E4726" s="33" t="n">
        <f aca="false">IF(B4726&gt;=5,AVERAGE(C4722:C4725),"")</f>
        <v>42.25</v>
      </c>
      <c r="F4726" s="33" t="n">
        <f aca="false">IF(B4726&gt;=9,AVERAGE(C4718:C4725),"")</f>
        <v>42.875</v>
      </c>
      <c r="G4726" s="33" t="n">
        <f aca="false">IF(B4726=1,"",IF(B4726=2,C4725,SES_Alpha*C4725+(1-SES_Alpha)*G4725))</f>
        <v>40.8949811820399</v>
      </c>
      <c r="H4726" s="33" t="n">
        <f aca="false">IF(D4726="","",D4726-C4726)</f>
        <v>-23</v>
      </c>
      <c r="I4726" s="33" t="n">
        <f aca="false">IF(E4726="","",E4726-C4726)</f>
        <v>-13.75</v>
      </c>
      <c r="J4726" s="33" t="n">
        <f aca="false">IF(F4726="","",F4726-C4726)</f>
        <v>-13.125</v>
      </c>
      <c r="K4726" s="33" t="n">
        <f aca="false">IF(G4726="","",G4726-C4726)</f>
        <v>-15.1050188179601</v>
      </c>
      <c r="L4726" s="33" t="n">
        <f aca="false">IF(H4726="","",ABS(H4726))</f>
        <v>23</v>
      </c>
      <c r="M4726" s="33" t="n">
        <f aca="false">IF(I4726="","",ABS(I4726))</f>
        <v>13.75</v>
      </c>
      <c r="N4726" s="33" t="n">
        <f aca="false">IF(J4726="","",ABS(J4726))</f>
        <v>13.125</v>
      </c>
      <c r="O4726" s="33" t="n">
        <f aca="false">IF(K4726="","",ABS(K4726))</f>
        <v>15.1050188179601</v>
      </c>
      <c r="P4726" s="34" t="str">
        <f aca="false">IF(B4726&gt;=Eval_Start_Week,"YES","")</f>
        <v/>
      </c>
      <c r="Q4726" s="34" t="str">
        <f aca="false">IF(AND(B4726&gt;=Cal_Start_Week,B4726&lt;=Cal_End_Week),"YES","")</f>
        <v>YES</v>
      </c>
    </row>
    <row r="4727" customFormat="false" ht="15" hidden="false" customHeight="false" outlineLevel="0" collapsed="false">
      <c r="A4727" s="31" t="str">
        <f aca="false">Demand_History!C4727</f>
        <v>CLN-009</v>
      </c>
      <c r="B4727" s="31" t="n">
        <f aca="false">Demand_History!A4727</f>
        <v>46</v>
      </c>
      <c r="C4727" s="32" t="n">
        <f aca="false">Demand_History!D4727</f>
        <v>49</v>
      </c>
      <c r="D4727" s="33" t="n">
        <f aca="false">IF(B4727&gt;=2,C4726,"")</f>
        <v>56</v>
      </c>
      <c r="E4727" s="33" t="n">
        <f aca="false">IF(B4727&gt;=5,AVERAGE(C4723:C4726),"")</f>
        <v>46</v>
      </c>
      <c r="F4727" s="33" t="n">
        <f aca="false">IF(B4727&gt;=9,AVERAGE(C4719:C4726),"")</f>
        <v>43.625</v>
      </c>
      <c r="G4727" s="33" t="n">
        <f aca="false">IF(B4727=1,"",IF(B4727=2,C4726,SES_Alpha*C4726+(1-SES_Alpha)*G4726))</f>
        <v>45.426486827428</v>
      </c>
      <c r="H4727" s="33" t="n">
        <f aca="false">IF(D4727="","",D4727-C4727)</f>
        <v>7</v>
      </c>
      <c r="I4727" s="33" t="n">
        <f aca="false">IF(E4727="","",E4727-C4727)</f>
        <v>-3</v>
      </c>
      <c r="J4727" s="33" t="n">
        <f aca="false">IF(F4727="","",F4727-C4727)</f>
        <v>-5.375</v>
      </c>
      <c r="K4727" s="33" t="n">
        <f aca="false">IF(G4727="","",G4727-C4727)</f>
        <v>-3.57351317257205</v>
      </c>
      <c r="L4727" s="33" t="n">
        <f aca="false">IF(H4727="","",ABS(H4727))</f>
        <v>7</v>
      </c>
      <c r="M4727" s="33" t="n">
        <f aca="false">IF(I4727="","",ABS(I4727))</f>
        <v>3</v>
      </c>
      <c r="N4727" s="33" t="n">
        <f aca="false">IF(J4727="","",ABS(J4727))</f>
        <v>5.375</v>
      </c>
      <c r="O4727" s="33" t="n">
        <f aca="false">IF(K4727="","",ABS(K4727))</f>
        <v>3.57351317257205</v>
      </c>
      <c r="P4727" s="34" t="str">
        <f aca="false">IF(B4727&gt;=Eval_Start_Week,"YES","")</f>
        <v/>
      </c>
      <c r="Q4727" s="34" t="str">
        <f aca="false">IF(AND(B4727&gt;=Cal_Start_Week,B4727&lt;=Cal_End_Week),"YES","")</f>
        <v>YES</v>
      </c>
    </row>
    <row r="4728" customFormat="false" ht="15" hidden="false" customHeight="false" outlineLevel="0" collapsed="false">
      <c r="A4728" s="31" t="str">
        <f aca="false">Demand_History!C4728</f>
        <v>CLN-009</v>
      </c>
      <c r="B4728" s="31" t="n">
        <f aca="false">Demand_History!A4728</f>
        <v>47</v>
      </c>
      <c r="C4728" s="32" t="n">
        <f aca="false">Demand_History!D4728</f>
        <v>38</v>
      </c>
      <c r="D4728" s="33" t="n">
        <f aca="false">IF(B4728&gt;=2,C4727,"")</f>
        <v>49</v>
      </c>
      <c r="E4728" s="33" t="n">
        <f aca="false">IF(B4728&gt;=5,AVERAGE(C4724:C4727),"")</f>
        <v>45.5</v>
      </c>
      <c r="F4728" s="33" t="n">
        <f aca="false">IF(B4728&gt;=9,AVERAGE(C4720:C4727),"")</f>
        <v>44.5</v>
      </c>
      <c r="G4728" s="33" t="n">
        <f aca="false">IF(B4728=1,"",IF(B4728=2,C4727,SES_Alpha*C4727+(1-SES_Alpha)*G4727))</f>
        <v>46.4985407791996</v>
      </c>
      <c r="H4728" s="33" t="n">
        <f aca="false">IF(D4728="","",D4728-C4728)</f>
        <v>11</v>
      </c>
      <c r="I4728" s="33" t="n">
        <f aca="false">IF(E4728="","",E4728-C4728)</f>
        <v>7.5</v>
      </c>
      <c r="J4728" s="33" t="n">
        <f aca="false">IF(F4728="","",F4728-C4728)</f>
        <v>6.5</v>
      </c>
      <c r="K4728" s="33" t="n">
        <f aca="false">IF(G4728="","",G4728-C4728)</f>
        <v>8.49854077919956</v>
      </c>
      <c r="L4728" s="33" t="n">
        <f aca="false">IF(H4728="","",ABS(H4728))</f>
        <v>11</v>
      </c>
      <c r="M4728" s="33" t="n">
        <f aca="false">IF(I4728="","",ABS(I4728))</f>
        <v>7.5</v>
      </c>
      <c r="N4728" s="33" t="n">
        <f aca="false">IF(J4728="","",ABS(J4728))</f>
        <v>6.5</v>
      </c>
      <c r="O4728" s="33" t="n">
        <f aca="false">IF(K4728="","",ABS(K4728))</f>
        <v>8.49854077919956</v>
      </c>
      <c r="P4728" s="34" t="str">
        <f aca="false">IF(B4728&gt;=Eval_Start_Week,"YES","")</f>
        <v/>
      </c>
      <c r="Q4728" s="34" t="str">
        <f aca="false">IF(AND(B4728&gt;=Cal_Start_Week,B4728&lt;=Cal_End_Week),"YES","")</f>
        <v>YES</v>
      </c>
    </row>
    <row r="4729" customFormat="false" ht="15" hidden="false" customHeight="false" outlineLevel="0" collapsed="false">
      <c r="A4729" s="31" t="str">
        <f aca="false">Demand_History!C4729</f>
        <v>CLN-009</v>
      </c>
      <c r="B4729" s="31" t="n">
        <f aca="false">Demand_History!A4729</f>
        <v>48</v>
      </c>
      <c r="C4729" s="32" t="n">
        <f aca="false">Demand_History!D4729</f>
        <v>43</v>
      </c>
      <c r="D4729" s="33" t="n">
        <f aca="false">IF(B4729&gt;=2,C4728,"")</f>
        <v>38</v>
      </c>
      <c r="E4729" s="33" t="n">
        <f aca="false">IF(B4729&gt;=5,AVERAGE(C4725:C4728),"")</f>
        <v>44</v>
      </c>
      <c r="F4729" s="33" t="n">
        <f aca="false">IF(B4729&gt;=9,AVERAGE(C4721:C4728),"")</f>
        <v>44.25</v>
      </c>
      <c r="G4729" s="33" t="n">
        <f aca="false">IF(B4729=1,"",IF(B4729=2,C4728,SES_Alpha*C4728+(1-SES_Alpha)*G4728))</f>
        <v>43.9489785454397</v>
      </c>
      <c r="H4729" s="33" t="n">
        <f aca="false">IF(D4729="","",D4729-C4729)</f>
        <v>-5</v>
      </c>
      <c r="I4729" s="33" t="n">
        <f aca="false">IF(E4729="","",E4729-C4729)</f>
        <v>1</v>
      </c>
      <c r="J4729" s="33" t="n">
        <f aca="false">IF(F4729="","",F4729-C4729)</f>
        <v>1.25</v>
      </c>
      <c r="K4729" s="33" t="n">
        <f aca="false">IF(G4729="","",G4729-C4729)</f>
        <v>0.948978545439687</v>
      </c>
      <c r="L4729" s="33" t="n">
        <f aca="false">IF(H4729="","",ABS(H4729))</f>
        <v>5</v>
      </c>
      <c r="M4729" s="33" t="n">
        <f aca="false">IF(I4729="","",ABS(I4729))</f>
        <v>1</v>
      </c>
      <c r="N4729" s="33" t="n">
        <f aca="false">IF(J4729="","",ABS(J4729))</f>
        <v>1.25</v>
      </c>
      <c r="O4729" s="33" t="n">
        <f aca="false">IF(K4729="","",ABS(K4729))</f>
        <v>0.948978545439687</v>
      </c>
      <c r="P4729" s="34" t="str">
        <f aca="false">IF(B4729&gt;=Eval_Start_Week,"YES","")</f>
        <v/>
      </c>
      <c r="Q4729" s="34" t="str">
        <f aca="false">IF(AND(B4729&gt;=Cal_Start_Week,B4729&lt;=Cal_End_Week),"YES","")</f>
        <v>YES</v>
      </c>
    </row>
    <row r="4730" customFormat="false" ht="15" hidden="false" customHeight="false" outlineLevel="0" collapsed="false">
      <c r="A4730" s="31" t="str">
        <f aca="false">Demand_History!C4730</f>
        <v>CLN-009</v>
      </c>
      <c r="B4730" s="31" t="n">
        <f aca="false">Demand_History!A4730</f>
        <v>49</v>
      </c>
      <c r="C4730" s="32" t="n">
        <f aca="false">Demand_History!D4730</f>
        <v>40</v>
      </c>
      <c r="D4730" s="33" t="n">
        <f aca="false">IF(B4730&gt;=2,C4729,"")</f>
        <v>43</v>
      </c>
      <c r="E4730" s="33" t="n">
        <f aca="false">IF(B4730&gt;=5,AVERAGE(C4726:C4729),"")</f>
        <v>46.5</v>
      </c>
      <c r="F4730" s="33" t="n">
        <f aca="false">IF(B4730&gt;=9,AVERAGE(C4722:C4729),"")</f>
        <v>44.375</v>
      </c>
      <c r="G4730" s="33" t="n">
        <f aca="false">IF(B4730=1,"",IF(B4730=2,C4729,SES_Alpha*C4729+(1-SES_Alpha)*G4729))</f>
        <v>43.6642849818078</v>
      </c>
      <c r="H4730" s="33" t="n">
        <f aca="false">IF(D4730="","",D4730-C4730)</f>
        <v>3</v>
      </c>
      <c r="I4730" s="33" t="n">
        <f aca="false">IF(E4730="","",E4730-C4730)</f>
        <v>6.5</v>
      </c>
      <c r="J4730" s="33" t="n">
        <f aca="false">IF(F4730="","",F4730-C4730)</f>
        <v>4.375</v>
      </c>
      <c r="K4730" s="33" t="n">
        <f aca="false">IF(G4730="","",G4730-C4730)</f>
        <v>3.66428498180778</v>
      </c>
      <c r="L4730" s="33" t="n">
        <f aca="false">IF(H4730="","",ABS(H4730))</f>
        <v>3</v>
      </c>
      <c r="M4730" s="33" t="n">
        <f aca="false">IF(I4730="","",ABS(I4730))</f>
        <v>6.5</v>
      </c>
      <c r="N4730" s="33" t="n">
        <f aca="false">IF(J4730="","",ABS(J4730))</f>
        <v>4.375</v>
      </c>
      <c r="O4730" s="33" t="n">
        <f aca="false">IF(K4730="","",ABS(K4730))</f>
        <v>3.66428498180778</v>
      </c>
      <c r="P4730" s="34" t="str">
        <f aca="false">IF(B4730&gt;=Eval_Start_Week,"YES","")</f>
        <v/>
      </c>
      <c r="Q4730" s="34" t="str">
        <f aca="false">IF(AND(B4730&gt;=Cal_Start_Week,B4730&lt;=Cal_End_Week),"YES","")</f>
        <v>YES</v>
      </c>
    </row>
    <row r="4731" customFormat="false" ht="15" hidden="false" customHeight="false" outlineLevel="0" collapsed="false">
      <c r="A4731" s="31" t="str">
        <f aca="false">Demand_History!C4731</f>
        <v>CLN-009</v>
      </c>
      <c r="B4731" s="31" t="n">
        <f aca="false">Demand_History!A4731</f>
        <v>50</v>
      </c>
      <c r="C4731" s="32" t="n">
        <f aca="false">Demand_History!D4731</f>
        <v>46</v>
      </c>
      <c r="D4731" s="33" t="n">
        <f aca="false">IF(B4731&gt;=2,C4730,"")</f>
        <v>40</v>
      </c>
      <c r="E4731" s="33" t="n">
        <f aca="false">IF(B4731&gt;=5,AVERAGE(C4727:C4730),"")</f>
        <v>42.5</v>
      </c>
      <c r="F4731" s="33" t="n">
        <f aca="false">IF(B4731&gt;=9,AVERAGE(C4723:C4730),"")</f>
        <v>44.25</v>
      </c>
      <c r="G4731" s="33" t="n">
        <f aca="false">IF(B4731=1,"",IF(B4731=2,C4730,SES_Alpha*C4730+(1-SES_Alpha)*G4730))</f>
        <v>42.5649994872654</v>
      </c>
      <c r="H4731" s="33" t="n">
        <f aca="false">IF(D4731="","",D4731-C4731)</f>
        <v>-6</v>
      </c>
      <c r="I4731" s="33" t="n">
        <f aca="false">IF(E4731="","",E4731-C4731)</f>
        <v>-3.5</v>
      </c>
      <c r="J4731" s="33" t="n">
        <f aca="false">IF(F4731="","",F4731-C4731)</f>
        <v>-1.75</v>
      </c>
      <c r="K4731" s="33" t="n">
        <f aca="false">IF(G4731="","",G4731-C4731)</f>
        <v>-3.43500051273455</v>
      </c>
      <c r="L4731" s="33" t="n">
        <f aca="false">IF(H4731="","",ABS(H4731))</f>
        <v>6</v>
      </c>
      <c r="M4731" s="33" t="n">
        <f aca="false">IF(I4731="","",ABS(I4731))</f>
        <v>3.5</v>
      </c>
      <c r="N4731" s="33" t="n">
        <f aca="false">IF(J4731="","",ABS(J4731))</f>
        <v>1.75</v>
      </c>
      <c r="O4731" s="33" t="n">
        <f aca="false">IF(K4731="","",ABS(K4731))</f>
        <v>3.43500051273455</v>
      </c>
      <c r="P4731" s="34" t="str">
        <f aca="false">IF(B4731&gt;=Eval_Start_Week,"YES","")</f>
        <v/>
      </c>
      <c r="Q4731" s="34" t="str">
        <f aca="false">IF(AND(B4731&gt;=Cal_Start_Week,B4731&lt;=Cal_End_Week),"YES","")</f>
        <v>YES</v>
      </c>
    </row>
    <row r="4732" customFormat="false" ht="15" hidden="false" customHeight="false" outlineLevel="0" collapsed="false">
      <c r="A4732" s="31" t="str">
        <f aca="false">Demand_History!C4732</f>
        <v>CLN-009</v>
      </c>
      <c r="B4732" s="31" t="n">
        <f aca="false">Demand_History!A4732</f>
        <v>51</v>
      </c>
      <c r="C4732" s="32" t="n">
        <f aca="false">Demand_History!D4732</f>
        <v>48</v>
      </c>
      <c r="D4732" s="33" t="n">
        <f aca="false">IF(B4732&gt;=2,C4731,"")</f>
        <v>46</v>
      </c>
      <c r="E4732" s="33" t="n">
        <f aca="false">IF(B4732&gt;=5,AVERAGE(C4728:C4731),"")</f>
        <v>41.75</v>
      </c>
      <c r="F4732" s="33" t="n">
        <f aca="false">IF(B4732&gt;=9,AVERAGE(C4724:C4731),"")</f>
        <v>43.625</v>
      </c>
      <c r="G4732" s="33" t="n">
        <f aca="false">IF(B4732=1,"",IF(B4732=2,C4731,SES_Alpha*C4731+(1-SES_Alpha)*G4731))</f>
        <v>43.5954996410858</v>
      </c>
      <c r="H4732" s="33" t="n">
        <f aca="false">IF(D4732="","",D4732-C4732)</f>
        <v>-2</v>
      </c>
      <c r="I4732" s="33" t="n">
        <f aca="false">IF(E4732="","",E4732-C4732)</f>
        <v>-6.25</v>
      </c>
      <c r="J4732" s="33" t="n">
        <f aca="false">IF(F4732="","",F4732-C4732)</f>
        <v>-4.375</v>
      </c>
      <c r="K4732" s="33" t="n">
        <f aca="false">IF(G4732="","",G4732-C4732)</f>
        <v>-4.40450035891419</v>
      </c>
      <c r="L4732" s="33" t="n">
        <f aca="false">IF(H4732="","",ABS(H4732))</f>
        <v>2</v>
      </c>
      <c r="M4732" s="33" t="n">
        <f aca="false">IF(I4732="","",ABS(I4732))</f>
        <v>6.25</v>
      </c>
      <c r="N4732" s="33" t="n">
        <f aca="false">IF(J4732="","",ABS(J4732))</f>
        <v>4.375</v>
      </c>
      <c r="O4732" s="33" t="n">
        <f aca="false">IF(K4732="","",ABS(K4732))</f>
        <v>4.40450035891419</v>
      </c>
      <c r="P4732" s="34" t="str">
        <f aca="false">IF(B4732&gt;=Eval_Start_Week,"YES","")</f>
        <v/>
      </c>
      <c r="Q4732" s="34" t="str">
        <f aca="false">IF(AND(B4732&gt;=Cal_Start_Week,B4732&lt;=Cal_End_Week),"YES","")</f>
        <v>YES</v>
      </c>
    </row>
    <row r="4733" customFormat="false" ht="15" hidden="false" customHeight="false" outlineLevel="0" collapsed="false">
      <c r="A4733" s="31" t="str">
        <f aca="false">Demand_History!C4733</f>
        <v>CLN-009</v>
      </c>
      <c r="B4733" s="31" t="n">
        <f aca="false">Demand_History!A4733</f>
        <v>52</v>
      </c>
      <c r="C4733" s="32" t="n">
        <f aca="false">Demand_History!D4733</f>
        <v>47</v>
      </c>
      <c r="D4733" s="33" t="n">
        <f aca="false">IF(B4733&gt;=2,C4732,"")</f>
        <v>48</v>
      </c>
      <c r="E4733" s="33" t="n">
        <f aca="false">IF(B4733&gt;=5,AVERAGE(C4729:C4732),"")</f>
        <v>44.25</v>
      </c>
      <c r="F4733" s="33" t="n">
        <f aca="false">IF(B4733&gt;=9,AVERAGE(C4725:C4732),"")</f>
        <v>44.125</v>
      </c>
      <c r="G4733" s="33" t="n">
        <f aca="false">IF(B4733=1,"",IF(B4733=2,C4732,SES_Alpha*C4732+(1-SES_Alpha)*G4732))</f>
        <v>44.9168497487601</v>
      </c>
      <c r="H4733" s="33" t="n">
        <f aca="false">IF(D4733="","",D4733-C4733)</f>
        <v>1</v>
      </c>
      <c r="I4733" s="33" t="n">
        <f aca="false">IF(E4733="","",E4733-C4733)</f>
        <v>-2.75</v>
      </c>
      <c r="J4733" s="33" t="n">
        <f aca="false">IF(F4733="","",F4733-C4733)</f>
        <v>-2.875</v>
      </c>
      <c r="K4733" s="33" t="n">
        <f aca="false">IF(G4733="","",G4733-C4733)</f>
        <v>-2.08315025123994</v>
      </c>
      <c r="L4733" s="33" t="n">
        <f aca="false">IF(H4733="","",ABS(H4733))</f>
        <v>1</v>
      </c>
      <c r="M4733" s="33" t="n">
        <f aca="false">IF(I4733="","",ABS(I4733))</f>
        <v>2.75</v>
      </c>
      <c r="N4733" s="33" t="n">
        <f aca="false">IF(J4733="","",ABS(J4733))</f>
        <v>2.875</v>
      </c>
      <c r="O4733" s="33" t="n">
        <f aca="false">IF(K4733="","",ABS(K4733))</f>
        <v>2.08315025123994</v>
      </c>
      <c r="P4733" s="34" t="str">
        <f aca="false">IF(B4733&gt;=Eval_Start_Week,"YES","")</f>
        <v/>
      </c>
      <c r="Q4733" s="34" t="str">
        <f aca="false">IF(AND(B4733&gt;=Cal_Start_Week,B4733&lt;=Cal_End_Week),"YES","")</f>
        <v>YES</v>
      </c>
    </row>
    <row r="4734" customFormat="false" ht="15" hidden="false" customHeight="false" outlineLevel="0" collapsed="false">
      <c r="A4734" s="31" t="str">
        <f aca="false">Demand_History!C4734</f>
        <v>CLN-009</v>
      </c>
      <c r="B4734" s="31" t="n">
        <f aca="false">Demand_History!A4734</f>
        <v>53</v>
      </c>
      <c r="C4734" s="32" t="n">
        <f aca="false">Demand_History!D4734</f>
        <v>43</v>
      </c>
      <c r="D4734" s="33" t="n">
        <f aca="false">IF(B4734&gt;=2,C4733,"")</f>
        <v>47</v>
      </c>
      <c r="E4734" s="33" t="n">
        <f aca="false">IF(B4734&gt;=5,AVERAGE(C4730:C4733),"")</f>
        <v>45.25</v>
      </c>
      <c r="F4734" s="33" t="n">
        <f aca="false">IF(B4734&gt;=9,AVERAGE(C4726:C4733),"")</f>
        <v>45.875</v>
      </c>
      <c r="G4734" s="33" t="n">
        <f aca="false">IF(B4734=1,"",IF(B4734=2,C4733,SES_Alpha*C4733+(1-SES_Alpha)*G4733))</f>
        <v>45.541794824132</v>
      </c>
      <c r="H4734" s="33" t="n">
        <f aca="false">IF(D4734="","",D4734-C4734)</f>
        <v>4</v>
      </c>
      <c r="I4734" s="33" t="n">
        <f aca="false">IF(E4734="","",E4734-C4734)</f>
        <v>2.25</v>
      </c>
      <c r="J4734" s="33" t="n">
        <f aca="false">IF(F4734="","",F4734-C4734)</f>
        <v>2.875</v>
      </c>
      <c r="K4734" s="33" t="n">
        <f aca="false">IF(G4734="","",G4734-C4734)</f>
        <v>2.54179482413204</v>
      </c>
      <c r="L4734" s="33" t="n">
        <f aca="false">IF(H4734="","",ABS(H4734))</f>
        <v>4</v>
      </c>
      <c r="M4734" s="33" t="n">
        <f aca="false">IF(I4734="","",ABS(I4734))</f>
        <v>2.25</v>
      </c>
      <c r="N4734" s="33" t="n">
        <f aca="false">IF(J4734="","",ABS(J4734))</f>
        <v>2.875</v>
      </c>
      <c r="O4734" s="33" t="n">
        <f aca="false">IF(K4734="","",ABS(K4734))</f>
        <v>2.54179482413204</v>
      </c>
      <c r="P4734" s="34" t="str">
        <f aca="false">IF(B4734&gt;=Eval_Start_Week,"YES","")</f>
        <v>YES</v>
      </c>
      <c r="Q4734" s="34" t="str">
        <f aca="false">IF(AND(B4734&gt;=Cal_Start_Week,B4734&lt;=Cal_End_Week),"YES","")</f>
        <v>YES</v>
      </c>
    </row>
    <row r="4735" customFormat="false" ht="15" hidden="false" customHeight="false" outlineLevel="0" collapsed="false">
      <c r="A4735" s="31" t="str">
        <f aca="false">Demand_History!C4735</f>
        <v>CLN-009</v>
      </c>
      <c r="B4735" s="31" t="n">
        <f aca="false">Demand_History!A4735</f>
        <v>54</v>
      </c>
      <c r="C4735" s="32" t="n">
        <f aca="false">Demand_History!D4735</f>
        <v>42</v>
      </c>
      <c r="D4735" s="33" t="n">
        <f aca="false">IF(B4735&gt;=2,C4734,"")</f>
        <v>43</v>
      </c>
      <c r="E4735" s="33" t="n">
        <f aca="false">IF(B4735&gt;=5,AVERAGE(C4731:C4734),"")</f>
        <v>46</v>
      </c>
      <c r="F4735" s="33" t="n">
        <f aca="false">IF(B4735&gt;=9,AVERAGE(C4727:C4734),"")</f>
        <v>44.25</v>
      </c>
      <c r="G4735" s="33" t="n">
        <f aca="false">IF(B4735=1,"",IF(B4735=2,C4734,SES_Alpha*C4734+(1-SES_Alpha)*G4734))</f>
        <v>44.7792563768924</v>
      </c>
      <c r="H4735" s="33" t="n">
        <f aca="false">IF(D4735="","",D4735-C4735)</f>
        <v>1</v>
      </c>
      <c r="I4735" s="33" t="n">
        <f aca="false">IF(E4735="","",E4735-C4735)</f>
        <v>4</v>
      </c>
      <c r="J4735" s="33" t="n">
        <f aca="false">IF(F4735="","",F4735-C4735)</f>
        <v>2.25</v>
      </c>
      <c r="K4735" s="33" t="n">
        <f aca="false">IF(G4735="","",G4735-C4735)</f>
        <v>2.77925637689243</v>
      </c>
      <c r="L4735" s="33" t="n">
        <f aca="false">IF(H4735="","",ABS(H4735))</f>
        <v>1</v>
      </c>
      <c r="M4735" s="33" t="n">
        <f aca="false">IF(I4735="","",ABS(I4735))</f>
        <v>4</v>
      </c>
      <c r="N4735" s="33" t="n">
        <f aca="false">IF(J4735="","",ABS(J4735))</f>
        <v>2.25</v>
      </c>
      <c r="O4735" s="33" t="n">
        <f aca="false">IF(K4735="","",ABS(K4735))</f>
        <v>2.77925637689243</v>
      </c>
      <c r="P4735" s="34" t="str">
        <f aca="false">IF(B4735&gt;=Eval_Start_Week,"YES","")</f>
        <v>YES</v>
      </c>
      <c r="Q4735" s="34" t="str">
        <f aca="false">IF(AND(B4735&gt;=Cal_Start_Week,B4735&lt;=Cal_End_Week),"YES","")</f>
        <v>YES</v>
      </c>
    </row>
    <row r="4736" customFormat="false" ht="15" hidden="false" customHeight="false" outlineLevel="0" collapsed="false">
      <c r="A4736" s="31" t="str">
        <f aca="false">Demand_History!C4736</f>
        <v>CLN-009</v>
      </c>
      <c r="B4736" s="31" t="n">
        <f aca="false">Demand_History!A4736</f>
        <v>55</v>
      </c>
      <c r="C4736" s="32" t="n">
        <f aca="false">Demand_History!D4736</f>
        <v>52</v>
      </c>
      <c r="D4736" s="33" t="n">
        <f aca="false">IF(B4736&gt;=2,C4735,"")</f>
        <v>42</v>
      </c>
      <c r="E4736" s="33" t="n">
        <f aca="false">IF(B4736&gt;=5,AVERAGE(C4732:C4735),"")</f>
        <v>45</v>
      </c>
      <c r="F4736" s="33" t="n">
        <f aca="false">IF(B4736&gt;=9,AVERAGE(C4728:C4735),"")</f>
        <v>43.375</v>
      </c>
      <c r="G4736" s="33" t="n">
        <f aca="false">IF(B4736=1,"",IF(B4736=2,C4735,SES_Alpha*C4735+(1-SES_Alpha)*G4735))</f>
        <v>43.9454794638247</v>
      </c>
      <c r="H4736" s="33" t="n">
        <f aca="false">IF(D4736="","",D4736-C4736)</f>
        <v>-10</v>
      </c>
      <c r="I4736" s="33" t="n">
        <f aca="false">IF(E4736="","",E4736-C4736)</f>
        <v>-7</v>
      </c>
      <c r="J4736" s="33" t="n">
        <f aca="false">IF(F4736="","",F4736-C4736)</f>
        <v>-8.625</v>
      </c>
      <c r="K4736" s="33" t="n">
        <f aca="false">IF(G4736="","",G4736-C4736)</f>
        <v>-8.0545205361753</v>
      </c>
      <c r="L4736" s="33" t="n">
        <f aca="false">IF(H4736="","",ABS(H4736))</f>
        <v>10</v>
      </c>
      <c r="M4736" s="33" t="n">
        <f aca="false">IF(I4736="","",ABS(I4736))</f>
        <v>7</v>
      </c>
      <c r="N4736" s="33" t="n">
        <f aca="false">IF(J4736="","",ABS(J4736))</f>
        <v>8.625</v>
      </c>
      <c r="O4736" s="33" t="n">
        <f aca="false">IF(K4736="","",ABS(K4736))</f>
        <v>8.0545205361753</v>
      </c>
      <c r="P4736" s="34" t="str">
        <f aca="false">IF(B4736&gt;=Eval_Start_Week,"YES","")</f>
        <v>YES</v>
      </c>
      <c r="Q4736" s="34" t="str">
        <f aca="false">IF(AND(B4736&gt;=Cal_Start_Week,B4736&lt;=Cal_End_Week),"YES","")</f>
        <v>YES</v>
      </c>
    </row>
    <row r="4737" customFormat="false" ht="15" hidden="false" customHeight="false" outlineLevel="0" collapsed="false">
      <c r="A4737" s="31" t="str">
        <f aca="false">Demand_History!C4737</f>
        <v>CLN-009</v>
      </c>
      <c r="B4737" s="31" t="n">
        <f aca="false">Demand_History!A4737</f>
        <v>56</v>
      </c>
      <c r="C4737" s="32" t="n">
        <f aca="false">Demand_History!D4737</f>
        <v>47</v>
      </c>
      <c r="D4737" s="33" t="n">
        <f aca="false">IF(B4737&gt;=2,C4736,"")</f>
        <v>52</v>
      </c>
      <c r="E4737" s="33" t="n">
        <f aca="false">IF(B4737&gt;=5,AVERAGE(C4733:C4736),"")</f>
        <v>46</v>
      </c>
      <c r="F4737" s="33" t="n">
        <f aca="false">IF(B4737&gt;=9,AVERAGE(C4729:C4736),"")</f>
        <v>45.125</v>
      </c>
      <c r="G4737" s="33" t="n">
        <f aca="false">IF(B4737=1,"",IF(B4737=2,C4736,SES_Alpha*C4736+(1-SES_Alpha)*G4736))</f>
        <v>46.3618356246773</v>
      </c>
      <c r="H4737" s="33" t="n">
        <f aca="false">IF(D4737="","",D4737-C4737)</f>
        <v>5</v>
      </c>
      <c r="I4737" s="33" t="n">
        <f aca="false">IF(E4737="","",E4737-C4737)</f>
        <v>-1</v>
      </c>
      <c r="J4737" s="33" t="n">
        <f aca="false">IF(F4737="","",F4737-C4737)</f>
        <v>-1.875</v>
      </c>
      <c r="K4737" s="33" t="n">
        <f aca="false">IF(G4737="","",G4737-C4737)</f>
        <v>-0.638164375322717</v>
      </c>
      <c r="L4737" s="33" t="n">
        <f aca="false">IF(H4737="","",ABS(H4737))</f>
        <v>5</v>
      </c>
      <c r="M4737" s="33" t="n">
        <f aca="false">IF(I4737="","",ABS(I4737))</f>
        <v>1</v>
      </c>
      <c r="N4737" s="33" t="n">
        <f aca="false">IF(J4737="","",ABS(J4737))</f>
        <v>1.875</v>
      </c>
      <c r="O4737" s="33" t="n">
        <f aca="false">IF(K4737="","",ABS(K4737))</f>
        <v>0.638164375322717</v>
      </c>
      <c r="P4737" s="34" t="str">
        <f aca="false">IF(B4737&gt;=Eval_Start_Week,"YES","")</f>
        <v>YES</v>
      </c>
      <c r="Q4737" s="34" t="str">
        <f aca="false">IF(AND(B4737&gt;=Cal_Start_Week,B4737&lt;=Cal_End_Week),"YES","")</f>
        <v>YES</v>
      </c>
    </row>
    <row r="4738" customFormat="false" ht="15" hidden="false" customHeight="false" outlineLevel="0" collapsed="false">
      <c r="A4738" s="31" t="str">
        <f aca="false">Demand_History!C4738</f>
        <v>CLN-009</v>
      </c>
      <c r="B4738" s="31" t="n">
        <f aca="false">Demand_History!A4738</f>
        <v>57</v>
      </c>
      <c r="C4738" s="32" t="n">
        <f aca="false">Demand_History!D4738</f>
        <v>62</v>
      </c>
      <c r="D4738" s="33" t="n">
        <f aca="false">IF(B4738&gt;=2,C4737,"")</f>
        <v>47</v>
      </c>
      <c r="E4738" s="33" t="n">
        <f aca="false">IF(B4738&gt;=5,AVERAGE(C4734:C4737),"")</f>
        <v>46</v>
      </c>
      <c r="F4738" s="33" t="n">
        <f aca="false">IF(B4738&gt;=9,AVERAGE(C4730:C4737),"")</f>
        <v>45.625</v>
      </c>
      <c r="G4738" s="33" t="n">
        <f aca="false">IF(B4738=1,"",IF(B4738=2,C4737,SES_Alpha*C4737+(1-SES_Alpha)*G4737))</f>
        <v>46.5532849372741</v>
      </c>
      <c r="H4738" s="33" t="n">
        <f aca="false">IF(D4738="","",D4738-C4738)</f>
        <v>-15</v>
      </c>
      <c r="I4738" s="33" t="n">
        <f aca="false">IF(E4738="","",E4738-C4738)</f>
        <v>-16</v>
      </c>
      <c r="J4738" s="33" t="n">
        <f aca="false">IF(F4738="","",F4738-C4738)</f>
        <v>-16.375</v>
      </c>
      <c r="K4738" s="33" t="n">
        <f aca="false">IF(G4738="","",G4738-C4738)</f>
        <v>-15.4467150627259</v>
      </c>
      <c r="L4738" s="33" t="n">
        <f aca="false">IF(H4738="","",ABS(H4738))</f>
        <v>15</v>
      </c>
      <c r="M4738" s="33" t="n">
        <f aca="false">IF(I4738="","",ABS(I4738))</f>
        <v>16</v>
      </c>
      <c r="N4738" s="33" t="n">
        <f aca="false">IF(J4738="","",ABS(J4738))</f>
        <v>16.375</v>
      </c>
      <c r="O4738" s="33" t="n">
        <f aca="false">IF(K4738="","",ABS(K4738))</f>
        <v>15.4467150627259</v>
      </c>
      <c r="P4738" s="34" t="str">
        <f aca="false">IF(B4738&gt;=Eval_Start_Week,"YES","")</f>
        <v>YES</v>
      </c>
      <c r="Q4738" s="34" t="str">
        <f aca="false">IF(AND(B4738&gt;=Cal_Start_Week,B4738&lt;=Cal_End_Week),"YES","")</f>
        <v>YES</v>
      </c>
    </row>
    <row r="4739" customFormat="false" ht="15" hidden="false" customHeight="false" outlineLevel="0" collapsed="false">
      <c r="A4739" s="31" t="str">
        <f aca="false">Demand_History!C4739</f>
        <v>CLN-009</v>
      </c>
      <c r="B4739" s="31" t="n">
        <f aca="false">Demand_History!A4739</f>
        <v>58</v>
      </c>
      <c r="C4739" s="32" t="n">
        <f aca="false">Demand_History!D4739</f>
        <v>43</v>
      </c>
      <c r="D4739" s="33" t="n">
        <f aca="false">IF(B4739&gt;=2,C4738,"")</f>
        <v>62</v>
      </c>
      <c r="E4739" s="33" t="n">
        <f aca="false">IF(B4739&gt;=5,AVERAGE(C4735:C4738),"")</f>
        <v>50.75</v>
      </c>
      <c r="F4739" s="33" t="n">
        <f aca="false">IF(B4739&gt;=9,AVERAGE(C4731:C4738),"")</f>
        <v>48.375</v>
      </c>
      <c r="G4739" s="33" t="n">
        <f aca="false">IF(B4739=1,"",IF(B4739=2,C4738,SES_Alpha*C4738+(1-SES_Alpha)*G4738))</f>
        <v>51.1872994560919</v>
      </c>
      <c r="H4739" s="33" t="n">
        <f aca="false">IF(D4739="","",D4739-C4739)</f>
        <v>19</v>
      </c>
      <c r="I4739" s="33" t="n">
        <f aca="false">IF(E4739="","",E4739-C4739)</f>
        <v>7.75</v>
      </c>
      <c r="J4739" s="33" t="n">
        <f aca="false">IF(F4739="","",F4739-C4739)</f>
        <v>5.375</v>
      </c>
      <c r="K4739" s="33" t="n">
        <f aca="false">IF(G4739="","",G4739-C4739)</f>
        <v>8.18729945609186</v>
      </c>
      <c r="L4739" s="33" t="n">
        <f aca="false">IF(H4739="","",ABS(H4739))</f>
        <v>19</v>
      </c>
      <c r="M4739" s="33" t="n">
        <f aca="false">IF(I4739="","",ABS(I4739))</f>
        <v>7.75</v>
      </c>
      <c r="N4739" s="33" t="n">
        <f aca="false">IF(J4739="","",ABS(J4739))</f>
        <v>5.375</v>
      </c>
      <c r="O4739" s="33" t="n">
        <f aca="false">IF(K4739="","",ABS(K4739))</f>
        <v>8.18729945609186</v>
      </c>
      <c r="P4739" s="34" t="str">
        <f aca="false">IF(B4739&gt;=Eval_Start_Week,"YES","")</f>
        <v>YES</v>
      </c>
      <c r="Q4739" s="34" t="str">
        <f aca="false">IF(AND(B4739&gt;=Cal_Start_Week,B4739&lt;=Cal_End_Week),"YES","")</f>
        <v>YES</v>
      </c>
    </row>
    <row r="4740" customFormat="false" ht="15" hidden="false" customHeight="false" outlineLevel="0" collapsed="false">
      <c r="A4740" s="31" t="str">
        <f aca="false">Demand_History!C4740</f>
        <v>CLN-009</v>
      </c>
      <c r="B4740" s="31" t="n">
        <f aca="false">Demand_History!A4740</f>
        <v>59</v>
      </c>
      <c r="C4740" s="32" t="n">
        <f aca="false">Demand_History!D4740</f>
        <v>53</v>
      </c>
      <c r="D4740" s="33" t="n">
        <f aca="false">IF(B4740&gt;=2,C4739,"")</f>
        <v>43</v>
      </c>
      <c r="E4740" s="33" t="n">
        <f aca="false">IF(B4740&gt;=5,AVERAGE(C4736:C4739),"")</f>
        <v>51</v>
      </c>
      <c r="F4740" s="33" t="n">
        <f aca="false">IF(B4740&gt;=9,AVERAGE(C4732:C4739),"")</f>
        <v>48</v>
      </c>
      <c r="G4740" s="33" t="n">
        <f aca="false">IF(B4740=1,"",IF(B4740=2,C4739,SES_Alpha*C4739+(1-SES_Alpha)*G4739))</f>
        <v>48.7311096192643</v>
      </c>
      <c r="H4740" s="33" t="n">
        <f aca="false">IF(D4740="","",D4740-C4740)</f>
        <v>-10</v>
      </c>
      <c r="I4740" s="33" t="n">
        <f aca="false">IF(E4740="","",E4740-C4740)</f>
        <v>-2</v>
      </c>
      <c r="J4740" s="33" t="n">
        <f aca="false">IF(F4740="","",F4740-C4740)</f>
        <v>-5</v>
      </c>
      <c r="K4740" s="33" t="n">
        <f aca="false">IF(G4740="","",G4740-C4740)</f>
        <v>-4.2688903807357</v>
      </c>
      <c r="L4740" s="33" t="n">
        <f aca="false">IF(H4740="","",ABS(H4740))</f>
        <v>10</v>
      </c>
      <c r="M4740" s="33" t="n">
        <f aca="false">IF(I4740="","",ABS(I4740))</f>
        <v>2</v>
      </c>
      <c r="N4740" s="33" t="n">
        <f aca="false">IF(J4740="","",ABS(J4740))</f>
        <v>5</v>
      </c>
      <c r="O4740" s="33" t="n">
        <f aca="false">IF(K4740="","",ABS(K4740))</f>
        <v>4.2688903807357</v>
      </c>
      <c r="P4740" s="34" t="str">
        <f aca="false">IF(B4740&gt;=Eval_Start_Week,"YES","")</f>
        <v>YES</v>
      </c>
      <c r="Q4740" s="34" t="str">
        <f aca="false">IF(AND(B4740&gt;=Cal_Start_Week,B4740&lt;=Cal_End_Week),"YES","")</f>
        <v>YES</v>
      </c>
    </row>
    <row r="4741" customFormat="false" ht="15" hidden="false" customHeight="false" outlineLevel="0" collapsed="false">
      <c r="A4741" s="31" t="str">
        <f aca="false">Demand_History!C4741</f>
        <v>CLN-009</v>
      </c>
      <c r="B4741" s="31" t="n">
        <f aca="false">Demand_History!A4741</f>
        <v>60</v>
      </c>
      <c r="C4741" s="32" t="n">
        <f aca="false">Demand_History!D4741</f>
        <v>49</v>
      </c>
      <c r="D4741" s="33" t="n">
        <f aca="false">IF(B4741&gt;=2,C4740,"")</f>
        <v>53</v>
      </c>
      <c r="E4741" s="33" t="n">
        <f aca="false">IF(B4741&gt;=5,AVERAGE(C4737:C4740),"")</f>
        <v>51.25</v>
      </c>
      <c r="F4741" s="33" t="n">
        <f aca="false">IF(B4741&gt;=9,AVERAGE(C4733:C4740),"")</f>
        <v>48.625</v>
      </c>
      <c r="G4741" s="33" t="n">
        <f aca="false">IF(B4741=1,"",IF(B4741=2,C4740,SES_Alpha*C4740+(1-SES_Alpha)*G4740))</f>
        <v>50.011776733485</v>
      </c>
      <c r="H4741" s="33" t="n">
        <f aca="false">IF(D4741="","",D4741-C4741)</f>
        <v>4</v>
      </c>
      <c r="I4741" s="33" t="n">
        <f aca="false">IF(E4741="","",E4741-C4741)</f>
        <v>2.25</v>
      </c>
      <c r="J4741" s="33" t="n">
        <f aca="false">IF(F4741="","",F4741-C4741)</f>
        <v>-0.375</v>
      </c>
      <c r="K4741" s="33" t="n">
        <f aca="false">IF(G4741="","",G4741-C4741)</f>
        <v>1.01177673348501</v>
      </c>
      <c r="L4741" s="33" t="n">
        <f aca="false">IF(H4741="","",ABS(H4741))</f>
        <v>4</v>
      </c>
      <c r="M4741" s="33" t="n">
        <f aca="false">IF(I4741="","",ABS(I4741))</f>
        <v>2.25</v>
      </c>
      <c r="N4741" s="33" t="n">
        <f aca="false">IF(J4741="","",ABS(J4741))</f>
        <v>0.375</v>
      </c>
      <c r="O4741" s="33" t="n">
        <f aca="false">IF(K4741="","",ABS(K4741))</f>
        <v>1.01177673348501</v>
      </c>
      <c r="P4741" s="34" t="str">
        <f aca="false">IF(B4741&gt;=Eval_Start_Week,"YES","")</f>
        <v>YES</v>
      </c>
      <c r="Q4741" s="34" t="str">
        <f aca="false">IF(AND(B4741&gt;=Cal_Start_Week,B4741&lt;=Cal_End_Week),"YES","")</f>
        <v>YES</v>
      </c>
    </row>
    <row r="4742" customFormat="false" ht="15" hidden="false" customHeight="false" outlineLevel="0" collapsed="false">
      <c r="A4742" s="31" t="str">
        <f aca="false">Demand_History!C4742</f>
        <v>CLN-009</v>
      </c>
      <c r="B4742" s="31" t="n">
        <f aca="false">Demand_History!A4742</f>
        <v>61</v>
      </c>
      <c r="C4742" s="32" t="n">
        <f aca="false">Demand_History!D4742</f>
        <v>44</v>
      </c>
      <c r="D4742" s="33" t="n">
        <f aca="false">IF(B4742&gt;=2,C4741,"")</f>
        <v>49</v>
      </c>
      <c r="E4742" s="33" t="n">
        <f aca="false">IF(B4742&gt;=5,AVERAGE(C4738:C4741),"")</f>
        <v>51.75</v>
      </c>
      <c r="F4742" s="33" t="n">
        <f aca="false">IF(B4742&gt;=9,AVERAGE(C4734:C4741),"")</f>
        <v>48.875</v>
      </c>
      <c r="G4742" s="33" t="n">
        <f aca="false">IF(B4742=1,"",IF(B4742=2,C4741,SES_Alpha*C4741+(1-SES_Alpha)*G4741))</f>
        <v>49.7082437134395</v>
      </c>
      <c r="H4742" s="33" t="n">
        <f aca="false">IF(D4742="","",D4742-C4742)</f>
        <v>5</v>
      </c>
      <c r="I4742" s="33" t="n">
        <f aca="false">IF(E4742="","",E4742-C4742)</f>
        <v>7.75</v>
      </c>
      <c r="J4742" s="33" t="n">
        <f aca="false">IF(F4742="","",F4742-C4742)</f>
        <v>4.875</v>
      </c>
      <c r="K4742" s="33" t="n">
        <f aca="false">IF(G4742="","",G4742-C4742)</f>
        <v>5.7082437134395</v>
      </c>
      <c r="L4742" s="33" t="n">
        <f aca="false">IF(H4742="","",ABS(H4742))</f>
        <v>5</v>
      </c>
      <c r="M4742" s="33" t="n">
        <f aca="false">IF(I4742="","",ABS(I4742))</f>
        <v>7.75</v>
      </c>
      <c r="N4742" s="33" t="n">
        <f aca="false">IF(J4742="","",ABS(J4742))</f>
        <v>4.875</v>
      </c>
      <c r="O4742" s="33" t="n">
        <f aca="false">IF(K4742="","",ABS(K4742))</f>
        <v>5.7082437134395</v>
      </c>
      <c r="P4742" s="34" t="str">
        <f aca="false">IF(B4742&gt;=Eval_Start_Week,"YES","")</f>
        <v>YES</v>
      </c>
      <c r="Q4742" s="34" t="str">
        <f aca="false">IF(AND(B4742&gt;=Cal_Start_Week,B4742&lt;=Cal_End_Week),"YES","")</f>
        <v>YES</v>
      </c>
    </row>
    <row r="4743" customFormat="false" ht="15" hidden="false" customHeight="false" outlineLevel="0" collapsed="false">
      <c r="A4743" s="31" t="str">
        <f aca="false">Demand_History!C4743</f>
        <v>CLN-009</v>
      </c>
      <c r="B4743" s="31" t="n">
        <f aca="false">Demand_History!A4743</f>
        <v>62</v>
      </c>
      <c r="C4743" s="32" t="n">
        <f aca="false">Demand_History!D4743</f>
        <v>58</v>
      </c>
      <c r="D4743" s="33" t="n">
        <f aca="false">IF(B4743&gt;=2,C4742,"")</f>
        <v>44</v>
      </c>
      <c r="E4743" s="33" t="n">
        <f aca="false">IF(B4743&gt;=5,AVERAGE(C4739:C4742),"")</f>
        <v>47.25</v>
      </c>
      <c r="F4743" s="33" t="n">
        <f aca="false">IF(B4743&gt;=9,AVERAGE(C4735:C4742),"")</f>
        <v>49</v>
      </c>
      <c r="G4743" s="33" t="n">
        <f aca="false">IF(B4743=1,"",IF(B4743=2,C4742,SES_Alpha*C4742+(1-SES_Alpha)*G4742))</f>
        <v>47.9957705994077</v>
      </c>
      <c r="H4743" s="33" t="n">
        <f aca="false">IF(D4743="","",D4743-C4743)</f>
        <v>-14</v>
      </c>
      <c r="I4743" s="33" t="n">
        <f aca="false">IF(E4743="","",E4743-C4743)</f>
        <v>-10.75</v>
      </c>
      <c r="J4743" s="33" t="n">
        <f aca="false">IF(F4743="","",F4743-C4743)</f>
        <v>-9</v>
      </c>
      <c r="K4743" s="33" t="n">
        <f aca="false">IF(G4743="","",G4743-C4743)</f>
        <v>-10.0042294005924</v>
      </c>
      <c r="L4743" s="33" t="n">
        <f aca="false">IF(H4743="","",ABS(H4743))</f>
        <v>14</v>
      </c>
      <c r="M4743" s="33" t="n">
        <f aca="false">IF(I4743="","",ABS(I4743))</f>
        <v>10.75</v>
      </c>
      <c r="N4743" s="33" t="n">
        <f aca="false">IF(J4743="","",ABS(J4743))</f>
        <v>9</v>
      </c>
      <c r="O4743" s="33" t="n">
        <f aca="false">IF(K4743="","",ABS(K4743))</f>
        <v>10.0042294005924</v>
      </c>
      <c r="P4743" s="34" t="str">
        <f aca="false">IF(B4743&gt;=Eval_Start_Week,"YES","")</f>
        <v>YES</v>
      </c>
      <c r="Q4743" s="34" t="str">
        <f aca="false">IF(AND(B4743&gt;=Cal_Start_Week,B4743&lt;=Cal_End_Week),"YES","")</f>
        <v>YES</v>
      </c>
    </row>
    <row r="4744" customFormat="false" ht="15" hidden="false" customHeight="false" outlineLevel="0" collapsed="false">
      <c r="A4744" s="31" t="str">
        <f aca="false">Demand_History!C4744</f>
        <v>CLN-009</v>
      </c>
      <c r="B4744" s="31" t="n">
        <f aca="false">Demand_History!A4744</f>
        <v>63</v>
      </c>
      <c r="C4744" s="32" t="n">
        <f aca="false">Demand_History!D4744</f>
        <v>50</v>
      </c>
      <c r="D4744" s="33" t="n">
        <f aca="false">IF(B4744&gt;=2,C4743,"")</f>
        <v>58</v>
      </c>
      <c r="E4744" s="33" t="n">
        <f aca="false">IF(B4744&gt;=5,AVERAGE(C4740:C4743),"")</f>
        <v>51</v>
      </c>
      <c r="F4744" s="33" t="n">
        <f aca="false">IF(B4744&gt;=9,AVERAGE(C4736:C4743),"")</f>
        <v>51</v>
      </c>
      <c r="G4744" s="33" t="n">
        <f aca="false">IF(B4744=1,"",IF(B4744=2,C4743,SES_Alpha*C4743+(1-SES_Alpha)*G4743))</f>
        <v>50.9970394195854</v>
      </c>
      <c r="H4744" s="33" t="n">
        <f aca="false">IF(D4744="","",D4744-C4744)</f>
        <v>8</v>
      </c>
      <c r="I4744" s="33" t="n">
        <f aca="false">IF(E4744="","",E4744-C4744)</f>
        <v>1</v>
      </c>
      <c r="J4744" s="33" t="n">
        <f aca="false">IF(F4744="","",F4744-C4744)</f>
        <v>1</v>
      </c>
      <c r="K4744" s="33" t="n">
        <f aca="false">IF(G4744="","",G4744-C4744)</f>
        <v>0.997039419585349</v>
      </c>
      <c r="L4744" s="33" t="n">
        <f aca="false">IF(H4744="","",ABS(H4744))</f>
        <v>8</v>
      </c>
      <c r="M4744" s="33" t="n">
        <f aca="false">IF(I4744="","",ABS(I4744))</f>
        <v>1</v>
      </c>
      <c r="N4744" s="33" t="n">
        <f aca="false">IF(J4744="","",ABS(J4744))</f>
        <v>1</v>
      </c>
      <c r="O4744" s="33" t="n">
        <f aca="false">IF(K4744="","",ABS(K4744))</f>
        <v>0.997039419585349</v>
      </c>
      <c r="P4744" s="34" t="str">
        <f aca="false">IF(B4744&gt;=Eval_Start_Week,"YES","")</f>
        <v>YES</v>
      </c>
      <c r="Q4744" s="34" t="str">
        <f aca="false">IF(AND(B4744&gt;=Cal_Start_Week,B4744&lt;=Cal_End_Week),"YES","")</f>
        <v>YES</v>
      </c>
    </row>
    <row r="4745" customFormat="false" ht="15" hidden="false" customHeight="false" outlineLevel="0" collapsed="false">
      <c r="A4745" s="31" t="str">
        <f aca="false">Demand_History!C4745</f>
        <v>CLN-009</v>
      </c>
      <c r="B4745" s="31" t="n">
        <f aca="false">Demand_History!A4745</f>
        <v>64</v>
      </c>
      <c r="C4745" s="32" t="n">
        <f aca="false">Demand_History!D4745</f>
        <v>44</v>
      </c>
      <c r="D4745" s="33" t="n">
        <f aca="false">IF(B4745&gt;=2,C4744,"")</f>
        <v>50</v>
      </c>
      <c r="E4745" s="33" t="n">
        <f aca="false">IF(B4745&gt;=5,AVERAGE(C4741:C4744),"")</f>
        <v>50.25</v>
      </c>
      <c r="F4745" s="33" t="n">
        <f aca="false">IF(B4745&gt;=9,AVERAGE(C4737:C4744),"")</f>
        <v>50.75</v>
      </c>
      <c r="G4745" s="33" t="n">
        <f aca="false">IF(B4745=1,"",IF(B4745=2,C4744,SES_Alpha*C4744+(1-SES_Alpha)*G4744))</f>
        <v>50.6979275937097</v>
      </c>
      <c r="H4745" s="33" t="n">
        <f aca="false">IF(D4745="","",D4745-C4745)</f>
        <v>6</v>
      </c>
      <c r="I4745" s="33" t="n">
        <f aca="false">IF(E4745="","",E4745-C4745)</f>
        <v>6.25</v>
      </c>
      <c r="J4745" s="33" t="n">
        <f aca="false">IF(F4745="","",F4745-C4745)</f>
        <v>6.75</v>
      </c>
      <c r="K4745" s="33" t="n">
        <f aca="false">IF(G4745="","",G4745-C4745)</f>
        <v>6.69792759370974</v>
      </c>
      <c r="L4745" s="33" t="n">
        <f aca="false">IF(H4745="","",ABS(H4745))</f>
        <v>6</v>
      </c>
      <c r="M4745" s="33" t="n">
        <f aca="false">IF(I4745="","",ABS(I4745))</f>
        <v>6.25</v>
      </c>
      <c r="N4745" s="33" t="n">
        <f aca="false">IF(J4745="","",ABS(J4745))</f>
        <v>6.75</v>
      </c>
      <c r="O4745" s="33" t="n">
        <f aca="false">IF(K4745="","",ABS(K4745))</f>
        <v>6.69792759370974</v>
      </c>
      <c r="P4745" s="34" t="str">
        <f aca="false">IF(B4745&gt;=Eval_Start_Week,"YES","")</f>
        <v>YES</v>
      </c>
      <c r="Q4745" s="34" t="str">
        <f aca="false">IF(AND(B4745&gt;=Cal_Start_Week,B4745&lt;=Cal_End_Week),"YES","")</f>
        <v>YES</v>
      </c>
    </row>
    <row r="4746" customFormat="false" ht="15" hidden="false" customHeight="false" outlineLevel="0" collapsed="false">
      <c r="A4746" s="31" t="str">
        <f aca="false">Demand_History!C4746</f>
        <v>CLN-009</v>
      </c>
      <c r="B4746" s="31" t="n">
        <f aca="false">Demand_History!A4746</f>
        <v>65</v>
      </c>
      <c r="C4746" s="32" t="n">
        <f aca="false">Demand_History!D4746</f>
        <v>48</v>
      </c>
      <c r="D4746" s="33" t="n">
        <f aca="false">IF(B4746&gt;=2,C4745,"")</f>
        <v>44</v>
      </c>
      <c r="E4746" s="33" t="n">
        <f aca="false">IF(B4746&gt;=5,AVERAGE(C4742:C4745),"")</f>
        <v>49</v>
      </c>
      <c r="F4746" s="33" t="n">
        <f aca="false">IF(B4746&gt;=9,AVERAGE(C4738:C4745),"")</f>
        <v>50.375</v>
      </c>
      <c r="G4746" s="33" t="n">
        <f aca="false">IF(B4746=1,"",IF(B4746=2,C4745,SES_Alpha*C4745+(1-SES_Alpha)*G4745))</f>
        <v>48.6885493155968</v>
      </c>
      <c r="H4746" s="33" t="n">
        <f aca="false">IF(D4746="","",D4746-C4746)</f>
        <v>-4</v>
      </c>
      <c r="I4746" s="33" t="n">
        <f aca="false">IF(E4746="","",E4746-C4746)</f>
        <v>1</v>
      </c>
      <c r="J4746" s="33" t="n">
        <f aca="false">IF(F4746="","",F4746-C4746)</f>
        <v>2.375</v>
      </c>
      <c r="K4746" s="33" t="n">
        <f aca="false">IF(G4746="","",G4746-C4746)</f>
        <v>0.688549315596816</v>
      </c>
      <c r="L4746" s="33" t="n">
        <f aca="false">IF(H4746="","",ABS(H4746))</f>
        <v>4</v>
      </c>
      <c r="M4746" s="33" t="n">
        <f aca="false">IF(I4746="","",ABS(I4746))</f>
        <v>1</v>
      </c>
      <c r="N4746" s="33" t="n">
        <f aca="false">IF(J4746="","",ABS(J4746))</f>
        <v>2.375</v>
      </c>
      <c r="O4746" s="33" t="n">
        <f aca="false">IF(K4746="","",ABS(K4746))</f>
        <v>0.688549315596816</v>
      </c>
      <c r="P4746" s="34" t="str">
        <f aca="false">IF(B4746&gt;=Eval_Start_Week,"YES","")</f>
        <v>YES</v>
      </c>
      <c r="Q4746" s="34" t="str">
        <f aca="false">IF(AND(B4746&gt;=Cal_Start_Week,B4746&lt;=Cal_End_Week),"YES","")</f>
        <v>YES</v>
      </c>
    </row>
    <row r="4747" customFormat="false" ht="15" hidden="false" customHeight="false" outlineLevel="0" collapsed="false">
      <c r="A4747" s="31" t="str">
        <f aca="false">Demand_History!C4747</f>
        <v>CLN-009</v>
      </c>
      <c r="B4747" s="31" t="n">
        <f aca="false">Demand_History!A4747</f>
        <v>66</v>
      </c>
      <c r="C4747" s="32" t="n">
        <f aca="false">Demand_History!D4747</f>
        <v>57</v>
      </c>
      <c r="D4747" s="33" t="n">
        <f aca="false">IF(B4747&gt;=2,C4746,"")</f>
        <v>48</v>
      </c>
      <c r="E4747" s="33" t="n">
        <f aca="false">IF(B4747&gt;=5,AVERAGE(C4743:C4746),"")</f>
        <v>50</v>
      </c>
      <c r="F4747" s="33" t="n">
        <f aca="false">IF(B4747&gt;=9,AVERAGE(C4739:C4746),"")</f>
        <v>48.625</v>
      </c>
      <c r="G4747" s="33" t="n">
        <f aca="false">IF(B4747=1,"",IF(B4747=2,C4746,SES_Alpha*C4746+(1-SES_Alpha)*G4746))</f>
        <v>48.4819845209178</v>
      </c>
      <c r="H4747" s="33" t="n">
        <f aca="false">IF(D4747="","",D4747-C4747)</f>
        <v>-9</v>
      </c>
      <c r="I4747" s="33" t="n">
        <f aca="false">IF(E4747="","",E4747-C4747)</f>
        <v>-7</v>
      </c>
      <c r="J4747" s="33" t="n">
        <f aca="false">IF(F4747="","",F4747-C4747)</f>
        <v>-8.375</v>
      </c>
      <c r="K4747" s="33" t="n">
        <f aca="false">IF(G4747="","",G4747-C4747)</f>
        <v>-8.51801547908223</v>
      </c>
      <c r="L4747" s="33" t="n">
        <f aca="false">IF(H4747="","",ABS(H4747))</f>
        <v>9</v>
      </c>
      <c r="M4747" s="33" t="n">
        <f aca="false">IF(I4747="","",ABS(I4747))</f>
        <v>7</v>
      </c>
      <c r="N4747" s="33" t="n">
        <f aca="false">IF(J4747="","",ABS(J4747))</f>
        <v>8.375</v>
      </c>
      <c r="O4747" s="33" t="n">
        <f aca="false">IF(K4747="","",ABS(K4747))</f>
        <v>8.51801547908223</v>
      </c>
      <c r="P4747" s="34" t="str">
        <f aca="false">IF(B4747&gt;=Eval_Start_Week,"YES","")</f>
        <v>YES</v>
      </c>
      <c r="Q4747" s="34" t="str">
        <f aca="false">IF(AND(B4747&gt;=Cal_Start_Week,B4747&lt;=Cal_End_Week),"YES","")</f>
        <v>YES</v>
      </c>
    </row>
    <row r="4748" customFormat="false" ht="15" hidden="false" customHeight="false" outlineLevel="0" collapsed="false">
      <c r="A4748" s="31" t="str">
        <f aca="false">Demand_History!C4748</f>
        <v>CLN-009</v>
      </c>
      <c r="B4748" s="31" t="n">
        <f aca="false">Demand_History!A4748</f>
        <v>67</v>
      </c>
      <c r="C4748" s="32" t="n">
        <f aca="false">Demand_History!D4748</f>
        <v>43</v>
      </c>
      <c r="D4748" s="33" t="n">
        <f aca="false">IF(B4748&gt;=2,C4747,"")</f>
        <v>57</v>
      </c>
      <c r="E4748" s="33" t="n">
        <f aca="false">IF(B4748&gt;=5,AVERAGE(C4744:C4747),"")</f>
        <v>49.75</v>
      </c>
      <c r="F4748" s="33" t="n">
        <f aca="false">IF(B4748&gt;=9,AVERAGE(C4740:C4747),"")</f>
        <v>50.375</v>
      </c>
      <c r="G4748" s="33" t="n">
        <f aca="false">IF(B4748=1,"",IF(B4748=2,C4747,SES_Alpha*C4747+(1-SES_Alpha)*G4747))</f>
        <v>51.0373891646424</v>
      </c>
      <c r="H4748" s="33" t="n">
        <f aca="false">IF(D4748="","",D4748-C4748)</f>
        <v>14</v>
      </c>
      <c r="I4748" s="33" t="n">
        <f aca="false">IF(E4748="","",E4748-C4748)</f>
        <v>6.75</v>
      </c>
      <c r="J4748" s="33" t="n">
        <f aca="false">IF(F4748="","",F4748-C4748)</f>
        <v>7.375</v>
      </c>
      <c r="K4748" s="33" t="n">
        <f aca="false">IF(G4748="","",G4748-C4748)</f>
        <v>8.03738916464243</v>
      </c>
      <c r="L4748" s="33" t="n">
        <f aca="false">IF(H4748="","",ABS(H4748))</f>
        <v>14</v>
      </c>
      <c r="M4748" s="33" t="n">
        <f aca="false">IF(I4748="","",ABS(I4748))</f>
        <v>6.75</v>
      </c>
      <c r="N4748" s="33" t="n">
        <f aca="false">IF(J4748="","",ABS(J4748))</f>
        <v>7.375</v>
      </c>
      <c r="O4748" s="33" t="n">
        <f aca="false">IF(K4748="","",ABS(K4748))</f>
        <v>8.03738916464243</v>
      </c>
      <c r="P4748" s="34" t="str">
        <f aca="false">IF(B4748&gt;=Eval_Start_Week,"YES","")</f>
        <v>YES</v>
      </c>
      <c r="Q4748" s="34" t="str">
        <f aca="false">IF(AND(B4748&gt;=Cal_Start_Week,B4748&lt;=Cal_End_Week),"YES","")</f>
        <v>YES</v>
      </c>
    </row>
    <row r="4749" customFormat="false" ht="15" hidden="false" customHeight="false" outlineLevel="0" collapsed="false">
      <c r="A4749" s="31" t="str">
        <f aca="false">Demand_History!C4749</f>
        <v>CLN-009</v>
      </c>
      <c r="B4749" s="31" t="n">
        <f aca="false">Demand_History!A4749</f>
        <v>68</v>
      </c>
      <c r="C4749" s="32" t="n">
        <f aca="false">Demand_History!D4749</f>
        <v>60</v>
      </c>
      <c r="D4749" s="33" t="n">
        <f aca="false">IF(B4749&gt;=2,C4748,"")</f>
        <v>43</v>
      </c>
      <c r="E4749" s="33" t="n">
        <f aca="false">IF(B4749&gt;=5,AVERAGE(C4745:C4748),"")</f>
        <v>48</v>
      </c>
      <c r="F4749" s="33" t="n">
        <f aca="false">IF(B4749&gt;=9,AVERAGE(C4741:C4748),"")</f>
        <v>49.125</v>
      </c>
      <c r="G4749" s="33" t="n">
        <f aca="false">IF(B4749=1,"",IF(B4749=2,C4748,SES_Alpha*C4748+(1-SES_Alpha)*G4748))</f>
        <v>48.6261724152497</v>
      </c>
      <c r="H4749" s="33" t="n">
        <f aca="false">IF(D4749="","",D4749-C4749)</f>
        <v>-17</v>
      </c>
      <c r="I4749" s="33" t="n">
        <f aca="false">IF(E4749="","",E4749-C4749)</f>
        <v>-12</v>
      </c>
      <c r="J4749" s="33" t="n">
        <f aca="false">IF(F4749="","",F4749-C4749)</f>
        <v>-10.875</v>
      </c>
      <c r="K4749" s="33" t="n">
        <f aca="false">IF(G4749="","",G4749-C4749)</f>
        <v>-11.3738275847503</v>
      </c>
      <c r="L4749" s="33" t="n">
        <f aca="false">IF(H4749="","",ABS(H4749))</f>
        <v>17</v>
      </c>
      <c r="M4749" s="33" t="n">
        <f aca="false">IF(I4749="","",ABS(I4749))</f>
        <v>12</v>
      </c>
      <c r="N4749" s="33" t="n">
        <f aca="false">IF(J4749="","",ABS(J4749))</f>
        <v>10.875</v>
      </c>
      <c r="O4749" s="33" t="n">
        <f aca="false">IF(K4749="","",ABS(K4749))</f>
        <v>11.3738275847503</v>
      </c>
      <c r="P4749" s="34" t="str">
        <f aca="false">IF(B4749&gt;=Eval_Start_Week,"YES","")</f>
        <v>YES</v>
      </c>
      <c r="Q4749" s="34" t="str">
        <f aca="false">IF(AND(B4749&gt;=Cal_Start_Week,B4749&lt;=Cal_End_Week),"YES","")</f>
        <v>YES</v>
      </c>
    </row>
    <row r="4750" customFormat="false" ht="15" hidden="false" customHeight="false" outlineLevel="0" collapsed="false">
      <c r="A4750" s="31" t="str">
        <f aca="false">Demand_History!C4750</f>
        <v>CLN-009</v>
      </c>
      <c r="B4750" s="31" t="n">
        <f aca="false">Demand_History!A4750</f>
        <v>69</v>
      </c>
      <c r="C4750" s="32" t="n">
        <f aca="false">Demand_History!D4750</f>
        <v>56</v>
      </c>
      <c r="D4750" s="33" t="n">
        <f aca="false">IF(B4750&gt;=2,C4749,"")</f>
        <v>60</v>
      </c>
      <c r="E4750" s="33" t="n">
        <f aca="false">IF(B4750&gt;=5,AVERAGE(C4746:C4749),"")</f>
        <v>52</v>
      </c>
      <c r="F4750" s="33" t="n">
        <f aca="false">IF(B4750&gt;=9,AVERAGE(C4742:C4749),"")</f>
        <v>50.5</v>
      </c>
      <c r="G4750" s="33" t="n">
        <f aca="false">IF(B4750=1,"",IF(B4750=2,C4749,SES_Alpha*C4749+(1-SES_Alpha)*G4749))</f>
        <v>52.0383206906748</v>
      </c>
      <c r="H4750" s="33" t="n">
        <f aca="false">IF(D4750="","",D4750-C4750)</f>
        <v>4</v>
      </c>
      <c r="I4750" s="33" t="n">
        <f aca="false">IF(E4750="","",E4750-C4750)</f>
        <v>-4</v>
      </c>
      <c r="J4750" s="33" t="n">
        <f aca="false">IF(F4750="","",F4750-C4750)</f>
        <v>-5.5</v>
      </c>
      <c r="K4750" s="33" t="n">
        <f aca="false">IF(G4750="","",G4750-C4750)</f>
        <v>-3.96167930932521</v>
      </c>
      <c r="L4750" s="33" t="n">
        <f aca="false">IF(H4750="","",ABS(H4750))</f>
        <v>4</v>
      </c>
      <c r="M4750" s="33" t="n">
        <f aca="false">IF(I4750="","",ABS(I4750))</f>
        <v>4</v>
      </c>
      <c r="N4750" s="33" t="n">
        <f aca="false">IF(J4750="","",ABS(J4750))</f>
        <v>5.5</v>
      </c>
      <c r="O4750" s="33" t="n">
        <f aca="false">IF(K4750="","",ABS(K4750))</f>
        <v>3.96167930932521</v>
      </c>
      <c r="P4750" s="34" t="str">
        <f aca="false">IF(B4750&gt;=Eval_Start_Week,"YES","")</f>
        <v>YES</v>
      </c>
      <c r="Q4750" s="34" t="str">
        <f aca="false">IF(AND(B4750&gt;=Cal_Start_Week,B4750&lt;=Cal_End_Week),"YES","")</f>
        <v>YES</v>
      </c>
    </row>
    <row r="4751" customFormat="false" ht="15" hidden="false" customHeight="false" outlineLevel="0" collapsed="false">
      <c r="A4751" s="31" t="str">
        <f aca="false">Demand_History!C4751</f>
        <v>CLN-009</v>
      </c>
      <c r="B4751" s="31" t="n">
        <f aca="false">Demand_History!A4751</f>
        <v>70</v>
      </c>
      <c r="C4751" s="32" t="n">
        <f aca="false">Demand_History!D4751</f>
        <v>50</v>
      </c>
      <c r="D4751" s="33" t="n">
        <f aca="false">IF(B4751&gt;=2,C4750,"")</f>
        <v>56</v>
      </c>
      <c r="E4751" s="33" t="n">
        <f aca="false">IF(B4751&gt;=5,AVERAGE(C4747:C4750),"")</f>
        <v>54</v>
      </c>
      <c r="F4751" s="33" t="n">
        <f aca="false">IF(B4751&gt;=9,AVERAGE(C4743:C4750),"")</f>
        <v>52</v>
      </c>
      <c r="G4751" s="33" t="n">
        <f aca="false">IF(B4751=1,"",IF(B4751=2,C4750,SES_Alpha*C4750+(1-SES_Alpha)*G4750))</f>
        <v>53.2268244834724</v>
      </c>
      <c r="H4751" s="33" t="n">
        <f aca="false">IF(D4751="","",D4751-C4751)</f>
        <v>6</v>
      </c>
      <c r="I4751" s="33" t="n">
        <f aca="false">IF(E4751="","",E4751-C4751)</f>
        <v>4</v>
      </c>
      <c r="J4751" s="33" t="n">
        <f aca="false">IF(F4751="","",F4751-C4751)</f>
        <v>2</v>
      </c>
      <c r="K4751" s="33" t="n">
        <f aca="false">IF(G4751="","",G4751-C4751)</f>
        <v>3.22682448347236</v>
      </c>
      <c r="L4751" s="33" t="n">
        <f aca="false">IF(H4751="","",ABS(H4751))</f>
        <v>6</v>
      </c>
      <c r="M4751" s="33" t="n">
        <f aca="false">IF(I4751="","",ABS(I4751))</f>
        <v>4</v>
      </c>
      <c r="N4751" s="33" t="n">
        <f aca="false">IF(J4751="","",ABS(J4751))</f>
        <v>2</v>
      </c>
      <c r="O4751" s="33" t="n">
        <f aca="false">IF(K4751="","",ABS(K4751))</f>
        <v>3.22682448347236</v>
      </c>
      <c r="P4751" s="34" t="str">
        <f aca="false">IF(B4751&gt;=Eval_Start_Week,"YES","")</f>
        <v>YES</v>
      </c>
      <c r="Q4751" s="34" t="str">
        <f aca="false">IF(AND(B4751&gt;=Cal_Start_Week,B4751&lt;=Cal_End_Week),"YES","")</f>
        <v>YES</v>
      </c>
    </row>
    <row r="4752" customFormat="false" ht="15" hidden="false" customHeight="false" outlineLevel="0" collapsed="false">
      <c r="A4752" s="31" t="str">
        <f aca="false">Demand_History!C4752</f>
        <v>CLN-009</v>
      </c>
      <c r="B4752" s="31" t="n">
        <f aca="false">Demand_History!A4752</f>
        <v>71</v>
      </c>
      <c r="C4752" s="32" t="n">
        <f aca="false">Demand_History!D4752</f>
        <v>61</v>
      </c>
      <c r="D4752" s="33" t="n">
        <f aca="false">IF(B4752&gt;=2,C4751,"")</f>
        <v>50</v>
      </c>
      <c r="E4752" s="33" t="n">
        <f aca="false">IF(B4752&gt;=5,AVERAGE(C4748:C4751),"")</f>
        <v>52.25</v>
      </c>
      <c r="F4752" s="33" t="n">
        <f aca="false">IF(B4752&gt;=9,AVERAGE(C4744:C4751),"")</f>
        <v>51</v>
      </c>
      <c r="G4752" s="33" t="n">
        <f aca="false">IF(B4752=1,"",IF(B4752=2,C4751,SES_Alpha*C4751+(1-SES_Alpha)*G4751))</f>
        <v>52.2587771384306</v>
      </c>
      <c r="H4752" s="33" t="n">
        <f aca="false">IF(D4752="","",D4752-C4752)</f>
        <v>-11</v>
      </c>
      <c r="I4752" s="33" t="n">
        <f aca="false">IF(E4752="","",E4752-C4752)</f>
        <v>-8.75</v>
      </c>
      <c r="J4752" s="33" t="n">
        <f aca="false">IF(F4752="","",F4752-C4752)</f>
        <v>-10</v>
      </c>
      <c r="K4752" s="33" t="n">
        <f aca="false">IF(G4752="","",G4752-C4752)</f>
        <v>-8.74122286156936</v>
      </c>
      <c r="L4752" s="33" t="n">
        <f aca="false">IF(H4752="","",ABS(H4752))</f>
        <v>11</v>
      </c>
      <c r="M4752" s="33" t="n">
        <f aca="false">IF(I4752="","",ABS(I4752))</f>
        <v>8.75</v>
      </c>
      <c r="N4752" s="33" t="n">
        <f aca="false">IF(J4752="","",ABS(J4752))</f>
        <v>10</v>
      </c>
      <c r="O4752" s="33" t="n">
        <f aca="false">IF(K4752="","",ABS(K4752))</f>
        <v>8.74122286156936</v>
      </c>
      <c r="P4752" s="34" t="str">
        <f aca="false">IF(B4752&gt;=Eval_Start_Week,"YES","")</f>
        <v>YES</v>
      </c>
      <c r="Q4752" s="34" t="str">
        <f aca="false">IF(AND(B4752&gt;=Cal_Start_Week,B4752&lt;=Cal_End_Week),"YES","")</f>
        <v>YES</v>
      </c>
    </row>
    <row r="4753" customFormat="false" ht="15" hidden="false" customHeight="false" outlineLevel="0" collapsed="false">
      <c r="A4753" s="31" t="str">
        <f aca="false">Demand_History!C4753</f>
        <v>CLN-009</v>
      </c>
      <c r="B4753" s="31" t="n">
        <f aca="false">Demand_History!A4753</f>
        <v>72</v>
      </c>
      <c r="C4753" s="32" t="n">
        <f aca="false">Demand_History!D4753</f>
        <v>65</v>
      </c>
      <c r="D4753" s="33" t="n">
        <f aca="false">IF(B4753&gt;=2,C4752,"")</f>
        <v>61</v>
      </c>
      <c r="E4753" s="33" t="n">
        <f aca="false">IF(B4753&gt;=5,AVERAGE(C4749:C4752),"")</f>
        <v>56.75</v>
      </c>
      <c r="F4753" s="33" t="n">
        <f aca="false">IF(B4753&gt;=9,AVERAGE(C4745:C4752),"")</f>
        <v>52.375</v>
      </c>
      <c r="G4753" s="33" t="n">
        <f aca="false">IF(B4753=1,"",IF(B4753=2,C4752,SES_Alpha*C4752+(1-SES_Alpha)*G4752))</f>
        <v>54.8811439969014</v>
      </c>
      <c r="H4753" s="33" t="n">
        <f aca="false">IF(D4753="","",D4753-C4753)</f>
        <v>-4</v>
      </c>
      <c r="I4753" s="33" t="n">
        <f aca="false">IF(E4753="","",E4753-C4753)</f>
        <v>-8.25</v>
      </c>
      <c r="J4753" s="33" t="n">
        <f aca="false">IF(F4753="","",F4753-C4753)</f>
        <v>-12.625</v>
      </c>
      <c r="K4753" s="33" t="n">
        <f aca="false">IF(G4753="","",G4753-C4753)</f>
        <v>-10.1188560030986</v>
      </c>
      <c r="L4753" s="33" t="n">
        <f aca="false">IF(H4753="","",ABS(H4753))</f>
        <v>4</v>
      </c>
      <c r="M4753" s="33" t="n">
        <f aca="false">IF(I4753="","",ABS(I4753))</f>
        <v>8.25</v>
      </c>
      <c r="N4753" s="33" t="n">
        <f aca="false">IF(J4753="","",ABS(J4753))</f>
        <v>12.625</v>
      </c>
      <c r="O4753" s="33" t="n">
        <f aca="false">IF(K4753="","",ABS(K4753))</f>
        <v>10.1188560030986</v>
      </c>
      <c r="P4753" s="34" t="str">
        <f aca="false">IF(B4753&gt;=Eval_Start_Week,"YES","")</f>
        <v>YES</v>
      </c>
      <c r="Q4753" s="34" t="str">
        <f aca="false">IF(AND(B4753&gt;=Cal_Start_Week,B4753&lt;=Cal_End_Week),"YES","")</f>
        <v>YES</v>
      </c>
    </row>
    <row r="4754" customFormat="false" ht="15" hidden="false" customHeight="false" outlineLevel="0" collapsed="false">
      <c r="A4754" s="31" t="str">
        <f aca="false">Demand_History!C4754</f>
        <v>CLN-009</v>
      </c>
      <c r="B4754" s="31" t="n">
        <f aca="false">Demand_History!A4754</f>
        <v>73</v>
      </c>
      <c r="C4754" s="32" t="n">
        <f aca="false">Demand_History!D4754</f>
        <v>57</v>
      </c>
      <c r="D4754" s="33" t="n">
        <f aca="false">IF(B4754&gt;=2,C4753,"")</f>
        <v>65</v>
      </c>
      <c r="E4754" s="33" t="n">
        <f aca="false">IF(B4754&gt;=5,AVERAGE(C4750:C4753),"")</f>
        <v>58</v>
      </c>
      <c r="F4754" s="33" t="n">
        <f aca="false">IF(B4754&gt;=9,AVERAGE(C4746:C4753),"")</f>
        <v>55</v>
      </c>
      <c r="G4754" s="33" t="n">
        <f aca="false">IF(B4754=1,"",IF(B4754=2,C4753,SES_Alpha*C4753+(1-SES_Alpha)*G4753))</f>
        <v>57.916800797831</v>
      </c>
      <c r="H4754" s="33" t="n">
        <f aca="false">IF(D4754="","",D4754-C4754)</f>
        <v>8</v>
      </c>
      <c r="I4754" s="33" t="n">
        <f aca="false">IF(E4754="","",E4754-C4754)</f>
        <v>1</v>
      </c>
      <c r="J4754" s="33" t="n">
        <f aca="false">IF(F4754="","",F4754-C4754)</f>
        <v>-2</v>
      </c>
      <c r="K4754" s="33" t="n">
        <f aca="false">IF(G4754="","",G4754-C4754)</f>
        <v>0.916800797831009</v>
      </c>
      <c r="L4754" s="33" t="n">
        <f aca="false">IF(H4754="","",ABS(H4754))</f>
        <v>8</v>
      </c>
      <c r="M4754" s="33" t="n">
        <f aca="false">IF(I4754="","",ABS(I4754))</f>
        <v>1</v>
      </c>
      <c r="N4754" s="33" t="n">
        <f aca="false">IF(J4754="","",ABS(J4754))</f>
        <v>2</v>
      </c>
      <c r="O4754" s="33" t="n">
        <f aca="false">IF(K4754="","",ABS(K4754))</f>
        <v>0.916800797831009</v>
      </c>
      <c r="P4754" s="34" t="str">
        <f aca="false">IF(B4754&gt;=Eval_Start_Week,"YES","")</f>
        <v>YES</v>
      </c>
      <c r="Q4754" s="34" t="str">
        <f aca="false">IF(AND(B4754&gt;=Cal_Start_Week,B4754&lt;=Cal_End_Week),"YES","")</f>
        <v>YES</v>
      </c>
    </row>
    <row r="4755" customFormat="false" ht="15" hidden="false" customHeight="false" outlineLevel="0" collapsed="false">
      <c r="A4755" s="31" t="str">
        <f aca="false">Demand_History!C4755</f>
        <v>CLN-009</v>
      </c>
      <c r="B4755" s="31" t="n">
        <f aca="false">Demand_History!A4755</f>
        <v>74</v>
      </c>
      <c r="C4755" s="32" t="n">
        <f aca="false">Demand_History!D4755</f>
        <v>54</v>
      </c>
      <c r="D4755" s="33" t="n">
        <f aca="false">IF(B4755&gt;=2,C4754,"")</f>
        <v>57</v>
      </c>
      <c r="E4755" s="33" t="n">
        <f aca="false">IF(B4755&gt;=5,AVERAGE(C4751:C4754),"")</f>
        <v>58.25</v>
      </c>
      <c r="F4755" s="33" t="n">
        <f aca="false">IF(B4755&gt;=9,AVERAGE(C4747:C4754),"")</f>
        <v>56.125</v>
      </c>
      <c r="G4755" s="33" t="n">
        <f aca="false">IF(B4755=1,"",IF(B4755=2,C4754,SES_Alpha*C4754+(1-SES_Alpha)*G4754))</f>
        <v>57.6417605584817</v>
      </c>
      <c r="H4755" s="33" t="n">
        <f aca="false">IF(D4755="","",D4755-C4755)</f>
        <v>3</v>
      </c>
      <c r="I4755" s="33" t="n">
        <f aca="false">IF(E4755="","",E4755-C4755)</f>
        <v>4.25</v>
      </c>
      <c r="J4755" s="33" t="n">
        <f aca="false">IF(F4755="","",F4755-C4755)</f>
        <v>2.125</v>
      </c>
      <c r="K4755" s="33" t="n">
        <f aca="false">IF(G4755="","",G4755-C4755)</f>
        <v>3.64176055848171</v>
      </c>
      <c r="L4755" s="33" t="n">
        <f aca="false">IF(H4755="","",ABS(H4755))</f>
        <v>3</v>
      </c>
      <c r="M4755" s="33" t="n">
        <f aca="false">IF(I4755="","",ABS(I4755))</f>
        <v>4.25</v>
      </c>
      <c r="N4755" s="33" t="n">
        <f aca="false">IF(J4755="","",ABS(J4755))</f>
        <v>2.125</v>
      </c>
      <c r="O4755" s="33" t="n">
        <f aca="false">IF(K4755="","",ABS(K4755))</f>
        <v>3.64176055848171</v>
      </c>
      <c r="P4755" s="34" t="str">
        <f aca="false">IF(B4755&gt;=Eval_Start_Week,"YES","")</f>
        <v>YES</v>
      </c>
      <c r="Q4755" s="34" t="str">
        <f aca="false">IF(AND(B4755&gt;=Cal_Start_Week,B4755&lt;=Cal_End_Week),"YES","")</f>
        <v>YES</v>
      </c>
    </row>
    <row r="4756" customFormat="false" ht="15" hidden="false" customHeight="false" outlineLevel="0" collapsed="false">
      <c r="A4756" s="31" t="str">
        <f aca="false">Demand_History!C4756</f>
        <v>CLN-009</v>
      </c>
      <c r="B4756" s="31" t="n">
        <f aca="false">Demand_History!A4756</f>
        <v>75</v>
      </c>
      <c r="C4756" s="32" t="n">
        <f aca="false">Demand_History!D4756</f>
        <v>66</v>
      </c>
      <c r="D4756" s="33" t="n">
        <f aca="false">IF(B4756&gt;=2,C4755,"")</f>
        <v>54</v>
      </c>
      <c r="E4756" s="33" t="n">
        <f aca="false">IF(B4756&gt;=5,AVERAGE(C4752:C4755),"")</f>
        <v>59.25</v>
      </c>
      <c r="F4756" s="33" t="n">
        <f aca="false">IF(B4756&gt;=9,AVERAGE(C4748:C4755),"")</f>
        <v>55.75</v>
      </c>
      <c r="G4756" s="33" t="n">
        <f aca="false">IF(B4756=1,"",IF(B4756=2,C4755,SES_Alpha*C4755+(1-SES_Alpha)*G4755))</f>
        <v>56.5492323909372</v>
      </c>
      <c r="H4756" s="33" t="n">
        <f aca="false">IF(D4756="","",D4756-C4756)</f>
        <v>-12</v>
      </c>
      <c r="I4756" s="33" t="n">
        <f aca="false">IF(E4756="","",E4756-C4756)</f>
        <v>-6.75</v>
      </c>
      <c r="J4756" s="33" t="n">
        <f aca="false">IF(F4756="","",F4756-C4756)</f>
        <v>-10.25</v>
      </c>
      <c r="K4756" s="33" t="n">
        <f aca="false">IF(G4756="","",G4756-C4756)</f>
        <v>-9.45076760906281</v>
      </c>
      <c r="L4756" s="33" t="n">
        <f aca="false">IF(H4756="","",ABS(H4756))</f>
        <v>12</v>
      </c>
      <c r="M4756" s="33" t="n">
        <f aca="false">IF(I4756="","",ABS(I4756))</f>
        <v>6.75</v>
      </c>
      <c r="N4756" s="33" t="n">
        <f aca="false">IF(J4756="","",ABS(J4756))</f>
        <v>10.25</v>
      </c>
      <c r="O4756" s="33" t="n">
        <f aca="false">IF(K4756="","",ABS(K4756))</f>
        <v>9.45076760906281</v>
      </c>
      <c r="P4756" s="34" t="str">
        <f aca="false">IF(B4756&gt;=Eval_Start_Week,"YES","")</f>
        <v>YES</v>
      </c>
      <c r="Q4756" s="34" t="str">
        <f aca="false">IF(AND(B4756&gt;=Cal_Start_Week,B4756&lt;=Cal_End_Week),"YES","")</f>
        <v>YES</v>
      </c>
    </row>
    <row r="4757" customFormat="false" ht="15" hidden="false" customHeight="false" outlineLevel="0" collapsed="false">
      <c r="A4757" s="31" t="str">
        <f aca="false">Demand_History!C4757</f>
        <v>CLN-009</v>
      </c>
      <c r="B4757" s="31" t="n">
        <f aca="false">Demand_History!A4757</f>
        <v>76</v>
      </c>
      <c r="C4757" s="32" t="n">
        <f aca="false">Demand_History!D4757</f>
        <v>64</v>
      </c>
      <c r="D4757" s="33" t="n">
        <f aca="false">IF(B4757&gt;=2,C4756,"")</f>
        <v>66</v>
      </c>
      <c r="E4757" s="33" t="n">
        <f aca="false">IF(B4757&gt;=5,AVERAGE(C4753:C4756),"")</f>
        <v>60.5</v>
      </c>
      <c r="F4757" s="33" t="n">
        <f aca="false">IF(B4757&gt;=9,AVERAGE(C4749:C4756),"")</f>
        <v>58.625</v>
      </c>
      <c r="G4757" s="33" t="n">
        <f aca="false">IF(B4757=1,"",IF(B4757=2,C4756,SES_Alpha*C4756+(1-SES_Alpha)*G4756))</f>
        <v>59.384462673656</v>
      </c>
      <c r="H4757" s="33" t="n">
        <f aca="false">IF(D4757="","",D4757-C4757)</f>
        <v>2</v>
      </c>
      <c r="I4757" s="33" t="n">
        <f aca="false">IF(E4757="","",E4757-C4757)</f>
        <v>-3.5</v>
      </c>
      <c r="J4757" s="33" t="n">
        <f aca="false">IF(F4757="","",F4757-C4757)</f>
        <v>-5.375</v>
      </c>
      <c r="K4757" s="33" t="n">
        <f aca="false">IF(G4757="","",G4757-C4757)</f>
        <v>-4.61553732634397</v>
      </c>
      <c r="L4757" s="33" t="n">
        <f aca="false">IF(H4757="","",ABS(H4757))</f>
        <v>2</v>
      </c>
      <c r="M4757" s="33" t="n">
        <f aca="false">IF(I4757="","",ABS(I4757))</f>
        <v>3.5</v>
      </c>
      <c r="N4757" s="33" t="n">
        <f aca="false">IF(J4757="","",ABS(J4757))</f>
        <v>5.375</v>
      </c>
      <c r="O4757" s="33" t="n">
        <f aca="false">IF(K4757="","",ABS(K4757))</f>
        <v>4.61553732634397</v>
      </c>
      <c r="P4757" s="34" t="str">
        <f aca="false">IF(B4757&gt;=Eval_Start_Week,"YES","")</f>
        <v>YES</v>
      </c>
      <c r="Q4757" s="34" t="str">
        <f aca="false">IF(AND(B4757&gt;=Cal_Start_Week,B4757&lt;=Cal_End_Week),"YES","")</f>
        <v>YES</v>
      </c>
    </row>
    <row r="4758" customFormat="false" ht="15" hidden="false" customHeight="false" outlineLevel="0" collapsed="false">
      <c r="A4758" s="31" t="str">
        <f aca="false">Demand_History!C4758</f>
        <v>CLN-009</v>
      </c>
      <c r="B4758" s="31" t="n">
        <f aca="false">Demand_History!A4758</f>
        <v>77</v>
      </c>
      <c r="C4758" s="32" t="n">
        <f aca="false">Demand_History!D4758</f>
        <v>48</v>
      </c>
      <c r="D4758" s="33" t="n">
        <f aca="false">IF(B4758&gt;=2,C4757,"")</f>
        <v>64</v>
      </c>
      <c r="E4758" s="33" t="n">
        <f aca="false">IF(B4758&gt;=5,AVERAGE(C4754:C4757),"")</f>
        <v>60.25</v>
      </c>
      <c r="F4758" s="33" t="n">
        <f aca="false">IF(B4758&gt;=9,AVERAGE(C4750:C4757),"")</f>
        <v>59.125</v>
      </c>
      <c r="G4758" s="33" t="n">
        <f aca="false">IF(B4758=1,"",IF(B4758=2,C4757,SES_Alpha*C4757+(1-SES_Alpha)*G4757))</f>
        <v>60.7691238715592</v>
      </c>
      <c r="H4758" s="33" t="n">
        <f aca="false">IF(D4758="","",D4758-C4758)</f>
        <v>16</v>
      </c>
      <c r="I4758" s="33" t="n">
        <f aca="false">IF(E4758="","",E4758-C4758)</f>
        <v>12.25</v>
      </c>
      <c r="J4758" s="33" t="n">
        <f aca="false">IF(F4758="","",F4758-C4758)</f>
        <v>11.125</v>
      </c>
      <c r="K4758" s="33" t="n">
        <f aca="false">IF(G4758="","",G4758-C4758)</f>
        <v>12.7691238715592</v>
      </c>
      <c r="L4758" s="33" t="n">
        <f aca="false">IF(H4758="","",ABS(H4758))</f>
        <v>16</v>
      </c>
      <c r="M4758" s="33" t="n">
        <f aca="false">IF(I4758="","",ABS(I4758))</f>
        <v>12.25</v>
      </c>
      <c r="N4758" s="33" t="n">
        <f aca="false">IF(J4758="","",ABS(J4758))</f>
        <v>11.125</v>
      </c>
      <c r="O4758" s="33" t="n">
        <f aca="false">IF(K4758="","",ABS(K4758))</f>
        <v>12.7691238715592</v>
      </c>
      <c r="P4758" s="34" t="str">
        <f aca="false">IF(B4758&gt;=Eval_Start_Week,"YES","")</f>
        <v>YES</v>
      </c>
      <c r="Q4758" s="34" t="str">
        <f aca="false">IF(AND(B4758&gt;=Cal_Start_Week,B4758&lt;=Cal_End_Week),"YES","")</f>
        <v>YES</v>
      </c>
    </row>
    <row r="4759" customFormat="false" ht="15" hidden="false" customHeight="false" outlineLevel="0" collapsed="false">
      <c r="A4759" s="31" t="str">
        <f aca="false">Demand_History!C4759</f>
        <v>CLN-009</v>
      </c>
      <c r="B4759" s="31" t="n">
        <f aca="false">Demand_History!A4759</f>
        <v>78</v>
      </c>
      <c r="C4759" s="32" t="n">
        <f aca="false">Demand_History!D4759</f>
        <v>53</v>
      </c>
      <c r="D4759" s="33" t="n">
        <f aca="false">IF(B4759&gt;=2,C4758,"")</f>
        <v>48</v>
      </c>
      <c r="E4759" s="33" t="n">
        <f aca="false">IF(B4759&gt;=5,AVERAGE(C4755:C4758),"")</f>
        <v>58</v>
      </c>
      <c r="F4759" s="33" t="n">
        <f aca="false">IF(B4759&gt;=9,AVERAGE(C4751:C4758),"")</f>
        <v>58.125</v>
      </c>
      <c r="G4759" s="33" t="n">
        <f aca="false">IF(B4759=1,"",IF(B4759=2,C4758,SES_Alpha*C4758+(1-SES_Alpha)*G4758))</f>
        <v>56.9383867100915</v>
      </c>
      <c r="H4759" s="33" t="n">
        <f aca="false">IF(D4759="","",D4759-C4759)</f>
        <v>-5</v>
      </c>
      <c r="I4759" s="33" t="n">
        <f aca="false">IF(E4759="","",E4759-C4759)</f>
        <v>5</v>
      </c>
      <c r="J4759" s="33" t="n">
        <f aca="false">IF(F4759="","",F4759-C4759)</f>
        <v>5.125</v>
      </c>
      <c r="K4759" s="33" t="n">
        <f aca="false">IF(G4759="","",G4759-C4759)</f>
        <v>3.93838671009145</v>
      </c>
      <c r="L4759" s="33" t="n">
        <f aca="false">IF(H4759="","",ABS(H4759))</f>
        <v>5</v>
      </c>
      <c r="M4759" s="33" t="n">
        <f aca="false">IF(I4759="","",ABS(I4759))</f>
        <v>5</v>
      </c>
      <c r="N4759" s="33" t="n">
        <f aca="false">IF(J4759="","",ABS(J4759))</f>
        <v>5.125</v>
      </c>
      <c r="O4759" s="33" t="n">
        <f aca="false">IF(K4759="","",ABS(K4759))</f>
        <v>3.93838671009145</v>
      </c>
      <c r="P4759" s="34" t="str">
        <f aca="false">IF(B4759&gt;=Eval_Start_Week,"YES","")</f>
        <v>YES</v>
      </c>
      <c r="Q4759" s="34" t="str">
        <f aca="false">IF(AND(B4759&gt;=Cal_Start_Week,B4759&lt;=Cal_End_Week),"YES","")</f>
        <v>YES</v>
      </c>
    </row>
    <row r="4760" customFormat="false" ht="15" hidden="false" customHeight="false" outlineLevel="0" collapsed="false">
      <c r="A4760" s="31" t="str">
        <f aca="false">Demand_History!C4760</f>
        <v>CLN-009</v>
      </c>
      <c r="B4760" s="31" t="n">
        <f aca="false">Demand_History!A4760</f>
        <v>79</v>
      </c>
      <c r="C4760" s="32" t="n">
        <f aca="false">Demand_History!D4760</f>
        <v>53</v>
      </c>
      <c r="D4760" s="33" t="n">
        <f aca="false">IF(B4760&gt;=2,C4759,"")</f>
        <v>53</v>
      </c>
      <c r="E4760" s="33" t="n">
        <f aca="false">IF(B4760&gt;=5,AVERAGE(C4756:C4759),"")</f>
        <v>57.75</v>
      </c>
      <c r="F4760" s="33" t="n">
        <f aca="false">IF(B4760&gt;=9,AVERAGE(C4752:C4759),"")</f>
        <v>58.5</v>
      </c>
      <c r="G4760" s="33" t="n">
        <f aca="false">IF(B4760=1,"",IF(B4760=2,C4759,SES_Alpha*C4759+(1-SES_Alpha)*G4759))</f>
        <v>55.756870697064</v>
      </c>
      <c r="H4760" s="33" t="n">
        <f aca="false">IF(D4760="","",D4760-C4760)</f>
        <v>0</v>
      </c>
      <c r="I4760" s="33" t="n">
        <f aca="false">IF(E4760="","",E4760-C4760)</f>
        <v>4.75</v>
      </c>
      <c r="J4760" s="33" t="n">
        <f aca="false">IF(F4760="","",F4760-C4760)</f>
        <v>5.5</v>
      </c>
      <c r="K4760" s="33" t="n">
        <f aca="false">IF(G4760="","",G4760-C4760)</f>
        <v>2.75687069706401</v>
      </c>
      <c r="L4760" s="33" t="n">
        <f aca="false">IF(H4760="","",ABS(H4760))</f>
        <v>0</v>
      </c>
      <c r="M4760" s="33" t="n">
        <f aca="false">IF(I4760="","",ABS(I4760))</f>
        <v>4.75</v>
      </c>
      <c r="N4760" s="33" t="n">
        <f aca="false">IF(J4760="","",ABS(J4760))</f>
        <v>5.5</v>
      </c>
      <c r="O4760" s="33" t="n">
        <f aca="false">IF(K4760="","",ABS(K4760))</f>
        <v>2.75687069706401</v>
      </c>
      <c r="P4760" s="34" t="str">
        <f aca="false">IF(B4760&gt;=Eval_Start_Week,"YES","")</f>
        <v>YES</v>
      </c>
      <c r="Q4760" s="34" t="str">
        <f aca="false">IF(AND(B4760&gt;=Cal_Start_Week,B4760&lt;=Cal_End_Week),"YES","")</f>
        <v>YES</v>
      </c>
    </row>
    <row r="4761" customFormat="false" ht="15" hidden="false" customHeight="false" outlineLevel="0" collapsed="false">
      <c r="A4761" s="31" t="str">
        <f aca="false">Demand_History!C4761</f>
        <v>CLN-009</v>
      </c>
      <c r="B4761" s="31" t="n">
        <f aca="false">Demand_History!A4761</f>
        <v>80</v>
      </c>
      <c r="C4761" s="32" t="n">
        <f aca="false">Demand_History!D4761</f>
        <v>52</v>
      </c>
      <c r="D4761" s="33" t="n">
        <f aca="false">IF(B4761&gt;=2,C4760,"")</f>
        <v>53</v>
      </c>
      <c r="E4761" s="33" t="n">
        <f aca="false">IF(B4761&gt;=5,AVERAGE(C4757:C4760),"")</f>
        <v>54.5</v>
      </c>
      <c r="F4761" s="33" t="n">
        <f aca="false">IF(B4761&gt;=9,AVERAGE(C4753:C4760),"")</f>
        <v>57.5</v>
      </c>
      <c r="G4761" s="33" t="n">
        <f aca="false">IF(B4761=1,"",IF(B4761=2,C4760,SES_Alpha*C4760+(1-SES_Alpha)*G4760))</f>
        <v>54.9298094879448</v>
      </c>
      <c r="H4761" s="33" t="n">
        <f aca="false">IF(D4761="","",D4761-C4761)</f>
        <v>1</v>
      </c>
      <c r="I4761" s="33" t="n">
        <f aca="false">IF(E4761="","",E4761-C4761)</f>
        <v>2.5</v>
      </c>
      <c r="J4761" s="33" t="n">
        <f aca="false">IF(F4761="","",F4761-C4761)</f>
        <v>5.5</v>
      </c>
      <c r="K4761" s="33" t="n">
        <f aca="false">IF(G4761="","",G4761-C4761)</f>
        <v>2.9298094879448</v>
      </c>
      <c r="L4761" s="33" t="n">
        <f aca="false">IF(H4761="","",ABS(H4761))</f>
        <v>1</v>
      </c>
      <c r="M4761" s="33" t="n">
        <f aca="false">IF(I4761="","",ABS(I4761))</f>
        <v>2.5</v>
      </c>
      <c r="N4761" s="33" t="n">
        <f aca="false">IF(J4761="","",ABS(J4761))</f>
        <v>5.5</v>
      </c>
      <c r="O4761" s="33" t="n">
        <f aca="false">IF(K4761="","",ABS(K4761))</f>
        <v>2.9298094879448</v>
      </c>
      <c r="P4761" s="34" t="str">
        <f aca="false">IF(B4761&gt;=Eval_Start_Week,"YES","")</f>
        <v>YES</v>
      </c>
      <c r="Q4761" s="34" t="str">
        <f aca="false">IF(AND(B4761&gt;=Cal_Start_Week,B4761&lt;=Cal_End_Week),"YES","")</f>
        <v>YES</v>
      </c>
    </row>
    <row r="4762" customFormat="false" ht="15" hidden="false" customHeight="false" outlineLevel="0" collapsed="false">
      <c r="A4762" s="31" t="str">
        <f aca="false">Demand_History!C4762</f>
        <v>CLN-009</v>
      </c>
      <c r="B4762" s="31" t="n">
        <f aca="false">Demand_History!A4762</f>
        <v>81</v>
      </c>
      <c r="C4762" s="32" t="n">
        <f aca="false">Demand_History!D4762</f>
        <v>45</v>
      </c>
      <c r="D4762" s="33" t="n">
        <f aca="false">IF(B4762&gt;=2,C4761,"")</f>
        <v>52</v>
      </c>
      <c r="E4762" s="33" t="n">
        <f aca="false">IF(B4762&gt;=5,AVERAGE(C4758:C4761),"")</f>
        <v>51.5</v>
      </c>
      <c r="F4762" s="33" t="n">
        <f aca="false">IF(B4762&gt;=9,AVERAGE(C4754:C4761),"")</f>
        <v>55.875</v>
      </c>
      <c r="G4762" s="33" t="n">
        <f aca="false">IF(B4762=1,"",IF(B4762=2,C4761,SES_Alpha*C4761+(1-SES_Alpha)*G4761))</f>
        <v>54.0508666415614</v>
      </c>
      <c r="H4762" s="33" t="n">
        <f aca="false">IF(D4762="","",D4762-C4762)</f>
        <v>7</v>
      </c>
      <c r="I4762" s="33" t="n">
        <f aca="false">IF(E4762="","",E4762-C4762)</f>
        <v>6.5</v>
      </c>
      <c r="J4762" s="33" t="n">
        <f aca="false">IF(F4762="","",F4762-C4762)</f>
        <v>10.875</v>
      </c>
      <c r="K4762" s="33" t="n">
        <f aca="false">IF(G4762="","",G4762-C4762)</f>
        <v>9.05086664156136</v>
      </c>
      <c r="L4762" s="33" t="n">
        <f aca="false">IF(H4762="","",ABS(H4762))</f>
        <v>7</v>
      </c>
      <c r="M4762" s="33" t="n">
        <f aca="false">IF(I4762="","",ABS(I4762))</f>
        <v>6.5</v>
      </c>
      <c r="N4762" s="33" t="n">
        <f aca="false">IF(J4762="","",ABS(J4762))</f>
        <v>10.875</v>
      </c>
      <c r="O4762" s="33" t="n">
        <f aca="false">IF(K4762="","",ABS(K4762))</f>
        <v>9.05086664156136</v>
      </c>
      <c r="P4762" s="34" t="str">
        <f aca="false">IF(B4762&gt;=Eval_Start_Week,"YES","")</f>
        <v>YES</v>
      </c>
      <c r="Q4762" s="34" t="str">
        <f aca="false">IF(AND(B4762&gt;=Cal_Start_Week,B4762&lt;=Cal_End_Week),"YES","")</f>
        <v>YES</v>
      </c>
    </row>
    <row r="4763" customFormat="false" ht="15" hidden="false" customHeight="false" outlineLevel="0" collapsed="false">
      <c r="A4763" s="31" t="str">
        <f aca="false">Demand_History!C4763</f>
        <v>CLN-009</v>
      </c>
      <c r="B4763" s="31" t="n">
        <f aca="false">Demand_History!A4763</f>
        <v>82</v>
      </c>
      <c r="C4763" s="32" t="n">
        <f aca="false">Demand_History!D4763</f>
        <v>62</v>
      </c>
      <c r="D4763" s="33" t="n">
        <f aca="false">IF(B4763&gt;=2,C4762,"")</f>
        <v>45</v>
      </c>
      <c r="E4763" s="33" t="n">
        <f aca="false">IF(B4763&gt;=5,AVERAGE(C4759:C4762),"")</f>
        <v>50.75</v>
      </c>
      <c r="F4763" s="33" t="n">
        <f aca="false">IF(B4763&gt;=9,AVERAGE(C4755:C4762),"")</f>
        <v>54.375</v>
      </c>
      <c r="G4763" s="33" t="n">
        <f aca="false">IF(B4763=1,"",IF(B4763=2,C4762,SES_Alpha*C4762+(1-SES_Alpha)*G4762))</f>
        <v>51.335606649093</v>
      </c>
      <c r="H4763" s="33" t="n">
        <f aca="false">IF(D4763="","",D4763-C4763)</f>
        <v>-17</v>
      </c>
      <c r="I4763" s="33" t="n">
        <f aca="false">IF(E4763="","",E4763-C4763)</f>
        <v>-11.25</v>
      </c>
      <c r="J4763" s="33" t="n">
        <f aca="false">IF(F4763="","",F4763-C4763)</f>
        <v>-7.625</v>
      </c>
      <c r="K4763" s="33" t="n">
        <f aca="false">IF(G4763="","",G4763-C4763)</f>
        <v>-10.664393350907</v>
      </c>
      <c r="L4763" s="33" t="n">
        <f aca="false">IF(H4763="","",ABS(H4763))</f>
        <v>17</v>
      </c>
      <c r="M4763" s="33" t="n">
        <f aca="false">IF(I4763="","",ABS(I4763))</f>
        <v>11.25</v>
      </c>
      <c r="N4763" s="33" t="n">
        <f aca="false">IF(J4763="","",ABS(J4763))</f>
        <v>7.625</v>
      </c>
      <c r="O4763" s="33" t="n">
        <f aca="false">IF(K4763="","",ABS(K4763))</f>
        <v>10.664393350907</v>
      </c>
      <c r="P4763" s="34" t="str">
        <f aca="false">IF(B4763&gt;=Eval_Start_Week,"YES","")</f>
        <v>YES</v>
      </c>
      <c r="Q4763" s="34" t="str">
        <f aca="false">IF(AND(B4763&gt;=Cal_Start_Week,B4763&lt;=Cal_End_Week),"YES","")</f>
        <v>YES</v>
      </c>
    </row>
    <row r="4764" customFormat="false" ht="15" hidden="false" customHeight="false" outlineLevel="0" collapsed="false">
      <c r="A4764" s="31" t="str">
        <f aca="false">Demand_History!C4764</f>
        <v>CLN-009</v>
      </c>
      <c r="B4764" s="31" t="n">
        <f aca="false">Demand_History!A4764</f>
        <v>83</v>
      </c>
      <c r="C4764" s="32" t="n">
        <f aca="false">Demand_History!D4764</f>
        <v>57</v>
      </c>
      <c r="D4764" s="33" t="n">
        <f aca="false">IF(B4764&gt;=2,C4763,"")</f>
        <v>62</v>
      </c>
      <c r="E4764" s="33" t="n">
        <f aca="false">IF(B4764&gt;=5,AVERAGE(C4760:C4763),"")</f>
        <v>53</v>
      </c>
      <c r="F4764" s="33" t="n">
        <f aca="false">IF(B4764&gt;=9,AVERAGE(C4756:C4763),"")</f>
        <v>55.375</v>
      </c>
      <c r="G4764" s="33" t="n">
        <f aca="false">IF(B4764=1,"",IF(B4764=2,C4763,SES_Alpha*C4763+(1-SES_Alpha)*G4763))</f>
        <v>54.5349246543651</v>
      </c>
      <c r="H4764" s="33" t="n">
        <f aca="false">IF(D4764="","",D4764-C4764)</f>
        <v>5</v>
      </c>
      <c r="I4764" s="33" t="n">
        <f aca="false">IF(E4764="","",E4764-C4764)</f>
        <v>-4</v>
      </c>
      <c r="J4764" s="33" t="n">
        <f aca="false">IF(F4764="","",F4764-C4764)</f>
        <v>-1.625</v>
      </c>
      <c r="K4764" s="33" t="n">
        <f aca="false">IF(G4764="","",G4764-C4764)</f>
        <v>-2.46507534563494</v>
      </c>
      <c r="L4764" s="33" t="n">
        <f aca="false">IF(H4764="","",ABS(H4764))</f>
        <v>5</v>
      </c>
      <c r="M4764" s="33" t="n">
        <f aca="false">IF(I4764="","",ABS(I4764))</f>
        <v>4</v>
      </c>
      <c r="N4764" s="33" t="n">
        <f aca="false">IF(J4764="","",ABS(J4764))</f>
        <v>1.625</v>
      </c>
      <c r="O4764" s="33" t="n">
        <f aca="false">IF(K4764="","",ABS(K4764))</f>
        <v>2.46507534563494</v>
      </c>
      <c r="P4764" s="34" t="str">
        <f aca="false">IF(B4764&gt;=Eval_Start_Week,"YES","")</f>
        <v>YES</v>
      </c>
      <c r="Q4764" s="34" t="str">
        <f aca="false">IF(AND(B4764&gt;=Cal_Start_Week,B4764&lt;=Cal_End_Week),"YES","")</f>
        <v>YES</v>
      </c>
    </row>
    <row r="4765" customFormat="false" ht="15" hidden="false" customHeight="false" outlineLevel="0" collapsed="false">
      <c r="A4765" s="31" t="str">
        <f aca="false">Demand_History!C4765</f>
        <v>CLN-009</v>
      </c>
      <c r="B4765" s="31" t="n">
        <f aca="false">Demand_History!A4765</f>
        <v>84</v>
      </c>
      <c r="C4765" s="32" t="n">
        <f aca="false">Demand_History!D4765</f>
        <v>57</v>
      </c>
      <c r="D4765" s="33" t="n">
        <f aca="false">IF(B4765&gt;=2,C4764,"")</f>
        <v>57</v>
      </c>
      <c r="E4765" s="33" t="n">
        <f aca="false">IF(B4765&gt;=5,AVERAGE(C4761:C4764),"")</f>
        <v>54</v>
      </c>
      <c r="F4765" s="33" t="n">
        <f aca="false">IF(B4765&gt;=9,AVERAGE(C4757:C4764),"")</f>
        <v>54.25</v>
      </c>
      <c r="G4765" s="33" t="n">
        <f aca="false">IF(B4765=1,"",IF(B4765=2,C4764,SES_Alpha*C4764+(1-SES_Alpha)*G4764))</f>
        <v>55.2744472580555</v>
      </c>
      <c r="H4765" s="33" t="n">
        <f aca="false">IF(D4765="","",D4765-C4765)</f>
        <v>0</v>
      </c>
      <c r="I4765" s="33" t="n">
        <f aca="false">IF(E4765="","",E4765-C4765)</f>
        <v>-3</v>
      </c>
      <c r="J4765" s="33" t="n">
        <f aca="false">IF(F4765="","",F4765-C4765)</f>
        <v>-2.75</v>
      </c>
      <c r="K4765" s="33" t="n">
        <f aca="false">IF(G4765="","",G4765-C4765)</f>
        <v>-1.72555274194447</v>
      </c>
      <c r="L4765" s="33" t="n">
        <f aca="false">IF(H4765="","",ABS(H4765))</f>
        <v>0</v>
      </c>
      <c r="M4765" s="33" t="n">
        <f aca="false">IF(I4765="","",ABS(I4765))</f>
        <v>3</v>
      </c>
      <c r="N4765" s="33" t="n">
        <f aca="false">IF(J4765="","",ABS(J4765))</f>
        <v>2.75</v>
      </c>
      <c r="O4765" s="33" t="n">
        <f aca="false">IF(K4765="","",ABS(K4765))</f>
        <v>1.72555274194447</v>
      </c>
      <c r="P4765" s="34" t="str">
        <f aca="false">IF(B4765&gt;=Eval_Start_Week,"YES","")</f>
        <v>YES</v>
      </c>
      <c r="Q4765" s="34" t="str">
        <f aca="false">IF(AND(B4765&gt;=Cal_Start_Week,B4765&lt;=Cal_End_Week),"YES","")</f>
        <v>YES</v>
      </c>
    </row>
    <row r="4766" customFormat="false" ht="15" hidden="false" customHeight="false" outlineLevel="0" collapsed="false">
      <c r="A4766" s="31" t="str">
        <f aca="false">Demand_History!C4766</f>
        <v>CLN-009</v>
      </c>
      <c r="B4766" s="31" t="n">
        <f aca="false">Demand_History!A4766</f>
        <v>85</v>
      </c>
      <c r="C4766" s="32" t="n">
        <f aca="false">Demand_History!D4766</f>
        <v>67</v>
      </c>
      <c r="D4766" s="33" t="n">
        <f aca="false">IF(B4766&gt;=2,C4765,"")</f>
        <v>57</v>
      </c>
      <c r="E4766" s="33" t="n">
        <f aca="false">IF(B4766&gt;=5,AVERAGE(C4762:C4765),"")</f>
        <v>55.25</v>
      </c>
      <c r="F4766" s="33" t="n">
        <f aca="false">IF(B4766&gt;=9,AVERAGE(C4758:C4765),"")</f>
        <v>53.375</v>
      </c>
      <c r="G4766" s="33" t="n">
        <f aca="false">IF(B4766=1,"",IF(B4766=2,C4765,SES_Alpha*C4765+(1-SES_Alpha)*G4765))</f>
        <v>55.7921130806389</v>
      </c>
      <c r="H4766" s="33" t="n">
        <f aca="false">IF(D4766="","",D4766-C4766)</f>
        <v>-10</v>
      </c>
      <c r="I4766" s="33" t="n">
        <f aca="false">IF(E4766="","",E4766-C4766)</f>
        <v>-11.75</v>
      </c>
      <c r="J4766" s="33" t="n">
        <f aca="false">IF(F4766="","",F4766-C4766)</f>
        <v>-13.625</v>
      </c>
      <c r="K4766" s="33" t="n">
        <f aca="false">IF(G4766="","",G4766-C4766)</f>
        <v>-11.2078869193611</v>
      </c>
      <c r="L4766" s="33" t="n">
        <f aca="false">IF(H4766="","",ABS(H4766))</f>
        <v>10</v>
      </c>
      <c r="M4766" s="33" t="n">
        <f aca="false">IF(I4766="","",ABS(I4766))</f>
        <v>11.75</v>
      </c>
      <c r="N4766" s="33" t="n">
        <f aca="false">IF(J4766="","",ABS(J4766))</f>
        <v>13.625</v>
      </c>
      <c r="O4766" s="33" t="n">
        <f aca="false">IF(K4766="","",ABS(K4766))</f>
        <v>11.2078869193611</v>
      </c>
      <c r="P4766" s="34" t="str">
        <f aca="false">IF(B4766&gt;=Eval_Start_Week,"YES","")</f>
        <v>YES</v>
      </c>
      <c r="Q4766" s="34" t="str">
        <f aca="false">IF(AND(B4766&gt;=Cal_Start_Week,B4766&lt;=Cal_End_Week),"YES","")</f>
        <v>YES</v>
      </c>
    </row>
    <row r="4767" customFormat="false" ht="15" hidden="false" customHeight="false" outlineLevel="0" collapsed="false">
      <c r="A4767" s="31" t="str">
        <f aca="false">Demand_History!C4767</f>
        <v>CLN-009</v>
      </c>
      <c r="B4767" s="31" t="n">
        <f aca="false">Demand_History!A4767</f>
        <v>86</v>
      </c>
      <c r="C4767" s="32" t="n">
        <f aca="false">Demand_History!D4767</f>
        <v>53</v>
      </c>
      <c r="D4767" s="33" t="n">
        <f aca="false">IF(B4767&gt;=2,C4766,"")</f>
        <v>67</v>
      </c>
      <c r="E4767" s="33" t="n">
        <f aca="false">IF(B4767&gt;=5,AVERAGE(C4763:C4766),"")</f>
        <v>60.75</v>
      </c>
      <c r="F4767" s="33" t="n">
        <f aca="false">IF(B4767&gt;=9,AVERAGE(C4759:C4766),"")</f>
        <v>55.75</v>
      </c>
      <c r="G4767" s="33" t="n">
        <f aca="false">IF(B4767=1,"",IF(B4767=2,C4766,SES_Alpha*C4766+(1-SES_Alpha)*G4766))</f>
        <v>59.1544791564472</v>
      </c>
      <c r="H4767" s="33" t="n">
        <f aca="false">IF(D4767="","",D4767-C4767)</f>
        <v>14</v>
      </c>
      <c r="I4767" s="33" t="n">
        <f aca="false">IF(E4767="","",E4767-C4767)</f>
        <v>7.75</v>
      </c>
      <c r="J4767" s="33" t="n">
        <f aca="false">IF(F4767="","",F4767-C4767)</f>
        <v>2.75</v>
      </c>
      <c r="K4767" s="33" t="n">
        <f aca="false">IF(G4767="","",G4767-C4767)</f>
        <v>6.15447915644721</v>
      </c>
      <c r="L4767" s="33" t="n">
        <f aca="false">IF(H4767="","",ABS(H4767))</f>
        <v>14</v>
      </c>
      <c r="M4767" s="33" t="n">
        <f aca="false">IF(I4767="","",ABS(I4767))</f>
        <v>7.75</v>
      </c>
      <c r="N4767" s="33" t="n">
        <f aca="false">IF(J4767="","",ABS(J4767))</f>
        <v>2.75</v>
      </c>
      <c r="O4767" s="33" t="n">
        <f aca="false">IF(K4767="","",ABS(K4767))</f>
        <v>6.15447915644721</v>
      </c>
      <c r="P4767" s="34" t="str">
        <f aca="false">IF(B4767&gt;=Eval_Start_Week,"YES","")</f>
        <v>YES</v>
      </c>
      <c r="Q4767" s="34" t="str">
        <f aca="false">IF(AND(B4767&gt;=Cal_Start_Week,B4767&lt;=Cal_End_Week),"YES","")</f>
        <v>YES</v>
      </c>
    </row>
    <row r="4768" customFormat="false" ht="15" hidden="false" customHeight="false" outlineLevel="0" collapsed="false">
      <c r="A4768" s="31" t="str">
        <f aca="false">Demand_History!C4768</f>
        <v>CLN-009</v>
      </c>
      <c r="B4768" s="31" t="n">
        <f aca="false">Demand_History!A4768</f>
        <v>87</v>
      </c>
      <c r="C4768" s="32" t="n">
        <f aca="false">Demand_History!D4768</f>
        <v>57</v>
      </c>
      <c r="D4768" s="33" t="n">
        <f aca="false">IF(B4768&gt;=2,C4767,"")</f>
        <v>53</v>
      </c>
      <c r="E4768" s="33" t="n">
        <f aca="false">IF(B4768&gt;=5,AVERAGE(C4764:C4767),"")</f>
        <v>58.5</v>
      </c>
      <c r="F4768" s="33" t="n">
        <f aca="false">IF(B4768&gt;=9,AVERAGE(C4760:C4767),"")</f>
        <v>55.75</v>
      </c>
      <c r="G4768" s="33" t="n">
        <f aca="false">IF(B4768=1,"",IF(B4768=2,C4767,SES_Alpha*C4767+(1-SES_Alpha)*G4767))</f>
        <v>57.308135409513</v>
      </c>
      <c r="H4768" s="33" t="n">
        <f aca="false">IF(D4768="","",D4768-C4768)</f>
        <v>-4</v>
      </c>
      <c r="I4768" s="33" t="n">
        <f aca="false">IF(E4768="","",E4768-C4768)</f>
        <v>1.5</v>
      </c>
      <c r="J4768" s="33" t="n">
        <f aca="false">IF(F4768="","",F4768-C4768)</f>
        <v>-1.25</v>
      </c>
      <c r="K4768" s="33" t="n">
        <f aca="false">IF(G4768="","",G4768-C4768)</f>
        <v>0.308135409513042</v>
      </c>
      <c r="L4768" s="33" t="n">
        <f aca="false">IF(H4768="","",ABS(H4768))</f>
        <v>4</v>
      </c>
      <c r="M4768" s="33" t="n">
        <f aca="false">IF(I4768="","",ABS(I4768))</f>
        <v>1.5</v>
      </c>
      <c r="N4768" s="33" t="n">
        <f aca="false">IF(J4768="","",ABS(J4768))</f>
        <v>1.25</v>
      </c>
      <c r="O4768" s="33" t="n">
        <f aca="false">IF(K4768="","",ABS(K4768))</f>
        <v>0.308135409513042</v>
      </c>
      <c r="P4768" s="34" t="str">
        <f aca="false">IF(B4768&gt;=Eval_Start_Week,"YES","")</f>
        <v>YES</v>
      </c>
      <c r="Q4768" s="34" t="str">
        <f aca="false">IF(AND(B4768&gt;=Cal_Start_Week,B4768&lt;=Cal_End_Week),"YES","")</f>
        <v>YES</v>
      </c>
    </row>
    <row r="4769" customFormat="false" ht="15" hidden="false" customHeight="false" outlineLevel="0" collapsed="false">
      <c r="A4769" s="31" t="str">
        <f aca="false">Demand_History!C4769</f>
        <v>CLN-009</v>
      </c>
      <c r="B4769" s="31" t="n">
        <f aca="false">Demand_History!A4769</f>
        <v>88</v>
      </c>
      <c r="C4769" s="32" t="n">
        <f aca="false">Demand_History!D4769</f>
        <v>60</v>
      </c>
      <c r="D4769" s="33" t="n">
        <f aca="false">IF(B4769&gt;=2,C4768,"")</f>
        <v>57</v>
      </c>
      <c r="E4769" s="33" t="n">
        <f aca="false">IF(B4769&gt;=5,AVERAGE(C4765:C4768),"")</f>
        <v>58.5</v>
      </c>
      <c r="F4769" s="33" t="n">
        <f aca="false">IF(B4769&gt;=9,AVERAGE(C4761:C4768),"")</f>
        <v>56.25</v>
      </c>
      <c r="G4769" s="33" t="n">
        <f aca="false">IF(B4769=1,"",IF(B4769=2,C4768,SES_Alpha*C4768+(1-SES_Alpha)*G4768))</f>
        <v>57.2156947866591</v>
      </c>
      <c r="H4769" s="33" t="n">
        <f aca="false">IF(D4769="","",D4769-C4769)</f>
        <v>-3</v>
      </c>
      <c r="I4769" s="33" t="n">
        <f aca="false">IF(E4769="","",E4769-C4769)</f>
        <v>-1.5</v>
      </c>
      <c r="J4769" s="33" t="n">
        <f aca="false">IF(F4769="","",F4769-C4769)</f>
        <v>-3.75</v>
      </c>
      <c r="K4769" s="33" t="n">
        <f aca="false">IF(G4769="","",G4769-C4769)</f>
        <v>-2.78430521334087</v>
      </c>
      <c r="L4769" s="33" t="n">
        <f aca="false">IF(H4769="","",ABS(H4769))</f>
        <v>3</v>
      </c>
      <c r="M4769" s="33" t="n">
        <f aca="false">IF(I4769="","",ABS(I4769))</f>
        <v>1.5</v>
      </c>
      <c r="N4769" s="33" t="n">
        <f aca="false">IF(J4769="","",ABS(J4769))</f>
        <v>3.75</v>
      </c>
      <c r="O4769" s="33" t="n">
        <f aca="false">IF(K4769="","",ABS(K4769))</f>
        <v>2.78430521334087</v>
      </c>
      <c r="P4769" s="34" t="str">
        <f aca="false">IF(B4769&gt;=Eval_Start_Week,"YES","")</f>
        <v>YES</v>
      </c>
      <c r="Q4769" s="34" t="str">
        <f aca="false">IF(AND(B4769&gt;=Cal_Start_Week,B4769&lt;=Cal_End_Week),"YES","")</f>
        <v>YES</v>
      </c>
    </row>
    <row r="4770" customFormat="false" ht="15" hidden="false" customHeight="false" outlineLevel="0" collapsed="false">
      <c r="A4770" s="31" t="str">
        <f aca="false">Demand_History!C4770</f>
        <v>CLN-009</v>
      </c>
      <c r="B4770" s="31" t="n">
        <f aca="false">Demand_History!A4770</f>
        <v>89</v>
      </c>
      <c r="C4770" s="32" t="n">
        <f aca="false">Demand_History!D4770</f>
        <v>55</v>
      </c>
      <c r="D4770" s="33" t="n">
        <f aca="false">IF(B4770&gt;=2,C4769,"")</f>
        <v>60</v>
      </c>
      <c r="E4770" s="33" t="n">
        <f aca="false">IF(B4770&gt;=5,AVERAGE(C4766:C4769),"")</f>
        <v>59.25</v>
      </c>
      <c r="F4770" s="33" t="n">
        <f aca="false">IF(B4770&gt;=9,AVERAGE(C4762:C4769),"")</f>
        <v>57.25</v>
      </c>
      <c r="G4770" s="33" t="n">
        <f aca="false">IF(B4770=1,"",IF(B4770=2,C4769,SES_Alpha*C4769+(1-SES_Alpha)*G4769))</f>
        <v>58.0509863506614</v>
      </c>
      <c r="H4770" s="33" t="n">
        <f aca="false">IF(D4770="","",D4770-C4770)</f>
        <v>5</v>
      </c>
      <c r="I4770" s="33" t="n">
        <f aca="false">IF(E4770="","",E4770-C4770)</f>
        <v>4.25</v>
      </c>
      <c r="J4770" s="33" t="n">
        <f aca="false">IF(F4770="","",F4770-C4770)</f>
        <v>2.25</v>
      </c>
      <c r="K4770" s="33" t="n">
        <f aca="false">IF(G4770="","",G4770-C4770)</f>
        <v>3.05098635066139</v>
      </c>
      <c r="L4770" s="33" t="n">
        <f aca="false">IF(H4770="","",ABS(H4770))</f>
        <v>5</v>
      </c>
      <c r="M4770" s="33" t="n">
        <f aca="false">IF(I4770="","",ABS(I4770))</f>
        <v>4.25</v>
      </c>
      <c r="N4770" s="33" t="n">
        <f aca="false">IF(J4770="","",ABS(J4770))</f>
        <v>2.25</v>
      </c>
      <c r="O4770" s="33" t="n">
        <f aca="false">IF(K4770="","",ABS(K4770))</f>
        <v>3.05098635066139</v>
      </c>
      <c r="P4770" s="34" t="str">
        <f aca="false">IF(B4770&gt;=Eval_Start_Week,"YES","")</f>
        <v>YES</v>
      </c>
      <c r="Q4770" s="34" t="str">
        <f aca="false">IF(AND(B4770&gt;=Cal_Start_Week,B4770&lt;=Cal_End_Week),"YES","")</f>
        <v/>
      </c>
    </row>
    <row r="4771" customFormat="false" ht="15" hidden="false" customHeight="false" outlineLevel="0" collapsed="false">
      <c r="A4771" s="31" t="str">
        <f aca="false">Demand_History!C4771</f>
        <v>CLN-009</v>
      </c>
      <c r="B4771" s="31" t="n">
        <f aca="false">Demand_History!A4771</f>
        <v>90</v>
      </c>
      <c r="C4771" s="32" t="n">
        <f aca="false">Demand_History!D4771</f>
        <v>58</v>
      </c>
      <c r="D4771" s="33" t="n">
        <f aca="false">IF(B4771&gt;=2,C4770,"")</f>
        <v>55</v>
      </c>
      <c r="E4771" s="33" t="n">
        <f aca="false">IF(B4771&gt;=5,AVERAGE(C4767:C4770),"")</f>
        <v>56.25</v>
      </c>
      <c r="F4771" s="33" t="n">
        <f aca="false">IF(B4771&gt;=9,AVERAGE(C4763:C4770),"")</f>
        <v>58.5</v>
      </c>
      <c r="G4771" s="33" t="n">
        <f aca="false">IF(B4771=1,"",IF(B4771=2,C4770,SES_Alpha*C4770+(1-SES_Alpha)*G4770))</f>
        <v>57.135690445463</v>
      </c>
      <c r="H4771" s="33" t="n">
        <f aca="false">IF(D4771="","",D4771-C4771)</f>
        <v>-3</v>
      </c>
      <c r="I4771" s="33" t="n">
        <f aca="false">IF(E4771="","",E4771-C4771)</f>
        <v>-1.75</v>
      </c>
      <c r="J4771" s="33" t="n">
        <f aca="false">IF(F4771="","",F4771-C4771)</f>
        <v>0.5</v>
      </c>
      <c r="K4771" s="33" t="n">
        <f aca="false">IF(G4771="","",G4771-C4771)</f>
        <v>-0.86430955453703</v>
      </c>
      <c r="L4771" s="33" t="n">
        <f aca="false">IF(H4771="","",ABS(H4771))</f>
        <v>3</v>
      </c>
      <c r="M4771" s="33" t="n">
        <f aca="false">IF(I4771="","",ABS(I4771))</f>
        <v>1.75</v>
      </c>
      <c r="N4771" s="33" t="n">
        <f aca="false">IF(J4771="","",ABS(J4771))</f>
        <v>0.5</v>
      </c>
      <c r="O4771" s="33" t="n">
        <f aca="false">IF(K4771="","",ABS(K4771))</f>
        <v>0.86430955453703</v>
      </c>
      <c r="P4771" s="34" t="str">
        <f aca="false">IF(B4771&gt;=Eval_Start_Week,"YES","")</f>
        <v>YES</v>
      </c>
      <c r="Q4771" s="34" t="str">
        <f aca="false">IF(AND(B4771&gt;=Cal_Start_Week,B4771&lt;=Cal_End_Week),"YES","")</f>
        <v/>
      </c>
    </row>
    <row r="4772" customFormat="false" ht="15" hidden="false" customHeight="false" outlineLevel="0" collapsed="false">
      <c r="A4772" s="31" t="str">
        <f aca="false">Demand_History!C4772</f>
        <v>CLN-009</v>
      </c>
      <c r="B4772" s="31" t="n">
        <f aca="false">Demand_History!A4772</f>
        <v>91</v>
      </c>
      <c r="C4772" s="32" t="n">
        <f aca="false">Demand_History!D4772</f>
        <v>65</v>
      </c>
      <c r="D4772" s="33" t="n">
        <f aca="false">IF(B4772&gt;=2,C4771,"")</f>
        <v>58</v>
      </c>
      <c r="E4772" s="33" t="n">
        <f aca="false">IF(B4772&gt;=5,AVERAGE(C4768:C4771),"")</f>
        <v>57.5</v>
      </c>
      <c r="F4772" s="33" t="n">
        <f aca="false">IF(B4772&gt;=9,AVERAGE(C4764:C4771),"")</f>
        <v>58</v>
      </c>
      <c r="G4772" s="33" t="n">
        <f aca="false">IF(B4772=1,"",IF(B4772=2,C4771,SES_Alpha*C4771+(1-SES_Alpha)*G4771))</f>
        <v>57.3949833118241</v>
      </c>
      <c r="H4772" s="33" t="n">
        <f aca="false">IF(D4772="","",D4772-C4772)</f>
        <v>-7</v>
      </c>
      <c r="I4772" s="33" t="n">
        <f aca="false">IF(E4772="","",E4772-C4772)</f>
        <v>-7.5</v>
      </c>
      <c r="J4772" s="33" t="n">
        <f aca="false">IF(F4772="","",F4772-C4772)</f>
        <v>-7</v>
      </c>
      <c r="K4772" s="33" t="n">
        <f aca="false">IF(G4772="","",G4772-C4772)</f>
        <v>-7.60501668817592</v>
      </c>
      <c r="L4772" s="33" t="n">
        <f aca="false">IF(H4772="","",ABS(H4772))</f>
        <v>7</v>
      </c>
      <c r="M4772" s="33" t="n">
        <f aca="false">IF(I4772="","",ABS(I4772))</f>
        <v>7.5</v>
      </c>
      <c r="N4772" s="33" t="n">
        <f aca="false">IF(J4772="","",ABS(J4772))</f>
        <v>7</v>
      </c>
      <c r="O4772" s="33" t="n">
        <f aca="false">IF(K4772="","",ABS(K4772))</f>
        <v>7.60501668817592</v>
      </c>
      <c r="P4772" s="34" t="str">
        <f aca="false">IF(B4772&gt;=Eval_Start_Week,"YES","")</f>
        <v>YES</v>
      </c>
      <c r="Q4772" s="34" t="str">
        <f aca="false">IF(AND(B4772&gt;=Cal_Start_Week,B4772&lt;=Cal_End_Week),"YES","")</f>
        <v/>
      </c>
    </row>
    <row r="4773" customFormat="false" ht="15" hidden="false" customHeight="false" outlineLevel="0" collapsed="false">
      <c r="A4773" s="31" t="str">
        <f aca="false">Demand_History!C4773</f>
        <v>CLN-009</v>
      </c>
      <c r="B4773" s="31" t="n">
        <f aca="false">Demand_History!A4773</f>
        <v>92</v>
      </c>
      <c r="C4773" s="32" t="n">
        <f aca="false">Demand_History!D4773</f>
        <v>59</v>
      </c>
      <c r="D4773" s="33" t="n">
        <f aca="false">IF(B4773&gt;=2,C4772,"")</f>
        <v>65</v>
      </c>
      <c r="E4773" s="33" t="n">
        <f aca="false">IF(B4773&gt;=5,AVERAGE(C4769:C4772),"")</f>
        <v>59.5</v>
      </c>
      <c r="F4773" s="33" t="n">
        <f aca="false">IF(B4773&gt;=9,AVERAGE(C4765:C4772),"")</f>
        <v>59</v>
      </c>
      <c r="G4773" s="33" t="n">
        <f aca="false">IF(B4773=1,"",IF(B4773=2,C4772,SES_Alpha*C4772+(1-SES_Alpha)*G4772))</f>
        <v>59.6764883182769</v>
      </c>
      <c r="H4773" s="33" t="n">
        <f aca="false">IF(D4773="","",D4773-C4773)</f>
        <v>6</v>
      </c>
      <c r="I4773" s="33" t="n">
        <f aca="false">IF(E4773="","",E4773-C4773)</f>
        <v>0.5</v>
      </c>
      <c r="J4773" s="33" t="n">
        <f aca="false">IF(F4773="","",F4773-C4773)</f>
        <v>0</v>
      </c>
      <c r="K4773" s="33" t="n">
        <f aca="false">IF(G4773="","",G4773-C4773)</f>
        <v>0.676488318276853</v>
      </c>
      <c r="L4773" s="33" t="n">
        <f aca="false">IF(H4773="","",ABS(H4773))</f>
        <v>6</v>
      </c>
      <c r="M4773" s="33" t="n">
        <f aca="false">IF(I4773="","",ABS(I4773))</f>
        <v>0.5</v>
      </c>
      <c r="N4773" s="33" t="n">
        <f aca="false">IF(J4773="","",ABS(J4773))</f>
        <v>0</v>
      </c>
      <c r="O4773" s="33" t="n">
        <f aca="false">IF(K4773="","",ABS(K4773))</f>
        <v>0.676488318276853</v>
      </c>
      <c r="P4773" s="34" t="str">
        <f aca="false">IF(B4773&gt;=Eval_Start_Week,"YES","")</f>
        <v>YES</v>
      </c>
      <c r="Q4773" s="34" t="str">
        <f aca="false">IF(AND(B4773&gt;=Cal_Start_Week,B4773&lt;=Cal_End_Week),"YES","")</f>
        <v/>
      </c>
    </row>
    <row r="4774" customFormat="false" ht="15" hidden="false" customHeight="false" outlineLevel="0" collapsed="false">
      <c r="A4774" s="31" t="str">
        <f aca="false">Demand_History!C4774</f>
        <v>CLN-009</v>
      </c>
      <c r="B4774" s="31" t="n">
        <f aca="false">Demand_History!A4774</f>
        <v>93</v>
      </c>
      <c r="C4774" s="32" t="n">
        <f aca="false">Demand_History!D4774</f>
        <v>70</v>
      </c>
      <c r="D4774" s="33" t="n">
        <f aca="false">IF(B4774&gt;=2,C4773,"")</f>
        <v>59</v>
      </c>
      <c r="E4774" s="33" t="n">
        <f aca="false">IF(B4774&gt;=5,AVERAGE(C4770:C4773),"")</f>
        <v>59.25</v>
      </c>
      <c r="F4774" s="33" t="n">
        <f aca="false">IF(B4774&gt;=9,AVERAGE(C4766:C4773),"")</f>
        <v>59.25</v>
      </c>
      <c r="G4774" s="33" t="n">
        <f aca="false">IF(B4774=1,"",IF(B4774=2,C4773,SES_Alpha*C4773+(1-SES_Alpha)*G4773))</f>
        <v>59.4735418227938</v>
      </c>
      <c r="H4774" s="33" t="n">
        <f aca="false">IF(D4774="","",D4774-C4774)</f>
        <v>-11</v>
      </c>
      <c r="I4774" s="33" t="n">
        <f aca="false">IF(E4774="","",E4774-C4774)</f>
        <v>-10.75</v>
      </c>
      <c r="J4774" s="33" t="n">
        <f aca="false">IF(F4774="","",F4774-C4774)</f>
        <v>-10.75</v>
      </c>
      <c r="K4774" s="33" t="n">
        <f aca="false">IF(G4774="","",G4774-C4774)</f>
        <v>-10.5264581772062</v>
      </c>
      <c r="L4774" s="33" t="n">
        <f aca="false">IF(H4774="","",ABS(H4774))</f>
        <v>11</v>
      </c>
      <c r="M4774" s="33" t="n">
        <f aca="false">IF(I4774="","",ABS(I4774))</f>
        <v>10.75</v>
      </c>
      <c r="N4774" s="33" t="n">
        <f aca="false">IF(J4774="","",ABS(J4774))</f>
        <v>10.75</v>
      </c>
      <c r="O4774" s="33" t="n">
        <f aca="false">IF(K4774="","",ABS(K4774))</f>
        <v>10.5264581772062</v>
      </c>
      <c r="P4774" s="34" t="str">
        <f aca="false">IF(B4774&gt;=Eval_Start_Week,"YES","")</f>
        <v>YES</v>
      </c>
      <c r="Q4774" s="34" t="str">
        <f aca="false">IF(AND(B4774&gt;=Cal_Start_Week,B4774&lt;=Cal_End_Week),"YES","")</f>
        <v/>
      </c>
    </row>
    <row r="4775" customFormat="false" ht="15" hidden="false" customHeight="false" outlineLevel="0" collapsed="false">
      <c r="A4775" s="31" t="str">
        <f aca="false">Demand_History!C4775</f>
        <v>CLN-009</v>
      </c>
      <c r="B4775" s="31" t="n">
        <f aca="false">Demand_History!A4775</f>
        <v>94</v>
      </c>
      <c r="C4775" s="32" t="n">
        <f aca="false">Demand_History!D4775</f>
        <v>54</v>
      </c>
      <c r="D4775" s="33" t="n">
        <f aca="false">IF(B4775&gt;=2,C4774,"")</f>
        <v>70</v>
      </c>
      <c r="E4775" s="33" t="n">
        <f aca="false">IF(B4775&gt;=5,AVERAGE(C4771:C4774),"")</f>
        <v>63</v>
      </c>
      <c r="F4775" s="33" t="n">
        <f aca="false">IF(B4775&gt;=9,AVERAGE(C4767:C4774),"")</f>
        <v>59.625</v>
      </c>
      <c r="G4775" s="33" t="n">
        <f aca="false">IF(B4775=1,"",IF(B4775=2,C4774,SES_Alpha*C4774+(1-SES_Alpha)*G4774))</f>
        <v>62.6314792759557</v>
      </c>
      <c r="H4775" s="33" t="n">
        <f aca="false">IF(D4775="","",D4775-C4775)</f>
        <v>16</v>
      </c>
      <c r="I4775" s="33" t="n">
        <f aca="false">IF(E4775="","",E4775-C4775)</f>
        <v>9</v>
      </c>
      <c r="J4775" s="33" t="n">
        <f aca="false">IF(F4775="","",F4775-C4775)</f>
        <v>5.625</v>
      </c>
      <c r="K4775" s="33" t="n">
        <f aca="false">IF(G4775="","",G4775-C4775)</f>
        <v>8.63147927595565</v>
      </c>
      <c r="L4775" s="33" t="n">
        <f aca="false">IF(H4775="","",ABS(H4775))</f>
        <v>16</v>
      </c>
      <c r="M4775" s="33" t="n">
        <f aca="false">IF(I4775="","",ABS(I4775))</f>
        <v>9</v>
      </c>
      <c r="N4775" s="33" t="n">
        <f aca="false">IF(J4775="","",ABS(J4775))</f>
        <v>5.625</v>
      </c>
      <c r="O4775" s="33" t="n">
        <f aca="false">IF(K4775="","",ABS(K4775))</f>
        <v>8.63147927595565</v>
      </c>
      <c r="P4775" s="34" t="str">
        <f aca="false">IF(B4775&gt;=Eval_Start_Week,"YES","")</f>
        <v>YES</v>
      </c>
      <c r="Q4775" s="34" t="str">
        <f aca="false">IF(AND(B4775&gt;=Cal_Start_Week,B4775&lt;=Cal_End_Week),"YES","")</f>
        <v/>
      </c>
    </row>
    <row r="4776" customFormat="false" ht="15" hidden="false" customHeight="false" outlineLevel="0" collapsed="false">
      <c r="A4776" s="31" t="str">
        <f aca="false">Demand_History!C4776</f>
        <v>CLN-009</v>
      </c>
      <c r="B4776" s="31" t="n">
        <f aca="false">Demand_History!A4776</f>
        <v>95</v>
      </c>
      <c r="C4776" s="32" t="n">
        <f aca="false">Demand_History!D4776</f>
        <v>62</v>
      </c>
      <c r="D4776" s="33" t="n">
        <f aca="false">IF(B4776&gt;=2,C4775,"")</f>
        <v>54</v>
      </c>
      <c r="E4776" s="33" t="n">
        <f aca="false">IF(B4776&gt;=5,AVERAGE(C4772:C4775),"")</f>
        <v>62</v>
      </c>
      <c r="F4776" s="33" t="n">
        <f aca="false">IF(B4776&gt;=9,AVERAGE(C4768:C4775),"")</f>
        <v>59.75</v>
      </c>
      <c r="G4776" s="33" t="n">
        <f aca="false">IF(B4776=1,"",IF(B4776=2,C4775,SES_Alpha*C4775+(1-SES_Alpha)*G4775))</f>
        <v>60.042035493169</v>
      </c>
      <c r="H4776" s="33" t="n">
        <f aca="false">IF(D4776="","",D4776-C4776)</f>
        <v>-8</v>
      </c>
      <c r="I4776" s="33" t="n">
        <f aca="false">IF(E4776="","",E4776-C4776)</f>
        <v>0</v>
      </c>
      <c r="J4776" s="33" t="n">
        <f aca="false">IF(F4776="","",F4776-C4776)</f>
        <v>-2.25</v>
      </c>
      <c r="K4776" s="33" t="n">
        <f aca="false">IF(G4776="","",G4776-C4776)</f>
        <v>-1.95796450683105</v>
      </c>
      <c r="L4776" s="33" t="n">
        <f aca="false">IF(H4776="","",ABS(H4776))</f>
        <v>8</v>
      </c>
      <c r="M4776" s="33" t="n">
        <f aca="false">IF(I4776="","",ABS(I4776))</f>
        <v>0</v>
      </c>
      <c r="N4776" s="33" t="n">
        <f aca="false">IF(J4776="","",ABS(J4776))</f>
        <v>2.25</v>
      </c>
      <c r="O4776" s="33" t="n">
        <f aca="false">IF(K4776="","",ABS(K4776))</f>
        <v>1.95796450683105</v>
      </c>
      <c r="P4776" s="34" t="str">
        <f aca="false">IF(B4776&gt;=Eval_Start_Week,"YES","")</f>
        <v>YES</v>
      </c>
      <c r="Q4776" s="34" t="str">
        <f aca="false">IF(AND(B4776&gt;=Cal_Start_Week,B4776&lt;=Cal_End_Week),"YES","")</f>
        <v/>
      </c>
    </row>
    <row r="4777" customFormat="false" ht="15" hidden="false" customHeight="false" outlineLevel="0" collapsed="false">
      <c r="A4777" s="31" t="str">
        <f aca="false">Demand_History!C4777</f>
        <v>CLN-009</v>
      </c>
      <c r="B4777" s="31" t="n">
        <f aca="false">Demand_History!A4777</f>
        <v>96</v>
      </c>
      <c r="C4777" s="32" t="n">
        <f aca="false">Demand_History!D4777</f>
        <v>49</v>
      </c>
      <c r="D4777" s="33" t="n">
        <f aca="false">IF(B4777&gt;=2,C4776,"")</f>
        <v>62</v>
      </c>
      <c r="E4777" s="33" t="n">
        <f aca="false">IF(B4777&gt;=5,AVERAGE(C4773:C4776),"")</f>
        <v>61.25</v>
      </c>
      <c r="F4777" s="33" t="n">
        <f aca="false">IF(B4777&gt;=9,AVERAGE(C4769:C4776),"")</f>
        <v>60.375</v>
      </c>
      <c r="G4777" s="33" t="n">
        <f aca="false">IF(B4777=1,"",IF(B4777=2,C4776,SES_Alpha*C4776+(1-SES_Alpha)*G4776))</f>
        <v>60.6294248452183</v>
      </c>
      <c r="H4777" s="33" t="n">
        <f aca="false">IF(D4777="","",D4777-C4777)</f>
        <v>13</v>
      </c>
      <c r="I4777" s="33" t="n">
        <f aca="false">IF(E4777="","",E4777-C4777)</f>
        <v>12.25</v>
      </c>
      <c r="J4777" s="33" t="n">
        <f aca="false">IF(F4777="","",F4777-C4777)</f>
        <v>11.375</v>
      </c>
      <c r="K4777" s="33" t="n">
        <f aca="false">IF(G4777="","",G4777-C4777)</f>
        <v>11.6294248452183</v>
      </c>
      <c r="L4777" s="33" t="n">
        <f aca="false">IF(H4777="","",ABS(H4777))</f>
        <v>13</v>
      </c>
      <c r="M4777" s="33" t="n">
        <f aca="false">IF(I4777="","",ABS(I4777))</f>
        <v>12.25</v>
      </c>
      <c r="N4777" s="33" t="n">
        <f aca="false">IF(J4777="","",ABS(J4777))</f>
        <v>11.375</v>
      </c>
      <c r="O4777" s="33" t="n">
        <f aca="false">IF(K4777="","",ABS(K4777))</f>
        <v>11.6294248452183</v>
      </c>
      <c r="P4777" s="34" t="str">
        <f aca="false">IF(B4777&gt;=Eval_Start_Week,"YES","")</f>
        <v>YES</v>
      </c>
      <c r="Q4777" s="34" t="str">
        <f aca="false">IF(AND(B4777&gt;=Cal_Start_Week,B4777&lt;=Cal_End_Week),"YES","")</f>
        <v/>
      </c>
    </row>
    <row r="4778" customFormat="false" ht="15" hidden="false" customHeight="false" outlineLevel="0" collapsed="false">
      <c r="A4778" s="31" t="str">
        <f aca="false">Demand_History!C4778</f>
        <v>CLN-009</v>
      </c>
      <c r="B4778" s="31" t="n">
        <f aca="false">Demand_History!A4778</f>
        <v>97</v>
      </c>
      <c r="C4778" s="32" t="n">
        <f aca="false">Demand_History!D4778</f>
        <v>60</v>
      </c>
      <c r="D4778" s="33" t="n">
        <f aca="false">IF(B4778&gt;=2,C4777,"")</f>
        <v>49</v>
      </c>
      <c r="E4778" s="33" t="n">
        <f aca="false">IF(B4778&gt;=5,AVERAGE(C4774:C4777),"")</f>
        <v>58.75</v>
      </c>
      <c r="F4778" s="33" t="n">
        <f aca="false">IF(B4778&gt;=9,AVERAGE(C4770:C4777),"")</f>
        <v>59</v>
      </c>
      <c r="G4778" s="33" t="n">
        <f aca="false">IF(B4778=1,"",IF(B4778=2,C4777,SES_Alpha*C4777+(1-SES_Alpha)*G4777))</f>
        <v>57.1405973916528</v>
      </c>
      <c r="H4778" s="33" t="n">
        <f aca="false">IF(D4778="","",D4778-C4778)</f>
        <v>-11</v>
      </c>
      <c r="I4778" s="33" t="n">
        <f aca="false">IF(E4778="","",E4778-C4778)</f>
        <v>-1.25</v>
      </c>
      <c r="J4778" s="33" t="n">
        <f aca="false">IF(F4778="","",F4778-C4778)</f>
        <v>-1</v>
      </c>
      <c r="K4778" s="33" t="n">
        <f aca="false">IF(G4778="","",G4778-C4778)</f>
        <v>-2.85940260834721</v>
      </c>
      <c r="L4778" s="33" t="n">
        <f aca="false">IF(H4778="","",ABS(H4778))</f>
        <v>11</v>
      </c>
      <c r="M4778" s="33" t="n">
        <f aca="false">IF(I4778="","",ABS(I4778))</f>
        <v>1.25</v>
      </c>
      <c r="N4778" s="33" t="n">
        <f aca="false">IF(J4778="","",ABS(J4778))</f>
        <v>1</v>
      </c>
      <c r="O4778" s="33" t="n">
        <f aca="false">IF(K4778="","",ABS(K4778))</f>
        <v>2.85940260834721</v>
      </c>
      <c r="P4778" s="34" t="str">
        <f aca="false">IF(B4778&gt;=Eval_Start_Week,"YES","")</f>
        <v>YES</v>
      </c>
      <c r="Q4778" s="34" t="str">
        <f aca="false">IF(AND(B4778&gt;=Cal_Start_Week,B4778&lt;=Cal_End_Week),"YES","")</f>
        <v/>
      </c>
    </row>
    <row r="4779" customFormat="false" ht="15" hidden="false" customHeight="false" outlineLevel="0" collapsed="false">
      <c r="A4779" s="31" t="str">
        <f aca="false">Demand_History!C4779</f>
        <v>CLN-009</v>
      </c>
      <c r="B4779" s="31" t="n">
        <f aca="false">Demand_History!A4779</f>
        <v>98</v>
      </c>
      <c r="C4779" s="32" t="n">
        <f aca="false">Demand_History!D4779</f>
        <v>55</v>
      </c>
      <c r="D4779" s="33" t="n">
        <f aca="false">IF(B4779&gt;=2,C4778,"")</f>
        <v>60</v>
      </c>
      <c r="E4779" s="33" t="n">
        <f aca="false">IF(B4779&gt;=5,AVERAGE(C4775:C4778),"")</f>
        <v>56.25</v>
      </c>
      <c r="F4779" s="33" t="n">
        <f aca="false">IF(B4779&gt;=9,AVERAGE(C4771:C4778),"")</f>
        <v>59.625</v>
      </c>
      <c r="G4779" s="33" t="n">
        <f aca="false">IF(B4779=1,"",IF(B4779=2,C4778,SES_Alpha*C4778+(1-SES_Alpha)*G4778))</f>
        <v>57.998418174157</v>
      </c>
      <c r="H4779" s="33" t="n">
        <f aca="false">IF(D4779="","",D4779-C4779)</f>
        <v>5</v>
      </c>
      <c r="I4779" s="33" t="n">
        <f aca="false">IF(E4779="","",E4779-C4779)</f>
        <v>1.25</v>
      </c>
      <c r="J4779" s="33" t="n">
        <f aca="false">IF(F4779="","",F4779-C4779)</f>
        <v>4.625</v>
      </c>
      <c r="K4779" s="33" t="n">
        <f aca="false">IF(G4779="","",G4779-C4779)</f>
        <v>2.99841817415695</v>
      </c>
      <c r="L4779" s="33" t="n">
        <f aca="false">IF(H4779="","",ABS(H4779))</f>
        <v>5</v>
      </c>
      <c r="M4779" s="33" t="n">
        <f aca="false">IF(I4779="","",ABS(I4779))</f>
        <v>1.25</v>
      </c>
      <c r="N4779" s="33" t="n">
        <f aca="false">IF(J4779="","",ABS(J4779))</f>
        <v>4.625</v>
      </c>
      <c r="O4779" s="33" t="n">
        <f aca="false">IF(K4779="","",ABS(K4779))</f>
        <v>2.99841817415695</v>
      </c>
      <c r="P4779" s="34" t="str">
        <f aca="false">IF(B4779&gt;=Eval_Start_Week,"YES","")</f>
        <v>YES</v>
      </c>
      <c r="Q4779" s="34" t="str">
        <f aca="false">IF(AND(B4779&gt;=Cal_Start_Week,B4779&lt;=Cal_End_Week),"YES","")</f>
        <v/>
      </c>
    </row>
    <row r="4780" customFormat="false" ht="15" hidden="false" customHeight="false" outlineLevel="0" collapsed="false">
      <c r="A4780" s="31" t="str">
        <f aca="false">Demand_History!C4780</f>
        <v>CLN-009</v>
      </c>
      <c r="B4780" s="31" t="n">
        <f aca="false">Demand_History!A4780</f>
        <v>99</v>
      </c>
      <c r="C4780" s="32" t="n">
        <f aca="false">Demand_History!D4780</f>
        <v>72</v>
      </c>
      <c r="D4780" s="33" t="n">
        <f aca="false">IF(B4780&gt;=2,C4779,"")</f>
        <v>55</v>
      </c>
      <c r="E4780" s="33" t="n">
        <f aca="false">IF(B4780&gt;=5,AVERAGE(C4776:C4779),"")</f>
        <v>56.5</v>
      </c>
      <c r="F4780" s="33" t="n">
        <f aca="false">IF(B4780&gt;=9,AVERAGE(C4772:C4779),"")</f>
        <v>59.25</v>
      </c>
      <c r="G4780" s="33" t="n">
        <f aca="false">IF(B4780=1,"",IF(B4780=2,C4779,SES_Alpha*C4779+(1-SES_Alpha)*G4779))</f>
        <v>57.0988927219099</v>
      </c>
      <c r="H4780" s="33" t="n">
        <f aca="false">IF(D4780="","",D4780-C4780)</f>
        <v>-17</v>
      </c>
      <c r="I4780" s="33" t="n">
        <f aca="false">IF(E4780="","",E4780-C4780)</f>
        <v>-15.5</v>
      </c>
      <c r="J4780" s="33" t="n">
        <f aca="false">IF(F4780="","",F4780-C4780)</f>
        <v>-12.75</v>
      </c>
      <c r="K4780" s="33" t="n">
        <f aca="false">IF(G4780="","",G4780-C4780)</f>
        <v>-14.9011072780901</v>
      </c>
      <c r="L4780" s="33" t="n">
        <f aca="false">IF(H4780="","",ABS(H4780))</f>
        <v>17</v>
      </c>
      <c r="M4780" s="33" t="n">
        <f aca="false">IF(I4780="","",ABS(I4780))</f>
        <v>15.5</v>
      </c>
      <c r="N4780" s="33" t="n">
        <f aca="false">IF(J4780="","",ABS(J4780))</f>
        <v>12.75</v>
      </c>
      <c r="O4780" s="33" t="n">
        <f aca="false">IF(K4780="","",ABS(K4780))</f>
        <v>14.9011072780901</v>
      </c>
      <c r="P4780" s="34" t="str">
        <f aca="false">IF(B4780&gt;=Eval_Start_Week,"YES","")</f>
        <v>YES</v>
      </c>
      <c r="Q4780" s="34" t="str">
        <f aca="false">IF(AND(B4780&gt;=Cal_Start_Week,B4780&lt;=Cal_End_Week),"YES","")</f>
        <v/>
      </c>
    </row>
    <row r="4781" customFormat="false" ht="15" hidden="false" customHeight="false" outlineLevel="0" collapsed="false">
      <c r="A4781" s="31" t="str">
        <f aca="false">Demand_History!C4781</f>
        <v>CLN-009</v>
      </c>
      <c r="B4781" s="31" t="n">
        <f aca="false">Demand_History!A4781</f>
        <v>100</v>
      </c>
      <c r="C4781" s="32" t="n">
        <f aca="false">Demand_History!D4781</f>
        <v>68</v>
      </c>
      <c r="D4781" s="33" t="n">
        <f aca="false">IF(B4781&gt;=2,C4780,"")</f>
        <v>72</v>
      </c>
      <c r="E4781" s="33" t="n">
        <f aca="false">IF(B4781&gt;=5,AVERAGE(C4777:C4780),"")</f>
        <v>59</v>
      </c>
      <c r="F4781" s="33" t="n">
        <f aca="false">IF(B4781&gt;=9,AVERAGE(C4773:C4780),"")</f>
        <v>60.125</v>
      </c>
      <c r="G4781" s="33" t="n">
        <f aca="false">IF(B4781=1,"",IF(B4781=2,C4780,SES_Alpha*C4780+(1-SES_Alpha)*G4780))</f>
        <v>61.5692249053369</v>
      </c>
      <c r="H4781" s="33" t="n">
        <f aca="false">IF(D4781="","",D4781-C4781)</f>
        <v>4</v>
      </c>
      <c r="I4781" s="33" t="n">
        <f aca="false">IF(E4781="","",E4781-C4781)</f>
        <v>-9</v>
      </c>
      <c r="J4781" s="33" t="n">
        <f aca="false">IF(F4781="","",F4781-C4781)</f>
        <v>-7.875</v>
      </c>
      <c r="K4781" s="33" t="n">
        <f aca="false">IF(G4781="","",G4781-C4781)</f>
        <v>-6.43077509466311</v>
      </c>
      <c r="L4781" s="33" t="n">
        <f aca="false">IF(H4781="","",ABS(H4781))</f>
        <v>4</v>
      </c>
      <c r="M4781" s="33" t="n">
        <f aca="false">IF(I4781="","",ABS(I4781))</f>
        <v>9</v>
      </c>
      <c r="N4781" s="33" t="n">
        <f aca="false">IF(J4781="","",ABS(J4781))</f>
        <v>7.875</v>
      </c>
      <c r="O4781" s="33" t="n">
        <f aca="false">IF(K4781="","",ABS(K4781))</f>
        <v>6.43077509466311</v>
      </c>
      <c r="P4781" s="34" t="str">
        <f aca="false">IF(B4781&gt;=Eval_Start_Week,"YES","")</f>
        <v>YES</v>
      </c>
      <c r="Q4781" s="34" t="str">
        <f aca="false">IF(AND(B4781&gt;=Cal_Start_Week,B4781&lt;=Cal_End_Week),"YES","")</f>
        <v/>
      </c>
    </row>
    <row r="4782" customFormat="false" ht="15" hidden="false" customHeight="false" outlineLevel="0" collapsed="false">
      <c r="A4782" s="31" t="str">
        <f aca="false">Demand_History!C4782</f>
        <v>CLN-009</v>
      </c>
      <c r="B4782" s="31" t="n">
        <f aca="false">Demand_History!A4782</f>
        <v>101</v>
      </c>
      <c r="C4782" s="32" t="n">
        <f aca="false">Demand_History!D4782</f>
        <v>66</v>
      </c>
      <c r="D4782" s="33" t="n">
        <f aca="false">IF(B4782&gt;=2,C4781,"")</f>
        <v>68</v>
      </c>
      <c r="E4782" s="33" t="n">
        <f aca="false">IF(B4782&gt;=5,AVERAGE(C4778:C4781),"")</f>
        <v>63.75</v>
      </c>
      <c r="F4782" s="33" t="n">
        <f aca="false">IF(B4782&gt;=9,AVERAGE(C4774:C4781),"")</f>
        <v>61.25</v>
      </c>
      <c r="G4782" s="33" t="n">
        <f aca="false">IF(B4782=1,"",IF(B4782=2,C4781,SES_Alpha*C4781+(1-SES_Alpha)*G4781))</f>
        <v>63.4984574337358</v>
      </c>
      <c r="H4782" s="33" t="n">
        <f aca="false">IF(D4782="","",D4782-C4782)</f>
        <v>2</v>
      </c>
      <c r="I4782" s="33" t="n">
        <f aca="false">IF(E4782="","",E4782-C4782)</f>
        <v>-2.25</v>
      </c>
      <c r="J4782" s="33" t="n">
        <f aca="false">IF(F4782="","",F4782-C4782)</f>
        <v>-4.75</v>
      </c>
      <c r="K4782" s="33" t="n">
        <f aca="false">IF(G4782="","",G4782-C4782)</f>
        <v>-2.50154256626418</v>
      </c>
      <c r="L4782" s="33" t="n">
        <f aca="false">IF(H4782="","",ABS(H4782))</f>
        <v>2</v>
      </c>
      <c r="M4782" s="33" t="n">
        <f aca="false">IF(I4782="","",ABS(I4782))</f>
        <v>2.25</v>
      </c>
      <c r="N4782" s="33" t="n">
        <f aca="false">IF(J4782="","",ABS(J4782))</f>
        <v>4.75</v>
      </c>
      <c r="O4782" s="33" t="n">
        <f aca="false">IF(K4782="","",ABS(K4782))</f>
        <v>2.50154256626418</v>
      </c>
      <c r="P4782" s="34" t="str">
        <f aca="false">IF(B4782&gt;=Eval_Start_Week,"YES","")</f>
        <v>YES</v>
      </c>
      <c r="Q4782" s="34" t="str">
        <f aca="false">IF(AND(B4782&gt;=Cal_Start_Week,B4782&lt;=Cal_End_Week),"YES","")</f>
        <v/>
      </c>
    </row>
    <row r="4783" customFormat="false" ht="15" hidden="false" customHeight="false" outlineLevel="0" collapsed="false">
      <c r="A4783" s="31" t="str">
        <f aca="false">Demand_History!C4783</f>
        <v>CLN-009</v>
      </c>
      <c r="B4783" s="31" t="n">
        <f aca="false">Demand_History!A4783</f>
        <v>102</v>
      </c>
      <c r="C4783" s="32" t="n">
        <f aca="false">Demand_History!D4783</f>
        <v>77</v>
      </c>
      <c r="D4783" s="33" t="n">
        <f aca="false">IF(B4783&gt;=2,C4782,"")</f>
        <v>66</v>
      </c>
      <c r="E4783" s="33" t="n">
        <f aca="false">IF(B4783&gt;=5,AVERAGE(C4779:C4782),"")</f>
        <v>65.25</v>
      </c>
      <c r="F4783" s="33" t="n">
        <f aca="false">IF(B4783&gt;=9,AVERAGE(C4775:C4782),"")</f>
        <v>60.75</v>
      </c>
      <c r="G4783" s="33" t="n">
        <f aca="false">IF(B4783=1,"",IF(B4783=2,C4782,SES_Alpha*C4782+(1-SES_Alpha)*G4782))</f>
        <v>64.2489202036151</v>
      </c>
      <c r="H4783" s="33" t="n">
        <f aca="false">IF(D4783="","",D4783-C4783)</f>
        <v>-11</v>
      </c>
      <c r="I4783" s="33" t="n">
        <f aca="false">IF(E4783="","",E4783-C4783)</f>
        <v>-11.75</v>
      </c>
      <c r="J4783" s="33" t="n">
        <f aca="false">IF(F4783="","",F4783-C4783)</f>
        <v>-16.25</v>
      </c>
      <c r="K4783" s="33" t="n">
        <f aca="false">IF(G4783="","",G4783-C4783)</f>
        <v>-12.7510797963849</v>
      </c>
      <c r="L4783" s="33" t="n">
        <f aca="false">IF(H4783="","",ABS(H4783))</f>
        <v>11</v>
      </c>
      <c r="M4783" s="33" t="n">
        <f aca="false">IF(I4783="","",ABS(I4783))</f>
        <v>11.75</v>
      </c>
      <c r="N4783" s="33" t="n">
        <f aca="false">IF(J4783="","",ABS(J4783))</f>
        <v>16.25</v>
      </c>
      <c r="O4783" s="33" t="n">
        <f aca="false">IF(K4783="","",ABS(K4783))</f>
        <v>12.7510797963849</v>
      </c>
      <c r="P4783" s="34" t="str">
        <f aca="false">IF(B4783&gt;=Eval_Start_Week,"YES","")</f>
        <v>YES</v>
      </c>
      <c r="Q4783" s="34" t="str">
        <f aca="false">IF(AND(B4783&gt;=Cal_Start_Week,B4783&lt;=Cal_End_Week),"YES","")</f>
        <v/>
      </c>
    </row>
    <row r="4784" customFormat="false" ht="15" hidden="false" customHeight="false" outlineLevel="0" collapsed="false">
      <c r="A4784" s="31" t="str">
        <f aca="false">Demand_History!C4784</f>
        <v>CLN-009</v>
      </c>
      <c r="B4784" s="31" t="n">
        <f aca="false">Demand_History!A4784</f>
        <v>103</v>
      </c>
      <c r="C4784" s="32" t="n">
        <f aca="false">Demand_History!D4784</f>
        <v>75</v>
      </c>
      <c r="D4784" s="33" t="n">
        <f aca="false">IF(B4784&gt;=2,C4783,"")</f>
        <v>77</v>
      </c>
      <c r="E4784" s="33" t="n">
        <f aca="false">IF(B4784&gt;=5,AVERAGE(C4780:C4783),"")</f>
        <v>70.75</v>
      </c>
      <c r="F4784" s="33" t="n">
        <f aca="false">IF(B4784&gt;=9,AVERAGE(C4776:C4783),"")</f>
        <v>63.625</v>
      </c>
      <c r="G4784" s="33" t="n">
        <f aca="false">IF(B4784=1,"",IF(B4784=2,C4783,SES_Alpha*C4783+(1-SES_Alpha)*G4783))</f>
        <v>68.0742441425306</v>
      </c>
      <c r="H4784" s="33" t="n">
        <f aca="false">IF(D4784="","",D4784-C4784)</f>
        <v>2</v>
      </c>
      <c r="I4784" s="33" t="n">
        <f aca="false">IF(E4784="","",E4784-C4784)</f>
        <v>-4.25</v>
      </c>
      <c r="J4784" s="33" t="n">
        <f aca="false">IF(F4784="","",F4784-C4784)</f>
        <v>-11.375</v>
      </c>
      <c r="K4784" s="33" t="n">
        <f aca="false">IF(G4784="","",G4784-C4784)</f>
        <v>-6.92575585746945</v>
      </c>
      <c r="L4784" s="33" t="n">
        <f aca="false">IF(H4784="","",ABS(H4784))</f>
        <v>2</v>
      </c>
      <c r="M4784" s="33" t="n">
        <f aca="false">IF(I4784="","",ABS(I4784))</f>
        <v>4.25</v>
      </c>
      <c r="N4784" s="33" t="n">
        <f aca="false">IF(J4784="","",ABS(J4784))</f>
        <v>11.375</v>
      </c>
      <c r="O4784" s="33" t="n">
        <f aca="false">IF(K4784="","",ABS(K4784))</f>
        <v>6.92575585746945</v>
      </c>
      <c r="P4784" s="34" t="str">
        <f aca="false">IF(B4784&gt;=Eval_Start_Week,"YES","")</f>
        <v>YES</v>
      </c>
      <c r="Q4784" s="34" t="str">
        <f aca="false">IF(AND(B4784&gt;=Cal_Start_Week,B4784&lt;=Cal_End_Week),"YES","")</f>
        <v/>
      </c>
    </row>
    <row r="4785" customFormat="false" ht="15" hidden="false" customHeight="false" outlineLevel="0" collapsed="false">
      <c r="A4785" s="31" t="str">
        <f aca="false">Demand_History!C4785</f>
        <v>CLN-009</v>
      </c>
      <c r="B4785" s="31" t="n">
        <f aca="false">Demand_History!A4785</f>
        <v>104</v>
      </c>
      <c r="C4785" s="32" t="n">
        <f aca="false">Demand_History!D4785</f>
        <v>69</v>
      </c>
      <c r="D4785" s="33" t="n">
        <f aca="false">IF(B4785&gt;=2,C4784,"")</f>
        <v>75</v>
      </c>
      <c r="E4785" s="33" t="n">
        <f aca="false">IF(B4785&gt;=5,AVERAGE(C4781:C4784),"")</f>
        <v>71.5</v>
      </c>
      <c r="F4785" s="33" t="n">
        <f aca="false">IF(B4785&gt;=9,AVERAGE(C4777:C4784),"")</f>
        <v>65.25</v>
      </c>
      <c r="G4785" s="33" t="n">
        <f aca="false">IF(B4785=1,"",IF(B4785=2,C4784,SES_Alpha*C4784+(1-SES_Alpha)*G4784))</f>
        <v>70.1519708997714</v>
      </c>
      <c r="H4785" s="33" t="n">
        <f aca="false">IF(D4785="","",D4785-C4785)</f>
        <v>6</v>
      </c>
      <c r="I4785" s="33" t="n">
        <f aca="false">IF(E4785="","",E4785-C4785)</f>
        <v>2.5</v>
      </c>
      <c r="J4785" s="33" t="n">
        <f aca="false">IF(F4785="","",F4785-C4785)</f>
        <v>-3.75</v>
      </c>
      <c r="K4785" s="33" t="n">
        <f aca="false">IF(G4785="","",G4785-C4785)</f>
        <v>1.15197089977139</v>
      </c>
      <c r="L4785" s="33" t="n">
        <f aca="false">IF(H4785="","",ABS(H4785))</f>
        <v>6</v>
      </c>
      <c r="M4785" s="33" t="n">
        <f aca="false">IF(I4785="","",ABS(I4785))</f>
        <v>2.5</v>
      </c>
      <c r="N4785" s="33" t="n">
        <f aca="false">IF(J4785="","",ABS(J4785))</f>
        <v>3.75</v>
      </c>
      <c r="O4785" s="33" t="n">
        <f aca="false">IF(K4785="","",ABS(K4785))</f>
        <v>1.15197089977139</v>
      </c>
      <c r="P4785" s="34" t="str">
        <f aca="false">IF(B4785&gt;=Eval_Start_Week,"YES","")</f>
        <v>YES</v>
      </c>
      <c r="Q4785" s="34" t="str">
        <f aca="false">IF(AND(B4785&gt;=Cal_Start_Week,B4785&lt;=Cal_End_Week),"YES","")</f>
        <v/>
      </c>
    </row>
    <row r="4786" customFormat="false" ht="15" hidden="false" customHeight="false" outlineLevel="0" collapsed="false">
      <c r="A4786" s="31" t="str">
        <f aca="false">Demand_History!C4786</f>
        <v>CLN-010</v>
      </c>
      <c r="B4786" s="31" t="n">
        <f aca="false">Demand_History!A4786</f>
        <v>1</v>
      </c>
      <c r="C4786" s="32" t="n">
        <f aca="false">Demand_History!D4786</f>
        <v>18</v>
      </c>
      <c r="D4786" s="33" t="str">
        <f aca="false">IF(B4786&gt;=2,C4785,"")</f>
        <v/>
      </c>
      <c r="E4786" s="33" t="str">
        <f aca="false">IF(B4786&gt;=5,AVERAGE(C4782:C4785),"")</f>
        <v/>
      </c>
      <c r="F4786" s="33" t="str">
        <f aca="false">IF(B4786&gt;=9,AVERAGE(C4778:C4785),"")</f>
        <v/>
      </c>
      <c r="G4786" s="33" t="str">
        <f aca="false">IF(B4786=1,"",IF(B4786=2,C4785,SES_Alpha*C4785+(1-SES_Alpha)*G4785))</f>
        <v/>
      </c>
      <c r="H4786" s="33" t="str">
        <f aca="false">IF(D4786="","",D4786-C4786)</f>
        <v/>
      </c>
      <c r="I4786" s="33" t="str">
        <f aca="false">IF(E4786="","",E4786-C4786)</f>
        <v/>
      </c>
      <c r="J4786" s="33" t="str">
        <f aca="false">IF(F4786="","",F4786-C4786)</f>
        <v/>
      </c>
      <c r="K4786" s="33" t="str">
        <f aca="false">IF(G4786="","",G4786-C4786)</f>
        <v/>
      </c>
      <c r="L4786" s="33" t="str">
        <f aca="false">IF(H4786="","",ABS(H4786))</f>
        <v/>
      </c>
      <c r="M4786" s="33" t="str">
        <f aca="false">IF(I4786="","",ABS(I4786))</f>
        <v/>
      </c>
      <c r="N4786" s="33" t="str">
        <f aca="false">IF(J4786="","",ABS(J4786))</f>
        <v/>
      </c>
      <c r="O4786" s="33" t="str">
        <f aca="false">IF(K4786="","",ABS(K4786))</f>
        <v/>
      </c>
      <c r="P4786" s="34" t="str">
        <f aca="false">IF(B4786&gt;=Eval_Start_Week,"YES","")</f>
        <v/>
      </c>
      <c r="Q4786" s="34" t="str">
        <f aca="false">IF(AND(B4786&gt;=Cal_Start_Week,B4786&lt;=Cal_End_Week),"YES","")</f>
        <v/>
      </c>
    </row>
    <row r="4787" customFormat="false" ht="15" hidden="false" customHeight="false" outlineLevel="0" collapsed="false">
      <c r="A4787" s="31" t="str">
        <f aca="false">Demand_History!C4787</f>
        <v>CLN-010</v>
      </c>
      <c r="B4787" s="31" t="n">
        <f aca="false">Demand_History!A4787</f>
        <v>2</v>
      </c>
      <c r="C4787" s="32" t="n">
        <f aca="false">Demand_History!D4787</f>
        <v>35</v>
      </c>
      <c r="D4787" s="33" t="n">
        <f aca="false">IF(B4787&gt;=2,C4786,"")</f>
        <v>18</v>
      </c>
      <c r="E4787" s="33" t="str">
        <f aca="false">IF(B4787&gt;=5,AVERAGE(C4783:C4786),"")</f>
        <v/>
      </c>
      <c r="F4787" s="33" t="str">
        <f aca="false">IF(B4787&gt;=9,AVERAGE(C4779:C4786),"")</f>
        <v/>
      </c>
      <c r="G4787" s="33" t="n">
        <f aca="false">IF(B4787=1,"",IF(B4787=2,C4786,SES_Alpha*C4786+(1-SES_Alpha)*G4786))</f>
        <v>18</v>
      </c>
      <c r="H4787" s="33" t="n">
        <f aca="false">IF(D4787="","",D4787-C4787)</f>
        <v>-17</v>
      </c>
      <c r="I4787" s="33" t="str">
        <f aca="false">IF(E4787="","",E4787-C4787)</f>
        <v/>
      </c>
      <c r="J4787" s="33" t="str">
        <f aca="false">IF(F4787="","",F4787-C4787)</f>
        <v/>
      </c>
      <c r="K4787" s="33" t="n">
        <f aca="false">IF(G4787="","",G4787-C4787)</f>
        <v>-17</v>
      </c>
      <c r="L4787" s="33" t="n">
        <f aca="false">IF(H4787="","",ABS(H4787))</f>
        <v>17</v>
      </c>
      <c r="M4787" s="33" t="str">
        <f aca="false">IF(I4787="","",ABS(I4787))</f>
        <v/>
      </c>
      <c r="N4787" s="33" t="str">
        <f aca="false">IF(J4787="","",ABS(J4787))</f>
        <v/>
      </c>
      <c r="O4787" s="33" t="n">
        <f aca="false">IF(K4787="","",ABS(K4787))</f>
        <v>17</v>
      </c>
      <c r="P4787" s="34" t="str">
        <f aca="false">IF(B4787&gt;=Eval_Start_Week,"YES","")</f>
        <v/>
      </c>
      <c r="Q4787" s="34" t="str">
        <f aca="false">IF(AND(B4787&gt;=Cal_Start_Week,B4787&lt;=Cal_End_Week),"YES","")</f>
        <v/>
      </c>
    </row>
    <row r="4788" customFormat="false" ht="15" hidden="false" customHeight="false" outlineLevel="0" collapsed="false">
      <c r="A4788" s="31" t="str">
        <f aca="false">Demand_History!C4788</f>
        <v>CLN-010</v>
      </c>
      <c r="B4788" s="31" t="n">
        <f aca="false">Demand_History!A4788</f>
        <v>3</v>
      </c>
      <c r="C4788" s="32" t="n">
        <f aca="false">Demand_History!D4788</f>
        <v>31</v>
      </c>
      <c r="D4788" s="33" t="n">
        <f aca="false">IF(B4788&gt;=2,C4787,"")</f>
        <v>35</v>
      </c>
      <c r="E4788" s="33" t="str">
        <f aca="false">IF(B4788&gt;=5,AVERAGE(C4784:C4787),"")</f>
        <v/>
      </c>
      <c r="F4788" s="33" t="str">
        <f aca="false">IF(B4788&gt;=9,AVERAGE(C4780:C4787),"")</f>
        <v/>
      </c>
      <c r="G4788" s="33" t="n">
        <f aca="false">IF(B4788=1,"",IF(B4788=2,C4787,SES_Alpha*C4787+(1-SES_Alpha)*G4787))</f>
        <v>23.1</v>
      </c>
      <c r="H4788" s="33" t="n">
        <f aca="false">IF(D4788="","",D4788-C4788)</f>
        <v>4</v>
      </c>
      <c r="I4788" s="33" t="str">
        <f aca="false">IF(E4788="","",E4788-C4788)</f>
        <v/>
      </c>
      <c r="J4788" s="33" t="str">
        <f aca="false">IF(F4788="","",F4788-C4788)</f>
        <v/>
      </c>
      <c r="K4788" s="33" t="n">
        <f aca="false">IF(G4788="","",G4788-C4788)</f>
        <v>-7.9</v>
      </c>
      <c r="L4788" s="33" t="n">
        <f aca="false">IF(H4788="","",ABS(H4788))</f>
        <v>4</v>
      </c>
      <c r="M4788" s="33" t="str">
        <f aca="false">IF(I4788="","",ABS(I4788))</f>
        <v/>
      </c>
      <c r="N4788" s="33" t="str">
        <f aca="false">IF(J4788="","",ABS(J4788))</f>
        <v/>
      </c>
      <c r="O4788" s="33" t="n">
        <f aca="false">IF(K4788="","",ABS(K4788))</f>
        <v>7.9</v>
      </c>
      <c r="P4788" s="34" t="str">
        <f aca="false">IF(B4788&gt;=Eval_Start_Week,"YES","")</f>
        <v/>
      </c>
      <c r="Q4788" s="34" t="str">
        <f aca="false">IF(AND(B4788&gt;=Cal_Start_Week,B4788&lt;=Cal_End_Week),"YES","")</f>
        <v/>
      </c>
    </row>
    <row r="4789" customFormat="false" ht="15" hidden="false" customHeight="false" outlineLevel="0" collapsed="false">
      <c r="A4789" s="31" t="str">
        <f aca="false">Demand_History!C4789</f>
        <v>CLN-010</v>
      </c>
      <c r="B4789" s="31" t="n">
        <f aca="false">Demand_History!A4789</f>
        <v>4</v>
      </c>
      <c r="C4789" s="32" t="n">
        <f aca="false">Demand_History!D4789</f>
        <v>27</v>
      </c>
      <c r="D4789" s="33" t="n">
        <f aca="false">IF(B4789&gt;=2,C4788,"")</f>
        <v>31</v>
      </c>
      <c r="E4789" s="33" t="str">
        <f aca="false">IF(B4789&gt;=5,AVERAGE(C4785:C4788),"")</f>
        <v/>
      </c>
      <c r="F4789" s="33" t="str">
        <f aca="false">IF(B4789&gt;=9,AVERAGE(C4781:C4788),"")</f>
        <v/>
      </c>
      <c r="G4789" s="33" t="n">
        <f aca="false">IF(B4789=1,"",IF(B4789=2,C4788,SES_Alpha*C4788+(1-SES_Alpha)*G4788))</f>
        <v>25.47</v>
      </c>
      <c r="H4789" s="33" t="n">
        <f aca="false">IF(D4789="","",D4789-C4789)</f>
        <v>4</v>
      </c>
      <c r="I4789" s="33" t="str">
        <f aca="false">IF(E4789="","",E4789-C4789)</f>
        <v/>
      </c>
      <c r="J4789" s="33" t="str">
        <f aca="false">IF(F4789="","",F4789-C4789)</f>
        <v/>
      </c>
      <c r="K4789" s="33" t="n">
        <f aca="false">IF(G4789="","",G4789-C4789)</f>
        <v>-1.53</v>
      </c>
      <c r="L4789" s="33" t="n">
        <f aca="false">IF(H4789="","",ABS(H4789))</f>
        <v>4</v>
      </c>
      <c r="M4789" s="33" t="str">
        <f aca="false">IF(I4789="","",ABS(I4789))</f>
        <v/>
      </c>
      <c r="N4789" s="33" t="str">
        <f aca="false">IF(J4789="","",ABS(J4789))</f>
        <v/>
      </c>
      <c r="O4789" s="33" t="n">
        <f aca="false">IF(K4789="","",ABS(K4789))</f>
        <v>1.53</v>
      </c>
      <c r="P4789" s="34" t="str">
        <f aca="false">IF(B4789&gt;=Eval_Start_Week,"YES","")</f>
        <v/>
      </c>
      <c r="Q4789" s="34" t="str">
        <f aca="false">IF(AND(B4789&gt;=Cal_Start_Week,B4789&lt;=Cal_End_Week),"YES","")</f>
        <v/>
      </c>
    </row>
    <row r="4790" customFormat="false" ht="15" hidden="false" customHeight="false" outlineLevel="0" collapsed="false">
      <c r="A4790" s="31" t="str">
        <f aca="false">Demand_History!C4790</f>
        <v>CLN-010</v>
      </c>
      <c r="B4790" s="31" t="n">
        <f aca="false">Demand_History!A4790</f>
        <v>5</v>
      </c>
      <c r="C4790" s="32" t="n">
        <f aca="false">Demand_History!D4790</f>
        <v>32</v>
      </c>
      <c r="D4790" s="33" t="n">
        <f aca="false">IF(B4790&gt;=2,C4789,"")</f>
        <v>27</v>
      </c>
      <c r="E4790" s="33" t="n">
        <f aca="false">IF(B4790&gt;=5,AVERAGE(C4786:C4789),"")</f>
        <v>27.75</v>
      </c>
      <c r="F4790" s="33" t="str">
        <f aca="false">IF(B4790&gt;=9,AVERAGE(C4782:C4789),"")</f>
        <v/>
      </c>
      <c r="G4790" s="33" t="n">
        <f aca="false">IF(B4790=1,"",IF(B4790=2,C4789,SES_Alpha*C4789+(1-SES_Alpha)*G4789))</f>
        <v>25.929</v>
      </c>
      <c r="H4790" s="33" t="n">
        <f aca="false">IF(D4790="","",D4790-C4790)</f>
        <v>-5</v>
      </c>
      <c r="I4790" s="33" t="n">
        <f aca="false">IF(E4790="","",E4790-C4790)</f>
        <v>-4.25</v>
      </c>
      <c r="J4790" s="33" t="str">
        <f aca="false">IF(F4790="","",F4790-C4790)</f>
        <v/>
      </c>
      <c r="K4790" s="33" t="n">
        <f aca="false">IF(G4790="","",G4790-C4790)</f>
        <v>-6.07100000000001</v>
      </c>
      <c r="L4790" s="33" t="n">
        <f aca="false">IF(H4790="","",ABS(H4790))</f>
        <v>5</v>
      </c>
      <c r="M4790" s="33" t="n">
        <f aca="false">IF(I4790="","",ABS(I4790))</f>
        <v>4.25</v>
      </c>
      <c r="N4790" s="33" t="str">
        <f aca="false">IF(J4790="","",ABS(J4790))</f>
        <v/>
      </c>
      <c r="O4790" s="33" t="n">
        <f aca="false">IF(K4790="","",ABS(K4790))</f>
        <v>6.07100000000001</v>
      </c>
      <c r="P4790" s="34" t="str">
        <f aca="false">IF(B4790&gt;=Eval_Start_Week,"YES","")</f>
        <v/>
      </c>
      <c r="Q4790" s="34" t="str">
        <f aca="false">IF(AND(B4790&gt;=Cal_Start_Week,B4790&lt;=Cal_End_Week),"YES","")</f>
        <v/>
      </c>
    </row>
    <row r="4791" customFormat="false" ht="15" hidden="false" customHeight="false" outlineLevel="0" collapsed="false">
      <c r="A4791" s="31" t="str">
        <f aca="false">Demand_History!C4791</f>
        <v>CLN-010</v>
      </c>
      <c r="B4791" s="31" t="n">
        <f aca="false">Demand_History!A4791</f>
        <v>6</v>
      </c>
      <c r="C4791" s="32" t="n">
        <f aca="false">Demand_History!D4791</f>
        <v>16</v>
      </c>
      <c r="D4791" s="33" t="n">
        <f aca="false">IF(B4791&gt;=2,C4790,"")</f>
        <v>32</v>
      </c>
      <c r="E4791" s="33" t="n">
        <f aca="false">IF(B4791&gt;=5,AVERAGE(C4787:C4790),"")</f>
        <v>31.25</v>
      </c>
      <c r="F4791" s="33" t="str">
        <f aca="false">IF(B4791&gt;=9,AVERAGE(C4783:C4790),"")</f>
        <v/>
      </c>
      <c r="G4791" s="33" t="n">
        <f aca="false">IF(B4791=1,"",IF(B4791=2,C4790,SES_Alpha*C4790+(1-SES_Alpha)*G4790))</f>
        <v>27.7503</v>
      </c>
      <c r="H4791" s="33" t="n">
        <f aca="false">IF(D4791="","",D4791-C4791)</f>
        <v>16</v>
      </c>
      <c r="I4791" s="33" t="n">
        <f aca="false">IF(E4791="","",E4791-C4791)</f>
        <v>15.25</v>
      </c>
      <c r="J4791" s="33" t="str">
        <f aca="false">IF(F4791="","",F4791-C4791)</f>
        <v/>
      </c>
      <c r="K4791" s="33" t="n">
        <f aca="false">IF(G4791="","",G4791-C4791)</f>
        <v>11.7503</v>
      </c>
      <c r="L4791" s="33" t="n">
        <f aca="false">IF(H4791="","",ABS(H4791))</f>
        <v>16</v>
      </c>
      <c r="M4791" s="33" t="n">
        <f aca="false">IF(I4791="","",ABS(I4791))</f>
        <v>15.25</v>
      </c>
      <c r="N4791" s="33" t="str">
        <f aca="false">IF(J4791="","",ABS(J4791))</f>
        <v/>
      </c>
      <c r="O4791" s="33" t="n">
        <f aca="false">IF(K4791="","",ABS(K4791))</f>
        <v>11.7503</v>
      </c>
      <c r="P4791" s="34" t="str">
        <f aca="false">IF(B4791&gt;=Eval_Start_Week,"YES","")</f>
        <v/>
      </c>
      <c r="Q4791" s="34" t="str">
        <f aca="false">IF(AND(B4791&gt;=Cal_Start_Week,B4791&lt;=Cal_End_Week),"YES","")</f>
        <v/>
      </c>
    </row>
    <row r="4792" customFormat="false" ht="15" hidden="false" customHeight="false" outlineLevel="0" collapsed="false">
      <c r="A4792" s="31" t="str">
        <f aca="false">Demand_History!C4792</f>
        <v>CLN-010</v>
      </c>
      <c r="B4792" s="31" t="n">
        <f aca="false">Demand_History!A4792</f>
        <v>7</v>
      </c>
      <c r="C4792" s="32" t="n">
        <f aca="false">Demand_History!D4792</f>
        <v>52</v>
      </c>
      <c r="D4792" s="33" t="n">
        <f aca="false">IF(B4792&gt;=2,C4791,"")</f>
        <v>16</v>
      </c>
      <c r="E4792" s="33" t="n">
        <f aca="false">IF(B4792&gt;=5,AVERAGE(C4788:C4791),"")</f>
        <v>26.5</v>
      </c>
      <c r="F4792" s="33" t="str">
        <f aca="false">IF(B4792&gt;=9,AVERAGE(C4784:C4791),"")</f>
        <v/>
      </c>
      <c r="G4792" s="33" t="n">
        <f aca="false">IF(B4792=1,"",IF(B4792=2,C4791,SES_Alpha*C4791+(1-SES_Alpha)*G4791))</f>
        <v>24.22521</v>
      </c>
      <c r="H4792" s="33" t="n">
        <f aca="false">IF(D4792="","",D4792-C4792)</f>
        <v>-36</v>
      </c>
      <c r="I4792" s="33" t="n">
        <f aca="false">IF(E4792="","",E4792-C4792)</f>
        <v>-25.5</v>
      </c>
      <c r="J4792" s="33" t="str">
        <f aca="false">IF(F4792="","",F4792-C4792)</f>
        <v/>
      </c>
      <c r="K4792" s="33" t="n">
        <f aca="false">IF(G4792="","",G4792-C4792)</f>
        <v>-27.77479</v>
      </c>
      <c r="L4792" s="33" t="n">
        <f aca="false">IF(H4792="","",ABS(H4792))</f>
        <v>36</v>
      </c>
      <c r="M4792" s="33" t="n">
        <f aca="false">IF(I4792="","",ABS(I4792))</f>
        <v>25.5</v>
      </c>
      <c r="N4792" s="33" t="str">
        <f aca="false">IF(J4792="","",ABS(J4792))</f>
        <v/>
      </c>
      <c r="O4792" s="33" t="n">
        <f aca="false">IF(K4792="","",ABS(K4792))</f>
        <v>27.77479</v>
      </c>
      <c r="P4792" s="34" t="str">
        <f aca="false">IF(B4792&gt;=Eval_Start_Week,"YES","")</f>
        <v/>
      </c>
      <c r="Q4792" s="34" t="str">
        <f aca="false">IF(AND(B4792&gt;=Cal_Start_Week,B4792&lt;=Cal_End_Week),"YES","")</f>
        <v/>
      </c>
    </row>
    <row r="4793" customFormat="false" ht="15" hidden="false" customHeight="false" outlineLevel="0" collapsed="false">
      <c r="A4793" s="31" t="str">
        <f aca="false">Demand_History!C4793</f>
        <v>CLN-010</v>
      </c>
      <c r="B4793" s="31" t="n">
        <f aca="false">Demand_History!A4793</f>
        <v>8</v>
      </c>
      <c r="C4793" s="32" t="n">
        <f aca="false">Demand_History!D4793</f>
        <v>22</v>
      </c>
      <c r="D4793" s="33" t="n">
        <f aca="false">IF(B4793&gt;=2,C4792,"")</f>
        <v>52</v>
      </c>
      <c r="E4793" s="33" t="n">
        <f aca="false">IF(B4793&gt;=5,AVERAGE(C4789:C4792),"")</f>
        <v>31.75</v>
      </c>
      <c r="F4793" s="33" t="str">
        <f aca="false">IF(B4793&gt;=9,AVERAGE(C4785:C4792),"")</f>
        <v/>
      </c>
      <c r="G4793" s="33" t="n">
        <f aca="false">IF(B4793=1,"",IF(B4793=2,C4792,SES_Alpha*C4792+(1-SES_Alpha)*G4792))</f>
        <v>32.557647</v>
      </c>
      <c r="H4793" s="33" t="n">
        <f aca="false">IF(D4793="","",D4793-C4793)</f>
        <v>30</v>
      </c>
      <c r="I4793" s="33" t="n">
        <f aca="false">IF(E4793="","",E4793-C4793)</f>
        <v>9.75</v>
      </c>
      <c r="J4793" s="33" t="str">
        <f aca="false">IF(F4793="","",F4793-C4793)</f>
        <v/>
      </c>
      <c r="K4793" s="33" t="n">
        <f aca="false">IF(G4793="","",G4793-C4793)</f>
        <v>10.557647</v>
      </c>
      <c r="L4793" s="33" t="n">
        <f aca="false">IF(H4793="","",ABS(H4793))</f>
        <v>30</v>
      </c>
      <c r="M4793" s="33" t="n">
        <f aca="false">IF(I4793="","",ABS(I4793))</f>
        <v>9.75</v>
      </c>
      <c r="N4793" s="33" t="str">
        <f aca="false">IF(J4793="","",ABS(J4793))</f>
        <v/>
      </c>
      <c r="O4793" s="33" t="n">
        <f aca="false">IF(K4793="","",ABS(K4793))</f>
        <v>10.557647</v>
      </c>
      <c r="P4793" s="34" t="str">
        <f aca="false">IF(B4793&gt;=Eval_Start_Week,"YES","")</f>
        <v/>
      </c>
      <c r="Q4793" s="34" t="str">
        <f aca="false">IF(AND(B4793&gt;=Cal_Start_Week,B4793&lt;=Cal_End_Week),"YES","")</f>
        <v/>
      </c>
    </row>
    <row r="4794" customFormat="false" ht="15" hidden="false" customHeight="false" outlineLevel="0" collapsed="false">
      <c r="A4794" s="31" t="str">
        <f aca="false">Demand_History!C4794</f>
        <v>CLN-010</v>
      </c>
      <c r="B4794" s="31" t="n">
        <f aca="false">Demand_History!A4794</f>
        <v>9</v>
      </c>
      <c r="C4794" s="32" t="n">
        <f aca="false">Demand_History!D4794</f>
        <v>27</v>
      </c>
      <c r="D4794" s="33" t="n">
        <f aca="false">IF(B4794&gt;=2,C4793,"")</f>
        <v>22</v>
      </c>
      <c r="E4794" s="33" t="n">
        <f aca="false">IF(B4794&gt;=5,AVERAGE(C4790:C4793),"")</f>
        <v>30.5</v>
      </c>
      <c r="F4794" s="33" t="n">
        <f aca="false">IF(B4794&gt;=9,AVERAGE(C4786:C4793),"")</f>
        <v>29.125</v>
      </c>
      <c r="G4794" s="33" t="n">
        <f aca="false">IF(B4794=1,"",IF(B4794=2,C4793,SES_Alpha*C4793+(1-SES_Alpha)*G4793))</f>
        <v>29.3903529</v>
      </c>
      <c r="H4794" s="33" t="n">
        <f aca="false">IF(D4794="","",D4794-C4794)</f>
        <v>-5</v>
      </c>
      <c r="I4794" s="33" t="n">
        <f aca="false">IF(E4794="","",E4794-C4794)</f>
        <v>3.5</v>
      </c>
      <c r="J4794" s="33" t="n">
        <f aca="false">IF(F4794="","",F4794-C4794)</f>
        <v>2.125</v>
      </c>
      <c r="K4794" s="33" t="n">
        <f aca="false">IF(G4794="","",G4794-C4794)</f>
        <v>2.3903529</v>
      </c>
      <c r="L4794" s="33" t="n">
        <f aca="false">IF(H4794="","",ABS(H4794))</f>
        <v>5</v>
      </c>
      <c r="M4794" s="33" t="n">
        <f aca="false">IF(I4794="","",ABS(I4794))</f>
        <v>3.5</v>
      </c>
      <c r="N4794" s="33" t="n">
        <f aca="false">IF(J4794="","",ABS(J4794))</f>
        <v>2.125</v>
      </c>
      <c r="O4794" s="33" t="n">
        <f aca="false">IF(K4794="","",ABS(K4794))</f>
        <v>2.3903529</v>
      </c>
      <c r="P4794" s="34" t="str">
        <f aca="false">IF(B4794&gt;=Eval_Start_Week,"YES","")</f>
        <v/>
      </c>
      <c r="Q4794" s="34" t="str">
        <f aca="false">IF(AND(B4794&gt;=Cal_Start_Week,B4794&lt;=Cal_End_Week),"YES","")</f>
        <v/>
      </c>
    </row>
    <row r="4795" customFormat="false" ht="15" hidden="false" customHeight="false" outlineLevel="0" collapsed="false">
      <c r="A4795" s="31" t="str">
        <f aca="false">Demand_History!C4795</f>
        <v>CLN-010</v>
      </c>
      <c r="B4795" s="31" t="n">
        <f aca="false">Demand_History!A4795</f>
        <v>10</v>
      </c>
      <c r="C4795" s="32" t="n">
        <f aca="false">Demand_History!D4795</f>
        <v>42</v>
      </c>
      <c r="D4795" s="33" t="n">
        <f aca="false">IF(B4795&gt;=2,C4794,"")</f>
        <v>27</v>
      </c>
      <c r="E4795" s="33" t="n">
        <f aca="false">IF(B4795&gt;=5,AVERAGE(C4791:C4794),"")</f>
        <v>29.25</v>
      </c>
      <c r="F4795" s="33" t="n">
        <f aca="false">IF(B4795&gt;=9,AVERAGE(C4787:C4794),"")</f>
        <v>30.25</v>
      </c>
      <c r="G4795" s="33" t="n">
        <f aca="false">IF(B4795=1,"",IF(B4795=2,C4794,SES_Alpha*C4794+(1-SES_Alpha)*G4794))</f>
        <v>28.67324703</v>
      </c>
      <c r="H4795" s="33" t="n">
        <f aca="false">IF(D4795="","",D4795-C4795)</f>
        <v>-15</v>
      </c>
      <c r="I4795" s="33" t="n">
        <f aca="false">IF(E4795="","",E4795-C4795)</f>
        <v>-12.75</v>
      </c>
      <c r="J4795" s="33" t="n">
        <f aca="false">IF(F4795="","",F4795-C4795)</f>
        <v>-11.75</v>
      </c>
      <c r="K4795" s="33" t="n">
        <f aca="false">IF(G4795="","",G4795-C4795)</f>
        <v>-13.32675297</v>
      </c>
      <c r="L4795" s="33" t="n">
        <f aca="false">IF(H4795="","",ABS(H4795))</f>
        <v>15</v>
      </c>
      <c r="M4795" s="33" t="n">
        <f aca="false">IF(I4795="","",ABS(I4795))</f>
        <v>12.75</v>
      </c>
      <c r="N4795" s="33" t="n">
        <f aca="false">IF(J4795="","",ABS(J4795))</f>
        <v>11.75</v>
      </c>
      <c r="O4795" s="33" t="n">
        <f aca="false">IF(K4795="","",ABS(K4795))</f>
        <v>13.32675297</v>
      </c>
      <c r="P4795" s="34" t="str">
        <f aca="false">IF(B4795&gt;=Eval_Start_Week,"YES","")</f>
        <v/>
      </c>
      <c r="Q4795" s="34" t="str">
        <f aca="false">IF(AND(B4795&gt;=Cal_Start_Week,B4795&lt;=Cal_End_Week),"YES","")</f>
        <v/>
      </c>
    </row>
    <row r="4796" customFormat="false" ht="15" hidden="false" customHeight="false" outlineLevel="0" collapsed="false">
      <c r="A4796" s="31" t="str">
        <f aca="false">Demand_History!C4796</f>
        <v>CLN-010</v>
      </c>
      <c r="B4796" s="31" t="n">
        <f aca="false">Demand_History!A4796</f>
        <v>11</v>
      </c>
      <c r="C4796" s="32" t="n">
        <f aca="false">Demand_History!D4796</f>
        <v>16</v>
      </c>
      <c r="D4796" s="33" t="n">
        <f aca="false">IF(B4796&gt;=2,C4795,"")</f>
        <v>42</v>
      </c>
      <c r="E4796" s="33" t="n">
        <f aca="false">IF(B4796&gt;=5,AVERAGE(C4792:C4795),"")</f>
        <v>35.75</v>
      </c>
      <c r="F4796" s="33" t="n">
        <f aca="false">IF(B4796&gt;=9,AVERAGE(C4788:C4795),"")</f>
        <v>31.125</v>
      </c>
      <c r="G4796" s="33" t="n">
        <f aca="false">IF(B4796=1,"",IF(B4796=2,C4795,SES_Alpha*C4795+(1-SES_Alpha)*G4795))</f>
        <v>32.671272921</v>
      </c>
      <c r="H4796" s="33" t="n">
        <f aca="false">IF(D4796="","",D4796-C4796)</f>
        <v>26</v>
      </c>
      <c r="I4796" s="33" t="n">
        <f aca="false">IF(E4796="","",E4796-C4796)</f>
        <v>19.75</v>
      </c>
      <c r="J4796" s="33" t="n">
        <f aca="false">IF(F4796="","",F4796-C4796)</f>
        <v>15.125</v>
      </c>
      <c r="K4796" s="33" t="n">
        <f aca="false">IF(G4796="","",G4796-C4796)</f>
        <v>16.671272921</v>
      </c>
      <c r="L4796" s="33" t="n">
        <f aca="false">IF(H4796="","",ABS(H4796))</f>
        <v>26</v>
      </c>
      <c r="M4796" s="33" t="n">
        <f aca="false">IF(I4796="","",ABS(I4796))</f>
        <v>19.75</v>
      </c>
      <c r="N4796" s="33" t="n">
        <f aca="false">IF(J4796="","",ABS(J4796))</f>
        <v>15.125</v>
      </c>
      <c r="O4796" s="33" t="n">
        <f aca="false">IF(K4796="","",ABS(K4796))</f>
        <v>16.671272921</v>
      </c>
      <c r="P4796" s="34" t="str">
        <f aca="false">IF(B4796&gt;=Eval_Start_Week,"YES","")</f>
        <v/>
      </c>
      <c r="Q4796" s="34" t="str">
        <f aca="false">IF(AND(B4796&gt;=Cal_Start_Week,B4796&lt;=Cal_End_Week),"YES","")</f>
        <v/>
      </c>
    </row>
    <row r="4797" customFormat="false" ht="15" hidden="false" customHeight="false" outlineLevel="0" collapsed="false">
      <c r="A4797" s="31" t="str">
        <f aca="false">Demand_History!C4797</f>
        <v>CLN-010</v>
      </c>
      <c r="B4797" s="31" t="n">
        <f aca="false">Demand_History!A4797</f>
        <v>12</v>
      </c>
      <c r="C4797" s="32" t="n">
        <f aca="false">Demand_History!D4797</f>
        <v>46</v>
      </c>
      <c r="D4797" s="33" t="n">
        <f aca="false">IF(B4797&gt;=2,C4796,"")</f>
        <v>16</v>
      </c>
      <c r="E4797" s="33" t="n">
        <f aca="false">IF(B4797&gt;=5,AVERAGE(C4793:C4796),"")</f>
        <v>26.75</v>
      </c>
      <c r="F4797" s="33" t="n">
        <f aca="false">IF(B4797&gt;=9,AVERAGE(C4789:C4796),"")</f>
        <v>29.25</v>
      </c>
      <c r="G4797" s="33" t="n">
        <f aca="false">IF(B4797=1,"",IF(B4797=2,C4796,SES_Alpha*C4796+(1-SES_Alpha)*G4796))</f>
        <v>27.6698910447</v>
      </c>
      <c r="H4797" s="33" t="n">
        <f aca="false">IF(D4797="","",D4797-C4797)</f>
        <v>-30</v>
      </c>
      <c r="I4797" s="33" t="n">
        <f aca="false">IF(E4797="","",E4797-C4797)</f>
        <v>-19.25</v>
      </c>
      <c r="J4797" s="33" t="n">
        <f aca="false">IF(F4797="","",F4797-C4797)</f>
        <v>-16.75</v>
      </c>
      <c r="K4797" s="33" t="n">
        <f aca="false">IF(G4797="","",G4797-C4797)</f>
        <v>-18.3301089553</v>
      </c>
      <c r="L4797" s="33" t="n">
        <f aca="false">IF(H4797="","",ABS(H4797))</f>
        <v>30</v>
      </c>
      <c r="M4797" s="33" t="n">
        <f aca="false">IF(I4797="","",ABS(I4797))</f>
        <v>19.25</v>
      </c>
      <c r="N4797" s="33" t="n">
        <f aca="false">IF(J4797="","",ABS(J4797))</f>
        <v>16.75</v>
      </c>
      <c r="O4797" s="33" t="n">
        <f aca="false">IF(K4797="","",ABS(K4797))</f>
        <v>18.3301089553</v>
      </c>
      <c r="P4797" s="34" t="str">
        <f aca="false">IF(B4797&gt;=Eval_Start_Week,"YES","")</f>
        <v/>
      </c>
      <c r="Q4797" s="34" t="str">
        <f aca="false">IF(AND(B4797&gt;=Cal_Start_Week,B4797&lt;=Cal_End_Week),"YES","")</f>
        <v/>
      </c>
    </row>
    <row r="4798" customFormat="false" ht="15" hidden="false" customHeight="false" outlineLevel="0" collapsed="false">
      <c r="A4798" s="31" t="str">
        <f aca="false">Demand_History!C4798</f>
        <v>CLN-010</v>
      </c>
      <c r="B4798" s="31" t="n">
        <f aca="false">Demand_History!A4798</f>
        <v>13</v>
      </c>
      <c r="C4798" s="32" t="n">
        <f aca="false">Demand_History!D4798</f>
        <v>46</v>
      </c>
      <c r="D4798" s="33" t="n">
        <f aca="false">IF(B4798&gt;=2,C4797,"")</f>
        <v>46</v>
      </c>
      <c r="E4798" s="33" t="n">
        <f aca="false">IF(B4798&gt;=5,AVERAGE(C4794:C4797),"")</f>
        <v>32.75</v>
      </c>
      <c r="F4798" s="33" t="n">
        <f aca="false">IF(B4798&gt;=9,AVERAGE(C4790:C4797),"")</f>
        <v>31.625</v>
      </c>
      <c r="G4798" s="33" t="n">
        <f aca="false">IF(B4798=1,"",IF(B4798=2,C4797,SES_Alpha*C4797+(1-SES_Alpha)*G4797))</f>
        <v>33.16892373129</v>
      </c>
      <c r="H4798" s="33" t="n">
        <f aca="false">IF(D4798="","",D4798-C4798)</f>
        <v>0</v>
      </c>
      <c r="I4798" s="33" t="n">
        <f aca="false">IF(E4798="","",E4798-C4798)</f>
        <v>-13.25</v>
      </c>
      <c r="J4798" s="33" t="n">
        <f aca="false">IF(F4798="","",F4798-C4798)</f>
        <v>-14.375</v>
      </c>
      <c r="K4798" s="33" t="n">
        <f aca="false">IF(G4798="","",G4798-C4798)</f>
        <v>-12.83107626871</v>
      </c>
      <c r="L4798" s="33" t="n">
        <f aca="false">IF(H4798="","",ABS(H4798))</f>
        <v>0</v>
      </c>
      <c r="M4798" s="33" t="n">
        <f aca="false">IF(I4798="","",ABS(I4798))</f>
        <v>13.25</v>
      </c>
      <c r="N4798" s="33" t="n">
        <f aca="false">IF(J4798="","",ABS(J4798))</f>
        <v>14.375</v>
      </c>
      <c r="O4798" s="33" t="n">
        <f aca="false">IF(K4798="","",ABS(K4798))</f>
        <v>12.83107626871</v>
      </c>
      <c r="P4798" s="34" t="str">
        <f aca="false">IF(B4798&gt;=Eval_Start_Week,"YES","")</f>
        <v/>
      </c>
      <c r="Q4798" s="34" t="str">
        <f aca="false">IF(AND(B4798&gt;=Cal_Start_Week,B4798&lt;=Cal_End_Week),"YES","")</f>
        <v/>
      </c>
    </row>
    <row r="4799" customFormat="false" ht="15" hidden="false" customHeight="false" outlineLevel="0" collapsed="false">
      <c r="A4799" s="31" t="str">
        <f aca="false">Demand_History!C4799</f>
        <v>CLN-010</v>
      </c>
      <c r="B4799" s="31" t="n">
        <f aca="false">Demand_History!A4799</f>
        <v>14</v>
      </c>
      <c r="C4799" s="32" t="n">
        <f aca="false">Demand_History!D4799</f>
        <v>31</v>
      </c>
      <c r="D4799" s="33" t="n">
        <f aca="false">IF(B4799&gt;=2,C4798,"")</f>
        <v>46</v>
      </c>
      <c r="E4799" s="33" t="n">
        <f aca="false">IF(B4799&gt;=5,AVERAGE(C4795:C4798),"")</f>
        <v>37.5</v>
      </c>
      <c r="F4799" s="33" t="n">
        <f aca="false">IF(B4799&gt;=9,AVERAGE(C4791:C4798),"")</f>
        <v>33.375</v>
      </c>
      <c r="G4799" s="33" t="n">
        <f aca="false">IF(B4799=1,"",IF(B4799=2,C4798,SES_Alpha*C4798+(1-SES_Alpha)*G4798))</f>
        <v>37.018246611903</v>
      </c>
      <c r="H4799" s="33" t="n">
        <f aca="false">IF(D4799="","",D4799-C4799)</f>
        <v>15</v>
      </c>
      <c r="I4799" s="33" t="n">
        <f aca="false">IF(E4799="","",E4799-C4799)</f>
        <v>6.5</v>
      </c>
      <c r="J4799" s="33" t="n">
        <f aca="false">IF(F4799="","",F4799-C4799)</f>
        <v>2.375</v>
      </c>
      <c r="K4799" s="33" t="n">
        <f aca="false">IF(G4799="","",G4799-C4799)</f>
        <v>6.018246611903</v>
      </c>
      <c r="L4799" s="33" t="n">
        <f aca="false">IF(H4799="","",ABS(H4799))</f>
        <v>15</v>
      </c>
      <c r="M4799" s="33" t="n">
        <f aca="false">IF(I4799="","",ABS(I4799))</f>
        <v>6.5</v>
      </c>
      <c r="N4799" s="33" t="n">
        <f aca="false">IF(J4799="","",ABS(J4799))</f>
        <v>2.375</v>
      </c>
      <c r="O4799" s="33" t="n">
        <f aca="false">IF(K4799="","",ABS(K4799))</f>
        <v>6.018246611903</v>
      </c>
      <c r="P4799" s="34" t="str">
        <f aca="false">IF(B4799&gt;=Eval_Start_Week,"YES","")</f>
        <v/>
      </c>
      <c r="Q4799" s="34" t="str">
        <f aca="false">IF(AND(B4799&gt;=Cal_Start_Week,B4799&lt;=Cal_End_Week),"YES","")</f>
        <v/>
      </c>
    </row>
    <row r="4800" customFormat="false" ht="15" hidden="false" customHeight="false" outlineLevel="0" collapsed="false">
      <c r="A4800" s="31" t="str">
        <f aca="false">Demand_History!C4800</f>
        <v>CLN-010</v>
      </c>
      <c r="B4800" s="31" t="n">
        <f aca="false">Demand_History!A4800</f>
        <v>15</v>
      </c>
      <c r="C4800" s="32" t="n">
        <f aca="false">Demand_History!D4800</f>
        <v>22</v>
      </c>
      <c r="D4800" s="33" t="n">
        <f aca="false">IF(B4800&gt;=2,C4799,"")</f>
        <v>31</v>
      </c>
      <c r="E4800" s="33" t="n">
        <f aca="false">IF(B4800&gt;=5,AVERAGE(C4796:C4799),"")</f>
        <v>34.75</v>
      </c>
      <c r="F4800" s="33" t="n">
        <f aca="false">IF(B4800&gt;=9,AVERAGE(C4792:C4799),"")</f>
        <v>35.25</v>
      </c>
      <c r="G4800" s="33" t="n">
        <f aca="false">IF(B4800=1,"",IF(B4800=2,C4799,SES_Alpha*C4799+(1-SES_Alpha)*G4799))</f>
        <v>35.2127726283321</v>
      </c>
      <c r="H4800" s="33" t="n">
        <f aca="false">IF(D4800="","",D4800-C4800)</f>
        <v>9</v>
      </c>
      <c r="I4800" s="33" t="n">
        <f aca="false">IF(E4800="","",E4800-C4800)</f>
        <v>12.75</v>
      </c>
      <c r="J4800" s="33" t="n">
        <f aca="false">IF(F4800="","",F4800-C4800)</f>
        <v>13.25</v>
      </c>
      <c r="K4800" s="33" t="n">
        <f aca="false">IF(G4800="","",G4800-C4800)</f>
        <v>13.2127726283321</v>
      </c>
      <c r="L4800" s="33" t="n">
        <f aca="false">IF(H4800="","",ABS(H4800))</f>
        <v>9</v>
      </c>
      <c r="M4800" s="33" t="n">
        <f aca="false">IF(I4800="","",ABS(I4800))</f>
        <v>12.75</v>
      </c>
      <c r="N4800" s="33" t="n">
        <f aca="false">IF(J4800="","",ABS(J4800))</f>
        <v>13.25</v>
      </c>
      <c r="O4800" s="33" t="n">
        <f aca="false">IF(K4800="","",ABS(K4800))</f>
        <v>13.2127726283321</v>
      </c>
      <c r="P4800" s="34" t="str">
        <f aca="false">IF(B4800&gt;=Eval_Start_Week,"YES","")</f>
        <v/>
      </c>
      <c r="Q4800" s="34" t="str">
        <f aca="false">IF(AND(B4800&gt;=Cal_Start_Week,B4800&lt;=Cal_End_Week),"YES","")</f>
        <v/>
      </c>
    </row>
    <row r="4801" customFormat="false" ht="15" hidden="false" customHeight="false" outlineLevel="0" collapsed="false">
      <c r="A4801" s="31" t="str">
        <f aca="false">Demand_History!C4801</f>
        <v>CLN-010</v>
      </c>
      <c r="B4801" s="31" t="n">
        <f aca="false">Demand_History!A4801</f>
        <v>16</v>
      </c>
      <c r="C4801" s="32" t="n">
        <f aca="false">Demand_History!D4801</f>
        <v>29</v>
      </c>
      <c r="D4801" s="33" t="n">
        <f aca="false">IF(B4801&gt;=2,C4800,"")</f>
        <v>22</v>
      </c>
      <c r="E4801" s="33" t="n">
        <f aca="false">IF(B4801&gt;=5,AVERAGE(C4797:C4800),"")</f>
        <v>36.25</v>
      </c>
      <c r="F4801" s="33" t="n">
        <f aca="false">IF(B4801&gt;=9,AVERAGE(C4793:C4800),"")</f>
        <v>31.5</v>
      </c>
      <c r="G4801" s="33" t="n">
        <f aca="false">IF(B4801=1,"",IF(B4801=2,C4800,SES_Alpha*C4800+(1-SES_Alpha)*G4800))</f>
        <v>31.2489408398325</v>
      </c>
      <c r="H4801" s="33" t="n">
        <f aca="false">IF(D4801="","",D4801-C4801)</f>
        <v>-7</v>
      </c>
      <c r="I4801" s="33" t="n">
        <f aca="false">IF(E4801="","",E4801-C4801)</f>
        <v>7.25</v>
      </c>
      <c r="J4801" s="33" t="n">
        <f aca="false">IF(F4801="","",F4801-C4801)</f>
        <v>2.5</v>
      </c>
      <c r="K4801" s="33" t="n">
        <f aca="false">IF(G4801="","",G4801-C4801)</f>
        <v>2.24894083983246</v>
      </c>
      <c r="L4801" s="33" t="n">
        <f aca="false">IF(H4801="","",ABS(H4801))</f>
        <v>7</v>
      </c>
      <c r="M4801" s="33" t="n">
        <f aca="false">IF(I4801="","",ABS(I4801))</f>
        <v>7.25</v>
      </c>
      <c r="N4801" s="33" t="n">
        <f aca="false">IF(J4801="","",ABS(J4801))</f>
        <v>2.5</v>
      </c>
      <c r="O4801" s="33" t="n">
        <f aca="false">IF(K4801="","",ABS(K4801))</f>
        <v>2.24894083983246</v>
      </c>
      <c r="P4801" s="34" t="str">
        <f aca="false">IF(B4801&gt;=Eval_Start_Week,"YES","")</f>
        <v/>
      </c>
      <c r="Q4801" s="34" t="str">
        <f aca="false">IF(AND(B4801&gt;=Cal_Start_Week,B4801&lt;=Cal_End_Week),"YES","")</f>
        <v/>
      </c>
    </row>
    <row r="4802" customFormat="false" ht="15" hidden="false" customHeight="false" outlineLevel="0" collapsed="false">
      <c r="A4802" s="31" t="str">
        <f aca="false">Demand_History!C4802</f>
        <v>CLN-010</v>
      </c>
      <c r="B4802" s="31" t="n">
        <f aca="false">Demand_History!A4802</f>
        <v>17</v>
      </c>
      <c r="C4802" s="32" t="n">
        <f aca="false">Demand_History!D4802</f>
        <v>13</v>
      </c>
      <c r="D4802" s="33" t="n">
        <f aca="false">IF(B4802&gt;=2,C4801,"")</f>
        <v>29</v>
      </c>
      <c r="E4802" s="33" t="n">
        <f aca="false">IF(B4802&gt;=5,AVERAGE(C4798:C4801),"")</f>
        <v>32</v>
      </c>
      <c r="F4802" s="33" t="n">
        <f aca="false">IF(B4802&gt;=9,AVERAGE(C4794:C4801),"")</f>
        <v>32.375</v>
      </c>
      <c r="G4802" s="33" t="n">
        <f aca="false">IF(B4802=1,"",IF(B4802=2,C4801,SES_Alpha*C4801+(1-SES_Alpha)*G4801))</f>
        <v>30.5742585878827</v>
      </c>
      <c r="H4802" s="33" t="n">
        <f aca="false">IF(D4802="","",D4802-C4802)</f>
        <v>16</v>
      </c>
      <c r="I4802" s="33" t="n">
        <f aca="false">IF(E4802="","",E4802-C4802)</f>
        <v>19</v>
      </c>
      <c r="J4802" s="33" t="n">
        <f aca="false">IF(F4802="","",F4802-C4802)</f>
        <v>19.375</v>
      </c>
      <c r="K4802" s="33" t="n">
        <f aca="false">IF(G4802="","",G4802-C4802)</f>
        <v>17.5742585878827</v>
      </c>
      <c r="L4802" s="33" t="n">
        <f aca="false">IF(H4802="","",ABS(H4802))</f>
        <v>16</v>
      </c>
      <c r="M4802" s="33" t="n">
        <f aca="false">IF(I4802="","",ABS(I4802))</f>
        <v>19</v>
      </c>
      <c r="N4802" s="33" t="n">
        <f aca="false">IF(J4802="","",ABS(J4802))</f>
        <v>19.375</v>
      </c>
      <c r="O4802" s="33" t="n">
        <f aca="false">IF(K4802="","",ABS(K4802))</f>
        <v>17.5742585878827</v>
      </c>
      <c r="P4802" s="34" t="str">
        <f aca="false">IF(B4802&gt;=Eval_Start_Week,"YES","")</f>
        <v/>
      </c>
      <c r="Q4802" s="34" t="str">
        <f aca="false">IF(AND(B4802&gt;=Cal_Start_Week,B4802&lt;=Cal_End_Week),"YES","")</f>
        <v/>
      </c>
    </row>
    <row r="4803" customFormat="false" ht="15" hidden="false" customHeight="false" outlineLevel="0" collapsed="false">
      <c r="A4803" s="31" t="str">
        <f aca="false">Demand_History!C4803</f>
        <v>CLN-010</v>
      </c>
      <c r="B4803" s="31" t="n">
        <f aca="false">Demand_History!A4803</f>
        <v>18</v>
      </c>
      <c r="C4803" s="32" t="n">
        <f aca="false">Demand_History!D4803</f>
        <v>51</v>
      </c>
      <c r="D4803" s="33" t="n">
        <f aca="false">IF(B4803&gt;=2,C4802,"")</f>
        <v>13</v>
      </c>
      <c r="E4803" s="33" t="n">
        <f aca="false">IF(B4803&gt;=5,AVERAGE(C4799:C4802),"")</f>
        <v>23.75</v>
      </c>
      <c r="F4803" s="33" t="n">
        <f aca="false">IF(B4803&gt;=9,AVERAGE(C4795:C4802),"")</f>
        <v>30.625</v>
      </c>
      <c r="G4803" s="33" t="n">
        <f aca="false">IF(B4803=1,"",IF(B4803=2,C4802,SES_Alpha*C4802+(1-SES_Alpha)*G4802))</f>
        <v>25.3019810115179</v>
      </c>
      <c r="H4803" s="33" t="n">
        <f aca="false">IF(D4803="","",D4803-C4803)</f>
        <v>-38</v>
      </c>
      <c r="I4803" s="33" t="n">
        <f aca="false">IF(E4803="","",E4803-C4803)</f>
        <v>-27.25</v>
      </c>
      <c r="J4803" s="33" t="n">
        <f aca="false">IF(F4803="","",F4803-C4803)</f>
        <v>-20.375</v>
      </c>
      <c r="K4803" s="33" t="n">
        <f aca="false">IF(G4803="","",G4803-C4803)</f>
        <v>-25.6980189884821</v>
      </c>
      <c r="L4803" s="33" t="n">
        <f aca="false">IF(H4803="","",ABS(H4803))</f>
        <v>38</v>
      </c>
      <c r="M4803" s="33" t="n">
        <f aca="false">IF(I4803="","",ABS(I4803))</f>
        <v>27.25</v>
      </c>
      <c r="N4803" s="33" t="n">
        <f aca="false">IF(J4803="","",ABS(J4803))</f>
        <v>20.375</v>
      </c>
      <c r="O4803" s="33" t="n">
        <f aca="false">IF(K4803="","",ABS(K4803))</f>
        <v>25.6980189884821</v>
      </c>
      <c r="P4803" s="34" t="str">
        <f aca="false">IF(B4803&gt;=Eval_Start_Week,"YES","")</f>
        <v/>
      </c>
      <c r="Q4803" s="34" t="str">
        <f aca="false">IF(AND(B4803&gt;=Cal_Start_Week,B4803&lt;=Cal_End_Week),"YES","")</f>
        <v/>
      </c>
    </row>
    <row r="4804" customFormat="false" ht="15" hidden="false" customHeight="false" outlineLevel="0" collapsed="false">
      <c r="A4804" s="31" t="str">
        <f aca="false">Demand_History!C4804</f>
        <v>CLN-010</v>
      </c>
      <c r="B4804" s="31" t="n">
        <f aca="false">Demand_History!A4804</f>
        <v>19</v>
      </c>
      <c r="C4804" s="32" t="n">
        <f aca="false">Demand_History!D4804</f>
        <v>36</v>
      </c>
      <c r="D4804" s="33" t="n">
        <f aca="false">IF(B4804&gt;=2,C4803,"")</f>
        <v>51</v>
      </c>
      <c r="E4804" s="33" t="n">
        <f aca="false">IF(B4804&gt;=5,AVERAGE(C4800:C4803),"")</f>
        <v>28.75</v>
      </c>
      <c r="F4804" s="33" t="n">
        <f aca="false">IF(B4804&gt;=9,AVERAGE(C4796:C4803),"")</f>
        <v>31.75</v>
      </c>
      <c r="G4804" s="33" t="n">
        <f aca="false">IF(B4804=1,"",IF(B4804=2,C4803,SES_Alpha*C4803+(1-SES_Alpha)*G4803))</f>
        <v>33.0113867080625</v>
      </c>
      <c r="H4804" s="33" t="n">
        <f aca="false">IF(D4804="","",D4804-C4804)</f>
        <v>15</v>
      </c>
      <c r="I4804" s="33" t="n">
        <f aca="false">IF(E4804="","",E4804-C4804)</f>
        <v>-7.25</v>
      </c>
      <c r="J4804" s="33" t="n">
        <f aca="false">IF(F4804="","",F4804-C4804)</f>
        <v>-4.25</v>
      </c>
      <c r="K4804" s="33" t="n">
        <f aca="false">IF(G4804="","",G4804-C4804)</f>
        <v>-2.98861329193747</v>
      </c>
      <c r="L4804" s="33" t="n">
        <f aca="false">IF(H4804="","",ABS(H4804))</f>
        <v>15</v>
      </c>
      <c r="M4804" s="33" t="n">
        <f aca="false">IF(I4804="","",ABS(I4804))</f>
        <v>7.25</v>
      </c>
      <c r="N4804" s="33" t="n">
        <f aca="false">IF(J4804="","",ABS(J4804))</f>
        <v>4.25</v>
      </c>
      <c r="O4804" s="33" t="n">
        <f aca="false">IF(K4804="","",ABS(K4804))</f>
        <v>2.98861329193747</v>
      </c>
      <c r="P4804" s="34" t="str">
        <f aca="false">IF(B4804&gt;=Eval_Start_Week,"YES","")</f>
        <v/>
      </c>
      <c r="Q4804" s="34" t="str">
        <f aca="false">IF(AND(B4804&gt;=Cal_Start_Week,B4804&lt;=Cal_End_Week),"YES","")</f>
        <v/>
      </c>
    </row>
    <row r="4805" customFormat="false" ht="15" hidden="false" customHeight="false" outlineLevel="0" collapsed="false">
      <c r="A4805" s="31" t="str">
        <f aca="false">Demand_History!C4805</f>
        <v>CLN-010</v>
      </c>
      <c r="B4805" s="31" t="n">
        <f aca="false">Demand_History!A4805</f>
        <v>20</v>
      </c>
      <c r="C4805" s="32" t="n">
        <f aca="false">Demand_History!D4805</f>
        <v>26</v>
      </c>
      <c r="D4805" s="33" t="n">
        <f aca="false">IF(B4805&gt;=2,C4804,"")</f>
        <v>36</v>
      </c>
      <c r="E4805" s="33" t="n">
        <f aca="false">IF(B4805&gt;=5,AVERAGE(C4801:C4804),"")</f>
        <v>32.25</v>
      </c>
      <c r="F4805" s="33" t="n">
        <f aca="false">IF(B4805&gt;=9,AVERAGE(C4797:C4804),"")</f>
        <v>34.25</v>
      </c>
      <c r="G4805" s="33" t="n">
        <f aca="false">IF(B4805=1,"",IF(B4805=2,C4804,SES_Alpha*C4804+(1-SES_Alpha)*G4804))</f>
        <v>33.9079706956438</v>
      </c>
      <c r="H4805" s="33" t="n">
        <f aca="false">IF(D4805="","",D4805-C4805)</f>
        <v>10</v>
      </c>
      <c r="I4805" s="33" t="n">
        <f aca="false">IF(E4805="","",E4805-C4805)</f>
        <v>6.25</v>
      </c>
      <c r="J4805" s="33" t="n">
        <f aca="false">IF(F4805="","",F4805-C4805)</f>
        <v>8.25</v>
      </c>
      <c r="K4805" s="33" t="n">
        <f aca="false">IF(G4805="","",G4805-C4805)</f>
        <v>7.90797069564377</v>
      </c>
      <c r="L4805" s="33" t="n">
        <f aca="false">IF(H4805="","",ABS(H4805))</f>
        <v>10</v>
      </c>
      <c r="M4805" s="33" t="n">
        <f aca="false">IF(I4805="","",ABS(I4805))</f>
        <v>6.25</v>
      </c>
      <c r="N4805" s="33" t="n">
        <f aca="false">IF(J4805="","",ABS(J4805))</f>
        <v>8.25</v>
      </c>
      <c r="O4805" s="33" t="n">
        <f aca="false">IF(K4805="","",ABS(K4805))</f>
        <v>7.90797069564377</v>
      </c>
      <c r="P4805" s="34" t="str">
        <f aca="false">IF(B4805&gt;=Eval_Start_Week,"YES","")</f>
        <v/>
      </c>
      <c r="Q4805" s="34" t="str">
        <f aca="false">IF(AND(B4805&gt;=Cal_Start_Week,B4805&lt;=Cal_End_Week),"YES","")</f>
        <v/>
      </c>
    </row>
    <row r="4806" customFormat="false" ht="15" hidden="false" customHeight="false" outlineLevel="0" collapsed="false">
      <c r="A4806" s="31" t="str">
        <f aca="false">Demand_History!C4806</f>
        <v>CLN-010</v>
      </c>
      <c r="B4806" s="31" t="n">
        <f aca="false">Demand_History!A4806</f>
        <v>21</v>
      </c>
      <c r="C4806" s="32" t="n">
        <f aca="false">Demand_History!D4806</f>
        <v>24</v>
      </c>
      <c r="D4806" s="33" t="n">
        <f aca="false">IF(B4806&gt;=2,C4805,"")</f>
        <v>26</v>
      </c>
      <c r="E4806" s="33" t="n">
        <f aca="false">IF(B4806&gt;=5,AVERAGE(C4802:C4805),"")</f>
        <v>31.5</v>
      </c>
      <c r="F4806" s="33" t="n">
        <f aca="false">IF(B4806&gt;=9,AVERAGE(C4798:C4805),"")</f>
        <v>31.75</v>
      </c>
      <c r="G4806" s="33" t="n">
        <f aca="false">IF(B4806=1,"",IF(B4806=2,C4805,SES_Alpha*C4805+(1-SES_Alpha)*G4805))</f>
        <v>31.5355794869506</v>
      </c>
      <c r="H4806" s="33" t="n">
        <f aca="false">IF(D4806="","",D4806-C4806)</f>
        <v>2</v>
      </c>
      <c r="I4806" s="33" t="n">
        <f aca="false">IF(E4806="","",E4806-C4806)</f>
        <v>7.5</v>
      </c>
      <c r="J4806" s="33" t="n">
        <f aca="false">IF(F4806="","",F4806-C4806)</f>
        <v>7.75</v>
      </c>
      <c r="K4806" s="33" t="n">
        <f aca="false">IF(G4806="","",G4806-C4806)</f>
        <v>7.53557948695064</v>
      </c>
      <c r="L4806" s="33" t="n">
        <f aca="false">IF(H4806="","",ABS(H4806))</f>
        <v>2</v>
      </c>
      <c r="M4806" s="33" t="n">
        <f aca="false">IF(I4806="","",ABS(I4806))</f>
        <v>7.5</v>
      </c>
      <c r="N4806" s="33" t="n">
        <f aca="false">IF(J4806="","",ABS(J4806))</f>
        <v>7.75</v>
      </c>
      <c r="O4806" s="33" t="n">
        <f aca="false">IF(K4806="","",ABS(K4806))</f>
        <v>7.53557948695064</v>
      </c>
      <c r="P4806" s="34" t="str">
        <f aca="false">IF(B4806&gt;=Eval_Start_Week,"YES","")</f>
        <v/>
      </c>
      <c r="Q4806" s="34" t="str">
        <f aca="false">IF(AND(B4806&gt;=Cal_Start_Week,B4806&lt;=Cal_End_Week),"YES","")</f>
        <v/>
      </c>
    </row>
    <row r="4807" customFormat="false" ht="15" hidden="false" customHeight="false" outlineLevel="0" collapsed="false">
      <c r="A4807" s="31" t="str">
        <f aca="false">Demand_History!C4807</f>
        <v>CLN-010</v>
      </c>
      <c r="B4807" s="31" t="n">
        <f aca="false">Demand_History!A4807</f>
        <v>22</v>
      </c>
      <c r="C4807" s="32" t="n">
        <f aca="false">Demand_History!D4807</f>
        <v>42</v>
      </c>
      <c r="D4807" s="33" t="n">
        <f aca="false">IF(B4807&gt;=2,C4806,"")</f>
        <v>24</v>
      </c>
      <c r="E4807" s="33" t="n">
        <f aca="false">IF(B4807&gt;=5,AVERAGE(C4803:C4806),"")</f>
        <v>34.25</v>
      </c>
      <c r="F4807" s="33" t="n">
        <f aca="false">IF(B4807&gt;=9,AVERAGE(C4799:C4806),"")</f>
        <v>29</v>
      </c>
      <c r="G4807" s="33" t="n">
        <f aca="false">IF(B4807=1,"",IF(B4807=2,C4806,SES_Alpha*C4806+(1-SES_Alpha)*G4806))</f>
        <v>29.2749056408654</v>
      </c>
      <c r="H4807" s="33" t="n">
        <f aca="false">IF(D4807="","",D4807-C4807)</f>
        <v>-18</v>
      </c>
      <c r="I4807" s="33" t="n">
        <f aca="false">IF(E4807="","",E4807-C4807)</f>
        <v>-7.75</v>
      </c>
      <c r="J4807" s="33" t="n">
        <f aca="false">IF(F4807="","",F4807-C4807)</f>
        <v>-13</v>
      </c>
      <c r="K4807" s="33" t="n">
        <f aca="false">IF(G4807="","",G4807-C4807)</f>
        <v>-12.7250943591346</v>
      </c>
      <c r="L4807" s="33" t="n">
        <f aca="false">IF(H4807="","",ABS(H4807))</f>
        <v>18</v>
      </c>
      <c r="M4807" s="33" t="n">
        <f aca="false">IF(I4807="","",ABS(I4807))</f>
        <v>7.75</v>
      </c>
      <c r="N4807" s="33" t="n">
        <f aca="false">IF(J4807="","",ABS(J4807))</f>
        <v>13</v>
      </c>
      <c r="O4807" s="33" t="n">
        <f aca="false">IF(K4807="","",ABS(K4807))</f>
        <v>12.7250943591346</v>
      </c>
      <c r="P4807" s="34" t="str">
        <f aca="false">IF(B4807&gt;=Eval_Start_Week,"YES","")</f>
        <v/>
      </c>
      <c r="Q4807" s="34" t="str">
        <f aca="false">IF(AND(B4807&gt;=Cal_Start_Week,B4807&lt;=Cal_End_Week),"YES","")</f>
        <v/>
      </c>
    </row>
    <row r="4808" customFormat="false" ht="15" hidden="false" customHeight="false" outlineLevel="0" collapsed="false">
      <c r="A4808" s="31" t="str">
        <f aca="false">Demand_History!C4808</f>
        <v>CLN-010</v>
      </c>
      <c r="B4808" s="31" t="n">
        <f aca="false">Demand_History!A4808</f>
        <v>23</v>
      </c>
      <c r="C4808" s="32" t="n">
        <f aca="false">Demand_History!D4808</f>
        <v>53</v>
      </c>
      <c r="D4808" s="33" t="n">
        <f aca="false">IF(B4808&gt;=2,C4807,"")</f>
        <v>42</v>
      </c>
      <c r="E4808" s="33" t="n">
        <f aca="false">IF(B4808&gt;=5,AVERAGE(C4804:C4807),"")</f>
        <v>32</v>
      </c>
      <c r="F4808" s="33" t="n">
        <f aca="false">IF(B4808&gt;=9,AVERAGE(C4800:C4807),"")</f>
        <v>30.375</v>
      </c>
      <c r="G4808" s="33" t="n">
        <f aca="false">IF(B4808=1,"",IF(B4808=2,C4807,SES_Alpha*C4807+(1-SES_Alpha)*G4807))</f>
        <v>33.0924339486058</v>
      </c>
      <c r="H4808" s="33" t="n">
        <f aca="false">IF(D4808="","",D4808-C4808)</f>
        <v>-11</v>
      </c>
      <c r="I4808" s="33" t="n">
        <f aca="false">IF(E4808="","",E4808-C4808)</f>
        <v>-21</v>
      </c>
      <c r="J4808" s="33" t="n">
        <f aca="false">IF(F4808="","",F4808-C4808)</f>
        <v>-22.625</v>
      </c>
      <c r="K4808" s="33" t="n">
        <f aca="false">IF(G4808="","",G4808-C4808)</f>
        <v>-19.9075660513942</v>
      </c>
      <c r="L4808" s="33" t="n">
        <f aca="false">IF(H4808="","",ABS(H4808))</f>
        <v>11</v>
      </c>
      <c r="M4808" s="33" t="n">
        <f aca="false">IF(I4808="","",ABS(I4808))</f>
        <v>21</v>
      </c>
      <c r="N4808" s="33" t="n">
        <f aca="false">IF(J4808="","",ABS(J4808))</f>
        <v>22.625</v>
      </c>
      <c r="O4808" s="33" t="n">
        <f aca="false">IF(K4808="","",ABS(K4808))</f>
        <v>19.9075660513942</v>
      </c>
      <c r="P4808" s="34" t="str">
        <f aca="false">IF(B4808&gt;=Eval_Start_Week,"YES","")</f>
        <v/>
      </c>
      <c r="Q4808" s="34" t="str">
        <f aca="false">IF(AND(B4808&gt;=Cal_Start_Week,B4808&lt;=Cal_End_Week),"YES","")</f>
        <v/>
      </c>
    </row>
    <row r="4809" customFormat="false" ht="15" hidden="false" customHeight="false" outlineLevel="0" collapsed="false">
      <c r="A4809" s="31" t="str">
        <f aca="false">Demand_History!C4809</f>
        <v>CLN-010</v>
      </c>
      <c r="B4809" s="31" t="n">
        <f aca="false">Demand_History!A4809</f>
        <v>24</v>
      </c>
      <c r="C4809" s="32" t="n">
        <f aca="false">Demand_History!D4809</f>
        <v>20</v>
      </c>
      <c r="D4809" s="33" t="n">
        <f aca="false">IF(B4809&gt;=2,C4808,"")</f>
        <v>53</v>
      </c>
      <c r="E4809" s="33" t="n">
        <f aca="false">IF(B4809&gt;=5,AVERAGE(C4805:C4808),"")</f>
        <v>36.25</v>
      </c>
      <c r="F4809" s="33" t="n">
        <f aca="false">IF(B4809&gt;=9,AVERAGE(C4801:C4808),"")</f>
        <v>34.25</v>
      </c>
      <c r="G4809" s="33" t="n">
        <f aca="false">IF(B4809=1,"",IF(B4809=2,C4808,SES_Alpha*C4808+(1-SES_Alpha)*G4808))</f>
        <v>39.0647037640241</v>
      </c>
      <c r="H4809" s="33" t="n">
        <f aca="false">IF(D4809="","",D4809-C4809)</f>
        <v>33</v>
      </c>
      <c r="I4809" s="33" t="n">
        <f aca="false">IF(E4809="","",E4809-C4809)</f>
        <v>16.25</v>
      </c>
      <c r="J4809" s="33" t="n">
        <f aca="false">IF(F4809="","",F4809-C4809)</f>
        <v>14.25</v>
      </c>
      <c r="K4809" s="33" t="n">
        <f aca="false">IF(G4809="","",G4809-C4809)</f>
        <v>19.0647037640241</v>
      </c>
      <c r="L4809" s="33" t="n">
        <f aca="false">IF(H4809="","",ABS(H4809))</f>
        <v>33</v>
      </c>
      <c r="M4809" s="33" t="n">
        <f aca="false">IF(I4809="","",ABS(I4809))</f>
        <v>16.25</v>
      </c>
      <c r="N4809" s="33" t="n">
        <f aca="false">IF(J4809="","",ABS(J4809))</f>
        <v>14.25</v>
      </c>
      <c r="O4809" s="33" t="n">
        <f aca="false">IF(K4809="","",ABS(K4809))</f>
        <v>19.0647037640241</v>
      </c>
      <c r="P4809" s="34" t="str">
        <f aca="false">IF(B4809&gt;=Eval_Start_Week,"YES","")</f>
        <v/>
      </c>
      <c r="Q4809" s="34" t="str">
        <f aca="false">IF(AND(B4809&gt;=Cal_Start_Week,B4809&lt;=Cal_End_Week),"YES","")</f>
        <v/>
      </c>
    </row>
    <row r="4810" customFormat="false" ht="15" hidden="false" customHeight="false" outlineLevel="0" collapsed="false">
      <c r="A4810" s="31" t="str">
        <f aca="false">Demand_History!C4810</f>
        <v>CLN-010</v>
      </c>
      <c r="B4810" s="31" t="n">
        <f aca="false">Demand_History!A4810</f>
        <v>25</v>
      </c>
      <c r="C4810" s="32" t="n">
        <f aca="false">Demand_History!D4810</f>
        <v>28</v>
      </c>
      <c r="D4810" s="33" t="n">
        <f aca="false">IF(B4810&gt;=2,C4809,"")</f>
        <v>20</v>
      </c>
      <c r="E4810" s="33" t="n">
        <f aca="false">IF(B4810&gt;=5,AVERAGE(C4806:C4809),"")</f>
        <v>34.75</v>
      </c>
      <c r="F4810" s="33" t="n">
        <f aca="false">IF(B4810&gt;=9,AVERAGE(C4802:C4809),"")</f>
        <v>33.125</v>
      </c>
      <c r="G4810" s="33" t="n">
        <f aca="false">IF(B4810=1,"",IF(B4810=2,C4809,SES_Alpha*C4809+(1-SES_Alpha)*G4809))</f>
        <v>33.3452926348168</v>
      </c>
      <c r="H4810" s="33" t="n">
        <f aca="false">IF(D4810="","",D4810-C4810)</f>
        <v>-8</v>
      </c>
      <c r="I4810" s="33" t="n">
        <f aca="false">IF(E4810="","",E4810-C4810)</f>
        <v>6.75</v>
      </c>
      <c r="J4810" s="33" t="n">
        <f aca="false">IF(F4810="","",F4810-C4810)</f>
        <v>5.125</v>
      </c>
      <c r="K4810" s="33" t="n">
        <f aca="false">IF(G4810="","",G4810-C4810)</f>
        <v>5.34529263481684</v>
      </c>
      <c r="L4810" s="33" t="n">
        <f aca="false">IF(H4810="","",ABS(H4810))</f>
        <v>8</v>
      </c>
      <c r="M4810" s="33" t="n">
        <f aca="false">IF(I4810="","",ABS(I4810))</f>
        <v>6.75</v>
      </c>
      <c r="N4810" s="33" t="n">
        <f aca="false">IF(J4810="","",ABS(J4810))</f>
        <v>5.125</v>
      </c>
      <c r="O4810" s="33" t="n">
        <f aca="false">IF(K4810="","",ABS(K4810))</f>
        <v>5.34529263481684</v>
      </c>
      <c r="P4810" s="34" t="str">
        <f aca="false">IF(B4810&gt;=Eval_Start_Week,"YES","")</f>
        <v/>
      </c>
      <c r="Q4810" s="34" t="str">
        <f aca="false">IF(AND(B4810&gt;=Cal_Start_Week,B4810&lt;=Cal_End_Week),"YES","")</f>
        <v/>
      </c>
    </row>
    <row r="4811" customFormat="false" ht="15" hidden="false" customHeight="false" outlineLevel="0" collapsed="false">
      <c r="A4811" s="31" t="str">
        <f aca="false">Demand_History!C4811</f>
        <v>CLN-010</v>
      </c>
      <c r="B4811" s="31" t="n">
        <f aca="false">Demand_History!A4811</f>
        <v>26</v>
      </c>
      <c r="C4811" s="32" t="n">
        <f aca="false">Demand_History!D4811</f>
        <v>14</v>
      </c>
      <c r="D4811" s="33" t="n">
        <f aca="false">IF(B4811&gt;=2,C4810,"")</f>
        <v>28</v>
      </c>
      <c r="E4811" s="33" t="n">
        <f aca="false">IF(B4811&gt;=5,AVERAGE(C4807:C4810),"")</f>
        <v>35.75</v>
      </c>
      <c r="F4811" s="33" t="n">
        <f aca="false">IF(B4811&gt;=9,AVERAGE(C4803:C4810),"")</f>
        <v>35</v>
      </c>
      <c r="G4811" s="33" t="n">
        <f aca="false">IF(B4811=1,"",IF(B4811=2,C4810,SES_Alpha*C4810+(1-SES_Alpha)*G4810))</f>
        <v>31.7417048443718</v>
      </c>
      <c r="H4811" s="33" t="n">
        <f aca="false">IF(D4811="","",D4811-C4811)</f>
        <v>14</v>
      </c>
      <c r="I4811" s="33" t="n">
        <f aca="false">IF(E4811="","",E4811-C4811)</f>
        <v>21.75</v>
      </c>
      <c r="J4811" s="33" t="n">
        <f aca="false">IF(F4811="","",F4811-C4811)</f>
        <v>21</v>
      </c>
      <c r="K4811" s="33" t="n">
        <f aca="false">IF(G4811="","",G4811-C4811)</f>
        <v>17.7417048443718</v>
      </c>
      <c r="L4811" s="33" t="n">
        <f aca="false">IF(H4811="","",ABS(H4811))</f>
        <v>14</v>
      </c>
      <c r="M4811" s="33" t="n">
        <f aca="false">IF(I4811="","",ABS(I4811))</f>
        <v>21.75</v>
      </c>
      <c r="N4811" s="33" t="n">
        <f aca="false">IF(J4811="","",ABS(J4811))</f>
        <v>21</v>
      </c>
      <c r="O4811" s="33" t="n">
        <f aca="false">IF(K4811="","",ABS(K4811))</f>
        <v>17.7417048443718</v>
      </c>
      <c r="P4811" s="34" t="str">
        <f aca="false">IF(B4811&gt;=Eval_Start_Week,"YES","")</f>
        <v/>
      </c>
      <c r="Q4811" s="34" t="str">
        <f aca="false">IF(AND(B4811&gt;=Cal_Start_Week,B4811&lt;=Cal_End_Week),"YES","")</f>
        <v/>
      </c>
    </row>
    <row r="4812" customFormat="false" ht="15" hidden="false" customHeight="false" outlineLevel="0" collapsed="false">
      <c r="A4812" s="31" t="str">
        <f aca="false">Demand_History!C4812</f>
        <v>CLN-010</v>
      </c>
      <c r="B4812" s="31" t="n">
        <f aca="false">Demand_History!A4812</f>
        <v>27</v>
      </c>
      <c r="C4812" s="32" t="n">
        <f aca="false">Demand_History!D4812</f>
        <v>43</v>
      </c>
      <c r="D4812" s="33" t="n">
        <f aca="false">IF(B4812&gt;=2,C4811,"")</f>
        <v>14</v>
      </c>
      <c r="E4812" s="33" t="n">
        <f aca="false">IF(B4812&gt;=5,AVERAGE(C4808:C4811),"")</f>
        <v>28.75</v>
      </c>
      <c r="F4812" s="33" t="n">
        <f aca="false">IF(B4812&gt;=9,AVERAGE(C4804:C4811),"")</f>
        <v>30.375</v>
      </c>
      <c r="G4812" s="33" t="n">
        <f aca="false">IF(B4812=1,"",IF(B4812=2,C4811,SES_Alpha*C4811+(1-SES_Alpha)*G4811))</f>
        <v>26.4191933910603</v>
      </c>
      <c r="H4812" s="33" t="n">
        <f aca="false">IF(D4812="","",D4812-C4812)</f>
        <v>-29</v>
      </c>
      <c r="I4812" s="33" t="n">
        <f aca="false">IF(E4812="","",E4812-C4812)</f>
        <v>-14.25</v>
      </c>
      <c r="J4812" s="33" t="n">
        <f aca="false">IF(F4812="","",F4812-C4812)</f>
        <v>-12.625</v>
      </c>
      <c r="K4812" s="33" t="n">
        <f aca="false">IF(G4812="","",G4812-C4812)</f>
        <v>-16.5808066089398</v>
      </c>
      <c r="L4812" s="33" t="n">
        <f aca="false">IF(H4812="","",ABS(H4812))</f>
        <v>29</v>
      </c>
      <c r="M4812" s="33" t="n">
        <f aca="false">IF(I4812="","",ABS(I4812))</f>
        <v>14.25</v>
      </c>
      <c r="N4812" s="33" t="n">
        <f aca="false">IF(J4812="","",ABS(J4812))</f>
        <v>12.625</v>
      </c>
      <c r="O4812" s="33" t="n">
        <f aca="false">IF(K4812="","",ABS(K4812))</f>
        <v>16.5808066089398</v>
      </c>
      <c r="P4812" s="34" t="str">
        <f aca="false">IF(B4812&gt;=Eval_Start_Week,"YES","")</f>
        <v/>
      </c>
      <c r="Q4812" s="34" t="str">
        <f aca="false">IF(AND(B4812&gt;=Cal_Start_Week,B4812&lt;=Cal_End_Week),"YES","")</f>
        <v/>
      </c>
    </row>
    <row r="4813" customFormat="false" ht="15" hidden="false" customHeight="false" outlineLevel="0" collapsed="false">
      <c r="A4813" s="31" t="str">
        <f aca="false">Demand_History!C4813</f>
        <v>CLN-010</v>
      </c>
      <c r="B4813" s="31" t="n">
        <f aca="false">Demand_History!A4813</f>
        <v>28</v>
      </c>
      <c r="C4813" s="32" t="n">
        <f aca="false">Demand_History!D4813</f>
        <v>37</v>
      </c>
      <c r="D4813" s="33" t="n">
        <f aca="false">IF(B4813&gt;=2,C4812,"")</f>
        <v>43</v>
      </c>
      <c r="E4813" s="33" t="n">
        <f aca="false">IF(B4813&gt;=5,AVERAGE(C4809:C4812),"")</f>
        <v>26.25</v>
      </c>
      <c r="F4813" s="33" t="n">
        <f aca="false">IF(B4813&gt;=9,AVERAGE(C4805:C4812),"")</f>
        <v>31.25</v>
      </c>
      <c r="G4813" s="33" t="n">
        <f aca="false">IF(B4813=1,"",IF(B4813=2,C4812,SES_Alpha*C4812+(1-SES_Alpha)*G4812))</f>
        <v>31.3934353737422</v>
      </c>
      <c r="H4813" s="33" t="n">
        <f aca="false">IF(D4813="","",D4813-C4813)</f>
        <v>6</v>
      </c>
      <c r="I4813" s="33" t="n">
        <f aca="false">IF(E4813="","",E4813-C4813)</f>
        <v>-10.75</v>
      </c>
      <c r="J4813" s="33" t="n">
        <f aca="false">IF(F4813="","",F4813-C4813)</f>
        <v>-5.75</v>
      </c>
      <c r="K4813" s="33" t="n">
        <f aca="false">IF(G4813="","",G4813-C4813)</f>
        <v>-5.60656462625783</v>
      </c>
      <c r="L4813" s="33" t="n">
        <f aca="false">IF(H4813="","",ABS(H4813))</f>
        <v>6</v>
      </c>
      <c r="M4813" s="33" t="n">
        <f aca="false">IF(I4813="","",ABS(I4813))</f>
        <v>10.75</v>
      </c>
      <c r="N4813" s="33" t="n">
        <f aca="false">IF(J4813="","",ABS(J4813))</f>
        <v>5.75</v>
      </c>
      <c r="O4813" s="33" t="n">
        <f aca="false">IF(K4813="","",ABS(K4813))</f>
        <v>5.60656462625783</v>
      </c>
      <c r="P4813" s="34" t="str">
        <f aca="false">IF(B4813&gt;=Eval_Start_Week,"YES","")</f>
        <v/>
      </c>
      <c r="Q4813" s="34" t="str">
        <f aca="false">IF(AND(B4813&gt;=Cal_Start_Week,B4813&lt;=Cal_End_Week),"YES","")</f>
        <v/>
      </c>
    </row>
    <row r="4814" customFormat="false" ht="15" hidden="false" customHeight="false" outlineLevel="0" collapsed="false">
      <c r="A4814" s="31" t="str">
        <f aca="false">Demand_History!C4814</f>
        <v>CLN-010</v>
      </c>
      <c r="B4814" s="31" t="n">
        <f aca="false">Demand_History!A4814</f>
        <v>29</v>
      </c>
      <c r="C4814" s="32" t="n">
        <f aca="false">Demand_History!D4814</f>
        <v>61</v>
      </c>
      <c r="D4814" s="33" t="n">
        <f aca="false">IF(B4814&gt;=2,C4813,"")</f>
        <v>37</v>
      </c>
      <c r="E4814" s="33" t="n">
        <f aca="false">IF(B4814&gt;=5,AVERAGE(C4810:C4813),"")</f>
        <v>30.5</v>
      </c>
      <c r="F4814" s="33" t="n">
        <f aca="false">IF(B4814&gt;=9,AVERAGE(C4806:C4813),"")</f>
        <v>32.625</v>
      </c>
      <c r="G4814" s="33" t="n">
        <f aca="false">IF(B4814=1,"",IF(B4814=2,C4813,SES_Alpha*C4813+(1-SES_Alpha)*G4813))</f>
        <v>33.0754047616195</v>
      </c>
      <c r="H4814" s="33" t="n">
        <f aca="false">IF(D4814="","",D4814-C4814)</f>
        <v>-24</v>
      </c>
      <c r="I4814" s="33" t="n">
        <f aca="false">IF(E4814="","",E4814-C4814)</f>
        <v>-30.5</v>
      </c>
      <c r="J4814" s="33" t="n">
        <f aca="false">IF(F4814="","",F4814-C4814)</f>
        <v>-28.375</v>
      </c>
      <c r="K4814" s="33" t="n">
        <f aca="false">IF(G4814="","",G4814-C4814)</f>
        <v>-27.9245952383805</v>
      </c>
      <c r="L4814" s="33" t="n">
        <f aca="false">IF(H4814="","",ABS(H4814))</f>
        <v>24</v>
      </c>
      <c r="M4814" s="33" t="n">
        <f aca="false">IF(I4814="","",ABS(I4814))</f>
        <v>30.5</v>
      </c>
      <c r="N4814" s="33" t="n">
        <f aca="false">IF(J4814="","",ABS(J4814))</f>
        <v>28.375</v>
      </c>
      <c r="O4814" s="33" t="n">
        <f aca="false">IF(K4814="","",ABS(K4814))</f>
        <v>27.9245952383805</v>
      </c>
      <c r="P4814" s="34" t="str">
        <f aca="false">IF(B4814&gt;=Eval_Start_Week,"YES","")</f>
        <v/>
      </c>
      <c r="Q4814" s="34" t="str">
        <f aca="false">IF(AND(B4814&gt;=Cal_Start_Week,B4814&lt;=Cal_End_Week),"YES","")</f>
        <v/>
      </c>
    </row>
    <row r="4815" customFormat="false" ht="15" hidden="false" customHeight="false" outlineLevel="0" collapsed="false">
      <c r="A4815" s="31" t="str">
        <f aca="false">Demand_History!C4815</f>
        <v>CLN-010</v>
      </c>
      <c r="B4815" s="31" t="n">
        <f aca="false">Demand_History!A4815</f>
        <v>30</v>
      </c>
      <c r="C4815" s="32" t="n">
        <f aca="false">Demand_History!D4815</f>
        <v>34</v>
      </c>
      <c r="D4815" s="33" t="n">
        <f aca="false">IF(B4815&gt;=2,C4814,"")</f>
        <v>61</v>
      </c>
      <c r="E4815" s="33" t="n">
        <f aca="false">IF(B4815&gt;=5,AVERAGE(C4811:C4814),"")</f>
        <v>38.75</v>
      </c>
      <c r="F4815" s="33" t="n">
        <f aca="false">IF(B4815&gt;=9,AVERAGE(C4807:C4814),"")</f>
        <v>37.25</v>
      </c>
      <c r="G4815" s="33" t="n">
        <f aca="false">IF(B4815=1,"",IF(B4815=2,C4814,SES_Alpha*C4814+(1-SES_Alpha)*G4814))</f>
        <v>41.4527833331337</v>
      </c>
      <c r="H4815" s="33" t="n">
        <f aca="false">IF(D4815="","",D4815-C4815)</f>
        <v>27</v>
      </c>
      <c r="I4815" s="33" t="n">
        <f aca="false">IF(E4815="","",E4815-C4815)</f>
        <v>4.75</v>
      </c>
      <c r="J4815" s="33" t="n">
        <f aca="false">IF(F4815="","",F4815-C4815)</f>
        <v>3.25</v>
      </c>
      <c r="K4815" s="33" t="n">
        <f aca="false">IF(G4815="","",G4815-C4815)</f>
        <v>7.45278333313366</v>
      </c>
      <c r="L4815" s="33" t="n">
        <f aca="false">IF(H4815="","",ABS(H4815))</f>
        <v>27</v>
      </c>
      <c r="M4815" s="33" t="n">
        <f aca="false">IF(I4815="","",ABS(I4815))</f>
        <v>4.75</v>
      </c>
      <c r="N4815" s="33" t="n">
        <f aca="false">IF(J4815="","",ABS(J4815))</f>
        <v>3.25</v>
      </c>
      <c r="O4815" s="33" t="n">
        <f aca="false">IF(K4815="","",ABS(K4815))</f>
        <v>7.45278333313366</v>
      </c>
      <c r="P4815" s="34" t="str">
        <f aca="false">IF(B4815&gt;=Eval_Start_Week,"YES","")</f>
        <v/>
      </c>
      <c r="Q4815" s="34" t="str">
        <f aca="false">IF(AND(B4815&gt;=Cal_Start_Week,B4815&lt;=Cal_End_Week),"YES","")</f>
        <v/>
      </c>
    </row>
    <row r="4816" customFormat="false" ht="15" hidden="false" customHeight="false" outlineLevel="0" collapsed="false">
      <c r="A4816" s="31" t="str">
        <f aca="false">Demand_History!C4816</f>
        <v>CLN-010</v>
      </c>
      <c r="B4816" s="31" t="n">
        <f aca="false">Demand_History!A4816</f>
        <v>31</v>
      </c>
      <c r="C4816" s="32" t="n">
        <f aca="false">Demand_History!D4816</f>
        <v>30</v>
      </c>
      <c r="D4816" s="33" t="n">
        <f aca="false">IF(B4816&gt;=2,C4815,"")</f>
        <v>34</v>
      </c>
      <c r="E4816" s="33" t="n">
        <f aca="false">IF(B4816&gt;=5,AVERAGE(C4812:C4815),"")</f>
        <v>43.75</v>
      </c>
      <c r="F4816" s="33" t="n">
        <f aca="false">IF(B4816&gt;=9,AVERAGE(C4808:C4815),"")</f>
        <v>36.25</v>
      </c>
      <c r="G4816" s="33" t="n">
        <f aca="false">IF(B4816=1,"",IF(B4816=2,C4815,SES_Alpha*C4815+(1-SES_Alpha)*G4815))</f>
        <v>39.2169483331936</v>
      </c>
      <c r="H4816" s="33" t="n">
        <f aca="false">IF(D4816="","",D4816-C4816)</f>
        <v>4</v>
      </c>
      <c r="I4816" s="33" t="n">
        <f aca="false">IF(E4816="","",E4816-C4816)</f>
        <v>13.75</v>
      </c>
      <c r="J4816" s="33" t="n">
        <f aca="false">IF(F4816="","",F4816-C4816)</f>
        <v>6.25</v>
      </c>
      <c r="K4816" s="33" t="n">
        <f aca="false">IF(G4816="","",G4816-C4816)</f>
        <v>9.21694833319356</v>
      </c>
      <c r="L4816" s="33" t="n">
        <f aca="false">IF(H4816="","",ABS(H4816))</f>
        <v>4</v>
      </c>
      <c r="M4816" s="33" t="n">
        <f aca="false">IF(I4816="","",ABS(I4816))</f>
        <v>13.75</v>
      </c>
      <c r="N4816" s="33" t="n">
        <f aca="false">IF(J4816="","",ABS(J4816))</f>
        <v>6.25</v>
      </c>
      <c r="O4816" s="33" t="n">
        <f aca="false">IF(K4816="","",ABS(K4816))</f>
        <v>9.21694833319356</v>
      </c>
      <c r="P4816" s="34" t="str">
        <f aca="false">IF(B4816&gt;=Eval_Start_Week,"YES","")</f>
        <v/>
      </c>
      <c r="Q4816" s="34" t="str">
        <f aca="false">IF(AND(B4816&gt;=Cal_Start_Week,B4816&lt;=Cal_End_Week),"YES","")</f>
        <v/>
      </c>
    </row>
    <row r="4817" customFormat="false" ht="15" hidden="false" customHeight="false" outlineLevel="0" collapsed="false">
      <c r="A4817" s="31" t="str">
        <f aca="false">Demand_History!C4817</f>
        <v>CLN-010</v>
      </c>
      <c r="B4817" s="31" t="n">
        <f aca="false">Demand_History!A4817</f>
        <v>32</v>
      </c>
      <c r="C4817" s="32" t="n">
        <f aca="false">Demand_History!D4817</f>
        <v>27</v>
      </c>
      <c r="D4817" s="33" t="n">
        <f aca="false">IF(B4817&gt;=2,C4816,"")</f>
        <v>30</v>
      </c>
      <c r="E4817" s="33" t="n">
        <f aca="false">IF(B4817&gt;=5,AVERAGE(C4813:C4816),"")</f>
        <v>40.5</v>
      </c>
      <c r="F4817" s="33" t="n">
        <f aca="false">IF(B4817&gt;=9,AVERAGE(C4809:C4816),"")</f>
        <v>33.375</v>
      </c>
      <c r="G4817" s="33" t="n">
        <f aca="false">IF(B4817=1,"",IF(B4817=2,C4816,SES_Alpha*C4816+(1-SES_Alpha)*G4816))</f>
        <v>36.4518638332355</v>
      </c>
      <c r="H4817" s="33" t="n">
        <f aca="false">IF(D4817="","",D4817-C4817)</f>
        <v>3</v>
      </c>
      <c r="I4817" s="33" t="n">
        <f aca="false">IF(E4817="","",E4817-C4817)</f>
        <v>13.5</v>
      </c>
      <c r="J4817" s="33" t="n">
        <f aca="false">IF(F4817="","",F4817-C4817)</f>
        <v>6.375</v>
      </c>
      <c r="K4817" s="33" t="n">
        <f aca="false">IF(G4817="","",G4817-C4817)</f>
        <v>9.45186383323549</v>
      </c>
      <c r="L4817" s="33" t="n">
        <f aca="false">IF(H4817="","",ABS(H4817))</f>
        <v>3</v>
      </c>
      <c r="M4817" s="33" t="n">
        <f aca="false">IF(I4817="","",ABS(I4817))</f>
        <v>13.5</v>
      </c>
      <c r="N4817" s="33" t="n">
        <f aca="false">IF(J4817="","",ABS(J4817))</f>
        <v>6.375</v>
      </c>
      <c r="O4817" s="33" t="n">
        <f aca="false">IF(K4817="","",ABS(K4817))</f>
        <v>9.45186383323549</v>
      </c>
      <c r="P4817" s="34" t="str">
        <f aca="false">IF(B4817&gt;=Eval_Start_Week,"YES","")</f>
        <v/>
      </c>
      <c r="Q4817" s="34" t="str">
        <f aca="false">IF(AND(B4817&gt;=Cal_Start_Week,B4817&lt;=Cal_End_Week),"YES","")</f>
        <v/>
      </c>
    </row>
    <row r="4818" customFormat="false" ht="15" hidden="false" customHeight="false" outlineLevel="0" collapsed="false">
      <c r="A4818" s="31" t="str">
        <f aca="false">Demand_History!C4818</f>
        <v>CLN-010</v>
      </c>
      <c r="B4818" s="31" t="n">
        <f aca="false">Demand_History!A4818</f>
        <v>33</v>
      </c>
      <c r="C4818" s="32" t="n">
        <f aca="false">Demand_History!D4818</f>
        <v>45</v>
      </c>
      <c r="D4818" s="33" t="n">
        <f aca="false">IF(B4818&gt;=2,C4817,"")</f>
        <v>27</v>
      </c>
      <c r="E4818" s="33" t="n">
        <f aca="false">IF(B4818&gt;=5,AVERAGE(C4814:C4817),"")</f>
        <v>38</v>
      </c>
      <c r="F4818" s="33" t="n">
        <f aca="false">IF(B4818&gt;=9,AVERAGE(C4810:C4817),"")</f>
        <v>34.25</v>
      </c>
      <c r="G4818" s="33" t="n">
        <f aca="false">IF(B4818=1,"",IF(B4818=2,C4817,SES_Alpha*C4817+(1-SES_Alpha)*G4817))</f>
        <v>33.6163046832648</v>
      </c>
      <c r="H4818" s="33" t="n">
        <f aca="false">IF(D4818="","",D4818-C4818)</f>
        <v>-18</v>
      </c>
      <c r="I4818" s="33" t="n">
        <f aca="false">IF(E4818="","",E4818-C4818)</f>
        <v>-7</v>
      </c>
      <c r="J4818" s="33" t="n">
        <f aca="false">IF(F4818="","",F4818-C4818)</f>
        <v>-10.75</v>
      </c>
      <c r="K4818" s="33" t="n">
        <f aca="false">IF(G4818="","",G4818-C4818)</f>
        <v>-11.3836953167352</v>
      </c>
      <c r="L4818" s="33" t="n">
        <f aca="false">IF(H4818="","",ABS(H4818))</f>
        <v>18</v>
      </c>
      <c r="M4818" s="33" t="n">
        <f aca="false">IF(I4818="","",ABS(I4818))</f>
        <v>7</v>
      </c>
      <c r="N4818" s="33" t="n">
        <f aca="false">IF(J4818="","",ABS(J4818))</f>
        <v>10.75</v>
      </c>
      <c r="O4818" s="33" t="n">
        <f aca="false">IF(K4818="","",ABS(K4818))</f>
        <v>11.3836953167352</v>
      </c>
      <c r="P4818" s="34" t="str">
        <f aca="false">IF(B4818&gt;=Eval_Start_Week,"YES","")</f>
        <v/>
      </c>
      <c r="Q4818" s="34" t="str">
        <f aca="false">IF(AND(B4818&gt;=Cal_Start_Week,B4818&lt;=Cal_End_Week),"YES","")</f>
        <v/>
      </c>
    </row>
    <row r="4819" customFormat="false" ht="15" hidden="false" customHeight="false" outlineLevel="0" collapsed="false">
      <c r="A4819" s="31" t="str">
        <f aca="false">Demand_History!C4819</f>
        <v>CLN-010</v>
      </c>
      <c r="B4819" s="31" t="n">
        <f aca="false">Demand_History!A4819</f>
        <v>34</v>
      </c>
      <c r="C4819" s="32" t="n">
        <f aca="false">Demand_History!D4819</f>
        <v>16</v>
      </c>
      <c r="D4819" s="33" t="n">
        <f aca="false">IF(B4819&gt;=2,C4818,"")</f>
        <v>45</v>
      </c>
      <c r="E4819" s="33" t="n">
        <f aca="false">IF(B4819&gt;=5,AVERAGE(C4815:C4818),"")</f>
        <v>34</v>
      </c>
      <c r="F4819" s="33" t="n">
        <f aca="false">IF(B4819&gt;=9,AVERAGE(C4811:C4818),"")</f>
        <v>36.375</v>
      </c>
      <c r="G4819" s="33" t="n">
        <f aca="false">IF(B4819=1,"",IF(B4819=2,C4818,SES_Alpha*C4818+(1-SES_Alpha)*G4818))</f>
        <v>37.0314132782854</v>
      </c>
      <c r="H4819" s="33" t="n">
        <f aca="false">IF(D4819="","",D4819-C4819)</f>
        <v>29</v>
      </c>
      <c r="I4819" s="33" t="n">
        <f aca="false">IF(E4819="","",E4819-C4819)</f>
        <v>18</v>
      </c>
      <c r="J4819" s="33" t="n">
        <f aca="false">IF(F4819="","",F4819-C4819)</f>
        <v>20.375</v>
      </c>
      <c r="K4819" s="33" t="n">
        <f aca="false">IF(G4819="","",G4819-C4819)</f>
        <v>21.0314132782854</v>
      </c>
      <c r="L4819" s="33" t="n">
        <f aca="false">IF(H4819="","",ABS(H4819))</f>
        <v>29</v>
      </c>
      <c r="M4819" s="33" t="n">
        <f aca="false">IF(I4819="","",ABS(I4819))</f>
        <v>18</v>
      </c>
      <c r="N4819" s="33" t="n">
        <f aca="false">IF(J4819="","",ABS(J4819))</f>
        <v>20.375</v>
      </c>
      <c r="O4819" s="33" t="n">
        <f aca="false">IF(K4819="","",ABS(K4819))</f>
        <v>21.0314132782854</v>
      </c>
      <c r="P4819" s="34" t="str">
        <f aca="false">IF(B4819&gt;=Eval_Start_Week,"YES","")</f>
        <v/>
      </c>
      <c r="Q4819" s="34" t="str">
        <f aca="false">IF(AND(B4819&gt;=Cal_Start_Week,B4819&lt;=Cal_End_Week),"YES","")</f>
        <v/>
      </c>
    </row>
    <row r="4820" customFormat="false" ht="15" hidden="false" customHeight="false" outlineLevel="0" collapsed="false">
      <c r="A4820" s="31" t="str">
        <f aca="false">Demand_History!C4820</f>
        <v>CLN-010</v>
      </c>
      <c r="B4820" s="31" t="n">
        <f aca="false">Demand_History!A4820</f>
        <v>35</v>
      </c>
      <c r="C4820" s="32" t="n">
        <f aca="false">Demand_History!D4820</f>
        <v>44</v>
      </c>
      <c r="D4820" s="33" t="n">
        <f aca="false">IF(B4820&gt;=2,C4819,"")</f>
        <v>16</v>
      </c>
      <c r="E4820" s="33" t="n">
        <f aca="false">IF(B4820&gt;=5,AVERAGE(C4816:C4819),"")</f>
        <v>29.5</v>
      </c>
      <c r="F4820" s="33" t="n">
        <f aca="false">IF(B4820&gt;=9,AVERAGE(C4812:C4819),"")</f>
        <v>36.625</v>
      </c>
      <c r="G4820" s="33" t="n">
        <f aca="false">IF(B4820=1,"",IF(B4820=2,C4819,SES_Alpha*C4819+(1-SES_Alpha)*G4819))</f>
        <v>30.7219892947998</v>
      </c>
      <c r="H4820" s="33" t="n">
        <f aca="false">IF(D4820="","",D4820-C4820)</f>
        <v>-28</v>
      </c>
      <c r="I4820" s="33" t="n">
        <f aca="false">IF(E4820="","",E4820-C4820)</f>
        <v>-14.5</v>
      </c>
      <c r="J4820" s="33" t="n">
        <f aca="false">IF(F4820="","",F4820-C4820)</f>
        <v>-7.375</v>
      </c>
      <c r="K4820" s="33" t="n">
        <f aca="false">IF(G4820="","",G4820-C4820)</f>
        <v>-13.2780107052002</v>
      </c>
      <c r="L4820" s="33" t="n">
        <f aca="false">IF(H4820="","",ABS(H4820))</f>
        <v>28</v>
      </c>
      <c r="M4820" s="33" t="n">
        <f aca="false">IF(I4820="","",ABS(I4820))</f>
        <v>14.5</v>
      </c>
      <c r="N4820" s="33" t="n">
        <f aca="false">IF(J4820="","",ABS(J4820))</f>
        <v>7.375</v>
      </c>
      <c r="O4820" s="33" t="n">
        <f aca="false">IF(K4820="","",ABS(K4820))</f>
        <v>13.2780107052002</v>
      </c>
      <c r="P4820" s="34" t="str">
        <f aca="false">IF(B4820&gt;=Eval_Start_Week,"YES","")</f>
        <v/>
      </c>
      <c r="Q4820" s="34" t="str">
        <f aca="false">IF(AND(B4820&gt;=Cal_Start_Week,B4820&lt;=Cal_End_Week),"YES","")</f>
        <v/>
      </c>
    </row>
    <row r="4821" customFormat="false" ht="15" hidden="false" customHeight="false" outlineLevel="0" collapsed="false">
      <c r="A4821" s="31" t="str">
        <f aca="false">Demand_History!C4821</f>
        <v>CLN-010</v>
      </c>
      <c r="B4821" s="31" t="n">
        <f aca="false">Demand_History!A4821</f>
        <v>36</v>
      </c>
      <c r="C4821" s="32" t="n">
        <f aca="false">Demand_History!D4821</f>
        <v>38</v>
      </c>
      <c r="D4821" s="33" t="n">
        <f aca="false">IF(B4821&gt;=2,C4820,"")</f>
        <v>44</v>
      </c>
      <c r="E4821" s="33" t="n">
        <f aca="false">IF(B4821&gt;=5,AVERAGE(C4817:C4820),"")</f>
        <v>33</v>
      </c>
      <c r="F4821" s="33" t="n">
        <f aca="false">IF(B4821&gt;=9,AVERAGE(C4813:C4820),"")</f>
        <v>36.75</v>
      </c>
      <c r="G4821" s="33" t="n">
        <f aca="false">IF(B4821=1,"",IF(B4821=2,C4820,SES_Alpha*C4820+(1-SES_Alpha)*G4820))</f>
        <v>34.7053925063598</v>
      </c>
      <c r="H4821" s="33" t="n">
        <f aca="false">IF(D4821="","",D4821-C4821)</f>
        <v>6</v>
      </c>
      <c r="I4821" s="33" t="n">
        <f aca="false">IF(E4821="","",E4821-C4821)</f>
        <v>-5</v>
      </c>
      <c r="J4821" s="33" t="n">
        <f aca="false">IF(F4821="","",F4821-C4821)</f>
        <v>-1.25</v>
      </c>
      <c r="K4821" s="33" t="n">
        <f aca="false">IF(G4821="","",G4821-C4821)</f>
        <v>-3.29460749364016</v>
      </c>
      <c r="L4821" s="33" t="n">
        <f aca="false">IF(H4821="","",ABS(H4821))</f>
        <v>6</v>
      </c>
      <c r="M4821" s="33" t="n">
        <f aca="false">IF(I4821="","",ABS(I4821))</f>
        <v>5</v>
      </c>
      <c r="N4821" s="33" t="n">
        <f aca="false">IF(J4821="","",ABS(J4821))</f>
        <v>1.25</v>
      </c>
      <c r="O4821" s="33" t="n">
        <f aca="false">IF(K4821="","",ABS(K4821))</f>
        <v>3.29460749364016</v>
      </c>
      <c r="P4821" s="34" t="str">
        <f aca="false">IF(B4821&gt;=Eval_Start_Week,"YES","")</f>
        <v/>
      </c>
      <c r="Q4821" s="34" t="str">
        <f aca="false">IF(AND(B4821&gt;=Cal_Start_Week,B4821&lt;=Cal_End_Week),"YES","")</f>
        <v/>
      </c>
    </row>
    <row r="4822" customFormat="false" ht="15" hidden="false" customHeight="false" outlineLevel="0" collapsed="false">
      <c r="A4822" s="31" t="str">
        <f aca="false">Demand_History!C4822</f>
        <v>CLN-010</v>
      </c>
      <c r="B4822" s="31" t="n">
        <f aca="false">Demand_History!A4822</f>
        <v>37</v>
      </c>
      <c r="C4822" s="32" t="n">
        <f aca="false">Demand_History!D4822</f>
        <v>29</v>
      </c>
      <c r="D4822" s="33" t="n">
        <f aca="false">IF(B4822&gt;=2,C4821,"")</f>
        <v>38</v>
      </c>
      <c r="E4822" s="33" t="n">
        <f aca="false">IF(B4822&gt;=5,AVERAGE(C4818:C4821),"")</f>
        <v>35.75</v>
      </c>
      <c r="F4822" s="33" t="n">
        <f aca="false">IF(B4822&gt;=9,AVERAGE(C4814:C4821),"")</f>
        <v>36.875</v>
      </c>
      <c r="G4822" s="33" t="n">
        <f aca="false">IF(B4822=1,"",IF(B4822=2,C4821,SES_Alpha*C4821+(1-SES_Alpha)*G4821))</f>
        <v>35.6937747544519</v>
      </c>
      <c r="H4822" s="33" t="n">
        <f aca="false">IF(D4822="","",D4822-C4822)</f>
        <v>9</v>
      </c>
      <c r="I4822" s="33" t="n">
        <f aca="false">IF(E4822="","",E4822-C4822)</f>
        <v>6.75</v>
      </c>
      <c r="J4822" s="33" t="n">
        <f aca="false">IF(F4822="","",F4822-C4822)</f>
        <v>7.875</v>
      </c>
      <c r="K4822" s="33" t="n">
        <f aca="false">IF(G4822="","",G4822-C4822)</f>
        <v>6.69377475445189</v>
      </c>
      <c r="L4822" s="33" t="n">
        <f aca="false">IF(H4822="","",ABS(H4822))</f>
        <v>9</v>
      </c>
      <c r="M4822" s="33" t="n">
        <f aca="false">IF(I4822="","",ABS(I4822))</f>
        <v>6.75</v>
      </c>
      <c r="N4822" s="33" t="n">
        <f aca="false">IF(J4822="","",ABS(J4822))</f>
        <v>7.875</v>
      </c>
      <c r="O4822" s="33" t="n">
        <f aca="false">IF(K4822="","",ABS(K4822))</f>
        <v>6.69377475445189</v>
      </c>
      <c r="P4822" s="34" t="str">
        <f aca="false">IF(B4822&gt;=Eval_Start_Week,"YES","")</f>
        <v/>
      </c>
      <c r="Q4822" s="34" t="str">
        <f aca="false">IF(AND(B4822&gt;=Cal_Start_Week,B4822&lt;=Cal_End_Week),"YES","")</f>
        <v>YES</v>
      </c>
    </row>
    <row r="4823" customFormat="false" ht="15" hidden="false" customHeight="false" outlineLevel="0" collapsed="false">
      <c r="A4823" s="31" t="str">
        <f aca="false">Demand_History!C4823</f>
        <v>CLN-010</v>
      </c>
      <c r="B4823" s="31" t="n">
        <f aca="false">Demand_History!A4823</f>
        <v>38</v>
      </c>
      <c r="C4823" s="32" t="n">
        <f aca="false">Demand_History!D4823</f>
        <v>24</v>
      </c>
      <c r="D4823" s="33" t="n">
        <f aca="false">IF(B4823&gt;=2,C4822,"")</f>
        <v>29</v>
      </c>
      <c r="E4823" s="33" t="n">
        <f aca="false">IF(B4823&gt;=5,AVERAGE(C4819:C4822),"")</f>
        <v>31.75</v>
      </c>
      <c r="F4823" s="33" t="n">
        <f aca="false">IF(B4823&gt;=9,AVERAGE(C4815:C4822),"")</f>
        <v>32.875</v>
      </c>
      <c r="G4823" s="33" t="n">
        <f aca="false">IF(B4823=1,"",IF(B4823=2,C4822,SES_Alpha*C4822+(1-SES_Alpha)*G4822))</f>
        <v>33.6856423281163</v>
      </c>
      <c r="H4823" s="33" t="n">
        <f aca="false">IF(D4823="","",D4823-C4823)</f>
        <v>5</v>
      </c>
      <c r="I4823" s="33" t="n">
        <f aca="false">IF(E4823="","",E4823-C4823)</f>
        <v>7.75</v>
      </c>
      <c r="J4823" s="33" t="n">
        <f aca="false">IF(F4823="","",F4823-C4823)</f>
        <v>8.875</v>
      </c>
      <c r="K4823" s="33" t="n">
        <f aca="false">IF(G4823="","",G4823-C4823)</f>
        <v>9.68564232811632</v>
      </c>
      <c r="L4823" s="33" t="n">
        <f aca="false">IF(H4823="","",ABS(H4823))</f>
        <v>5</v>
      </c>
      <c r="M4823" s="33" t="n">
        <f aca="false">IF(I4823="","",ABS(I4823))</f>
        <v>7.75</v>
      </c>
      <c r="N4823" s="33" t="n">
        <f aca="false">IF(J4823="","",ABS(J4823))</f>
        <v>8.875</v>
      </c>
      <c r="O4823" s="33" t="n">
        <f aca="false">IF(K4823="","",ABS(K4823))</f>
        <v>9.68564232811632</v>
      </c>
      <c r="P4823" s="34" t="str">
        <f aca="false">IF(B4823&gt;=Eval_Start_Week,"YES","")</f>
        <v/>
      </c>
      <c r="Q4823" s="34" t="str">
        <f aca="false">IF(AND(B4823&gt;=Cal_Start_Week,B4823&lt;=Cal_End_Week),"YES","")</f>
        <v>YES</v>
      </c>
    </row>
    <row r="4824" customFormat="false" ht="15" hidden="false" customHeight="false" outlineLevel="0" collapsed="false">
      <c r="A4824" s="31" t="str">
        <f aca="false">Demand_History!C4824</f>
        <v>CLN-010</v>
      </c>
      <c r="B4824" s="31" t="n">
        <f aca="false">Demand_History!A4824</f>
        <v>39</v>
      </c>
      <c r="C4824" s="32" t="n">
        <f aca="false">Demand_History!D4824</f>
        <v>47</v>
      </c>
      <c r="D4824" s="33" t="n">
        <f aca="false">IF(B4824&gt;=2,C4823,"")</f>
        <v>24</v>
      </c>
      <c r="E4824" s="33" t="n">
        <f aca="false">IF(B4824&gt;=5,AVERAGE(C4820:C4823),"")</f>
        <v>33.75</v>
      </c>
      <c r="F4824" s="33" t="n">
        <f aca="false">IF(B4824&gt;=9,AVERAGE(C4816:C4823),"")</f>
        <v>31.625</v>
      </c>
      <c r="G4824" s="33" t="n">
        <f aca="false">IF(B4824=1,"",IF(B4824=2,C4823,SES_Alpha*C4823+(1-SES_Alpha)*G4823))</f>
        <v>30.7799496296814</v>
      </c>
      <c r="H4824" s="33" t="n">
        <f aca="false">IF(D4824="","",D4824-C4824)</f>
        <v>-23</v>
      </c>
      <c r="I4824" s="33" t="n">
        <f aca="false">IF(E4824="","",E4824-C4824)</f>
        <v>-13.25</v>
      </c>
      <c r="J4824" s="33" t="n">
        <f aca="false">IF(F4824="","",F4824-C4824)</f>
        <v>-15.375</v>
      </c>
      <c r="K4824" s="33" t="n">
        <f aca="false">IF(G4824="","",G4824-C4824)</f>
        <v>-16.2200503703186</v>
      </c>
      <c r="L4824" s="33" t="n">
        <f aca="false">IF(H4824="","",ABS(H4824))</f>
        <v>23</v>
      </c>
      <c r="M4824" s="33" t="n">
        <f aca="false">IF(I4824="","",ABS(I4824))</f>
        <v>13.25</v>
      </c>
      <c r="N4824" s="33" t="n">
        <f aca="false">IF(J4824="","",ABS(J4824))</f>
        <v>15.375</v>
      </c>
      <c r="O4824" s="33" t="n">
        <f aca="false">IF(K4824="","",ABS(K4824))</f>
        <v>16.2200503703186</v>
      </c>
      <c r="P4824" s="34" t="str">
        <f aca="false">IF(B4824&gt;=Eval_Start_Week,"YES","")</f>
        <v/>
      </c>
      <c r="Q4824" s="34" t="str">
        <f aca="false">IF(AND(B4824&gt;=Cal_Start_Week,B4824&lt;=Cal_End_Week),"YES","")</f>
        <v>YES</v>
      </c>
    </row>
    <row r="4825" customFormat="false" ht="15" hidden="false" customHeight="false" outlineLevel="0" collapsed="false">
      <c r="A4825" s="31" t="str">
        <f aca="false">Demand_History!C4825</f>
        <v>CLN-010</v>
      </c>
      <c r="B4825" s="31" t="n">
        <f aca="false">Demand_History!A4825</f>
        <v>40</v>
      </c>
      <c r="C4825" s="32" t="n">
        <f aca="false">Demand_History!D4825</f>
        <v>57</v>
      </c>
      <c r="D4825" s="33" t="n">
        <f aca="false">IF(B4825&gt;=2,C4824,"")</f>
        <v>47</v>
      </c>
      <c r="E4825" s="33" t="n">
        <f aca="false">IF(B4825&gt;=5,AVERAGE(C4821:C4824),"")</f>
        <v>34.5</v>
      </c>
      <c r="F4825" s="33" t="n">
        <f aca="false">IF(B4825&gt;=9,AVERAGE(C4817:C4824),"")</f>
        <v>33.75</v>
      </c>
      <c r="G4825" s="33" t="n">
        <f aca="false">IF(B4825=1,"",IF(B4825=2,C4824,SES_Alpha*C4824+(1-SES_Alpha)*G4824))</f>
        <v>35.645964740777</v>
      </c>
      <c r="H4825" s="33" t="n">
        <f aca="false">IF(D4825="","",D4825-C4825)</f>
        <v>-10</v>
      </c>
      <c r="I4825" s="33" t="n">
        <f aca="false">IF(E4825="","",E4825-C4825)</f>
        <v>-22.5</v>
      </c>
      <c r="J4825" s="33" t="n">
        <f aca="false">IF(F4825="","",F4825-C4825)</f>
        <v>-23.25</v>
      </c>
      <c r="K4825" s="33" t="n">
        <f aca="false">IF(G4825="","",G4825-C4825)</f>
        <v>-21.354035259223</v>
      </c>
      <c r="L4825" s="33" t="n">
        <f aca="false">IF(H4825="","",ABS(H4825))</f>
        <v>10</v>
      </c>
      <c r="M4825" s="33" t="n">
        <f aca="false">IF(I4825="","",ABS(I4825))</f>
        <v>22.5</v>
      </c>
      <c r="N4825" s="33" t="n">
        <f aca="false">IF(J4825="","",ABS(J4825))</f>
        <v>23.25</v>
      </c>
      <c r="O4825" s="33" t="n">
        <f aca="false">IF(K4825="","",ABS(K4825))</f>
        <v>21.354035259223</v>
      </c>
      <c r="P4825" s="34" t="str">
        <f aca="false">IF(B4825&gt;=Eval_Start_Week,"YES","")</f>
        <v/>
      </c>
      <c r="Q4825" s="34" t="str">
        <f aca="false">IF(AND(B4825&gt;=Cal_Start_Week,B4825&lt;=Cal_End_Week),"YES","")</f>
        <v>YES</v>
      </c>
    </row>
    <row r="4826" customFormat="false" ht="15" hidden="false" customHeight="false" outlineLevel="0" collapsed="false">
      <c r="A4826" s="31" t="str">
        <f aca="false">Demand_History!C4826</f>
        <v>CLN-010</v>
      </c>
      <c r="B4826" s="31" t="n">
        <f aca="false">Demand_History!A4826</f>
        <v>41</v>
      </c>
      <c r="C4826" s="32" t="n">
        <f aca="false">Demand_History!D4826</f>
        <v>30</v>
      </c>
      <c r="D4826" s="33" t="n">
        <f aca="false">IF(B4826&gt;=2,C4825,"")</f>
        <v>57</v>
      </c>
      <c r="E4826" s="33" t="n">
        <f aca="false">IF(B4826&gt;=5,AVERAGE(C4822:C4825),"")</f>
        <v>39.25</v>
      </c>
      <c r="F4826" s="33" t="n">
        <f aca="false">IF(B4826&gt;=9,AVERAGE(C4818:C4825),"")</f>
        <v>37.5</v>
      </c>
      <c r="G4826" s="33" t="n">
        <f aca="false">IF(B4826=1,"",IF(B4826=2,C4825,SES_Alpha*C4825+(1-SES_Alpha)*G4825))</f>
        <v>42.0521753185439</v>
      </c>
      <c r="H4826" s="33" t="n">
        <f aca="false">IF(D4826="","",D4826-C4826)</f>
        <v>27</v>
      </c>
      <c r="I4826" s="33" t="n">
        <f aca="false">IF(E4826="","",E4826-C4826)</f>
        <v>9.25</v>
      </c>
      <c r="J4826" s="33" t="n">
        <f aca="false">IF(F4826="","",F4826-C4826)</f>
        <v>7.5</v>
      </c>
      <c r="K4826" s="33" t="n">
        <f aca="false">IF(G4826="","",G4826-C4826)</f>
        <v>12.0521753185439</v>
      </c>
      <c r="L4826" s="33" t="n">
        <f aca="false">IF(H4826="","",ABS(H4826))</f>
        <v>27</v>
      </c>
      <c r="M4826" s="33" t="n">
        <f aca="false">IF(I4826="","",ABS(I4826))</f>
        <v>9.25</v>
      </c>
      <c r="N4826" s="33" t="n">
        <f aca="false">IF(J4826="","",ABS(J4826))</f>
        <v>7.5</v>
      </c>
      <c r="O4826" s="33" t="n">
        <f aca="false">IF(K4826="","",ABS(K4826))</f>
        <v>12.0521753185439</v>
      </c>
      <c r="P4826" s="34" t="str">
        <f aca="false">IF(B4826&gt;=Eval_Start_Week,"YES","")</f>
        <v/>
      </c>
      <c r="Q4826" s="34" t="str">
        <f aca="false">IF(AND(B4826&gt;=Cal_Start_Week,B4826&lt;=Cal_End_Week),"YES","")</f>
        <v>YES</v>
      </c>
    </row>
    <row r="4827" customFormat="false" ht="15" hidden="false" customHeight="false" outlineLevel="0" collapsed="false">
      <c r="A4827" s="31" t="str">
        <f aca="false">Demand_History!C4827</f>
        <v>CLN-010</v>
      </c>
      <c r="B4827" s="31" t="n">
        <f aca="false">Demand_History!A4827</f>
        <v>42</v>
      </c>
      <c r="C4827" s="32" t="n">
        <f aca="false">Demand_History!D4827</f>
        <v>41</v>
      </c>
      <c r="D4827" s="33" t="n">
        <f aca="false">IF(B4827&gt;=2,C4826,"")</f>
        <v>30</v>
      </c>
      <c r="E4827" s="33" t="n">
        <f aca="false">IF(B4827&gt;=5,AVERAGE(C4823:C4826),"")</f>
        <v>39.5</v>
      </c>
      <c r="F4827" s="33" t="n">
        <f aca="false">IF(B4827&gt;=9,AVERAGE(C4819:C4826),"")</f>
        <v>35.625</v>
      </c>
      <c r="G4827" s="33" t="n">
        <f aca="false">IF(B4827=1,"",IF(B4827=2,C4826,SES_Alpha*C4826+(1-SES_Alpha)*G4826))</f>
        <v>38.4365227229807</v>
      </c>
      <c r="H4827" s="33" t="n">
        <f aca="false">IF(D4827="","",D4827-C4827)</f>
        <v>-11</v>
      </c>
      <c r="I4827" s="33" t="n">
        <f aca="false">IF(E4827="","",E4827-C4827)</f>
        <v>-1.5</v>
      </c>
      <c r="J4827" s="33" t="n">
        <f aca="false">IF(F4827="","",F4827-C4827)</f>
        <v>-5.375</v>
      </c>
      <c r="K4827" s="33" t="n">
        <f aca="false">IF(G4827="","",G4827-C4827)</f>
        <v>-2.56347727701928</v>
      </c>
      <c r="L4827" s="33" t="n">
        <f aca="false">IF(H4827="","",ABS(H4827))</f>
        <v>11</v>
      </c>
      <c r="M4827" s="33" t="n">
        <f aca="false">IF(I4827="","",ABS(I4827))</f>
        <v>1.5</v>
      </c>
      <c r="N4827" s="33" t="n">
        <f aca="false">IF(J4827="","",ABS(J4827))</f>
        <v>5.375</v>
      </c>
      <c r="O4827" s="33" t="n">
        <f aca="false">IF(K4827="","",ABS(K4827))</f>
        <v>2.56347727701928</v>
      </c>
      <c r="P4827" s="34" t="str">
        <f aca="false">IF(B4827&gt;=Eval_Start_Week,"YES","")</f>
        <v/>
      </c>
      <c r="Q4827" s="34" t="str">
        <f aca="false">IF(AND(B4827&gt;=Cal_Start_Week,B4827&lt;=Cal_End_Week),"YES","")</f>
        <v>YES</v>
      </c>
    </row>
    <row r="4828" customFormat="false" ht="15" hidden="false" customHeight="false" outlineLevel="0" collapsed="false">
      <c r="A4828" s="31" t="str">
        <f aca="false">Demand_History!C4828</f>
        <v>CLN-010</v>
      </c>
      <c r="B4828" s="31" t="n">
        <f aca="false">Demand_History!A4828</f>
        <v>43</v>
      </c>
      <c r="C4828" s="32" t="n">
        <f aca="false">Demand_History!D4828</f>
        <v>55</v>
      </c>
      <c r="D4828" s="33" t="n">
        <f aca="false">IF(B4828&gt;=2,C4827,"")</f>
        <v>41</v>
      </c>
      <c r="E4828" s="33" t="n">
        <f aca="false">IF(B4828&gt;=5,AVERAGE(C4824:C4827),"")</f>
        <v>43.75</v>
      </c>
      <c r="F4828" s="33" t="n">
        <f aca="false">IF(B4828&gt;=9,AVERAGE(C4820:C4827),"")</f>
        <v>38.75</v>
      </c>
      <c r="G4828" s="33" t="n">
        <f aca="false">IF(B4828=1,"",IF(B4828=2,C4827,SES_Alpha*C4827+(1-SES_Alpha)*G4827))</f>
        <v>39.2055659060865</v>
      </c>
      <c r="H4828" s="33" t="n">
        <f aca="false">IF(D4828="","",D4828-C4828)</f>
        <v>-14</v>
      </c>
      <c r="I4828" s="33" t="n">
        <f aca="false">IF(E4828="","",E4828-C4828)</f>
        <v>-11.25</v>
      </c>
      <c r="J4828" s="33" t="n">
        <f aca="false">IF(F4828="","",F4828-C4828)</f>
        <v>-16.25</v>
      </c>
      <c r="K4828" s="33" t="n">
        <f aca="false">IF(G4828="","",G4828-C4828)</f>
        <v>-15.7944340939135</v>
      </c>
      <c r="L4828" s="33" t="n">
        <f aca="false">IF(H4828="","",ABS(H4828))</f>
        <v>14</v>
      </c>
      <c r="M4828" s="33" t="n">
        <f aca="false">IF(I4828="","",ABS(I4828))</f>
        <v>11.25</v>
      </c>
      <c r="N4828" s="33" t="n">
        <f aca="false">IF(J4828="","",ABS(J4828))</f>
        <v>16.25</v>
      </c>
      <c r="O4828" s="33" t="n">
        <f aca="false">IF(K4828="","",ABS(K4828))</f>
        <v>15.7944340939135</v>
      </c>
      <c r="P4828" s="34" t="str">
        <f aca="false">IF(B4828&gt;=Eval_Start_Week,"YES","")</f>
        <v/>
      </c>
      <c r="Q4828" s="34" t="str">
        <f aca="false">IF(AND(B4828&gt;=Cal_Start_Week,B4828&lt;=Cal_End_Week),"YES","")</f>
        <v>YES</v>
      </c>
    </row>
    <row r="4829" customFormat="false" ht="15" hidden="false" customHeight="false" outlineLevel="0" collapsed="false">
      <c r="A4829" s="31" t="str">
        <f aca="false">Demand_History!C4829</f>
        <v>CLN-010</v>
      </c>
      <c r="B4829" s="31" t="n">
        <f aca="false">Demand_History!A4829</f>
        <v>44</v>
      </c>
      <c r="C4829" s="32" t="n">
        <f aca="false">Demand_History!D4829</f>
        <v>28</v>
      </c>
      <c r="D4829" s="33" t="n">
        <f aca="false">IF(B4829&gt;=2,C4828,"")</f>
        <v>55</v>
      </c>
      <c r="E4829" s="33" t="n">
        <f aca="false">IF(B4829&gt;=5,AVERAGE(C4825:C4828),"")</f>
        <v>45.75</v>
      </c>
      <c r="F4829" s="33" t="n">
        <f aca="false">IF(B4829&gt;=9,AVERAGE(C4821:C4828),"")</f>
        <v>40.125</v>
      </c>
      <c r="G4829" s="33" t="n">
        <f aca="false">IF(B4829=1,"",IF(B4829=2,C4828,SES_Alpha*C4828+(1-SES_Alpha)*G4828))</f>
        <v>43.9438961342606</v>
      </c>
      <c r="H4829" s="33" t="n">
        <f aca="false">IF(D4829="","",D4829-C4829)</f>
        <v>27</v>
      </c>
      <c r="I4829" s="33" t="n">
        <f aca="false">IF(E4829="","",E4829-C4829)</f>
        <v>17.75</v>
      </c>
      <c r="J4829" s="33" t="n">
        <f aca="false">IF(F4829="","",F4829-C4829)</f>
        <v>12.125</v>
      </c>
      <c r="K4829" s="33" t="n">
        <f aca="false">IF(G4829="","",G4829-C4829)</f>
        <v>15.9438961342605</v>
      </c>
      <c r="L4829" s="33" t="n">
        <f aca="false">IF(H4829="","",ABS(H4829))</f>
        <v>27</v>
      </c>
      <c r="M4829" s="33" t="n">
        <f aca="false">IF(I4829="","",ABS(I4829))</f>
        <v>17.75</v>
      </c>
      <c r="N4829" s="33" t="n">
        <f aca="false">IF(J4829="","",ABS(J4829))</f>
        <v>12.125</v>
      </c>
      <c r="O4829" s="33" t="n">
        <f aca="false">IF(K4829="","",ABS(K4829))</f>
        <v>15.9438961342605</v>
      </c>
      <c r="P4829" s="34" t="str">
        <f aca="false">IF(B4829&gt;=Eval_Start_Week,"YES","")</f>
        <v/>
      </c>
      <c r="Q4829" s="34" t="str">
        <f aca="false">IF(AND(B4829&gt;=Cal_Start_Week,B4829&lt;=Cal_End_Week),"YES","")</f>
        <v>YES</v>
      </c>
    </row>
    <row r="4830" customFormat="false" ht="15" hidden="false" customHeight="false" outlineLevel="0" collapsed="false">
      <c r="A4830" s="31" t="str">
        <f aca="false">Demand_History!C4830</f>
        <v>CLN-010</v>
      </c>
      <c r="B4830" s="31" t="n">
        <f aca="false">Demand_History!A4830</f>
        <v>45</v>
      </c>
      <c r="C4830" s="32" t="n">
        <f aca="false">Demand_History!D4830</f>
        <v>32</v>
      </c>
      <c r="D4830" s="33" t="n">
        <f aca="false">IF(B4830&gt;=2,C4829,"")</f>
        <v>28</v>
      </c>
      <c r="E4830" s="33" t="n">
        <f aca="false">IF(B4830&gt;=5,AVERAGE(C4826:C4829),"")</f>
        <v>38.5</v>
      </c>
      <c r="F4830" s="33" t="n">
        <f aca="false">IF(B4830&gt;=9,AVERAGE(C4822:C4829),"")</f>
        <v>38.875</v>
      </c>
      <c r="G4830" s="33" t="n">
        <f aca="false">IF(B4830=1,"",IF(B4830=2,C4829,SES_Alpha*C4829+(1-SES_Alpha)*G4829))</f>
        <v>39.1607272939824</v>
      </c>
      <c r="H4830" s="33" t="n">
        <f aca="false">IF(D4830="","",D4830-C4830)</f>
        <v>-4</v>
      </c>
      <c r="I4830" s="33" t="n">
        <f aca="false">IF(E4830="","",E4830-C4830)</f>
        <v>6.5</v>
      </c>
      <c r="J4830" s="33" t="n">
        <f aca="false">IF(F4830="","",F4830-C4830)</f>
        <v>6.875</v>
      </c>
      <c r="K4830" s="33" t="n">
        <f aca="false">IF(G4830="","",G4830-C4830)</f>
        <v>7.16072729398238</v>
      </c>
      <c r="L4830" s="33" t="n">
        <f aca="false">IF(H4830="","",ABS(H4830))</f>
        <v>4</v>
      </c>
      <c r="M4830" s="33" t="n">
        <f aca="false">IF(I4830="","",ABS(I4830))</f>
        <v>6.5</v>
      </c>
      <c r="N4830" s="33" t="n">
        <f aca="false">IF(J4830="","",ABS(J4830))</f>
        <v>6.875</v>
      </c>
      <c r="O4830" s="33" t="n">
        <f aca="false">IF(K4830="","",ABS(K4830))</f>
        <v>7.16072729398238</v>
      </c>
      <c r="P4830" s="34" t="str">
        <f aca="false">IF(B4830&gt;=Eval_Start_Week,"YES","")</f>
        <v/>
      </c>
      <c r="Q4830" s="34" t="str">
        <f aca="false">IF(AND(B4830&gt;=Cal_Start_Week,B4830&lt;=Cal_End_Week),"YES","")</f>
        <v>YES</v>
      </c>
    </row>
    <row r="4831" customFormat="false" ht="15" hidden="false" customHeight="false" outlineLevel="0" collapsed="false">
      <c r="A4831" s="31" t="str">
        <f aca="false">Demand_History!C4831</f>
        <v>CLN-010</v>
      </c>
      <c r="B4831" s="31" t="n">
        <f aca="false">Demand_History!A4831</f>
        <v>46</v>
      </c>
      <c r="C4831" s="32" t="n">
        <f aca="false">Demand_History!D4831</f>
        <v>21</v>
      </c>
      <c r="D4831" s="33" t="n">
        <f aca="false">IF(B4831&gt;=2,C4830,"")</f>
        <v>32</v>
      </c>
      <c r="E4831" s="33" t="n">
        <f aca="false">IF(B4831&gt;=5,AVERAGE(C4827:C4830),"")</f>
        <v>39</v>
      </c>
      <c r="F4831" s="33" t="n">
        <f aca="false">IF(B4831&gt;=9,AVERAGE(C4823:C4830),"")</f>
        <v>39.25</v>
      </c>
      <c r="G4831" s="33" t="n">
        <f aca="false">IF(B4831=1,"",IF(B4831=2,C4830,SES_Alpha*C4830+(1-SES_Alpha)*G4830))</f>
        <v>37.0125091057877</v>
      </c>
      <c r="H4831" s="33" t="n">
        <f aca="false">IF(D4831="","",D4831-C4831)</f>
        <v>11</v>
      </c>
      <c r="I4831" s="33" t="n">
        <f aca="false">IF(E4831="","",E4831-C4831)</f>
        <v>18</v>
      </c>
      <c r="J4831" s="33" t="n">
        <f aca="false">IF(F4831="","",F4831-C4831)</f>
        <v>18.25</v>
      </c>
      <c r="K4831" s="33" t="n">
        <f aca="false">IF(G4831="","",G4831-C4831)</f>
        <v>16.0125091057877</v>
      </c>
      <c r="L4831" s="33" t="n">
        <f aca="false">IF(H4831="","",ABS(H4831))</f>
        <v>11</v>
      </c>
      <c r="M4831" s="33" t="n">
        <f aca="false">IF(I4831="","",ABS(I4831))</f>
        <v>18</v>
      </c>
      <c r="N4831" s="33" t="n">
        <f aca="false">IF(J4831="","",ABS(J4831))</f>
        <v>18.25</v>
      </c>
      <c r="O4831" s="33" t="n">
        <f aca="false">IF(K4831="","",ABS(K4831))</f>
        <v>16.0125091057877</v>
      </c>
      <c r="P4831" s="34" t="str">
        <f aca="false">IF(B4831&gt;=Eval_Start_Week,"YES","")</f>
        <v/>
      </c>
      <c r="Q4831" s="34" t="str">
        <f aca="false">IF(AND(B4831&gt;=Cal_Start_Week,B4831&lt;=Cal_End_Week),"YES","")</f>
        <v>YES</v>
      </c>
    </row>
    <row r="4832" customFormat="false" ht="15" hidden="false" customHeight="false" outlineLevel="0" collapsed="false">
      <c r="A4832" s="31" t="str">
        <f aca="false">Demand_History!C4832</f>
        <v>CLN-010</v>
      </c>
      <c r="B4832" s="31" t="n">
        <f aca="false">Demand_History!A4832</f>
        <v>47</v>
      </c>
      <c r="C4832" s="32" t="n">
        <f aca="false">Demand_History!D4832</f>
        <v>33</v>
      </c>
      <c r="D4832" s="33" t="n">
        <f aca="false">IF(B4832&gt;=2,C4831,"")</f>
        <v>21</v>
      </c>
      <c r="E4832" s="33" t="n">
        <f aca="false">IF(B4832&gt;=5,AVERAGE(C4828:C4831),"")</f>
        <v>34</v>
      </c>
      <c r="F4832" s="33" t="n">
        <f aca="false">IF(B4832&gt;=9,AVERAGE(C4824:C4831),"")</f>
        <v>38.875</v>
      </c>
      <c r="G4832" s="33" t="n">
        <f aca="false">IF(B4832=1,"",IF(B4832=2,C4831,SES_Alpha*C4831+(1-SES_Alpha)*G4831))</f>
        <v>32.2087563740514</v>
      </c>
      <c r="H4832" s="33" t="n">
        <f aca="false">IF(D4832="","",D4832-C4832)</f>
        <v>-12</v>
      </c>
      <c r="I4832" s="33" t="n">
        <f aca="false">IF(E4832="","",E4832-C4832)</f>
        <v>1</v>
      </c>
      <c r="J4832" s="33" t="n">
        <f aca="false">IF(F4832="","",F4832-C4832)</f>
        <v>5.875</v>
      </c>
      <c r="K4832" s="33" t="n">
        <f aca="false">IF(G4832="","",G4832-C4832)</f>
        <v>-0.791243625948638</v>
      </c>
      <c r="L4832" s="33" t="n">
        <f aca="false">IF(H4832="","",ABS(H4832))</f>
        <v>12</v>
      </c>
      <c r="M4832" s="33" t="n">
        <f aca="false">IF(I4832="","",ABS(I4832))</f>
        <v>1</v>
      </c>
      <c r="N4832" s="33" t="n">
        <f aca="false">IF(J4832="","",ABS(J4832))</f>
        <v>5.875</v>
      </c>
      <c r="O4832" s="33" t="n">
        <f aca="false">IF(K4832="","",ABS(K4832))</f>
        <v>0.791243625948638</v>
      </c>
      <c r="P4832" s="34" t="str">
        <f aca="false">IF(B4832&gt;=Eval_Start_Week,"YES","")</f>
        <v/>
      </c>
      <c r="Q4832" s="34" t="str">
        <f aca="false">IF(AND(B4832&gt;=Cal_Start_Week,B4832&lt;=Cal_End_Week),"YES","")</f>
        <v>YES</v>
      </c>
    </row>
    <row r="4833" customFormat="false" ht="15" hidden="false" customHeight="false" outlineLevel="0" collapsed="false">
      <c r="A4833" s="31" t="str">
        <f aca="false">Demand_History!C4833</f>
        <v>CLN-010</v>
      </c>
      <c r="B4833" s="31" t="n">
        <f aca="false">Demand_History!A4833</f>
        <v>48</v>
      </c>
      <c r="C4833" s="32" t="n">
        <f aca="false">Demand_History!D4833</f>
        <v>34</v>
      </c>
      <c r="D4833" s="33" t="n">
        <f aca="false">IF(B4833&gt;=2,C4832,"")</f>
        <v>33</v>
      </c>
      <c r="E4833" s="33" t="n">
        <f aca="false">IF(B4833&gt;=5,AVERAGE(C4829:C4832),"")</f>
        <v>28.5</v>
      </c>
      <c r="F4833" s="33" t="n">
        <f aca="false">IF(B4833&gt;=9,AVERAGE(C4825:C4832),"")</f>
        <v>37.125</v>
      </c>
      <c r="G4833" s="33" t="n">
        <f aca="false">IF(B4833=1,"",IF(B4833=2,C4832,SES_Alpha*C4832+(1-SES_Alpha)*G4832))</f>
        <v>32.446129461836</v>
      </c>
      <c r="H4833" s="33" t="n">
        <f aca="false">IF(D4833="","",D4833-C4833)</f>
        <v>-1</v>
      </c>
      <c r="I4833" s="33" t="n">
        <f aca="false">IF(E4833="","",E4833-C4833)</f>
        <v>-5.5</v>
      </c>
      <c r="J4833" s="33" t="n">
        <f aca="false">IF(F4833="","",F4833-C4833)</f>
        <v>3.125</v>
      </c>
      <c r="K4833" s="33" t="n">
        <f aca="false">IF(G4833="","",G4833-C4833)</f>
        <v>-1.55387053816405</v>
      </c>
      <c r="L4833" s="33" t="n">
        <f aca="false">IF(H4833="","",ABS(H4833))</f>
        <v>1</v>
      </c>
      <c r="M4833" s="33" t="n">
        <f aca="false">IF(I4833="","",ABS(I4833))</f>
        <v>5.5</v>
      </c>
      <c r="N4833" s="33" t="n">
        <f aca="false">IF(J4833="","",ABS(J4833))</f>
        <v>3.125</v>
      </c>
      <c r="O4833" s="33" t="n">
        <f aca="false">IF(K4833="","",ABS(K4833))</f>
        <v>1.55387053816405</v>
      </c>
      <c r="P4833" s="34" t="str">
        <f aca="false">IF(B4833&gt;=Eval_Start_Week,"YES","")</f>
        <v/>
      </c>
      <c r="Q4833" s="34" t="str">
        <f aca="false">IF(AND(B4833&gt;=Cal_Start_Week,B4833&lt;=Cal_End_Week),"YES","")</f>
        <v>YES</v>
      </c>
    </row>
    <row r="4834" customFormat="false" ht="15" hidden="false" customHeight="false" outlineLevel="0" collapsed="false">
      <c r="A4834" s="31" t="str">
        <f aca="false">Demand_History!C4834</f>
        <v>CLN-010</v>
      </c>
      <c r="B4834" s="31" t="n">
        <f aca="false">Demand_History!A4834</f>
        <v>49</v>
      </c>
      <c r="C4834" s="32" t="n">
        <f aca="false">Demand_History!D4834</f>
        <v>30</v>
      </c>
      <c r="D4834" s="33" t="n">
        <f aca="false">IF(B4834&gt;=2,C4833,"")</f>
        <v>34</v>
      </c>
      <c r="E4834" s="33" t="n">
        <f aca="false">IF(B4834&gt;=5,AVERAGE(C4830:C4833),"")</f>
        <v>30</v>
      </c>
      <c r="F4834" s="33" t="n">
        <f aca="false">IF(B4834&gt;=9,AVERAGE(C4826:C4833),"")</f>
        <v>34.25</v>
      </c>
      <c r="G4834" s="33" t="n">
        <f aca="false">IF(B4834=1,"",IF(B4834=2,C4833,SES_Alpha*C4833+(1-SES_Alpha)*G4833))</f>
        <v>32.9122906232852</v>
      </c>
      <c r="H4834" s="33" t="n">
        <f aca="false">IF(D4834="","",D4834-C4834)</f>
        <v>4</v>
      </c>
      <c r="I4834" s="33" t="n">
        <f aca="false">IF(E4834="","",E4834-C4834)</f>
        <v>0</v>
      </c>
      <c r="J4834" s="33" t="n">
        <f aca="false">IF(F4834="","",F4834-C4834)</f>
        <v>4.25</v>
      </c>
      <c r="K4834" s="33" t="n">
        <f aca="false">IF(G4834="","",G4834-C4834)</f>
        <v>2.91229062328516</v>
      </c>
      <c r="L4834" s="33" t="n">
        <f aca="false">IF(H4834="","",ABS(H4834))</f>
        <v>4</v>
      </c>
      <c r="M4834" s="33" t="n">
        <f aca="false">IF(I4834="","",ABS(I4834))</f>
        <v>0</v>
      </c>
      <c r="N4834" s="33" t="n">
        <f aca="false">IF(J4834="","",ABS(J4834))</f>
        <v>4.25</v>
      </c>
      <c r="O4834" s="33" t="n">
        <f aca="false">IF(K4834="","",ABS(K4834))</f>
        <v>2.91229062328516</v>
      </c>
      <c r="P4834" s="34" t="str">
        <f aca="false">IF(B4834&gt;=Eval_Start_Week,"YES","")</f>
        <v/>
      </c>
      <c r="Q4834" s="34" t="str">
        <f aca="false">IF(AND(B4834&gt;=Cal_Start_Week,B4834&lt;=Cal_End_Week),"YES","")</f>
        <v>YES</v>
      </c>
    </row>
    <row r="4835" customFormat="false" ht="15" hidden="false" customHeight="false" outlineLevel="0" collapsed="false">
      <c r="A4835" s="31" t="str">
        <f aca="false">Demand_History!C4835</f>
        <v>CLN-010</v>
      </c>
      <c r="B4835" s="31" t="n">
        <f aca="false">Demand_History!A4835</f>
        <v>50</v>
      </c>
      <c r="C4835" s="32" t="n">
        <f aca="false">Demand_History!D4835</f>
        <v>26</v>
      </c>
      <c r="D4835" s="33" t="n">
        <f aca="false">IF(B4835&gt;=2,C4834,"")</f>
        <v>30</v>
      </c>
      <c r="E4835" s="33" t="n">
        <f aca="false">IF(B4835&gt;=5,AVERAGE(C4831:C4834),"")</f>
        <v>29.5</v>
      </c>
      <c r="F4835" s="33" t="n">
        <f aca="false">IF(B4835&gt;=9,AVERAGE(C4827:C4834),"")</f>
        <v>34.25</v>
      </c>
      <c r="G4835" s="33" t="n">
        <f aca="false">IF(B4835=1,"",IF(B4835=2,C4834,SES_Alpha*C4834+(1-SES_Alpha)*G4834))</f>
        <v>32.0386034362996</v>
      </c>
      <c r="H4835" s="33" t="n">
        <f aca="false">IF(D4835="","",D4835-C4835)</f>
        <v>4</v>
      </c>
      <c r="I4835" s="33" t="n">
        <f aca="false">IF(E4835="","",E4835-C4835)</f>
        <v>3.5</v>
      </c>
      <c r="J4835" s="33" t="n">
        <f aca="false">IF(F4835="","",F4835-C4835)</f>
        <v>8.25</v>
      </c>
      <c r="K4835" s="33" t="n">
        <f aca="false">IF(G4835="","",G4835-C4835)</f>
        <v>6.03860343629961</v>
      </c>
      <c r="L4835" s="33" t="n">
        <f aca="false">IF(H4835="","",ABS(H4835))</f>
        <v>4</v>
      </c>
      <c r="M4835" s="33" t="n">
        <f aca="false">IF(I4835="","",ABS(I4835))</f>
        <v>3.5</v>
      </c>
      <c r="N4835" s="33" t="n">
        <f aca="false">IF(J4835="","",ABS(J4835))</f>
        <v>8.25</v>
      </c>
      <c r="O4835" s="33" t="n">
        <f aca="false">IF(K4835="","",ABS(K4835))</f>
        <v>6.03860343629961</v>
      </c>
      <c r="P4835" s="34" t="str">
        <f aca="false">IF(B4835&gt;=Eval_Start_Week,"YES","")</f>
        <v/>
      </c>
      <c r="Q4835" s="34" t="str">
        <f aca="false">IF(AND(B4835&gt;=Cal_Start_Week,B4835&lt;=Cal_End_Week),"YES","")</f>
        <v>YES</v>
      </c>
    </row>
    <row r="4836" customFormat="false" ht="15" hidden="false" customHeight="false" outlineLevel="0" collapsed="false">
      <c r="A4836" s="31" t="str">
        <f aca="false">Demand_History!C4836</f>
        <v>CLN-010</v>
      </c>
      <c r="B4836" s="31" t="n">
        <f aca="false">Demand_History!A4836</f>
        <v>51</v>
      </c>
      <c r="C4836" s="32" t="n">
        <f aca="false">Demand_History!D4836</f>
        <v>16</v>
      </c>
      <c r="D4836" s="33" t="n">
        <f aca="false">IF(B4836&gt;=2,C4835,"")</f>
        <v>26</v>
      </c>
      <c r="E4836" s="33" t="n">
        <f aca="false">IF(B4836&gt;=5,AVERAGE(C4832:C4835),"")</f>
        <v>30.75</v>
      </c>
      <c r="F4836" s="33" t="n">
        <f aca="false">IF(B4836&gt;=9,AVERAGE(C4828:C4835),"")</f>
        <v>32.375</v>
      </c>
      <c r="G4836" s="33" t="n">
        <f aca="false">IF(B4836=1,"",IF(B4836=2,C4835,SES_Alpha*C4835+(1-SES_Alpha)*G4835))</f>
        <v>30.2270224054097</v>
      </c>
      <c r="H4836" s="33" t="n">
        <f aca="false">IF(D4836="","",D4836-C4836)</f>
        <v>10</v>
      </c>
      <c r="I4836" s="33" t="n">
        <f aca="false">IF(E4836="","",E4836-C4836)</f>
        <v>14.75</v>
      </c>
      <c r="J4836" s="33" t="n">
        <f aca="false">IF(F4836="","",F4836-C4836)</f>
        <v>16.375</v>
      </c>
      <c r="K4836" s="33" t="n">
        <f aca="false">IF(G4836="","",G4836-C4836)</f>
        <v>14.2270224054097</v>
      </c>
      <c r="L4836" s="33" t="n">
        <f aca="false">IF(H4836="","",ABS(H4836))</f>
        <v>10</v>
      </c>
      <c r="M4836" s="33" t="n">
        <f aca="false">IF(I4836="","",ABS(I4836))</f>
        <v>14.75</v>
      </c>
      <c r="N4836" s="33" t="n">
        <f aca="false">IF(J4836="","",ABS(J4836))</f>
        <v>16.375</v>
      </c>
      <c r="O4836" s="33" t="n">
        <f aca="false">IF(K4836="","",ABS(K4836))</f>
        <v>14.2270224054097</v>
      </c>
      <c r="P4836" s="34" t="str">
        <f aca="false">IF(B4836&gt;=Eval_Start_Week,"YES","")</f>
        <v/>
      </c>
      <c r="Q4836" s="34" t="str">
        <f aca="false">IF(AND(B4836&gt;=Cal_Start_Week,B4836&lt;=Cal_End_Week),"YES","")</f>
        <v>YES</v>
      </c>
    </row>
    <row r="4837" customFormat="false" ht="15" hidden="false" customHeight="false" outlineLevel="0" collapsed="false">
      <c r="A4837" s="31" t="str">
        <f aca="false">Demand_History!C4837</f>
        <v>CLN-010</v>
      </c>
      <c r="B4837" s="31" t="n">
        <f aca="false">Demand_History!A4837</f>
        <v>52</v>
      </c>
      <c r="C4837" s="32" t="n">
        <f aca="false">Demand_History!D4837</f>
        <v>19</v>
      </c>
      <c r="D4837" s="33" t="n">
        <f aca="false">IF(B4837&gt;=2,C4836,"")</f>
        <v>16</v>
      </c>
      <c r="E4837" s="33" t="n">
        <f aca="false">IF(B4837&gt;=5,AVERAGE(C4833:C4836),"")</f>
        <v>26.5</v>
      </c>
      <c r="F4837" s="33" t="n">
        <f aca="false">IF(B4837&gt;=9,AVERAGE(C4829:C4836),"")</f>
        <v>27.5</v>
      </c>
      <c r="G4837" s="33" t="n">
        <f aca="false">IF(B4837=1,"",IF(B4837=2,C4836,SES_Alpha*C4836+(1-SES_Alpha)*G4836))</f>
        <v>25.9589156837868</v>
      </c>
      <c r="H4837" s="33" t="n">
        <f aca="false">IF(D4837="","",D4837-C4837)</f>
        <v>-3</v>
      </c>
      <c r="I4837" s="33" t="n">
        <f aca="false">IF(E4837="","",E4837-C4837)</f>
        <v>7.5</v>
      </c>
      <c r="J4837" s="33" t="n">
        <f aca="false">IF(F4837="","",F4837-C4837)</f>
        <v>8.5</v>
      </c>
      <c r="K4837" s="33" t="n">
        <f aca="false">IF(G4837="","",G4837-C4837)</f>
        <v>6.95891568378681</v>
      </c>
      <c r="L4837" s="33" t="n">
        <f aca="false">IF(H4837="","",ABS(H4837))</f>
        <v>3</v>
      </c>
      <c r="M4837" s="33" t="n">
        <f aca="false">IF(I4837="","",ABS(I4837))</f>
        <v>7.5</v>
      </c>
      <c r="N4837" s="33" t="n">
        <f aca="false">IF(J4837="","",ABS(J4837))</f>
        <v>8.5</v>
      </c>
      <c r="O4837" s="33" t="n">
        <f aca="false">IF(K4837="","",ABS(K4837))</f>
        <v>6.95891568378681</v>
      </c>
      <c r="P4837" s="34" t="str">
        <f aca="false">IF(B4837&gt;=Eval_Start_Week,"YES","")</f>
        <v/>
      </c>
      <c r="Q4837" s="34" t="str">
        <f aca="false">IF(AND(B4837&gt;=Cal_Start_Week,B4837&lt;=Cal_End_Week),"YES","")</f>
        <v>YES</v>
      </c>
    </row>
    <row r="4838" customFormat="false" ht="15" hidden="false" customHeight="false" outlineLevel="0" collapsed="false">
      <c r="A4838" s="31" t="str">
        <f aca="false">Demand_History!C4838</f>
        <v>CLN-010</v>
      </c>
      <c r="B4838" s="31" t="n">
        <f aca="false">Demand_History!A4838</f>
        <v>53</v>
      </c>
      <c r="C4838" s="32" t="n">
        <f aca="false">Demand_History!D4838</f>
        <v>24</v>
      </c>
      <c r="D4838" s="33" t="n">
        <f aca="false">IF(B4838&gt;=2,C4837,"")</f>
        <v>19</v>
      </c>
      <c r="E4838" s="33" t="n">
        <f aca="false">IF(B4838&gt;=5,AVERAGE(C4834:C4837),"")</f>
        <v>22.75</v>
      </c>
      <c r="F4838" s="33" t="n">
        <f aca="false">IF(B4838&gt;=9,AVERAGE(C4830:C4837),"")</f>
        <v>26.375</v>
      </c>
      <c r="G4838" s="33" t="n">
        <f aca="false">IF(B4838=1,"",IF(B4838=2,C4837,SES_Alpha*C4837+(1-SES_Alpha)*G4837))</f>
        <v>23.8712409786508</v>
      </c>
      <c r="H4838" s="33" t="n">
        <f aca="false">IF(D4838="","",D4838-C4838)</f>
        <v>-5</v>
      </c>
      <c r="I4838" s="33" t="n">
        <f aca="false">IF(E4838="","",E4838-C4838)</f>
        <v>-1.25</v>
      </c>
      <c r="J4838" s="33" t="n">
        <f aca="false">IF(F4838="","",F4838-C4838)</f>
        <v>2.375</v>
      </c>
      <c r="K4838" s="33" t="n">
        <f aca="false">IF(G4838="","",G4838-C4838)</f>
        <v>-0.128759021349236</v>
      </c>
      <c r="L4838" s="33" t="n">
        <f aca="false">IF(H4838="","",ABS(H4838))</f>
        <v>5</v>
      </c>
      <c r="M4838" s="33" t="n">
        <f aca="false">IF(I4838="","",ABS(I4838))</f>
        <v>1.25</v>
      </c>
      <c r="N4838" s="33" t="n">
        <f aca="false">IF(J4838="","",ABS(J4838))</f>
        <v>2.375</v>
      </c>
      <c r="O4838" s="33" t="n">
        <f aca="false">IF(K4838="","",ABS(K4838))</f>
        <v>0.128759021349236</v>
      </c>
      <c r="P4838" s="34" t="str">
        <f aca="false">IF(B4838&gt;=Eval_Start_Week,"YES","")</f>
        <v>YES</v>
      </c>
      <c r="Q4838" s="34" t="str">
        <f aca="false">IF(AND(B4838&gt;=Cal_Start_Week,B4838&lt;=Cal_End_Week),"YES","")</f>
        <v>YES</v>
      </c>
    </row>
    <row r="4839" customFormat="false" ht="15" hidden="false" customHeight="false" outlineLevel="0" collapsed="false">
      <c r="A4839" s="31" t="str">
        <f aca="false">Demand_History!C4839</f>
        <v>CLN-010</v>
      </c>
      <c r="B4839" s="31" t="n">
        <f aca="false">Demand_History!A4839</f>
        <v>54</v>
      </c>
      <c r="C4839" s="32" t="n">
        <f aca="false">Demand_History!D4839</f>
        <v>43</v>
      </c>
      <c r="D4839" s="33" t="n">
        <f aca="false">IF(B4839&gt;=2,C4838,"")</f>
        <v>24</v>
      </c>
      <c r="E4839" s="33" t="n">
        <f aca="false">IF(B4839&gt;=5,AVERAGE(C4835:C4838),"")</f>
        <v>21.25</v>
      </c>
      <c r="F4839" s="33" t="n">
        <f aca="false">IF(B4839&gt;=9,AVERAGE(C4831:C4838),"")</f>
        <v>25.375</v>
      </c>
      <c r="G4839" s="33" t="n">
        <f aca="false">IF(B4839=1,"",IF(B4839=2,C4838,SES_Alpha*C4838+(1-SES_Alpha)*G4838))</f>
        <v>23.9098686850555</v>
      </c>
      <c r="H4839" s="33" t="n">
        <f aca="false">IF(D4839="","",D4839-C4839)</f>
        <v>-19</v>
      </c>
      <c r="I4839" s="33" t="n">
        <f aca="false">IF(E4839="","",E4839-C4839)</f>
        <v>-21.75</v>
      </c>
      <c r="J4839" s="33" t="n">
        <f aca="false">IF(F4839="","",F4839-C4839)</f>
        <v>-17.625</v>
      </c>
      <c r="K4839" s="33" t="n">
        <f aca="false">IF(G4839="","",G4839-C4839)</f>
        <v>-19.0901313149445</v>
      </c>
      <c r="L4839" s="33" t="n">
        <f aca="false">IF(H4839="","",ABS(H4839))</f>
        <v>19</v>
      </c>
      <c r="M4839" s="33" t="n">
        <f aca="false">IF(I4839="","",ABS(I4839))</f>
        <v>21.75</v>
      </c>
      <c r="N4839" s="33" t="n">
        <f aca="false">IF(J4839="","",ABS(J4839))</f>
        <v>17.625</v>
      </c>
      <c r="O4839" s="33" t="n">
        <f aca="false">IF(K4839="","",ABS(K4839))</f>
        <v>19.0901313149445</v>
      </c>
      <c r="P4839" s="34" t="str">
        <f aca="false">IF(B4839&gt;=Eval_Start_Week,"YES","")</f>
        <v>YES</v>
      </c>
      <c r="Q4839" s="34" t="str">
        <f aca="false">IF(AND(B4839&gt;=Cal_Start_Week,B4839&lt;=Cal_End_Week),"YES","")</f>
        <v>YES</v>
      </c>
    </row>
    <row r="4840" customFormat="false" ht="15" hidden="false" customHeight="false" outlineLevel="0" collapsed="false">
      <c r="A4840" s="31" t="str">
        <f aca="false">Demand_History!C4840</f>
        <v>CLN-010</v>
      </c>
      <c r="B4840" s="31" t="n">
        <f aca="false">Demand_History!A4840</f>
        <v>55</v>
      </c>
      <c r="C4840" s="32" t="n">
        <f aca="false">Demand_History!D4840</f>
        <v>29</v>
      </c>
      <c r="D4840" s="33" t="n">
        <f aca="false">IF(B4840&gt;=2,C4839,"")</f>
        <v>43</v>
      </c>
      <c r="E4840" s="33" t="n">
        <f aca="false">IF(B4840&gt;=5,AVERAGE(C4836:C4839),"")</f>
        <v>25.5</v>
      </c>
      <c r="F4840" s="33" t="n">
        <f aca="false">IF(B4840&gt;=9,AVERAGE(C4832:C4839),"")</f>
        <v>28.125</v>
      </c>
      <c r="G4840" s="33" t="n">
        <f aca="false">IF(B4840=1,"",IF(B4840=2,C4839,SES_Alpha*C4839+(1-SES_Alpha)*G4839))</f>
        <v>29.6369080795389</v>
      </c>
      <c r="H4840" s="33" t="n">
        <f aca="false">IF(D4840="","",D4840-C4840)</f>
        <v>14</v>
      </c>
      <c r="I4840" s="33" t="n">
        <f aca="false">IF(E4840="","",E4840-C4840)</f>
        <v>-3.5</v>
      </c>
      <c r="J4840" s="33" t="n">
        <f aca="false">IF(F4840="","",F4840-C4840)</f>
        <v>-0.875</v>
      </c>
      <c r="K4840" s="33" t="n">
        <f aca="false">IF(G4840="","",G4840-C4840)</f>
        <v>0.63690807953887</v>
      </c>
      <c r="L4840" s="33" t="n">
        <f aca="false">IF(H4840="","",ABS(H4840))</f>
        <v>14</v>
      </c>
      <c r="M4840" s="33" t="n">
        <f aca="false">IF(I4840="","",ABS(I4840))</f>
        <v>3.5</v>
      </c>
      <c r="N4840" s="33" t="n">
        <f aca="false">IF(J4840="","",ABS(J4840))</f>
        <v>0.875</v>
      </c>
      <c r="O4840" s="33" t="n">
        <f aca="false">IF(K4840="","",ABS(K4840))</f>
        <v>0.63690807953887</v>
      </c>
      <c r="P4840" s="34" t="str">
        <f aca="false">IF(B4840&gt;=Eval_Start_Week,"YES","")</f>
        <v>YES</v>
      </c>
      <c r="Q4840" s="34" t="str">
        <f aca="false">IF(AND(B4840&gt;=Cal_Start_Week,B4840&lt;=Cal_End_Week),"YES","")</f>
        <v>YES</v>
      </c>
    </row>
    <row r="4841" customFormat="false" ht="15" hidden="false" customHeight="false" outlineLevel="0" collapsed="false">
      <c r="A4841" s="31" t="str">
        <f aca="false">Demand_History!C4841</f>
        <v>CLN-010</v>
      </c>
      <c r="B4841" s="31" t="n">
        <f aca="false">Demand_History!A4841</f>
        <v>56</v>
      </c>
      <c r="C4841" s="32" t="n">
        <f aca="false">Demand_History!D4841</f>
        <v>25</v>
      </c>
      <c r="D4841" s="33" t="n">
        <f aca="false">IF(B4841&gt;=2,C4840,"")</f>
        <v>29</v>
      </c>
      <c r="E4841" s="33" t="n">
        <f aca="false">IF(B4841&gt;=5,AVERAGE(C4837:C4840),"")</f>
        <v>28.75</v>
      </c>
      <c r="F4841" s="33" t="n">
        <f aca="false">IF(B4841&gt;=9,AVERAGE(C4833:C4840),"")</f>
        <v>27.625</v>
      </c>
      <c r="G4841" s="33" t="n">
        <f aca="false">IF(B4841=1,"",IF(B4841=2,C4840,SES_Alpha*C4840+(1-SES_Alpha)*G4840))</f>
        <v>29.4458356556772</v>
      </c>
      <c r="H4841" s="33" t="n">
        <f aca="false">IF(D4841="","",D4841-C4841)</f>
        <v>4</v>
      </c>
      <c r="I4841" s="33" t="n">
        <f aca="false">IF(E4841="","",E4841-C4841)</f>
        <v>3.75</v>
      </c>
      <c r="J4841" s="33" t="n">
        <f aca="false">IF(F4841="","",F4841-C4841)</f>
        <v>2.625</v>
      </c>
      <c r="K4841" s="33" t="n">
        <f aca="false">IF(G4841="","",G4841-C4841)</f>
        <v>4.44583565567721</v>
      </c>
      <c r="L4841" s="33" t="n">
        <f aca="false">IF(H4841="","",ABS(H4841))</f>
        <v>4</v>
      </c>
      <c r="M4841" s="33" t="n">
        <f aca="false">IF(I4841="","",ABS(I4841))</f>
        <v>3.75</v>
      </c>
      <c r="N4841" s="33" t="n">
        <f aca="false">IF(J4841="","",ABS(J4841))</f>
        <v>2.625</v>
      </c>
      <c r="O4841" s="33" t="n">
        <f aca="false">IF(K4841="","",ABS(K4841))</f>
        <v>4.44583565567721</v>
      </c>
      <c r="P4841" s="34" t="str">
        <f aca="false">IF(B4841&gt;=Eval_Start_Week,"YES","")</f>
        <v>YES</v>
      </c>
      <c r="Q4841" s="34" t="str">
        <f aca="false">IF(AND(B4841&gt;=Cal_Start_Week,B4841&lt;=Cal_End_Week),"YES","")</f>
        <v>YES</v>
      </c>
    </row>
    <row r="4842" customFormat="false" ht="15" hidden="false" customHeight="false" outlineLevel="0" collapsed="false">
      <c r="A4842" s="31" t="str">
        <f aca="false">Demand_History!C4842</f>
        <v>CLN-010</v>
      </c>
      <c r="B4842" s="31" t="n">
        <f aca="false">Demand_History!A4842</f>
        <v>57</v>
      </c>
      <c r="C4842" s="32" t="n">
        <f aca="false">Demand_History!D4842</f>
        <v>43</v>
      </c>
      <c r="D4842" s="33" t="n">
        <f aca="false">IF(B4842&gt;=2,C4841,"")</f>
        <v>25</v>
      </c>
      <c r="E4842" s="33" t="n">
        <f aca="false">IF(B4842&gt;=5,AVERAGE(C4838:C4841),"")</f>
        <v>30.25</v>
      </c>
      <c r="F4842" s="33" t="n">
        <f aca="false">IF(B4842&gt;=9,AVERAGE(C4834:C4841),"")</f>
        <v>26.5</v>
      </c>
      <c r="G4842" s="33" t="n">
        <f aca="false">IF(B4842=1,"",IF(B4842=2,C4841,SES_Alpha*C4841+(1-SES_Alpha)*G4841))</f>
        <v>28.112084958974</v>
      </c>
      <c r="H4842" s="33" t="n">
        <f aca="false">IF(D4842="","",D4842-C4842)</f>
        <v>-18</v>
      </c>
      <c r="I4842" s="33" t="n">
        <f aca="false">IF(E4842="","",E4842-C4842)</f>
        <v>-12.75</v>
      </c>
      <c r="J4842" s="33" t="n">
        <f aca="false">IF(F4842="","",F4842-C4842)</f>
        <v>-16.5</v>
      </c>
      <c r="K4842" s="33" t="n">
        <f aca="false">IF(G4842="","",G4842-C4842)</f>
        <v>-14.887915041026</v>
      </c>
      <c r="L4842" s="33" t="n">
        <f aca="false">IF(H4842="","",ABS(H4842))</f>
        <v>18</v>
      </c>
      <c r="M4842" s="33" t="n">
        <f aca="false">IF(I4842="","",ABS(I4842))</f>
        <v>12.75</v>
      </c>
      <c r="N4842" s="33" t="n">
        <f aca="false">IF(J4842="","",ABS(J4842))</f>
        <v>16.5</v>
      </c>
      <c r="O4842" s="33" t="n">
        <f aca="false">IF(K4842="","",ABS(K4842))</f>
        <v>14.887915041026</v>
      </c>
      <c r="P4842" s="34" t="str">
        <f aca="false">IF(B4842&gt;=Eval_Start_Week,"YES","")</f>
        <v>YES</v>
      </c>
      <c r="Q4842" s="34" t="str">
        <f aca="false">IF(AND(B4842&gt;=Cal_Start_Week,B4842&lt;=Cal_End_Week),"YES","")</f>
        <v>YES</v>
      </c>
    </row>
    <row r="4843" customFormat="false" ht="15" hidden="false" customHeight="false" outlineLevel="0" collapsed="false">
      <c r="A4843" s="31" t="str">
        <f aca="false">Demand_History!C4843</f>
        <v>CLN-010</v>
      </c>
      <c r="B4843" s="31" t="n">
        <f aca="false">Demand_History!A4843</f>
        <v>58</v>
      </c>
      <c r="C4843" s="32" t="n">
        <f aca="false">Demand_History!D4843</f>
        <v>42</v>
      </c>
      <c r="D4843" s="33" t="n">
        <f aca="false">IF(B4843&gt;=2,C4842,"")</f>
        <v>43</v>
      </c>
      <c r="E4843" s="33" t="n">
        <f aca="false">IF(B4843&gt;=5,AVERAGE(C4839:C4842),"")</f>
        <v>35</v>
      </c>
      <c r="F4843" s="33" t="n">
        <f aca="false">IF(B4843&gt;=9,AVERAGE(C4835:C4842),"")</f>
        <v>28.125</v>
      </c>
      <c r="G4843" s="33" t="n">
        <f aca="false">IF(B4843=1,"",IF(B4843=2,C4842,SES_Alpha*C4842+(1-SES_Alpha)*G4842))</f>
        <v>32.5784594712818</v>
      </c>
      <c r="H4843" s="33" t="n">
        <f aca="false">IF(D4843="","",D4843-C4843)</f>
        <v>1</v>
      </c>
      <c r="I4843" s="33" t="n">
        <f aca="false">IF(E4843="","",E4843-C4843)</f>
        <v>-7</v>
      </c>
      <c r="J4843" s="33" t="n">
        <f aca="false">IF(F4843="","",F4843-C4843)</f>
        <v>-13.875</v>
      </c>
      <c r="K4843" s="33" t="n">
        <f aca="false">IF(G4843="","",G4843-C4843)</f>
        <v>-9.42154052871817</v>
      </c>
      <c r="L4843" s="33" t="n">
        <f aca="false">IF(H4843="","",ABS(H4843))</f>
        <v>1</v>
      </c>
      <c r="M4843" s="33" t="n">
        <f aca="false">IF(I4843="","",ABS(I4843))</f>
        <v>7</v>
      </c>
      <c r="N4843" s="33" t="n">
        <f aca="false">IF(J4843="","",ABS(J4843))</f>
        <v>13.875</v>
      </c>
      <c r="O4843" s="33" t="n">
        <f aca="false">IF(K4843="","",ABS(K4843))</f>
        <v>9.42154052871817</v>
      </c>
      <c r="P4843" s="34" t="str">
        <f aca="false">IF(B4843&gt;=Eval_Start_Week,"YES","")</f>
        <v>YES</v>
      </c>
      <c r="Q4843" s="34" t="str">
        <f aca="false">IF(AND(B4843&gt;=Cal_Start_Week,B4843&lt;=Cal_End_Week),"YES","")</f>
        <v>YES</v>
      </c>
    </row>
    <row r="4844" customFormat="false" ht="15" hidden="false" customHeight="false" outlineLevel="0" collapsed="false">
      <c r="A4844" s="31" t="str">
        <f aca="false">Demand_History!C4844</f>
        <v>CLN-010</v>
      </c>
      <c r="B4844" s="31" t="n">
        <f aca="false">Demand_History!A4844</f>
        <v>59</v>
      </c>
      <c r="C4844" s="32" t="n">
        <f aca="false">Demand_History!D4844</f>
        <v>26</v>
      </c>
      <c r="D4844" s="33" t="n">
        <f aca="false">IF(B4844&gt;=2,C4843,"")</f>
        <v>42</v>
      </c>
      <c r="E4844" s="33" t="n">
        <f aca="false">IF(B4844&gt;=5,AVERAGE(C4840:C4843),"")</f>
        <v>34.75</v>
      </c>
      <c r="F4844" s="33" t="n">
        <f aca="false">IF(B4844&gt;=9,AVERAGE(C4836:C4843),"")</f>
        <v>30.125</v>
      </c>
      <c r="G4844" s="33" t="n">
        <f aca="false">IF(B4844=1,"",IF(B4844=2,C4843,SES_Alpha*C4843+(1-SES_Alpha)*G4843))</f>
        <v>35.4049216298973</v>
      </c>
      <c r="H4844" s="33" t="n">
        <f aca="false">IF(D4844="","",D4844-C4844)</f>
        <v>16</v>
      </c>
      <c r="I4844" s="33" t="n">
        <f aca="false">IF(E4844="","",E4844-C4844)</f>
        <v>8.75</v>
      </c>
      <c r="J4844" s="33" t="n">
        <f aca="false">IF(F4844="","",F4844-C4844)</f>
        <v>4.125</v>
      </c>
      <c r="K4844" s="33" t="n">
        <f aca="false">IF(G4844="","",G4844-C4844)</f>
        <v>9.40492162989728</v>
      </c>
      <c r="L4844" s="33" t="n">
        <f aca="false">IF(H4844="","",ABS(H4844))</f>
        <v>16</v>
      </c>
      <c r="M4844" s="33" t="n">
        <f aca="false">IF(I4844="","",ABS(I4844))</f>
        <v>8.75</v>
      </c>
      <c r="N4844" s="33" t="n">
        <f aca="false">IF(J4844="","",ABS(J4844))</f>
        <v>4.125</v>
      </c>
      <c r="O4844" s="33" t="n">
        <f aca="false">IF(K4844="","",ABS(K4844))</f>
        <v>9.40492162989728</v>
      </c>
      <c r="P4844" s="34" t="str">
        <f aca="false">IF(B4844&gt;=Eval_Start_Week,"YES","")</f>
        <v>YES</v>
      </c>
      <c r="Q4844" s="34" t="str">
        <f aca="false">IF(AND(B4844&gt;=Cal_Start_Week,B4844&lt;=Cal_End_Week),"YES","")</f>
        <v>YES</v>
      </c>
    </row>
    <row r="4845" customFormat="false" ht="15" hidden="false" customHeight="false" outlineLevel="0" collapsed="false">
      <c r="A4845" s="31" t="str">
        <f aca="false">Demand_History!C4845</f>
        <v>CLN-010</v>
      </c>
      <c r="B4845" s="31" t="n">
        <f aca="false">Demand_History!A4845</f>
        <v>60</v>
      </c>
      <c r="C4845" s="32" t="n">
        <f aca="false">Demand_History!D4845</f>
        <v>28</v>
      </c>
      <c r="D4845" s="33" t="n">
        <f aca="false">IF(B4845&gt;=2,C4844,"")</f>
        <v>26</v>
      </c>
      <c r="E4845" s="33" t="n">
        <f aca="false">IF(B4845&gt;=5,AVERAGE(C4841:C4844),"")</f>
        <v>34</v>
      </c>
      <c r="F4845" s="33" t="n">
        <f aca="false">IF(B4845&gt;=9,AVERAGE(C4837:C4844),"")</f>
        <v>31.375</v>
      </c>
      <c r="G4845" s="33" t="n">
        <f aca="false">IF(B4845=1,"",IF(B4845=2,C4844,SES_Alpha*C4844+(1-SES_Alpha)*G4844))</f>
        <v>32.5834451409281</v>
      </c>
      <c r="H4845" s="33" t="n">
        <f aca="false">IF(D4845="","",D4845-C4845)</f>
        <v>-2</v>
      </c>
      <c r="I4845" s="33" t="n">
        <f aca="false">IF(E4845="","",E4845-C4845)</f>
        <v>6</v>
      </c>
      <c r="J4845" s="33" t="n">
        <f aca="false">IF(F4845="","",F4845-C4845)</f>
        <v>3.375</v>
      </c>
      <c r="K4845" s="33" t="n">
        <f aca="false">IF(G4845="","",G4845-C4845)</f>
        <v>4.58344514092809</v>
      </c>
      <c r="L4845" s="33" t="n">
        <f aca="false">IF(H4845="","",ABS(H4845))</f>
        <v>2</v>
      </c>
      <c r="M4845" s="33" t="n">
        <f aca="false">IF(I4845="","",ABS(I4845))</f>
        <v>6</v>
      </c>
      <c r="N4845" s="33" t="n">
        <f aca="false">IF(J4845="","",ABS(J4845))</f>
        <v>3.375</v>
      </c>
      <c r="O4845" s="33" t="n">
        <f aca="false">IF(K4845="","",ABS(K4845))</f>
        <v>4.58344514092809</v>
      </c>
      <c r="P4845" s="34" t="str">
        <f aca="false">IF(B4845&gt;=Eval_Start_Week,"YES","")</f>
        <v>YES</v>
      </c>
      <c r="Q4845" s="34" t="str">
        <f aca="false">IF(AND(B4845&gt;=Cal_Start_Week,B4845&lt;=Cal_End_Week),"YES","")</f>
        <v>YES</v>
      </c>
    </row>
    <row r="4846" customFormat="false" ht="15" hidden="false" customHeight="false" outlineLevel="0" collapsed="false">
      <c r="A4846" s="31" t="str">
        <f aca="false">Demand_History!C4846</f>
        <v>CLN-010</v>
      </c>
      <c r="B4846" s="31" t="n">
        <f aca="false">Demand_History!A4846</f>
        <v>61</v>
      </c>
      <c r="C4846" s="32" t="n">
        <f aca="false">Demand_History!D4846</f>
        <v>43</v>
      </c>
      <c r="D4846" s="33" t="n">
        <f aca="false">IF(B4846&gt;=2,C4845,"")</f>
        <v>28</v>
      </c>
      <c r="E4846" s="33" t="n">
        <f aca="false">IF(B4846&gt;=5,AVERAGE(C4842:C4845),"")</f>
        <v>34.75</v>
      </c>
      <c r="F4846" s="33" t="n">
        <f aca="false">IF(B4846&gt;=9,AVERAGE(C4838:C4845),"")</f>
        <v>32.5</v>
      </c>
      <c r="G4846" s="33" t="n">
        <f aca="false">IF(B4846=1,"",IF(B4846=2,C4845,SES_Alpha*C4845+(1-SES_Alpha)*G4845))</f>
        <v>31.2084115986497</v>
      </c>
      <c r="H4846" s="33" t="n">
        <f aca="false">IF(D4846="","",D4846-C4846)</f>
        <v>-15</v>
      </c>
      <c r="I4846" s="33" t="n">
        <f aca="false">IF(E4846="","",E4846-C4846)</f>
        <v>-8.25</v>
      </c>
      <c r="J4846" s="33" t="n">
        <f aca="false">IF(F4846="","",F4846-C4846)</f>
        <v>-10.5</v>
      </c>
      <c r="K4846" s="33" t="n">
        <f aca="false">IF(G4846="","",G4846-C4846)</f>
        <v>-11.7915884013503</v>
      </c>
      <c r="L4846" s="33" t="n">
        <f aca="false">IF(H4846="","",ABS(H4846))</f>
        <v>15</v>
      </c>
      <c r="M4846" s="33" t="n">
        <f aca="false">IF(I4846="","",ABS(I4846))</f>
        <v>8.25</v>
      </c>
      <c r="N4846" s="33" t="n">
        <f aca="false">IF(J4846="","",ABS(J4846))</f>
        <v>10.5</v>
      </c>
      <c r="O4846" s="33" t="n">
        <f aca="false">IF(K4846="","",ABS(K4846))</f>
        <v>11.7915884013503</v>
      </c>
      <c r="P4846" s="34" t="str">
        <f aca="false">IF(B4846&gt;=Eval_Start_Week,"YES","")</f>
        <v>YES</v>
      </c>
      <c r="Q4846" s="34" t="str">
        <f aca="false">IF(AND(B4846&gt;=Cal_Start_Week,B4846&lt;=Cal_End_Week),"YES","")</f>
        <v>YES</v>
      </c>
    </row>
    <row r="4847" customFormat="false" ht="15" hidden="false" customHeight="false" outlineLevel="0" collapsed="false">
      <c r="A4847" s="31" t="str">
        <f aca="false">Demand_History!C4847</f>
        <v>CLN-010</v>
      </c>
      <c r="B4847" s="31" t="n">
        <f aca="false">Demand_History!A4847</f>
        <v>62</v>
      </c>
      <c r="C4847" s="32" t="n">
        <f aca="false">Demand_History!D4847</f>
        <v>39</v>
      </c>
      <c r="D4847" s="33" t="n">
        <f aca="false">IF(B4847&gt;=2,C4846,"")</f>
        <v>43</v>
      </c>
      <c r="E4847" s="33" t="n">
        <f aca="false">IF(B4847&gt;=5,AVERAGE(C4843:C4846),"")</f>
        <v>34.75</v>
      </c>
      <c r="F4847" s="33" t="n">
        <f aca="false">IF(B4847&gt;=9,AVERAGE(C4839:C4846),"")</f>
        <v>34.875</v>
      </c>
      <c r="G4847" s="33" t="n">
        <f aca="false">IF(B4847=1,"",IF(B4847=2,C4846,SES_Alpha*C4846+(1-SES_Alpha)*G4846))</f>
        <v>34.7458881190548</v>
      </c>
      <c r="H4847" s="33" t="n">
        <f aca="false">IF(D4847="","",D4847-C4847)</f>
        <v>4</v>
      </c>
      <c r="I4847" s="33" t="n">
        <f aca="false">IF(E4847="","",E4847-C4847)</f>
        <v>-4.25</v>
      </c>
      <c r="J4847" s="33" t="n">
        <f aca="false">IF(F4847="","",F4847-C4847)</f>
        <v>-4.125</v>
      </c>
      <c r="K4847" s="33" t="n">
        <f aca="false">IF(G4847="","",G4847-C4847)</f>
        <v>-4.25411188094524</v>
      </c>
      <c r="L4847" s="33" t="n">
        <f aca="false">IF(H4847="","",ABS(H4847))</f>
        <v>4</v>
      </c>
      <c r="M4847" s="33" t="n">
        <f aca="false">IF(I4847="","",ABS(I4847))</f>
        <v>4.25</v>
      </c>
      <c r="N4847" s="33" t="n">
        <f aca="false">IF(J4847="","",ABS(J4847))</f>
        <v>4.125</v>
      </c>
      <c r="O4847" s="33" t="n">
        <f aca="false">IF(K4847="","",ABS(K4847))</f>
        <v>4.25411188094524</v>
      </c>
      <c r="P4847" s="34" t="str">
        <f aca="false">IF(B4847&gt;=Eval_Start_Week,"YES","")</f>
        <v>YES</v>
      </c>
      <c r="Q4847" s="34" t="str">
        <f aca="false">IF(AND(B4847&gt;=Cal_Start_Week,B4847&lt;=Cal_End_Week),"YES","")</f>
        <v>YES</v>
      </c>
    </row>
    <row r="4848" customFormat="false" ht="15" hidden="false" customHeight="false" outlineLevel="0" collapsed="false">
      <c r="A4848" s="31" t="str">
        <f aca="false">Demand_History!C4848</f>
        <v>CLN-010</v>
      </c>
      <c r="B4848" s="31" t="n">
        <f aca="false">Demand_History!A4848</f>
        <v>63</v>
      </c>
      <c r="C4848" s="32" t="n">
        <f aca="false">Demand_History!D4848</f>
        <v>25</v>
      </c>
      <c r="D4848" s="33" t="n">
        <f aca="false">IF(B4848&gt;=2,C4847,"")</f>
        <v>39</v>
      </c>
      <c r="E4848" s="33" t="n">
        <f aca="false">IF(B4848&gt;=5,AVERAGE(C4844:C4847),"")</f>
        <v>34</v>
      </c>
      <c r="F4848" s="33" t="n">
        <f aca="false">IF(B4848&gt;=9,AVERAGE(C4840:C4847),"")</f>
        <v>34.375</v>
      </c>
      <c r="G4848" s="33" t="n">
        <f aca="false">IF(B4848=1,"",IF(B4848=2,C4847,SES_Alpha*C4847+(1-SES_Alpha)*G4847))</f>
        <v>36.0221216833383</v>
      </c>
      <c r="H4848" s="33" t="n">
        <f aca="false">IF(D4848="","",D4848-C4848)</f>
        <v>14</v>
      </c>
      <c r="I4848" s="33" t="n">
        <f aca="false">IF(E4848="","",E4848-C4848)</f>
        <v>9</v>
      </c>
      <c r="J4848" s="33" t="n">
        <f aca="false">IF(F4848="","",F4848-C4848)</f>
        <v>9.375</v>
      </c>
      <c r="K4848" s="33" t="n">
        <f aca="false">IF(G4848="","",G4848-C4848)</f>
        <v>11.0221216833383</v>
      </c>
      <c r="L4848" s="33" t="n">
        <f aca="false">IF(H4848="","",ABS(H4848))</f>
        <v>14</v>
      </c>
      <c r="M4848" s="33" t="n">
        <f aca="false">IF(I4848="","",ABS(I4848))</f>
        <v>9</v>
      </c>
      <c r="N4848" s="33" t="n">
        <f aca="false">IF(J4848="","",ABS(J4848))</f>
        <v>9.375</v>
      </c>
      <c r="O4848" s="33" t="n">
        <f aca="false">IF(K4848="","",ABS(K4848))</f>
        <v>11.0221216833383</v>
      </c>
      <c r="P4848" s="34" t="str">
        <f aca="false">IF(B4848&gt;=Eval_Start_Week,"YES","")</f>
        <v>YES</v>
      </c>
      <c r="Q4848" s="34" t="str">
        <f aca="false">IF(AND(B4848&gt;=Cal_Start_Week,B4848&lt;=Cal_End_Week),"YES","")</f>
        <v>YES</v>
      </c>
    </row>
    <row r="4849" customFormat="false" ht="15" hidden="false" customHeight="false" outlineLevel="0" collapsed="false">
      <c r="A4849" s="31" t="str">
        <f aca="false">Demand_History!C4849</f>
        <v>CLN-010</v>
      </c>
      <c r="B4849" s="31" t="n">
        <f aca="false">Demand_History!A4849</f>
        <v>64</v>
      </c>
      <c r="C4849" s="32" t="n">
        <f aca="false">Demand_History!D4849</f>
        <v>38</v>
      </c>
      <c r="D4849" s="33" t="n">
        <f aca="false">IF(B4849&gt;=2,C4848,"")</f>
        <v>25</v>
      </c>
      <c r="E4849" s="33" t="n">
        <f aca="false">IF(B4849&gt;=5,AVERAGE(C4845:C4848),"")</f>
        <v>33.75</v>
      </c>
      <c r="F4849" s="33" t="n">
        <f aca="false">IF(B4849&gt;=9,AVERAGE(C4841:C4848),"")</f>
        <v>33.875</v>
      </c>
      <c r="G4849" s="33" t="n">
        <f aca="false">IF(B4849=1,"",IF(B4849=2,C4848,SES_Alpha*C4848+(1-SES_Alpha)*G4848))</f>
        <v>32.7154851783368</v>
      </c>
      <c r="H4849" s="33" t="n">
        <f aca="false">IF(D4849="","",D4849-C4849)</f>
        <v>-13</v>
      </c>
      <c r="I4849" s="33" t="n">
        <f aca="false">IF(E4849="","",E4849-C4849)</f>
        <v>-4.25</v>
      </c>
      <c r="J4849" s="33" t="n">
        <f aca="false">IF(F4849="","",F4849-C4849)</f>
        <v>-4.125</v>
      </c>
      <c r="K4849" s="33" t="n">
        <f aca="false">IF(G4849="","",G4849-C4849)</f>
        <v>-5.28451482166317</v>
      </c>
      <c r="L4849" s="33" t="n">
        <f aca="false">IF(H4849="","",ABS(H4849))</f>
        <v>13</v>
      </c>
      <c r="M4849" s="33" t="n">
        <f aca="false">IF(I4849="","",ABS(I4849))</f>
        <v>4.25</v>
      </c>
      <c r="N4849" s="33" t="n">
        <f aca="false">IF(J4849="","",ABS(J4849))</f>
        <v>4.125</v>
      </c>
      <c r="O4849" s="33" t="n">
        <f aca="false">IF(K4849="","",ABS(K4849))</f>
        <v>5.28451482166317</v>
      </c>
      <c r="P4849" s="34" t="str">
        <f aca="false">IF(B4849&gt;=Eval_Start_Week,"YES","")</f>
        <v>YES</v>
      </c>
      <c r="Q4849" s="34" t="str">
        <f aca="false">IF(AND(B4849&gt;=Cal_Start_Week,B4849&lt;=Cal_End_Week),"YES","")</f>
        <v>YES</v>
      </c>
    </row>
    <row r="4850" customFormat="false" ht="15" hidden="false" customHeight="false" outlineLevel="0" collapsed="false">
      <c r="A4850" s="31" t="str">
        <f aca="false">Demand_History!C4850</f>
        <v>CLN-010</v>
      </c>
      <c r="B4850" s="31" t="n">
        <f aca="false">Demand_History!A4850</f>
        <v>65</v>
      </c>
      <c r="C4850" s="32" t="n">
        <f aca="false">Demand_History!D4850</f>
        <v>35</v>
      </c>
      <c r="D4850" s="33" t="n">
        <f aca="false">IF(B4850&gt;=2,C4849,"")</f>
        <v>38</v>
      </c>
      <c r="E4850" s="33" t="n">
        <f aca="false">IF(B4850&gt;=5,AVERAGE(C4846:C4849),"")</f>
        <v>36.25</v>
      </c>
      <c r="F4850" s="33" t="n">
        <f aca="false">IF(B4850&gt;=9,AVERAGE(C4842:C4849),"")</f>
        <v>35.5</v>
      </c>
      <c r="G4850" s="33" t="n">
        <f aca="false">IF(B4850=1,"",IF(B4850=2,C4849,SES_Alpha*C4849+(1-SES_Alpha)*G4849))</f>
        <v>34.3008396248358</v>
      </c>
      <c r="H4850" s="33" t="n">
        <f aca="false">IF(D4850="","",D4850-C4850)</f>
        <v>3</v>
      </c>
      <c r="I4850" s="33" t="n">
        <f aca="false">IF(E4850="","",E4850-C4850)</f>
        <v>1.25</v>
      </c>
      <c r="J4850" s="33" t="n">
        <f aca="false">IF(F4850="","",F4850-C4850)</f>
        <v>0.5</v>
      </c>
      <c r="K4850" s="33" t="n">
        <f aca="false">IF(G4850="","",G4850-C4850)</f>
        <v>-0.699160375164219</v>
      </c>
      <c r="L4850" s="33" t="n">
        <f aca="false">IF(H4850="","",ABS(H4850))</f>
        <v>3</v>
      </c>
      <c r="M4850" s="33" t="n">
        <f aca="false">IF(I4850="","",ABS(I4850))</f>
        <v>1.25</v>
      </c>
      <c r="N4850" s="33" t="n">
        <f aca="false">IF(J4850="","",ABS(J4850))</f>
        <v>0.5</v>
      </c>
      <c r="O4850" s="33" t="n">
        <f aca="false">IF(K4850="","",ABS(K4850))</f>
        <v>0.699160375164219</v>
      </c>
      <c r="P4850" s="34" t="str">
        <f aca="false">IF(B4850&gt;=Eval_Start_Week,"YES","")</f>
        <v>YES</v>
      </c>
      <c r="Q4850" s="34" t="str">
        <f aca="false">IF(AND(B4850&gt;=Cal_Start_Week,B4850&lt;=Cal_End_Week),"YES","")</f>
        <v>YES</v>
      </c>
    </row>
    <row r="4851" customFormat="false" ht="15" hidden="false" customHeight="false" outlineLevel="0" collapsed="false">
      <c r="A4851" s="31" t="str">
        <f aca="false">Demand_History!C4851</f>
        <v>CLN-010</v>
      </c>
      <c r="B4851" s="31" t="n">
        <f aca="false">Demand_History!A4851</f>
        <v>66</v>
      </c>
      <c r="C4851" s="32" t="n">
        <f aca="false">Demand_History!D4851</f>
        <v>48</v>
      </c>
      <c r="D4851" s="33" t="n">
        <f aca="false">IF(B4851&gt;=2,C4850,"")</f>
        <v>35</v>
      </c>
      <c r="E4851" s="33" t="n">
        <f aca="false">IF(B4851&gt;=5,AVERAGE(C4847:C4850),"")</f>
        <v>34.25</v>
      </c>
      <c r="F4851" s="33" t="n">
        <f aca="false">IF(B4851&gt;=9,AVERAGE(C4843:C4850),"")</f>
        <v>34.5</v>
      </c>
      <c r="G4851" s="33" t="n">
        <f aca="false">IF(B4851=1,"",IF(B4851=2,C4850,SES_Alpha*C4850+(1-SES_Alpha)*G4850))</f>
        <v>34.510587737385</v>
      </c>
      <c r="H4851" s="33" t="n">
        <f aca="false">IF(D4851="","",D4851-C4851)</f>
        <v>-13</v>
      </c>
      <c r="I4851" s="33" t="n">
        <f aca="false">IF(E4851="","",E4851-C4851)</f>
        <v>-13.75</v>
      </c>
      <c r="J4851" s="33" t="n">
        <f aca="false">IF(F4851="","",F4851-C4851)</f>
        <v>-13.5</v>
      </c>
      <c r="K4851" s="33" t="n">
        <f aca="false">IF(G4851="","",G4851-C4851)</f>
        <v>-13.489412262615</v>
      </c>
      <c r="L4851" s="33" t="n">
        <f aca="false">IF(H4851="","",ABS(H4851))</f>
        <v>13</v>
      </c>
      <c r="M4851" s="33" t="n">
        <f aca="false">IF(I4851="","",ABS(I4851))</f>
        <v>13.75</v>
      </c>
      <c r="N4851" s="33" t="n">
        <f aca="false">IF(J4851="","",ABS(J4851))</f>
        <v>13.5</v>
      </c>
      <c r="O4851" s="33" t="n">
        <f aca="false">IF(K4851="","",ABS(K4851))</f>
        <v>13.489412262615</v>
      </c>
      <c r="P4851" s="34" t="str">
        <f aca="false">IF(B4851&gt;=Eval_Start_Week,"YES","")</f>
        <v>YES</v>
      </c>
      <c r="Q4851" s="34" t="str">
        <f aca="false">IF(AND(B4851&gt;=Cal_Start_Week,B4851&lt;=Cal_End_Week),"YES","")</f>
        <v>YES</v>
      </c>
    </row>
    <row r="4852" customFormat="false" ht="15" hidden="false" customHeight="false" outlineLevel="0" collapsed="false">
      <c r="A4852" s="31" t="str">
        <f aca="false">Demand_History!C4852</f>
        <v>CLN-010</v>
      </c>
      <c r="B4852" s="31" t="n">
        <f aca="false">Demand_History!A4852</f>
        <v>67</v>
      </c>
      <c r="C4852" s="32" t="n">
        <f aca="false">Demand_History!D4852</f>
        <v>25</v>
      </c>
      <c r="D4852" s="33" t="n">
        <f aca="false">IF(B4852&gt;=2,C4851,"")</f>
        <v>48</v>
      </c>
      <c r="E4852" s="33" t="n">
        <f aca="false">IF(B4852&gt;=5,AVERAGE(C4848:C4851),"")</f>
        <v>36.5</v>
      </c>
      <c r="F4852" s="33" t="n">
        <f aca="false">IF(B4852&gt;=9,AVERAGE(C4844:C4851),"")</f>
        <v>35.25</v>
      </c>
      <c r="G4852" s="33" t="n">
        <f aca="false">IF(B4852=1,"",IF(B4852=2,C4851,SES_Alpha*C4851+(1-SES_Alpha)*G4851))</f>
        <v>38.5574114161695</v>
      </c>
      <c r="H4852" s="33" t="n">
        <f aca="false">IF(D4852="","",D4852-C4852)</f>
        <v>23</v>
      </c>
      <c r="I4852" s="33" t="n">
        <f aca="false">IF(E4852="","",E4852-C4852)</f>
        <v>11.5</v>
      </c>
      <c r="J4852" s="33" t="n">
        <f aca="false">IF(F4852="","",F4852-C4852)</f>
        <v>10.25</v>
      </c>
      <c r="K4852" s="33" t="n">
        <f aca="false">IF(G4852="","",G4852-C4852)</f>
        <v>13.5574114161695</v>
      </c>
      <c r="L4852" s="33" t="n">
        <f aca="false">IF(H4852="","",ABS(H4852))</f>
        <v>23</v>
      </c>
      <c r="M4852" s="33" t="n">
        <f aca="false">IF(I4852="","",ABS(I4852))</f>
        <v>11.5</v>
      </c>
      <c r="N4852" s="33" t="n">
        <f aca="false">IF(J4852="","",ABS(J4852))</f>
        <v>10.25</v>
      </c>
      <c r="O4852" s="33" t="n">
        <f aca="false">IF(K4852="","",ABS(K4852))</f>
        <v>13.5574114161695</v>
      </c>
      <c r="P4852" s="34" t="str">
        <f aca="false">IF(B4852&gt;=Eval_Start_Week,"YES","")</f>
        <v>YES</v>
      </c>
      <c r="Q4852" s="34" t="str">
        <f aca="false">IF(AND(B4852&gt;=Cal_Start_Week,B4852&lt;=Cal_End_Week),"YES","")</f>
        <v>YES</v>
      </c>
    </row>
    <row r="4853" customFormat="false" ht="15" hidden="false" customHeight="false" outlineLevel="0" collapsed="false">
      <c r="A4853" s="31" t="str">
        <f aca="false">Demand_History!C4853</f>
        <v>CLN-010</v>
      </c>
      <c r="B4853" s="31" t="n">
        <f aca="false">Demand_History!A4853</f>
        <v>68</v>
      </c>
      <c r="C4853" s="32" t="n">
        <f aca="false">Demand_History!D4853</f>
        <v>45</v>
      </c>
      <c r="D4853" s="33" t="n">
        <f aca="false">IF(B4853&gt;=2,C4852,"")</f>
        <v>25</v>
      </c>
      <c r="E4853" s="33" t="n">
        <f aca="false">IF(B4853&gt;=5,AVERAGE(C4849:C4852),"")</f>
        <v>36.5</v>
      </c>
      <c r="F4853" s="33" t="n">
        <f aca="false">IF(B4853&gt;=9,AVERAGE(C4845:C4852),"")</f>
        <v>35.125</v>
      </c>
      <c r="G4853" s="33" t="n">
        <f aca="false">IF(B4853=1,"",IF(B4853=2,C4852,SES_Alpha*C4852+(1-SES_Alpha)*G4852))</f>
        <v>34.4901879913187</v>
      </c>
      <c r="H4853" s="33" t="n">
        <f aca="false">IF(D4853="","",D4853-C4853)</f>
        <v>-20</v>
      </c>
      <c r="I4853" s="33" t="n">
        <f aca="false">IF(E4853="","",E4853-C4853)</f>
        <v>-8.5</v>
      </c>
      <c r="J4853" s="33" t="n">
        <f aca="false">IF(F4853="","",F4853-C4853)</f>
        <v>-9.875</v>
      </c>
      <c r="K4853" s="33" t="n">
        <f aca="false">IF(G4853="","",G4853-C4853)</f>
        <v>-10.5098120086813</v>
      </c>
      <c r="L4853" s="33" t="n">
        <f aca="false">IF(H4853="","",ABS(H4853))</f>
        <v>20</v>
      </c>
      <c r="M4853" s="33" t="n">
        <f aca="false">IF(I4853="","",ABS(I4853))</f>
        <v>8.5</v>
      </c>
      <c r="N4853" s="33" t="n">
        <f aca="false">IF(J4853="","",ABS(J4853))</f>
        <v>9.875</v>
      </c>
      <c r="O4853" s="33" t="n">
        <f aca="false">IF(K4853="","",ABS(K4853))</f>
        <v>10.5098120086813</v>
      </c>
      <c r="P4853" s="34" t="str">
        <f aca="false">IF(B4853&gt;=Eval_Start_Week,"YES","")</f>
        <v>YES</v>
      </c>
      <c r="Q4853" s="34" t="str">
        <f aca="false">IF(AND(B4853&gt;=Cal_Start_Week,B4853&lt;=Cal_End_Week),"YES","")</f>
        <v>YES</v>
      </c>
    </row>
    <row r="4854" customFormat="false" ht="15" hidden="false" customHeight="false" outlineLevel="0" collapsed="false">
      <c r="A4854" s="31" t="str">
        <f aca="false">Demand_History!C4854</f>
        <v>CLN-010</v>
      </c>
      <c r="B4854" s="31" t="n">
        <f aca="false">Demand_History!A4854</f>
        <v>69</v>
      </c>
      <c r="C4854" s="32" t="n">
        <f aca="false">Demand_History!D4854</f>
        <v>40</v>
      </c>
      <c r="D4854" s="33" t="n">
        <f aca="false">IF(B4854&gt;=2,C4853,"")</f>
        <v>45</v>
      </c>
      <c r="E4854" s="33" t="n">
        <f aca="false">IF(B4854&gt;=5,AVERAGE(C4850:C4853),"")</f>
        <v>38.25</v>
      </c>
      <c r="F4854" s="33" t="n">
        <f aca="false">IF(B4854&gt;=9,AVERAGE(C4846:C4853),"")</f>
        <v>37.25</v>
      </c>
      <c r="G4854" s="33" t="n">
        <f aca="false">IF(B4854=1,"",IF(B4854=2,C4853,SES_Alpha*C4853+(1-SES_Alpha)*G4853))</f>
        <v>37.6431315939231</v>
      </c>
      <c r="H4854" s="33" t="n">
        <f aca="false">IF(D4854="","",D4854-C4854)</f>
        <v>5</v>
      </c>
      <c r="I4854" s="33" t="n">
        <f aca="false">IF(E4854="","",E4854-C4854)</f>
        <v>-1.75</v>
      </c>
      <c r="J4854" s="33" t="n">
        <f aca="false">IF(F4854="","",F4854-C4854)</f>
        <v>-2.75</v>
      </c>
      <c r="K4854" s="33" t="n">
        <f aca="false">IF(G4854="","",G4854-C4854)</f>
        <v>-2.35686840607693</v>
      </c>
      <c r="L4854" s="33" t="n">
        <f aca="false">IF(H4854="","",ABS(H4854))</f>
        <v>5</v>
      </c>
      <c r="M4854" s="33" t="n">
        <f aca="false">IF(I4854="","",ABS(I4854))</f>
        <v>1.75</v>
      </c>
      <c r="N4854" s="33" t="n">
        <f aca="false">IF(J4854="","",ABS(J4854))</f>
        <v>2.75</v>
      </c>
      <c r="O4854" s="33" t="n">
        <f aca="false">IF(K4854="","",ABS(K4854))</f>
        <v>2.35686840607693</v>
      </c>
      <c r="P4854" s="34" t="str">
        <f aca="false">IF(B4854&gt;=Eval_Start_Week,"YES","")</f>
        <v>YES</v>
      </c>
      <c r="Q4854" s="34" t="str">
        <f aca="false">IF(AND(B4854&gt;=Cal_Start_Week,B4854&lt;=Cal_End_Week),"YES","")</f>
        <v>YES</v>
      </c>
    </row>
    <row r="4855" customFormat="false" ht="15" hidden="false" customHeight="false" outlineLevel="0" collapsed="false">
      <c r="A4855" s="31" t="str">
        <f aca="false">Demand_History!C4855</f>
        <v>CLN-010</v>
      </c>
      <c r="B4855" s="31" t="n">
        <f aca="false">Demand_History!A4855</f>
        <v>70</v>
      </c>
      <c r="C4855" s="32" t="n">
        <f aca="false">Demand_History!D4855</f>
        <v>23</v>
      </c>
      <c r="D4855" s="33" t="n">
        <f aca="false">IF(B4855&gt;=2,C4854,"")</f>
        <v>40</v>
      </c>
      <c r="E4855" s="33" t="n">
        <f aca="false">IF(B4855&gt;=5,AVERAGE(C4851:C4854),"")</f>
        <v>39.5</v>
      </c>
      <c r="F4855" s="33" t="n">
        <f aca="false">IF(B4855&gt;=9,AVERAGE(C4847:C4854),"")</f>
        <v>36.875</v>
      </c>
      <c r="G4855" s="33" t="n">
        <f aca="false">IF(B4855=1,"",IF(B4855=2,C4854,SES_Alpha*C4854+(1-SES_Alpha)*G4854))</f>
        <v>38.3501921157462</v>
      </c>
      <c r="H4855" s="33" t="n">
        <f aca="false">IF(D4855="","",D4855-C4855)</f>
        <v>17</v>
      </c>
      <c r="I4855" s="33" t="n">
        <f aca="false">IF(E4855="","",E4855-C4855)</f>
        <v>16.5</v>
      </c>
      <c r="J4855" s="33" t="n">
        <f aca="false">IF(F4855="","",F4855-C4855)</f>
        <v>13.875</v>
      </c>
      <c r="K4855" s="33" t="n">
        <f aca="false">IF(G4855="","",G4855-C4855)</f>
        <v>15.3501921157462</v>
      </c>
      <c r="L4855" s="33" t="n">
        <f aca="false">IF(H4855="","",ABS(H4855))</f>
        <v>17</v>
      </c>
      <c r="M4855" s="33" t="n">
        <f aca="false">IF(I4855="","",ABS(I4855))</f>
        <v>16.5</v>
      </c>
      <c r="N4855" s="33" t="n">
        <f aca="false">IF(J4855="","",ABS(J4855))</f>
        <v>13.875</v>
      </c>
      <c r="O4855" s="33" t="n">
        <f aca="false">IF(K4855="","",ABS(K4855))</f>
        <v>15.3501921157462</v>
      </c>
      <c r="P4855" s="34" t="str">
        <f aca="false">IF(B4855&gt;=Eval_Start_Week,"YES","")</f>
        <v>YES</v>
      </c>
      <c r="Q4855" s="34" t="str">
        <f aca="false">IF(AND(B4855&gt;=Cal_Start_Week,B4855&lt;=Cal_End_Week),"YES","")</f>
        <v>YES</v>
      </c>
    </row>
    <row r="4856" customFormat="false" ht="15" hidden="false" customHeight="false" outlineLevel="0" collapsed="false">
      <c r="A4856" s="31" t="str">
        <f aca="false">Demand_History!C4856</f>
        <v>CLN-010</v>
      </c>
      <c r="B4856" s="31" t="n">
        <f aca="false">Demand_History!A4856</f>
        <v>71</v>
      </c>
      <c r="C4856" s="32" t="n">
        <f aca="false">Demand_History!D4856</f>
        <v>47</v>
      </c>
      <c r="D4856" s="33" t="n">
        <f aca="false">IF(B4856&gt;=2,C4855,"")</f>
        <v>23</v>
      </c>
      <c r="E4856" s="33" t="n">
        <f aca="false">IF(B4856&gt;=5,AVERAGE(C4852:C4855),"")</f>
        <v>33.25</v>
      </c>
      <c r="F4856" s="33" t="n">
        <f aca="false">IF(B4856&gt;=9,AVERAGE(C4848:C4855),"")</f>
        <v>34.875</v>
      </c>
      <c r="G4856" s="33" t="n">
        <f aca="false">IF(B4856=1,"",IF(B4856=2,C4855,SES_Alpha*C4855+(1-SES_Alpha)*G4855))</f>
        <v>33.7451344810223</v>
      </c>
      <c r="H4856" s="33" t="n">
        <f aca="false">IF(D4856="","",D4856-C4856)</f>
        <v>-24</v>
      </c>
      <c r="I4856" s="33" t="n">
        <f aca="false">IF(E4856="","",E4856-C4856)</f>
        <v>-13.75</v>
      </c>
      <c r="J4856" s="33" t="n">
        <f aca="false">IF(F4856="","",F4856-C4856)</f>
        <v>-12.125</v>
      </c>
      <c r="K4856" s="33" t="n">
        <f aca="false">IF(G4856="","",G4856-C4856)</f>
        <v>-13.2548655189777</v>
      </c>
      <c r="L4856" s="33" t="n">
        <f aca="false">IF(H4856="","",ABS(H4856))</f>
        <v>24</v>
      </c>
      <c r="M4856" s="33" t="n">
        <f aca="false">IF(I4856="","",ABS(I4856))</f>
        <v>13.75</v>
      </c>
      <c r="N4856" s="33" t="n">
        <f aca="false">IF(J4856="","",ABS(J4856))</f>
        <v>12.125</v>
      </c>
      <c r="O4856" s="33" t="n">
        <f aca="false">IF(K4856="","",ABS(K4856))</f>
        <v>13.2548655189777</v>
      </c>
      <c r="P4856" s="34" t="str">
        <f aca="false">IF(B4856&gt;=Eval_Start_Week,"YES","")</f>
        <v>YES</v>
      </c>
      <c r="Q4856" s="34" t="str">
        <f aca="false">IF(AND(B4856&gt;=Cal_Start_Week,B4856&lt;=Cal_End_Week),"YES","")</f>
        <v>YES</v>
      </c>
    </row>
    <row r="4857" customFormat="false" ht="15" hidden="false" customHeight="false" outlineLevel="0" collapsed="false">
      <c r="A4857" s="31" t="str">
        <f aca="false">Demand_History!C4857</f>
        <v>CLN-010</v>
      </c>
      <c r="B4857" s="31" t="n">
        <f aca="false">Demand_History!A4857</f>
        <v>72</v>
      </c>
      <c r="C4857" s="32" t="n">
        <f aca="false">Demand_History!D4857</f>
        <v>46</v>
      </c>
      <c r="D4857" s="33" t="n">
        <f aca="false">IF(B4857&gt;=2,C4856,"")</f>
        <v>47</v>
      </c>
      <c r="E4857" s="33" t="n">
        <f aca="false">IF(B4857&gt;=5,AVERAGE(C4853:C4856),"")</f>
        <v>38.75</v>
      </c>
      <c r="F4857" s="33" t="n">
        <f aca="false">IF(B4857&gt;=9,AVERAGE(C4849:C4856),"")</f>
        <v>37.625</v>
      </c>
      <c r="G4857" s="33" t="n">
        <f aca="false">IF(B4857=1,"",IF(B4857=2,C4856,SES_Alpha*C4856+(1-SES_Alpha)*G4856))</f>
        <v>37.7215941367156</v>
      </c>
      <c r="H4857" s="33" t="n">
        <f aca="false">IF(D4857="","",D4857-C4857)</f>
        <v>1</v>
      </c>
      <c r="I4857" s="33" t="n">
        <f aca="false">IF(E4857="","",E4857-C4857)</f>
        <v>-7.25</v>
      </c>
      <c r="J4857" s="33" t="n">
        <f aca="false">IF(F4857="","",F4857-C4857)</f>
        <v>-8.375</v>
      </c>
      <c r="K4857" s="33" t="n">
        <f aca="false">IF(G4857="","",G4857-C4857)</f>
        <v>-8.27840586328439</v>
      </c>
      <c r="L4857" s="33" t="n">
        <f aca="false">IF(H4857="","",ABS(H4857))</f>
        <v>1</v>
      </c>
      <c r="M4857" s="33" t="n">
        <f aca="false">IF(I4857="","",ABS(I4857))</f>
        <v>7.25</v>
      </c>
      <c r="N4857" s="33" t="n">
        <f aca="false">IF(J4857="","",ABS(J4857))</f>
        <v>8.375</v>
      </c>
      <c r="O4857" s="33" t="n">
        <f aca="false">IF(K4857="","",ABS(K4857))</f>
        <v>8.27840586328439</v>
      </c>
      <c r="P4857" s="34" t="str">
        <f aca="false">IF(B4857&gt;=Eval_Start_Week,"YES","")</f>
        <v>YES</v>
      </c>
      <c r="Q4857" s="34" t="str">
        <f aca="false">IF(AND(B4857&gt;=Cal_Start_Week,B4857&lt;=Cal_End_Week),"YES","")</f>
        <v>YES</v>
      </c>
    </row>
    <row r="4858" customFormat="false" ht="15" hidden="false" customHeight="false" outlineLevel="0" collapsed="false">
      <c r="A4858" s="31" t="str">
        <f aca="false">Demand_History!C4858</f>
        <v>CLN-010</v>
      </c>
      <c r="B4858" s="31" t="n">
        <f aca="false">Demand_History!A4858</f>
        <v>73</v>
      </c>
      <c r="C4858" s="32" t="n">
        <f aca="false">Demand_History!D4858</f>
        <v>19</v>
      </c>
      <c r="D4858" s="33" t="n">
        <f aca="false">IF(B4858&gt;=2,C4857,"")</f>
        <v>46</v>
      </c>
      <c r="E4858" s="33" t="n">
        <f aca="false">IF(B4858&gt;=5,AVERAGE(C4854:C4857),"")</f>
        <v>39</v>
      </c>
      <c r="F4858" s="33" t="n">
        <f aca="false">IF(B4858&gt;=9,AVERAGE(C4850:C4857),"")</f>
        <v>38.625</v>
      </c>
      <c r="G4858" s="33" t="n">
        <f aca="false">IF(B4858=1,"",IF(B4858=2,C4857,SES_Alpha*C4857+(1-SES_Alpha)*G4857))</f>
        <v>40.2051158957009</v>
      </c>
      <c r="H4858" s="33" t="n">
        <f aca="false">IF(D4858="","",D4858-C4858)</f>
        <v>27</v>
      </c>
      <c r="I4858" s="33" t="n">
        <f aca="false">IF(E4858="","",E4858-C4858)</f>
        <v>20</v>
      </c>
      <c r="J4858" s="33" t="n">
        <f aca="false">IF(F4858="","",F4858-C4858)</f>
        <v>19.625</v>
      </c>
      <c r="K4858" s="33" t="n">
        <f aca="false">IF(G4858="","",G4858-C4858)</f>
        <v>21.2051158957009</v>
      </c>
      <c r="L4858" s="33" t="n">
        <f aca="false">IF(H4858="","",ABS(H4858))</f>
        <v>27</v>
      </c>
      <c r="M4858" s="33" t="n">
        <f aca="false">IF(I4858="","",ABS(I4858))</f>
        <v>20</v>
      </c>
      <c r="N4858" s="33" t="n">
        <f aca="false">IF(J4858="","",ABS(J4858))</f>
        <v>19.625</v>
      </c>
      <c r="O4858" s="33" t="n">
        <f aca="false">IF(K4858="","",ABS(K4858))</f>
        <v>21.2051158957009</v>
      </c>
      <c r="P4858" s="34" t="str">
        <f aca="false">IF(B4858&gt;=Eval_Start_Week,"YES","")</f>
        <v>YES</v>
      </c>
      <c r="Q4858" s="34" t="str">
        <f aca="false">IF(AND(B4858&gt;=Cal_Start_Week,B4858&lt;=Cal_End_Week),"YES","")</f>
        <v>YES</v>
      </c>
    </row>
    <row r="4859" customFormat="false" ht="15" hidden="false" customHeight="false" outlineLevel="0" collapsed="false">
      <c r="A4859" s="31" t="str">
        <f aca="false">Demand_History!C4859</f>
        <v>CLN-010</v>
      </c>
      <c r="B4859" s="31" t="n">
        <f aca="false">Demand_History!A4859</f>
        <v>74</v>
      </c>
      <c r="C4859" s="32" t="n">
        <f aca="false">Demand_History!D4859</f>
        <v>58</v>
      </c>
      <c r="D4859" s="33" t="n">
        <f aca="false">IF(B4859&gt;=2,C4858,"")</f>
        <v>19</v>
      </c>
      <c r="E4859" s="33" t="n">
        <f aca="false">IF(B4859&gt;=5,AVERAGE(C4855:C4858),"")</f>
        <v>33.75</v>
      </c>
      <c r="F4859" s="33" t="n">
        <f aca="false">IF(B4859&gt;=9,AVERAGE(C4851:C4858),"")</f>
        <v>36.625</v>
      </c>
      <c r="G4859" s="33" t="n">
        <f aca="false">IF(B4859=1,"",IF(B4859=2,C4858,SES_Alpha*C4858+(1-SES_Alpha)*G4858))</f>
        <v>33.8435811269906</v>
      </c>
      <c r="H4859" s="33" t="n">
        <f aca="false">IF(D4859="","",D4859-C4859)</f>
        <v>-39</v>
      </c>
      <c r="I4859" s="33" t="n">
        <f aca="false">IF(E4859="","",E4859-C4859)</f>
        <v>-24.25</v>
      </c>
      <c r="J4859" s="33" t="n">
        <f aca="false">IF(F4859="","",F4859-C4859)</f>
        <v>-21.375</v>
      </c>
      <c r="K4859" s="33" t="n">
        <f aca="false">IF(G4859="","",G4859-C4859)</f>
        <v>-24.1564188730094</v>
      </c>
      <c r="L4859" s="33" t="n">
        <f aca="false">IF(H4859="","",ABS(H4859))</f>
        <v>39</v>
      </c>
      <c r="M4859" s="33" t="n">
        <f aca="false">IF(I4859="","",ABS(I4859))</f>
        <v>24.25</v>
      </c>
      <c r="N4859" s="33" t="n">
        <f aca="false">IF(J4859="","",ABS(J4859))</f>
        <v>21.375</v>
      </c>
      <c r="O4859" s="33" t="n">
        <f aca="false">IF(K4859="","",ABS(K4859))</f>
        <v>24.1564188730094</v>
      </c>
      <c r="P4859" s="34" t="str">
        <f aca="false">IF(B4859&gt;=Eval_Start_Week,"YES","")</f>
        <v>YES</v>
      </c>
      <c r="Q4859" s="34" t="str">
        <f aca="false">IF(AND(B4859&gt;=Cal_Start_Week,B4859&lt;=Cal_End_Week),"YES","")</f>
        <v>YES</v>
      </c>
    </row>
    <row r="4860" customFormat="false" ht="15" hidden="false" customHeight="false" outlineLevel="0" collapsed="false">
      <c r="A4860" s="31" t="str">
        <f aca="false">Demand_History!C4860</f>
        <v>CLN-010</v>
      </c>
      <c r="B4860" s="31" t="n">
        <f aca="false">Demand_History!A4860</f>
        <v>75</v>
      </c>
      <c r="C4860" s="32" t="n">
        <f aca="false">Demand_History!D4860</f>
        <v>21</v>
      </c>
      <c r="D4860" s="33" t="n">
        <f aca="false">IF(B4860&gt;=2,C4859,"")</f>
        <v>58</v>
      </c>
      <c r="E4860" s="33" t="n">
        <f aca="false">IF(B4860&gt;=5,AVERAGE(C4856:C4859),"")</f>
        <v>42.5</v>
      </c>
      <c r="F4860" s="33" t="n">
        <f aca="false">IF(B4860&gt;=9,AVERAGE(C4852:C4859),"")</f>
        <v>37.875</v>
      </c>
      <c r="G4860" s="33" t="n">
        <f aca="false">IF(B4860=1,"",IF(B4860=2,C4859,SES_Alpha*C4859+(1-SES_Alpha)*G4859))</f>
        <v>41.0905067888935</v>
      </c>
      <c r="H4860" s="33" t="n">
        <f aca="false">IF(D4860="","",D4860-C4860)</f>
        <v>37</v>
      </c>
      <c r="I4860" s="33" t="n">
        <f aca="false">IF(E4860="","",E4860-C4860)</f>
        <v>21.5</v>
      </c>
      <c r="J4860" s="33" t="n">
        <f aca="false">IF(F4860="","",F4860-C4860)</f>
        <v>16.875</v>
      </c>
      <c r="K4860" s="33" t="n">
        <f aca="false">IF(G4860="","",G4860-C4860)</f>
        <v>20.0905067888935</v>
      </c>
      <c r="L4860" s="33" t="n">
        <f aca="false">IF(H4860="","",ABS(H4860))</f>
        <v>37</v>
      </c>
      <c r="M4860" s="33" t="n">
        <f aca="false">IF(I4860="","",ABS(I4860))</f>
        <v>21.5</v>
      </c>
      <c r="N4860" s="33" t="n">
        <f aca="false">IF(J4860="","",ABS(J4860))</f>
        <v>16.875</v>
      </c>
      <c r="O4860" s="33" t="n">
        <f aca="false">IF(K4860="","",ABS(K4860))</f>
        <v>20.0905067888935</v>
      </c>
      <c r="P4860" s="34" t="str">
        <f aca="false">IF(B4860&gt;=Eval_Start_Week,"YES","")</f>
        <v>YES</v>
      </c>
      <c r="Q4860" s="34" t="str">
        <f aca="false">IF(AND(B4860&gt;=Cal_Start_Week,B4860&lt;=Cal_End_Week),"YES","")</f>
        <v>YES</v>
      </c>
    </row>
    <row r="4861" customFormat="false" ht="15" hidden="false" customHeight="false" outlineLevel="0" collapsed="false">
      <c r="A4861" s="31" t="str">
        <f aca="false">Demand_History!C4861</f>
        <v>CLN-010</v>
      </c>
      <c r="B4861" s="31" t="n">
        <f aca="false">Demand_History!A4861</f>
        <v>76</v>
      </c>
      <c r="C4861" s="32" t="n">
        <f aca="false">Demand_History!D4861</f>
        <v>24</v>
      </c>
      <c r="D4861" s="33" t="n">
        <f aca="false">IF(B4861&gt;=2,C4860,"")</f>
        <v>21</v>
      </c>
      <c r="E4861" s="33" t="n">
        <f aca="false">IF(B4861&gt;=5,AVERAGE(C4857:C4860),"")</f>
        <v>36</v>
      </c>
      <c r="F4861" s="33" t="n">
        <f aca="false">IF(B4861&gt;=9,AVERAGE(C4853:C4860),"")</f>
        <v>37.375</v>
      </c>
      <c r="G4861" s="33" t="n">
        <f aca="false">IF(B4861=1,"",IF(B4861=2,C4860,SES_Alpha*C4860+(1-SES_Alpha)*G4860))</f>
        <v>35.0633547522254</v>
      </c>
      <c r="H4861" s="33" t="n">
        <f aca="false">IF(D4861="","",D4861-C4861)</f>
        <v>-3</v>
      </c>
      <c r="I4861" s="33" t="n">
        <f aca="false">IF(E4861="","",E4861-C4861)</f>
        <v>12</v>
      </c>
      <c r="J4861" s="33" t="n">
        <f aca="false">IF(F4861="","",F4861-C4861)</f>
        <v>13.375</v>
      </c>
      <c r="K4861" s="33" t="n">
        <f aca="false">IF(G4861="","",G4861-C4861)</f>
        <v>11.0633547522254</v>
      </c>
      <c r="L4861" s="33" t="n">
        <f aca="false">IF(H4861="","",ABS(H4861))</f>
        <v>3</v>
      </c>
      <c r="M4861" s="33" t="n">
        <f aca="false">IF(I4861="","",ABS(I4861))</f>
        <v>12</v>
      </c>
      <c r="N4861" s="33" t="n">
        <f aca="false">IF(J4861="","",ABS(J4861))</f>
        <v>13.375</v>
      </c>
      <c r="O4861" s="33" t="n">
        <f aca="false">IF(K4861="","",ABS(K4861))</f>
        <v>11.0633547522254</v>
      </c>
      <c r="P4861" s="34" t="str">
        <f aca="false">IF(B4861&gt;=Eval_Start_Week,"YES","")</f>
        <v>YES</v>
      </c>
      <c r="Q4861" s="34" t="str">
        <f aca="false">IF(AND(B4861&gt;=Cal_Start_Week,B4861&lt;=Cal_End_Week),"YES","")</f>
        <v>YES</v>
      </c>
    </row>
    <row r="4862" customFormat="false" ht="15" hidden="false" customHeight="false" outlineLevel="0" collapsed="false">
      <c r="A4862" s="31" t="str">
        <f aca="false">Demand_History!C4862</f>
        <v>CLN-010</v>
      </c>
      <c r="B4862" s="31" t="n">
        <f aca="false">Demand_History!A4862</f>
        <v>77</v>
      </c>
      <c r="C4862" s="32" t="n">
        <f aca="false">Demand_History!D4862</f>
        <v>31</v>
      </c>
      <c r="D4862" s="33" t="n">
        <f aca="false">IF(B4862&gt;=2,C4861,"")</f>
        <v>24</v>
      </c>
      <c r="E4862" s="33" t="n">
        <f aca="false">IF(B4862&gt;=5,AVERAGE(C4858:C4861),"")</f>
        <v>30.5</v>
      </c>
      <c r="F4862" s="33" t="n">
        <f aca="false">IF(B4862&gt;=9,AVERAGE(C4854:C4861),"")</f>
        <v>34.75</v>
      </c>
      <c r="G4862" s="33" t="n">
        <f aca="false">IF(B4862=1,"",IF(B4862=2,C4861,SES_Alpha*C4861+(1-SES_Alpha)*G4861))</f>
        <v>31.7443483265578</v>
      </c>
      <c r="H4862" s="33" t="n">
        <f aca="false">IF(D4862="","",D4862-C4862)</f>
        <v>-7</v>
      </c>
      <c r="I4862" s="33" t="n">
        <f aca="false">IF(E4862="","",E4862-C4862)</f>
        <v>-0.5</v>
      </c>
      <c r="J4862" s="33" t="n">
        <f aca="false">IF(F4862="","",F4862-C4862)</f>
        <v>3.75</v>
      </c>
      <c r="K4862" s="33" t="n">
        <f aca="false">IF(G4862="","",G4862-C4862)</f>
        <v>0.744348326557788</v>
      </c>
      <c r="L4862" s="33" t="n">
        <f aca="false">IF(H4862="","",ABS(H4862))</f>
        <v>7</v>
      </c>
      <c r="M4862" s="33" t="n">
        <f aca="false">IF(I4862="","",ABS(I4862))</f>
        <v>0.5</v>
      </c>
      <c r="N4862" s="33" t="n">
        <f aca="false">IF(J4862="","",ABS(J4862))</f>
        <v>3.75</v>
      </c>
      <c r="O4862" s="33" t="n">
        <f aca="false">IF(K4862="","",ABS(K4862))</f>
        <v>0.744348326557788</v>
      </c>
      <c r="P4862" s="34" t="str">
        <f aca="false">IF(B4862&gt;=Eval_Start_Week,"YES","")</f>
        <v>YES</v>
      </c>
      <c r="Q4862" s="34" t="str">
        <f aca="false">IF(AND(B4862&gt;=Cal_Start_Week,B4862&lt;=Cal_End_Week),"YES","")</f>
        <v>YES</v>
      </c>
    </row>
    <row r="4863" customFormat="false" ht="15" hidden="false" customHeight="false" outlineLevel="0" collapsed="false">
      <c r="A4863" s="31" t="str">
        <f aca="false">Demand_History!C4863</f>
        <v>CLN-010</v>
      </c>
      <c r="B4863" s="31" t="n">
        <f aca="false">Demand_History!A4863</f>
        <v>78</v>
      </c>
      <c r="C4863" s="32" t="n">
        <f aca="false">Demand_History!D4863</f>
        <v>44</v>
      </c>
      <c r="D4863" s="33" t="n">
        <f aca="false">IF(B4863&gt;=2,C4862,"")</f>
        <v>31</v>
      </c>
      <c r="E4863" s="33" t="n">
        <f aca="false">IF(B4863&gt;=5,AVERAGE(C4859:C4862),"")</f>
        <v>33.5</v>
      </c>
      <c r="F4863" s="33" t="n">
        <f aca="false">IF(B4863&gt;=9,AVERAGE(C4855:C4862),"")</f>
        <v>33.625</v>
      </c>
      <c r="G4863" s="33" t="n">
        <f aca="false">IF(B4863=1,"",IF(B4863=2,C4862,SES_Alpha*C4862+(1-SES_Alpha)*G4862))</f>
        <v>31.5210438285905</v>
      </c>
      <c r="H4863" s="33" t="n">
        <f aca="false">IF(D4863="","",D4863-C4863)</f>
        <v>-13</v>
      </c>
      <c r="I4863" s="33" t="n">
        <f aca="false">IF(E4863="","",E4863-C4863)</f>
        <v>-10.5</v>
      </c>
      <c r="J4863" s="33" t="n">
        <f aca="false">IF(F4863="","",F4863-C4863)</f>
        <v>-10.375</v>
      </c>
      <c r="K4863" s="33" t="n">
        <f aca="false">IF(G4863="","",G4863-C4863)</f>
        <v>-12.4789561714096</v>
      </c>
      <c r="L4863" s="33" t="n">
        <f aca="false">IF(H4863="","",ABS(H4863))</f>
        <v>13</v>
      </c>
      <c r="M4863" s="33" t="n">
        <f aca="false">IF(I4863="","",ABS(I4863))</f>
        <v>10.5</v>
      </c>
      <c r="N4863" s="33" t="n">
        <f aca="false">IF(J4863="","",ABS(J4863))</f>
        <v>10.375</v>
      </c>
      <c r="O4863" s="33" t="n">
        <f aca="false">IF(K4863="","",ABS(K4863))</f>
        <v>12.4789561714096</v>
      </c>
      <c r="P4863" s="34" t="str">
        <f aca="false">IF(B4863&gt;=Eval_Start_Week,"YES","")</f>
        <v>YES</v>
      </c>
      <c r="Q4863" s="34" t="str">
        <f aca="false">IF(AND(B4863&gt;=Cal_Start_Week,B4863&lt;=Cal_End_Week),"YES","")</f>
        <v>YES</v>
      </c>
    </row>
    <row r="4864" customFormat="false" ht="15" hidden="false" customHeight="false" outlineLevel="0" collapsed="false">
      <c r="A4864" s="31" t="str">
        <f aca="false">Demand_History!C4864</f>
        <v>CLN-010</v>
      </c>
      <c r="B4864" s="31" t="n">
        <f aca="false">Demand_History!A4864</f>
        <v>79</v>
      </c>
      <c r="C4864" s="32" t="n">
        <f aca="false">Demand_History!D4864</f>
        <v>42</v>
      </c>
      <c r="D4864" s="33" t="n">
        <f aca="false">IF(B4864&gt;=2,C4863,"")</f>
        <v>44</v>
      </c>
      <c r="E4864" s="33" t="n">
        <f aca="false">IF(B4864&gt;=5,AVERAGE(C4860:C4863),"")</f>
        <v>30</v>
      </c>
      <c r="F4864" s="33" t="n">
        <f aca="false">IF(B4864&gt;=9,AVERAGE(C4856:C4863),"")</f>
        <v>36.25</v>
      </c>
      <c r="G4864" s="33" t="n">
        <f aca="false">IF(B4864=1,"",IF(B4864=2,C4863,SES_Alpha*C4863+(1-SES_Alpha)*G4863))</f>
        <v>35.2647306800133</v>
      </c>
      <c r="H4864" s="33" t="n">
        <f aca="false">IF(D4864="","",D4864-C4864)</f>
        <v>2</v>
      </c>
      <c r="I4864" s="33" t="n">
        <f aca="false">IF(E4864="","",E4864-C4864)</f>
        <v>-12</v>
      </c>
      <c r="J4864" s="33" t="n">
        <f aca="false">IF(F4864="","",F4864-C4864)</f>
        <v>-5.75</v>
      </c>
      <c r="K4864" s="33" t="n">
        <f aca="false">IF(G4864="","",G4864-C4864)</f>
        <v>-6.73526931998669</v>
      </c>
      <c r="L4864" s="33" t="n">
        <f aca="false">IF(H4864="","",ABS(H4864))</f>
        <v>2</v>
      </c>
      <c r="M4864" s="33" t="n">
        <f aca="false">IF(I4864="","",ABS(I4864))</f>
        <v>12</v>
      </c>
      <c r="N4864" s="33" t="n">
        <f aca="false">IF(J4864="","",ABS(J4864))</f>
        <v>5.75</v>
      </c>
      <c r="O4864" s="33" t="n">
        <f aca="false">IF(K4864="","",ABS(K4864))</f>
        <v>6.73526931998669</v>
      </c>
      <c r="P4864" s="34" t="str">
        <f aca="false">IF(B4864&gt;=Eval_Start_Week,"YES","")</f>
        <v>YES</v>
      </c>
      <c r="Q4864" s="34" t="str">
        <f aca="false">IF(AND(B4864&gt;=Cal_Start_Week,B4864&lt;=Cal_End_Week),"YES","")</f>
        <v>YES</v>
      </c>
    </row>
    <row r="4865" customFormat="false" ht="15" hidden="false" customHeight="false" outlineLevel="0" collapsed="false">
      <c r="A4865" s="31" t="str">
        <f aca="false">Demand_History!C4865</f>
        <v>CLN-010</v>
      </c>
      <c r="B4865" s="31" t="n">
        <f aca="false">Demand_History!A4865</f>
        <v>80</v>
      </c>
      <c r="C4865" s="32" t="n">
        <f aca="false">Demand_History!D4865</f>
        <v>34</v>
      </c>
      <c r="D4865" s="33" t="n">
        <f aca="false">IF(B4865&gt;=2,C4864,"")</f>
        <v>42</v>
      </c>
      <c r="E4865" s="33" t="n">
        <f aca="false">IF(B4865&gt;=5,AVERAGE(C4861:C4864),"")</f>
        <v>35.25</v>
      </c>
      <c r="F4865" s="33" t="n">
        <f aca="false">IF(B4865&gt;=9,AVERAGE(C4857:C4864),"")</f>
        <v>35.625</v>
      </c>
      <c r="G4865" s="33" t="n">
        <f aca="false">IF(B4865=1,"",IF(B4865=2,C4864,SES_Alpha*C4864+(1-SES_Alpha)*G4864))</f>
        <v>37.2853114760093</v>
      </c>
      <c r="H4865" s="33" t="n">
        <f aca="false">IF(D4865="","",D4865-C4865)</f>
        <v>8</v>
      </c>
      <c r="I4865" s="33" t="n">
        <f aca="false">IF(E4865="","",E4865-C4865)</f>
        <v>1.25</v>
      </c>
      <c r="J4865" s="33" t="n">
        <f aca="false">IF(F4865="","",F4865-C4865)</f>
        <v>1.625</v>
      </c>
      <c r="K4865" s="33" t="n">
        <f aca="false">IF(G4865="","",G4865-C4865)</f>
        <v>3.28531147600932</v>
      </c>
      <c r="L4865" s="33" t="n">
        <f aca="false">IF(H4865="","",ABS(H4865))</f>
        <v>8</v>
      </c>
      <c r="M4865" s="33" t="n">
        <f aca="false">IF(I4865="","",ABS(I4865))</f>
        <v>1.25</v>
      </c>
      <c r="N4865" s="33" t="n">
        <f aca="false">IF(J4865="","",ABS(J4865))</f>
        <v>1.625</v>
      </c>
      <c r="O4865" s="33" t="n">
        <f aca="false">IF(K4865="","",ABS(K4865))</f>
        <v>3.28531147600932</v>
      </c>
      <c r="P4865" s="34" t="str">
        <f aca="false">IF(B4865&gt;=Eval_Start_Week,"YES","")</f>
        <v>YES</v>
      </c>
      <c r="Q4865" s="34" t="str">
        <f aca="false">IF(AND(B4865&gt;=Cal_Start_Week,B4865&lt;=Cal_End_Week),"YES","")</f>
        <v>YES</v>
      </c>
    </row>
    <row r="4866" customFormat="false" ht="15" hidden="false" customHeight="false" outlineLevel="0" collapsed="false">
      <c r="A4866" s="31" t="str">
        <f aca="false">Demand_History!C4866</f>
        <v>CLN-010</v>
      </c>
      <c r="B4866" s="31" t="n">
        <f aca="false">Demand_History!A4866</f>
        <v>81</v>
      </c>
      <c r="C4866" s="32" t="n">
        <f aca="false">Demand_History!D4866</f>
        <v>51</v>
      </c>
      <c r="D4866" s="33" t="n">
        <f aca="false">IF(B4866&gt;=2,C4865,"")</f>
        <v>34</v>
      </c>
      <c r="E4866" s="33" t="n">
        <f aca="false">IF(B4866&gt;=5,AVERAGE(C4862:C4865),"")</f>
        <v>37.75</v>
      </c>
      <c r="F4866" s="33" t="n">
        <f aca="false">IF(B4866&gt;=9,AVERAGE(C4858:C4865),"")</f>
        <v>34.125</v>
      </c>
      <c r="G4866" s="33" t="n">
        <f aca="false">IF(B4866=1,"",IF(B4866=2,C4865,SES_Alpha*C4865+(1-SES_Alpha)*G4865))</f>
        <v>36.2997180332065</v>
      </c>
      <c r="H4866" s="33" t="n">
        <f aca="false">IF(D4866="","",D4866-C4866)</f>
        <v>-17</v>
      </c>
      <c r="I4866" s="33" t="n">
        <f aca="false">IF(E4866="","",E4866-C4866)</f>
        <v>-13.25</v>
      </c>
      <c r="J4866" s="33" t="n">
        <f aca="false">IF(F4866="","",F4866-C4866)</f>
        <v>-16.875</v>
      </c>
      <c r="K4866" s="33" t="n">
        <f aca="false">IF(G4866="","",G4866-C4866)</f>
        <v>-14.7002819667935</v>
      </c>
      <c r="L4866" s="33" t="n">
        <f aca="false">IF(H4866="","",ABS(H4866))</f>
        <v>17</v>
      </c>
      <c r="M4866" s="33" t="n">
        <f aca="false">IF(I4866="","",ABS(I4866))</f>
        <v>13.25</v>
      </c>
      <c r="N4866" s="33" t="n">
        <f aca="false">IF(J4866="","",ABS(J4866))</f>
        <v>16.875</v>
      </c>
      <c r="O4866" s="33" t="n">
        <f aca="false">IF(K4866="","",ABS(K4866))</f>
        <v>14.7002819667935</v>
      </c>
      <c r="P4866" s="34" t="str">
        <f aca="false">IF(B4866&gt;=Eval_Start_Week,"YES","")</f>
        <v>YES</v>
      </c>
      <c r="Q4866" s="34" t="str">
        <f aca="false">IF(AND(B4866&gt;=Cal_Start_Week,B4866&lt;=Cal_End_Week),"YES","")</f>
        <v>YES</v>
      </c>
    </row>
    <row r="4867" customFormat="false" ht="15" hidden="false" customHeight="false" outlineLevel="0" collapsed="false">
      <c r="A4867" s="31" t="str">
        <f aca="false">Demand_History!C4867</f>
        <v>CLN-010</v>
      </c>
      <c r="B4867" s="31" t="n">
        <f aca="false">Demand_History!A4867</f>
        <v>82</v>
      </c>
      <c r="C4867" s="32" t="n">
        <f aca="false">Demand_History!D4867</f>
        <v>40</v>
      </c>
      <c r="D4867" s="33" t="n">
        <f aca="false">IF(B4867&gt;=2,C4866,"")</f>
        <v>51</v>
      </c>
      <c r="E4867" s="33" t="n">
        <f aca="false">IF(B4867&gt;=5,AVERAGE(C4863:C4866),"")</f>
        <v>42.75</v>
      </c>
      <c r="F4867" s="33" t="n">
        <f aca="false">IF(B4867&gt;=9,AVERAGE(C4859:C4866),"")</f>
        <v>38.125</v>
      </c>
      <c r="G4867" s="33" t="n">
        <f aca="false">IF(B4867=1,"",IF(B4867=2,C4866,SES_Alpha*C4866+(1-SES_Alpha)*G4866))</f>
        <v>40.7098026232446</v>
      </c>
      <c r="H4867" s="33" t="n">
        <f aca="false">IF(D4867="","",D4867-C4867)</f>
        <v>11</v>
      </c>
      <c r="I4867" s="33" t="n">
        <f aca="false">IF(E4867="","",E4867-C4867)</f>
        <v>2.75</v>
      </c>
      <c r="J4867" s="33" t="n">
        <f aca="false">IF(F4867="","",F4867-C4867)</f>
        <v>-1.875</v>
      </c>
      <c r="K4867" s="33" t="n">
        <f aca="false">IF(G4867="","",G4867-C4867)</f>
        <v>0.709802623244556</v>
      </c>
      <c r="L4867" s="33" t="n">
        <f aca="false">IF(H4867="","",ABS(H4867))</f>
        <v>11</v>
      </c>
      <c r="M4867" s="33" t="n">
        <f aca="false">IF(I4867="","",ABS(I4867))</f>
        <v>2.75</v>
      </c>
      <c r="N4867" s="33" t="n">
        <f aca="false">IF(J4867="","",ABS(J4867))</f>
        <v>1.875</v>
      </c>
      <c r="O4867" s="33" t="n">
        <f aca="false">IF(K4867="","",ABS(K4867))</f>
        <v>0.709802623244556</v>
      </c>
      <c r="P4867" s="34" t="str">
        <f aca="false">IF(B4867&gt;=Eval_Start_Week,"YES","")</f>
        <v>YES</v>
      </c>
      <c r="Q4867" s="34" t="str">
        <f aca="false">IF(AND(B4867&gt;=Cal_Start_Week,B4867&lt;=Cal_End_Week),"YES","")</f>
        <v>YES</v>
      </c>
    </row>
    <row r="4868" customFormat="false" ht="15" hidden="false" customHeight="false" outlineLevel="0" collapsed="false">
      <c r="A4868" s="31" t="str">
        <f aca="false">Demand_History!C4868</f>
        <v>CLN-010</v>
      </c>
      <c r="B4868" s="31" t="n">
        <f aca="false">Demand_History!A4868</f>
        <v>83</v>
      </c>
      <c r="C4868" s="32" t="n">
        <f aca="false">Demand_History!D4868</f>
        <v>52</v>
      </c>
      <c r="D4868" s="33" t="n">
        <f aca="false">IF(B4868&gt;=2,C4867,"")</f>
        <v>40</v>
      </c>
      <c r="E4868" s="33" t="n">
        <f aca="false">IF(B4868&gt;=5,AVERAGE(C4864:C4867),"")</f>
        <v>41.75</v>
      </c>
      <c r="F4868" s="33" t="n">
        <f aca="false">IF(B4868&gt;=9,AVERAGE(C4860:C4867),"")</f>
        <v>35.875</v>
      </c>
      <c r="G4868" s="33" t="n">
        <f aca="false">IF(B4868=1,"",IF(B4868=2,C4867,SES_Alpha*C4867+(1-SES_Alpha)*G4867))</f>
        <v>40.4968618362712</v>
      </c>
      <c r="H4868" s="33" t="n">
        <f aca="false">IF(D4868="","",D4868-C4868)</f>
        <v>-12</v>
      </c>
      <c r="I4868" s="33" t="n">
        <f aca="false">IF(E4868="","",E4868-C4868)</f>
        <v>-10.25</v>
      </c>
      <c r="J4868" s="33" t="n">
        <f aca="false">IF(F4868="","",F4868-C4868)</f>
        <v>-16.125</v>
      </c>
      <c r="K4868" s="33" t="n">
        <f aca="false">IF(G4868="","",G4868-C4868)</f>
        <v>-11.5031381637288</v>
      </c>
      <c r="L4868" s="33" t="n">
        <f aca="false">IF(H4868="","",ABS(H4868))</f>
        <v>12</v>
      </c>
      <c r="M4868" s="33" t="n">
        <f aca="false">IF(I4868="","",ABS(I4868))</f>
        <v>10.25</v>
      </c>
      <c r="N4868" s="33" t="n">
        <f aca="false">IF(J4868="","",ABS(J4868))</f>
        <v>16.125</v>
      </c>
      <c r="O4868" s="33" t="n">
        <f aca="false">IF(K4868="","",ABS(K4868))</f>
        <v>11.5031381637288</v>
      </c>
      <c r="P4868" s="34" t="str">
        <f aca="false">IF(B4868&gt;=Eval_Start_Week,"YES","")</f>
        <v>YES</v>
      </c>
      <c r="Q4868" s="34" t="str">
        <f aca="false">IF(AND(B4868&gt;=Cal_Start_Week,B4868&lt;=Cal_End_Week),"YES","")</f>
        <v>YES</v>
      </c>
    </row>
    <row r="4869" customFormat="false" ht="15" hidden="false" customHeight="false" outlineLevel="0" collapsed="false">
      <c r="A4869" s="31" t="str">
        <f aca="false">Demand_History!C4869</f>
        <v>CLN-010</v>
      </c>
      <c r="B4869" s="31" t="n">
        <f aca="false">Demand_History!A4869</f>
        <v>84</v>
      </c>
      <c r="C4869" s="32" t="n">
        <f aca="false">Demand_History!D4869</f>
        <v>68</v>
      </c>
      <c r="D4869" s="33" t="n">
        <f aca="false">IF(B4869&gt;=2,C4868,"")</f>
        <v>52</v>
      </c>
      <c r="E4869" s="33" t="n">
        <f aca="false">IF(B4869&gt;=5,AVERAGE(C4865:C4868),"")</f>
        <v>44.25</v>
      </c>
      <c r="F4869" s="33" t="n">
        <f aca="false">IF(B4869&gt;=9,AVERAGE(C4861:C4868),"")</f>
        <v>39.75</v>
      </c>
      <c r="G4869" s="33" t="n">
        <f aca="false">IF(B4869=1,"",IF(B4869=2,C4868,SES_Alpha*C4868+(1-SES_Alpha)*G4868))</f>
        <v>43.9478032853898</v>
      </c>
      <c r="H4869" s="33" t="n">
        <f aca="false">IF(D4869="","",D4869-C4869)</f>
        <v>-16</v>
      </c>
      <c r="I4869" s="33" t="n">
        <f aca="false">IF(E4869="","",E4869-C4869)</f>
        <v>-23.75</v>
      </c>
      <c r="J4869" s="33" t="n">
        <f aca="false">IF(F4869="","",F4869-C4869)</f>
        <v>-28.25</v>
      </c>
      <c r="K4869" s="33" t="n">
        <f aca="false">IF(G4869="","",G4869-C4869)</f>
        <v>-24.0521967146102</v>
      </c>
      <c r="L4869" s="33" t="n">
        <f aca="false">IF(H4869="","",ABS(H4869))</f>
        <v>16</v>
      </c>
      <c r="M4869" s="33" t="n">
        <f aca="false">IF(I4869="","",ABS(I4869))</f>
        <v>23.75</v>
      </c>
      <c r="N4869" s="33" t="n">
        <f aca="false">IF(J4869="","",ABS(J4869))</f>
        <v>28.25</v>
      </c>
      <c r="O4869" s="33" t="n">
        <f aca="false">IF(K4869="","",ABS(K4869))</f>
        <v>24.0521967146102</v>
      </c>
      <c r="P4869" s="34" t="str">
        <f aca="false">IF(B4869&gt;=Eval_Start_Week,"YES","")</f>
        <v>YES</v>
      </c>
      <c r="Q4869" s="34" t="str">
        <f aca="false">IF(AND(B4869&gt;=Cal_Start_Week,B4869&lt;=Cal_End_Week),"YES","")</f>
        <v>YES</v>
      </c>
    </row>
    <row r="4870" customFormat="false" ht="15" hidden="false" customHeight="false" outlineLevel="0" collapsed="false">
      <c r="A4870" s="31" t="str">
        <f aca="false">Demand_History!C4870</f>
        <v>CLN-010</v>
      </c>
      <c r="B4870" s="31" t="n">
        <f aca="false">Demand_History!A4870</f>
        <v>85</v>
      </c>
      <c r="C4870" s="32" t="n">
        <f aca="false">Demand_History!D4870</f>
        <v>37</v>
      </c>
      <c r="D4870" s="33" t="n">
        <f aca="false">IF(B4870&gt;=2,C4869,"")</f>
        <v>68</v>
      </c>
      <c r="E4870" s="33" t="n">
        <f aca="false">IF(B4870&gt;=5,AVERAGE(C4866:C4869),"")</f>
        <v>52.75</v>
      </c>
      <c r="F4870" s="33" t="n">
        <f aca="false">IF(B4870&gt;=9,AVERAGE(C4862:C4869),"")</f>
        <v>45.25</v>
      </c>
      <c r="G4870" s="33" t="n">
        <f aca="false">IF(B4870=1,"",IF(B4870=2,C4869,SES_Alpha*C4869+(1-SES_Alpha)*G4869))</f>
        <v>51.1634622997729</v>
      </c>
      <c r="H4870" s="33" t="n">
        <f aca="false">IF(D4870="","",D4870-C4870)</f>
        <v>31</v>
      </c>
      <c r="I4870" s="33" t="n">
        <f aca="false">IF(E4870="","",E4870-C4870)</f>
        <v>15.75</v>
      </c>
      <c r="J4870" s="33" t="n">
        <f aca="false">IF(F4870="","",F4870-C4870)</f>
        <v>8.25</v>
      </c>
      <c r="K4870" s="33" t="n">
        <f aca="false">IF(G4870="","",G4870-C4870)</f>
        <v>14.1634622997729</v>
      </c>
      <c r="L4870" s="33" t="n">
        <f aca="false">IF(H4870="","",ABS(H4870))</f>
        <v>31</v>
      </c>
      <c r="M4870" s="33" t="n">
        <f aca="false">IF(I4870="","",ABS(I4870))</f>
        <v>15.75</v>
      </c>
      <c r="N4870" s="33" t="n">
        <f aca="false">IF(J4870="","",ABS(J4870))</f>
        <v>8.25</v>
      </c>
      <c r="O4870" s="33" t="n">
        <f aca="false">IF(K4870="","",ABS(K4870))</f>
        <v>14.1634622997729</v>
      </c>
      <c r="P4870" s="34" t="str">
        <f aca="false">IF(B4870&gt;=Eval_Start_Week,"YES","")</f>
        <v>YES</v>
      </c>
      <c r="Q4870" s="34" t="str">
        <f aca="false">IF(AND(B4870&gt;=Cal_Start_Week,B4870&lt;=Cal_End_Week),"YES","")</f>
        <v>YES</v>
      </c>
    </row>
    <row r="4871" customFormat="false" ht="15" hidden="false" customHeight="false" outlineLevel="0" collapsed="false">
      <c r="A4871" s="31" t="str">
        <f aca="false">Demand_History!C4871</f>
        <v>CLN-010</v>
      </c>
      <c r="B4871" s="31" t="n">
        <f aca="false">Demand_History!A4871</f>
        <v>86</v>
      </c>
      <c r="C4871" s="32" t="n">
        <f aca="false">Demand_History!D4871</f>
        <v>4</v>
      </c>
      <c r="D4871" s="33" t="n">
        <f aca="false">IF(B4871&gt;=2,C4870,"")</f>
        <v>37</v>
      </c>
      <c r="E4871" s="33" t="n">
        <f aca="false">IF(B4871&gt;=5,AVERAGE(C4867:C4870),"")</f>
        <v>49.25</v>
      </c>
      <c r="F4871" s="33" t="n">
        <f aca="false">IF(B4871&gt;=9,AVERAGE(C4863:C4870),"")</f>
        <v>46</v>
      </c>
      <c r="G4871" s="33" t="n">
        <f aca="false">IF(B4871=1,"",IF(B4871=2,C4870,SES_Alpha*C4870+(1-SES_Alpha)*G4870))</f>
        <v>46.914423609841</v>
      </c>
      <c r="H4871" s="33" t="n">
        <f aca="false">IF(D4871="","",D4871-C4871)</f>
        <v>33</v>
      </c>
      <c r="I4871" s="33" t="n">
        <f aca="false">IF(E4871="","",E4871-C4871)</f>
        <v>45.25</v>
      </c>
      <c r="J4871" s="33" t="n">
        <f aca="false">IF(F4871="","",F4871-C4871)</f>
        <v>42</v>
      </c>
      <c r="K4871" s="33" t="n">
        <f aca="false">IF(G4871="","",G4871-C4871)</f>
        <v>42.914423609841</v>
      </c>
      <c r="L4871" s="33" t="n">
        <f aca="false">IF(H4871="","",ABS(H4871))</f>
        <v>33</v>
      </c>
      <c r="M4871" s="33" t="n">
        <f aca="false">IF(I4871="","",ABS(I4871))</f>
        <v>45.25</v>
      </c>
      <c r="N4871" s="33" t="n">
        <f aca="false">IF(J4871="","",ABS(J4871))</f>
        <v>42</v>
      </c>
      <c r="O4871" s="33" t="n">
        <f aca="false">IF(K4871="","",ABS(K4871))</f>
        <v>42.914423609841</v>
      </c>
      <c r="P4871" s="34" t="str">
        <f aca="false">IF(B4871&gt;=Eval_Start_Week,"YES","")</f>
        <v>YES</v>
      </c>
      <c r="Q4871" s="34" t="str">
        <f aca="false">IF(AND(B4871&gt;=Cal_Start_Week,B4871&lt;=Cal_End_Week),"YES","")</f>
        <v>YES</v>
      </c>
    </row>
    <row r="4872" customFormat="false" ht="15" hidden="false" customHeight="false" outlineLevel="0" collapsed="false">
      <c r="A4872" s="31" t="str">
        <f aca="false">Demand_History!C4872</f>
        <v>CLN-010</v>
      </c>
      <c r="B4872" s="31" t="n">
        <f aca="false">Demand_History!A4872</f>
        <v>87</v>
      </c>
      <c r="C4872" s="32" t="n">
        <f aca="false">Demand_History!D4872</f>
        <v>30</v>
      </c>
      <c r="D4872" s="33" t="n">
        <f aca="false">IF(B4872&gt;=2,C4871,"")</f>
        <v>4</v>
      </c>
      <c r="E4872" s="33" t="n">
        <f aca="false">IF(B4872&gt;=5,AVERAGE(C4868:C4871),"")</f>
        <v>40.25</v>
      </c>
      <c r="F4872" s="33" t="n">
        <f aca="false">IF(B4872&gt;=9,AVERAGE(C4864:C4871),"")</f>
        <v>41</v>
      </c>
      <c r="G4872" s="33" t="n">
        <f aca="false">IF(B4872=1,"",IF(B4872=2,C4871,SES_Alpha*C4871+(1-SES_Alpha)*G4871))</f>
        <v>34.0400965268887</v>
      </c>
      <c r="H4872" s="33" t="n">
        <f aca="false">IF(D4872="","",D4872-C4872)</f>
        <v>-26</v>
      </c>
      <c r="I4872" s="33" t="n">
        <f aca="false">IF(E4872="","",E4872-C4872)</f>
        <v>10.25</v>
      </c>
      <c r="J4872" s="33" t="n">
        <f aca="false">IF(F4872="","",F4872-C4872)</f>
        <v>11</v>
      </c>
      <c r="K4872" s="33" t="n">
        <f aca="false">IF(G4872="","",G4872-C4872)</f>
        <v>4.04009652688871</v>
      </c>
      <c r="L4872" s="33" t="n">
        <f aca="false">IF(H4872="","",ABS(H4872))</f>
        <v>26</v>
      </c>
      <c r="M4872" s="33" t="n">
        <f aca="false">IF(I4872="","",ABS(I4872))</f>
        <v>10.25</v>
      </c>
      <c r="N4872" s="33" t="n">
        <f aca="false">IF(J4872="","",ABS(J4872))</f>
        <v>11</v>
      </c>
      <c r="O4872" s="33" t="n">
        <f aca="false">IF(K4872="","",ABS(K4872))</f>
        <v>4.04009652688871</v>
      </c>
      <c r="P4872" s="34" t="str">
        <f aca="false">IF(B4872&gt;=Eval_Start_Week,"YES","")</f>
        <v>YES</v>
      </c>
      <c r="Q4872" s="34" t="str">
        <f aca="false">IF(AND(B4872&gt;=Cal_Start_Week,B4872&lt;=Cal_End_Week),"YES","")</f>
        <v>YES</v>
      </c>
    </row>
    <row r="4873" customFormat="false" ht="15" hidden="false" customHeight="false" outlineLevel="0" collapsed="false">
      <c r="A4873" s="31" t="str">
        <f aca="false">Demand_History!C4873</f>
        <v>CLN-010</v>
      </c>
      <c r="B4873" s="31" t="n">
        <f aca="false">Demand_History!A4873</f>
        <v>88</v>
      </c>
      <c r="C4873" s="32" t="n">
        <f aca="false">Demand_History!D4873</f>
        <v>22</v>
      </c>
      <c r="D4873" s="33" t="n">
        <f aca="false">IF(B4873&gt;=2,C4872,"")</f>
        <v>30</v>
      </c>
      <c r="E4873" s="33" t="n">
        <f aca="false">IF(B4873&gt;=5,AVERAGE(C4869:C4872),"")</f>
        <v>34.75</v>
      </c>
      <c r="F4873" s="33" t="n">
        <f aca="false">IF(B4873&gt;=9,AVERAGE(C4865:C4872),"")</f>
        <v>39.5</v>
      </c>
      <c r="G4873" s="33" t="n">
        <f aca="false">IF(B4873=1,"",IF(B4873=2,C4872,SES_Alpha*C4872+(1-SES_Alpha)*G4872))</f>
        <v>32.8280675688221</v>
      </c>
      <c r="H4873" s="33" t="n">
        <f aca="false">IF(D4873="","",D4873-C4873)</f>
        <v>8</v>
      </c>
      <c r="I4873" s="33" t="n">
        <f aca="false">IF(E4873="","",E4873-C4873)</f>
        <v>12.75</v>
      </c>
      <c r="J4873" s="33" t="n">
        <f aca="false">IF(F4873="","",F4873-C4873)</f>
        <v>17.5</v>
      </c>
      <c r="K4873" s="33" t="n">
        <f aca="false">IF(G4873="","",G4873-C4873)</f>
        <v>10.8280675688221</v>
      </c>
      <c r="L4873" s="33" t="n">
        <f aca="false">IF(H4873="","",ABS(H4873))</f>
        <v>8</v>
      </c>
      <c r="M4873" s="33" t="n">
        <f aca="false">IF(I4873="","",ABS(I4873))</f>
        <v>12.75</v>
      </c>
      <c r="N4873" s="33" t="n">
        <f aca="false">IF(J4873="","",ABS(J4873))</f>
        <v>17.5</v>
      </c>
      <c r="O4873" s="33" t="n">
        <f aca="false">IF(K4873="","",ABS(K4873))</f>
        <v>10.8280675688221</v>
      </c>
      <c r="P4873" s="34" t="str">
        <f aca="false">IF(B4873&gt;=Eval_Start_Week,"YES","")</f>
        <v>YES</v>
      </c>
      <c r="Q4873" s="34" t="str">
        <f aca="false">IF(AND(B4873&gt;=Cal_Start_Week,B4873&lt;=Cal_End_Week),"YES","")</f>
        <v>YES</v>
      </c>
    </row>
    <row r="4874" customFormat="false" ht="15" hidden="false" customHeight="false" outlineLevel="0" collapsed="false">
      <c r="A4874" s="31" t="str">
        <f aca="false">Demand_History!C4874</f>
        <v>CLN-010</v>
      </c>
      <c r="B4874" s="31" t="n">
        <f aca="false">Demand_History!A4874</f>
        <v>89</v>
      </c>
      <c r="C4874" s="32" t="n">
        <f aca="false">Demand_History!D4874</f>
        <v>36</v>
      </c>
      <c r="D4874" s="33" t="n">
        <f aca="false">IF(B4874&gt;=2,C4873,"")</f>
        <v>22</v>
      </c>
      <c r="E4874" s="33" t="n">
        <f aca="false">IF(B4874&gt;=5,AVERAGE(C4870:C4873),"")</f>
        <v>23.25</v>
      </c>
      <c r="F4874" s="33" t="n">
        <f aca="false">IF(B4874&gt;=9,AVERAGE(C4866:C4873),"")</f>
        <v>38</v>
      </c>
      <c r="G4874" s="33" t="n">
        <f aca="false">IF(B4874=1,"",IF(B4874=2,C4873,SES_Alpha*C4873+(1-SES_Alpha)*G4873))</f>
        <v>29.5796472981755</v>
      </c>
      <c r="H4874" s="33" t="n">
        <f aca="false">IF(D4874="","",D4874-C4874)</f>
        <v>-14</v>
      </c>
      <c r="I4874" s="33" t="n">
        <f aca="false">IF(E4874="","",E4874-C4874)</f>
        <v>-12.75</v>
      </c>
      <c r="J4874" s="33" t="n">
        <f aca="false">IF(F4874="","",F4874-C4874)</f>
        <v>2</v>
      </c>
      <c r="K4874" s="33" t="n">
        <f aca="false">IF(G4874="","",G4874-C4874)</f>
        <v>-6.42035270182453</v>
      </c>
      <c r="L4874" s="33" t="n">
        <f aca="false">IF(H4874="","",ABS(H4874))</f>
        <v>14</v>
      </c>
      <c r="M4874" s="33" t="n">
        <f aca="false">IF(I4874="","",ABS(I4874))</f>
        <v>12.75</v>
      </c>
      <c r="N4874" s="33" t="n">
        <f aca="false">IF(J4874="","",ABS(J4874))</f>
        <v>2</v>
      </c>
      <c r="O4874" s="33" t="n">
        <f aca="false">IF(K4874="","",ABS(K4874))</f>
        <v>6.42035270182453</v>
      </c>
      <c r="P4874" s="34" t="str">
        <f aca="false">IF(B4874&gt;=Eval_Start_Week,"YES","")</f>
        <v>YES</v>
      </c>
      <c r="Q4874" s="34" t="str">
        <f aca="false">IF(AND(B4874&gt;=Cal_Start_Week,B4874&lt;=Cal_End_Week),"YES","")</f>
        <v/>
      </c>
    </row>
    <row r="4875" customFormat="false" ht="15" hidden="false" customHeight="false" outlineLevel="0" collapsed="false">
      <c r="A4875" s="31" t="str">
        <f aca="false">Demand_History!C4875</f>
        <v>CLN-010</v>
      </c>
      <c r="B4875" s="31" t="n">
        <f aca="false">Demand_History!A4875</f>
        <v>90</v>
      </c>
      <c r="C4875" s="32" t="n">
        <f aca="false">Demand_History!D4875</f>
        <v>36</v>
      </c>
      <c r="D4875" s="33" t="n">
        <f aca="false">IF(B4875&gt;=2,C4874,"")</f>
        <v>36</v>
      </c>
      <c r="E4875" s="33" t="n">
        <f aca="false">IF(B4875&gt;=5,AVERAGE(C4871:C4874),"")</f>
        <v>23</v>
      </c>
      <c r="F4875" s="33" t="n">
        <f aca="false">IF(B4875&gt;=9,AVERAGE(C4867:C4874),"")</f>
        <v>36.125</v>
      </c>
      <c r="G4875" s="33" t="n">
        <f aca="false">IF(B4875=1,"",IF(B4875=2,C4874,SES_Alpha*C4874+(1-SES_Alpha)*G4874))</f>
        <v>31.5057531087228</v>
      </c>
      <c r="H4875" s="33" t="n">
        <f aca="false">IF(D4875="","",D4875-C4875)</f>
        <v>0</v>
      </c>
      <c r="I4875" s="33" t="n">
        <f aca="false">IF(E4875="","",E4875-C4875)</f>
        <v>-13</v>
      </c>
      <c r="J4875" s="33" t="n">
        <f aca="false">IF(F4875="","",F4875-C4875)</f>
        <v>0.125</v>
      </c>
      <c r="K4875" s="33" t="n">
        <f aca="false">IF(G4875="","",G4875-C4875)</f>
        <v>-4.49424689127718</v>
      </c>
      <c r="L4875" s="33" t="n">
        <f aca="false">IF(H4875="","",ABS(H4875))</f>
        <v>0</v>
      </c>
      <c r="M4875" s="33" t="n">
        <f aca="false">IF(I4875="","",ABS(I4875))</f>
        <v>13</v>
      </c>
      <c r="N4875" s="33" t="n">
        <f aca="false">IF(J4875="","",ABS(J4875))</f>
        <v>0.125</v>
      </c>
      <c r="O4875" s="33" t="n">
        <f aca="false">IF(K4875="","",ABS(K4875))</f>
        <v>4.49424689127718</v>
      </c>
      <c r="P4875" s="34" t="str">
        <f aca="false">IF(B4875&gt;=Eval_Start_Week,"YES","")</f>
        <v>YES</v>
      </c>
      <c r="Q4875" s="34" t="str">
        <f aca="false">IF(AND(B4875&gt;=Cal_Start_Week,B4875&lt;=Cal_End_Week),"YES","")</f>
        <v/>
      </c>
    </row>
    <row r="4876" customFormat="false" ht="15" hidden="false" customHeight="false" outlineLevel="0" collapsed="false">
      <c r="A4876" s="31" t="str">
        <f aca="false">Demand_History!C4876</f>
        <v>CLN-010</v>
      </c>
      <c r="B4876" s="31" t="n">
        <f aca="false">Demand_History!A4876</f>
        <v>91</v>
      </c>
      <c r="C4876" s="32" t="n">
        <f aca="false">Demand_History!D4876</f>
        <v>20</v>
      </c>
      <c r="D4876" s="33" t="n">
        <f aca="false">IF(B4876&gt;=2,C4875,"")</f>
        <v>36</v>
      </c>
      <c r="E4876" s="33" t="n">
        <f aca="false">IF(B4876&gt;=5,AVERAGE(C4872:C4875),"")</f>
        <v>31</v>
      </c>
      <c r="F4876" s="33" t="n">
        <f aca="false">IF(B4876&gt;=9,AVERAGE(C4868:C4875),"")</f>
        <v>35.625</v>
      </c>
      <c r="G4876" s="33" t="n">
        <f aca="false">IF(B4876=1,"",IF(B4876=2,C4875,SES_Alpha*C4875+(1-SES_Alpha)*G4875))</f>
        <v>32.854027176106</v>
      </c>
      <c r="H4876" s="33" t="n">
        <f aca="false">IF(D4876="","",D4876-C4876)</f>
        <v>16</v>
      </c>
      <c r="I4876" s="33" t="n">
        <f aca="false">IF(E4876="","",E4876-C4876)</f>
        <v>11</v>
      </c>
      <c r="J4876" s="33" t="n">
        <f aca="false">IF(F4876="","",F4876-C4876)</f>
        <v>15.625</v>
      </c>
      <c r="K4876" s="33" t="n">
        <f aca="false">IF(G4876="","",G4876-C4876)</f>
        <v>12.854027176106</v>
      </c>
      <c r="L4876" s="33" t="n">
        <f aca="false">IF(H4876="","",ABS(H4876))</f>
        <v>16</v>
      </c>
      <c r="M4876" s="33" t="n">
        <f aca="false">IF(I4876="","",ABS(I4876))</f>
        <v>11</v>
      </c>
      <c r="N4876" s="33" t="n">
        <f aca="false">IF(J4876="","",ABS(J4876))</f>
        <v>15.625</v>
      </c>
      <c r="O4876" s="33" t="n">
        <f aca="false">IF(K4876="","",ABS(K4876))</f>
        <v>12.854027176106</v>
      </c>
      <c r="P4876" s="34" t="str">
        <f aca="false">IF(B4876&gt;=Eval_Start_Week,"YES","")</f>
        <v>YES</v>
      </c>
      <c r="Q4876" s="34" t="str">
        <f aca="false">IF(AND(B4876&gt;=Cal_Start_Week,B4876&lt;=Cal_End_Week),"YES","")</f>
        <v/>
      </c>
    </row>
    <row r="4877" customFormat="false" ht="15" hidden="false" customHeight="false" outlineLevel="0" collapsed="false">
      <c r="A4877" s="31" t="str">
        <f aca="false">Demand_History!C4877</f>
        <v>CLN-010</v>
      </c>
      <c r="B4877" s="31" t="n">
        <f aca="false">Demand_History!A4877</f>
        <v>92</v>
      </c>
      <c r="C4877" s="32" t="n">
        <f aca="false">Demand_History!D4877</f>
        <v>21</v>
      </c>
      <c r="D4877" s="33" t="n">
        <f aca="false">IF(B4877&gt;=2,C4876,"")</f>
        <v>20</v>
      </c>
      <c r="E4877" s="33" t="n">
        <f aca="false">IF(B4877&gt;=5,AVERAGE(C4873:C4876),"")</f>
        <v>28.5</v>
      </c>
      <c r="F4877" s="33" t="n">
        <f aca="false">IF(B4877&gt;=9,AVERAGE(C4869:C4876),"")</f>
        <v>31.625</v>
      </c>
      <c r="G4877" s="33" t="n">
        <f aca="false">IF(B4877=1,"",IF(B4877=2,C4876,SES_Alpha*C4876+(1-SES_Alpha)*G4876))</f>
        <v>28.9978190232742</v>
      </c>
      <c r="H4877" s="33" t="n">
        <f aca="false">IF(D4877="","",D4877-C4877)</f>
        <v>-1</v>
      </c>
      <c r="I4877" s="33" t="n">
        <f aca="false">IF(E4877="","",E4877-C4877)</f>
        <v>7.5</v>
      </c>
      <c r="J4877" s="33" t="n">
        <f aca="false">IF(F4877="","",F4877-C4877)</f>
        <v>10.625</v>
      </c>
      <c r="K4877" s="33" t="n">
        <f aca="false">IF(G4877="","",G4877-C4877)</f>
        <v>7.99781902327418</v>
      </c>
      <c r="L4877" s="33" t="n">
        <f aca="false">IF(H4877="","",ABS(H4877))</f>
        <v>1</v>
      </c>
      <c r="M4877" s="33" t="n">
        <f aca="false">IF(I4877="","",ABS(I4877))</f>
        <v>7.5</v>
      </c>
      <c r="N4877" s="33" t="n">
        <f aca="false">IF(J4877="","",ABS(J4877))</f>
        <v>10.625</v>
      </c>
      <c r="O4877" s="33" t="n">
        <f aca="false">IF(K4877="","",ABS(K4877))</f>
        <v>7.99781902327418</v>
      </c>
      <c r="P4877" s="34" t="str">
        <f aca="false">IF(B4877&gt;=Eval_Start_Week,"YES","")</f>
        <v>YES</v>
      </c>
      <c r="Q4877" s="34" t="str">
        <f aca="false">IF(AND(B4877&gt;=Cal_Start_Week,B4877&lt;=Cal_End_Week),"YES","")</f>
        <v/>
      </c>
    </row>
    <row r="4878" customFormat="false" ht="15" hidden="false" customHeight="false" outlineLevel="0" collapsed="false">
      <c r="A4878" s="31" t="str">
        <f aca="false">Demand_History!C4878</f>
        <v>CLN-010</v>
      </c>
      <c r="B4878" s="31" t="n">
        <f aca="false">Demand_History!A4878</f>
        <v>93</v>
      </c>
      <c r="C4878" s="32" t="n">
        <f aca="false">Demand_History!D4878</f>
        <v>32</v>
      </c>
      <c r="D4878" s="33" t="n">
        <f aca="false">IF(B4878&gt;=2,C4877,"")</f>
        <v>21</v>
      </c>
      <c r="E4878" s="33" t="n">
        <f aca="false">IF(B4878&gt;=5,AVERAGE(C4874:C4877),"")</f>
        <v>28.25</v>
      </c>
      <c r="F4878" s="33" t="n">
        <f aca="false">IF(B4878&gt;=9,AVERAGE(C4870:C4877),"")</f>
        <v>25.75</v>
      </c>
      <c r="G4878" s="33" t="n">
        <f aca="false">IF(B4878=1,"",IF(B4878=2,C4877,SES_Alpha*C4877+(1-SES_Alpha)*G4877))</f>
        <v>26.5984733162919</v>
      </c>
      <c r="H4878" s="33" t="n">
        <f aca="false">IF(D4878="","",D4878-C4878)</f>
        <v>-11</v>
      </c>
      <c r="I4878" s="33" t="n">
        <f aca="false">IF(E4878="","",E4878-C4878)</f>
        <v>-3.75</v>
      </c>
      <c r="J4878" s="33" t="n">
        <f aca="false">IF(F4878="","",F4878-C4878)</f>
        <v>-6.25</v>
      </c>
      <c r="K4878" s="33" t="n">
        <f aca="false">IF(G4878="","",G4878-C4878)</f>
        <v>-5.40152668370807</v>
      </c>
      <c r="L4878" s="33" t="n">
        <f aca="false">IF(H4878="","",ABS(H4878))</f>
        <v>11</v>
      </c>
      <c r="M4878" s="33" t="n">
        <f aca="false">IF(I4878="","",ABS(I4878))</f>
        <v>3.75</v>
      </c>
      <c r="N4878" s="33" t="n">
        <f aca="false">IF(J4878="","",ABS(J4878))</f>
        <v>6.25</v>
      </c>
      <c r="O4878" s="33" t="n">
        <f aca="false">IF(K4878="","",ABS(K4878))</f>
        <v>5.40152668370807</v>
      </c>
      <c r="P4878" s="34" t="str">
        <f aca="false">IF(B4878&gt;=Eval_Start_Week,"YES","")</f>
        <v>YES</v>
      </c>
      <c r="Q4878" s="34" t="str">
        <f aca="false">IF(AND(B4878&gt;=Cal_Start_Week,B4878&lt;=Cal_End_Week),"YES","")</f>
        <v/>
      </c>
    </row>
    <row r="4879" customFormat="false" ht="15" hidden="false" customHeight="false" outlineLevel="0" collapsed="false">
      <c r="A4879" s="31" t="str">
        <f aca="false">Demand_History!C4879</f>
        <v>CLN-010</v>
      </c>
      <c r="B4879" s="31" t="n">
        <f aca="false">Demand_History!A4879</f>
        <v>94</v>
      </c>
      <c r="C4879" s="32" t="n">
        <f aca="false">Demand_History!D4879</f>
        <v>33</v>
      </c>
      <c r="D4879" s="33" t="n">
        <f aca="false">IF(B4879&gt;=2,C4878,"")</f>
        <v>32</v>
      </c>
      <c r="E4879" s="33" t="n">
        <f aca="false">IF(B4879&gt;=5,AVERAGE(C4875:C4878),"")</f>
        <v>27.25</v>
      </c>
      <c r="F4879" s="33" t="n">
        <f aca="false">IF(B4879&gt;=9,AVERAGE(C4871:C4878),"")</f>
        <v>25.125</v>
      </c>
      <c r="G4879" s="33" t="n">
        <f aca="false">IF(B4879=1,"",IF(B4879=2,C4878,SES_Alpha*C4878+(1-SES_Alpha)*G4878))</f>
        <v>28.2189313214043</v>
      </c>
      <c r="H4879" s="33" t="n">
        <f aca="false">IF(D4879="","",D4879-C4879)</f>
        <v>-1</v>
      </c>
      <c r="I4879" s="33" t="n">
        <f aca="false">IF(E4879="","",E4879-C4879)</f>
        <v>-5.75</v>
      </c>
      <c r="J4879" s="33" t="n">
        <f aca="false">IF(F4879="","",F4879-C4879)</f>
        <v>-7.875</v>
      </c>
      <c r="K4879" s="33" t="n">
        <f aca="false">IF(G4879="","",G4879-C4879)</f>
        <v>-4.78106867859565</v>
      </c>
      <c r="L4879" s="33" t="n">
        <f aca="false">IF(H4879="","",ABS(H4879))</f>
        <v>1</v>
      </c>
      <c r="M4879" s="33" t="n">
        <f aca="false">IF(I4879="","",ABS(I4879))</f>
        <v>5.75</v>
      </c>
      <c r="N4879" s="33" t="n">
        <f aca="false">IF(J4879="","",ABS(J4879))</f>
        <v>7.875</v>
      </c>
      <c r="O4879" s="33" t="n">
        <f aca="false">IF(K4879="","",ABS(K4879))</f>
        <v>4.78106867859565</v>
      </c>
      <c r="P4879" s="34" t="str">
        <f aca="false">IF(B4879&gt;=Eval_Start_Week,"YES","")</f>
        <v>YES</v>
      </c>
      <c r="Q4879" s="34" t="str">
        <f aca="false">IF(AND(B4879&gt;=Cal_Start_Week,B4879&lt;=Cal_End_Week),"YES","")</f>
        <v/>
      </c>
    </row>
    <row r="4880" customFormat="false" ht="15" hidden="false" customHeight="false" outlineLevel="0" collapsed="false">
      <c r="A4880" s="31" t="str">
        <f aca="false">Demand_History!C4880</f>
        <v>CLN-010</v>
      </c>
      <c r="B4880" s="31" t="n">
        <f aca="false">Demand_History!A4880</f>
        <v>95</v>
      </c>
      <c r="C4880" s="32" t="n">
        <f aca="false">Demand_History!D4880</f>
        <v>4</v>
      </c>
      <c r="D4880" s="33" t="n">
        <f aca="false">IF(B4880&gt;=2,C4879,"")</f>
        <v>33</v>
      </c>
      <c r="E4880" s="33" t="n">
        <f aca="false">IF(B4880&gt;=5,AVERAGE(C4876:C4879),"")</f>
        <v>26.5</v>
      </c>
      <c r="F4880" s="33" t="n">
        <f aca="false">IF(B4880&gt;=9,AVERAGE(C4872:C4879),"")</f>
        <v>28.75</v>
      </c>
      <c r="G4880" s="33" t="n">
        <f aca="false">IF(B4880=1,"",IF(B4880=2,C4879,SES_Alpha*C4879+(1-SES_Alpha)*G4879))</f>
        <v>29.653251924983</v>
      </c>
      <c r="H4880" s="33" t="n">
        <f aca="false">IF(D4880="","",D4880-C4880)</f>
        <v>29</v>
      </c>
      <c r="I4880" s="33" t="n">
        <f aca="false">IF(E4880="","",E4880-C4880)</f>
        <v>22.5</v>
      </c>
      <c r="J4880" s="33" t="n">
        <f aca="false">IF(F4880="","",F4880-C4880)</f>
        <v>24.75</v>
      </c>
      <c r="K4880" s="33" t="n">
        <f aca="false">IF(G4880="","",G4880-C4880)</f>
        <v>25.653251924983</v>
      </c>
      <c r="L4880" s="33" t="n">
        <f aca="false">IF(H4880="","",ABS(H4880))</f>
        <v>29</v>
      </c>
      <c r="M4880" s="33" t="n">
        <f aca="false">IF(I4880="","",ABS(I4880))</f>
        <v>22.5</v>
      </c>
      <c r="N4880" s="33" t="n">
        <f aca="false">IF(J4880="","",ABS(J4880))</f>
        <v>24.75</v>
      </c>
      <c r="O4880" s="33" t="n">
        <f aca="false">IF(K4880="","",ABS(K4880))</f>
        <v>25.653251924983</v>
      </c>
      <c r="P4880" s="34" t="str">
        <f aca="false">IF(B4880&gt;=Eval_Start_Week,"YES","")</f>
        <v>YES</v>
      </c>
      <c r="Q4880" s="34" t="str">
        <f aca="false">IF(AND(B4880&gt;=Cal_Start_Week,B4880&lt;=Cal_End_Week),"YES","")</f>
        <v/>
      </c>
    </row>
    <row r="4881" customFormat="false" ht="15" hidden="false" customHeight="false" outlineLevel="0" collapsed="false">
      <c r="A4881" s="31" t="str">
        <f aca="false">Demand_History!C4881</f>
        <v>CLN-010</v>
      </c>
      <c r="B4881" s="31" t="n">
        <f aca="false">Demand_History!A4881</f>
        <v>96</v>
      </c>
      <c r="C4881" s="32" t="n">
        <f aca="false">Demand_History!D4881</f>
        <v>47</v>
      </c>
      <c r="D4881" s="33" t="n">
        <f aca="false">IF(B4881&gt;=2,C4880,"")</f>
        <v>4</v>
      </c>
      <c r="E4881" s="33" t="n">
        <f aca="false">IF(B4881&gt;=5,AVERAGE(C4877:C4880),"")</f>
        <v>22.5</v>
      </c>
      <c r="F4881" s="33" t="n">
        <f aca="false">IF(B4881&gt;=9,AVERAGE(C4873:C4880),"")</f>
        <v>25.5</v>
      </c>
      <c r="G4881" s="33" t="n">
        <f aca="false">IF(B4881=1,"",IF(B4881=2,C4880,SES_Alpha*C4880+(1-SES_Alpha)*G4880))</f>
        <v>21.9572763474881</v>
      </c>
      <c r="H4881" s="33" t="n">
        <f aca="false">IF(D4881="","",D4881-C4881)</f>
        <v>-43</v>
      </c>
      <c r="I4881" s="33" t="n">
        <f aca="false">IF(E4881="","",E4881-C4881)</f>
        <v>-24.5</v>
      </c>
      <c r="J4881" s="33" t="n">
        <f aca="false">IF(F4881="","",F4881-C4881)</f>
        <v>-21.5</v>
      </c>
      <c r="K4881" s="33" t="n">
        <f aca="false">IF(G4881="","",G4881-C4881)</f>
        <v>-25.0427236525119</v>
      </c>
      <c r="L4881" s="33" t="n">
        <f aca="false">IF(H4881="","",ABS(H4881))</f>
        <v>43</v>
      </c>
      <c r="M4881" s="33" t="n">
        <f aca="false">IF(I4881="","",ABS(I4881))</f>
        <v>24.5</v>
      </c>
      <c r="N4881" s="33" t="n">
        <f aca="false">IF(J4881="","",ABS(J4881))</f>
        <v>21.5</v>
      </c>
      <c r="O4881" s="33" t="n">
        <f aca="false">IF(K4881="","",ABS(K4881))</f>
        <v>25.0427236525119</v>
      </c>
      <c r="P4881" s="34" t="str">
        <f aca="false">IF(B4881&gt;=Eval_Start_Week,"YES","")</f>
        <v>YES</v>
      </c>
      <c r="Q4881" s="34" t="str">
        <f aca="false">IF(AND(B4881&gt;=Cal_Start_Week,B4881&lt;=Cal_End_Week),"YES","")</f>
        <v/>
      </c>
    </row>
    <row r="4882" customFormat="false" ht="15" hidden="false" customHeight="false" outlineLevel="0" collapsed="false">
      <c r="A4882" s="31" t="str">
        <f aca="false">Demand_History!C4882</f>
        <v>CLN-010</v>
      </c>
      <c r="B4882" s="31" t="n">
        <f aca="false">Demand_History!A4882</f>
        <v>97</v>
      </c>
      <c r="C4882" s="32" t="n">
        <f aca="false">Demand_History!D4882</f>
        <v>35</v>
      </c>
      <c r="D4882" s="33" t="n">
        <f aca="false">IF(B4882&gt;=2,C4881,"")</f>
        <v>47</v>
      </c>
      <c r="E4882" s="33" t="n">
        <f aca="false">IF(B4882&gt;=5,AVERAGE(C4878:C4881),"")</f>
        <v>29</v>
      </c>
      <c r="F4882" s="33" t="n">
        <f aca="false">IF(B4882&gt;=9,AVERAGE(C4874:C4881),"")</f>
        <v>28.625</v>
      </c>
      <c r="G4882" s="33" t="n">
        <f aca="false">IF(B4882=1,"",IF(B4882=2,C4881,SES_Alpha*C4881+(1-SES_Alpha)*G4881))</f>
        <v>29.4700934432417</v>
      </c>
      <c r="H4882" s="33" t="n">
        <f aca="false">IF(D4882="","",D4882-C4882)</f>
        <v>12</v>
      </c>
      <c r="I4882" s="33" t="n">
        <f aca="false">IF(E4882="","",E4882-C4882)</f>
        <v>-6</v>
      </c>
      <c r="J4882" s="33" t="n">
        <f aca="false">IF(F4882="","",F4882-C4882)</f>
        <v>-6.375</v>
      </c>
      <c r="K4882" s="33" t="n">
        <f aca="false">IF(G4882="","",G4882-C4882)</f>
        <v>-5.52990655675831</v>
      </c>
      <c r="L4882" s="33" t="n">
        <f aca="false">IF(H4882="","",ABS(H4882))</f>
        <v>12</v>
      </c>
      <c r="M4882" s="33" t="n">
        <f aca="false">IF(I4882="","",ABS(I4882))</f>
        <v>6</v>
      </c>
      <c r="N4882" s="33" t="n">
        <f aca="false">IF(J4882="","",ABS(J4882))</f>
        <v>6.375</v>
      </c>
      <c r="O4882" s="33" t="n">
        <f aca="false">IF(K4882="","",ABS(K4882))</f>
        <v>5.52990655675831</v>
      </c>
      <c r="P4882" s="34" t="str">
        <f aca="false">IF(B4882&gt;=Eval_Start_Week,"YES","")</f>
        <v>YES</v>
      </c>
      <c r="Q4882" s="34" t="str">
        <f aca="false">IF(AND(B4882&gt;=Cal_Start_Week,B4882&lt;=Cal_End_Week),"YES","")</f>
        <v/>
      </c>
    </row>
    <row r="4883" customFormat="false" ht="15" hidden="false" customHeight="false" outlineLevel="0" collapsed="false">
      <c r="A4883" s="31" t="str">
        <f aca="false">Demand_History!C4883</f>
        <v>CLN-010</v>
      </c>
      <c r="B4883" s="31" t="n">
        <f aca="false">Demand_History!A4883</f>
        <v>98</v>
      </c>
      <c r="C4883" s="32" t="n">
        <f aca="false">Demand_History!D4883</f>
        <v>35</v>
      </c>
      <c r="D4883" s="33" t="n">
        <f aca="false">IF(B4883&gt;=2,C4882,"")</f>
        <v>35</v>
      </c>
      <c r="E4883" s="33" t="n">
        <f aca="false">IF(B4883&gt;=5,AVERAGE(C4879:C4882),"")</f>
        <v>29.75</v>
      </c>
      <c r="F4883" s="33" t="n">
        <f aca="false">IF(B4883&gt;=9,AVERAGE(C4875:C4882),"")</f>
        <v>28.5</v>
      </c>
      <c r="G4883" s="33" t="n">
        <f aca="false">IF(B4883=1,"",IF(B4883=2,C4882,SES_Alpha*C4882+(1-SES_Alpha)*G4882))</f>
        <v>31.1290654102692</v>
      </c>
      <c r="H4883" s="33" t="n">
        <f aca="false">IF(D4883="","",D4883-C4883)</f>
        <v>0</v>
      </c>
      <c r="I4883" s="33" t="n">
        <f aca="false">IF(E4883="","",E4883-C4883)</f>
        <v>-5.25</v>
      </c>
      <c r="J4883" s="33" t="n">
        <f aca="false">IF(F4883="","",F4883-C4883)</f>
        <v>-6.5</v>
      </c>
      <c r="K4883" s="33" t="n">
        <f aca="false">IF(G4883="","",G4883-C4883)</f>
        <v>-3.87093458973082</v>
      </c>
      <c r="L4883" s="33" t="n">
        <f aca="false">IF(H4883="","",ABS(H4883))</f>
        <v>0</v>
      </c>
      <c r="M4883" s="33" t="n">
        <f aca="false">IF(I4883="","",ABS(I4883))</f>
        <v>5.25</v>
      </c>
      <c r="N4883" s="33" t="n">
        <f aca="false">IF(J4883="","",ABS(J4883))</f>
        <v>6.5</v>
      </c>
      <c r="O4883" s="33" t="n">
        <f aca="false">IF(K4883="","",ABS(K4883))</f>
        <v>3.87093458973082</v>
      </c>
      <c r="P4883" s="34" t="str">
        <f aca="false">IF(B4883&gt;=Eval_Start_Week,"YES","")</f>
        <v>YES</v>
      </c>
      <c r="Q4883" s="34" t="str">
        <f aca="false">IF(AND(B4883&gt;=Cal_Start_Week,B4883&lt;=Cal_End_Week),"YES","")</f>
        <v/>
      </c>
    </row>
    <row r="4884" customFormat="false" ht="15" hidden="false" customHeight="false" outlineLevel="0" collapsed="false">
      <c r="A4884" s="31" t="str">
        <f aca="false">Demand_History!C4884</f>
        <v>CLN-010</v>
      </c>
      <c r="B4884" s="31" t="n">
        <f aca="false">Demand_History!A4884</f>
        <v>99</v>
      </c>
      <c r="C4884" s="32" t="n">
        <f aca="false">Demand_History!D4884</f>
        <v>39</v>
      </c>
      <c r="D4884" s="33" t="n">
        <f aca="false">IF(B4884&gt;=2,C4883,"")</f>
        <v>35</v>
      </c>
      <c r="E4884" s="33" t="n">
        <f aca="false">IF(B4884&gt;=5,AVERAGE(C4880:C4883),"")</f>
        <v>30.25</v>
      </c>
      <c r="F4884" s="33" t="n">
        <f aca="false">IF(B4884&gt;=9,AVERAGE(C4876:C4883),"")</f>
        <v>28.375</v>
      </c>
      <c r="G4884" s="33" t="n">
        <f aca="false">IF(B4884=1,"",IF(B4884=2,C4883,SES_Alpha*C4883+(1-SES_Alpha)*G4883))</f>
        <v>32.2903457871884</v>
      </c>
      <c r="H4884" s="33" t="n">
        <f aca="false">IF(D4884="","",D4884-C4884)</f>
        <v>-4</v>
      </c>
      <c r="I4884" s="33" t="n">
        <f aca="false">IF(E4884="","",E4884-C4884)</f>
        <v>-8.75</v>
      </c>
      <c r="J4884" s="33" t="n">
        <f aca="false">IF(F4884="","",F4884-C4884)</f>
        <v>-10.625</v>
      </c>
      <c r="K4884" s="33" t="n">
        <f aca="false">IF(G4884="","",G4884-C4884)</f>
        <v>-6.70965421281157</v>
      </c>
      <c r="L4884" s="33" t="n">
        <f aca="false">IF(H4884="","",ABS(H4884))</f>
        <v>4</v>
      </c>
      <c r="M4884" s="33" t="n">
        <f aca="false">IF(I4884="","",ABS(I4884))</f>
        <v>8.75</v>
      </c>
      <c r="N4884" s="33" t="n">
        <f aca="false">IF(J4884="","",ABS(J4884))</f>
        <v>10.625</v>
      </c>
      <c r="O4884" s="33" t="n">
        <f aca="false">IF(K4884="","",ABS(K4884))</f>
        <v>6.70965421281157</v>
      </c>
      <c r="P4884" s="34" t="str">
        <f aca="false">IF(B4884&gt;=Eval_Start_Week,"YES","")</f>
        <v>YES</v>
      </c>
      <c r="Q4884" s="34" t="str">
        <f aca="false">IF(AND(B4884&gt;=Cal_Start_Week,B4884&lt;=Cal_End_Week),"YES","")</f>
        <v/>
      </c>
    </row>
    <row r="4885" customFormat="false" ht="15" hidden="false" customHeight="false" outlineLevel="0" collapsed="false">
      <c r="A4885" s="31" t="str">
        <f aca="false">Demand_History!C4885</f>
        <v>CLN-010</v>
      </c>
      <c r="B4885" s="31" t="n">
        <f aca="false">Demand_History!A4885</f>
        <v>100</v>
      </c>
      <c r="C4885" s="32" t="n">
        <f aca="false">Demand_History!D4885</f>
        <v>23</v>
      </c>
      <c r="D4885" s="33" t="n">
        <f aca="false">IF(B4885&gt;=2,C4884,"")</f>
        <v>39</v>
      </c>
      <c r="E4885" s="33" t="n">
        <f aca="false">IF(B4885&gt;=5,AVERAGE(C4881:C4884),"")</f>
        <v>39</v>
      </c>
      <c r="F4885" s="33" t="n">
        <f aca="false">IF(B4885&gt;=9,AVERAGE(C4877:C4884),"")</f>
        <v>30.75</v>
      </c>
      <c r="G4885" s="33" t="n">
        <f aca="false">IF(B4885=1,"",IF(B4885=2,C4884,SES_Alpha*C4884+(1-SES_Alpha)*G4884))</f>
        <v>34.3032420510319</v>
      </c>
      <c r="H4885" s="33" t="n">
        <f aca="false">IF(D4885="","",D4885-C4885)</f>
        <v>16</v>
      </c>
      <c r="I4885" s="33" t="n">
        <f aca="false">IF(E4885="","",E4885-C4885)</f>
        <v>16</v>
      </c>
      <c r="J4885" s="33" t="n">
        <f aca="false">IF(F4885="","",F4885-C4885)</f>
        <v>7.75</v>
      </c>
      <c r="K4885" s="33" t="n">
        <f aca="false">IF(G4885="","",G4885-C4885)</f>
        <v>11.3032420510319</v>
      </c>
      <c r="L4885" s="33" t="n">
        <f aca="false">IF(H4885="","",ABS(H4885))</f>
        <v>16</v>
      </c>
      <c r="M4885" s="33" t="n">
        <f aca="false">IF(I4885="","",ABS(I4885))</f>
        <v>16</v>
      </c>
      <c r="N4885" s="33" t="n">
        <f aca="false">IF(J4885="","",ABS(J4885))</f>
        <v>7.75</v>
      </c>
      <c r="O4885" s="33" t="n">
        <f aca="false">IF(K4885="","",ABS(K4885))</f>
        <v>11.3032420510319</v>
      </c>
      <c r="P4885" s="34" t="str">
        <f aca="false">IF(B4885&gt;=Eval_Start_Week,"YES","")</f>
        <v>YES</v>
      </c>
      <c r="Q4885" s="34" t="str">
        <f aca="false">IF(AND(B4885&gt;=Cal_Start_Week,B4885&lt;=Cal_End_Week),"YES","")</f>
        <v/>
      </c>
    </row>
    <row r="4886" customFormat="false" ht="15" hidden="false" customHeight="false" outlineLevel="0" collapsed="false">
      <c r="A4886" s="31" t="str">
        <f aca="false">Demand_History!C4886</f>
        <v>CLN-010</v>
      </c>
      <c r="B4886" s="31" t="n">
        <f aca="false">Demand_History!A4886</f>
        <v>101</v>
      </c>
      <c r="C4886" s="32" t="n">
        <f aca="false">Demand_History!D4886</f>
        <v>34</v>
      </c>
      <c r="D4886" s="33" t="n">
        <f aca="false">IF(B4886&gt;=2,C4885,"")</f>
        <v>23</v>
      </c>
      <c r="E4886" s="33" t="n">
        <f aca="false">IF(B4886&gt;=5,AVERAGE(C4882:C4885),"")</f>
        <v>33</v>
      </c>
      <c r="F4886" s="33" t="n">
        <f aca="false">IF(B4886&gt;=9,AVERAGE(C4878:C4885),"")</f>
        <v>31</v>
      </c>
      <c r="G4886" s="33" t="n">
        <f aca="false">IF(B4886=1,"",IF(B4886=2,C4885,SES_Alpha*C4885+(1-SES_Alpha)*G4885))</f>
        <v>30.9122694357223</v>
      </c>
      <c r="H4886" s="33" t="n">
        <f aca="false">IF(D4886="","",D4886-C4886)</f>
        <v>-11</v>
      </c>
      <c r="I4886" s="33" t="n">
        <f aca="false">IF(E4886="","",E4886-C4886)</f>
        <v>-1</v>
      </c>
      <c r="J4886" s="33" t="n">
        <f aca="false">IF(F4886="","",F4886-C4886)</f>
        <v>-3</v>
      </c>
      <c r="K4886" s="33" t="n">
        <f aca="false">IF(G4886="","",G4886-C4886)</f>
        <v>-3.08773056427767</v>
      </c>
      <c r="L4886" s="33" t="n">
        <f aca="false">IF(H4886="","",ABS(H4886))</f>
        <v>11</v>
      </c>
      <c r="M4886" s="33" t="n">
        <f aca="false">IF(I4886="","",ABS(I4886))</f>
        <v>1</v>
      </c>
      <c r="N4886" s="33" t="n">
        <f aca="false">IF(J4886="","",ABS(J4886))</f>
        <v>3</v>
      </c>
      <c r="O4886" s="33" t="n">
        <f aca="false">IF(K4886="","",ABS(K4886))</f>
        <v>3.08773056427767</v>
      </c>
      <c r="P4886" s="34" t="str">
        <f aca="false">IF(B4886&gt;=Eval_Start_Week,"YES","")</f>
        <v>YES</v>
      </c>
      <c r="Q4886" s="34" t="str">
        <f aca="false">IF(AND(B4886&gt;=Cal_Start_Week,B4886&lt;=Cal_End_Week),"YES","")</f>
        <v/>
      </c>
    </row>
    <row r="4887" customFormat="false" ht="15" hidden="false" customHeight="false" outlineLevel="0" collapsed="false">
      <c r="A4887" s="31" t="str">
        <f aca="false">Demand_History!C4887</f>
        <v>CLN-010</v>
      </c>
      <c r="B4887" s="31" t="n">
        <f aca="false">Demand_History!A4887</f>
        <v>102</v>
      </c>
      <c r="C4887" s="32" t="n">
        <f aca="false">Demand_History!D4887</f>
        <v>47</v>
      </c>
      <c r="D4887" s="33" t="n">
        <f aca="false">IF(B4887&gt;=2,C4886,"")</f>
        <v>34</v>
      </c>
      <c r="E4887" s="33" t="n">
        <f aca="false">IF(B4887&gt;=5,AVERAGE(C4883:C4886),"")</f>
        <v>32.75</v>
      </c>
      <c r="F4887" s="33" t="n">
        <f aca="false">IF(B4887&gt;=9,AVERAGE(C4879:C4886),"")</f>
        <v>31.25</v>
      </c>
      <c r="G4887" s="33" t="n">
        <f aca="false">IF(B4887=1,"",IF(B4887=2,C4886,SES_Alpha*C4886+(1-SES_Alpha)*G4886))</f>
        <v>31.8385886050056</v>
      </c>
      <c r="H4887" s="33" t="n">
        <f aca="false">IF(D4887="","",D4887-C4887)</f>
        <v>-13</v>
      </c>
      <c r="I4887" s="33" t="n">
        <f aca="false">IF(E4887="","",E4887-C4887)</f>
        <v>-14.25</v>
      </c>
      <c r="J4887" s="33" t="n">
        <f aca="false">IF(F4887="","",F4887-C4887)</f>
        <v>-15.75</v>
      </c>
      <c r="K4887" s="33" t="n">
        <f aca="false">IF(G4887="","",G4887-C4887)</f>
        <v>-15.1614113949944</v>
      </c>
      <c r="L4887" s="33" t="n">
        <f aca="false">IF(H4887="","",ABS(H4887))</f>
        <v>13</v>
      </c>
      <c r="M4887" s="33" t="n">
        <f aca="false">IF(I4887="","",ABS(I4887))</f>
        <v>14.25</v>
      </c>
      <c r="N4887" s="33" t="n">
        <f aca="false">IF(J4887="","",ABS(J4887))</f>
        <v>15.75</v>
      </c>
      <c r="O4887" s="33" t="n">
        <f aca="false">IF(K4887="","",ABS(K4887))</f>
        <v>15.1614113949944</v>
      </c>
      <c r="P4887" s="34" t="str">
        <f aca="false">IF(B4887&gt;=Eval_Start_Week,"YES","")</f>
        <v>YES</v>
      </c>
      <c r="Q4887" s="34" t="str">
        <f aca="false">IF(AND(B4887&gt;=Cal_Start_Week,B4887&lt;=Cal_End_Week),"YES","")</f>
        <v/>
      </c>
    </row>
    <row r="4888" customFormat="false" ht="15" hidden="false" customHeight="false" outlineLevel="0" collapsed="false">
      <c r="A4888" s="31" t="str">
        <f aca="false">Demand_History!C4888</f>
        <v>CLN-010</v>
      </c>
      <c r="B4888" s="31" t="n">
        <f aca="false">Demand_History!A4888</f>
        <v>103</v>
      </c>
      <c r="C4888" s="32" t="n">
        <f aca="false">Demand_History!D4888</f>
        <v>48</v>
      </c>
      <c r="D4888" s="33" t="n">
        <f aca="false">IF(B4888&gt;=2,C4887,"")</f>
        <v>47</v>
      </c>
      <c r="E4888" s="33" t="n">
        <f aca="false">IF(B4888&gt;=5,AVERAGE(C4884:C4887),"")</f>
        <v>35.75</v>
      </c>
      <c r="F4888" s="33" t="n">
        <f aca="false">IF(B4888&gt;=9,AVERAGE(C4880:C4887),"")</f>
        <v>33</v>
      </c>
      <c r="G4888" s="33" t="n">
        <f aca="false">IF(B4888=1,"",IF(B4888=2,C4887,SES_Alpha*C4887+(1-SES_Alpha)*G4887))</f>
        <v>36.3870120235039</v>
      </c>
      <c r="H4888" s="33" t="n">
        <f aca="false">IF(D4888="","",D4888-C4888)</f>
        <v>-1</v>
      </c>
      <c r="I4888" s="33" t="n">
        <f aca="false">IF(E4888="","",E4888-C4888)</f>
        <v>-12.25</v>
      </c>
      <c r="J4888" s="33" t="n">
        <f aca="false">IF(F4888="","",F4888-C4888)</f>
        <v>-15</v>
      </c>
      <c r="K4888" s="33" t="n">
        <f aca="false">IF(G4888="","",G4888-C4888)</f>
        <v>-11.6129879764961</v>
      </c>
      <c r="L4888" s="33" t="n">
        <f aca="false">IF(H4888="","",ABS(H4888))</f>
        <v>1</v>
      </c>
      <c r="M4888" s="33" t="n">
        <f aca="false">IF(I4888="","",ABS(I4888))</f>
        <v>12.25</v>
      </c>
      <c r="N4888" s="33" t="n">
        <f aca="false">IF(J4888="","",ABS(J4888))</f>
        <v>15</v>
      </c>
      <c r="O4888" s="33" t="n">
        <f aca="false">IF(K4888="","",ABS(K4888))</f>
        <v>11.6129879764961</v>
      </c>
      <c r="P4888" s="34" t="str">
        <f aca="false">IF(B4888&gt;=Eval_Start_Week,"YES","")</f>
        <v>YES</v>
      </c>
      <c r="Q4888" s="34" t="str">
        <f aca="false">IF(AND(B4888&gt;=Cal_Start_Week,B4888&lt;=Cal_End_Week),"YES","")</f>
        <v/>
      </c>
    </row>
    <row r="4889" customFormat="false" ht="15" hidden="false" customHeight="false" outlineLevel="0" collapsed="false">
      <c r="A4889" s="31" t="str">
        <f aca="false">Demand_History!C4889</f>
        <v>CLN-010</v>
      </c>
      <c r="B4889" s="31" t="n">
        <f aca="false">Demand_History!A4889</f>
        <v>104</v>
      </c>
      <c r="C4889" s="32" t="n">
        <f aca="false">Demand_History!D4889</f>
        <v>41</v>
      </c>
      <c r="D4889" s="33" t="n">
        <f aca="false">IF(B4889&gt;=2,C4888,"")</f>
        <v>48</v>
      </c>
      <c r="E4889" s="33" t="n">
        <f aca="false">IF(B4889&gt;=5,AVERAGE(C4885:C4888),"")</f>
        <v>38</v>
      </c>
      <c r="F4889" s="33" t="n">
        <f aca="false">IF(B4889&gt;=9,AVERAGE(C4881:C4888),"")</f>
        <v>38.5</v>
      </c>
      <c r="G4889" s="33" t="n">
        <f aca="false">IF(B4889=1,"",IF(B4889=2,C4888,SES_Alpha*C4888+(1-SES_Alpha)*G4888))</f>
        <v>39.8709084164528</v>
      </c>
      <c r="H4889" s="33" t="n">
        <f aca="false">IF(D4889="","",D4889-C4889)</f>
        <v>7</v>
      </c>
      <c r="I4889" s="33" t="n">
        <f aca="false">IF(E4889="","",E4889-C4889)</f>
        <v>-3</v>
      </c>
      <c r="J4889" s="33" t="n">
        <f aca="false">IF(F4889="","",F4889-C4889)</f>
        <v>-2.5</v>
      </c>
      <c r="K4889" s="33" t="n">
        <f aca="false">IF(G4889="","",G4889-C4889)</f>
        <v>-1.12909158354724</v>
      </c>
      <c r="L4889" s="33" t="n">
        <f aca="false">IF(H4889="","",ABS(H4889))</f>
        <v>7</v>
      </c>
      <c r="M4889" s="33" t="n">
        <f aca="false">IF(I4889="","",ABS(I4889))</f>
        <v>3</v>
      </c>
      <c r="N4889" s="33" t="n">
        <f aca="false">IF(J4889="","",ABS(J4889))</f>
        <v>2.5</v>
      </c>
      <c r="O4889" s="33" t="n">
        <f aca="false">IF(K4889="","",ABS(K4889))</f>
        <v>1.12909158354724</v>
      </c>
      <c r="P4889" s="34" t="str">
        <f aca="false">IF(B4889&gt;=Eval_Start_Week,"YES","")</f>
        <v>YES</v>
      </c>
      <c r="Q4889" s="34" t="str">
        <f aca="false">IF(AND(B4889&gt;=Cal_Start_Week,B4889&lt;=Cal_End_Week),"YES","")</f>
        <v/>
      </c>
    </row>
    <row r="4890" customFormat="false" ht="15" hidden="false" customHeight="false" outlineLevel="0" collapsed="false">
      <c r="A4890" s="31" t="str">
        <f aca="false">Demand_History!C4890</f>
        <v>CLN-011</v>
      </c>
      <c r="B4890" s="31" t="n">
        <f aca="false">Demand_History!A4890</f>
        <v>1</v>
      </c>
      <c r="C4890" s="32" t="n">
        <f aca="false">Demand_History!D4890</f>
        <v>37</v>
      </c>
      <c r="D4890" s="33" t="str">
        <f aca="false">IF(B4890&gt;=2,C4889,"")</f>
        <v/>
      </c>
      <c r="E4890" s="33" t="str">
        <f aca="false">IF(B4890&gt;=5,AVERAGE(C4886:C4889),"")</f>
        <v/>
      </c>
      <c r="F4890" s="33" t="str">
        <f aca="false">IF(B4890&gt;=9,AVERAGE(C4882:C4889),"")</f>
        <v/>
      </c>
      <c r="G4890" s="33" t="str">
        <f aca="false">IF(B4890=1,"",IF(B4890=2,C4889,SES_Alpha*C4889+(1-SES_Alpha)*G4889))</f>
        <v/>
      </c>
      <c r="H4890" s="33" t="str">
        <f aca="false">IF(D4890="","",D4890-C4890)</f>
        <v/>
      </c>
      <c r="I4890" s="33" t="str">
        <f aca="false">IF(E4890="","",E4890-C4890)</f>
        <v/>
      </c>
      <c r="J4890" s="33" t="str">
        <f aca="false">IF(F4890="","",F4890-C4890)</f>
        <v/>
      </c>
      <c r="K4890" s="33" t="str">
        <f aca="false">IF(G4890="","",G4890-C4890)</f>
        <v/>
      </c>
      <c r="L4890" s="33" t="str">
        <f aca="false">IF(H4890="","",ABS(H4890))</f>
        <v/>
      </c>
      <c r="M4890" s="33" t="str">
        <f aca="false">IF(I4890="","",ABS(I4890))</f>
        <v/>
      </c>
      <c r="N4890" s="33" t="str">
        <f aca="false">IF(J4890="","",ABS(J4890))</f>
        <v/>
      </c>
      <c r="O4890" s="33" t="str">
        <f aca="false">IF(K4890="","",ABS(K4890))</f>
        <v/>
      </c>
      <c r="P4890" s="34" t="str">
        <f aca="false">IF(B4890&gt;=Eval_Start_Week,"YES","")</f>
        <v/>
      </c>
      <c r="Q4890" s="34" t="str">
        <f aca="false">IF(AND(B4890&gt;=Cal_Start_Week,B4890&lt;=Cal_End_Week),"YES","")</f>
        <v/>
      </c>
    </row>
    <row r="4891" customFormat="false" ht="15" hidden="false" customHeight="false" outlineLevel="0" collapsed="false">
      <c r="A4891" s="31" t="str">
        <f aca="false">Demand_History!C4891</f>
        <v>CLN-011</v>
      </c>
      <c r="B4891" s="31" t="n">
        <f aca="false">Demand_History!A4891</f>
        <v>2</v>
      </c>
      <c r="C4891" s="32" t="n">
        <f aca="false">Demand_History!D4891</f>
        <v>45</v>
      </c>
      <c r="D4891" s="33" t="n">
        <f aca="false">IF(B4891&gt;=2,C4890,"")</f>
        <v>37</v>
      </c>
      <c r="E4891" s="33" t="str">
        <f aca="false">IF(B4891&gt;=5,AVERAGE(C4887:C4890),"")</f>
        <v/>
      </c>
      <c r="F4891" s="33" t="str">
        <f aca="false">IF(B4891&gt;=9,AVERAGE(C4883:C4890),"")</f>
        <v/>
      </c>
      <c r="G4891" s="33" t="n">
        <f aca="false">IF(B4891=1,"",IF(B4891=2,C4890,SES_Alpha*C4890+(1-SES_Alpha)*G4890))</f>
        <v>37</v>
      </c>
      <c r="H4891" s="33" t="n">
        <f aca="false">IF(D4891="","",D4891-C4891)</f>
        <v>-8</v>
      </c>
      <c r="I4891" s="33" t="str">
        <f aca="false">IF(E4891="","",E4891-C4891)</f>
        <v/>
      </c>
      <c r="J4891" s="33" t="str">
        <f aca="false">IF(F4891="","",F4891-C4891)</f>
        <v/>
      </c>
      <c r="K4891" s="33" t="n">
        <f aca="false">IF(G4891="","",G4891-C4891)</f>
        <v>-8</v>
      </c>
      <c r="L4891" s="33" t="n">
        <f aca="false">IF(H4891="","",ABS(H4891))</f>
        <v>8</v>
      </c>
      <c r="M4891" s="33" t="str">
        <f aca="false">IF(I4891="","",ABS(I4891))</f>
        <v/>
      </c>
      <c r="N4891" s="33" t="str">
        <f aca="false">IF(J4891="","",ABS(J4891))</f>
        <v/>
      </c>
      <c r="O4891" s="33" t="n">
        <f aca="false">IF(K4891="","",ABS(K4891))</f>
        <v>8</v>
      </c>
      <c r="P4891" s="34" t="str">
        <f aca="false">IF(B4891&gt;=Eval_Start_Week,"YES","")</f>
        <v/>
      </c>
      <c r="Q4891" s="34" t="str">
        <f aca="false">IF(AND(B4891&gt;=Cal_Start_Week,B4891&lt;=Cal_End_Week),"YES","")</f>
        <v/>
      </c>
    </row>
    <row r="4892" customFormat="false" ht="15" hidden="false" customHeight="false" outlineLevel="0" collapsed="false">
      <c r="A4892" s="31" t="str">
        <f aca="false">Demand_History!C4892</f>
        <v>CLN-011</v>
      </c>
      <c r="B4892" s="31" t="n">
        <f aca="false">Demand_History!A4892</f>
        <v>3</v>
      </c>
      <c r="C4892" s="32" t="n">
        <f aca="false">Demand_History!D4892</f>
        <v>42</v>
      </c>
      <c r="D4892" s="33" t="n">
        <f aca="false">IF(B4892&gt;=2,C4891,"")</f>
        <v>45</v>
      </c>
      <c r="E4892" s="33" t="str">
        <f aca="false">IF(B4892&gt;=5,AVERAGE(C4888:C4891),"")</f>
        <v/>
      </c>
      <c r="F4892" s="33" t="str">
        <f aca="false">IF(B4892&gt;=9,AVERAGE(C4884:C4891),"")</f>
        <v/>
      </c>
      <c r="G4892" s="33" t="n">
        <f aca="false">IF(B4892=1,"",IF(B4892=2,C4891,SES_Alpha*C4891+(1-SES_Alpha)*G4891))</f>
        <v>39.4</v>
      </c>
      <c r="H4892" s="33" t="n">
        <f aca="false">IF(D4892="","",D4892-C4892)</f>
        <v>3</v>
      </c>
      <c r="I4892" s="33" t="str">
        <f aca="false">IF(E4892="","",E4892-C4892)</f>
        <v/>
      </c>
      <c r="J4892" s="33" t="str">
        <f aca="false">IF(F4892="","",F4892-C4892)</f>
        <v/>
      </c>
      <c r="K4892" s="33" t="n">
        <f aca="false">IF(G4892="","",G4892-C4892)</f>
        <v>-2.6</v>
      </c>
      <c r="L4892" s="33" t="n">
        <f aca="false">IF(H4892="","",ABS(H4892))</f>
        <v>3</v>
      </c>
      <c r="M4892" s="33" t="str">
        <f aca="false">IF(I4892="","",ABS(I4892))</f>
        <v/>
      </c>
      <c r="N4892" s="33" t="str">
        <f aca="false">IF(J4892="","",ABS(J4892))</f>
        <v/>
      </c>
      <c r="O4892" s="33" t="n">
        <f aca="false">IF(K4892="","",ABS(K4892))</f>
        <v>2.6</v>
      </c>
      <c r="P4892" s="34" t="str">
        <f aca="false">IF(B4892&gt;=Eval_Start_Week,"YES","")</f>
        <v/>
      </c>
      <c r="Q4892" s="34" t="str">
        <f aca="false">IF(AND(B4892&gt;=Cal_Start_Week,B4892&lt;=Cal_End_Week),"YES","")</f>
        <v/>
      </c>
    </row>
    <row r="4893" customFormat="false" ht="15" hidden="false" customHeight="false" outlineLevel="0" collapsed="false">
      <c r="A4893" s="31" t="str">
        <f aca="false">Demand_History!C4893</f>
        <v>CLN-011</v>
      </c>
      <c r="B4893" s="31" t="n">
        <f aca="false">Demand_History!A4893</f>
        <v>4</v>
      </c>
      <c r="C4893" s="32" t="n">
        <f aca="false">Demand_History!D4893</f>
        <v>38</v>
      </c>
      <c r="D4893" s="33" t="n">
        <f aca="false">IF(B4893&gt;=2,C4892,"")</f>
        <v>42</v>
      </c>
      <c r="E4893" s="33" t="str">
        <f aca="false">IF(B4893&gt;=5,AVERAGE(C4889:C4892),"")</f>
        <v/>
      </c>
      <c r="F4893" s="33" t="str">
        <f aca="false">IF(B4893&gt;=9,AVERAGE(C4885:C4892),"")</f>
        <v/>
      </c>
      <c r="G4893" s="33" t="n">
        <f aca="false">IF(B4893=1,"",IF(B4893=2,C4892,SES_Alpha*C4892+(1-SES_Alpha)*G4892))</f>
        <v>40.18</v>
      </c>
      <c r="H4893" s="33" t="n">
        <f aca="false">IF(D4893="","",D4893-C4893)</f>
        <v>4</v>
      </c>
      <c r="I4893" s="33" t="str">
        <f aca="false">IF(E4893="","",E4893-C4893)</f>
        <v/>
      </c>
      <c r="J4893" s="33" t="str">
        <f aca="false">IF(F4893="","",F4893-C4893)</f>
        <v/>
      </c>
      <c r="K4893" s="33" t="n">
        <f aca="false">IF(G4893="","",G4893-C4893)</f>
        <v>2.18</v>
      </c>
      <c r="L4893" s="33" t="n">
        <f aca="false">IF(H4893="","",ABS(H4893))</f>
        <v>4</v>
      </c>
      <c r="M4893" s="33" t="str">
        <f aca="false">IF(I4893="","",ABS(I4893))</f>
        <v/>
      </c>
      <c r="N4893" s="33" t="str">
        <f aca="false">IF(J4893="","",ABS(J4893))</f>
        <v/>
      </c>
      <c r="O4893" s="33" t="n">
        <f aca="false">IF(K4893="","",ABS(K4893))</f>
        <v>2.18</v>
      </c>
      <c r="P4893" s="34" t="str">
        <f aca="false">IF(B4893&gt;=Eval_Start_Week,"YES","")</f>
        <v/>
      </c>
      <c r="Q4893" s="34" t="str">
        <f aca="false">IF(AND(B4893&gt;=Cal_Start_Week,B4893&lt;=Cal_End_Week),"YES","")</f>
        <v/>
      </c>
    </row>
    <row r="4894" customFormat="false" ht="15" hidden="false" customHeight="false" outlineLevel="0" collapsed="false">
      <c r="A4894" s="31" t="str">
        <f aca="false">Demand_History!C4894</f>
        <v>CLN-011</v>
      </c>
      <c r="B4894" s="31" t="n">
        <f aca="false">Demand_History!A4894</f>
        <v>5</v>
      </c>
      <c r="C4894" s="32" t="n">
        <f aca="false">Demand_History!D4894</f>
        <v>31</v>
      </c>
      <c r="D4894" s="33" t="n">
        <f aca="false">IF(B4894&gt;=2,C4893,"")</f>
        <v>38</v>
      </c>
      <c r="E4894" s="33" t="n">
        <f aca="false">IF(B4894&gt;=5,AVERAGE(C4890:C4893),"")</f>
        <v>40.5</v>
      </c>
      <c r="F4894" s="33" t="str">
        <f aca="false">IF(B4894&gt;=9,AVERAGE(C4886:C4893),"")</f>
        <v/>
      </c>
      <c r="G4894" s="33" t="n">
        <f aca="false">IF(B4894=1,"",IF(B4894=2,C4893,SES_Alpha*C4893+(1-SES_Alpha)*G4893))</f>
        <v>39.526</v>
      </c>
      <c r="H4894" s="33" t="n">
        <f aca="false">IF(D4894="","",D4894-C4894)</f>
        <v>7</v>
      </c>
      <c r="I4894" s="33" t="n">
        <f aca="false">IF(E4894="","",E4894-C4894)</f>
        <v>9.5</v>
      </c>
      <c r="J4894" s="33" t="str">
        <f aca="false">IF(F4894="","",F4894-C4894)</f>
        <v/>
      </c>
      <c r="K4894" s="33" t="n">
        <f aca="false">IF(G4894="","",G4894-C4894)</f>
        <v>8.526</v>
      </c>
      <c r="L4894" s="33" t="n">
        <f aca="false">IF(H4894="","",ABS(H4894))</f>
        <v>7</v>
      </c>
      <c r="M4894" s="33" t="n">
        <f aca="false">IF(I4894="","",ABS(I4894))</f>
        <v>9.5</v>
      </c>
      <c r="N4894" s="33" t="str">
        <f aca="false">IF(J4894="","",ABS(J4894))</f>
        <v/>
      </c>
      <c r="O4894" s="33" t="n">
        <f aca="false">IF(K4894="","",ABS(K4894))</f>
        <v>8.526</v>
      </c>
      <c r="P4894" s="34" t="str">
        <f aca="false">IF(B4894&gt;=Eval_Start_Week,"YES","")</f>
        <v/>
      </c>
      <c r="Q4894" s="34" t="str">
        <f aca="false">IF(AND(B4894&gt;=Cal_Start_Week,B4894&lt;=Cal_End_Week),"YES","")</f>
        <v/>
      </c>
    </row>
    <row r="4895" customFormat="false" ht="15" hidden="false" customHeight="false" outlineLevel="0" collapsed="false">
      <c r="A4895" s="31" t="str">
        <f aca="false">Demand_History!C4895</f>
        <v>CLN-011</v>
      </c>
      <c r="B4895" s="31" t="n">
        <f aca="false">Demand_History!A4895</f>
        <v>6</v>
      </c>
      <c r="C4895" s="32" t="n">
        <f aca="false">Demand_History!D4895</f>
        <v>37</v>
      </c>
      <c r="D4895" s="33" t="n">
        <f aca="false">IF(B4895&gt;=2,C4894,"")</f>
        <v>31</v>
      </c>
      <c r="E4895" s="33" t="n">
        <f aca="false">IF(B4895&gt;=5,AVERAGE(C4891:C4894),"")</f>
        <v>39</v>
      </c>
      <c r="F4895" s="33" t="str">
        <f aca="false">IF(B4895&gt;=9,AVERAGE(C4887:C4894),"")</f>
        <v/>
      </c>
      <c r="G4895" s="33" t="n">
        <f aca="false">IF(B4895=1,"",IF(B4895=2,C4894,SES_Alpha*C4894+(1-SES_Alpha)*G4894))</f>
        <v>36.9682</v>
      </c>
      <c r="H4895" s="33" t="n">
        <f aca="false">IF(D4895="","",D4895-C4895)</f>
        <v>-6</v>
      </c>
      <c r="I4895" s="33" t="n">
        <f aca="false">IF(E4895="","",E4895-C4895)</f>
        <v>2</v>
      </c>
      <c r="J4895" s="33" t="str">
        <f aca="false">IF(F4895="","",F4895-C4895)</f>
        <v/>
      </c>
      <c r="K4895" s="33" t="n">
        <f aca="false">IF(G4895="","",G4895-C4895)</f>
        <v>-0.0318000000000041</v>
      </c>
      <c r="L4895" s="33" t="n">
        <f aca="false">IF(H4895="","",ABS(H4895))</f>
        <v>6</v>
      </c>
      <c r="M4895" s="33" t="n">
        <f aca="false">IF(I4895="","",ABS(I4895))</f>
        <v>2</v>
      </c>
      <c r="N4895" s="33" t="str">
        <f aca="false">IF(J4895="","",ABS(J4895))</f>
        <v/>
      </c>
      <c r="O4895" s="33" t="n">
        <f aca="false">IF(K4895="","",ABS(K4895))</f>
        <v>0.0318000000000041</v>
      </c>
      <c r="P4895" s="34" t="str">
        <f aca="false">IF(B4895&gt;=Eval_Start_Week,"YES","")</f>
        <v/>
      </c>
      <c r="Q4895" s="34" t="str">
        <f aca="false">IF(AND(B4895&gt;=Cal_Start_Week,B4895&lt;=Cal_End_Week),"YES","")</f>
        <v/>
      </c>
    </row>
    <row r="4896" customFormat="false" ht="15" hidden="false" customHeight="false" outlineLevel="0" collapsed="false">
      <c r="A4896" s="31" t="str">
        <f aca="false">Demand_History!C4896</f>
        <v>CLN-011</v>
      </c>
      <c r="B4896" s="31" t="n">
        <f aca="false">Demand_History!A4896</f>
        <v>7</v>
      </c>
      <c r="C4896" s="32" t="n">
        <f aca="false">Demand_History!D4896</f>
        <v>32</v>
      </c>
      <c r="D4896" s="33" t="n">
        <f aca="false">IF(B4896&gt;=2,C4895,"")</f>
        <v>37</v>
      </c>
      <c r="E4896" s="33" t="n">
        <f aca="false">IF(B4896&gt;=5,AVERAGE(C4892:C4895),"")</f>
        <v>37</v>
      </c>
      <c r="F4896" s="33" t="str">
        <f aca="false">IF(B4896&gt;=9,AVERAGE(C4888:C4895),"")</f>
        <v/>
      </c>
      <c r="G4896" s="33" t="n">
        <f aca="false">IF(B4896=1,"",IF(B4896=2,C4895,SES_Alpha*C4895+(1-SES_Alpha)*G4895))</f>
        <v>36.97774</v>
      </c>
      <c r="H4896" s="33" t="n">
        <f aca="false">IF(D4896="","",D4896-C4896)</f>
        <v>5</v>
      </c>
      <c r="I4896" s="33" t="n">
        <f aca="false">IF(E4896="","",E4896-C4896)</f>
        <v>5</v>
      </c>
      <c r="J4896" s="33" t="str">
        <f aca="false">IF(F4896="","",F4896-C4896)</f>
        <v/>
      </c>
      <c r="K4896" s="33" t="n">
        <f aca="false">IF(G4896="","",G4896-C4896)</f>
        <v>4.97774</v>
      </c>
      <c r="L4896" s="33" t="n">
        <f aca="false">IF(H4896="","",ABS(H4896))</f>
        <v>5</v>
      </c>
      <c r="M4896" s="33" t="n">
        <f aca="false">IF(I4896="","",ABS(I4896))</f>
        <v>5</v>
      </c>
      <c r="N4896" s="33" t="str">
        <f aca="false">IF(J4896="","",ABS(J4896))</f>
        <v/>
      </c>
      <c r="O4896" s="33" t="n">
        <f aca="false">IF(K4896="","",ABS(K4896))</f>
        <v>4.97774</v>
      </c>
      <c r="P4896" s="34" t="str">
        <f aca="false">IF(B4896&gt;=Eval_Start_Week,"YES","")</f>
        <v/>
      </c>
      <c r="Q4896" s="34" t="str">
        <f aca="false">IF(AND(B4896&gt;=Cal_Start_Week,B4896&lt;=Cal_End_Week),"YES","")</f>
        <v/>
      </c>
    </row>
    <row r="4897" customFormat="false" ht="15" hidden="false" customHeight="false" outlineLevel="0" collapsed="false">
      <c r="A4897" s="31" t="str">
        <f aca="false">Demand_History!C4897</f>
        <v>CLN-011</v>
      </c>
      <c r="B4897" s="31" t="n">
        <f aca="false">Demand_History!A4897</f>
        <v>8</v>
      </c>
      <c r="C4897" s="32" t="n">
        <f aca="false">Demand_History!D4897</f>
        <v>45</v>
      </c>
      <c r="D4897" s="33" t="n">
        <f aca="false">IF(B4897&gt;=2,C4896,"")</f>
        <v>32</v>
      </c>
      <c r="E4897" s="33" t="n">
        <f aca="false">IF(B4897&gt;=5,AVERAGE(C4893:C4896),"")</f>
        <v>34.5</v>
      </c>
      <c r="F4897" s="33" t="str">
        <f aca="false">IF(B4897&gt;=9,AVERAGE(C4889:C4896),"")</f>
        <v/>
      </c>
      <c r="G4897" s="33" t="n">
        <f aca="false">IF(B4897=1,"",IF(B4897=2,C4896,SES_Alpha*C4896+(1-SES_Alpha)*G4896))</f>
        <v>35.484418</v>
      </c>
      <c r="H4897" s="33" t="n">
        <f aca="false">IF(D4897="","",D4897-C4897)</f>
        <v>-13</v>
      </c>
      <c r="I4897" s="33" t="n">
        <f aca="false">IF(E4897="","",E4897-C4897)</f>
        <v>-10.5</v>
      </c>
      <c r="J4897" s="33" t="str">
        <f aca="false">IF(F4897="","",F4897-C4897)</f>
        <v/>
      </c>
      <c r="K4897" s="33" t="n">
        <f aca="false">IF(G4897="","",G4897-C4897)</f>
        <v>-9.515582</v>
      </c>
      <c r="L4897" s="33" t="n">
        <f aca="false">IF(H4897="","",ABS(H4897))</f>
        <v>13</v>
      </c>
      <c r="M4897" s="33" t="n">
        <f aca="false">IF(I4897="","",ABS(I4897))</f>
        <v>10.5</v>
      </c>
      <c r="N4897" s="33" t="str">
        <f aca="false">IF(J4897="","",ABS(J4897))</f>
        <v/>
      </c>
      <c r="O4897" s="33" t="n">
        <f aca="false">IF(K4897="","",ABS(K4897))</f>
        <v>9.515582</v>
      </c>
      <c r="P4897" s="34" t="str">
        <f aca="false">IF(B4897&gt;=Eval_Start_Week,"YES","")</f>
        <v/>
      </c>
      <c r="Q4897" s="34" t="str">
        <f aca="false">IF(AND(B4897&gt;=Cal_Start_Week,B4897&lt;=Cal_End_Week),"YES","")</f>
        <v/>
      </c>
    </row>
    <row r="4898" customFormat="false" ht="15" hidden="false" customHeight="false" outlineLevel="0" collapsed="false">
      <c r="A4898" s="31" t="str">
        <f aca="false">Demand_History!C4898</f>
        <v>CLN-011</v>
      </c>
      <c r="B4898" s="31" t="n">
        <f aca="false">Demand_History!A4898</f>
        <v>9</v>
      </c>
      <c r="C4898" s="32" t="n">
        <f aca="false">Demand_History!D4898</f>
        <v>41</v>
      </c>
      <c r="D4898" s="33" t="n">
        <f aca="false">IF(B4898&gt;=2,C4897,"")</f>
        <v>45</v>
      </c>
      <c r="E4898" s="33" t="n">
        <f aca="false">IF(B4898&gt;=5,AVERAGE(C4894:C4897),"")</f>
        <v>36.25</v>
      </c>
      <c r="F4898" s="33" t="n">
        <f aca="false">IF(B4898&gt;=9,AVERAGE(C4890:C4897),"")</f>
        <v>38.375</v>
      </c>
      <c r="G4898" s="33" t="n">
        <f aca="false">IF(B4898=1,"",IF(B4898=2,C4897,SES_Alpha*C4897+(1-SES_Alpha)*G4897))</f>
        <v>38.3390926</v>
      </c>
      <c r="H4898" s="33" t="n">
        <f aca="false">IF(D4898="","",D4898-C4898)</f>
        <v>4</v>
      </c>
      <c r="I4898" s="33" t="n">
        <f aca="false">IF(E4898="","",E4898-C4898)</f>
        <v>-4.75</v>
      </c>
      <c r="J4898" s="33" t="n">
        <f aca="false">IF(F4898="","",F4898-C4898)</f>
        <v>-2.625</v>
      </c>
      <c r="K4898" s="33" t="n">
        <f aca="false">IF(G4898="","",G4898-C4898)</f>
        <v>-2.6609074</v>
      </c>
      <c r="L4898" s="33" t="n">
        <f aca="false">IF(H4898="","",ABS(H4898))</f>
        <v>4</v>
      </c>
      <c r="M4898" s="33" t="n">
        <f aca="false">IF(I4898="","",ABS(I4898))</f>
        <v>4.75</v>
      </c>
      <c r="N4898" s="33" t="n">
        <f aca="false">IF(J4898="","",ABS(J4898))</f>
        <v>2.625</v>
      </c>
      <c r="O4898" s="33" t="n">
        <f aca="false">IF(K4898="","",ABS(K4898))</f>
        <v>2.6609074</v>
      </c>
      <c r="P4898" s="34" t="str">
        <f aca="false">IF(B4898&gt;=Eval_Start_Week,"YES","")</f>
        <v/>
      </c>
      <c r="Q4898" s="34" t="str">
        <f aca="false">IF(AND(B4898&gt;=Cal_Start_Week,B4898&lt;=Cal_End_Week),"YES","")</f>
        <v/>
      </c>
    </row>
    <row r="4899" customFormat="false" ht="15" hidden="false" customHeight="false" outlineLevel="0" collapsed="false">
      <c r="A4899" s="31" t="str">
        <f aca="false">Demand_History!C4899</f>
        <v>CLN-011</v>
      </c>
      <c r="B4899" s="31" t="n">
        <f aca="false">Demand_History!A4899</f>
        <v>10</v>
      </c>
      <c r="C4899" s="32" t="n">
        <f aca="false">Demand_History!D4899</f>
        <v>37</v>
      </c>
      <c r="D4899" s="33" t="n">
        <f aca="false">IF(B4899&gt;=2,C4898,"")</f>
        <v>41</v>
      </c>
      <c r="E4899" s="33" t="n">
        <f aca="false">IF(B4899&gt;=5,AVERAGE(C4895:C4898),"")</f>
        <v>38.75</v>
      </c>
      <c r="F4899" s="33" t="n">
        <f aca="false">IF(B4899&gt;=9,AVERAGE(C4891:C4898),"")</f>
        <v>38.875</v>
      </c>
      <c r="G4899" s="33" t="n">
        <f aca="false">IF(B4899=1,"",IF(B4899=2,C4898,SES_Alpha*C4898+(1-SES_Alpha)*G4898))</f>
        <v>39.13736482</v>
      </c>
      <c r="H4899" s="33" t="n">
        <f aca="false">IF(D4899="","",D4899-C4899)</f>
        <v>4</v>
      </c>
      <c r="I4899" s="33" t="n">
        <f aca="false">IF(E4899="","",E4899-C4899)</f>
        <v>1.75</v>
      </c>
      <c r="J4899" s="33" t="n">
        <f aca="false">IF(F4899="","",F4899-C4899)</f>
        <v>1.875</v>
      </c>
      <c r="K4899" s="33" t="n">
        <f aca="false">IF(G4899="","",G4899-C4899)</f>
        <v>2.13736482</v>
      </c>
      <c r="L4899" s="33" t="n">
        <f aca="false">IF(H4899="","",ABS(H4899))</f>
        <v>4</v>
      </c>
      <c r="M4899" s="33" t="n">
        <f aca="false">IF(I4899="","",ABS(I4899))</f>
        <v>1.75</v>
      </c>
      <c r="N4899" s="33" t="n">
        <f aca="false">IF(J4899="","",ABS(J4899))</f>
        <v>1.875</v>
      </c>
      <c r="O4899" s="33" t="n">
        <f aca="false">IF(K4899="","",ABS(K4899))</f>
        <v>2.13736482</v>
      </c>
      <c r="P4899" s="34" t="str">
        <f aca="false">IF(B4899&gt;=Eval_Start_Week,"YES","")</f>
        <v/>
      </c>
      <c r="Q4899" s="34" t="str">
        <f aca="false">IF(AND(B4899&gt;=Cal_Start_Week,B4899&lt;=Cal_End_Week),"YES","")</f>
        <v/>
      </c>
    </row>
    <row r="4900" customFormat="false" ht="15" hidden="false" customHeight="false" outlineLevel="0" collapsed="false">
      <c r="A4900" s="31" t="str">
        <f aca="false">Demand_History!C4900</f>
        <v>CLN-011</v>
      </c>
      <c r="B4900" s="31" t="n">
        <f aca="false">Demand_History!A4900</f>
        <v>11</v>
      </c>
      <c r="C4900" s="32" t="n">
        <f aca="false">Demand_History!D4900</f>
        <v>39</v>
      </c>
      <c r="D4900" s="33" t="n">
        <f aca="false">IF(B4900&gt;=2,C4899,"")</f>
        <v>37</v>
      </c>
      <c r="E4900" s="33" t="n">
        <f aca="false">IF(B4900&gt;=5,AVERAGE(C4896:C4899),"")</f>
        <v>38.75</v>
      </c>
      <c r="F4900" s="33" t="n">
        <f aca="false">IF(B4900&gt;=9,AVERAGE(C4892:C4899),"")</f>
        <v>37.875</v>
      </c>
      <c r="G4900" s="33" t="n">
        <f aca="false">IF(B4900=1,"",IF(B4900=2,C4899,SES_Alpha*C4899+(1-SES_Alpha)*G4899))</f>
        <v>38.496155374</v>
      </c>
      <c r="H4900" s="33" t="n">
        <f aca="false">IF(D4900="","",D4900-C4900)</f>
        <v>-2</v>
      </c>
      <c r="I4900" s="33" t="n">
        <f aca="false">IF(E4900="","",E4900-C4900)</f>
        <v>-0.25</v>
      </c>
      <c r="J4900" s="33" t="n">
        <f aca="false">IF(F4900="","",F4900-C4900)</f>
        <v>-1.125</v>
      </c>
      <c r="K4900" s="33" t="n">
        <f aca="false">IF(G4900="","",G4900-C4900)</f>
        <v>-0.503844626000003</v>
      </c>
      <c r="L4900" s="33" t="n">
        <f aca="false">IF(H4900="","",ABS(H4900))</f>
        <v>2</v>
      </c>
      <c r="M4900" s="33" t="n">
        <f aca="false">IF(I4900="","",ABS(I4900))</f>
        <v>0.25</v>
      </c>
      <c r="N4900" s="33" t="n">
        <f aca="false">IF(J4900="","",ABS(J4900))</f>
        <v>1.125</v>
      </c>
      <c r="O4900" s="33" t="n">
        <f aca="false">IF(K4900="","",ABS(K4900))</f>
        <v>0.503844626000003</v>
      </c>
      <c r="P4900" s="34" t="str">
        <f aca="false">IF(B4900&gt;=Eval_Start_Week,"YES","")</f>
        <v/>
      </c>
      <c r="Q4900" s="34" t="str">
        <f aca="false">IF(AND(B4900&gt;=Cal_Start_Week,B4900&lt;=Cal_End_Week),"YES","")</f>
        <v/>
      </c>
    </row>
    <row r="4901" customFormat="false" ht="15" hidden="false" customHeight="false" outlineLevel="0" collapsed="false">
      <c r="A4901" s="31" t="str">
        <f aca="false">Demand_History!C4901</f>
        <v>CLN-011</v>
      </c>
      <c r="B4901" s="31" t="n">
        <f aca="false">Demand_History!A4901</f>
        <v>12</v>
      </c>
      <c r="C4901" s="32" t="n">
        <f aca="false">Demand_History!D4901</f>
        <v>50</v>
      </c>
      <c r="D4901" s="33" t="n">
        <f aca="false">IF(B4901&gt;=2,C4900,"")</f>
        <v>39</v>
      </c>
      <c r="E4901" s="33" t="n">
        <f aca="false">IF(B4901&gt;=5,AVERAGE(C4897:C4900),"")</f>
        <v>40.5</v>
      </c>
      <c r="F4901" s="33" t="n">
        <f aca="false">IF(B4901&gt;=9,AVERAGE(C4893:C4900),"")</f>
        <v>37.5</v>
      </c>
      <c r="G4901" s="33" t="n">
        <f aca="false">IF(B4901=1,"",IF(B4901=2,C4900,SES_Alpha*C4900+(1-SES_Alpha)*G4900))</f>
        <v>38.6473087618</v>
      </c>
      <c r="H4901" s="33" t="n">
        <f aca="false">IF(D4901="","",D4901-C4901)</f>
        <v>-11</v>
      </c>
      <c r="I4901" s="33" t="n">
        <f aca="false">IF(E4901="","",E4901-C4901)</f>
        <v>-9.5</v>
      </c>
      <c r="J4901" s="33" t="n">
        <f aca="false">IF(F4901="","",F4901-C4901)</f>
        <v>-12.5</v>
      </c>
      <c r="K4901" s="33" t="n">
        <f aca="false">IF(G4901="","",G4901-C4901)</f>
        <v>-11.3526912382</v>
      </c>
      <c r="L4901" s="33" t="n">
        <f aca="false">IF(H4901="","",ABS(H4901))</f>
        <v>11</v>
      </c>
      <c r="M4901" s="33" t="n">
        <f aca="false">IF(I4901="","",ABS(I4901))</f>
        <v>9.5</v>
      </c>
      <c r="N4901" s="33" t="n">
        <f aca="false">IF(J4901="","",ABS(J4901))</f>
        <v>12.5</v>
      </c>
      <c r="O4901" s="33" t="n">
        <f aca="false">IF(K4901="","",ABS(K4901))</f>
        <v>11.3526912382</v>
      </c>
      <c r="P4901" s="34" t="str">
        <f aca="false">IF(B4901&gt;=Eval_Start_Week,"YES","")</f>
        <v/>
      </c>
      <c r="Q4901" s="34" t="str">
        <f aca="false">IF(AND(B4901&gt;=Cal_Start_Week,B4901&lt;=Cal_End_Week),"YES","")</f>
        <v/>
      </c>
    </row>
    <row r="4902" customFormat="false" ht="15" hidden="false" customHeight="false" outlineLevel="0" collapsed="false">
      <c r="A4902" s="31" t="str">
        <f aca="false">Demand_History!C4902</f>
        <v>CLN-011</v>
      </c>
      <c r="B4902" s="31" t="n">
        <f aca="false">Demand_History!A4902</f>
        <v>13</v>
      </c>
      <c r="C4902" s="32" t="n">
        <f aca="false">Demand_History!D4902</f>
        <v>45</v>
      </c>
      <c r="D4902" s="33" t="n">
        <f aca="false">IF(B4902&gt;=2,C4901,"")</f>
        <v>50</v>
      </c>
      <c r="E4902" s="33" t="n">
        <f aca="false">IF(B4902&gt;=5,AVERAGE(C4898:C4901),"")</f>
        <v>41.75</v>
      </c>
      <c r="F4902" s="33" t="n">
        <f aca="false">IF(B4902&gt;=9,AVERAGE(C4894:C4901),"")</f>
        <v>39</v>
      </c>
      <c r="G4902" s="33" t="n">
        <f aca="false">IF(B4902=1,"",IF(B4902=2,C4901,SES_Alpha*C4901+(1-SES_Alpha)*G4901))</f>
        <v>42.05311613326</v>
      </c>
      <c r="H4902" s="33" t="n">
        <f aca="false">IF(D4902="","",D4902-C4902)</f>
        <v>5</v>
      </c>
      <c r="I4902" s="33" t="n">
        <f aca="false">IF(E4902="","",E4902-C4902)</f>
        <v>-3.25</v>
      </c>
      <c r="J4902" s="33" t="n">
        <f aca="false">IF(F4902="","",F4902-C4902)</f>
        <v>-6</v>
      </c>
      <c r="K4902" s="33" t="n">
        <f aca="false">IF(G4902="","",G4902-C4902)</f>
        <v>-2.94688386674001</v>
      </c>
      <c r="L4902" s="33" t="n">
        <f aca="false">IF(H4902="","",ABS(H4902))</f>
        <v>5</v>
      </c>
      <c r="M4902" s="33" t="n">
        <f aca="false">IF(I4902="","",ABS(I4902))</f>
        <v>3.25</v>
      </c>
      <c r="N4902" s="33" t="n">
        <f aca="false">IF(J4902="","",ABS(J4902))</f>
        <v>6</v>
      </c>
      <c r="O4902" s="33" t="n">
        <f aca="false">IF(K4902="","",ABS(K4902))</f>
        <v>2.94688386674001</v>
      </c>
      <c r="P4902" s="34" t="str">
        <f aca="false">IF(B4902&gt;=Eval_Start_Week,"YES","")</f>
        <v/>
      </c>
      <c r="Q4902" s="34" t="str">
        <f aca="false">IF(AND(B4902&gt;=Cal_Start_Week,B4902&lt;=Cal_End_Week),"YES","")</f>
        <v/>
      </c>
    </row>
    <row r="4903" customFormat="false" ht="15" hidden="false" customHeight="false" outlineLevel="0" collapsed="false">
      <c r="A4903" s="31" t="str">
        <f aca="false">Demand_History!C4903</f>
        <v>CLN-011</v>
      </c>
      <c r="B4903" s="31" t="n">
        <f aca="false">Demand_History!A4903</f>
        <v>14</v>
      </c>
      <c r="C4903" s="32" t="n">
        <f aca="false">Demand_History!D4903</f>
        <v>35</v>
      </c>
      <c r="D4903" s="33" t="n">
        <f aca="false">IF(B4903&gt;=2,C4902,"")</f>
        <v>45</v>
      </c>
      <c r="E4903" s="33" t="n">
        <f aca="false">IF(B4903&gt;=5,AVERAGE(C4899:C4902),"")</f>
        <v>42.75</v>
      </c>
      <c r="F4903" s="33" t="n">
        <f aca="false">IF(B4903&gt;=9,AVERAGE(C4895:C4902),"")</f>
        <v>40.75</v>
      </c>
      <c r="G4903" s="33" t="n">
        <f aca="false">IF(B4903=1,"",IF(B4903=2,C4902,SES_Alpha*C4902+(1-SES_Alpha)*G4902))</f>
        <v>42.937181293282</v>
      </c>
      <c r="H4903" s="33" t="n">
        <f aca="false">IF(D4903="","",D4903-C4903)</f>
        <v>10</v>
      </c>
      <c r="I4903" s="33" t="n">
        <f aca="false">IF(E4903="","",E4903-C4903)</f>
        <v>7.75</v>
      </c>
      <c r="J4903" s="33" t="n">
        <f aca="false">IF(F4903="","",F4903-C4903)</f>
        <v>5.75</v>
      </c>
      <c r="K4903" s="33" t="n">
        <f aca="false">IF(G4903="","",G4903-C4903)</f>
        <v>7.937181293282</v>
      </c>
      <c r="L4903" s="33" t="n">
        <f aca="false">IF(H4903="","",ABS(H4903))</f>
        <v>10</v>
      </c>
      <c r="M4903" s="33" t="n">
        <f aca="false">IF(I4903="","",ABS(I4903))</f>
        <v>7.75</v>
      </c>
      <c r="N4903" s="33" t="n">
        <f aca="false">IF(J4903="","",ABS(J4903))</f>
        <v>5.75</v>
      </c>
      <c r="O4903" s="33" t="n">
        <f aca="false">IF(K4903="","",ABS(K4903))</f>
        <v>7.937181293282</v>
      </c>
      <c r="P4903" s="34" t="str">
        <f aca="false">IF(B4903&gt;=Eval_Start_Week,"YES","")</f>
        <v/>
      </c>
      <c r="Q4903" s="34" t="str">
        <f aca="false">IF(AND(B4903&gt;=Cal_Start_Week,B4903&lt;=Cal_End_Week),"YES","")</f>
        <v/>
      </c>
    </row>
    <row r="4904" customFormat="false" ht="15" hidden="false" customHeight="false" outlineLevel="0" collapsed="false">
      <c r="A4904" s="31" t="str">
        <f aca="false">Demand_History!C4904</f>
        <v>CLN-011</v>
      </c>
      <c r="B4904" s="31" t="n">
        <f aca="false">Demand_History!A4904</f>
        <v>15</v>
      </c>
      <c r="C4904" s="32" t="n">
        <f aca="false">Demand_History!D4904</f>
        <v>39</v>
      </c>
      <c r="D4904" s="33" t="n">
        <f aca="false">IF(B4904&gt;=2,C4903,"")</f>
        <v>35</v>
      </c>
      <c r="E4904" s="33" t="n">
        <f aca="false">IF(B4904&gt;=5,AVERAGE(C4900:C4903),"")</f>
        <v>42.25</v>
      </c>
      <c r="F4904" s="33" t="n">
        <f aca="false">IF(B4904&gt;=9,AVERAGE(C4896:C4903),"")</f>
        <v>40.5</v>
      </c>
      <c r="G4904" s="33" t="n">
        <f aca="false">IF(B4904=1,"",IF(B4904=2,C4903,SES_Alpha*C4903+(1-SES_Alpha)*G4903))</f>
        <v>40.5560269052974</v>
      </c>
      <c r="H4904" s="33" t="n">
        <f aca="false">IF(D4904="","",D4904-C4904)</f>
        <v>-4</v>
      </c>
      <c r="I4904" s="33" t="n">
        <f aca="false">IF(E4904="","",E4904-C4904)</f>
        <v>3.25</v>
      </c>
      <c r="J4904" s="33" t="n">
        <f aca="false">IF(F4904="","",F4904-C4904)</f>
        <v>1.5</v>
      </c>
      <c r="K4904" s="33" t="n">
        <f aca="false">IF(G4904="","",G4904-C4904)</f>
        <v>1.55602690529739</v>
      </c>
      <c r="L4904" s="33" t="n">
        <f aca="false">IF(H4904="","",ABS(H4904))</f>
        <v>4</v>
      </c>
      <c r="M4904" s="33" t="n">
        <f aca="false">IF(I4904="","",ABS(I4904))</f>
        <v>3.25</v>
      </c>
      <c r="N4904" s="33" t="n">
        <f aca="false">IF(J4904="","",ABS(J4904))</f>
        <v>1.5</v>
      </c>
      <c r="O4904" s="33" t="n">
        <f aca="false">IF(K4904="","",ABS(K4904))</f>
        <v>1.55602690529739</v>
      </c>
      <c r="P4904" s="34" t="str">
        <f aca="false">IF(B4904&gt;=Eval_Start_Week,"YES","")</f>
        <v/>
      </c>
      <c r="Q4904" s="34" t="str">
        <f aca="false">IF(AND(B4904&gt;=Cal_Start_Week,B4904&lt;=Cal_End_Week),"YES","")</f>
        <v/>
      </c>
    </row>
    <row r="4905" customFormat="false" ht="15" hidden="false" customHeight="false" outlineLevel="0" collapsed="false">
      <c r="A4905" s="31" t="str">
        <f aca="false">Demand_History!C4905</f>
        <v>CLN-011</v>
      </c>
      <c r="B4905" s="31" t="n">
        <f aca="false">Demand_History!A4905</f>
        <v>16</v>
      </c>
      <c r="C4905" s="32" t="n">
        <f aca="false">Demand_History!D4905</f>
        <v>35</v>
      </c>
      <c r="D4905" s="33" t="n">
        <f aca="false">IF(B4905&gt;=2,C4904,"")</f>
        <v>39</v>
      </c>
      <c r="E4905" s="33" t="n">
        <f aca="false">IF(B4905&gt;=5,AVERAGE(C4901:C4904),"")</f>
        <v>42.25</v>
      </c>
      <c r="F4905" s="33" t="n">
        <f aca="false">IF(B4905&gt;=9,AVERAGE(C4897:C4904),"")</f>
        <v>41.375</v>
      </c>
      <c r="G4905" s="33" t="n">
        <f aca="false">IF(B4905=1,"",IF(B4905=2,C4904,SES_Alpha*C4904+(1-SES_Alpha)*G4904))</f>
        <v>40.0892188337082</v>
      </c>
      <c r="H4905" s="33" t="n">
        <f aca="false">IF(D4905="","",D4905-C4905)</f>
        <v>4</v>
      </c>
      <c r="I4905" s="33" t="n">
        <f aca="false">IF(E4905="","",E4905-C4905)</f>
        <v>7.25</v>
      </c>
      <c r="J4905" s="33" t="n">
        <f aca="false">IF(F4905="","",F4905-C4905)</f>
        <v>6.375</v>
      </c>
      <c r="K4905" s="33" t="n">
        <f aca="false">IF(G4905="","",G4905-C4905)</f>
        <v>5.08921883370817</v>
      </c>
      <c r="L4905" s="33" t="n">
        <f aca="false">IF(H4905="","",ABS(H4905))</f>
        <v>4</v>
      </c>
      <c r="M4905" s="33" t="n">
        <f aca="false">IF(I4905="","",ABS(I4905))</f>
        <v>7.25</v>
      </c>
      <c r="N4905" s="33" t="n">
        <f aca="false">IF(J4905="","",ABS(J4905))</f>
        <v>6.375</v>
      </c>
      <c r="O4905" s="33" t="n">
        <f aca="false">IF(K4905="","",ABS(K4905))</f>
        <v>5.08921883370817</v>
      </c>
      <c r="P4905" s="34" t="str">
        <f aca="false">IF(B4905&gt;=Eval_Start_Week,"YES","")</f>
        <v/>
      </c>
      <c r="Q4905" s="34" t="str">
        <f aca="false">IF(AND(B4905&gt;=Cal_Start_Week,B4905&lt;=Cal_End_Week),"YES","")</f>
        <v/>
      </c>
    </row>
    <row r="4906" customFormat="false" ht="15" hidden="false" customHeight="false" outlineLevel="0" collapsed="false">
      <c r="A4906" s="31" t="str">
        <f aca="false">Demand_History!C4906</f>
        <v>CLN-011</v>
      </c>
      <c r="B4906" s="31" t="n">
        <f aca="false">Demand_History!A4906</f>
        <v>17</v>
      </c>
      <c r="C4906" s="32" t="n">
        <f aca="false">Demand_History!D4906</f>
        <v>33</v>
      </c>
      <c r="D4906" s="33" t="n">
        <f aca="false">IF(B4906&gt;=2,C4905,"")</f>
        <v>35</v>
      </c>
      <c r="E4906" s="33" t="n">
        <f aca="false">IF(B4906&gt;=5,AVERAGE(C4902:C4905),"")</f>
        <v>38.5</v>
      </c>
      <c r="F4906" s="33" t="n">
        <f aca="false">IF(B4906&gt;=9,AVERAGE(C4898:C4905),"")</f>
        <v>40.125</v>
      </c>
      <c r="G4906" s="33" t="n">
        <f aca="false">IF(B4906=1,"",IF(B4906=2,C4905,SES_Alpha*C4905+(1-SES_Alpha)*G4905))</f>
        <v>38.5624531835957</v>
      </c>
      <c r="H4906" s="33" t="n">
        <f aca="false">IF(D4906="","",D4906-C4906)</f>
        <v>2</v>
      </c>
      <c r="I4906" s="33" t="n">
        <f aca="false">IF(E4906="","",E4906-C4906)</f>
        <v>5.5</v>
      </c>
      <c r="J4906" s="33" t="n">
        <f aca="false">IF(F4906="","",F4906-C4906)</f>
        <v>7.125</v>
      </c>
      <c r="K4906" s="33" t="n">
        <f aca="false">IF(G4906="","",G4906-C4906)</f>
        <v>5.56245318359572</v>
      </c>
      <c r="L4906" s="33" t="n">
        <f aca="false">IF(H4906="","",ABS(H4906))</f>
        <v>2</v>
      </c>
      <c r="M4906" s="33" t="n">
        <f aca="false">IF(I4906="","",ABS(I4906))</f>
        <v>5.5</v>
      </c>
      <c r="N4906" s="33" t="n">
        <f aca="false">IF(J4906="","",ABS(J4906))</f>
        <v>7.125</v>
      </c>
      <c r="O4906" s="33" t="n">
        <f aca="false">IF(K4906="","",ABS(K4906))</f>
        <v>5.56245318359572</v>
      </c>
      <c r="P4906" s="34" t="str">
        <f aca="false">IF(B4906&gt;=Eval_Start_Week,"YES","")</f>
        <v/>
      </c>
      <c r="Q4906" s="34" t="str">
        <f aca="false">IF(AND(B4906&gt;=Cal_Start_Week,B4906&lt;=Cal_End_Week),"YES","")</f>
        <v/>
      </c>
    </row>
    <row r="4907" customFormat="false" ht="15" hidden="false" customHeight="false" outlineLevel="0" collapsed="false">
      <c r="A4907" s="31" t="str">
        <f aca="false">Demand_History!C4907</f>
        <v>CLN-011</v>
      </c>
      <c r="B4907" s="31" t="n">
        <f aca="false">Demand_History!A4907</f>
        <v>18</v>
      </c>
      <c r="C4907" s="32" t="n">
        <f aca="false">Demand_History!D4907</f>
        <v>41</v>
      </c>
      <c r="D4907" s="33" t="n">
        <f aca="false">IF(B4907&gt;=2,C4906,"")</f>
        <v>33</v>
      </c>
      <c r="E4907" s="33" t="n">
        <f aca="false">IF(B4907&gt;=5,AVERAGE(C4903:C4906),"")</f>
        <v>35.5</v>
      </c>
      <c r="F4907" s="33" t="n">
        <f aca="false">IF(B4907&gt;=9,AVERAGE(C4899:C4906),"")</f>
        <v>39.125</v>
      </c>
      <c r="G4907" s="33" t="n">
        <f aca="false">IF(B4907=1,"",IF(B4907=2,C4906,SES_Alpha*C4906+(1-SES_Alpha)*G4906))</f>
        <v>36.893717228517</v>
      </c>
      <c r="H4907" s="33" t="n">
        <f aca="false">IF(D4907="","",D4907-C4907)</f>
        <v>-8</v>
      </c>
      <c r="I4907" s="33" t="n">
        <f aca="false">IF(E4907="","",E4907-C4907)</f>
        <v>-5.5</v>
      </c>
      <c r="J4907" s="33" t="n">
        <f aca="false">IF(F4907="","",F4907-C4907)</f>
        <v>-1.875</v>
      </c>
      <c r="K4907" s="33" t="n">
        <f aca="false">IF(G4907="","",G4907-C4907)</f>
        <v>-4.106282771483</v>
      </c>
      <c r="L4907" s="33" t="n">
        <f aca="false">IF(H4907="","",ABS(H4907))</f>
        <v>8</v>
      </c>
      <c r="M4907" s="33" t="n">
        <f aca="false">IF(I4907="","",ABS(I4907))</f>
        <v>5.5</v>
      </c>
      <c r="N4907" s="33" t="n">
        <f aca="false">IF(J4907="","",ABS(J4907))</f>
        <v>1.875</v>
      </c>
      <c r="O4907" s="33" t="n">
        <f aca="false">IF(K4907="","",ABS(K4907))</f>
        <v>4.106282771483</v>
      </c>
      <c r="P4907" s="34" t="str">
        <f aca="false">IF(B4907&gt;=Eval_Start_Week,"YES","")</f>
        <v/>
      </c>
      <c r="Q4907" s="34" t="str">
        <f aca="false">IF(AND(B4907&gt;=Cal_Start_Week,B4907&lt;=Cal_End_Week),"YES","")</f>
        <v/>
      </c>
    </row>
    <row r="4908" customFormat="false" ht="15" hidden="false" customHeight="false" outlineLevel="0" collapsed="false">
      <c r="A4908" s="31" t="str">
        <f aca="false">Demand_History!C4908</f>
        <v>CLN-011</v>
      </c>
      <c r="B4908" s="31" t="n">
        <f aca="false">Demand_History!A4908</f>
        <v>19</v>
      </c>
      <c r="C4908" s="32" t="n">
        <f aca="false">Demand_History!D4908</f>
        <v>50</v>
      </c>
      <c r="D4908" s="33" t="n">
        <f aca="false">IF(B4908&gt;=2,C4907,"")</f>
        <v>41</v>
      </c>
      <c r="E4908" s="33" t="n">
        <f aca="false">IF(B4908&gt;=5,AVERAGE(C4904:C4907),"")</f>
        <v>37</v>
      </c>
      <c r="F4908" s="33" t="n">
        <f aca="false">IF(B4908&gt;=9,AVERAGE(C4900:C4907),"")</f>
        <v>39.625</v>
      </c>
      <c r="G4908" s="33" t="n">
        <f aca="false">IF(B4908=1,"",IF(B4908=2,C4907,SES_Alpha*C4907+(1-SES_Alpha)*G4907))</f>
        <v>38.1256020599619</v>
      </c>
      <c r="H4908" s="33" t="n">
        <f aca="false">IF(D4908="","",D4908-C4908)</f>
        <v>-9</v>
      </c>
      <c r="I4908" s="33" t="n">
        <f aca="false">IF(E4908="","",E4908-C4908)</f>
        <v>-13</v>
      </c>
      <c r="J4908" s="33" t="n">
        <f aca="false">IF(F4908="","",F4908-C4908)</f>
        <v>-10.375</v>
      </c>
      <c r="K4908" s="33" t="n">
        <f aca="false">IF(G4908="","",G4908-C4908)</f>
        <v>-11.8743979400381</v>
      </c>
      <c r="L4908" s="33" t="n">
        <f aca="false">IF(H4908="","",ABS(H4908))</f>
        <v>9</v>
      </c>
      <c r="M4908" s="33" t="n">
        <f aca="false">IF(I4908="","",ABS(I4908))</f>
        <v>13</v>
      </c>
      <c r="N4908" s="33" t="n">
        <f aca="false">IF(J4908="","",ABS(J4908))</f>
        <v>10.375</v>
      </c>
      <c r="O4908" s="33" t="n">
        <f aca="false">IF(K4908="","",ABS(K4908))</f>
        <v>11.8743979400381</v>
      </c>
      <c r="P4908" s="34" t="str">
        <f aca="false">IF(B4908&gt;=Eval_Start_Week,"YES","")</f>
        <v/>
      </c>
      <c r="Q4908" s="34" t="str">
        <f aca="false">IF(AND(B4908&gt;=Cal_Start_Week,B4908&lt;=Cal_End_Week),"YES","")</f>
        <v/>
      </c>
    </row>
    <row r="4909" customFormat="false" ht="15" hidden="false" customHeight="false" outlineLevel="0" collapsed="false">
      <c r="A4909" s="31" t="str">
        <f aca="false">Demand_History!C4909</f>
        <v>CLN-011</v>
      </c>
      <c r="B4909" s="31" t="n">
        <f aca="false">Demand_History!A4909</f>
        <v>20</v>
      </c>
      <c r="C4909" s="32" t="n">
        <f aca="false">Demand_History!D4909</f>
        <v>46</v>
      </c>
      <c r="D4909" s="33" t="n">
        <f aca="false">IF(B4909&gt;=2,C4908,"")</f>
        <v>50</v>
      </c>
      <c r="E4909" s="33" t="n">
        <f aca="false">IF(B4909&gt;=5,AVERAGE(C4905:C4908),"")</f>
        <v>39.75</v>
      </c>
      <c r="F4909" s="33" t="n">
        <f aca="false">IF(B4909&gt;=9,AVERAGE(C4901:C4908),"")</f>
        <v>41</v>
      </c>
      <c r="G4909" s="33" t="n">
        <f aca="false">IF(B4909=1,"",IF(B4909=2,C4908,SES_Alpha*C4908+(1-SES_Alpha)*G4908))</f>
        <v>41.6879214419733</v>
      </c>
      <c r="H4909" s="33" t="n">
        <f aca="false">IF(D4909="","",D4909-C4909)</f>
        <v>4</v>
      </c>
      <c r="I4909" s="33" t="n">
        <f aca="false">IF(E4909="","",E4909-C4909)</f>
        <v>-6.25</v>
      </c>
      <c r="J4909" s="33" t="n">
        <f aca="false">IF(F4909="","",F4909-C4909)</f>
        <v>-5</v>
      </c>
      <c r="K4909" s="33" t="n">
        <f aca="false">IF(G4909="","",G4909-C4909)</f>
        <v>-4.31207855802667</v>
      </c>
      <c r="L4909" s="33" t="n">
        <f aca="false">IF(H4909="","",ABS(H4909))</f>
        <v>4</v>
      </c>
      <c r="M4909" s="33" t="n">
        <f aca="false">IF(I4909="","",ABS(I4909))</f>
        <v>6.25</v>
      </c>
      <c r="N4909" s="33" t="n">
        <f aca="false">IF(J4909="","",ABS(J4909))</f>
        <v>5</v>
      </c>
      <c r="O4909" s="33" t="n">
        <f aca="false">IF(K4909="","",ABS(K4909))</f>
        <v>4.31207855802667</v>
      </c>
      <c r="P4909" s="34" t="str">
        <f aca="false">IF(B4909&gt;=Eval_Start_Week,"YES","")</f>
        <v/>
      </c>
      <c r="Q4909" s="34" t="str">
        <f aca="false">IF(AND(B4909&gt;=Cal_Start_Week,B4909&lt;=Cal_End_Week),"YES","")</f>
        <v/>
      </c>
    </row>
    <row r="4910" customFormat="false" ht="15" hidden="false" customHeight="false" outlineLevel="0" collapsed="false">
      <c r="A4910" s="31" t="str">
        <f aca="false">Demand_History!C4910</f>
        <v>CLN-011</v>
      </c>
      <c r="B4910" s="31" t="n">
        <f aca="false">Demand_History!A4910</f>
        <v>21</v>
      </c>
      <c r="C4910" s="32" t="n">
        <f aca="false">Demand_History!D4910</f>
        <v>40</v>
      </c>
      <c r="D4910" s="33" t="n">
        <f aca="false">IF(B4910&gt;=2,C4909,"")</f>
        <v>46</v>
      </c>
      <c r="E4910" s="33" t="n">
        <f aca="false">IF(B4910&gt;=5,AVERAGE(C4906:C4909),"")</f>
        <v>42.5</v>
      </c>
      <c r="F4910" s="33" t="n">
        <f aca="false">IF(B4910&gt;=9,AVERAGE(C4902:C4909),"")</f>
        <v>40.5</v>
      </c>
      <c r="G4910" s="33" t="n">
        <f aca="false">IF(B4910=1,"",IF(B4910=2,C4909,SES_Alpha*C4909+(1-SES_Alpha)*G4909))</f>
        <v>42.9815450093813</v>
      </c>
      <c r="H4910" s="33" t="n">
        <f aca="false">IF(D4910="","",D4910-C4910)</f>
        <v>6</v>
      </c>
      <c r="I4910" s="33" t="n">
        <f aca="false">IF(E4910="","",E4910-C4910)</f>
        <v>2.5</v>
      </c>
      <c r="J4910" s="33" t="n">
        <f aca="false">IF(F4910="","",F4910-C4910)</f>
        <v>0.5</v>
      </c>
      <c r="K4910" s="33" t="n">
        <f aca="false">IF(G4910="","",G4910-C4910)</f>
        <v>2.98154500938133</v>
      </c>
      <c r="L4910" s="33" t="n">
        <f aca="false">IF(H4910="","",ABS(H4910))</f>
        <v>6</v>
      </c>
      <c r="M4910" s="33" t="n">
        <f aca="false">IF(I4910="","",ABS(I4910))</f>
        <v>2.5</v>
      </c>
      <c r="N4910" s="33" t="n">
        <f aca="false">IF(J4910="","",ABS(J4910))</f>
        <v>0.5</v>
      </c>
      <c r="O4910" s="33" t="n">
        <f aca="false">IF(K4910="","",ABS(K4910))</f>
        <v>2.98154500938133</v>
      </c>
      <c r="P4910" s="34" t="str">
        <f aca="false">IF(B4910&gt;=Eval_Start_Week,"YES","")</f>
        <v/>
      </c>
      <c r="Q4910" s="34" t="str">
        <f aca="false">IF(AND(B4910&gt;=Cal_Start_Week,B4910&lt;=Cal_End_Week),"YES","")</f>
        <v/>
      </c>
    </row>
    <row r="4911" customFormat="false" ht="15" hidden="false" customHeight="false" outlineLevel="0" collapsed="false">
      <c r="A4911" s="31" t="str">
        <f aca="false">Demand_History!C4911</f>
        <v>CLN-011</v>
      </c>
      <c r="B4911" s="31" t="n">
        <f aca="false">Demand_History!A4911</f>
        <v>22</v>
      </c>
      <c r="C4911" s="32" t="n">
        <f aca="false">Demand_History!D4911</f>
        <v>39</v>
      </c>
      <c r="D4911" s="33" t="n">
        <f aca="false">IF(B4911&gt;=2,C4910,"")</f>
        <v>40</v>
      </c>
      <c r="E4911" s="33" t="n">
        <f aca="false">IF(B4911&gt;=5,AVERAGE(C4907:C4910),"")</f>
        <v>44.25</v>
      </c>
      <c r="F4911" s="33" t="n">
        <f aca="false">IF(B4911&gt;=9,AVERAGE(C4903:C4910),"")</f>
        <v>39.875</v>
      </c>
      <c r="G4911" s="33" t="n">
        <f aca="false">IF(B4911=1,"",IF(B4911=2,C4910,SES_Alpha*C4910+(1-SES_Alpha)*G4910))</f>
        <v>42.0870815065669</v>
      </c>
      <c r="H4911" s="33" t="n">
        <f aca="false">IF(D4911="","",D4911-C4911)</f>
        <v>1</v>
      </c>
      <c r="I4911" s="33" t="n">
        <f aca="false">IF(E4911="","",E4911-C4911)</f>
        <v>5.25</v>
      </c>
      <c r="J4911" s="33" t="n">
        <f aca="false">IF(F4911="","",F4911-C4911)</f>
        <v>0.875</v>
      </c>
      <c r="K4911" s="33" t="n">
        <f aca="false">IF(G4911="","",G4911-C4911)</f>
        <v>3.08708150656693</v>
      </c>
      <c r="L4911" s="33" t="n">
        <f aca="false">IF(H4911="","",ABS(H4911))</f>
        <v>1</v>
      </c>
      <c r="M4911" s="33" t="n">
        <f aca="false">IF(I4911="","",ABS(I4911))</f>
        <v>5.25</v>
      </c>
      <c r="N4911" s="33" t="n">
        <f aca="false">IF(J4911="","",ABS(J4911))</f>
        <v>0.875</v>
      </c>
      <c r="O4911" s="33" t="n">
        <f aca="false">IF(K4911="","",ABS(K4911))</f>
        <v>3.08708150656693</v>
      </c>
      <c r="P4911" s="34" t="str">
        <f aca="false">IF(B4911&gt;=Eval_Start_Week,"YES","")</f>
        <v/>
      </c>
      <c r="Q4911" s="34" t="str">
        <f aca="false">IF(AND(B4911&gt;=Cal_Start_Week,B4911&lt;=Cal_End_Week),"YES","")</f>
        <v/>
      </c>
    </row>
    <row r="4912" customFormat="false" ht="15" hidden="false" customHeight="false" outlineLevel="0" collapsed="false">
      <c r="A4912" s="31" t="str">
        <f aca="false">Demand_History!C4912</f>
        <v>CLN-011</v>
      </c>
      <c r="B4912" s="31" t="n">
        <f aca="false">Demand_History!A4912</f>
        <v>23</v>
      </c>
      <c r="C4912" s="32" t="n">
        <f aca="false">Demand_History!D4912</f>
        <v>41</v>
      </c>
      <c r="D4912" s="33" t="n">
        <f aca="false">IF(B4912&gt;=2,C4911,"")</f>
        <v>39</v>
      </c>
      <c r="E4912" s="33" t="n">
        <f aca="false">IF(B4912&gt;=5,AVERAGE(C4908:C4911),"")</f>
        <v>43.75</v>
      </c>
      <c r="F4912" s="33" t="n">
        <f aca="false">IF(B4912&gt;=9,AVERAGE(C4904:C4911),"")</f>
        <v>40.375</v>
      </c>
      <c r="G4912" s="33" t="n">
        <f aca="false">IF(B4912=1,"",IF(B4912=2,C4911,SES_Alpha*C4911+(1-SES_Alpha)*G4911))</f>
        <v>41.1609570545969</v>
      </c>
      <c r="H4912" s="33" t="n">
        <f aca="false">IF(D4912="","",D4912-C4912)</f>
        <v>-2</v>
      </c>
      <c r="I4912" s="33" t="n">
        <f aca="false">IF(E4912="","",E4912-C4912)</f>
        <v>2.75</v>
      </c>
      <c r="J4912" s="33" t="n">
        <f aca="false">IF(F4912="","",F4912-C4912)</f>
        <v>-0.625</v>
      </c>
      <c r="K4912" s="33" t="n">
        <f aca="false">IF(G4912="","",G4912-C4912)</f>
        <v>0.16095705459685</v>
      </c>
      <c r="L4912" s="33" t="n">
        <f aca="false">IF(H4912="","",ABS(H4912))</f>
        <v>2</v>
      </c>
      <c r="M4912" s="33" t="n">
        <f aca="false">IF(I4912="","",ABS(I4912))</f>
        <v>2.75</v>
      </c>
      <c r="N4912" s="33" t="n">
        <f aca="false">IF(J4912="","",ABS(J4912))</f>
        <v>0.625</v>
      </c>
      <c r="O4912" s="33" t="n">
        <f aca="false">IF(K4912="","",ABS(K4912))</f>
        <v>0.16095705459685</v>
      </c>
      <c r="P4912" s="34" t="str">
        <f aca="false">IF(B4912&gt;=Eval_Start_Week,"YES","")</f>
        <v/>
      </c>
      <c r="Q4912" s="34" t="str">
        <f aca="false">IF(AND(B4912&gt;=Cal_Start_Week,B4912&lt;=Cal_End_Week),"YES","")</f>
        <v/>
      </c>
    </row>
    <row r="4913" customFormat="false" ht="15" hidden="false" customHeight="false" outlineLevel="0" collapsed="false">
      <c r="A4913" s="31" t="str">
        <f aca="false">Demand_History!C4913</f>
        <v>CLN-011</v>
      </c>
      <c r="B4913" s="31" t="n">
        <f aca="false">Demand_History!A4913</f>
        <v>24</v>
      </c>
      <c r="C4913" s="32" t="n">
        <f aca="false">Demand_History!D4913</f>
        <v>44</v>
      </c>
      <c r="D4913" s="33" t="n">
        <f aca="false">IF(B4913&gt;=2,C4912,"")</f>
        <v>41</v>
      </c>
      <c r="E4913" s="33" t="n">
        <f aca="false">IF(B4913&gt;=5,AVERAGE(C4909:C4912),"")</f>
        <v>41.5</v>
      </c>
      <c r="F4913" s="33" t="n">
        <f aca="false">IF(B4913&gt;=9,AVERAGE(C4905:C4912),"")</f>
        <v>40.625</v>
      </c>
      <c r="G4913" s="33" t="n">
        <f aca="false">IF(B4913=1,"",IF(B4913=2,C4912,SES_Alpha*C4912+(1-SES_Alpha)*G4912))</f>
        <v>41.1126699382178</v>
      </c>
      <c r="H4913" s="33" t="n">
        <f aca="false">IF(D4913="","",D4913-C4913)</f>
        <v>-3</v>
      </c>
      <c r="I4913" s="33" t="n">
        <f aca="false">IF(E4913="","",E4913-C4913)</f>
        <v>-2.5</v>
      </c>
      <c r="J4913" s="33" t="n">
        <f aca="false">IF(F4913="","",F4913-C4913)</f>
        <v>-3.375</v>
      </c>
      <c r="K4913" s="33" t="n">
        <f aca="false">IF(G4913="","",G4913-C4913)</f>
        <v>-2.88733006178221</v>
      </c>
      <c r="L4913" s="33" t="n">
        <f aca="false">IF(H4913="","",ABS(H4913))</f>
        <v>3</v>
      </c>
      <c r="M4913" s="33" t="n">
        <f aca="false">IF(I4913="","",ABS(I4913))</f>
        <v>2.5</v>
      </c>
      <c r="N4913" s="33" t="n">
        <f aca="false">IF(J4913="","",ABS(J4913))</f>
        <v>3.375</v>
      </c>
      <c r="O4913" s="33" t="n">
        <f aca="false">IF(K4913="","",ABS(K4913))</f>
        <v>2.88733006178221</v>
      </c>
      <c r="P4913" s="34" t="str">
        <f aca="false">IF(B4913&gt;=Eval_Start_Week,"YES","")</f>
        <v/>
      </c>
      <c r="Q4913" s="34" t="str">
        <f aca="false">IF(AND(B4913&gt;=Cal_Start_Week,B4913&lt;=Cal_End_Week),"YES","")</f>
        <v/>
      </c>
    </row>
    <row r="4914" customFormat="false" ht="15" hidden="false" customHeight="false" outlineLevel="0" collapsed="false">
      <c r="A4914" s="31" t="str">
        <f aca="false">Demand_History!C4914</f>
        <v>CLN-011</v>
      </c>
      <c r="B4914" s="31" t="n">
        <f aca="false">Demand_History!A4914</f>
        <v>25</v>
      </c>
      <c r="C4914" s="32" t="n">
        <f aca="false">Demand_History!D4914</f>
        <v>34</v>
      </c>
      <c r="D4914" s="33" t="n">
        <f aca="false">IF(B4914&gt;=2,C4913,"")</f>
        <v>44</v>
      </c>
      <c r="E4914" s="33" t="n">
        <f aca="false">IF(B4914&gt;=5,AVERAGE(C4910:C4913),"")</f>
        <v>41</v>
      </c>
      <c r="F4914" s="33" t="n">
        <f aca="false">IF(B4914&gt;=9,AVERAGE(C4906:C4913),"")</f>
        <v>41.75</v>
      </c>
      <c r="G4914" s="33" t="n">
        <f aca="false">IF(B4914=1,"",IF(B4914=2,C4913,SES_Alpha*C4913+(1-SES_Alpha)*G4913))</f>
        <v>41.9788689567525</v>
      </c>
      <c r="H4914" s="33" t="n">
        <f aca="false">IF(D4914="","",D4914-C4914)</f>
        <v>10</v>
      </c>
      <c r="I4914" s="33" t="n">
        <f aca="false">IF(E4914="","",E4914-C4914)</f>
        <v>7</v>
      </c>
      <c r="J4914" s="33" t="n">
        <f aca="false">IF(F4914="","",F4914-C4914)</f>
        <v>7.75</v>
      </c>
      <c r="K4914" s="33" t="n">
        <f aca="false">IF(G4914="","",G4914-C4914)</f>
        <v>7.97886895675245</v>
      </c>
      <c r="L4914" s="33" t="n">
        <f aca="false">IF(H4914="","",ABS(H4914))</f>
        <v>10</v>
      </c>
      <c r="M4914" s="33" t="n">
        <f aca="false">IF(I4914="","",ABS(I4914))</f>
        <v>7</v>
      </c>
      <c r="N4914" s="33" t="n">
        <f aca="false">IF(J4914="","",ABS(J4914))</f>
        <v>7.75</v>
      </c>
      <c r="O4914" s="33" t="n">
        <f aca="false">IF(K4914="","",ABS(K4914))</f>
        <v>7.97886895675245</v>
      </c>
      <c r="P4914" s="34" t="str">
        <f aca="false">IF(B4914&gt;=Eval_Start_Week,"YES","")</f>
        <v/>
      </c>
      <c r="Q4914" s="34" t="str">
        <f aca="false">IF(AND(B4914&gt;=Cal_Start_Week,B4914&lt;=Cal_End_Week),"YES","")</f>
        <v/>
      </c>
    </row>
    <row r="4915" customFormat="false" ht="15" hidden="false" customHeight="false" outlineLevel="0" collapsed="false">
      <c r="A4915" s="31" t="str">
        <f aca="false">Demand_History!C4915</f>
        <v>CLN-011</v>
      </c>
      <c r="B4915" s="31" t="n">
        <f aca="false">Demand_History!A4915</f>
        <v>26</v>
      </c>
      <c r="C4915" s="32" t="n">
        <f aca="false">Demand_History!D4915</f>
        <v>33</v>
      </c>
      <c r="D4915" s="33" t="n">
        <f aca="false">IF(B4915&gt;=2,C4914,"")</f>
        <v>34</v>
      </c>
      <c r="E4915" s="33" t="n">
        <f aca="false">IF(B4915&gt;=5,AVERAGE(C4911:C4914),"")</f>
        <v>39.5</v>
      </c>
      <c r="F4915" s="33" t="n">
        <f aca="false">IF(B4915&gt;=9,AVERAGE(C4907:C4914),"")</f>
        <v>41.875</v>
      </c>
      <c r="G4915" s="33" t="n">
        <f aca="false">IF(B4915=1,"",IF(B4915=2,C4914,SES_Alpha*C4914+(1-SES_Alpha)*G4914))</f>
        <v>39.5852082697267</v>
      </c>
      <c r="H4915" s="33" t="n">
        <f aca="false">IF(D4915="","",D4915-C4915)</f>
        <v>1</v>
      </c>
      <c r="I4915" s="33" t="n">
        <f aca="false">IF(E4915="","",E4915-C4915)</f>
        <v>6.5</v>
      </c>
      <c r="J4915" s="33" t="n">
        <f aca="false">IF(F4915="","",F4915-C4915)</f>
        <v>8.875</v>
      </c>
      <c r="K4915" s="33" t="n">
        <f aca="false">IF(G4915="","",G4915-C4915)</f>
        <v>6.58520826972671</v>
      </c>
      <c r="L4915" s="33" t="n">
        <f aca="false">IF(H4915="","",ABS(H4915))</f>
        <v>1</v>
      </c>
      <c r="M4915" s="33" t="n">
        <f aca="false">IF(I4915="","",ABS(I4915))</f>
        <v>6.5</v>
      </c>
      <c r="N4915" s="33" t="n">
        <f aca="false">IF(J4915="","",ABS(J4915))</f>
        <v>8.875</v>
      </c>
      <c r="O4915" s="33" t="n">
        <f aca="false">IF(K4915="","",ABS(K4915))</f>
        <v>6.58520826972671</v>
      </c>
      <c r="P4915" s="34" t="str">
        <f aca="false">IF(B4915&gt;=Eval_Start_Week,"YES","")</f>
        <v/>
      </c>
      <c r="Q4915" s="34" t="str">
        <f aca="false">IF(AND(B4915&gt;=Cal_Start_Week,B4915&lt;=Cal_End_Week),"YES","")</f>
        <v/>
      </c>
    </row>
    <row r="4916" customFormat="false" ht="15" hidden="false" customHeight="false" outlineLevel="0" collapsed="false">
      <c r="A4916" s="31" t="str">
        <f aca="false">Demand_History!C4916</f>
        <v>CLN-011</v>
      </c>
      <c r="B4916" s="31" t="n">
        <f aca="false">Demand_History!A4916</f>
        <v>27</v>
      </c>
      <c r="C4916" s="32" t="n">
        <f aca="false">Demand_History!D4916</f>
        <v>48</v>
      </c>
      <c r="D4916" s="33" t="n">
        <f aca="false">IF(B4916&gt;=2,C4915,"")</f>
        <v>33</v>
      </c>
      <c r="E4916" s="33" t="n">
        <f aca="false">IF(B4916&gt;=5,AVERAGE(C4912:C4915),"")</f>
        <v>38</v>
      </c>
      <c r="F4916" s="33" t="n">
        <f aca="false">IF(B4916&gt;=9,AVERAGE(C4908:C4915),"")</f>
        <v>40.875</v>
      </c>
      <c r="G4916" s="33" t="n">
        <f aca="false">IF(B4916=1,"",IF(B4916=2,C4915,SES_Alpha*C4915+(1-SES_Alpha)*G4915))</f>
        <v>37.6096457888087</v>
      </c>
      <c r="H4916" s="33" t="n">
        <f aca="false">IF(D4916="","",D4916-C4916)</f>
        <v>-15</v>
      </c>
      <c r="I4916" s="33" t="n">
        <f aca="false">IF(E4916="","",E4916-C4916)</f>
        <v>-10</v>
      </c>
      <c r="J4916" s="33" t="n">
        <f aca="false">IF(F4916="","",F4916-C4916)</f>
        <v>-7.125</v>
      </c>
      <c r="K4916" s="33" t="n">
        <f aca="false">IF(G4916="","",G4916-C4916)</f>
        <v>-10.3903542111913</v>
      </c>
      <c r="L4916" s="33" t="n">
        <f aca="false">IF(H4916="","",ABS(H4916))</f>
        <v>15</v>
      </c>
      <c r="M4916" s="33" t="n">
        <f aca="false">IF(I4916="","",ABS(I4916))</f>
        <v>10</v>
      </c>
      <c r="N4916" s="33" t="n">
        <f aca="false">IF(J4916="","",ABS(J4916))</f>
        <v>7.125</v>
      </c>
      <c r="O4916" s="33" t="n">
        <f aca="false">IF(K4916="","",ABS(K4916))</f>
        <v>10.3903542111913</v>
      </c>
      <c r="P4916" s="34" t="str">
        <f aca="false">IF(B4916&gt;=Eval_Start_Week,"YES","")</f>
        <v/>
      </c>
      <c r="Q4916" s="34" t="str">
        <f aca="false">IF(AND(B4916&gt;=Cal_Start_Week,B4916&lt;=Cal_End_Week),"YES","")</f>
        <v/>
      </c>
    </row>
    <row r="4917" customFormat="false" ht="15" hidden="false" customHeight="false" outlineLevel="0" collapsed="false">
      <c r="A4917" s="31" t="str">
        <f aca="false">Demand_History!C4917</f>
        <v>CLN-011</v>
      </c>
      <c r="B4917" s="31" t="n">
        <f aca="false">Demand_History!A4917</f>
        <v>28</v>
      </c>
      <c r="C4917" s="32" t="n">
        <f aca="false">Demand_History!D4917</f>
        <v>41</v>
      </c>
      <c r="D4917" s="33" t="n">
        <f aca="false">IF(B4917&gt;=2,C4916,"")</f>
        <v>48</v>
      </c>
      <c r="E4917" s="33" t="n">
        <f aca="false">IF(B4917&gt;=5,AVERAGE(C4913:C4916),"")</f>
        <v>39.75</v>
      </c>
      <c r="F4917" s="33" t="n">
        <f aca="false">IF(B4917&gt;=9,AVERAGE(C4909:C4916),"")</f>
        <v>40.625</v>
      </c>
      <c r="G4917" s="33" t="n">
        <f aca="false">IF(B4917=1,"",IF(B4917=2,C4916,SES_Alpha*C4916+(1-SES_Alpha)*G4916))</f>
        <v>40.7267520521661</v>
      </c>
      <c r="H4917" s="33" t="n">
        <f aca="false">IF(D4917="","",D4917-C4917)</f>
        <v>7</v>
      </c>
      <c r="I4917" s="33" t="n">
        <f aca="false">IF(E4917="","",E4917-C4917)</f>
        <v>-1.25</v>
      </c>
      <c r="J4917" s="33" t="n">
        <f aca="false">IF(F4917="","",F4917-C4917)</f>
        <v>-0.375</v>
      </c>
      <c r="K4917" s="33" t="n">
        <f aca="false">IF(G4917="","",G4917-C4917)</f>
        <v>-0.273247947833909</v>
      </c>
      <c r="L4917" s="33" t="n">
        <f aca="false">IF(H4917="","",ABS(H4917))</f>
        <v>7</v>
      </c>
      <c r="M4917" s="33" t="n">
        <f aca="false">IF(I4917="","",ABS(I4917))</f>
        <v>1.25</v>
      </c>
      <c r="N4917" s="33" t="n">
        <f aca="false">IF(J4917="","",ABS(J4917))</f>
        <v>0.375</v>
      </c>
      <c r="O4917" s="33" t="n">
        <f aca="false">IF(K4917="","",ABS(K4917))</f>
        <v>0.273247947833909</v>
      </c>
      <c r="P4917" s="34" t="str">
        <f aca="false">IF(B4917&gt;=Eval_Start_Week,"YES","")</f>
        <v/>
      </c>
      <c r="Q4917" s="34" t="str">
        <f aca="false">IF(AND(B4917&gt;=Cal_Start_Week,B4917&lt;=Cal_End_Week),"YES","")</f>
        <v/>
      </c>
    </row>
    <row r="4918" customFormat="false" ht="15" hidden="false" customHeight="false" outlineLevel="0" collapsed="false">
      <c r="A4918" s="31" t="str">
        <f aca="false">Demand_History!C4918</f>
        <v>CLN-011</v>
      </c>
      <c r="B4918" s="31" t="n">
        <f aca="false">Demand_History!A4918</f>
        <v>29</v>
      </c>
      <c r="C4918" s="32" t="n">
        <f aca="false">Demand_History!D4918</f>
        <v>46</v>
      </c>
      <c r="D4918" s="33" t="n">
        <f aca="false">IF(B4918&gt;=2,C4917,"")</f>
        <v>41</v>
      </c>
      <c r="E4918" s="33" t="n">
        <f aca="false">IF(B4918&gt;=5,AVERAGE(C4914:C4917),"")</f>
        <v>39</v>
      </c>
      <c r="F4918" s="33" t="n">
        <f aca="false">IF(B4918&gt;=9,AVERAGE(C4910:C4917),"")</f>
        <v>40</v>
      </c>
      <c r="G4918" s="33" t="n">
        <f aca="false">IF(B4918=1,"",IF(B4918=2,C4917,SES_Alpha*C4917+(1-SES_Alpha)*G4917))</f>
        <v>40.8087264365163</v>
      </c>
      <c r="H4918" s="33" t="n">
        <f aca="false">IF(D4918="","",D4918-C4918)</f>
        <v>-5</v>
      </c>
      <c r="I4918" s="33" t="n">
        <f aca="false">IF(E4918="","",E4918-C4918)</f>
        <v>-7</v>
      </c>
      <c r="J4918" s="33" t="n">
        <f aca="false">IF(F4918="","",F4918-C4918)</f>
        <v>-6</v>
      </c>
      <c r="K4918" s="33" t="n">
        <f aca="false">IF(G4918="","",G4918-C4918)</f>
        <v>-5.19127356348374</v>
      </c>
      <c r="L4918" s="33" t="n">
        <f aca="false">IF(H4918="","",ABS(H4918))</f>
        <v>5</v>
      </c>
      <c r="M4918" s="33" t="n">
        <f aca="false">IF(I4918="","",ABS(I4918))</f>
        <v>7</v>
      </c>
      <c r="N4918" s="33" t="n">
        <f aca="false">IF(J4918="","",ABS(J4918))</f>
        <v>6</v>
      </c>
      <c r="O4918" s="33" t="n">
        <f aca="false">IF(K4918="","",ABS(K4918))</f>
        <v>5.19127356348374</v>
      </c>
      <c r="P4918" s="34" t="str">
        <f aca="false">IF(B4918&gt;=Eval_Start_Week,"YES","")</f>
        <v/>
      </c>
      <c r="Q4918" s="34" t="str">
        <f aca="false">IF(AND(B4918&gt;=Cal_Start_Week,B4918&lt;=Cal_End_Week),"YES","")</f>
        <v/>
      </c>
    </row>
    <row r="4919" customFormat="false" ht="15" hidden="false" customHeight="false" outlineLevel="0" collapsed="false">
      <c r="A4919" s="31" t="str">
        <f aca="false">Demand_History!C4919</f>
        <v>CLN-011</v>
      </c>
      <c r="B4919" s="31" t="n">
        <f aca="false">Demand_History!A4919</f>
        <v>30</v>
      </c>
      <c r="C4919" s="32" t="n">
        <f aca="false">Demand_History!D4919</f>
        <v>41</v>
      </c>
      <c r="D4919" s="33" t="n">
        <f aca="false">IF(B4919&gt;=2,C4918,"")</f>
        <v>46</v>
      </c>
      <c r="E4919" s="33" t="n">
        <f aca="false">IF(B4919&gt;=5,AVERAGE(C4915:C4918),"")</f>
        <v>42</v>
      </c>
      <c r="F4919" s="33" t="n">
        <f aca="false">IF(B4919&gt;=9,AVERAGE(C4911:C4918),"")</f>
        <v>40.75</v>
      </c>
      <c r="G4919" s="33" t="n">
        <f aca="false">IF(B4919=1,"",IF(B4919=2,C4918,SES_Alpha*C4918+(1-SES_Alpha)*G4918))</f>
        <v>42.3661085055614</v>
      </c>
      <c r="H4919" s="33" t="n">
        <f aca="false">IF(D4919="","",D4919-C4919)</f>
        <v>5</v>
      </c>
      <c r="I4919" s="33" t="n">
        <f aca="false">IF(E4919="","",E4919-C4919)</f>
        <v>1</v>
      </c>
      <c r="J4919" s="33" t="n">
        <f aca="false">IF(F4919="","",F4919-C4919)</f>
        <v>-0.25</v>
      </c>
      <c r="K4919" s="33" t="n">
        <f aca="false">IF(G4919="","",G4919-C4919)</f>
        <v>1.36610850556138</v>
      </c>
      <c r="L4919" s="33" t="n">
        <f aca="false">IF(H4919="","",ABS(H4919))</f>
        <v>5</v>
      </c>
      <c r="M4919" s="33" t="n">
        <f aca="false">IF(I4919="","",ABS(I4919))</f>
        <v>1</v>
      </c>
      <c r="N4919" s="33" t="n">
        <f aca="false">IF(J4919="","",ABS(J4919))</f>
        <v>0.25</v>
      </c>
      <c r="O4919" s="33" t="n">
        <f aca="false">IF(K4919="","",ABS(K4919))</f>
        <v>1.36610850556138</v>
      </c>
      <c r="P4919" s="34" t="str">
        <f aca="false">IF(B4919&gt;=Eval_Start_Week,"YES","")</f>
        <v/>
      </c>
      <c r="Q4919" s="34" t="str">
        <f aca="false">IF(AND(B4919&gt;=Cal_Start_Week,B4919&lt;=Cal_End_Week),"YES","")</f>
        <v/>
      </c>
    </row>
    <row r="4920" customFormat="false" ht="15" hidden="false" customHeight="false" outlineLevel="0" collapsed="false">
      <c r="A4920" s="31" t="str">
        <f aca="false">Demand_History!C4920</f>
        <v>CLN-011</v>
      </c>
      <c r="B4920" s="31" t="n">
        <f aca="false">Demand_History!A4920</f>
        <v>31</v>
      </c>
      <c r="C4920" s="32" t="n">
        <f aca="false">Demand_History!D4920</f>
        <v>46</v>
      </c>
      <c r="D4920" s="33" t="n">
        <f aca="false">IF(B4920&gt;=2,C4919,"")</f>
        <v>41</v>
      </c>
      <c r="E4920" s="33" t="n">
        <f aca="false">IF(B4920&gt;=5,AVERAGE(C4916:C4919),"")</f>
        <v>44</v>
      </c>
      <c r="F4920" s="33" t="n">
        <f aca="false">IF(B4920&gt;=9,AVERAGE(C4912:C4919),"")</f>
        <v>41</v>
      </c>
      <c r="G4920" s="33" t="n">
        <f aca="false">IF(B4920=1,"",IF(B4920=2,C4919,SES_Alpha*C4919+(1-SES_Alpha)*G4919))</f>
        <v>41.956275953893</v>
      </c>
      <c r="H4920" s="33" t="n">
        <f aca="false">IF(D4920="","",D4920-C4920)</f>
        <v>-5</v>
      </c>
      <c r="I4920" s="33" t="n">
        <f aca="false">IF(E4920="","",E4920-C4920)</f>
        <v>-2</v>
      </c>
      <c r="J4920" s="33" t="n">
        <f aca="false">IF(F4920="","",F4920-C4920)</f>
        <v>-5</v>
      </c>
      <c r="K4920" s="33" t="n">
        <f aca="false">IF(G4920="","",G4920-C4920)</f>
        <v>-4.04372404610704</v>
      </c>
      <c r="L4920" s="33" t="n">
        <f aca="false">IF(H4920="","",ABS(H4920))</f>
        <v>5</v>
      </c>
      <c r="M4920" s="33" t="n">
        <f aca="false">IF(I4920="","",ABS(I4920))</f>
        <v>2</v>
      </c>
      <c r="N4920" s="33" t="n">
        <f aca="false">IF(J4920="","",ABS(J4920))</f>
        <v>5</v>
      </c>
      <c r="O4920" s="33" t="n">
        <f aca="false">IF(K4920="","",ABS(K4920))</f>
        <v>4.04372404610704</v>
      </c>
      <c r="P4920" s="34" t="str">
        <f aca="false">IF(B4920&gt;=Eval_Start_Week,"YES","")</f>
        <v/>
      </c>
      <c r="Q4920" s="34" t="str">
        <f aca="false">IF(AND(B4920&gt;=Cal_Start_Week,B4920&lt;=Cal_End_Week),"YES","")</f>
        <v/>
      </c>
    </row>
    <row r="4921" customFormat="false" ht="15" hidden="false" customHeight="false" outlineLevel="0" collapsed="false">
      <c r="A4921" s="31" t="str">
        <f aca="false">Demand_History!C4921</f>
        <v>CLN-011</v>
      </c>
      <c r="B4921" s="31" t="n">
        <f aca="false">Demand_History!A4921</f>
        <v>32</v>
      </c>
      <c r="C4921" s="32" t="n">
        <f aca="false">Demand_History!D4921</f>
        <v>38</v>
      </c>
      <c r="D4921" s="33" t="n">
        <f aca="false">IF(B4921&gt;=2,C4920,"")</f>
        <v>46</v>
      </c>
      <c r="E4921" s="33" t="n">
        <f aca="false">IF(B4921&gt;=5,AVERAGE(C4917:C4920),"")</f>
        <v>43.5</v>
      </c>
      <c r="F4921" s="33" t="n">
        <f aca="false">IF(B4921&gt;=9,AVERAGE(C4913:C4920),"")</f>
        <v>41.625</v>
      </c>
      <c r="G4921" s="33" t="n">
        <f aca="false">IF(B4921=1,"",IF(B4921=2,C4920,SES_Alpha*C4920+(1-SES_Alpha)*G4920))</f>
        <v>43.1693931677251</v>
      </c>
      <c r="H4921" s="33" t="n">
        <f aca="false">IF(D4921="","",D4921-C4921)</f>
        <v>8</v>
      </c>
      <c r="I4921" s="33" t="n">
        <f aca="false">IF(E4921="","",E4921-C4921)</f>
        <v>5.5</v>
      </c>
      <c r="J4921" s="33" t="n">
        <f aca="false">IF(F4921="","",F4921-C4921)</f>
        <v>3.625</v>
      </c>
      <c r="K4921" s="33" t="n">
        <f aca="false">IF(G4921="","",G4921-C4921)</f>
        <v>5.16939316772507</v>
      </c>
      <c r="L4921" s="33" t="n">
        <f aca="false">IF(H4921="","",ABS(H4921))</f>
        <v>8</v>
      </c>
      <c r="M4921" s="33" t="n">
        <f aca="false">IF(I4921="","",ABS(I4921))</f>
        <v>5.5</v>
      </c>
      <c r="N4921" s="33" t="n">
        <f aca="false">IF(J4921="","",ABS(J4921))</f>
        <v>3.625</v>
      </c>
      <c r="O4921" s="33" t="n">
        <f aca="false">IF(K4921="","",ABS(K4921))</f>
        <v>5.16939316772507</v>
      </c>
      <c r="P4921" s="34" t="str">
        <f aca="false">IF(B4921&gt;=Eval_Start_Week,"YES","")</f>
        <v/>
      </c>
      <c r="Q4921" s="34" t="str">
        <f aca="false">IF(AND(B4921&gt;=Cal_Start_Week,B4921&lt;=Cal_End_Week),"YES","")</f>
        <v/>
      </c>
    </row>
    <row r="4922" customFormat="false" ht="15" hidden="false" customHeight="false" outlineLevel="0" collapsed="false">
      <c r="A4922" s="31" t="str">
        <f aca="false">Demand_History!C4922</f>
        <v>CLN-011</v>
      </c>
      <c r="B4922" s="31" t="n">
        <f aca="false">Demand_History!A4922</f>
        <v>33</v>
      </c>
      <c r="C4922" s="32" t="n">
        <f aca="false">Demand_History!D4922</f>
        <v>42</v>
      </c>
      <c r="D4922" s="33" t="n">
        <f aca="false">IF(B4922&gt;=2,C4921,"")</f>
        <v>38</v>
      </c>
      <c r="E4922" s="33" t="n">
        <f aca="false">IF(B4922&gt;=5,AVERAGE(C4918:C4921),"")</f>
        <v>42.75</v>
      </c>
      <c r="F4922" s="33" t="n">
        <f aca="false">IF(B4922&gt;=9,AVERAGE(C4914:C4921),"")</f>
        <v>40.875</v>
      </c>
      <c r="G4922" s="33" t="n">
        <f aca="false">IF(B4922=1,"",IF(B4922=2,C4921,SES_Alpha*C4921+(1-SES_Alpha)*G4921))</f>
        <v>41.6185752174075</v>
      </c>
      <c r="H4922" s="33" t="n">
        <f aca="false">IF(D4922="","",D4922-C4922)</f>
        <v>-4</v>
      </c>
      <c r="I4922" s="33" t="n">
        <f aca="false">IF(E4922="","",E4922-C4922)</f>
        <v>0.75</v>
      </c>
      <c r="J4922" s="33" t="n">
        <f aca="false">IF(F4922="","",F4922-C4922)</f>
        <v>-1.125</v>
      </c>
      <c r="K4922" s="33" t="n">
        <f aca="false">IF(G4922="","",G4922-C4922)</f>
        <v>-0.381424782592454</v>
      </c>
      <c r="L4922" s="33" t="n">
        <f aca="false">IF(H4922="","",ABS(H4922))</f>
        <v>4</v>
      </c>
      <c r="M4922" s="33" t="n">
        <f aca="false">IF(I4922="","",ABS(I4922))</f>
        <v>0.75</v>
      </c>
      <c r="N4922" s="33" t="n">
        <f aca="false">IF(J4922="","",ABS(J4922))</f>
        <v>1.125</v>
      </c>
      <c r="O4922" s="33" t="n">
        <f aca="false">IF(K4922="","",ABS(K4922))</f>
        <v>0.381424782592454</v>
      </c>
      <c r="P4922" s="34" t="str">
        <f aca="false">IF(B4922&gt;=Eval_Start_Week,"YES","")</f>
        <v/>
      </c>
      <c r="Q4922" s="34" t="str">
        <f aca="false">IF(AND(B4922&gt;=Cal_Start_Week,B4922&lt;=Cal_End_Week),"YES","")</f>
        <v/>
      </c>
    </row>
    <row r="4923" customFormat="false" ht="15" hidden="false" customHeight="false" outlineLevel="0" collapsed="false">
      <c r="A4923" s="31" t="str">
        <f aca="false">Demand_History!C4923</f>
        <v>CLN-011</v>
      </c>
      <c r="B4923" s="31" t="n">
        <f aca="false">Demand_History!A4923</f>
        <v>34</v>
      </c>
      <c r="C4923" s="32" t="n">
        <f aca="false">Demand_History!D4923</f>
        <v>46</v>
      </c>
      <c r="D4923" s="33" t="n">
        <f aca="false">IF(B4923&gt;=2,C4922,"")</f>
        <v>42</v>
      </c>
      <c r="E4923" s="33" t="n">
        <f aca="false">IF(B4923&gt;=5,AVERAGE(C4919:C4922),"")</f>
        <v>41.75</v>
      </c>
      <c r="F4923" s="33" t="n">
        <f aca="false">IF(B4923&gt;=9,AVERAGE(C4915:C4922),"")</f>
        <v>41.875</v>
      </c>
      <c r="G4923" s="33" t="n">
        <f aca="false">IF(B4923=1,"",IF(B4923=2,C4922,SES_Alpha*C4922+(1-SES_Alpha)*G4922))</f>
        <v>41.7330026521853</v>
      </c>
      <c r="H4923" s="33" t="n">
        <f aca="false">IF(D4923="","",D4923-C4923)</f>
        <v>-4</v>
      </c>
      <c r="I4923" s="33" t="n">
        <f aca="false">IF(E4923="","",E4923-C4923)</f>
        <v>-4.25</v>
      </c>
      <c r="J4923" s="33" t="n">
        <f aca="false">IF(F4923="","",F4923-C4923)</f>
        <v>-4.125</v>
      </c>
      <c r="K4923" s="33" t="n">
        <f aca="false">IF(G4923="","",G4923-C4923)</f>
        <v>-4.26699734781472</v>
      </c>
      <c r="L4923" s="33" t="n">
        <f aca="false">IF(H4923="","",ABS(H4923))</f>
        <v>4</v>
      </c>
      <c r="M4923" s="33" t="n">
        <f aca="false">IF(I4923="","",ABS(I4923))</f>
        <v>4.25</v>
      </c>
      <c r="N4923" s="33" t="n">
        <f aca="false">IF(J4923="","",ABS(J4923))</f>
        <v>4.125</v>
      </c>
      <c r="O4923" s="33" t="n">
        <f aca="false">IF(K4923="","",ABS(K4923))</f>
        <v>4.26699734781472</v>
      </c>
      <c r="P4923" s="34" t="str">
        <f aca="false">IF(B4923&gt;=Eval_Start_Week,"YES","")</f>
        <v/>
      </c>
      <c r="Q4923" s="34" t="str">
        <f aca="false">IF(AND(B4923&gt;=Cal_Start_Week,B4923&lt;=Cal_End_Week),"YES","")</f>
        <v/>
      </c>
    </row>
    <row r="4924" customFormat="false" ht="15" hidden="false" customHeight="false" outlineLevel="0" collapsed="false">
      <c r="A4924" s="31" t="str">
        <f aca="false">Demand_History!C4924</f>
        <v>CLN-011</v>
      </c>
      <c r="B4924" s="31" t="n">
        <f aca="false">Demand_History!A4924</f>
        <v>35</v>
      </c>
      <c r="C4924" s="32" t="n">
        <f aca="false">Demand_History!D4924</f>
        <v>44</v>
      </c>
      <c r="D4924" s="33" t="n">
        <f aca="false">IF(B4924&gt;=2,C4923,"")</f>
        <v>46</v>
      </c>
      <c r="E4924" s="33" t="n">
        <f aca="false">IF(B4924&gt;=5,AVERAGE(C4920:C4923),"")</f>
        <v>43</v>
      </c>
      <c r="F4924" s="33" t="n">
        <f aca="false">IF(B4924&gt;=9,AVERAGE(C4916:C4923),"")</f>
        <v>43.5</v>
      </c>
      <c r="G4924" s="33" t="n">
        <f aca="false">IF(B4924=1,"",IF(B4924=2,C4923,SES_Alpha*C4923+(1-SES_Alpha)*G4923))</f>
        <v>43.0131018565297</v>
      </c>
      <c r="H4924" s="33" t="n">
        <f aca="false">IF(D4924="","",D4924-C4924)</f>
        <v>2</v>
      </c>
      <c r="I4924" s="33" t="n">
        <f aca="false">IF(E4924="","",E4924-C4924)</f>
        <v>-1</v>
      </c>
      <c r="J4924" s="33" t="n">
        <f aca="false">IF(F4924="","",F4924-C4924)</f>
        <v>-0.5</v>
      </c>
      <c r="K4924" s="33" t="n">
        <f aca="false">IF(G4924="","",G4924-C4924)</f>
        <v>-0.986898143470306</v>
      </c>
      <c r="L4924" s="33" t="n">
        <f aca="false">IF(H4924="","",ABS(H4924))</f>
        <v>2</v>
      </c>
      <c r="M4924" s="33" t="n">
        <f aca="false">IF(I4924="","",ABS(I4924))</f>
        <v>1</v>
      </c>
      <c r="N4924" s="33" t="n">
        <f aca="false">IF(J4924="","",ABS(J4924))</f>
        <v>0.5</v>
      </c>
      <c r="O4924" s="33" t="n">
        <f aca="false">IF(K4924="","",ABS(K4924))</f>
        <v>0.986898143470306</v>
      </c>
      <c r="P4924" s="34" t="str">
        <f aca="false">IF(B4924&gt;=Eval_Start_Week,"YES","")</f>
        <v/>
      </c>
      <c r="Q4924" s="34" t="str">
        <f aca="false">IF(AND(B4924&gt;=Cal_Start_Week,B4924&lt;=Cal_End_Week),"YES","")</f>
        <v/>
      </c>
    </row>
    <row r="4925" customFormat="false" ht="15" hidden="false" customHeight="false" outlineLevel="0" collapsed="false">
      <c r="A4925" s="31" t="str">
        <f aca="false">Demand_History!C4925</f>
        <v>CLN-011</v>
      </c>
      <c r="B4925" s="31" t="n">
        <f aca="false">Demand_History!A4925</f>
        <v>36</v>
      </c>
      <c r="C4925" s="32" t="n">
        <f aca="false">Demand_History!D4925</f>
        <v>38</v>
      </c>
      <c r="D4925" s="33" t="n">
        <f aca="false">IF(B4925&gt;=2,C4924,"")</f>
        <v>44</v>
      </c>
      <c r="E4925" s="33" t="n">
        <f aca="false">IF(B4925&gt;=5,AVERAGE(C4921:C4924),"")</f>
        <v>42.5</v>
      </c>
      <c r="F4925" s="33" t="n">
        <f aca="false">IF(B4925&gt;=9,AVERAGE(C4917:C4924),"")</f>
        <v>43</v>
      </c>
      <c r="G4925" s="33" t="n">
        <f aca="false">IF(B4925=1,"",IF(B4925=2,C4924,SES_Alpha*C4924+(1-SES_Alpha)*G4924))</f>
        <v>43.3091712995708</v>
      </c>
      <c r="H4925" s="33" t="n">
        <f aca="false">IF(D4925="","",D4925-C4925)</f>
        <v>6</v>
      </c>
      <c r="I4925" s="33" t="n">
        <f aca="false">IF(E4925="","",E4925-C4925)</f>
        <v>4.5</v>
      </c>
      <c r="J4925" s="33" t="n">
        <f aca="false">IF(F4925="","",F4925-C4925)</f>
        <v>5</v>
      </c>
      <c r="K4925" s="33" t="n">
        <f aca="false">IF(G4925="","",G4925-C4925)</f>
        <v>5.30917129957078</v>
      </c>
      <c r="L4925" s="33" t="n">
        <f aca="false">IF(H4925="","",ABS(H4925))</f>
        <v>6</v>
      </c>
      <c r="M4925" s="33" t="n">
        <f aca="false">IF(I4925="","",ABS(I4925))</f>
        <v>4.5</v>
      </c>
      <c r="N4925" s="33" t="n">
        <f aca="false">IF(J4925="","",ABS(J4925))</f>
        <v>5</v>
      </c>
      <c r="O4925" s="33" t="n">
        <f aca="false">IF(K4925="","",ABS(K4925))</f>
        <v>5.30917129957078</v>
      </c>
      <c r="P4925" s="34" t="str">
        <f aca="false">IF(B4925&gt;=Eval_Start_Week,"YES","")</f>
        <v/>
      </c>
      <c r="Q4925" s="34" t="str">
        <f aca="false">IF(AND(B4925&gt;=Cal_Start_Week,B4925&lt;=Cal_End_Week),"YES","")</f>
        <v/>
      </c>
    </row>
    <row r="4926" customFormat="false" ht="15" hidden="false" customHeight="false" outlineLevel="0" collapsed="false">
      <c r="A4926" s="31" t="str">
        <f aca="false">Demand_History!C4926</f>
        <v>CLN-011</v>
      </c>
      <c r="B4926" s="31" t="n">
        <f aca="false">Demand_History!A4926</f>
        <v>37</v>
      </c>
      <c r="C4926" s="32" t="n">
        <f aca="false">Demand_History!D4926</f>
        <v>44</v>
      </c>
      <c r="D4926" s="33" t="n">
        <f aca="false">IF(B4926&gt;=2,C4925,"")</f>
        <v>38</v>
      </c>
      <c r="E4926" s="33" t="n">
        <f aca="false">IF(B4926&gt;=5,AVERAGE(C4922:C4925),"")</f>
        <v>42.5</v>
      </c>
      <c r="F4926" s="33" t="n">
        <f aca="false">IF(B4926&gt;=9,AVERAGE(C4918:C4925),"")</f>
        <v>42.625</v>
      </c>
      <c r="G4926" s="33" t="n">
        <f aca="false">IF(B4926=1,"",IF(B4926=2,C4925,SES_Alpha*C4925+(1-SES_Alpha)*G4925))</f>
        <v>41.7164199096995</v>
      </c>
      <c r="H4926" s="33" t="n">
        <f aca="false">IF(D4926="","",D4926-C4926)</f>
        <v>-6</v>
      </c>
      <c r="I4926" s="33" t="n">
        <f aca="false">IF(E4926="","",E4926-C4926)</f>
        <v>-1.5</v>
      </c>
      <c r="J4926" s="33" t="n">
        <f aca="false">IF(F4926="","",F4926-C4926)</f>
        <v>-1.375</v>
      </c>
      <c r="K4926" s="33" t="n">
        <f aca="false">IF(G4926="","",G4926-C4926)</f>
        <v>-2.28358009030045</v>
      </c>
      <c r="L4926" s="33" t="n">
        <f aca="false">IF(H4926="","",ABS(H4926))</f>
        <v>6</v>
      </c>
      <c r="M4926" s="33" t="n">
        <f aca="false">IF(I4926="","",ABS(I4926))</f>
        <v>1.5</v>
      </c>
      <c r="N4926" s="33" t="n">
        <f aca="false">IF(J4926="","",ABS(J4926))</f>
        <v>1.375</v>
      </c>
      <c r="O4926" s="33" t="n">
        <f aca="false">IF(K4926="","",ABS(K4926))</f>
        <v>2.28358009030045</v>
      </c>
      <c r="P4926" s="34" t="str">
        <f aca="false">IF(B4926&gt;=Eval_Start_Week,"YES","")</f>
        <v/>
      </c>
      <c r="Q4926" s="34" t="str">
        <f aca="false">IF(AND(B4926&gt;=Cal_Start_Week,B4926&lt;=Cal_End_Week),"YES","")</f>
        <v>YES</v>
      </c>
    </row>
    <row r="4927" customFormat="false" ht="15" hidden="false" customHeight="false" outlineLevel="0" collapsed="false">
      <c r="A4927" s="31" t="str">
        <f aca="false">Demand_History!C4927</f>
        <v>CLN-011</v>
      </c>
      <c r="B4927" s="31" t="n">
        <f aca="false">Demand_History!A4927</f>
        <v>38</v>
      </c>
      <c r="C4927" s="32" t="n">
        <f aca="false">Demand_History!D4927</f>
        <v>37</v>
      </c>
      <c r="D4927" s="33" t="n">
        <f aca="false">IF(B4927&gt;=2,C4926,"")</f>
        <v>44</v>
      </c>
      <c r="E4927" s="33" t="n">
        <f aca="false">IF(B4927&gt;=5,AVERAGE(C4923:C4926),"")</f>
        <v>43</v>
      </c>
      <c r="F4927" s="33" t="n">
        <f aca="false">IF(B4927&gt;=9,AVERAGE(C4919:C4926),"")</f>
        <v>42.375</v>
      </c>
      <c r="G4927" s="33" t="n">
        <f aca="false">IF(B4927=1,"",IF(B4927=2,C4926,SES_Alpha*C4926+(1-SES_Alpha)*G4926))</f>
        <v>42.4014939367897</v>
      </c>
      <c r="H4927" s="33" t="n">
        <f aca="false">IF(D4927="","",D4927-C4927)</f>
        <v>7</v>
      </c>
      <c r="I4927" s="33" t="n">
        <f aca="false">IF(E4927="","",E4927-C4927)</f>
        <v>6</v>
      </c>
      <c r="J4927" s="33" t="n">
        <f aca="false">IF(F4927="","",F4927-C4927)</f>
        <v>5.375</v>
      </c>
      <c r="K4927" s="33" t="n">
        <f aca="false">IF(G4927="","",G4927-C4927)</f>
        <v>5.40149393678968</v>
      </c>
      <c r="L4927" s="33" t="n">
        <f aca="false">IF(H4927="","",ABS(H4927))</f>
        <v>7</v>
      </c>
      <c r="M4927" s="33" t="n">
        <f aca="false">IF(I4927="","",ABS(I4927))</f>
        <v>6</v>
      </c>
      <c r="N4927" s="33" t="n">
        <f aca="false">IF(J4927="","",ABS(J4927))</f>
        <v>5.375</v>
      </c>
      <c r="O4927" s="33" t="n">
        <f aca="false">IF(K4927="","",ABS(K4927))</f>
        <v>5.40149393678968</v>
      </c>
      <c r="P4927" s="34" t="str">
        <f aca="false">IF(B4927&gt;=Eval_Start_Week,"YES","")</f>
        <v/>
      </c>
      <c r="Q4927" s="34" t="str">
        <f aca="false">IF(AND(B4927&gt;=Cal_Start_Week,B4927&lt;=Cal_End_Week),"YES","")</f>
        <v>YES</v>
      </c>
    </row>
    <row r="4928" customFormat="false" ht="15" hidden="false" customHeight="false" outlineLevel="0" collapsed="false">
      <c r="A4928" s="31" t="str">
        <f aca="false">Demand_History!C4928</f>
        <v>CLN-011</v>
      </c>
      <c r="B4928" s="31" t="n">
        <f aca="false">Demand_History!A4928</f>
        <v>39</v>
      </c>
      <c r="C4928" s="32" t="n">
        <f aca="false">Demand_History!D4928</f>
        <v>34</v>
      </c>
      <c r="D4928" s="33" t="n">
        <f aca="false">IF(B4928&gt;=2,C4927,"")</f>
        <v>37</v>
      </c>
      <c r="E4928" s="33" t="n">
        <f aca="false">IF(B4928&gt;=5,AVERAGE(C4924:C4927),"")</f>
        <v>40.75</v>
      </c>
      <c r="F4928" s="33" t="n">
        <f aca="false">IF(B4928&gt;=9,AVERAGE(C4920:C4927),"")</f>
        <v>41.875</v>
      </c>
      <c r="G4928" s="33" t="n">
        <f aca="false">IF(B4928=1,"",IF(B4928=2,C4927,SES_Alpha*C4927+(1-SES_Alpha)*G4927))</f>
        <v>40.7810457557528</v>
      </c>
      <c r="H4928" s="33" t="n">
        <f aca="false">IF(D4928="","",D4928-C4928)</f>
        <v>3</v>
      </c>
      <c r="I4928" s="33" t="n">
        <f aca="false">IF(E4928="","",E4928-C4928)</f>
        <v>6.75</v>
      </c>
      <c r="J4928" s="33" t="n">
        <f aca="false">IF(F4928="","",F4928-C4928)</f>
        <v>7.875</v>
      </c>
      <c r="K4928" s="33" t="n">
        <f aca="false">IF(G4928="","",G4928-C4928)</f>
        <v>6.78104575575277</v>
      </c>
      <c r="L4928" s="33" t="n">
        <f aca="false">IF(H4928="","",ABS(H4928))</f>
        <v>3</v>
      </c>
      <c r="M4928" s="33" t="n">
        <f aca="false">IF(I4928="","",ABS(I4928))</f>
        <v>6.75</v>
      </c>
      <c r="N4928" s="33" t="n">
        <f aca="false">IF(J4928="","",ABS(J4928))</f>
        <v>7.875</v>
      </c>
      <c r="O4928" s="33" t="n">
        <f aca="false">IF(K4928="","",ABS(K4928))</f>
        <v>6.78104575575277</v>
      </c>
      <c r="P4928" s="34" t="str">
        <f aca="false">IF(B4928&gt;=Eval_Start_Week,"YES","")</f>
        <v/>
      </c>
      <c r="Q4928" s="34" t="str">
        <f aca="false">IF(AND(B4928&gt;=Cal_Start_Week,B4928&lt;=Cal_End_Week),"YES","")</f>
        <v>YES</v>
      </c>
    </row>
    <row r="4929" customFormat="false" ht="15" hidden="false" customHeight="false" outlineLevel="0" collapsed="false">
      <c r="A4929" s="31" t="str">
        <f aca="false">Demand_History!C4929</f>
        <v>CLN-011</v>
      </c>
      <c r="B4929" s="31" t="n">
        <f aca="false">Demand_History!A4929</f>
        <v>40</v>
      </c>
      <c r="C4929" s="32" t="n">
        <f aca="false">Demand_History!D4929</f>
        <v>42</v>
      </c>
      <c r="D4929" s="33" t="n">
        <f aca="false">IF(B4929&gt;=2,C4928,"")</f>
        <v>34</v>
      </c>
      <c r="E4929" s="33" t="n">
        <f aca="false">IF(B4929&gt;=5,AVERAGE(C4925:C4928),"")</f>
        <v>38.25</v>
      </c>
      <c r="F4929" s="33" t="n">
        <f aca="false">IF(B4929&gt;=9,AVERAGE(C4921:C4928),"")</f>
        <v>40.375</v>
      </c>
      <c r="G4929" s="33" t="n">
        <f aca="false">IF(B4929=1,"",IF(B4929=2,C4928,SES_Alpha*C4928+(1-SES_Alpha)*G4928))</f>
        <v>38.7467320290269</v>
      </c>
      <c r="H4929" s="33" t="n">
        <f aca="false">IF(D4929="","",D4929-C4929)</f>
        <v>-8</v>
      </c>
      <c r="I4929" s="33" t="n">
        <f aca="false">IF(E4929="","",E4929-C4929)</f>
        <v>-3.75</v>
      </c>
      <c r="J4929" s="33" t="n">
        <f aca="false">IF(F4929="","",F4929-C4929)</f>
        <v>-1.625</v>
      </c>
      <c r="K4929" s="33" t="n">
        <f aca="false">IF(G4929="","",G4929-C4929)</f>
        <v>-3.25326797097306</v>
      </c>
      <c r="L4929" s="33" t="n">
        <f aca="false">IF(H4929="","",ABS(H4929))</f>
        <v>8</v>
      </c>
      <c r="M4929" s="33" t="n">
        <f aca="false">IF(I4929="","",ABS(I4929))</f>
        <v>3.75</v>
      </c>
      <c r="N4929" s="33" t="n">
        <f aca="false">IF(J4929="","",ABS(J4929))</f>
        <v>1.625</v>
      </c>
      <c r="O4929" s="33" t="n">
        <f aca="false">IF(K4929="","",ABS(K4929))</f>
        <v>3.25326797097306</v>
      </c>
      <c r="P4929" s="34" t="str">
        <f aca="false">IF(B4929&gt;=Eval_Start_Week,"YES","")</f>
        <v/>
      </c>
      <c r="Q4929" s="34" t="str">
        <f aca="false">IF(AND(B4929&gt;=Cal_Start_Week,B4929&lt;=Cal_End_Week),"YES","")</f>
        <v>YES</v>
      </c>
    </row>
    <row r="4930" customFormat="false" ht="15" hidden="false" customHeight="false" outlineLevel="0" collapsed="false">
      <c r="A4930" s="31" t="str">
        <f aca="false">Demand_History!C4930</f>
        <v>CLN-011</v>
      </c>
      <c r="B4930" s="31" t="n">
        <f aca="false">Demand_History!A4930</f>
        <v>41</v>
      </c>
      <c r="C4930" s="32" t="n">
        <f aca="false">Demand_History!D4930</f>
        <v>46</v>
      </c>
      <c r="D4930" s="33" t="n">
        <f aca="false">IF(B4930&gt;=2,C4929,"")</f>
        <v>42</v>
      </c>
      <c r="E4930" s="33" t="n">
        <f aca="false">IF(B4930&gt;=5,AVERAGE(C4926:C4929),"")</f>
        <v>39.25</v>
      </c>
      <c r="F4930" s="33" t="n">
        <f aca="false">IF(B4930&gt;=9,AVERAGE(C4922:C4929),"")</f>
        <v>40.875</v>
      </c>
      <c r="G4930" s="33" t="n">
        <f aca="false">IF(B4930=1,"",IF(B4930=2,C4929,SES_Alpha*C4929+(1-SES_Alpha)*G4929))</f>
        <v>39.7227124203189</v>
      </c>
      <c r="H4930" s="33" t="n">
        <f aca="false">IF(D4930="","",D4930-C4930)</f>
        <v>-4</v>
      </c>
      <c r="I4930" s="33" t="n">
        <f aca="false">IF(E4930="","",E4930-C4930)</f>
        <v>-6.75</v>
      </c>
      <c r="J4930" s="33" t="n">
        <f aca="false">IF(F4930="","",F4930-C4930)</f>
        <v>-5.125</v>
      </c>
      <c r="K4930" s="33" t="n">
        <f aca="false">IF(G4930="","",G4930-C4930)</f>
        <v>-6.27728757968114</v>
      </c>
      <c r="L4930" s="33" t="n">
        <f aca="false">IF(H4930="","",ABS(H4930))</f>
        <v>4</v>
      </c>
      <c r="M4930" s="33" t="n">
        <f aca="false">IF(I4930="","",ABS(I4930))</f>
        <v>6.75</v>
      </c>
      <c r="N4930" s="33" t="n">
        <f aca="false">IF(J4930="","",ABS(J4930))</f>
        <v>5.125</v>
      </c>
      <c r="O4930" s="33" t="n">
        <f aca="false">IF(K4930="","",ABS(K4930))</f>
        <v>6.27728757968114</v>
      </c>
      <c r="P4930" s="34" t="str">
        <f aca="false">IF(B4930&gt;=Eval_Start_Week,"YES","")</f>
        <v/>
      </c>
      <c r="Q4930" s="34" t="str">
        <f aca="false">IF(AND(B4930&gt;=Cal_Start_Week,B4930&lt;=Cal_End_Week),"YES","")</f>
        <v>YES</v>
      </c>
    </row>
    <row r="4931" customFormat="false" ht="15" hidden="false" customHeight="false" outlineLevel="0" collapsed="false">
      <c r="A4931" s="31" t="str">
        <f aca="false">Demand_History!C4931</f>
        <v>CLN-011</v>
      </c>
      <c r="B4931" s="31" t="n">
        <f aca="false">Demand_History!A4931</f>
        <v>42</v>
      </c>
      <c r="C4931" s="32" t="n">
        <f aca="false">Demand_History!D4931</f>
        <v>43</v>
      </c>
      <c r="D4931" s="33" t="n">
        <f aca="false">IF(B4931&gt;=2,C4930,"")</f>
        <v>46</v>
      </c>
      <c r="E4931" s="33" t="n">
        <f aca="false">IF(B4931&gt;=5,AVERAGE(C4927:C4930),"")</f>
        <v>39.75</v>
      </c>
      <c r="F4931" s="33" t="n">
        <f aca="false">IF(B4931&gt;=9,AVERAGE(C4923:C4930),"")</f>
        <v>41.375</v>
      </c>
      <c r="G4931" s="33" t="n">
        <f aca="false">IF(B4931=1,"",IF(B4931=2,C4930,SES_Alpha*C4930+(1-SES_Alpha)*G4930))</f>
        <v>41.6058986942232</v>
      </c>
      <c r="H4931" s="33" t="n">
        <f aca="false">IF(D4931="","",D4931-C4931)</f>
        <v>3</v>
      </c>
      <c r="I4931" s="33" t="n">
        <f aca="false">IF(E4931="","",E4931-C4931)</f>
        <v>-3.25</v>
      </c>
      <c r="J4931" s="33" t="n">
        <f aca="false">IF(F4931="","",F4931-C4931)</f>
        <v>-1.625</v>
      </c>
      <c r="K4931" s="33" t="n">
        <f aca="false">IF(G4931="","",G4931-C4931)</f>
        <v>-1.3941013057768</v>
      </c>
      <c r="L4931" s="33" t="n">
        <f aca="false">IF(H4931="","",ABS(H4931))</f>
        <v>3</v>
      </c>
      <c r="M4931" s="33" t="n">
        <f aca="false">IF(I4931="","",ABS(I4931))</f>
        <v>3.25</v>
      </c>
      <c r="N4931" s="33" t="n">
        <f aca="false">IF(J4931="","",ABS(J4931))</f>
        <v>1.625</v>
      </c>
      <c r="O4931" s="33" t="n">
        <f aca="false">IF(K4931="","",ABS(K4931))</f>
        <v>1.3941013057768</v>
      </c>
      <c r="P4931" s="34" t="str">
        <f aca="false">IF(B4931&gt;=Eval_Start_Week,"YES","")</f>
        <v/>
      </c>
      <c r="Q4931" s="34" t="str">
        <f aca="false">IF(AND(B4931&gt;=Cal_Start_Week,B4931&lt;=Cal_End_Week),"YES","")</f>
        <v>YES</v>
      </c>
    </row>
    <row r="4932" customFormat="false" ht="15" hidden="false" customHeight="false" outlineLevel="0" collapsed="false">
      <c r="A4932" s="31" t="str">
        <f aca="false">Demand_History!C4932</f>
        <v>CLN-011</v>
      </c>
      <c r="B4932" s="31" t="n">
        <f aca="false">Demand_History!A4932</f>
        <v>43</v>
      </c>
      <c r="C4932" s="32" t="n">
        <f aca="false">Demand_History!D4932</f>
        <v>35</v>
      </c>
      <c r="D4932" s="33" t="n">
        <f aca="false">IF(B4932&gt;=2,C4931,"")</f>
        <v>43</v>
      </c>
      <c r="E4932" s="33" t="n">
        <f aca="false">IF(B4932&gt;=5,AVERAGE(C4928:C4931),"")</f>
        <v>41.25</v>
      </c>
      <c r="F4932" s="33" t="n">
        <f aca="false">IF(B4932&gt;=9,AVERAGE(C4924:C4931),"")</f>
        <v>41</v>
      </c>
      <c r="G4932" s="33" t="n">
        <f aca="false">IF(B4932=1,"",IF(B4932=2,C4931,SES_Alpha*C4931+(1-SES_Alpha)*G4931))</f>
        <v>42.0241290859562</v>
      </c>
      <c r="H4932" s="33" t="n">
        <f aca="false">IF(D4932="","",D4932-C4932)</f>
        <v>8</v>
      </c>
      <c r="I4932" s="33" t="n">
        <f aca="false">IF(E4932="","",E4932-C4932)</f>
        <v>6.25</v>
      </c>
      <c r="J4932" s="33" t="n">
        <f aca="false">IF(F4932="","",F4932-C4932)</f>
        <v>6</v>
      </c>
      <c r="K4932" s="33" t="n">
        <f aca="false">IF(G4932="","",G4932-C4932)</f>
        <v>7.02412908595624</v>
      </c>
      <c r="L4932" s="33" t="n">
        <f aca="false">IF(H4932="","",ABS(H4932))</f>
        <v>8</v>
      </c>
      <c r="M4932" s="33" t="n">
        <f aca="false">IF(I4932="","",ABS(I4932))</f>
        <v>6.25</v>
      </c>
      <c r="N4932" s="33" t="n">
        <f aca="false">IF(J4932="","",ABS(J4932))</f>
        <v>6</v>
      </c>
      <c r="O4932" s="33" t="n">
        <f aca="false">IF(K4932="","",ABS(K4932))</f>
        <v>7.02412908595624</v>
      </c>
      <c r="P4932" s="34" t="str">
        <f aca="false">IF(B4932&gt;=Eval_Start_Week,"YES","")</f>
        <v/>
      </c>
      <c r="Q4932" s="34" t="str">
        <f aca="false">IF(AND(B4932&gt;=Cal_Start_Week,B4932&lt;=Cal_End_Week),"YES","")</f>
        <v>YES</v>
      </c>
    </row>
    <row r="4933" customFormat="false" ht="15" hidden="false" customHeight="false" outlineLevel="0" collapsed="false">
      <c r="A4933" s="31" t="str">
        <f aca="false">Demand_History!C4933</f>
        <v>CLN-011</v>
      </c>
      <c r="B4933" s="31" t="n">
        <f aca="false">Demand_History!A4933</f>
        <v>44</v>
      </c>
      <c r="C4933" s="32" t="n">
        <f aca="false">Demand_History!D4933</f>
        <v>43</v>
      </c>
      <c r="D4933" s="33" t="n">
        <f aca="false">IF(B4933&gt;=2,C4932,"")</f>
        <v>35</v>
      </c>
      <c r="E4933" s="33" t="n">
        <f aca="false">IF(B4933&gt;=5,AVERAGE(C4929:C4932),"")</f>
        <v>41.5</v>
      </c>
      <c r="F4933" s="33" t="n">
        <f aca="false">IF(B4933&gt;=9,AVERAGE(C4925:C4932),"")</f>
        <v>39.875</v>
      </c>
      <c r="G4933" s="33" t="n">
        <f aca="false">IF(B4933=1,"",IF(B4933=2,C4932,SES_Alpha*C4932+(1-SES_Alpha)*G4932))</f>
        <v>39.9168903601694</v>
      </c>
      <c r="H4933" s="33" t="n">
        <f aca="false">IF(D4933="","",D4933-C4933)</f>
        <v>-8</v>
      </c>
      <c r="I4933" s="33" t="n">
        <f aca="false">IF(E4933="","",E4933-C4933)</f>
        <v>-1.5</v>
      </c>
      <c r="J4933" s="33" t="n">
        <f aca="false">IF(F4933="","",F4933-C4933)</f>
        <v>-3.125</v>
      </c>
      <c r="K4933" s="33" t="n">
        <f aca="false">IF(G4933="","",G4933-C4933)</f>
        <v>-3.08310963983064</v>
      </c>
      <c r="L4933" s="33" t="n">
        <f aca="false">IF(H4933="","",ABS(H4933))</f>
        <v>8</v>
      </c>
      <c r="M4933" s="33" t="n">
        <f aca="false">IF(I4933="","",ABS(I4933))</f>
        <v>1.5</v>
      </c>
      <c r="N4933" s="33" t="n">
        <f aca="false">IF(J4933="","",ABS(J4933))</f>
        <v>3.125</v>
      </c>
      <c r="O4933" s="33" t="n">
        <f aca="false">IF(K4933="","",ABS(K4933))</f>
        <v>3.08310963983064</v>
      </c>
      <c r="P4933" s="34" t="str">
        <f aca="false">IF(B4933&gt;=Eval_Start_Week,"YES","")</f>
        <v/>
      </c>
      <c r="Q4933" s="34" t="str">
        <f aca="false">IF(AND(B4933&gt;=Cal_Start_Week,B4933&lt;=Cal_End_Week),"YES","")</f>
        <v>YES</v>
      </c>
    </row>
    <row r="4934" customFormat="false" ht="15" hidden="false" customHeight="false" outlineLevel="0" collapsed="false">
      <c r="A4934" s="31" t="str">
        <f aca="false">Demand_History!C4934</f>
        <v>CLN-011</v>
      </c>
      <c r="B4934" s="31" t="n">
        <f aca="false">Demand_History!A4934</f>
        <v>45</v>
      </c>
      <c r="C4934" s="32" t="n">
        <f aca="false">Demand_History!D4934</f>
        <v>43</v>
      </c>
      <c r="D4934" s="33" t="n">
        <f aca="false">IF(B4934&gt;=2,C4933,"")</f>
        <v>43</v>
      </c>
      <c r="E4934" s="33" t="n">
        <f aca="false">IF(B4934&gt;=5,AVERAGE(C4930:C4933),"")</f>
        <v>41.75</v>
      </c>
      <c r="F4934" s="33" t="n">
        <f aca="false">IF(B4934&gt;=9,AVERAGE(C4926:C4933),"")</f>
        <v>40.5</v>
      </c>
      <c r="G4934" s="33" t="n">
        <f aca="false">IF(B4934=1,"",IF(B4934=2,C4933,SES_Alpha*C4933+(1-SES_Alpha)*G4933))</f>
        <v>40.8418232521186</v>
      </c>
      <c r="H4934" s="33" t="n">
        <f aca="false">IF(D4934="","",D4934-C4934)</f>
        <v>0</v>
      </c>
      <c r="I4934" s="33" t="n">
        <f aca="false">IF(E4934="","",E4934-C4934)</f>
        <v>-1.25</v>
      </c>
      <c r="J4934" s="33" t="n">
        <f aca="false">IF(F4934="","",F4934-C4934)</f>
        <v>-2.5</v>
      </c>
      <c r="K4934" s="33" t="n">
        <f aca="false">IF(G4934="","",G4934-C4934)</f>
        <v>-2.15817674788145</v>
      </c>
      <c r="L4934" s="33" t="n">
        <f aca="false">IF(H4934="","",ABS(H4934))</f>
        <v>0</v>
      </c>
      <c r="M4934" s="33" t="n">
        <f aca="false">IF(I4934="","",ABS(I4934))</f>
        <v>1.25</v>
      </c>
      <c r="N4934" s="33" t="n">
        <f aca="false">IF(J4934="","",ABS(J4934))</f>
        <v>2.5</v>
      </c>
      <c r="O4934" s="33" t="n">
        <f aca="false">IF(K4934="","",ABS(K4934))</f>
        <v>2.15817674788145</v>
      </c>
      <c r="P4934" s="34" t="str">
        <f aca="false">IF(B4934&gt;=Eval_Start_Week,"YES","")</f>
        <v/>
      </c>
      <c r="Q4934" s="34" t="str">
        <f aca="false">IF(AND(B4934&gt;=Cal_Start_Week,B4934&lt;=Cal_End_Week),"YES","")</f>
        <v>YES</v>
      </c>
    </row>
    <row r="4935" customFormat="false" ht="15" hidden="false" customHeight="false" outlineLevel="0" collapsed="false">
      <c r="A4935" s="31" t="str">
        <f aca="false">Demand_History!C4935</f>
        <v>CLN-011</v>
      </c>
      <c r="B4935" s="31" t="n">
        <f aca="false">Demand_History!A4935</f>
        <v>46</v>
      </c>
      <c r="C4935" s="32" t="n">
        <f aca="false">Demand_History!D4935</f>
        <v>38</v>
      </c>
      <c r="D4935" s="33" t="n">
        <f aca="false">IF(B4935&gt;=2,C4934,"")</f>
        <v>43</v>
      </c>
      <c r="E4935" s="33" t="n">
        <f aca="false">IF(B4935&gt;=5,AVERAGE(C4931:C4934),"")</f>
        <v>41</v>
      </c>
      <c r="F4935" s="33" t="n">
        <f aca="false">IF(B4935&gt;=9,AVERAGE(C4927:C4934),"")</f>
        <v>40.375</v>
      </c>
      <c r="G4935" s="33" t="n">
        <f aca="false">IF(B4935=1,"",IF(B4935=2,C4934,SES_Alpha*C4934+(1-SES_Alpha)*G4934))</f>
        <v>41.489276276483</v>
      </c>
      <c r="H4935" s="33" t="n">
        <f aca="false">IF(D4935="","",D4935-C4935)</f>
        <v>5</v>
      </c>
      <c r="I4935" s="33" t="n">
        <f aca="false">IF(E4935="","",E4935-C4935)</f>
        <v>3</v>
      </c>
      <c r="J4935" s="33" t="n">
        <f aca="false">IF(F4935="","",F4935-C4935)</f>
        <v>2.375</v>
      </c>
      <c r="K4935" s="33" t="n">
        <f aca="false">IF(G4935="","",G4935-C4935)</f>
        <v>3.48927627648298</v>
      </c>
      <c r="L4935" s="33" t="n">
        <f aca="false">IF(H4935="","",ABS(H4935))</f>
        <v>5</v>
      </c>
      <c r="M4935" s="33" t="n">
        <f aca="false">IF(I4935="","",ABS(I4935))</f>
        <v>3</v>
      </c>
      <c r="N4935" s="33" t="n">
        <f aca="false">IF(J4935="","",ABS(J4935))</f>
        <v>2.375</v>
      </c>
      <c r="O4935" s="33" t="n">
        <f aca="false">IF(K4935="","",ABS(K4935))</f>
        <v>3.48927627648298</v>
      </c>
      <c r="P4935" s="34" t="str">
        <f aca="false">IF(B4935&gt;=Eval_Start_Week,"YES","")</f>
        <v/>
      </c>
      <c r="Q4935" s="34" t="str">
        <f aca="false">IF(AND(B4935&gt;=Cal_Start_Week,B4935&lt;=Cal_End_Week),"YES","")</f>
        <v>YES</v>
      </c>
    </row>
    <row r="4936" customFormat="false" ht="15" hidden="false" customHeight="false" outlineLevel="0" collapsed="false">
      <c r="A4936" s="31" t="str">
        <f aca="false">Demand_History!C4936</f>
        <v>CLN-011</v>
      </c>
      <c r="B4936" s="31" t="n">
        <f aca="false">Demand_History!A4936</f>
        <v>47</v>
      </c>
      <c r="C4936" s="32" t="n">
        <f aca="false">Demand_History!D4936</f>
        <v>30</v>
      </c>
      <c r="D4936" s="33" t="n">
        <f aca="false">IF(B4936&gt;=2,C4935,"")</f>
        <v>38</v>
      </c>
      <c r="E4936" s="33" t="n">
        <f aca="false">IF(B4936&gt;=5,AVERAGE(C4932:C4935),"")</f>
        <v>39.75</v>
      </c>
      <c r="F4936" s="33" t="n">
        <f aca="false">IF(B4936&gt;=9,AVERAGE(C4928:C4935),"")</f>
        <v>40.5</v>
      </c>
      <c r="G4936" s="33" t="n">
        <f aca="false">IF(B4936=1,"",IF(B4936=2,C4935,SES_Alpha*C4935+(1-SES_Alpha)*G4935))</f>
        <v>40.4424933935381</v>
      </c>
      <c r="H4936" s="33" t="n">
        <f aca="false">IF(D4936="","",D4936-C4936)</f>
        <v>8</v>
      </c>
      <c r="I4936" s="33" t="n">
        <f aca="false">IF(E4936="","",E4936-C4936)</f>
        <v>9.75</v>
      </c>
      <c r="J4936" s="33" t="n">
        <f aca="false">IF(F4936="","",F4936-C4936)</f>
        <v>10.5</v>
      </c>
      <c r="K4936" s="33" t="n">
        <f aca="false">IF(G4936="","",G4936-C4936)</f>
        <v>10.4424933935381</v>
      </c>
      <c r="L4936" s="33" t="n">
        <f aca="false">IF(H4936="","",ABS(H4936))</f>
        <v>8</v>
      </c>
      <c r="M4936" s="33" t="n">
        <f aca="false">IF(I4936="","",ABS(I4936))</f>
        <v>9.75</v>
      </c>
      <c r="N4936" s="33" t="n">
        <f aca="false">IF(J4936="","",ABS(J4936))</f>
        <v>10.5</v>
      </c>
      <c r="O4936" s="33" t="n">
        <f aca="false">IF(K4936="","",ABS(K4936))</f>
        <v>10.4424933935381</v>
      </c>
      <c r="P4936" s="34" t="str">
        <f aca="false">IF(B4936&gt;=Eval_Start_Week,"YES","")</f>
        <v/>
      </c>
      <c r="Q4936" s="34" t="str">
        <f aca="false">IF(AND(B4936&gt;=Cal_Start_Week,B4936&lt;=Cal_End_Week),"YES","")</f>
        <v>YES</v>
      </c>
    </row>
    <row r="4937" customFormat="false" ht="15" hidden="false" customHeight="false" outlineLevel="0" collapsed="false">
      <c r="A4937" s="31" t="str">
        <f aca="false">Demand_History!C4937</f>
        <v>CLN-011</v>
      </c>
      <c r="B4937" s="31" t="n">
        <f aca="false">Demand_History!A4937</f>
        <v>48</v>
      </c>
      <c r="C4937" s="32" t="n">
        <f aca="false">Demand_History!D4937</f>
        <v>44</v>
      </c>
      <c r="D4937" s="33" t="n">
        <f aca="false">IF(B4937&gt;=2,C4936,"")</f>
        <v>30</v>
      </c>
      <c r="E4937" s="33" t="n">
        <f aca="false">IF(B4937&gt;=5,AVERAGE(C4933:C4936),"")</f>
        <v>38.5</v>
      </c>
      <c r="F4937" s="33" t="n">
        <f aca="false">IF(B4937&gt;=9,AVERAGE(C4929:C4936),"")</f>
        <v>40</v>
      </c>
      <c r="G4937" s="33" t="n">
        <f aca="false">IF(B4937=1,"",IF(B4937=2,C4936,SES_Alpha*C4936+(1-SES_Alpha)*G4936))</f>
        <v>37.3097453754767</v>
      </c>
      <c r="H4937" s="33" t="n">
        <f aca="false">IF(D4937="","",D4937-C4937)</f>
        <v>-14</v>
      </c>
      <c r="I4937" s="33" t="n">
        <f aca="false">IF(E4937="","",E4937-C4937)</f>
        <v>-5.5</v>
      </c>
      <c r="J4937" s="33" t="n">
        <f aca="false">IF(F4937="","",F4937-C4937)</f>
        <v>-4</v>
      </c>
      <c r="K4937" s="33" t="n">
        <f aca="false">IF(G4937="","",G4937-C4937)</f>
        <v>-6.69025462452334</v>
      </c>
      <c r="L4937" s="33" t="n">
        <f aca="false">IF(H4937="","",ABS(H4937))</f>
        <v>14</v>
      </c>
      <c r="M4937" s="33" t="n">
        <f aca="false">IF(I4937="","",ABS(I4937))</f>
        <v>5.5</v>
      </c>
      <c r="N4937" s="33" t="n">
        <f aca="false">IF(J4937="","",ABS(J4937))</f>
        <v>4</v>
      </c>
      <c r="O4937" s="33" t="n">
        <f aca="false">IF(K4937="","",ABS(K4937))</f>
        <v>6.69025462452334</v>
      </c>
      <c r="P4937" s="34" t="str">
        <f aca="false">IF(B4937&gt;=Eval_Start_Week,"YES","")</f>
        <v/>
      </c>
      <c r="Q4937" s="34" t="str">
        <f aca="false">IF(AND(B4937&gt;=Cal_Start_Week,B4937&lt;=Cal_End_Week),"YES","")</f>
        <v>YES</v>
      </c>
    </row>
    <row r="4938" customFormat="false" ht="15" hidden="false" customHeight="false" outlineLevel="0" collapsed="false">
      <c r="A4938" s="31" t="str">
        <f aca="false">Demand_History!C4938</f>
        <v>CLN-011</v>
      </c>
      <c r="B4938" s="31" t="n">
        <f aca="false">Demand_History!A4938</f>
        <v>49</v>
      </c>
      <c r="C4938" s="32" t="n">
        <f aca="false">Demand_History!D4938</f>
        <v>44</v>
      </c>
      <c r="D4938" s="33" t="n">
        <f aca="false">IF(B4938&gt;=2,C4937,"")</f>
        <v>44</v>
      </c>
      <c r="E4938" s="33" t="n">
        <f aca="false">IF(B4938&gt;=5,AVERAGE(C4934:C4937),"")</f>
        <v>38.75</v>
      </c>
      <c r="F4938" s="33" t="n">
        <f aca="false">IF(B4938&gt;=9,AVERAGE(C4930:C4937),"")</f>
        <v>40.25</v>
      </c>
      <c r="G4938" s="33" t="n">
        <f aca="false">IF(B4938=1,"",IF(B4938=2,C4937,SES_Alpha*C4937+(1-SES_Alpha)*G4937))</f>
        <v>39.3168217628337</v>
      </c>
      <c r="H4938" s="33" t="n">
        <f aca="false">IF(D4938="","",D4938-C4938)</f>
        <v>0</v>
      </c>
      <c r="I4938" s="33" t="n">
        <f aca="false">IF(E4938="","",E4938-C4938)</f>
        <v>-5.25</v>
      </c>
      <c r="J4938" s="33" t="n">
        <f aca="false">IF(F4938="","",F4938-C4938)</f>
        <v>-3.75</v>
      </c>
      <c r="K4938" s="33" t="n">
        <f aca="false">IF(G4938="","",G4938-C4938)</f>
        <v>-4.68317823716635</v>
      </c>
      <c r="L4938" s="33" t="n">
        <f aca="false">IF(H4938="","",ABS(H4938))</f>
        <v>0</v>
      </c>
      <c r="M4938" s="33" t="n">
        <f aca="false">IF(I4938="","",ABS(I4938))</f>
        <v>5.25</v>
      </c>
      <c r="N4938" s="33" t="n">
        <f aca="false">IF(J4938="","",ABS(J4938))</f>
        <v>3.75</v>
      </c>
      <c r="O4938" s="33" t="n">
        <f aca="false">IF(K4938="","",ABS(K4938))</f>
        <v>4.68317823716635</v>
      </c>
      <c r="P4938" s="34" t="str">
        <f aca="false">IF(B4938&gt;=Eval_Start_Week,"YES","")</f>
        <v/>
      </c>
      <c r="Q4938" s="34" t="str">
        <f aca="false">IF(AND(B4938&gt;=Cal_Start_Week,B4938&lt;=Cal_End_Week),"YES","")</f>
        <v>YES</v>
      </c>
    </row>
    <row r="4939" customFormat="false" ht="15" hidden="false" customHeight="false" outlineLevel="0" collapsed="false">
      <c r="A4939" s="31" t="str">
        <f aca="false">Demand_History!C4939</f>
        <v>CLN-011</v>
      </c>
      <c r="B4939" s="31" t="n">
        <f aca="false">Demand_History!A4939</f>
        <v>50</v>
      </c>
      <c r="C4939" s="32" t="n">
        <f aca="false">Demand_History!D4939</f>
        <v>42</v>
      </c>
      <c r="D4939" s="33" t="n">
        <f aca="false">IF(B4939&gt;=2,C4938,"")</f>
        <v>44</v>
      </c>
      <c r="E4939" s="33" t="n">
        <f aca="false">IF(B4939&gt;=5,AVERAGE(C4935:C4938),"")</f>
        <v>39</v>
      </c>
      <c r="F4939" s="33" t="n">
        <f aca="false">IF(B4939&gt;=9,AVERAGE(C4931:C4938),"")</f>
        <v>40</v>
      </c>
      <c r="G4939" s="33" t="n">
        <f aca="false">IF(B4939=1,"",IF(B4939=2,C4938,SES_Alpha*C4938+(1-SES_Alpha)*G4938))</f>
        <v>40.7217752339836</v>
      </c>
      <c r="H4939" s="33" t="n">
        <f aca="false">IF(D4939="","",D4939-C4939)</f>
        <v>2</v>
      </c>
      <c r="I4939" s="33" t="n">
        <f aca="false">IF(E4939="","",E4939-C4939)</f>
        <v>-3</v>
      </c>
      <c r="J4939" s="33" t="n">
        <f aca="false">IF(F4939="","",F4939-C4939)</f>
        <v>-2</v>
      </c>
      <c r="K4939" s="33" t="n">
        <f aca="false">IF(G4939="","",G4939-C4939)</f>
        <v>-1.27822476601644</v>
      </c>
      <c r="L4939" s="33" t="n">
        <f aca="false">IF(H4939="","",ABS(H4939))</f>
        <v>2</v>
      </c>
      <c r="M4939" s="33" t="n">
        <f aca="false">IF(I4939="","",ABS(I4939))</f>
        <v>3</v>
      </c>
      <c r="N4939" s="33" t="n">
        <f aca="false">IF(J4939="","",ABS(J4939))</f>
        <v>2</v>
      </c>
      <c r="O4939" s="33" t="n">
        <f aca="false">IF(K4939="","",ABS(K4939))</f>
        <v>1.27822476601644</v>
      </c>
      <c r="P4939" s="34" t="str">
        <f aca="false">IF(B4939&gt;=Eval_Start_Week,"YES","")</f>
        <v/>
      </c>
      <c r="Q4939" s="34" t="str">
        <f aca="false">IF(AND(B4939&gt;=Cal_Start_Week,B4939&lt;=Cal_End_Week),"YES","")</f>
        <v>YES</v>
      </c>
    </row>
    <row r="4940" customFormat="false" ht="15" hidden="false" customHeight="false" outlineLevel="0" collapsed="false">
      <c r="A4940" s="31" t="str">
        <f aca="false">Demand_History!C4940</f>
        <v>CLN-011</v>
      </c>
      <c r="B4940" s="31" t="n">
        <f aca="false">Demand_History!A4940</f>
        <v>51</v>
      </c>
      <c r="C4940" s="32" t="n">
        <f aca="false">Demand_History!D4940</f>
        <v>33</v>
      </c>
      <c r="D4940" s="33" t="n">
        <f aca="false">IF(B4940&gt;=2,C4939,"")</f>
        <v>42</v>
      </c>
      <c r="E4940" s="33" t="n">
        <f aca="false">IF(B4940&gt;=5,AVERAGE(C4936:C4939),"")</f>
        <v>40</v>
      </c>
      <c r="F4940" s="33" t="n">
        <f aca="false">IF(B4940&gt;=9,AVERAGE(C4932:C4939),"")</f>
        <v>39.875</v>
      </c>
      <c r="G4940" s="33" t="n">
        <f aca="false">IF(B4940=1,"",IF(B4940=2,C4939,SES_Alpha*C4939+(1-SES_Alpha)*G4939))</f>
        <v>41.1052426637885</v>
      </c>
      <c r="H4940" s="33" t="n">
        <f aca="false">IF(D4940="","",D4940-C4940)</f>
        <v>9</v>
      </c>
      <c r="I4940" s="33" t="n">
        <f aca="false">IF(E4940="","",E4940-C4940)</f>
        <v>7</v>
      </c>
      <c r="J4940" s="33" t="n">
        <f aca="false">IF(F4940="","",F4940-C4940)</f>
        <v>6.875</v>
      </c>
      <c r="K4940" s="33" t="n">
        <f aca="false">IF(G4940="","",G4940-C4940)</f>
        <v>8.10524266378849</v>
      </c>
      <c r="L4940" s="33" t="n">
        <f aca="false">IF(H4940="","",ABS(H4940))</f>
        <v>9</v>
      </c>
      <c r="M4940" s="33" t="n">
        <f aca="false">IF(I4940="","",ABS(I4940))</f>
        <v>7</v>
      </c>
      <c r="N4940" s="33" t="n">
        <f aca="false">IF(J4940="","",ABS(J4940))</f>
        <v>6.875</v>
      </c>
      <c r="O4940" s="33" t="n">
        <f aca="false">IF(K4940="","",ABS(K4940))</f>
        <v>8.10524266378849</v>
      </c>
      <c r="P4940" s="34" t="str">
        <f aca="false">IF(B4940&gt;=Eval_Start_Week,"YES","")</f>
        <v/>
      </c>
      <c r="Q4940" s="34" t="str">
        <f aca="false">IF(AND(B4940&gt;=Cal_Start_Week,B4940&lt;=Cal_End_Week),"YES","")</f>
        <v>YES</v>
      </c>
    </row>
    <row r="4941" customFormat="false" ht="15" hidden="false" customHeight="false" outlineLevel="0" collapsed="false">
      <c r="A4941" s="31" t="str">
        <f aca="false">Demand_History!C4941</f>
        <v>CLN-011</v>
      </c>
      <c r="B4941" s="31" t="n">
        <f aca="false">Demand_History!A4941</f>
        <v>52</v>
      </c>
      <c r="C4941" s="32" t="n">
        <f aca="false">Demand_History!D4941</f>
        <v>34</v>
      </c>
      <c r="D4941" s="33" t="n">
        <f aca="false">IF(B4941&gt;=2,C4940,"")</f>
        <v>33</v>
      </c>
      <c r="E4941" s="33" t="n">
        <f aca="false">IF(B4941&gt;=5,AVERAGE(C4937:C4940),"")</f>
        <v>40.75</v>
      </c>
      <c r="F4941" s="33" t="n">
        <f aca="false">IF(B4941&gt;=9,AVERAGE(C4933:C4940),"")</f>
        <v>39.625</v>
      </c>
      <c r="G4941" s="33" t="n">
        <f aca="false">IF(B4941=1,"",IF(B4941=2,C4940,SES_Alpha*C4940+(1-SES_Alpha)*G4940))</f>
        <v>38.6736698646519</v>
      </c>
      <c r="H4941" s="33" t="n">
        <f aca="false">IF(D4941="","",D4941-C4941)</f>
        <v>-1</v>
      </c>
      <c r="I4941" s="33" t="n">
        <f aca="false">IF(E4941="","",E4941-C4941)</f>
        <v>6.75</v>
      </c>
      <c r="J4941" s="33" t="n">
        <f aca="false">IF(F4941="","",F4941-C4941)</f>
        <v>5.625</v>
      </c>
      <c r="K4941" s="33" t="n">
        <f aca="false">IF(G4941="","",G4941-C4941)</f>
        <v>4.67366986465194</v>
      </c>
      <c r="L4941" s="33" t="n">
        <f aca="false">IF(H4941="","",ABS(H4941))</f>
        <v>1</v>
      </c>
      <c r="M4941" s="33" t="n">
        <f aca="false">IF(I4941="","",ABS(I4941))</f>
        <v>6.75</v>
      </c>
      <c r="N4941" s="33" t="n">
        <f aca="false">IF(J4941="","",ABS(J4941))</f>
        <v>5.625</v>
      </c>
      <c r="O4941" s="33" t="n">
        <f aca="false">IF(K4941="","",ABS(K4941))</f>
        <v>4.67366986465194</v>
      </c>
      <c r="P4941" s="34" t="str">
        <f aca="false">IF(B4941&gt;=Eval_Start_Week,"YES","")</f>
        <v/>
      </c>
      <c r="Q4941" s="34" t="str">
        <f aca="false">IF(AND(B4941&gt;=Cal_Start_Week,B4941&lt;=Cal_End_Week),"YES","")</f>
        <v>YES</v>
      </c>
    </row>
    <row r="4942" customFormat="false" ht="15" hidden="false" customHeight="false" outlineLevel="0" collapsed="false">
      <c r="A4942" s="31" t="str">
        <f aca="false">Demand_History!C4942</f>
        <v>CLN-011</v>
      </c>
      <c r="B4942" s="31" t="n">
        <f aca="false">Demand_History!A4942</f>
        <v>53</v>
      </c>
      <c r="C4942" s="32" t="n">
        <f aca="false">Demand_History!D4942</f>
        <v>44</v>
      </c>
      <c r="D4942" s="33" t="n">
        <f aca="false">IF(B4942&gt;=2,C4941,"")</f>
        <v>34</v>
      </c>
      <c r="E4942" s="33" t="n">
        <f aca="false">IF(B4942&gt;=5,AVERAGE(C4938:C4941),"")</f>
        <v>38.25</v>
      </c>
      <c r="F4942" s="33" t="n">
        <f aca="false">IF(B4942&gt;=9,AVERAGE(C4934:C4941),"")</f>
        <v>38.5</v>
      </c>
      <c r="G4942" s="33" t="n">
        <f aca="false">IF(B4942=1,"",IF(B4942=2,C4941,SES_Alpha*C4941+(1-SES_Alpha)*G4941))</f>
        <v>37.2715689052564</v>
      </c>
      <c r="H4942" s="33" t="n">
        <f aca="false">IF(D4942="","",D4942-C4942)</f>
        <v>-10</v>
      </c>
      <c r="I4942" s="33" t="n">
        <f aca="false">IF(E4942="","",E4942-C4942)</f>
        <v>-5.75</v>
      </c>
      <c r="J4942" s="33" t="n">
        <f aca="false">IF(F4942="","",F4942-C4942)</f>
        <v>-5.5</v>
      </c>
      <c r="K4942" s="33" t="n">
        <f aca="false">IF(G4942="","",G4942-C4942)</f>
        <v>-6.72843109474364</v>
      </c>
      <c r="L4942" s="33" t="n">
        <f aca="false">IF(H4942="","",ABS(H4942))</f>
        <v>10</v>
      </c>
      <c r="M4942" s="33" t="n">
        <f aca="false">IF(I4942="","",ABS(I4942))</f>
        <v>5.75</v>
      </c>
      <c r="N4942" s="33" t="n">
        <f aca="false">IF(J4942="","",ABS(J4942))</f>
        <v>5.5</v>
      </c>
      <c r="O4942" s="33" t="n">
        <f aca="false">IF(K4942="","",ABS(K4942))</f>
        <v>6.72843109474364</v>
      </c>
      <c r="P4942" s="34" t="str">
        <f aca="false">IF(B4942&gt;=Eval_Start_Week,"YES","")</f>
        <v>YES</v>
      </c>
      <c r="Q4942" s="34" t="str">
        <f aca="false">IF(AND(B4942&gt;=Cal_Start_Week,B4942&lt;=Cal_End_Week),"YES","")</f>
        <v>YES</v>
      </c>
    </row>
    <row r="4943" customFormat="false" ht="15" hidden="false" customHeight="false" outlineLevel="0" collapsed="false">
      <c r="A4943" s="31" t="str">
        <f aca="false">Demand_History!C4943</f>
        <v>CLN-011</v>
      </c>
      <c r="B4943" s="31" t="n">
        <f aca="false">Demand_History!A4943</f>
        <v>54</v>
      </c>
      <c r="C4943" s="32" t="n">
        <f aca="false">Demand_History!D4943</f>
        <v>43</v>
      </c>
      <c r="D4943" s="33" t="n">
        <f aca="false">IF(B4943&gt;=2,C4942,"")</f>
        <v>44</v>
      </c>
      <c r="E4943" s="33" t="n">
        <f aca="false">IF(B4943&gt;=5,AVERAGE(C4939:C4942),"")</f>
        <v>38.25</v>
      </c>
      <c r="F4943" s="33" t="n">
        <f aca="false">IF(B4943&gt;=9,AVERAGE(C4935:C4942),"")</f>
        <v>38.625</v>
      </c>
      <c r="G4943" s="33" t="n">
        <f aca="false">IF(B4943=1,"",IF(B4943=2,C4942,SES_Alpha*C4942+(1-SES_Alpha)*G4942))</f>
        <v>39.2900982336794</v>
      </c>
      <c r="H4943" s="33" t="n">
        <f aca="false">IF(D4943="","",D4943-C4943)</f>
        <v>1</v>
      </c>
      <c r="I4943" s="33" t="n">
        <f aca="false">IF(E4943="","",E4943-C4943)</f>
        <v>-4.75</v>
      </c>
      <c r="J4943" s="33" t="n">
        <f aca="false">IF(F4943="","",F4943-C4943)</f>
        <v>-4.375</v>
      </c>
      <c r="K4943" s="33" t="n">
        <f aca="false">IF(G4943="","",G4943-C4943)</f>
        <v>-3.70990176632056</v>
      </c>
      <c r="L4943" s="33" t="n">
        <f aca="false">IF(H4943="","",ABS(H4943))</f>
        <v>1</v>
      </c>
      <c r="M4943" s="33" t="n">
        <f aca="false">IF(I4943="","",ABS(I4943))</f>
        <v>4.75</v>
      </c>
      <c r="N4943" s="33" t="n">
        <f aca="false">IF(J4943="","",ABS(J4943))</f>
        <v>4.375</v>
      </c>
      <c r="O4943" s="33" t="n">
        <f aca="false">IF(K4943="","",ABS(K4943))</f>
        <v>3.70990176632056</v>
      </c>
      <c r="P4943" s="34" t="str">
        <f aca="false">IF(B4943&gt;=Eval_Start_Week,"YES","")</f>
        <v>YES</v>
      </c>
      <c r="Q4943" s="34" t="str">
        <f aca="false">IF(AND(B4943&gt;=Cal_Start_Week,B4943&lt;=Cal_End_Week),"YES","")</f>
        <v>YES</v>
      </c>
    </row>
    <row r="4944" customFormat="false" ht="15" hidden="false" customHeight="false" outlineLevel="0" collapsed="false">
      <c r="A4944" s="31" t="str">
        <f aca="false">Demand_History!C4944</f>
        <v>CLN-011</v>
      </c>
      <c r="B4944" s="31" t="n">
        <f aca="false">Demand_History!A4944</f>
        <v>55</v>
      </c>
      <c r="C4944" s="32" t="n">
        <f aca="false">Demand_History!D4944</f>
        <v>42</v>
      </c>
      <c r="D4944" s="33" t="n">
        <f aca="false">IF(B4944&gt;=2,C4943,"")</f>
        <v>43</v>
      </c>
      <c r="E4944" s="33" t="n">
        <f aca="false">IF(B4944&gt;=5,AVERAGE(C4940:C4943),"")</f>
        <v>38.5</v>
      </c>
      <c r="F4944" s="33" t="n">
        <f aca="false">IF(B4944&gt;=9,AVERAGE(C4936:C4943),"")</f>
        <v>39.25</v>
      </c>
      <c r="G4944" s="33" t="n">
        <f aca="false">IF(B4944=1,"",IF(B4944=2,C4943,SES_Alpha*C4943+(1-SES_Alpha)*G4943))</f>
        <v>40.4030687635756</v>
      </c>
      <c r="H4944" s="33" t="n">
        <f aca="false">IF(D4944="","",D4944-C4944)</f>
        <v>1</v>
      </c>
      <c r="I4944" s="33" t="n">
        <f aca="false">IF(E4944="","",E4944-C4944)</f>
        <v>-3.5</v>
      </c>
      <c r="J4944" s="33" t="n">
        <f aca="false">IF(F4944="","",F4944-C4944)</f>
        <v>-2.75</v>
      </c>
      <c r="K4944" s="33" t="n">
        <f aca="false">IF(G4944="","",G4944-C4944)</f>
        <v>-1.59693123642439</v>
      </c>
      <c r="L4944" s="33" t="n">
        <f aca="false">IF(H4944="","",ABS(H4944))</f>
        <v>1</v>
      </c>
      <c r="M4944" s="33" t="n">
        <f aca="false">IF(I4944="","",ABS(I4944))</f>
        <v>3.5</v>
      </c>
      <c r="N4944" s="33" t="n">
        <f aca="false">IF(J4944="","",ABS(J4944))</f>
        <v>2.75</v>
      </c>
      <c r="O4944" s="33" t="n">
        <f aca="false">IF(K4944="","",ABS(K4944))</f>
        <v>1.59693123642439</v>
      </c>
      <c r="P4944" s="34" t="str">
        <f aca="false">IF(B4944&gt;=Eval_Start_Week,"YES","")</f>
        <v>YES</v>
      </c>
      <c r="Q4944" s="34" t="str">
        <f aca="false">IF(AND(B4944&gt;=Cal_Start_Week,B4944&lt;=Cal_End_Week),"YES","")</f>
        <v>YES</v>
      </c>
    </row>
    <row r="4945" customFormat="false" ht="15" hidden="false" customHeight="false" outlineLevel="0" collapsed="false">
      <c r="A4945" s="31" t="str">
        <f aca="false">Demand_History!C4945</f>
        <v>CLN-011</v>
      </c>
      <c r="B4945" s="31" t="n">
        <f aca="false">Demand_History!A4945</f>
        <v>56</v>
      </c>
      <c r="C4945" s="32" t="n">
        <f aca="false">Demand_History!D4945</f>
        <v>39</v>
      </c>
      <c r="D4945" s="33" t="n">
        <f aca="false">IF(B4945&gt;=2,C4944,"")</f>
        <v>42</v>
      </c>
      <c r="E4945" s="33" t="n">
        <f aca="false">IF(B4945&gt;=5,AVERAGE(C4941:C4944),"")</f>
        <v>40.75</v>
      </c>
      <c r="F4945" s="33" t="n">
        <f aca="false">IF(B4945&gt;=9,AVERAGE(C4937:C4944),"")</f>
        <v>40.75</v>
      </c>
      <c r="G4945" s="33" t="n">
        <f aca="false">IF(B4945=1,"",IF(B4945=2,C4944,SES_Alpha*C4944+(1-SES_Alpha)*G4944))</f>
        <v>40.8821481345029</v>
      </c>
      <c r="H4945" s="33" t="n">
        <f aca="false">IF(D4945="","",D4945-C4945)</f>
        <v>3</v>
      </c>
      <c r="I4945" s="33" t="n">
        <f aca="false">IF(E4945="","",E4945-C4945)</f>
        <v>1.75</v>
      </c>
      <c r="J4945" s="33" t="n">
        <f aca="false">IF(F4945="","",F4945-C4945)</f>
        <v>1.75</v>
      </c>
      <c r="K4945" s="33" t="n">
        <f aca="false">IF(G4945="","",G4945-C4945)</f>
        <v>1.88214813450293</v>
      </c>
      <c r="L4945" s="33" t="n">
        <f aca="false">IF(H4945="","",ABS(H4945))</f>
        <v>3</v>
      </c>
      <c r="M4945" s="33" t="n">
        <f aca="false">IF(I4945="","",ABS(I4945))</f>
        <v>1.75</v>
      </c>
      <c r="N4945" s="33" t="n">
        <f aca="false">IF(J4945="","",ABS(J4945))</f>
        <v>1.75</v>
      </c>
      <c r="O4945" s="33" t="n">
        <f aca="false">IF(K4945="","",ABS(K4945))</f>
        <v>1.88214813450293</v>
      </c>
      <c r="P4945" s="34" t="str">
        <f aca="false">IF(B4945&gt;=Eval_Start_Week,"YES","")</f>
        <v>YES</v>
      </c>
      <c r="Q4945" s="34" t="str">
        <f aca="false">IF(AND(B4945&gt;=Cal_Start_Week,B4945&lt;=Cal_End_Week),"YES","")</f>
        <v>YES</v>
      </c>
    </row>
    <row r="4946" customFormat="false" ht="15" hidden="false" customHeight="false" outlineLevel="0" collapsed="false">
      <c r="A4946" s="31" t="str">
        <f aca="false">Demand_History!C4946</f>
        <v>CLN-011</v>
      </c>
      <c r="B4946" s="31" t="n">
        <f aca="false">Demand_History!A4946</f>
        <v>57</v>
      </c>
      <c r="C4946" s="32" t="n">
        <f aca="false">Demand_History!D4946</f>
        <v>42</v>
      </c>
      <c r="D4946" s="33" t="n">
        <f aca="false">IF(B4946&gt;=2,C4945,"")</f>
        <v>39</v>
      </c>
      <c r="E4946" s="33" t="n">
        <f aca="false">IF(B4946&gt;=5,AVERAGE(C4942:C4945),"")</f>
        <v>42</v>
      </c>
      <c r="F4946" s="33" t="n">
        <f aca="false">IF(B4946&gt;=9,AVERAGE(C4938:C4945),"")</f>
        <v>40.125</v>
      </c>
      <c r="G4946" s="33" t="n">
        <f aca="false">IF(B4946=1,"",IF(B4946=2,C4945,SES_Alpha*C4945+(1-SES_Alpha)*G4945))</f>
        <v>40.317503694152</v>
      </c>
      <c r="H4946" s="33" t="n">
        <f aca="false">IF(D4946="","",D4946-C4946)</f>
        <v>-3</v>
      </c>
      <c r="I4946" s="33" t="n">
        <f aca="false">IF(E4946="","",E4946-C4946)</f>
        <v>0</v>
      </c>
      <c r="J4946" s="33" t="n">
        <f aca="false">IF(F4946="","",F4946-C4946)</f>
        <v>-1.875</v>
      </c>
      <c r="K4946" s="33" t="n">
        <f aca="false">IF(G4946="","",G4946-C4946)</f>
        <v>-1.68249630584796</v>
      </c>
      <c r="L4946" s="33" t="n">
        <f aca="false">IF(H4946="","",ABS(H4946))</f>
        <v>3</v>
      </c>
      <c r="M4946" s="33" t="n">
        <f aca="false">IF(I4946="","",ABS(I4946))</f>
        <v>0</v>
      </c>
      <c r="N4946" s="33" t="n">
        <f aca="false">IF(J4946="","",ABS(J4946))</f>
        <v>1.875</v>
      </c>
      <c r="O4946" s="33" t="n">
        <f aca="false">IF(K4946="","",ABS(K4946))</f>
        <v>1.68249630584796</v>
      </c>
      <c r="P4946" s="34" t="str">
        <f aca="false">IF(B4946&gt;=Eval_Start_Week,"YES","")</f>
        <v>YES</v>
      </c>
      <c r="Q4946" s="34" t="str">
        <f aca="false">IF(AND(B4946&gt;=Cal_Start_Week,B4946&lt;=Cal_End_Week),"YES","")</f>
        <v>YES</v>
      </c>
    </row>
    <row r="4947" customFormat="false" ht="15" hidden="false" customHeight="false" outlineLevel="0" collapsed="false">
      <c r="A4947" s="31" t="str">
        <f aca="false">Demand_History!C4947</f>
        <v>CLN-011</v>
      </c>
      <c r="B4947" s="31" t="n">
        <f aca="false">Demand_History!A4947</f>
        <v>58</v>
      </c>
      <c r="C4947" s="32" t="n">
        <f aca="false">Demand_History!D4947</f>
        <v>38</v>
      </c>
      <c r="D4947" s="33" t="n">
        <f aca="false">IF(B4947&gt;=2,C4946,"")</f>
        <v>42</v>
      </c>
      <c r="E4947" s="33" t="n">
        <f aca="false">IF(B4947&gt;=5,AVERAGE(C4943:C4946),"")</f>
        <v>41.5</v>
      </c>
      <c r="F4947" s="33" t="n">
        <f aca="false">IF(B4947&gt;=9,AVERAGE(C4939:C4946),"")</f>
        <v>39.875</v>
      </c>
      <c r="G4947" s="33" t="n">
        <f aca="false">IF(B4947=1,"",IF(B4947=2,C4946,SES_Alpha*C4946+(1-SES_Alpha)*G4946))</f>
        <v>40.8222525859064</v>
      </c>
      <c r="H4947" s="33" t="n">
        <f aca="false">IF(D4947="","",D4947-C4947)</f>
        <v>4</v>
      </c>
      <c r="I4947" s="33" t="n">
        <f aca="false">IF(E4947="","",E4947-C4947)</f>
        <v>3.5</v>
      </c>
      <c r="J4947" s="33" t="n">
        <f aca="false">IF(F4947="","",F4947-C4947)</f>
        <v>1.875</v>
      </c>
      <c r="K4947" s="33" t="n">
        <f aca="false">IF(G4947="","",G4947-C4947)</f>
        <v>2.82225258590643</v>
      </c>
      <c r="L4947" s="33" t="n">
        <f aca="false">IF(H4947="","",ABS(H4947))</f>
        <v>4</v>
      </c>
      <c r="M4947" s="33" t="n">
        <f aca="false">IF(I4947="","",ABS(I4947))</f>
        <v>3.5</v>
      </c>
      <c r="N4947" s="33" t="n">
        <f aca="false">IF(J4947="","",ABS(J4947))</f>
        <v>1.875</v>
      </c>
      <c r="O4947" s="33" t="n">
        <f aca="false">IF(K4947="","",ABS(K4947))</f>
        <v>2.82225258590643</v>
      </c>
      <c r="P4947" s="34" t="str">
        <f aca="false">IF(B4947&gt;=Eval_Start_Week,"YES","")</f>
        <v>YES</v>
      </c>
      <c r="Q4947" s="34" t="str">
        <f aca="false">IF(AND(B4947&gt;=Cal_Start_Week,B4947&lt;=Cal_End_Week),"YES","")</f>
        <v>YES</v>
      </c>
    </row>
    <row r="4948" customFormat="false" ht="15" hidden="false" customHeight="false" outlineLevel="0" collapsed="false">
      <c r="A4948" s="31" t="str">
        <f aca="false">Demand_History!C4948</f>
        <v>CLN-011</v>
      </c>
      <c r="B4948" s="31" t="n">
        <f aca="false">Demand_History!A4948</f>
        <v>59</v>
      </c>
      <c r="C4948" s="32" t="n">
        <f aca="false">Demand_History!D4948</f>
        <v>39</v>
      </c>
      <c r="D4948" s="33" t="n">
        <f aca="false">IF(B4948&gt;=2,C4947,"")</f>
        <v>38</v>
      </c>
      <c r="E4948" s="33" t="n">
        <f aca="false">IF(B4948&gt;=5,AVERAGE(C4944:C4947),"")</f>
        <v>40.25</v>
      </c>
      <c r="F4948" s="33" t="n">
        <f aca="false">IF(B4948&gt;=9,AVERAGE(C4940:C4947),"")</f>
        <v>39.375</v>
      </c>
      <c r="G4948" s="33" t="n">
        <f aca="false">IF(B4948=1,"",IF(B4948=2,C4947,SES_Alpha*C4947+(1-SES_Alpha)*G4947))</f>
        <v>39.9755768101345</v>
      </c>
      <c r="H4948" s="33" t="n">
        <f aca="false">IF(D4948="","",D4948-C4948)</f>
        <v>-1</v>
      </c>
      <c r="I4948" s="33" t="n">
        <f aca="false">IF(E4948="","",E4948-C4948)</f>
        <v>1.25</v>
      </c>
      <c r="J4948" s="33" t="n">
        <f aca="false">IF(F4948="","",F4948-C4948)</f>
        <v>0.375</v>
      </c>
      <c r="K4948" s="33" t="n">
        <f aca="false">IF(G4948="","",G4948-C4948)</f>
        <v>0.975576810134498</v>
      </c>
      <c r="L4948" s="33" t="n">
        <f aca="false">IF(H4948="","",ABS(H4948))</f>
        <v>1</v>
      </c>
      <c r="M4948" s="33" t="n">
        <f aca="false">IF(I4948="","",ABS(I4948))</f>
        <v>1.25</v>
      </c>
      <c r="N4948" s="33" t="n">
        <f aca="false">IF(J4948="","",ABS(J4948))</f>
        <v>0.375</v>
      </c>
      <c r="O4948" s="33" t="n">
        <f aca="false">IF(K4948="","",ABS(K4948))</f>
        <v>0.975576810134498</v>
      </c>
      <c r="P4948" s="34" t="str">
        <f aca="false">IF(B4948&gt;=Eval_Start_Week,"YES","")</f>
        <v>YES</v>
      </c>
      <c r="Q4948" s="34" t="str">
        <f aca="false">IF(AND(B4948&gt;=Cal_Start_Week,B4948&lt;=Cal_End_Week),"YES","")</f>
        <v>YES</v>
      </c>
    </row>
    <row r="4949" customFormat="false" ht="15" hidden="false" customHeight="false" outlineLevel="0" collapsed="false">
      <c r="A4949" s="31" t="str">
        <f aca="false">Demand_History!C4949</f>
        <v>CLN-011</v>
      </c>
      <c r="B4949" s="31" t="n">
        <f aca="false">Demand_History!A4949</f>
        <v>60</v>
      </c>
      <c r="C4949" s="32" t="n">
        <f aca="false">Demand_History!D4949</f>
        <v>36</v>
      </c>
      <c r="D4949" s="33" t="n">
        <f aca="false">IF(B4949&gt;=2,C4948,"")</f>
        <v>39</v>
      </c>
      <c r="E4949" s="33" t="n">
        <f aca="false">IF(B4949&gt;=5,AVERAGE(C4945:C4948),"")</f>
        <v>39.5</v>
      </c>
      <c r="F4949" s="33" t="n">
        <f aca="false">IF(B4949&gt;=9,AVERAGE(C4941:C4948),"")</f>
        <v>40.125</v>
      </c>
      <c r="G4949" s="33" t="n">
        <f aca="false">IF(B4949=1,"",IF(B4949=2,C4948,SES_Alpha*C4948+(1-SES_Alpha)*G4948))</f>
        <v>39.6829037670941</v>
      </c>
      <c r="H4949" s="33" t="n">
        <f aca="false">IF(D4949="","",D4949-C4949)</f>
        <v>3</v>
      </c>
      <c r="I4949" s="33" t="n">
        <f aca="false">IF(E4949="","",E4949-C4949)</f>
        <v>3.5</v>
      </c>
      <c r="J4949" s="33" t="n">
        <f aca="false">IF(F4949="","",F4949-C4949)</f>
        <v>4.125</v>
      </c>
      <c r="K4949" s="33" t="n">
        <f aca="false">IF(G4949="","",G4949-C4949)</f>
        <v>3.68290376709415</v>
      </c>
      <c r="L4949" s="33" t="n">
        <f aca="false">IF(H4949="","",ABS(H4949))</f>
        <v>3</v>
      </c>
      <c r="M4949" s="33" t="n">
        <f aca="false">IF(I4949="","",ABS(I4949))</f>
        <v>3.5</v>
      </c>
      <c r="N4949" s="33" t="n">
        <f aca="false">IF(J4949="","",ABS(J4949))</f>
        <v>4.125</v>
      </c>
      <c r="O4949" s="33" t="n">
        <f aca="false">IF(K4949="","",ABS(K4949))</f>
        <v>3.68290376709415</v>
      </c>
      <c r="P4949" s="34" t="str">
        <f aca="false">IF(B4949&gt;=Eval_Start_Week,"YES","")</f>
        <v>YES</v>
      </c>
      <c r="Q4949" s="34" t="str">
        <f aca="false">IF(AND(B4949&gt;=Cal_Start_Week,B4949&lt;=Cal_End_Week),"YES","")</f>
        <v>YES</v>
      </c>
    </row>
    <row r="4950" customFormat="false" ht="15" hidden="false" customHeight="false" outlineLevel="0" collapsed="false">
      <c r="A4950" s="31" t="str">
        <f aca="false">Demand_History!C4950</f>
        <v>CLN-011</v>
      </c>
      <c r="B4950" s="31" t="n">
        <f aca="false">Demand_History!A4950</f>
        <v>61</v>
      </c>
      <c r="C4950" s="32" t="n">
        <f aca="false">Demand_History!D4950</f>
        <v>41</v>
      </c>
      <c r="D4950" s="33" t="n">
        <f aca="false">IF(B4950&gt;=2,C4949,"")</f>
        <v>36</v>
      </c>
      <c r="E4950" s="33" t="n">
        <f aca="false">IF(B4950&gt;=5,AVERAGE(C4946:C4949),"")</f>
        <v>38.75</v>
      </c>
      <c r="F4950" s="33" t="n">
        <f aca="false">IF(B4950&gt;=9,AVERAGE(C4942:C4949),"")</f>
        <v>40.375</v>
      </c>
      <c r="G4950" s="33" t="n">
        <f aca="false">IF(B4950=1,"",IF(B4950=2,C4949,SES_Alpha*C4949+(1-SES_Alpha)*G4949))</f>
        <v>38.5780326369659</v>
      </c>
      <c r="H4950" s="33" t="n">
        <f aca="false">IF(D4950="","",D4950-C4950)</f>
        <v>-5</v>
      </c>
      <c r="I4950" s="33" t="n">
        <f aca="false">IF(E4950="","",E4950-C4950)</f>
        <v>-2.25</v>
      </c>
      <c r="J4950" s="33" t="n">
        <f aca="false">IF(F4950="","",F4950-C4950)</f>
        <v>-0.625</v>
      </c>
      <c r="K4950" s="33" t="n">
        <f aca="false">IF(G4950="","",G4950-C4950)</f>
        <v>-2.4219673630341</v>
      </c>
      <c r="L4950" s="33" t="n">
        <f aca="false">IF(H4950="","",ABS(H4950))</f>
        <v>5</v>
      </c>
      <c r="M4950" s="33" t="n">
        <f aca="false">IF(I4950="","",ABS(I4950))</f>
        <v>2.25</v>
      </c>
      <c r="N4950" s="33" t="n">
        <f aca="false">IF(J4950="","",ABS(J4950))</f>
        <v>0.625</v>
      </c>
      <c r="O4950" s="33" t="n">
        <f aca="false">IF(K4950="","",ABS(K4950))</f>
        <v>2.4219673630341</v>
      </c>
      <c r="P4950" s="34" t="str">
        <f aca="false">IF(B4950&gt;=Eval_Start_Week,"YES","")</f>
        <v>YES</v>
      </c>
      <c r="Q4950" s="34" t="str">
        <f aca="false">IF(AND(B4950&gt;=Cal_Start_Week,B4950&lt;=Cal_End_Week),"YES","")</f>
        <v>YES</v>
      </c>
    </row>
    <row r="4951" customFormat="false" ht="15" hidden="false" customHeight="false" outlineLevel="0" collapsed="false">
      <c r="A4951" s="31" t="str">
        <f aca="false">Demand_History!C4951</f>
        <v>CLN-011</v>
      </c>
      <c r="B4951" s="31" t="n">
        <f aca="false">Demand_History!A4951</f>
        <v>62</v>
      </c>
      <c r="C4951" s="32" t="n">
        <f aca="false">Demand_History!D4951</f>
        <v>38</v>
      </c>
      <c r="D4951" s="33" t="n">
        <f aca="false">IF(B4951&gt;=2,C4950,"")</f>
        <v>41</v>
      </c>
      <c r="E4951" s="33" t="n">
        <f aca="false">IF(B4951&gt;=5,AVERAGE(C4947:C4950),"")</f>
        <v>38.5</v>
      </c>
      <c r="F4951" s="33" t="n">
        <f aca="false">IF(B4951&gt;=9,AVERAGE(C4943:C4950),"")</f>
        <v>40</v>
      </c>
      <c r="G4951" s="33" t="n">
        <f aca="false">IF(B4951=1,"",IF(B4951=2,C4950,SES_Alpha*C4950+(1-SES_Alpha)*G4950))</f>
        <v>39.3046228458761</v>
      </c>
      <c r="H4951" s="33" t="n">
        <f aca="false">IF(D4951="","",D4951-C4951)</f>
        <v>3</v>
      </c>
      <c r="I4951" s="33" t="n">
        <f aca="false">IF(E4951="","",E4951-C4951)</f>
        <v>0.5</v>
      </c>
      <c r="J4951" s="33" t="n">
        <f aca="false">IF(F4951="","",F4951-C4951)</f>
        <v>2</v>
      </c>
      <c r="K4951" s="33" t="n">
        <f aca="false">IF(G4951="","",G4951-C4951)</f>
        <v>1.30462284587612</v>
      </c>
      <c r="L4951" s="33" t="n">
        <f aca="false">IF(H4951="","",ABS(H4951))</f>
        <v>3</v>
      </c>
      <c r="M4951" s="33" t="n">
        <f aca="false">IF(I4951="","",ABS(I4951))</f>
        <v>0.5</v>
      </c>
      <c r="N4951" s="33" t="n">
        <f aca="false">IF(J4951="","",ABS(J4951))</f>
        <v>2</v>
      </c>
      <c r="O4951" s="33" t="n">
        <f aca="false">IF(K4951="","",ABS(K4951))</f>
        <v>1.30462284587612</v>
      </c>
      <c r="P4951" s="34" t="str">
        <f aca="false">IF(B4951&gt;=Eval_Start_Week,"YES","")</f>
        <v>YES</v>
      </c>
      <c r="Q4951" s="34" t="str">
        <f aca="false">IF(AND(B4951&gt;=Cal_Start_Week,B4951&lt;=Cal_End_Week),"YES","")</f>
        <v>YES</v>
      </c>
    </row>
    <row r="4952" customFormat="false" ht="15" hidden="false" customHeight="false" outlineLevel="0" collapsed="false">
      <c r="A4952" s="31" t="str">
        <f aca="false">Demand_History!C4952</f>
        <v>CLN-011</v>
      </c>
      <c r="B4952" s="31" t="n">
        <f aca="false">Demand_History!A4952</f>
        <v>63</v>
      </c>
      <c r="C4952" s="32" t="n">
        <f aca="false">Demand_History!D4952</f>
        <v>44</v>
      </c>
      <c r="D4952" s="33" t="n">
        <f aca="false">IF(B4952&gt;=2,C4951,"")</f>
        <v>38</v>
      </c>
      <c r="E4952" s="33" t="n">
        <f aca="false">IF(B4952&gt;=5,AVERAGE(C4948:C4951),"")</f>
        <v>38.5</v>
      </c>
      <c r="F4952" s="33" t="n">
        <f aca="false">IF(B4952&gt;=9,AVERAGE(C4944:C4951),"")</f>
        <v>39.375</v>
      </c>
      <c r="G4952" s="33" t="n">
        <f aca="false">IF(B4952=1,"",IF(B4952=2,C4951,SES_Alpha*C4951+(1-SES_Alpha)*G4951))</f>
        <v>38.9132359921133</v>
      </c>
      <c r="H4952" s="33" t="n">
        <f aca="false">IF(D4952="","",D4952-C4952)</f>
        <v>-6</v>
      </c>
      <c r="I4952" s="33" t="n">
        <f aca="false">IF(E4952="","",E4952-C4952)</f>
        <v>-5.5</v>
      </c>
      <c r="J4952" s="33" t="n">
        <f aca="false">IF(F4952="","",F4952-C4952)</f>
        <v>-4.625</v>
      </c>
      <c r="K4952" s="33" t="n">
        <f aca="false">IF(G4952="","",G4952-C4952)</f>
        <v>-5.08676400788671</v>
      </c>
      <c r="L4952" s="33" t="n">
        <f aca="false">IF(H4952="","",ABS(H4952))</f>
        <v>6</v>
      </c>
      <c r="M4952" s="33" t="n">
        <f aca="false">IF(I4952="","",ABS(I4952))</f>
        <v>5.5</v>
      </c>
      <c r="N4952" s="33" t="n">
        <f aca="false">IF(J4952="","",ABS(J4952))</f>
        <v>4.625</v>
      </c>
      <c r="O4952" s="33" t="n">
        <f aca="false">IF(K4952="","",ABS(K4952))</f>
        <v>5.08676400788671</v>
      </c>
      <c r="P4952" s="34" t="str">
        <f aca="false">IF(B4952&gt;=Eval_Start_Week,"YES","")</f>
        <v>YES</v>
      </c>
      <c r="Q4952" s="34" t="str">
        <f aca="false">IF(AND(B4952&gt;=Cal_Start_Week,B4952&lt;=Cal_End_Week),"YES","")</f>
        <v>YES</v>
      </c>
    </row>
    <row r="4953" customFormat="false" ht="15" hidden="false" customHeight="false" outlineLevel="0" collapsed="false">
      <c r="A4953" s="31" t="str">
        <f aca="false">Demand_History!C4953</f>
        <v>CLN-011</v>
      </c>
      <c r="B4953" s="31" t="n">
        <f aca="false">Demand_History!A4953</f>
        <v>64</v>
      </c>
      <c r="C4953" s="32" t="n">
        <f aca="false">Demand_History!D4953</f>
        <v>43</v>
      </c>
      <c r="D4953" s="33" t="n">
        <f aca="false">IF(B4953&gt;=2,C4952,"")</f>
        <v>44</v>
      </c>
      <c r="E4953" s="33" t="n">
        <f aca="false">IF(B4953&gt;=5,AVERAGE(C4949:C4952),"")</f>
        <v>39.75</v>
      </c>
      <c r="F4953" s="33" t="n">
        <f aca="false">IF(B4953&gt;=9,AVERAGE(C4945:C4952),"")</f>
        <v>39.625</v>
      </c>
      <c r="G4953" s="33" t="n">
        <f aca="false">IF(B4953=1,"",IF(B4953=2,C4952,SES_Alpha*C4952+(1-SES_Alpha)*G4952))</f>
        <v>40.4392651944793</v>
      </c>
      <c r="H4953" s="33" t="n">
        <f aca="false">IF(D4953="","",D4953-C4953)</f>
        <v>1</v>
      </c>
      <c r="I4953" s="33" t="n">
        <f aca="false">IF(E4953="","",E4953-C4953)</f>
        <v>-3.25</v>
      </c>
      <c r="J4953" s="33" t="n">
        <f aca="false">IF(F4953="","",F4953-C4953)</f>
        <v>-3.375</v>
      </c>
      <c r="K4953" s="33" t="n">
        <f aca="false">IF(G4953="","",G4953-C4953)</f>
        <v>-2.5607348055207</v>
      </c>
      <c r="L4953" s="33" t="n">
        <f aca="false">IF(H4953="","",ABS(H4953))</f>
        <v>1</v>
      </c>
      <c r="M4953" s="33" t="n">
        <f aca="false">IF(I4953="","",ABS(I4953))</f>
        <v>3.25</v>
      </c>
      <c r="N4953" s="33" t="n">
        <f aca="false">IF(J4953="","",ABS(J4953))</f>
        <v>3.375</v>
      </c>
      <c r="O4953" s="33" t="n">
        <f aca="false">IF(K4953="","",ABS(K4953))</f>
        <v>2.5607348055207</v>
      </c>
      <c r="P4953" s="34" t="str">
        <f aca="false">IF(B4953&gt;=Eval_Start_Week,"YES","")</f>
        <v>YES</v>
      </c>
      <c r="Q4953" s="34" t="str">
        <f aca="false">IF(AND(B4953&gt;=Cal_Start_Week,B4953&lt;=Cal_End_Week),"YES","")</f>
        <v>YES</v>
      </c>
    </row>
    <row r="4954" customFormat="false" ht="15" hidden="false" customHeight="false" outlineLevel="0" collapsed="false">
      <c r="A4954" s="31" t="str">
        <f aca="false">Demand_History!C4954</f>
        <v>CLN-011</v>
      </c>
      <c r="B4954" s="31" t="n">
        <f aca="false">Demand_History!A4954</f>
        <v>65</v>
      </c>
      <c r="C4954" s="32" t="n">
        <f aca="false">Demand_History!D4954</f>
        <v>37</v>
      </c>
      <c r="D4954" s="33" t="n">
        <f aca="false">IF(B4954&gt;=2,C4953,"")</f>
        <v>43</v>
      </c>
      <c r="E4954" s="33" t="n">
        <f aca="false">IF(B4954&gt;=5,AVERAGE(C4950:C4953),"")</f>
        <v>41.5</v>
      </c>
      <c r="F4954" s="33" t="n">
        <f aca="false">IF(B4954&gt;=9,AVERAGE(C4946:C4953),"")</f>
        <v>40.125</v>
      </c>
      <c r="G4954" s="33" t="n">
        <f aca="false">IF(B4954=1,"",IF(B4954=2,C4953,SES_Alpha*C4953+(1-SES_Alpha)*G4953))</f>
        <v>41.2074856361355</v>
      </c>
      <c r="H4954" s="33" t="n">
        <f aca="false">IF(D4954="","",D4954-C4954)</f>
        <v>6</v>
      </c>
      <c r="I4954" s="33" t="n">
        <f aca="false">IF(E4954="","",E4954-C4954)</f>
        <v>4.5</v>
      </c>
      <c r="J4954" s="33" t="n">
        <f aca="false">IF(F4954="","",F4954-C4954)</f>
        <v>3.125</v>
      </c>
      <c r="K4954" s="33" t="n">
        <f aca="false">IF(G4954="","",G4954-C4954)</f>
        <v>4.20748563613551</v>
      </c>
      <c r="L4954" s="33" t="n">
        <f aca="false">IF(H4954="","",ABS(H4954))</f>
        <v>6</v>
      </c>
      <c r="M4954" s="33" t="n">
        <f aca="false">IF(I4954="","",ABS(I4954))</f>
        <v>4.5</v>
      </c>
      <c r="N4954" s="33" t="n">
        <f aca="false">IF(J4954="","",ABS(J4954))</f>
        <v>3.125</v>
      </c>
      <c r="O4954" s="33" t="n">
        <f aca="false">IF(K4954="","",ABS(K4954))</f>
        <v>4.20748563613551</v>
      </c>
      <c r="P4954" s="34" t="str">
        <f aca="false">IF(B4954&gt;=Eval_Start_Week,"YES","")</f>
        <v>YES</v>
      </c>
      <c r="Q4954" s="34" t="str">
        <f aca="false">IF(AND(B4954&gt;=Cal_Start_Week,B4954&lt;=Cal_End_Week),"YES","")</f>
        <v>YES</v>
      </c>
    </row>
    <row r="4955" customFormat="false" ht="15" hidden="false" customHeight="false" outlineLevel="0" collapsed="false">
      <c r="A4955" s="31" t="str">
        <f aca="false">Demand_History!C4955</f>
        <v>CLN-011</v>
      </c>
      <c r="B4955" s="31" t="n">
        <f aca="false">Demand_History!A4955</f>
        <v>66</v>
      </c>
      <c r="C4955" s="32" t="n">
        <f aca="false">Demand_History!D4955</f>
        <v>47</v>
      </c>
      <c r="D4955" s="33" t="n">
        <f aca="false">IF(B4955&gt;=2,C4954,"")</f>
        <v>37</v>
      </c>
      <c r="E4955" s="33" t="n">
        <f aca="false">IF(B4955&gt;=5,AVERAGE(C4951:C4954),"")</f>
        <v>40.5</v>
      </c>
      <c r="F4955" s="33" t="n">
        <f aca="false">IF(B4955&gt;=9,AVERAGE(C4947:C4954),"")</f>
        <v>39.5</v>
      </c>
      <c r="G4955" s="33" t="n">
        <f aca="false">IF(B4955=1,"",IF(B4955=2,C4954,SES_Alpha*C4954+(1-SES_Alpha)*G4954))</f>
        <v>39.9452399452949</v>
      </c>
      <c r="H4955" s="33" t="n">
        <f aca="false">IF(D4955="","",D4955-C4955)</f>
        <v>-10</v>
      </c>
      <c r="I4955" s="33" t="n">
        <f aca="false">IF(E4955="","",E4955-C4955)</f>
        <v>-6.5</v>
      </c>
      <c r="J4955" s="33" t="n">
        <f aca="false">IF(F4955="","",F4955-C4955)</f>
        <v>-7.5</v>
      </c>
      <c r="K4955" s="33" t="n">
        <f aca="false">IF(G4955="","",G4955-C4955)</f>
        <v>-7.05476005470515</v>
      </c>
      <c r="L4955" s="33" t="n">
        <f aca="false">IF(H4955="","",ABS(H4955))</f>
        <v>10</v>
      </c>
      <c r="M4955" s="33" t="n">
        <f aca="false">IF(I4955="","",ABS(I4955))</f>
        <v>6.5</v>
      </c>
      <c r="N4955" s="33" t="n">
        <f aca="false">IF(J4955="","",ABS(J4955))</f>
        <v>7.5</v>
      </c>
      <c r="O4955" s="33" t="n">
        <f aca="false">IF(K4955="","",ABS(K4955))</f>
        <v>7.05476005470515</v>
      </c>
      <c r="P4955" s="34" t="str">
        <f aca="false">IF(B4955&gt;=Eval_Start_Week,"YES","")</f>
        <v>YES</v>
      </c>
      <c r="Q4955" s="34" t="str">
        <f aca="false">IF(AND(B4955&gt;=Cal_Start_Week,B4955&lt;=Cal_End_Week),"YES","")</f>
        <v>YES</v>
      </c>
    </row>
    <row r="4956" customFormat="false" ht="15" hidden="false" customHeight="false" outlineLevel="0" collapsed="false">
      <c r="A4956" s="31" t="str">
        <f aca="false">Demand_History!C4956</f>
        <v>CLN-011</v>
      </c>
      <c r="B4956" s="31" t="n">
        <f aca="false">Demand_History!A4956</f>
        <v>67</v>
      </c>
      <c r="C4956" s="32" t="n">
        <f aca="false">Demand_History!D4956</f>
        <v>35</v>
      </c>
      <c r="D4956" s="33" t="n">
        <f aca="false">IF(B4956&gt;=2,C4955,"")</f>
        <v>47</v>
      </c>
      <c r="E4956" s="33" t="n">
        <f aca="false">IF(B4956&gt;=5,AVERAGE(C4952:C4955),"")</f>
        <v>42.75</v>
      </c>
      <c r="F4956" s="33" t="n">
        <f aca="false">IF(B4956&gt;=9,AVERAGE(C4948:C4955),"")</f>
        <v>40.625</v>
      </c>
      <c r="G4956" s="33" t="n">
        <f aca="false">IF(B4956=1,"",IF(B4956=2,C4955,SES_Alpha*C4955+(1-SES_Alpha)*G4955))</f>
        <v>42.0616679617064</v>
      </c>
      <c r="H4956" s="33" t="n">
        <f aca="false">IF(D4956="","",D4956-C4956)</f>
        <v>12</v>
      </c>
      <c r="I4956" s="33" t="n">
        <f aca="false">IF(E4956="","",E4956-C4956)</f>
        <v>7.75</v>
      </c>
      <c r="J4956" s="33" t="n">
        <f aca="false">IF(F4956="","",F4956-C4956)</f>
        <v>5.625</v>
      </c>
      <c r="K4956" s="33" t="n">
        <f aca="false">IF(G4956="","",G4956-C4956)</f>
        <v>7.06166796170639</v>
      </c>
      <c r="L4956" s="33" t="n">
        <f aca="false">IF(H4956="","",ABS(H4956))</f>
        <v>12</v>
      </c>
      <c r="M4956" s="33" t="n">
        <f aca="false">IF(I4956="","",ABS(I4956))</f>
        <v>7.75</v>
      </c>
      <c r="N4956" s="33" t="n">
        <f aca="false">IF(J4956="","",ABS(J4956))</f>
        <v>5.625</v>
      </c>
      <c r="O4956" s="33" t="n">
        <f aca="false">IF(K4956="","",ABS(K4956))</f>
        <v>7.06166796170639</v>
      </c>
      <c r="P4956" s="34" t="str">
        <f aca="false">IF(B4956&gt;=Eval_Start_Week,"YES","")</f>
        <v>YES</v>
      </c>
      <c r="Q4956" s="34" t="str">
        <f aca="false">IF(AND(B4956&gt;=Cal_Start_Week,B4956&lt;=Cal_End_Week),"YES","")</f>
        <v>YES</v>
      </c>
    </row>
    <row r="4957" customFormat="false" ht="15" hidden="false" customHeight="false" outlineLevel="0" collapsed="false">
      <c r="A4957" s="31" t="str">
        <f aca="false">Demand_History!C4957</f>
        <v>CLN-011</v>
      </c>
      <c r="B4957" s="31" t="n">
        <f aca="false">Demand_History!A4957</f>
        <v>68</v>
      </c>
      <c r="C4957" s="32" t="n">
        <f aca="false">Demand_History!D4957</f>
        <v>42</v>
      </c>
      <c r="D4957" s="33" t="n">
        <f aca="false">IF(B4957&gt;=2,C4956,"")</f>
        <v>35</v>
      </c>
      <c r="E4957" s="33" t="n">
        <f aca="false">IF(B4957&gt;=5,AVERAGE(C4953:C4956),"")</f>
        <v>40.5</v>
      </c>
      <c r="F4957" s="33" t="n">
        <f aca="false">IF(B4957&gt;=9,AVERAGE(C4949:C4956),"")</f>
        <v>40.125</v>
      </c>
      <c r="G4957" s="33" t="n">
        <f aca="false">IF(B4957=1,"",IF(B4957=2,C4956,SES_Alpha*C4956+(1-SES_Alpha)*G4956))</f>
        <v>39.9431675731945</v>
      </c>
      <c r="H4957" s="33" t="n">
        <f aca="false">IF(D4957="","",D4957-C4957)</f>
        <v>-7</v>
      </c>
      <c r="I4957" s="33" t="n">
        <f aca="false">IF(E4957="","",E4957-C4957)</f>
        <v>-1.5</v>
      </c>
      <c r="J4957" s="33" t="n">
        <f aca="false">IF(F4957="","",F4957-C4957)</f>
        <v>-1.875</v>
      </c>
      <c r="K4957" s="33" t="n">
        <f aca="false">IF(G4957="","",G4957-C4957)</f>
        <v>-2.05683242680553</v>
      </c>
      <c r="L4957" s="33" t="n">
        <f aca="false">IF(H4957="","",ABS(H4957))</f>
        <v>7</v>
      </c>
      <c r="M4957" s="33" t="n">
        <f aca="false">IF(I4957="","",ABS(I4957))</f>
        <v>1.5</v>
      </c>
      <c r="N4957" s="33" t="n">
        <f aca="false">IF(J4957="","",ABS(J4957))</f>
        <v>1.875</v>
      </c>
      <c r="O4957" s="33" t="n">
        <f aca="false">IF(K4957="","",ABS(K4957))</f>
        <v>2.05683242680553</v>
      </c>
      <c r="P4957" s="34" t="str">
        <f aca="false">IF(B4957&gt;=Eval_Start_Week,"YES","")</f>
        <v>YES</v>
      </c>
      <c r="Q4957" s="34" t="str">
        <f aca="false">IF(AND(B4957&gt;=Cal_Start_Week,B4957&lt;=Cal_End_Week),"YES","")</f>
        <v>YES</v>
      </c>
    </row>
    <row r="4958" customFormat="false" ht="15" hidden="false" customHeight="false" outlineLevel="0" collapsed="false">
      <c r="A4958" s="31" t="str">
        <f aca="false">Demand_History!C4958</f>
        <v>CLN-011</v>
      </c>
      <c r="B4958" s="31" t="n">
        <f aca="false">Demand_History!A4958</f>
        <v>69</v>
      </c>
      <c r="C4958" s="32" t="n">
        <f aca="false">Demand_History!D4958</f>
        <v>44</v>
      </c>
      <c r="D4958" s="33" t="n">
        <f aca="false">IF(B4958&gt;=2,C4957,"")</f>
        <v>42</v>
      </c>
      <c r="E4958" s="33" t="n">
        <f aca="false">IF(B4958&gt;=5,AVERAGE(C4954:C4957),"")</f>
        <v>40.25</v>
      </c>
      <c r="F4958" s="33" t="n">
        <f aca="false">IF(B4958&gt;=9,AVERAGE(C4950:C4957),"")</f>
        <v>40.875</v>
      </c>
      <c r="G4958" s="33" t="n">
        <f aca="false">IF(B4958=1,"",IF(B4958=2,C4957,SES_Alpha*C4957+(1-SES_Alpha)*G4957))</f>
        <v>40.5602173012361</v>
      </c>
      <c r="H4958" s="33" t="n">
        <f aca="false">IF(D4958="","",D4958-C4958)</f>
        <v>-2</v>
      </c>
      <c r="I4958" s="33" t="n">
        <f aca="false">IF(E4958="","",E4958-C4958)</f>
        <v>-3.75</v>
      </c>
      <c r="J4958" s="33" t="n">
        <f aca="false">IF(F4958="","",F4958-C4958)</f>
        <v>-3.125</v>
      </c>
      <c r="K4958" s="33" t="n">
        <f aca="false">IF(G4958="","",G4958-C4958)</f>
        <v>-3.43978269876387</v>
      </c>
      <c r="L4958" s="33" t="n">
        <f aca="false">IF(H4958="","",ABS(H4958))</f>
        <v>2</v>
      </c>
      <c r="M4958" s="33" t="n">
        <f aca="false">IF(I4958="","",ABS(I4958))</f>
        <v>3.75</v>
      </c>
      <c r="N4958" s="33" t="n">
        <f aca="false">IF(J4958="","",ABS(J4958))</f>
        <v>3.125</v>
      </c>
      <c r="O4958" s="33" t="n">
        <f aca="false">IF(K4958="","",ABS(K4958))</f>
        <v>3.43978269876387</v>
      </c>
      <c r="P4958" s="34" t="str">
        <f aca="false">IF(B4958&gt;=Eval_Start_Week,"YES","")</f>
        <v>YES</v>
      </c>
      <c r="Q4958" s="34" t="str">
        <f aca="false">IF(AND(B4958&gt;=Cal_Start_Week,B4958&lt;=Cal_End_Week),"YES","")</f>
        <v>YES</v>
      </c>
    </row>
    <row r="4959" customFormat="false" ht="15" hidden="false" customHeight="false" outlineLevel="0" collapsed="false">
      <c r="A4959" s="31" t="str">
        <f aca="false">Demand_History!C4959</f>
        <v>CLN-011</v>
      </c>
      <c r="B4959" s="31" t="n">
        <f aca="false">Demand_History!A4959</f>
        <v>70</v>
      </c>
      <c r="C4959" s="32" t="n">
        <f aca="false">Demand_History!D4959</f>
        <v>45</v>
      </c>
      <c r="D4959" s="33" t="n">
        <f aca="false">IF(B4959&gt;=2,C4958,"")</f>
        <v>44</v>
      </c>
      <c r="E4959" s="33" t="n">
        <f aca="false">IF(B4959&gt;=5,AVERAGE(C4955:C4958),"")</f>
        <v>42</v>
      </c>
      <c r="F4959" s="33" t="n">
        <f aca="false">IF(B4959&gt;=9,AVERAGE(C4951:C4958),"")</f>
        <v>41.25</v>
      </c>
      <c r="G4959" s="33" t="n">
        <f aca="false">IF(B4959=1,"",IF(B4959=2,C4958,SES_Alpha*C4958+(1-SES_Alpha)*G4958))</f>
        <v>41.5921521108653</v>
      </c>
      <c r="H4959" s="33" t="n">
        <f aca="false">IF(D4959="","",D4959-C4959)</f>
        <v>-1</v>
      </c>
      <c r="I4959" s="33" t="n">
        <f aca="false">IF(E4959="","",E4959-C4959)</f>
        <v>-3</v>
      </c>
      <c r="J4959" s="33" t="n">
        <f aca="false">IF(F4959="","",F4959-C4959)</f>
        <v>-3.75</v>
      </c>
      <c r="K4959" s="33" t="n">
        <f aca="false">IF(G4959="","",G4959-C4959)</f>
        <v>-3.40784788913471</v>
      </c>
      <c r="L4959" s="33" t="n">
        <f aca="false">IF(H4959="","",ABS(H4959))</f>
        <v>1</v>
      </c>
      <c r="M4959" s="33" t="n">
        <f aca="false">IF(I4959="","",ABS(I4959))</f>
        <v>3</v>
      </c>
      <c r="N4959" s="33" t="n">
        <f aca="false">IF(J4959="","",ABS(J4959))</f>
        <v>3.75</v>
      </c>
      <c r="O4959" s="33" t="n">
        <f aca="false">IF(K4959="","",ABS(K4959))</f>
        <v>3.40784788913471</v>
      </c>
      <c r="P4959" s="34" t="str">
        <f aca="false">IF(B4959&gt;=Eval_Start_Week,"YES","")</f>
        <v>YES</v>
      </c>
      <c r="Q4959" s="34" t="str">
        <f aca="false">IF(AND(B4959&gt;=Cal_Start_Week,B4959&lt;=Cal_End_Week),"YES","")</f>
        <v>YES</v>
      </c>
    </row>
    <row r="4960" customFormat="false" ht="15" hidden="false" customHeight="false" outlineLevel="0" collapsed="false">
      <c r="A4960" s="31" t="str">
        <f aca="false">Demand_History!C4960</f>
        <v>CLN-011</v>
      </c>
      <c r="B4960" s="31" t="n">
        <f aca="false">Demand_History!A4960</f>
        <v>71</v>
      </c>
      <c r="C4960" s="32" t="n">
        <f aca="false">Demand_History!D4960</f>
        <v>31</v>
      </c>
      <c r="D4960" s="33" t="n">
        <f aca="false">IF(B4960&gt;=2,C4959,"")</f>
        <v>45</v>
      </c>
      <c r="E4960" s="33" t="n">
        <f aca="false">IF(B4960&gt;=5,AVERAGE(C4956:C4959),"")</f>
        <v>41.5</v>
      </c>
      <c r="F4960" s="33" t="n">
        <f aca="false">IF(B4960&gt;=9,AVERAGE(C4952:C4959),"")</f>
        <v>42.125</v>
      </c>
      <c r="G4960" s="33" t="n">
        <f aca="false">IF(B4960=1,"",IF(B4960=2,C4959,SES_Alpha*C4959+(1-SES_Alpha)*G4959))</f>
        <v>42.6145064776057</v>
      </c>
      <c r="H4960" s="33" t="n">
        <f aca="false">IF(D4960="","",D4960-C4960)</f>
        <v>14</v>
      </c>
      <c r="I4960" s="33" t="n">
        <f aca="false">IF(E4960="","",E4960-C4960)</f>
        <v>10.5</v>
      </c>
      <c r="J4960" s="33" t="n">
        <f aca="false">IF(F4960="","",F4960-C4960)</f>
        <v>11.125</v>
      </c>
      <c r="K4960" s="33" t="n">
        <f aca="false">IF(G4960="","",G4960-C4960)</f>
        <v>11.6145064776057</v>
      </c>
      <c r="L4960" s="33" t="n">
        <f aca="false">IF(H4960="","",ABS(H4960))</f>
        <v>14</v>
      </c>
      <c r="M4960" s="33" t="n">
        <f aca="false">IF(I4960="","",ABS(I4960))</f>
        <v>10.5</v>
      </c>
      <c r="N4960" s="33" t="n">
        <f aca="false">IF(J4960="","",ABS(J4960))</f>
        <v>11.125</v>
      </c>
      <c r="O4960" s="33" t="n">
        <f aca="false">IF(K4960="","",ABS(K4960))</f>
        <v>11.6145064776057</v>
      </c>
      <c r="P4960" s="34" t="str">
        <f aca="false">IF(B4960&gt;=Eval_Start_Week,"YES","")</f>
        <v>YES</v>
      </c>
      <c r="Q4960" s="34" t="str">
        <f aca="false">IF(AND(B4960&gt;=Cal_Start_Week,B4960&lt;=Cal_End_Week),"YES","")</f>
        <v>YES</v>
      </c>
    </row>
    <row r="4961" customFormat="false" ht="15" hidden="false" customHeight="false" outlineLevel="0" collapsed="false">
      <c r="A4961" s="31" t="str">
        <f aca="false">Demand_History!C4961</f>
        <v>CLN-011</v>
      </c>
      <c r="B4961" s="31" t="n">
        <f aca="false">Demand_History!A4961</f>
        <v>72</v>
      </c>
      <c r="C4961" s="32" t="n">
        <f aca="false">Demand_History!D4961</f>
        <v>44</v>
      </c>
      <c r="D4961" s="33" t="n">
        <f aca="false">IF(B4961&gt;=2,C4960,"")</f>
        <v>31</v>
      </c>
      <c r="E4961" s="33" t="n">
        <f aca="false">IF(B4961&gt;=5,AVERAGE(C4957:C4960),"")</f>
        <v>40.5</v>
      </c>
      <c r="F4961" s="33" t="n">
        <f aca="false">IF(B4961&gt;=9,AVERAGE(C4953:C4960),"")</f>
        <v>40.5</v>
      </c>
      <c r="G4961" s="33" t="n">
        <f aca="false">IF(B4961=1,"",IF(B4961=2,C4960,SES_Alpha*C4960+(1-SES_Alpha)*G4960))</f>
        <v>39.130154534324</v>
      </c>
      <c r="H4961" s="33" t="n">
        <f aca="false">IF(D4961="","",D4961-C4961)</f>
        <v>-13</v>
      </c>
      <c r="I4961" s="33" t="n">
        <f aca="false">IF(E4961="","",E4961-C4961)</f>
        <v>-3.5</v>
      </c>
      <c r="J4961" s="33" t="n">
        <f aca="false">IF(F4961="","",F4961-C4961)</f>
        <v>-3.5</v>
      </c>
      <c r="K4961" s="33" t="n">
        <f aca="false">IF(G4961="","",G4961-C4961)</f>
        <v>-4.86984546567602</v>
      </c>
      <c r="L4961" s="33" t="n">
        <f aca="false">IF(H4961="","",ABS(H4961))</f>
        <v>13</v>
      </c>
      <c r="M4961" s="33" t="n">
        <f aca="false">IF(I4961="","",ABS(I4961))</f>
        <v>3.5</v>
      </c>
      <c r="N4961" s="33" t="n">
        <f aca="false">IF(J4961="","",ABS(J4961))</f>
        <v>3.5</v>
      </c>
      <c r="O4961" s="33" t="n">
        <f aca="false">IF(K4961="","",ABS(K4961))</f>
        <v>4.86984546567602</v>
      </c>
      <c r="P4961" s="34" t="str">
        <f aca="false">IF(B4961&gt;=Eval_Start_Week,"YES","")</f>
        <v>YES</v>
      </c>
      <c r="Q4961" s="34" t="str">
        <f aca="false">IF(AND(B4961&gt;=Cal_Start_Week,B4961&lt;=Cal_End_Week),"YES","")</f>
        <v>YES</v>
      </c>
    </row>
    <row r="4962" customFormat="false" ht="15" hidden="false" customHeight="false" outlineLevel="0" collapsed="false">
      <c r="A4962" s="31" t="str">
        <f aca="false">Demand_History!C4962</f>
        <v>CLN-011</v>
      </c>
      <c r="B4962" s="31" t="n">
        <f aca="false">Demand_History!A4962</f>
        <v>73</v>
      </c>
      <c r="C4962" s="32" t="n">
        <f aca="false">Demand_History!D4962</f>
        <v>45</v>
      </c>
      <c r="D4962" s="33" t="n">
        <f aca="false">IF(B4962&gt;=2,C4961,"")</f>
        <v>44</v>
      </c>
      <c r="E4962" s="33" t="n">
        <f aca="false">IF(B4962&gt;=5,AVERAGE(C4958:C4961),"")</f>
        <v>41</v>
      </c>
      <c r="F4962" s="33" t="n">
        <f aca="false">IF(B4962&gt;=9,AVERAGE(C4954:C4961),"")</f>
        <v>40.625</v>
      </c>
      <c r="G4962" s="33" t="n">
        <f aca="false">IF(B4962=1,"",IF(B4962=2,C4961,SES_Alpha*C4961+(1-SES_Alpha)*G4961))</f>
        <v>40.5911081740268</v>
      </c>
      <c r="H4962" s="33" t="n">
        <f aca="false">IF(D4962="","",D4962-C4962)</f>
        <v>-1</v>
      </c>
      <c r="I4962" s="33" t="n">
        <f aca="false">IF(E4962="","",E4962-C4962)</f>
        <v>-4</v>
      </c>
      <c r="J4962" s="33" t="n">
        <f aca="false">IF(F4962="","",F4962-C4962)</f>
        <v>-4.375</v>
      </c>
      <c r="K4962" s="33" t="n">
        <f aca="false">IF(G4962="","",G4962-C4962)</f>
        <v>-4.40889182597321</v>
      </c>
      <c r="L4962" s="33" t="n">
        <f aca="false">IF(H4962="","",ABS(H4962))</f>
        <v>1</v>
      </c>
      <c r="M4962" s="33" t="n">
        <f aca="false">IF(I4962="","",ABS(I4962))</f>
        <v>4</v>
      </c>
      <c r="N4962" s="33" t="n">
        <f aca="false">IF(J4962="","",ABS(J4962))</f>
        <v>4.375</v>
      </c>
      <c r="O4962" s="33" t="n">
        <f aca="false">IF(K4962="","",ABS(K4962))</f>
        <v>4.40889182597321</v>
      </c>
      <c r="P4962" s="34" t="str">
        <f aca="false">IF(B4962&gt;=Eval_Start_Week,"YES","")</f>
        <v>YES</v>
      </c>
      <c r="Q4962" s="34" t="str">
        <f aca="false">IF(AND(B4962&gt;=Cal_Start_Week,B4962&lt;=Cal_End_Week),"YES","")</f>
        <v>YES</v>
      </c>
    </row>
    <row r="4963" customFormat="false" ht="15" hidden="false" customHeight="false" outlineLevel="0" collapsed="false">
      <c r="A4963" s="31" t="str">
        <f aca="false">Demand_History!C4963</f>
        <v>CLN-011</v>
      </c>
      <c r="B4963" s="31" t="n">
        <f aca="false">Demand_History!A4963</f>
        <v>74</v>
      </c>
      <c r="C4963" s="32" t="n">
        <f aca="false">Demand_History!D4963</f>
        <v>46</v>
      </c>
      <c r="D4963" s="33" t="n">
        <f aca="false">IF(B4963&gt;=2,C4962,"")</f>
        <v>45</v>
      </c>
      <c r="E4963" s="33" t="n">
        <f aca="false">IF(B4963&gt;=5,AVERAGE(C4959:C4962),"")</f>
        <v>41.25</v>
      </c>
      <c r="F4963" s="33" t="n">
        <f aca="false">IF(B4963&gt;=9,AVERAGE(C4955:C4962),"")</f>
        <v>41.625</v>
      </c>
      <c r="G4963" s="33" t="n">
        <f aca="false">IF(B4963=1,"",IF(B4963=2,C4962,SES_Alpha*C4962+(1-SES_Alpha)*G4962))</f>
        <v>41.9137757218188</v>
      </c>
      <c r="H4963" s="33" t="n">
        <f aca="false">IF(D4963="","",D4963-C4963)</f>
        <v>-1</v>
      </c>
      <c r="I4963" s="33" t="n">
        <f aca="false">IF(E4963="","",E4963-C4963)</f>
        <v>-4.75</v>
      </c>
      <c r="J4963" s="33" t="n">
        <f aca="false">IF(F4963="","",F4963-C4963)</f>
        <v>-4.375</v>
      </c>
      <c r="K4963" s="33" t="n">
        <f aca="false">IF(G4963="","",G4963-C4963)</f>
        <v>-4.08622427818125</v>
      </c>
      <c r="L4963" s="33" t="n">
        <f aca="false">IF(H4963="","",ABS(H4963))</f>
        <v>1</v>
      </c>
      <c r="M4963" s="33" t="n">
        <f aca="false">IF(I4963="","",ABS(I4963))</f>
        <v>4.75</v>
      </c>
      <c r="N4963" s="33" t="n">
        <f aca="false">IF(J4963="","",ABS(J4963))</f>
        <v>4.375</v>
      </c>
      <c r="O4963" s="33" t="n">
        <f aca="false">IF(K4963="","",ABS(K4963))</f>
        <v>4.08622427818125</v>
      </c>
      <c r="P4963" s="34" t="str">
        <f aca="false">IF(B4963&gt;=Eval_Start_Week,"YES","")</f>
        <v>YES</v>
      </c>
      <c r="Q4963" s="34" t="str">
        <f aca="false">IF(AND(B4963&gt;=Cal_Start_Week,B4963&lt;=Cal_End_Week),"YES","")</f>
        <v>YES</v>
      </c>
    </row>
    <row r="4964" customFormat="false" ht="15" hidden="false" customHeight="false" outlineLevel="0" collapsed="false">
      <c r="A4964" s="31" t="str">
        <f aca="false">Demand_History!C4964</f>
        <v>CLN-011</v>
      </c>
      <c r="B4964" s="31" t="n">
        <f aca="false">Demand_History!A4964</f>
        <v>75</v>
      </c>
      <c r="C4964" s="32" t="n">
        <f aca="false">Demand_History!D4964</f>
        <v>31</v>
      </c>
      <c r="D4964" s="33" t="n">
        <f aca="false">IF(B4964&gt;=2,C4963,"")</f>
        <v>46</v>
      </c>
      <c r="E4964" s="33" t="n">
        <f aca="false">IF(B4964&gt;=5,AVERAGE(C4960:C4963),"")</f>
        <v>41.5</v>
      </c>
      <c r="F4964" s="33" t="n">
        <f aca="false">IF(B4964&gt;=9,AVERAGE(C4956:C4963),"")</f>
        <v>41.5</v>
      </c>
      <c r="G4964" s="33" t="n">
        <f aca="false">IF(B4964=1,"",IF(B4964=2,C4963,SES_Alpha*C4963+(1-SES_Alpha)*G4963))</f>
        <v>43.1396430052731</v>
      </c>
      <c r="H4964" s="33" t="n">
        <f aca="false">IF(D4964="","",D4964-C4964)</f>
        <v>15</v>
      </c>
      <c r="I4964" s="33" t="n">
        <f aca="false">IF(E4964="","",E4964-C4964)</f>
        <v>10.5</v>
      </c>
      <c r="J4964" s="33" t="n">
        <f aca="false">IF(F4964="","",F4964-C4964)</f>
        <v>10.5</v>
      </c>
      <c r="K4964" s="33" t="n">
        <f aca="false">IF(G4964="","",G4964-C4964)</f>
        <v>12.1396430052731</v>
      </c>
      <c r="L4964" s="33" t="n">
        <f aca="false">IF(H4964="","",ABS(H4964))</f>
        <v>15</v>
      </c>
      <c r="M4964" s="33" t="n">
        <f aca="false">IF(I4964="","",ABS(I4964))</f>
        <v>10.5</v>
      </c>
      <c r="N4964" s="33" t="n">
        <f aca="false">IF(J4964="","",ABS(J4964))</f>
        <v>10.5</v>
      </c>
      <c r="O4964" s="33" t="n">
        <f aca="false">IF(K4964="","",ABS(K4964))</f>
        <v>12.1396430052731</v>
      </c>
      <c r="P4964" s="34" t="str">
        <f aca="false">IF(B4964&gt;=Eval_Start_Week,"YES","")</f>
        <v>YES</v>
      </c>
      <c r="Q4964" s="34" t="str">
        <f aca="false">IF(AND(B4964&gt;=Cal_Start_Week,B4964&lt;=Cal_End_Week),"YES","")</f>
        <v>YES</v>
      </c>
    </row>
    <row r="4965" customFormat="false" ht="15" hidden="false" customHeight="false" outlineLevel="0" collapsed="false">
      <c r="A4965" s="31" t="str">
        <f aca="false">Demand_History!C4965</f>
        <v>CLN-011</v>
      </c>
      <c r="B4965" s="31" t="n">
        <f aca="false">Demand_History!A4965</f>
        <v>76</v>
      </c>
      <c r="C4965" s="32" t="n">
        <f aca="false">Demand_History!D4965</f>
        <v>37</v>
      </c>
      <c r="D4965" s="33" t="n">
        <f aca="false">IF(B4965&gt;=2,C4964,"")</f>
        <v>31</v>
      </c>
      <c r="E4965" s="33" t="n">
        <f aca="false">IF(B4965&gt;=5,AVERAGE(C4961:C4964),"")</f>
        <v>41.5</v>
      </c>
      <c r="F4965" s="33" t="n">
        <f aca="false">IF(B4965&gt;=9,AVERAGE(C4957:C4964),"")</f>
        <v>41</v>
      </c>
      <c r="G4965" s="33" t="n">
        <f aca="false">IF(B4965=1,"",IF(B4965=2,C4964,SES_Alpha*C4964+(1-SES_Alpha)*G4964))</f>
        <v>39.4977501036912</v>
      </c>
      <c r="H4965" s="33" t="n">
        <f aca="false">IF(D4965="","",D4965-C4965)</f>
        <v>-6</v>
      </c>
      <c r="I4965" s="33" t="n">
        <f aca="false">IF(E4965="","",E4965-C4965)</f>
        <v>4.5</v>
      </c>
      <c r="J4965" s="33" t="n">
        <f aca="false">IF(F4965="","",F4965-C4965)</f>
        <v>4</v>
      </c>
      <c r="K4965" s="33" t="n">
        <f aca="false">IF(G4965="","",G4965-C4965)</f>
        <v>2.49775010369118</v>
      </c>
      <c r="L4965" s="33" t="n">
        <f aca="false">IF(H4965="","",ABS(H4965))</f>
        <v>6</v>
      </c>
      <c r="M4965" s="33" t="n">
        <f aca="false">IF(I4965="","",ABS(I4965))</f>
        <v>4.5</v>
      </c>
      <c r="N4965" s="33" t="n">
        <f aca="false">IF(J4965="","",ABS(J4965))</f>
        <v>4</v>
      </c>
      <c r="O4965" s="33" t="n">
        <f aca="false">IF(K4965="","",ABS(K4965))</f>
        <v>2.49775010369118</v>
      </c>
      <c r="P4965" s="34" t="str">
        <f aca="false">IF(B4965&gt;=Eval_Start_Week,"YES","")</f>
        <v>YES</v>
      </c>
      <c r="Q4965" s="34" t="str">
        <f aca="false">IF(AND(B4965&gt;=Cal_Start_Week,B4965&lt;=Cal_End_Week),"YES","")</f>
        <v>YES</v>
      </c>
    </row>
    <row r="4966" customFormat="false" ht="15" hidden="false" customHeight="false" outlineLevel="0" collapsed="false">
      <c r="A4966" s="31" t="str">
        <f aca="false">Demand_History!C4966</f>
        <v>CLN-011</v>
      </c>
      <c r="B4966" s="31" t="n">
        <f aca="false">Demand_History!A4966</f>
        <v>77</v>
      </c>
      <c r="C4966" s="32" t="n">
        <f aca="false">Demand_History!D4966</f>
        <v>40</v>
      </c>
      <c r="D4966" s="33" t="n">
        <f aca="false">IF(B4966&gt;=2,C4965,"")</f>
        <v>37</v>
      </c>
      <c r="E4966" s="33" t="n">
        <f aca="false">IF(B4966&gt;=5,AVERAGE(C4962:C4965),"")</f>
        <v>39.75</v>
      </c>
      <c r="F4966" s="33" t="n">
        <f aca="false">IF(B4966&gt;=9,AVERAGE(C4958:C4965),"")</f>
        <v>40.375</v>
      </c>
      <c r="G4966" s="33" t="n">
        <f aca="false">IF(B4966=1,"",IF(B4966=2,C4965,SES_Alpha*C4965+(1-SES_Alpha)*G4965))</f>
        <v>38.7484250725838</v>
      </c>
      <c r="H4966" s="33" t="n">
        <f aca="false">IF(D4966="","",D4966-C4966)</f>
        <v>-3</v>
      </c>
      <c r="I4966" s="33" t="n">
        <f aca="false">IF(E4966="","",E4966-C4966)</f>
        <v>-0.25</v>
      </c>
      <c r="J4966" s="33" t="n">
        <f aca="false">IF(F4966="","",F4966-C4966)</f>
        <v>0.375</v>
      </c>
      <c r="K4966" s="33" t="n">
        <f aca="false">IF(G4966="","",G4966-C4966)</f>
        <v>-1.25157492741617</v>
      </c>
      <c r="L4966" s="33" t="n">
        <f aca="false">IF(H4966="","",ABS(H4966))</f>
        <v>3</v>
      </c>
      <c r="M4966" s="33" t="n">
        <f aca="false">IF(I4966="","",ABS(I4966))</f>
        <v>0.25</v>
      </c>
      <c r="N4966" s="33" t="n">
        <f aca="false">IF(J4966="","",ABS(J4966))</f>
        <v>0.375</v>
      </c>
      <c r="O4966" s="33" t="n">
        <f aca="false">IF(K4966="","",ABS(K4966))</f>
        <v>1.25157492741617</v>
      </c>
      <c r="P4966" s="34" t="str">
        <f aca="false">IF(B4966&gt;=Eval_Start_Week,"YES","")</f>
        <v>YES</v>
      </c>
      <c r="Q4966" s="34" t="str">
        <f aca="false">IF(AND(B4966&gt;=Cal_Start_Week,B4966&lt;=Cal_End_Week),"YES","")</f>
        <v>YES</v>
      </c>
    </row>
    <row r="4967" customFormat="false" ht="15" hidden="false" customHeight="false" outlineLevel="0" collapsed="false">
      <c r="A4967" s="31" t="str">
        <f aca="false">Demand_History!C4967</f>
        <v>CLN-011</v>
      </c>
      <c r="B4967" s="31" t="n">
        <f aca="false">Demand_History!A4967</f>
        <v>78</v>
      </c>
      <c r="C4967" s="32" t="n">
        <f aca="false">Demand_History!D4967</f>
        <v>38</v>
      </c>
      <c r="D4967" s="33" t="n">
        <f aca="false">IF(B4967&gt;=2,C4966,"")</f>
        <v>40</v>
      </c>
      <c r="E4967" s="33" t="n">
        <f aca="false">IF(B4967&gt;=5,AVERAGE(C4963:C4966),"")</f>
        <v>38.5</v>
      </c>
      <c r="F4967" s="33" t="n">
        <f aca="false">IF(B4967&gt;=9,AVERAGE(C4959:C4966),"")</f>
        <v>39.875</v>
      </c>
      <c r="G4967" s="33" t="n">
        <f aca="false">IF(B4967=1,"",IF(B4967=2,C4966,SES_Alpha*C4966+(1-SES_Alpha)*G4966))</f>
        <v>39.1238975508087</v>
      </c>
      <c r="H4967" s="33" t="n">
        <f aca="false">IF(D4967="","",D4967-C4967)</f>
        <v>2</v>
      </c>
      <c r="I4967" s="33" t="n">
        <f aca="false">IF(E4967="","",E4967-C4967)</f>
        <v>0.5</v>
      </c>
      <c r="J4967" s="33" t="n">
        <f aca="false">IF(F4967="","",F4967-C4967)</f>
        <v>1.875</v>
      </c>
      <c r="K4967" s="33" t="n">
        <f aca="false">IF(G4967="","",G4967-C4967)</f>
        <v>1.12389755080868</v>
      </c>
      <c r="L4967" s="33" t="n">
        <f aca="false">IF(H4967="","",ABS(H4967))</f>
        <v>2</v>
      </c>
      <c r="M4967" s="33" t="n">
        <f aca="false">IF(I4967="","",ABS(I4967))</f>
        <v>0.5</v>
      </c>
      <c r="N4967" s="33" t="n">
        <f aca="false">IF(J4967="","",ABS(J4967))</f>
        <v>1.875</v>
      </c>
      <c r="O4967" s="33" t="n">
        <f aca="false">IF(K4967="","",ABS(K4967))</f>
        <v>1.12389755080868</v>
      </c>
      <c r="P4967" s="34" t="str">
        <f aca="false">IF(B4967&gt;=Eval_Start_Week,"YES","")</f>
        <v>YES</v>
      </c>
      <c r="Q4967" s="34" t="str">
        <f aca="false">IF(AND(B4967&gt;=Cal_Start_Week,B4967&lt;=Cal_End_Week),"YES","")</f>
        <v>YES</v>
      </c>
    </row>
    <row r="4968" customFormat="false" ht="15" hidden="false" customHeight="false" outlineLevel="0" collapsed="false">
      <c r="A4968" s="31" t="str">
        <f aca="false">Demand_History!C4968</f>
        <v>CLN-011</v>
      </c>
      <c r="B4968" s="31" t="n">
        <f aca="false">Demand_History!A4968</f>
        <v>79</v>
      </c>
      <c r="C4968" s="32" t="n">
        <f aca="false">Demand_History!D4968</f>
        <v>45</v>
      </c>
      <c r="D4968" s="33" t="n">
        <f aca="false">IF(B4968&gt;=2,C4967,"")</f>
        <v>38</v>
      </c>
      <c r="E4968" s="33" t="n">
        <f aca="false">IF(B4968&gt;=5,AVERAGE(C4964:C4967),"")</f>
        <v>36.5</v>
      </c>
      <c r="F4968" s="33" t="n">
        <f aca="false">IF(B4968&gt;=9,AVERAGE(C4960:C4967),"")</f>
        <v>39</v>
      </c>
      <c r="G4968" s="33" t="n">
        <f aca="false">IF(B4968=1,"",IF(B4968=2,C4967,SES_Alpha*C4967+(1-SES_Alpha)*G4967))</f>
        <v>38.7867282855661</v>
      </c>
      <c r="H4968" s="33" t="n">
        <f aca="false">IF(D4968="","",D4968-C4968)</f>
        <v>-7</v>
      </c>
      <c r="I4968" s="33" t="n">
        <f aca="false">IF(E4968="","",E4968-C4968)</f>
        <v>-8.5</v>
      </c>
      <c r="J4968" s="33" t="n">
        <f aca="false">IF(F4968="","",F4968-C4968)</f>
        <v>-6</v>
      </c>
      <c r="K4968" s="33" t="n">
        <f aca="false">IF(G4968="","",G4968-C4968)</f>
        <v>-6.21327171443393</v>
      </c>
      <c r="L4968" s="33" t="n">
        <f aca="false">IF(H4968="","",ABS(H4968))</f>
        <v>7</v>
      </c>
      <c r="M4968" s="33" t="n">
        <f aca="false">IF(I4968="","",ABS(I4968))</f>
        <v>8.5</v>
      </c>
      <c r="N4968" s="33" t="n">
        <f aca="false">IF(J4968="","",ABS(J4968))</f>
        <v>6</v>
      </c>
      <c r="O4968" s="33" t="n">
        <f aca="false">IF(K4968="","",ABS(K4968))</f>
        <v>6.21327171443393</v>
      </c>
      <c r="P4968" s="34" t="str">
        <f aca="false">IF(B4968&gt;=Eval_Start_Week,"YES","")</f>
        <v>YES</v>
      </c>
      <c r="Q4968" s="34" t="str">
        <f aca="false">IF(AND(B4968&gt;=Cal_Start_Week,B4968&lt;=Cal_End_Week),"YES","")</f>
        <v>YES</v>
      </c>
    </row>
    <row r="4969" customFormat="false" ht="15" hidden="false" customHeight="false" outlineLevel="0" collapsed="false">
      <c r="A4969" s="31" t="str">
        <f aca="false">Demand_History!C4969</f>
        <v>CLN-011</v>
      </c>
      <c r="B4969" s="31" t="n">
        <f aca="false">Demand_History!A4969</f>
        <v>80</v>
      </c>
      <c r="C4969" s="32" t="n">
        <f aca="false">Demand_History!D4969</f>
        <v>37</v>
      </c>
      <c r="D4969" s="33" t="n">
        <f aca="false">IF(B4969&gt;=2,C4968,"")</f>
        <v>45</v>
      </c>
      <c r="E4969" s="33" t="n">
        <f aca="false">IF(B4969&gt;=5,AVERAGE(C4965:C4968),"")</f>
        <v>40</v>
      </c>
      <c r="F4969" s="33" t="n">
        <f aca="false">IF(B4969&gt;=9,AVERAGE(C4961:C4968),"")</f>
        <v>40.75</v>
      </c>
      <c r="G4969" s="33" t="n">
        <f aca="false">IF(B4969=1,"",IF(B4969=2,C4968,SES_Alpha*C4968+(1-SES_Alpha)*G4968))</f>
        <v>40.6507097998963</v>
      </c>
      <c r="H4969" s="33" t="n">
        <f aca="false">IF(D4969="","",D4969-C4969)</f>
        <v>8</v>
      </c>
      <c r="I4969" s="33" t="n">
        <f aca="false">IF(E4969="","",E4969-C4969)</f>
        <v>3</v>
      </c>
      <c r="J4969" s="33" t="n">
        <f aca="false">IF(F4969="","",F4969-C4969)</f>
        <v>3.75</v>
      </c>
      <c r="K4969" s="33" t="n">
        <f aca="false">IF(G4969="","",G4969-C4969)</f>
        <v>3.65070979989625</v>
      </c>
      <c r="L4969" s="33" t="n">
        <f aca="false">IF(H4969="","",ABS(H4969))</f>
        <v>8</v>
      </c>
      <c r="M4969" s="33" t="n">
        <f aca="false">IF(I4969="","",ABS(I4969))</f>
        <v>3</v>
      </c>
      <c r="N4969" s="33" t="n">
        <f aca="false">IF(J4969="","",ABS(J4969))</f>
        <v>3.75</v>
      </c>
      <c r="O4969" s="33" t="n">
        <f aca="false">IF(K4969="","",ABS(K4969))</f>
        <v>3.65070979989625</v>
      </c>
      <c r="P4969" s="34" t="str">
        <f aca="false">IF(B4969&gt;=Eval_Start_Week,"YES","")</f>
        <v>YES</v>
      </c>
      <c r="Q4969" s="34" t="str">
        <f aca="false">IF(AND(B4969&gt;=Cal_Start_Week,B4969&lt;=Cal_End_Week),"YES","")</f>
        <v>YES</v>
      </c>
    </row>
    <row r="4970" customFormat="false" ht="15" hidden="false" customHeight="false" outlineLevel="0" collapsed="false">
      <c r="A4970" s="31" t="str">
        <f aca="false">Demand_History!C4970</f>
        <v>CLN-011</v>
      </c>
      <c r="B4970" s="31" t="n">
        <f aca="false">Demand_History!A4970</f>
        <v>81</v>
      </c>
      <c r="C4970" s="32" t="n">
        <f aca="false">Demand_History!D4970</f>
        <v>45</v>
      </c>
      <c r="D4970" s="33" t="n">
        <f aca="false">IF(B4970&gt;=2,C4969,"")</f>
        <v>37</v>
      </c>
      <c r="E4970" s="33" t="n">
        <f aca="false">IF(B4970&gt;=5,AVERAGE(C4966:C4969),"")</f>
        <v>40</v>
      </c>
      <c r="F4970" s="33" t="n">
        <f aca="false">IF(B4970&gt;=9,AVERAGE(C4962:C4969),"")</f>
        <v>39.875</v>
      </c>
      <c r="G4970" s="33" t="n">
        <f aca="false">IF(B4970=1,"",IF(B4970=2,C4969,SES_Alpha*C4969+(1-SES_Alpha)*G4969))</f>
        <v>39.5554968599274</v>
      </c>
      <c r="H4970" s="33" t="n">
        <f aca="false">IF(D4970="","",D4970-C4970)</f>
        <v>-8</v>
      </c>
      <c r="I4970" s="33" t="n">
        <f aca="false">IF(E4970="","",E4970-C4970)</f>
        <v>-5</v>
      </c>
      <c r="J4970" s="33" t="n">
        <f aca="false">IF(F4970="","",F4970-C4970)</f>
        <v>-5.125</v>
      </c>
      <c r="K4970" s="33" t="n">
        <f aca="false">IF(G4970="","",G4970-C4970)</f>
        <v>-5.44450314007263</v>
      </c>
      <c r="L4970" s="33" t="n">
        <f aca="false">IF(H4970="","",ABS(H4970))</f>
        <v>8</v>
      </c>
      <c r="M4970" s="33" t="n">
        <f aca="false">IF(I4970="","",ABS(I4970))</f>
        <v>5</v>
      </c>
      <c r="N4970" s="33" t="n">
        <f aca="false">IF(J4970="","",ABS(J4970))</f>
        <v>5.125</v>
      </c>
      <c r="O4970" s="33" t="n">
        <f aca="false">IF(K4970="","",ABS(K4970))</f>
        <v>5.44450314007263</v>
      </c>
      <c r="P4970" s="34" t="str">
        <f aca="false">IF(B4970&gt;=Eval_Start_Week,"YES","")</f>
        <v>YES</v>
      </c>
      <c r="Q4970" s="34" t="str">
        <f aca="false">IF(AND(B4970&gt;=Cal_Start_Week,B4970&lt;=Cal_End_Week),"YES","")</f>
        <v>YES</v>
      </c>
    </row>
    <row r="4971" customFormat="false" ht="15" hidden="false" customHeight="false" outlineLevel="0" collapsed="false">
      <c r="A4971" s="31" t="str">
        <f aca="false">Demand_History!C4971</f>
        <v>CLN-011</v>
      </c>
      <c r="B4971" s="31" t="n">
        <f aca="false">Demand_History!A4971</f>
        <v>82</v>
      </c>
      <c r="C4971" s="32" t="n">
        <f aca="false">Demand_History!D4971</f>
        <v>42</v>
      </c>
      <c r="D4971" s="33" t="n">
        <f aca="false">IF(B4971&gt;=2,C4970,"")</f>
        <v>45</v>
      </c>
      <c r="E4971" s="33" t="n">
        <f aca="false">IF(B4971&gt;=5,AVERAGE(C4967:C4970),"")</f>
        <v>41.25</v>
      </c>
      <c r="F4971" s="33" t="n">
        <f aca="false">IF(B4971&gt;=9,AVERAGE(C4963:C4970),"")</f>
        <v>39.875</v>
      </c>
      <c r="G4971" s="33" t="n">
        <f aca="false">IF(B4971=1,"",IF(B4971=2,C4970,SES_Alpha*C4970+(1-SES_Alpha)*G4970))</f>
        <v>41.1888478019492</v>
      </c>
      <c r="H4971" s="33" t="n">
        <f aca="false">IF(D4971="","",D4971-C4971)</f>
        <v>3</v>
      </c>
      <c r="I4971" s="33" t="n">
        <f aca="false">IF(E4971="","",E4971-C4971)</f>
        <v>-0.75</v>
      </c>
      <c r="J4971" s="33" t="n">
        <f aca="false">IF(F4971="","",F4971-C4971)</f>
        <v>-2.125</v>
      </c>
      <c r="K4971" s="33" t="n">
        <f aca="false">IF(G4971="","",G4971-C4971)</f>
        <v>-0.811152198050841</v>
      </c>
      <c r="L4971" s="33" t="n">
        <f aca="false">IF(H4971="","",ABS(H4971))</f>
        <v>3</v>
      </c>
      <c r="M4971" s="33" t="n">
        <f aca="false">IF(I4971="","",ABS(I4971))</f>
        <v>0.75</v>
      </c>
      <c r="N4971" s="33" t="n">
        <f aca="false">IF(J4971="","",ABS(J4971))</f>
        <v>2.125</v>
      </c>
      <c r="O4971" s="33" t="n">
        <f aca="false">IF(K4971="","",ABS(K4971))</f>
        <v>0.811152198050841</v>
      </c>
      <c r="P4971" s="34" t="str">
        <f aca="false">IF(B4971&gt;=Eval_Start_Week,"YES","")</f>
        <v>YES</v>
      </c>
      <c r="Q4971" s="34" t="str">
        <f aca="false">IF(AND(B4971&gt;=Cal_Start_Week,B4971&lt;=Cal_End_Week),"YES","")</f>
        <v>YES</v>
      </c>
    </row>
    <row r="4972" customFormat="false" ht="15" hidden="false" customHeight="false" outlineLevel="0" collapsed="false">
      <c r="A4972" s="31" t="str">
        <f aca="false">Demand_History!C4972</f>
        <v>CLN-011</v>
      </c>
      <c r="B4972" s="31" t="n">
        <f aca="false">Demand_History!A4972</f>
        <v>83</v>
      </c>
      <c r="C4972" s="32" t="n">
        <f aca="false">Demand_History!D4972</f>
        <v>34</v>
      </c>
      <c r="D4972" s="33" t="n">
        <f aca="false">IF(B4972&gt;=2,C4971,"")</f>
        <v>42</v>
      </c>
      <c r="E4972" s="33" t="n">
        <f aca="false">IF(B4972&gt;=5,AVERAGE(C4968:C4971),"")</f>
        <v>42.25</v>
      </c>
      <c r="F4972" s="33" t="n">
        <f aca="false">IF(B4972&gt;=9,AVERAGE(C4964:C4971),"")</f>
        <v>39.375</v>
      </c>
      <c r="G4972" s="33" t="n">
        <f aca="false">IF(B4972=1,"",IF(B4972=2,C4971,SES_Alpha*C4971+(1-SES_Alpha)*G4971))</f>
        <v>41.4321934613644</v>
      </c>
      <c r="H4972" s="33" t="n">
        <f aca="false">IF(D4972="","",D4972-C4972)</f>
        <v>8</v>
      </c>
      <c r="I4972" s="33" t="n">
        <f aca="false">IF(E4972="","",E4972-C4972)</f>
        <v>8.25</v>
      </c>
      <c r="J4972" s="33" t="n">
        <f aca="false">IF(F4972="","",F4972-C4972)</f>
        <v>5.375</v>
      </c>
      <c r="K4972" s="33" t="n">
        <f aca="false">IF(G4972="","",G4972-C4972)</f>
        <v>7.43219346136441</v>
      </c>
      <c r="L4972" s="33" t="n">
        <f aca="false">IF(H4972="","",ABS(H4972))</f>
        <v>8</v>
      </c>
      <c r="M4972" s="33" t="n">
        <f aca="false">IF(I4972="","",ABS(I4972))</f>
        <v>8.25</v>
      </c>
      <c r="N4972" s="33" t="n">
        <f aca="false">IF(J4972="","",ABS(J4972))</f>
        <v>5.375</v>
      </c>
      <c r="O4972" s="33" t="n">
        <f aca="false">IF(K4972="","",ABS(K4972))</f>
        <v>7.43219346136441</v>
      </c>
      <c r="P4972" s="34" t="str">
        <f aca="false">IF(B4972&gt;=Eval_Start_Week,"YES","")</f>
        <v>YES</v>
      </c>
      <c r="Q4972" s="34" t="str">
        <f aca="false">IF(AND(B4972&gt;=Cal_Start_Week,B4972&lt;=Cal_End_Week),"YES","")</f>
        <v>YES</v>
      </c>
    </row>
    <row r="4973" customFormat="false" ht="15" hidden="false" customHeight="false" outlineLevel="0" collapsed="false">
      <c r="A4973" s="31" t="str">
        <f aca="false">Demand_History!C4973</f>
        <v>CLN-011</v>
      </c>
      <c r="B4973" s="31" t="n">
        <f aca="false">Demand_History!A4973</f>
        <v>84</v>
      </c>
      <c r="C4973" s="32" t="n">
        <f aca="false">Demand_History!D4973</f>
        <v>36</v>
      </c>
      <c r="D4973" s="33" t="n">
        <f aca="false">IF(B4973&gt;=2,C4972,"")</f>
        <v>34</v>
      </c>
      <c r="E4973" s="33" t="n">
        <f aca="false">IF(B4973&gt;=5,AVERAGE(C4969:C4972),"")</f>
        <v>39.5</v>
      </c>
      <c r="F4973" s="33" t="n">
        <f aca="false">IF(B4973&gt;=9,AVERAGE(C4965:C4972),"")</f>
        <v>39.75</v>
      </c>
      <c r="G4973" s="33" t="n">
        <f aca="false">IF(B4973=1,"",IF(B4973=2,C4972,SES_Alpha*C4972+(1-SES_Alpha)*G4972))</f>
        <v>39.2025354229551</v>
      </c>
      <c r="H4973" s="33" t="n">
        <f aca="false">IF(D4973="","",D4973-C4973)</f>
        <v>-2</v>
      </c>
      <c r="I4973" s="33" t="n">
        <f aca="false">IF(E4973="","",E4973-C4973)</f>
        <v>3.5</v>
      </c>
      <c r="J4973" s="33" t="n">
        <f aca="false">IF(F4973="","",F4973-C4973)</f>
        <v>3.75</v>
      </c>
      <c r="K4973" s="33" t="n">
        <f aca="false">IF(G4973="","",G4973-C4973)</f>
        <v>3.20253542295508</v>
      </c>
      <c r="L4973" s="33" t="n">
        <f aca="false">IF(H4973="","",ABS(H4973))</f>
        <v>2</v>
      </c>
      <c r="M4973" s="33" t="n">
        <f aca="false">IF(I4973="","",ABS(I4973))</f>
        <v>3.5</v>
      </c>
      <c r="N4973" s="33" t="n">
        <f aca="false">IF(J4973="","",ABS(J4973))</f>
        <v>3.75</v>
      </c>
      <c r="O4973" s="33" t="n">
        <f aca="false">IF(K4973="","",ABS(K4973))</f>
        <v>3.20253542295508</v>
      </c>
      <c r="P4973" s="34" t="str">
        <f aca="false">IF(B4973&gt;=Eval_Start_Week,"YES","")</f>
        <v>YES</v>
      </c>
      <c r="Q4973" s="34" t="str">
        <f aca="false">IF(AND(B4973&gt;=Cal_Start_Week,B4973&lt;=Cal_End_Week),"YES","")</f>
        <v>YES</v>
      </c>
    </row>
    <row r="4974" customFormat="false" ht="15" hidden="false" customHeight="false" outlineLevel="0" collapsed="false">
      <c r="A4974" s="31" t="str">
        <f aca="false">Demand_History!C4974</f>
        <v>CLN-011</v>
      </c>
      <c r="B4974" s="31" t="n">
        <f aca="false">Demand_History!A4974</f>
        <v>85</v>
      </c>
      <c r="C4974" s="32" t="n">
        <f aca="false">Demand_History!D4974</f>
        <v>38</v>
      </c>
      <c r="D4974" s="33" t="n">
        <f aca="false">IF(B4974&gt;=2,C4973,"")</f>
        <v>36</v>
      </c>
      <c r="E4974" s="33" t="n">
        <f aca="false">IF(B4974&gt;=5,AVERAGE(C4970:C4973),"")</f>
        <v>39.25</v>
      </c>
      <c r="F4974" s="33" t="n">
        <f aca="false">IF(B4974&gt;=9,AVERAGE(C4966:C4973),"")</f>
        <v>39.625</v>
      </c>
      <c r="G4974" s="33" t="n">
        <f aca="false">IF(B4974=1,"",IF(B4974=2,C4973,SES_Alpha*C4973+(1-SES_Alpha)*G4973))</f>
        <v>38.2417747960686</v>
      </c>
      <c r="H4974" s="33" t="n">
        <f aca="false">IF(D4974="","",D4974-C4974)</f>
        <v>-2</v>
      </c>
      <c r="I4974" s="33" t="n">
        <f aca="false">IF(E4974="","",E4974-C4974)</f>
        <v>1.25</v>
      </c>
      <c r="J4974" s="33" t="n">
        <f aca="false">IF(F4974="","",F4974-C4974)</f>
        <v>1.625</v>
      </c>
      <c r="K4974" s="33" t="n">
        <f aca="false">IF(G4974="","",G4974-C4974)</f>
        <v>0.241774796068555</v>
      </c>
      <c r="L4974" s="33" t="n">
        <f aca="false">IF(H4974="","",ABS(H4974))</f>
        <v>2</v>
      </c>
      <c r="M4974" s="33" t="n">
        <f aca="false">IF(I4974="","",ABS(I4974))</f>
        <v>1.25</v>
      </c>
      <c r="N4974" s="33" t="n">
        <f aca="false">IF(J4974="","",ABS(J4974))</f>
        <v>1.625</v>
      </c>
      <c r="O4974" s="33" t="n">
        <f aca="false">IF(K4974="","",ABS(K4974))</f>
        <v>0.241774796068555</v>
      </c>
      <c r="P4974" s="34" t="str">
        <f aca="false">IF(B4974&gt;=Eval_Start_Week,"YES","")</f>
        <v>YES</v>
      </c>
      <c r="Q4974" s="34" t="str">
        <f aca="false">IF(AND(B4974&gt;=Cal_Start_Week,B4974&lt;=Cal_End_Week),"YES","")</f>
        <v>YES</v>
      </c>
    </row>
    <row r="4975" customFormat="false" ht="15" hidden="false" customHeight="false" outlineLevel="0" collapsed="false">
      <c r="A4975" s="31" t="str">
        <f aca="false">Demand_History!C4975</f>
        <v>CLN-011</v>
      </c>
      <c r="B4975" s="31" t="n">
        <f aca="false">Demand_History!A4975</f>
        <v>86</v>
      </c>
      <c r="C4975" s="32" t="n">
        <f aca="false">Demand_History!D4975</f>
        <v>40</v>
      </c>
      <c r="D4975" s="33" t="n">
        <f aca="false">IF(B4975&gt;=2,C4974,"")</f>
        <v>38</v>
      </c>
      <c r="E4975" s="33" t="n">
        <f aca="false">IF(B4975&gt;=5,AVERAGE(C4971:C4974),"")</f>
        <v>37.5</v>
      </c>
      <c r="F4975" s="33" t="n">
        <f aca="false">IF(B4975&gt;=9,AVERAGE(C4967:C4974),"")</f>
        <v>39.375</v>
      </c>
      <c r="G4975" s="33" t="n">
        <f aca="false">IF(B4975=1,"",IF(B4975=2,C4974,SES_Alpha*C4974+(1-SES_Alpha)*G4974))</f>
        <v>38.169242357248</v>
      </c>
      <c r="H4975" s="33" t="n">
        <f aca="false">IF(D4975="","",D4975-C4975)</f>
        <v>-2</v>
      </c>
      <c r="I4975" s="33" t="n">
        <f aca="false">IF(E4975="","",E4975-C4975)</f>
        <v>-2.5</v>
      </c>
      <c r="J4975" s="33" t="n">
        <f aca="false">IF(F4975="","",F4975-C4975)</f>
        <v>-0.625</v>
      </c>
      <c r="K4975" s="33" t="n">
        <f aca="false">IF(G4975="","",G4975-C4975)</f>
        <v>-1.83075764275201</v>
      </c>
      <c r="L4975" s="33" t="n">
        <f aca="false">IF(H4975="","",ABS(H4975))</f>
        <v>2</v>
      </c>
      <c r="M4975" s="33" t="n">
        <f aca="false">IF(I4975="","",ABS(I4975))</f>
        <v>2.5</v>
      </c>
      <c r="N4975" s="33" t="n">
        <f aca="false">IF(J4975="","",ABS(J4975))</f>
        <v>0.625</v>
      </c>
      <c r="O4975" s="33" t="n">
        <f aca="false">IF(K4975="","",ABS(K4975))</f>
        <v>1.83075764275201</v>
      </c>
      <c r="P4975" s="34" t="str">
        <f aca="false">IF(B4975&gt;=Eval_Start_Week,"YES","")</f>
        <v>YES</v>
      </c>
      <c r="Q4975" s="34" t="str">
        <f aca="false">IF(AND(B4975&gt;=Cal_Start_Week,B4975&lt;=Cal_End_Week),"YES","")</f>
        <v>YES</v>
      </c>
    </row>
    <row r="4976" customFormat="false" ht="15" hidden="false" customHeight="false" outlineLevel="0" collapsed="false">
      <c r="A4976" s="31" t="str">
        <f aca="false">Demand_History!C4976</f>
        <v>CLN-011</v>
      </c>
      <c r="B4976" s="31" t="n">
        <f aca="false">Demand_History!A4976</f>
        <v>87</v>
      </c>
      <c r="C4976" s="32" t="n">
        <f aca="false">Demand_History!D4976</f>
        <v>44</v>
      </c>
      <c r="D4976" s="33" t="n">
        <f aca="false">IF(B4976&gt;=2,C4975,"")</f>
        <v>40</v>
      </c>
      <c r="E4976" s="33" t="n">
        <f aca="false">IF(B4976&gt;=5,AVERAGE(C4972:C4975),"")</f>
        <v>37</v>
      </c>
      <c r="F4976" s="33" t="n">
        <f aca="false">IF(B4976&gt;=9,AVERAGE(C4968:C4975),"")</f>
        <v>39.625</v>
      </c>
      <c r="G4976" s="33" t="n">
        <f aca="false">IF(B4976=1,"",IF(B4976=2,C4975,SES_Alpha*C4975+(1-SES_Alpha)*G4975))</f>
        <v>38.7184696500736</v>
      </c>
      <c r="H4976" s="33" t="n">
        <f aca="false">IF(D4976="","",D4976-C4976)</f>
        <v>-4</v>
      </c>
      <c r="I4976" s="33" t="n">
        <f aca="false">IF(E4976="","",E4976-C4976)</f>
        <v>-7</v>
      </c>
      <c r="J4976" s="33" t="n">
        <f aca="false">IF(F4976="","",F4976-C4976)</f>
        <v>-4.375</v>
      </c>
      <c r="K4976" s="33" t="n">
        <f aca="false">IF(G4976="","",G4976-C4976)</f>
        <v>-5.28153034992641</v>
      </c>
      <c r="L4976" s="33" t="n">
        <f aca="false">IF(H4976="","",ABS(H4976))</f>
        <v>4</v>
      </c>
      <c r="M4976" s="33" t="n">
        <f aca="false">IF(I4976="","",ABS(I4976))</f>
        <v>7</v>
      </c>
      <c r="N4976" s="33" t="n">
        <f aca="false">IF(J4976="","",ABS(J4976))</f>
        <v>4.375</v>
      </c>
      <c r="O4976" s="33" t="n">
        <f aca="false">IF(K4976="","",ABS(K4976))</f>
        <v>5.28153034992641</v>
      </c>
      <c r="P4976" s="34" t="str">
        <f aca="false">IF(B4976&gt;=Eval_Start_Week,"YES","")</f>
        <v>YES</v>
      </c>
      <c r="Q4976" s="34" t="str">
        <f aca="false">IF(AND(B4976&gt;=Cal_Start_Week,B4976&lt;=Cal_End_Week),"YES","")</f>
        <v>YES</v>
      </c>
    </row>
    <row r="4977" customFormat="false" ht="15" hidden="false" customHeight="false" outlineLevel="0" collapsed="false">
      <c r="A4977" s="31" t="str">
        <f aca="false">Demand_History!C4977</f>
        <v>CLN-011</v>
      </c>
      <c r="B4977" s="31" t="n">
        <f aca="false">Demand_History!A4977</f>
        <v>88</v>
      </c>
      <c r="C4977" s="32" t="n">
        <f aca="false">Demand_History!D4977</f>
        <v>39</v>
      </c>
      <c r="D4977" s="33" t="n">
        <f aca="false">IF(B4977&gt;=2,C4976,"")</f>
        <v>44</v>
      </c>
      <c r="E4977" s="33" t="n">
        <f aca="false">IF(B4977&gt;=5,AVERAGE(C4973:C4976),"")</f>
        <v>39.5</v>
      </c>
      <c r="F4977" s="33" t="n">
        <f aca="false">IF(B4977&gt;=9,AVERAGE(C4969:C4976),"")</f>
        <v>39.5</v>
      </c>
      <c r="G4977" s="33" t="n">
        <f aca="false">IF(B4977=1,"",IF(B4977=2,C4976,SES_Alpha*C4976+(1-SES_Alpha)*G4976))</f>
        <v>40.3029287550515</v>
      </c>
      <c r="H4977" s="33" t="n">
        <f aca="false">IF(D4977="","",D4977-C4977)</f>
        <v>5</v>
      </c>
      <c r="I4977" s="33" t="n">
        <f aca="false">IF(E4977="","",E4977-C4977)</f>
        <v>0.5</v>
      </c>
      <c r="J4977" s="33" t="n">
        <f aca="false">IF(F4977="","",F4977-C4977)</f>
        <v>0.5</v>
      </c>
      <c r="K4977" s="33" t="n">
        <f aca="false">IF(G4977="","",G4977-C4977)</f>
        <v>1.30292875505151</v>
      </c>
      <c r="L4977" s="33" t="n">
        <f aca="false">IF(H4977="","",ABS(H4977))</f>
        <v>5</v>
      </c>
      <c r="M4977" s="33" t="n">
        <f aca="false">IF(I4977="","",ABS(I4977))</f>
        <v>0.5</v>
      </c>
      <c r="N4977" s="33" t="n">
        <f aca="false">IF(J4977="","",ABS(J4977))</f>
        <v>0.5</v>
      </c>
      <c r="O4977" s="33" t="n">
        <f aca="false">IF(K4977="","",ABS(K4977))</f>
        <v>1.30292875505151</v>
      </c>
      <c r="P4977" s="34" t="str">
        <f aca="false">IF(B4977&gt;=Eval_Start_Week,"YES","")</f>
        <v>YES</v>
      </c>
      <c r="Q4977" s="34" t="str">
        <f aca="false">IF(AND(B4977&gt;=Cal_Start_Week,B4977&lt;=Cal_End_Week),"YES","")</f>
        <v>YES</v>
      </c>
    </row>
    <row r="4978" customFormat="false" ht="15" hidden="false" customHeight="false" outlineLevel="0" collapsed="false">
      <c r="A4978" s="31" t="str">
        <f aca="false">Demand_History!C4978</f>
        <v>CLN-011</v>
      </c>
      <c r="B4978" s="31" t="n">
        <f aca="false">Demand_History!A4978</f>
        <v>89</v>
      </c>
      <c r="C4978" s="32" t="n">
        <f aca="false">Demand_History!D4978</f>
        <v>44</v>
      </c>
      <c r="D4978" s="33" t="n">
        <f aca="false">IF(B4978&gt;=2,C4977,"")</f>
        <v>39</v>
      </c>
      <c r="E4978" s="33" t="n">
        <f aca="false">IF(B4978&gt;=5,AVERAGE(C4974:C4977),"")</f>
        <v>40.25</v>
      </c>
      <c r="F4978" s="33" t="n">
        <f aca="false">IF(B4978&gt;=9,AVERAGE(C4970:C4977),"")</f>
        <v>39.75</v>
      </c>
      <c r="G4978" s="33" t="n">
        <f aca="false">IF(B4978=1,"",IF(B4978=2,C4977,SES_Alpha*C4977+(1-SES_Alpha)*G4977))</f>
        <v>39.9120501285361</v>
      </c>
      <c r="H4978" s="33" t="n">
        <f aca="false">IF(D4978="","",D4978-C4978)</f>
        <v>-5</v>
      </c>
      <c r="I4978" s="33" t="n">
        <f aca="false">IF(E4978="","",E4978-C4978)</f>
        <v>-3.75</v>
      </c>
      <c r="J4978" s="33" t="n">
        <f aca="false">IF(F4978="","",F4978-C4978)</f>
        <v>-4.25</v>
      </c>
      <c r="K4978" s="33" t="n">
        <f aca="false">IF(G4978="","",G4978-C4978)</f>
        <v>-4.08794987146395</v>
      </c>
      <c r="L4978" s="33" t="n">
        <f aca="false">IF(H4978="","",ABS(H4978))</f>
        <v>5</v>
      </c>
      <c r="M4978" s="33" t="n">
        <f aca="false">IF(I4978="","",ABS(I4978))</f>
        <v>3.75</v>
      </c>
      <c r="N4978" s="33" t="n">
        <f aca="false">IF(J4978="","",ABS(J4978))</f>
        <v>4.25</v>
      </c>
      <c r="O4978" s="33" t="n">
        <f aca="false">IF(K4978="","",ABS(K4978))</f>
        <v>4.08794987146395</v>
      </c>
      <c r="P4978" s="34" t="str">
        <f aca="false">IF(B4978&gt;=Eval_Start_Week,"YES","")</f>
        <v>YES</v>
      </c>
      <c r="Q4978" s="34" t="str">
        <f aca="false">IF(AND(B4978&gt;=Cal_Start_Week,B4978&lt;=Cal_End_Week),"YES","")</f>
        <v/>
      </c>
    </row>
    <row r="4979" customFormat="false" ht="15" hidden="false" customHeight="false" outlineLevel="0" collapsed="false">
      <c r="A4979" s="31" t="str">
        <f aca="false">Demand_History!C4979</f>
        <v>CLN-011</v>
      </c>
      <c r="B4979" s="31" t="n">
        <f aca="false">Demand_History!A4979</f>
        <v>90</v>
      </c>
      <c r="C4979" s="32" t="n">
        <f aca="false">Demand_History!D4979</f>
        <v>34</v>
      </c>
      <c r="D4979" s="33" t="n">
        <f aca="false">IF(B4979&gt;=2,C4978,"")</f>
        <v>44</v>
      </c>
      <c r="E4979" s="33" t="n">
        <f aca="false">IF(B4979&gt;=5,AVERAGE(C4975:C4978),"")</f>
        <v>41.75</v>
      </c>
      <c r="F4979" s="33" t="n">
        <f aca="false">IF(B4979&gt;=9,AVERAGE(C4971:C4978),"")</f>
        <v>39.625</v>
      </c>
      <c r="G4979" s="33" t="n">
        <f aca="false">IF(B4979=1,"",IF(B4979=2,C4978,SES_Alpha*C4978+(1-SES_Alpha)*G4978))</f>
        <v>41.1384350899752</v>
      </c>
      <c r="H4979" s="33" t="n">
        <f aca="false">IF(D4979="","",D4979-C4979)</f>
        <v>10</v>
      </c>
      <c r="I4979" s="33" t="n">
        <f aca="false">IF(E4979="","",E4979-C4979)</f>
        <v>7.75</v>
      </c>
      <c r="J4979" s="33" t="n">
        <f aca="false">IF(F4979="","",F4979-C4979)</f>
        <v>5.625</v>
      </c>
      <c r="K4979" s="33" t="n">
        <f aca="false">IF(G4979="","",G4979-C4979)</f>
        <v>7.13843508997523</v>
      </c>
      <c r="L4979" s="33" t="n">
        <f aca="false">IF(H4979="","",ABS(H4979))</f>
        <v>10</v>
      </c>
      <c r="M4979" s="33" t="n">
        <f aca="false">IF(I4979="","",ABS(I4979))</f>
        <v>7.75</v>
      </c>
      <c r="N4979" s="33" t="n">
        <f aca="false">IF(J4979="","",ABS(J4979))</f>
        <v>5.625</v>
      </c>
      <c r="O4979" s="33" t="n">
        <f aca="false">IF(K4979="","",ABS(K4979))</f>
        <v>7.13843508997523</v>
      </c>
      <c r="P4979" s="34" t="str">
        <f aca="false">IF(B4979&gt;=Eval_Start_Week,"YES","")</f>
        <v>YES</v>
      </c>
      <c r="Q4979" s="34" t="str">
        <f aca="false">IF(AND(B4979&gt;=Cal_Start_Week,B4979&lt;=Cal_End_Week),"YES","")</f>
        <v/>
      </c>
    </row>
    <row r="4980" customFormat="false" ht="15" hidden="false" customHeight="false" outlineLevel="0" collapsed="false">
      <c r="A4980" s="31" t="str">
        <f aca="false">Demand_History!C4980</f>
        <v>CLN-011</v>
      </c>
      <c r="B4980" s="31" t="n">
        <f aca="false">Demand_History!A4980</f>
        <v>91</v>
      </c>
      <c r="C4980" s="32" t="n">
        <f aca="false">Demand_History!D4980</f>
        <v>28</v>
      </c>
      <c r="D4980" s="33" t="n">
        <f aca="false">IF(B4980&gt;=2,C4979,"")</f>
        <v>34</v>
      </c>
      <c r="E4980" s="33" t="n">
        <f aca="false">IF(B4980&gt;=5,AVERAGE(C4976:C4979),"")</f>
        <v>40.25</v>
      </c>
      <c r="F4980" s="33" t="n">
        <f aca="false">IF(B4980&gt;=9,AVERAGE(C4972:C4979),"")</f>
        <v>38.625</v>
      </c>
      <c r="G4980" s="33" t="n">
        <f aca="false">IF(B4980=1,"",IF(B4980=2,C4979,SES_Alpha*C4979+(1-SES_Alpha)*G4979))</f>
        <v>38.9969045629827</v>
      </c>
      <c r="H4980" s="33" t="n">
        <f aca="false">IF(D4980="","",D4980-C4980)</f>
        <v>6</v>
      </c>
      <c r="I4980" s="33" t="n">
        <f aca="false">IF(E4980="","",E4980-C4980)</f>
        <v>12.25</v>
      </c>
      <c r="J4980" s="33" t="n">
        <f aca="false">IF(F4980="","",F4980-C4980)</f>
        <v>10.625</v>
      </c>
      <c r="K4980" s="33" t="n">
        <f aca="false">IF(G4980="","",G4980-C4980)</f>
        <v>10.9969045629827</v>
      </c>
      <c r="L4980" s="33" t="n">
        <f aca="false">IF(H4980="","",ABS(H4980))</f>
        <v>6</v>
      </c>
      <c r="M4980" s="33" t="n">
        <f aca="false">IF(I4980="","",ABS(I4980))</f>
        <v>12.25</v>
      </c>
      <c r="N4980" s="33" t="n">
        <f aca="false">IF(J4980="","",ABS(J4980))</f>
        <v>10.625</v>
      </c>
      <c r="O4980" s="33" t="n">
        <f aca="false">IF(K4980="","",ABS(K4980))</f>
        <v>10.9969045629827</v>
      </c>
      <c r="P4980" s="34" t="str">
        <f aca="false">IF(B4980&gt;=Eval_Start_Week,"YES","")</f>
        <v>YES</v>
      </c>
      <c r="Q4980" s="34" t="str">
        <f aca="false">IF(AND(B4980&gt;=Cal_Start_Week,B4980&lt;=Cal_End_Week),"YES","")</f>
        <v/>
      </c>
    </row>
    <row r="4981" customFormat="false" ht="15" hidden="false" customHeight="false" outlineLevel="0" collapsed="false">
      <c r="A4981" s="31" t="str">
        <f aca="false">Demand_History!C4981</f>
        <v>CLN-011</v>
      </c>
      <c r="B4981" s="31" t="n">
        <f aca="false">Demand_History!A4981</f>
        <v>92</v>
      </c>
      <c r="C4981" s="32" t="n">
        <f aca="false">Demand_History!D4981</f>
        <v>39</v>
      </c>
      <c r="D4981" s="33" t="n">
        <f aca="false">IF(B4981&gt;=2,C4980,"")</f>
        <v>28</v>
      </c>
      <c r="E4981" s="33" t="n">
        <f aca="false">IF(B4981&gt;=5,AVERAGE(C4977:C4980),"")</f>
        <v>36.25</v>
      </c>
      <c r="F4981" s="33" t="n">
        <f aca="false">IF(B4981&gt;=9,AVERAGE(C4973:C4980),"")</f>
        <v>37.875</v>
      </c>
      <c r="G4981" s="33" t="n">
        <f aca="false">IF(B4981=1,"",IF(B4981=2,C4980,SES_Alpha*C4980+(1-SES_Alpha)*G4980))</f>
        <v>35.6978331940879</v>
      </c>
      <c r="H4981" s="33" t="n">
        <f aca="false">IF(D4981="","",D4981-C4981)</f>
        <v>-11</v>
      </c>
      <c r="I4981" s="33" t="n">
        <f aca="false">IF(E4981="","",E4981-C4981)</f>
        <v>-2.75</v>
      </c>
      <c r="J4981" s="33" t="n">
        <f aca="false">IF(F4981="","",F4981-C4981)</f>
        <v>-1.125</v>
      </c>
      <c r="K4981" s="33" t="n">
        <f aca="false">IF(G4981="","",G4981-C4981)</f>
        <v>-3.30216680591214</v>
      </c>
      <c r="L4981" s="33" t="n">
        <f aca="false">IF(H4981="","",ABS(H4981))</f>
        <v>11</v>
      </c>
      <c r="M4981" s="33" t="n">
        <f aca="false">IF(I4981="","",ABS(I4981))</f>
        <v>2.75</v>
      </c>
      <c r="N4981" s="33" t="n">
        <f aca="false">IF(J4981="","",ABS(J4981))</f>
        <v>1.125</v>
      </c>
      <c r="O4981" s="33" t="n">
        <f aca="false">IF(K4981="","",ABS(K4981))</f>
        <v>3.30216680591214</v>
      </c>
      <c r="P4981" s="34" t="str">
        <f aca="false">IF(B4981&gt;=Eval_Start_Week,"YES","")</f>
        <v>YES</v>
      </c>
      <c r="Q4981" s="34" t="str">
        <f aca="false">IF(AND(B4981&gt;=Cal_Start_Week,B4981&lt;=Cal_End_Week),"YES","")</f>
        <v/>
      </c>
    </row>
    <row r="4982" customFormat="false" ht="15" hidden="false" customHeight="false" outlineLevel="0" collapsed="false">
      <c r="A4982" s="31" t="str">
        <f aca="false">Demand_History!C4982</f>
        <v>CLN-011</v>
      </c>
      <c r="B4982" s="31" t="n">
        <f aca="false">Demand_History!A4982</f>
        <v>93</v>
      </c>
      <c r="C4982" s="32" t="n">
        <f aca="false">Demand_History!D4982</f>
        <v>42</v>
      </c>
      <c r="D4982" s="33" t="n">
        <f aca="false">IF(B4982&gt;=2,C4981,"")</f>
        <v>39</v>
      </c>
      <c r="E4982" s="33" t="n">
        <f aca="false">IF(B4982&gt;=5,AVERAGE(C4978:C4981),"")</f>
        <v>36.25</v>
      </c>
      <c r="F4982" s="33" t="n">
        <f aca="false">IF(B4982&gt;=9,AVERAGE(C4974:C4981),"")</f>
        <v>38.25</v>
      </c>
      <c r="G4982" s="33" t="n">
        <f aca="false">IF(B4982=1,"",IF(B4982=2,C4981,SES_Alpha*C4981+(1-SES_Alpha)*G4981))</f>
        <v>36.6884832358615</v>
      </c>
      <c r="H4982" s="33" t="n">
        <f aca="false">IF(D4982="","",D4982-C4982)</f>
        <v>-3</v>
      </c>
      <c r="I4982" s="33" t="n">
        <f aca="false">IF(E4982="","",E4982-C4982)</f>
        <v>-5.75</v>
      </c>
      <c r="J4982" s="33" t="n">
        <f aca="false">IF(F4982="","",F4982-C4982)</f>
        <v>-3.75</v>
      </c>
      <c r="K4982" s="33" t="n">
        <f aca="false">IF(G4982="","",G4982-C4982)</f>
        <v>-5.3115167641385</v>
      </c>
      <c r="L4982" s="33" t="n">
        <f aca="false">IF(H4982="","",ABS(H4982))</f>
        <v>3</v>
      </c>
      <c r="M4982" s="33" t="n">
        <f aca="false">IF(I4982="","",ABS(I4982))</f>
        <v>5.75</v>
      </c>
      <c r="N4982" s="33" t="n">
        <f aca="false">IF(J4982="","",ABS(J4982))</f>
        <v>3.75</v>
      </c>
      <c r="O4982" s="33" t="n">
        <f aca="false">IF(K4982="","",ABS(K4982))</f>
        <v>5.3115167641385</v>
      </c>
      <c r="P4982" s="34" t="str">
        <f aca="false">IF(B4982&gt;=Eval_Start_Week,"YES","")</f>
        <v>YES</v>
      </c>
      <c r="Q4982" s="34" t="str">
        <f aca="false">IF(AND(B4982&gt;=Cal_Start_Week,B4982&lt;=Cal_End_Week),"YES","")</f>
        <v/>
      </c>
    </row>
    <row r="4983" customFormat="false" ht="15" hidden="false" customHeight="false" outlineLevel="0" collapsed="false">
      <c r="A4983" s="31" t="str">
        <f aca="false">Demand_History!C4983</f>
        <v>CLN-011</v>
      </c>
      <c r="B4983" s="31" t="n">
        <f aca="false">Demand_History!A4983</f>
        <v>94</v>
      </c>
      <c r="C4983" s="32" t="n">
        <f aca="false">Demand_History!D4983</f>
        <v>39</v>
      </c>
      <c r="D4983" s="33" t="n">
        <f aca="false">IF(B4983&gt;=2,C4982,"")</f>
        <v>42</v>
      </c>
      <c r="E4983" s="33" t="n">
        <f aca="false">IF(B4983&gt;=5,AVERAGE(C4979:C4982),"")</f>
        <v>35.75</v>
      </c>
      <c r="F4983" s="33" t="n">
        <f aca="false">IF(B4983&gt;=9,AVERAGE(C4975:C4982),"")</f>
        <v>38.75</v>
      </c>
      <c r="G4983" s="33" t="n">
        <f aca="false">IF(B4983=1,"",IF(B4983=2,C4982,SES_Alpha*C4982+(1-SES_Alpha)*G4982))</f>
        <v>38.281938265103</v>
      </c>
      <c r="H4983" s="33" t="n">
        <f aca="false">IF(D4983="","",D4983-C4983)</f>
        <v>3</v>
      </c>
      <c r="I4983" s="33" t="n">
        <f aca="false">IF(E4983="","",E4983-C4983)</f>
        <v>-3.25</v>
      </c>
      <c r="J4983" s="33" t="n">
        <f aca="false">IF(F4983="","",F4983-C4983)</f>
        <v>-0.25</v>
      </c>
      <c r="K4983" s="33" t="n">
        <f aca="false">IF(G4983="","",G4983-C4983)</f>
        <v>-0.718061734896956</v>
      </c>
      <c r="L4983" s="33" t="n">
        <f aca="false">IF(H4983="","",ABS(H4983))</f>
        <v>3</v>
      </c>
      <c r="M4983" s="33" t="n">
        <f aca="false">IF(I4983="","",ABS(I4983))</f>
        <v>3.25</v>
      </c>
      <c r="N4983" s="33" t="n">
        <f aca="false">IF(J4983="","",ABS(J4983))</f>
        <v>0.25</v>
      </c>
      <c r="O4983" s="33" t="n">
        <f aca="false">IF(K4983="","",ABS(K4983))</f>
        <v>0.718061734896956</v>
      </c>
      <c r="P4983" s="34" t="str">
        <f aca="false">IF(B4983&gt;=Eval_Start_Week,"YES","")</f>
        <v>YES</v>
      </c>
      <c r="Q4983" s="34" t="str">
        <f aca="false">IF(AND(B4983&gt;=Cal_Start_Week,B4983&lt;=Cal_End_Week),"YES","")</f>
        <v/>
      </c>
    </row>
    <row r="4984" customFormat="false" ht="15" hidden="false" customHeight="false" outlineLevel="0" collapsed="false">
      <c r="A4984" s="31" t="str">
        <f aca="false">Demand_History!C4984</f>
        <v>CLN-011</v>
      </c>
      <c r="B4984" s="31" t="n">
        <f aca="false">Demand_History!A4984</f>
        <v>95</v>
      </c>
      <c r="C4984" s="32" t="n">
        <f aca="false">Demand_History!D4984</f>
        <v>36</v>
      </c>
      <c r="D4984" s="33" t="n">
        <f aca="false">IF(B4984&gt;=2,C4983,"")</f>
        <v>39</v>
      </c>
      <c r="E4984" s="33" t="n">
        <f aca="false">IF(B4984&gt;=5,AVERAGE(C4980:C4983),"")</f>
        <v>37</v>
      </c>
      <c r="F4984" s="33" t="n">
        <f aca="false">IF(B4984&gt;=9,AVERAGE(C4976:C4983),"")</f>
        <v>38.625</v>
      </c>
      <c r="G4984" s="33" t="n">
        <f aca="false">IF(B4984=1,"",IF(B4984=2,C4983,SES_Alpha*C4983+(1-SES_Alpha)*G4983))</f>
        <v>38.4973567855721</v>
      </c>
      <c r="H4984" s="33" t="n">
        <f aca="false">IF(D4984="","",D4984-C4984)</f>
        <v>3</v>
      </c>
      <c r="I4984" s="33" t="n">
        <f aca="false">IF(E4984="","",E4984-C4984)</f>
        <v>1</v>
      </c>
      <c r="J4984" s="33" t="n">
        <f aca="false">IF(F4984="","",F4984-C4984)</f>
        <v>2.625</v>
      </c>
      <c r="K4984" s="33" t="n">
        <f aca="false">IF(G4984="","",G4984-C4984)</f>
        <v>2.49735678557213</v>
      </c>
      <c r="L4984" s="33" t="n">
        <f aca="false">IF(H4984="","",ABS(H4984))</f>
        <v>3</v>
      </c>
      <c r="M4984" s="33" t="n">
        <f aca="false">IF(I4984="","",ABS(I4984))</f>
        <v>1</v>
      </c>
      <c r="N4984" s="33" t="n">
        <f aca="false">IF(J4984="","",ABS(J4984))</f>
        <v>2.625</v>
      </c>
      <c r="O4984" s="33" t="n">
        <f aca="false">IF(K4984="","",ABS(K4984))</f>
        <v>2.49735678557213</v>
      </c>
      <c r="P4984" s="34" t="str">
        <f aca="false">IF(B4984&gt;=Eval_Start_Week,"YES","")</f>
        <v>YES</v>
      </c>
      <c r="Q4984" s="34" t="str">
        <f aca="false">IF(AND(B4984&gt;=Cal_Start_Week,B4984&lt;=Cal_End_Week),"YES","")</f>
        <v/>
      </c>
    </row>
    <row r="4985" customFormat="false" ht="15" hidden="false" customHeight="false" outlineLevel="0" collapsed="false">
      <c r="A4985" s="31" t="str">
        <f aca="false">Demand_History!C4985</f>
        <v>CLN-011</v>
      </c>
      <c r="B4985" s="31" t="n">
        <f aca="false">Demand_History!A4985</f>
        <v>96</v>
      </c>
      <c r="C4985" s="32" t="n">
        <f aca="false">Demand_History!D4985</f>
        <v>42</v>
      </c>
      <c r="D4985" s="33" t="n">
        <f aca="false">IF(B4985&gt;=2,C4984,"")</f>
        <v>36</v>
      </c>
      <c r="E4985" s="33" t="n">
        <f aca="false">IF(B4985&gt;=5,AVERAGE(C4981:C4984),"")</f>
        <v>39</v>
      </c>
      <c r="F4985" s="33" t="n">
        <f aca="false">IF(B4985&gt;=9,AVERAGE(C4977:C4984),"")</f>
        <v>37.625</v>
      </c>
      <c r="G4985" s="33" t="n">
        <f aca="false">IF(B4985=1,"",IF(B4985=2,C4984,SES_Alpha*C4984+(1-SES_Alpha)*G4984))</f>
        <v>37.7481497499005</v>
      </c>
      <c r="H4985" s="33" t="n">
        <f aca="false">IF(D4985="","",D4985-C4985)</f>
        <v>-6</v>
      </c>
      <c r="I4985" s="33" t="n">
        <f aca="false">IF(E4985="","",E4985-C4985)</f>
        <v>-3</v>
      </c>
      <c r="J4985" s="33" t="n">
        <f aca="false">IF(F4985="","",F4985-C4985)</f>
        <v>-4.375</v>
      </c>
      <c r="K4985" s="33" t="n">
        <f aca="false">IF(G4985="","",G4985-C4985)</f>
        <v>-4.25185025009951</v>
      </c>
      <c r="L4985" s="33" t="n">
        <f aca="false">IF(H4985="","",ABS(H4985))</f>
        <v>6</v>
      </c>
      <c r="M4985" s="33" t="n">
        <f aca="false">IF(I4985="","",ABS(I4985))</f>
        <v>3</v>
      </c>
      <c r="N4985" s="33" t="n">
        <f aca="false">IF(J4985="","",ABS(J4985))</f>
        <v>4.375</v>
      </c>
      <c r="O4985" s="33" t="n">
        <f aca="false">IF(K4985="","",ABS(K4985))</f>
        <v>4.25185025009951</v>
      </c>
      <c r="P4985" s="34" t="str">
        <f aca="false">IF(B4985&gt;=Eval_Start_Week,"YES","")</f>
        <v>YES</v>
      </c>
      <c r="Q4985" s="34" t="str">
        <f aca="false">IF(AND(B4985&gt;=Cal_Start_Week,B4985&lt;=Cal_End_Week),"YES","")</f>
        <v/>
      </c>
    </row>
    <row r="4986" customFormat="false" ht="15" hidden="false" customHeight="false" outlineLevel="0" collapsed="false">
      <c r="A4986" s="31" t="str">
        <f aca="false">Demand_History!C4986</f>
        <v>CLN-011</v>
      </c>
      <c r="B4986" s="31" t="n">
        <f aca="false">Demand_History!A4986</f>
        <v>97</v>
      </c>
      <c r="C4986" s="32" t="n">
        <f aca="false">Demand_History!D4986</f>
        <v>48</v>
      </c>
      <c r="D4986" s="33" t="n">
        <f aca="false">IF(B4986&gt;=2,C4985,"")</f>
        <v>42</v>
      </c>
      <c r="E4986" s="33" t="n">
        <f aca="false">IF(B4986&gt;=5,AVERAGE(C4982:C4985),"")</f>
        <v>39.75</v>
      </c>
      <c r="F4986" s="33" t="n">
        <f aca="false">IF(B4986&gt;=9,AVERAGE(C4978:C4985),"")</f>
        <v>38</v>
      </c>
      <c r="G4986" s="33" t="n">
        <f aca="false">IF(B4986=1,"",IF(B4986=2,C4985,SES_Alpha*C4985+(1-SES_Alpha)*G4985))</f>
        <v>39.0237048249303</v>
      </c>
      <c r="H4986" s="33" t="n">
        <f aca="false">IF(D4986="","",D4986-C4986)</f>
        <v>-6</v>
      </c>
      <c r="I4986" s="33" t="n">
        <f aca="false">IF(E4986="","",E4986-C4986)</f>
        <v>-8.25</v>
      </c>
      <c r="J4986" s="33" t="n">
        <f aca="false">IF(F4986="","",F4986-C4986)</f>
        <v>-10</v>
      </c>
      <c r="K4986" s="33" t="n">
        <f aca="false">IF(G4986="","",G4986-C4986)</f>
        <v>-8.97629517506966</v>
      </c>
      <c r="L4986" s="33" t="n">
        <f aca="false">IF(H4986="","",ABS(H4986))</f>
        <v>6</v>
      </c>
      <c r="M4986" s="33" t="n">
        <f aca="false">IF(I4986="","",ABS(I4986))</f>
        <v>8.25</v>
      </c>
      <c r="N4986" s="33" t="n">
        <f aca="false">IF(J4986="","",ABS(J4986))</f>
        <v>10</v>
      </c>
      <c r="O4986" s="33" t="n">
        <f aca="false">IF(K4986="","",ABS(K4986))</f>
        <v>8.97629517506966</v>
      </c>
      <c r="P4986" s="34" t="str">
        <f aca="false">IF(B4986&gt;=Eval_Start_Week,"YES","")</f>
        <v>YES</v>
      </c>
      <c r="Q4986" s="34" t="str">
        <f aca="false">IF(AND(B4986&gt;=Cal_Start_Week,B4986&lt;=Cal_End_Week),"YES","")</f>
        <v/>
      </c>
    </row>
    <row r="4987" customFormat="false" ht="15" hidden="false" customHeight="false" outlineLevel="0" collapsed="false">
      <c r="A4987" s="31" t="str">
        <f aca="false">Demand_History!C4987</f>
        <v>CLN-011</v>
      </c>
      <c r="B4987" s="31" t="n">
        <f aca="false">Demand_History!A4987</f>
        <v>98</v>
      </c>
      <c r="C4987" s="32" t="n">
        <f aca="false">Demand_History!D4987</f>
        <v>40</v>
      </c>
      <c r="D4987" s="33" t="n">
        <f aca="false">IF(B4987&gt;=2,C4986,"")</f>
        <v>48</v>
      </c>
      <c r="E4987" s="33" t="n">
        <f aca="false">IF(B4987&gt;=5,AVERAGE(C4983:C4986),"")</f>
        <v>41.25</v>
      </c>
      <c r="F4987" s="33" t="n">
        <f aca="false">IF(B4987&gt;=9,AVERAGE(C4979:C4986),"")</f>
        <v>38.5</v>
      </c>
      <c r="G4987" s="33" t="n">
        <f aca="false">IF(B4987=1,"",IF(B4987=2,C4986,SES_Alpha*C4986+(1-SES_Alpha)*G4986))</f>
        <v>41.7165933774512</v>
      </c>
      <c r="H4987" s="33" t="n">
        <f aca="false">IF(D4987="","",D4987-C4987)</f>
        <v>8</v>
      </c>
      <c r="I4987" s="33" t="n">
        <f aca="false">IF(E4987="","",E4987-C4987)</f>
        <v>1.25</v>
      </c>
      <c r="J4987" s="33" t="n">
        <f aca="false">IF(F4987="","",F4987-C4987)</f>
        <v>-1.5</v>
      </c>
      <c r="K4987" s="33" t="n">
        <f aca="false">IF(G4987="","",G4987-C4987)</f>
        <v>1.71659337745123</v>
      </c>
      <c r="L4987" s="33" t="n">
        <f aca="false">IF(H4987="","",ABS(H4987))</f>
        <v>8</v>
      </c>
      <c r="M4987" s="33" t="n">
        <f aca="false">IF(I4987="","",ABS(I4987))</f>
        <v>1.25</v>
      </c>
      <c r="N4987" s="33" t="n">
        <f aca="false">IF(J4987="","",ABS(J4987))</f>
        <v>1.5</v>
      </c>
      <c r="O4987" s="33" t="n">
        <f aca="false">IF(K4987="","",ABS(K4987))</f>
        <v>1.71659337745123</v>
      </c>
      <c r="P4987" s="34" t="str">
        <f aca="false">IF(B4987&gt;=Eval_Start_Week,"YES","")</f>
        <v>YES</v>
      </c>
      <c r="Q4987" s="34" t="str">
        <f aca="false">IF(AND(B4987&gt;=Cal_Start_Week,B4987&lt;=Cal_End_Week),"YES","")</f>
        <v/>
      </c>
    </row>
    <row r="4988" customFormat="false" ht="15" hidden="false" customHeight="false" outlineLevel="0" collapsed="false">
      <c r="A4988" s="31" t="str">
        <f aca="false">Demand_History!C4988</f>
        <v>CLN-011</v>
      </c>
      <c r="B4988" s="31" t="n">
        <f aca="false">Demand_History!A4988</f>
        <v>99</v>
      </c>
      <c r="C4988" s="32" t="n">
        <f aca="false">Demand_History!D4988</f>
        <v>37</v>
      </c>
      <c r="D4988" s="33" t="n">
        <f aca="false">IF(B4988&gt;=2,C4987,"")</f>
        <v>40</v>
      </c>
      <c r="E4988" s="33" t="n">
        <f aca="false">IF(B4988&gt;=5,AVERAGE(C4984:C4987),"")</f>
        <v>41.5</v>
      </c>
      <c r="F4988" s="33" t="n">
        <f aca="false">IF(B4988&gt;=9,AVERAGE(C4980:C4987),"")</f>
        <v>39.25</v>
      </c>
      <c r="G4988" s="33" t="n">
        <f aca="false">IF(B4988=1,"",IF(B4988=2,C4987,SES_Alpha*C4987+(1-SES_Alpha)*G4987))</f>
        <v>41.2016153642159</v>
      </c>
      <c r="H4988" s="33" t="n">
        <f aca="false">IF(D4988="","",D4988-C4988)</f>
        <v>3</v>
      </c>
      <c r="I4988" s="33" t="n">
        <f aca="false">IF(E4988="","",E4988-C4988)</f>
        <v>4.5</v>
      </c>
      <c r="J4988" s="33" t="n">
        <f aca="false">IF(F4988="","",F4988-C4988)</f>
        <v>2.25</v>
      </c>
      <c r="K4988" s="33" t="n">
        <f aca="false">IF(G4988="","",G4988-C4988)</f>
        <v>4.20161536421586</v>
      </c>
      <c r="L4988" s="33" t="n">
        <f aca="false">IF(H4988="","",ABS(H4988))</f>
        <v>3</v>
      </c>
      <c r="M4988" s="33" t="n">
        <f aca="false">IF(I4988="","",ABS(I4988))</f>
        <v>4.5</v>
      </c>
      <c r="N4988" s="33" t="n">
        <f aca="false">IF(J4988="","",ABS(J4988))</f>
        <v>2.25</v>
      </c>
      <c r="O4988" s="33" t="n">
        <f aca="false">IF(K4988="","",ABS(K4988))</f>
        <v>4.20161536421586</v>
      </c>
      <c r="P4988" s="34" t="str">
        <f aca="false">IF(B4988&gt;=Eval_Start_Week,"YES","")</f>
        <v>YES</v>
      </c>
      <c r="Q4988" s="34" t="str">
        <f aca="false">IF(AND(B4988&gt;=Cal_Start_Week,B4988&lt;=Cal_End_Week),"YES","")</f>
        <v/>
      </c>
    </row>
    <row r="4989" customFormat="false" ht="15" hidden="false" customHeight="false" outlineLevel="0" collapsed="false">
      <c r="A4989" s="31" t="str">
        <f aca="false">Demand_History!C4989</f>
        <v>CLN-011</v>
      </c>
      <c r="B4989" s="31" t="n">
        <f aca="false">Demand_History!A4989</f>
        <v>100</v>
      </c>
      <c r="C4989" s="32" t="n">
        <f aca="false">Demand_History!D4989</f>
        <v>37</v>
      </c>
      <c r="D4989" s="33" t="n">
        <f aca="false">IF(B4989&gt;=2,C4988,"")</f>
        <v>37</v>
      </c>
      <c r="E4989" s="33" t="n">
        <f aca="false">IF(B4989&gt;=5,AVERAGE(C4985:C4988),"")</f>
        <v>41.75</v>
      </c>
      <c r="F4989" s="33" t="n">
        <f aca="false">IF(B4989&gt;=9,AVERAGE(C4981:C4988),"")</f>
        <v>40.375</v>
      </c>
      <c r="G4989" s="33" t="n">
        <f aca="false">IF(B4989=1,"",IF(B4989=2,C4988,SES_Alpha*C4988+(1-SES_Alpha)*G4988))</f>
        <v>39.9411307549511</v>
      </c>
      <c r="H4989" s="33" t="n">
        <f aca="false">IF(D4989="","",D4989-C4989)</f>
        <v>0</v>
      </c>
      <c r="I4989" s="33" t="n">
        <f aca="false">IF(E4989="","",E4989-C4989)</f>
        <v>4.75</v>
      </c>
      <c r="J4989" s="33" t="n">
        <f aca="false">IF(F4989="","",F4989-C4989)</f>
        <v>3.375</v>
      </c>
      <c r="K4989" s="33" t="n">
        <f aca="false">IF(G4989="","",G4989-C4989)</f>
        <v>2.9411307549511</v>
      </c>
      <c r="L4989" s="33" t="n">
        <f aca="false">IF(H4989="","",ABS(H4989))</f>
        <v>0</v>
      </c>
      <c r="M4989" s="33" t="n">
        <f aca="false">IF(I4989="","",ABS(I4989))</f>
        <v>4.75</v>
      </c>
      <c r="N4989" s="33" t="n">
        <f aca="false">IF(J4989="","",ABS(J4989))</f>
        <v>3.375</v>
      </c>
      <c r="O4989" s="33" t="n">
        <f aca="false">IF(K4989="","",ABS(K4989))</f>
        <v>2.9411307549511</v>
      </c>
      <c r="P4989" s="34" t="str">
        <f aca="false">IF(B4989&gt;=Eval_Start_Week,"YES","")</f>
        <v>YES</v>
      </c>
      <c r="Q4989" s="34" t="str">
        <f aca="false">IF(AND(B4989&gt;=Cal_Start_Week,B4989&lt;=Cal_End_Week),"YES","")</f>
        <v/>
      </c>
    </row>
    <row r="4990" customFormat="false" ht="15" hidden="false" customHeight="false" outlineLevel="0" collapsed="false">
      <c r="A4990" s="31" t="str">
        <f aca="false">Demand_History!C4990</f>
        <v>CLN-011</v>
      </c>
      <c r="B4990" s="31" t="n">
        <f aca="false">Demand_History!A4990</f>
        <v>101</v>
      </c>
      <c r="C4990" s="32" t="n">
        <f aca="false">Demand_History!D4990</f>
        <v>48</v>
      </c>
      <c r="D4990" s="33" t="n">
        <f aca="false">IF(B4990&gt;=2,C4989,"")</f>
        <v>37</v>
      </c>
      <c r="E4990" s="33" t="n">
        <f aca="false">IF(B4990&gt;=5,AVERAGE(C4986:C4989),"")</f>
        <v>40.5</v>
      </c>
      <c r="F4990" s="33" t="n">
        <f aca="false">IF(B4990&gt;=9,AVERAGE(C4982:C4989),"")</f>
        <v>40.125</v>
      </c>
      <c r="G4990" s="33" t="n">
        <f aca="false">IF(B4990=1,"",IF(B4990=2,C4989,SES_Alpha*C4989+(1-SES_Alpha)*G4989))</f>
        <v>39.0587915284658</v>
      </c>
      <c r="H4990" s="33" t="n">
        <f aca="false">IF(D4990="","",D4990-C4990)</f>
        <v>-11</v>
      </c>
      <c r="I4990" s="33" t="n">
        <f aca="false">IF(E4990="","",E4990-C4990)</f>
        <v>-7.5</v>
      </c>
      <c r="J4990" s="33" t="n">
        <f aca="false">IF(F4990="","",F4990-C4990)</f>
        <v>-7.875</v>
      </c>
      <c r="K4990" s="33" t="n">
        <f aca="false">IF(G4990="","",G4990-C4990)</f>
        <v>-8.94120847153423</v>
      </c>
      <c r="L4990" s="33" t="n">
        <f aca="false">IF(H4990="","",ABS(H4990))</f>
        <v>11</v>
      </c>
      <c r="M4990" s="33" t="n">
        <f aca="false">IF(I4990="","",ABS(I4990))</f>
        <v>7.5</v>
      </c>
      <c r="N4990" s="33" t="n">
        <f aca="false">IF(J4990="","",ABS(J4990))</f>
        <v>7.875</v>
      </c>
      <c r="O4990" s="33" t="n">
        <f aca="false">IF(K4990="","",ABS(K4990))</f>
        <v>8.94120847153423</v>
      </c>
      <c r="P4990" s="34" t="str">
        <f aca="false">IF(B4990&gt;=Eval_Start_Week,"YES","")</f>
        <v>YES</v>
      </c>
      <c r="Q4990" s="34" t="str">
        <f aca="false">IF(AND(B4990&gt;=Cal_Start_Week,B4990&lt;=Cal_End_Week),"YES","")</f>
        <v/>
      </c>
    </row>
    <row r="4991" customFormat="false" ht="15" hidden="false" customHeight="false" outlineLevel="0" collapsed="false">
      <c r="A4991" s="31" t="str">
        <f aca="false">Demand_History!C4991</f>
        <v>CLN-011</v>
      </c>
      <c r="B4991" s="31" t="n">
        <f aca="false">Demand_History!A4991</f>
        <v>102</v>
      </c>
      <c r="C4991" s="32" t="n">
        <f aca="false">Demand_History!D4991</f>
        <v>40</v>
      </c>
      <c r="D4991" s="33" t="n">
        <f aca="false">IF(B4991&gt;=2,C4990,"")</f>
        <v>48</v>
      </c>
      <c r="E4991" s="33" t="n">
        <f aca="false">IF(B4991&gt;=5,AVERAGE(C4987:C4990),"")</f>
        <v>40.5</v>
      </c>
      <c r="F4991" s="33" t="n">
        <f aca="false">IF(B4991&gt;=9,AVERAGE(C4983:C4990),"")</f>
        <v>40.875</v>
      </c>
      <c r="G4991" s="33" t="n">
        <f aca="false">IF(B4991=1,"",IF(B4991=2,C4990,SES_Alpha*C4990+(1-SES_Alpha)*G4990))</f>
        <v>41.741154069926</v>
      </c>
      <c r="H4991" s="33" t="n">
        <f aca="false">IF(D4991="","",D4991-C4991)</f>
        <v>8</v>
      </c>
      <c r="I4991" s="33" t="n">
        <f aca="false">IF(E4991="","",E4991-C4991)</f>
        <v>0.5</v>
      </c>
      <c r="J4991" s="33" t="n">
        <f aca="false">IF(F4991="","",F4991-C4991)</f>
        <v>0.875</v>
      </c>
      <c r="K4991" s="33" t="n">
        <f aca="false">IF(G4991="","",G4991-C4991)</f>
        <v>1.74115406992604</v>
      </c>
      <c r="L4991" s="33" t="n">
        <f aca="false">IF(H4991="","",ABS(H4991))</f>
        <v>8</v>
      </c>
      <c r="M4991" s="33" t="n">
        <f aca="false">IF(I4991="","",ABS(I4991))</f>
        <v>0.5</v>
      </c>
      <c r="N4991" s="33" t="n">
        <f aca="false">IF(J4991="","",ABS(J4991))</f>
        <v>0.875</v>
      </c>
      <c r="O4991" s="33" t="n">
        <f aca="false">IF(K4991="","",ABS(K4991))</f>
        <v>1.74115406992604</v>
      </c>
      <c r="P4991" s="34" t="str">
        <f aca="false">IF(B4991&gt;=Eval_Start_Week,"YES","")</f>
        <v>YES</v>
      </c>
      <c r="Q4991" s="34" t="str">
        <f aca="false">IF(AND(B4991&gt;=Cal_Start_Week,B4991&lt;=Cal_End_Week),"YES","")</f>
        <v/>
      </c>
    </row>
    <row r="4992" customFormat="false" ht="15" hidden="false" customHeight="false" outlineLevel="0" collapsed="false">
      <c r="A4992" s="31" t="str">
        <f aca="false">Demand_History!C4992</f>
        <v>CLN-011</v>
      </c>
      <c r="B4992" s="31" t="n">
        <f aca="false">Demand_History!A4992</f>
        <v>103</v>
      </c>
      <c r="C4992" s="32" t="n">
        <f aca="false">Demand_History!D4992</f>
        <v>42</v>
      </c>
      <c r="D4992" s="33" t="n">
        <f aca="false">IF(B4992&gt;=2,C4991,"")</f>
        <v>40</v>
      </c>
      <c r="E4992" s="33" t="n">
        <f aca="false">IF(B4992&gt;=5,AVERAGE(C4988:C4991),"")</f>
        <v>40.5</v>
      </c>
      <c r="F4992" s="33" t="n">
        <f aca="false">IF(B4992&gt;=9,AVERAGE(C4984:C4991),"")</f>
        <v>41</v>
      </c>
      <c r="G4992" s="33" t="n">
        <f aca="false">IF(B4992=1,"",IF(B4992=2,C4991,SES_Alpha*C4991+(1-SES_Alpha)*G4991))</f>
        <v>41.2188078489482</v>
      </c>
      <c r="H4992" s="33" t="n">
        <f aca="false">IF(D4992="","",D4992-C4992)</f>
        <v>-2</v>
      </c>
      <c r="I4992" s="33" t="n">
        <f aca="false">IF(E4992="","",E4992-C4992)</f>
        <v>-1.5</v>
      </c>
      <c r="J4992" s="33" t="n">
        <f aca="false">IF(F4992="","",F4992-C4992)</f>
        <v>-1</v>
      </c>
      <c r="K4992" s="33" t="n">
        <f aca="false">IF(G4992="","",G4992-C4992)</f>
        <v>-0.781192151051769</v>
      </c>
      <c r="L4992" s="33" t="n">
        <f aca="false">IF(H4992="","",ABS(H4992))</f>
        <v>2</v>
      </c>
      <c r="M4992" s="33" t="n">
        <f aca="false">IF(I4992="","",ABS(I4992))</f>
        <v>1.5</v>
      </c>
      <c r="N4992" s="33" t="n">
        <f aca="false">IF(J4992="","",ABS(J4992))</f>
        <v>1</v>
      </c>
      <c r="O4992" s="33" t="n">
        <f aca="false">IF(K4992="","",ABS(K4992))</f>
        <v>0.781192151051769</v>
      </c>
      <c r="P4992" s="34" t="str">
        <f aca="false">IF(B4992&gt;=Eval_Start_Week,"YES","")</f>
        <v>YES</v>
      </c>
      <c r="Q4992" s="34" t="str">
        <f aca="false">IF(AND(B4992&gt;=Cal_Start_Week,B4992&lt;=Cal_End_Week),"YES","")</f>
        <v/>
      </c>
    </row>
    <row r="4993" customFormat="false" ht="15" hidden="false" customHeight="false" outlineLevel="0" collapsed="false">
      <c r="A4993" s="31" t="str">
        <f aca="false">Demand_History!C4993</f>
        <v>CLN-011</v>
      </c>
      <c r="B4993" s="31" t="n">
        <f aca="false">Demand_History!A4993</f>
        <v>104</v>
      </c>
      <c r="C4993" s="32" t="n">
        <f aca="false">Demand_History!D4993</f>
        <v>45</v>
      </c>
      <c r="D4993" s="33" t="n">
        <f aca="false">IF(B4993&gt;=2,C4992,"")</f>
        <v>42</v>
      </c>
      <c r="E4993" s="33" t="n">
        <f aca="false">IF(B4993&gt;=5,AVERAGE(C4989:C4992),"")</f>
        <v>41.75</v>
      </c>
      <c r="F4993" s="33" t="n">
        <f aca="false">IF(B4993&gt;=9,AVERAGE(C4985:C4992),"")</f>
        <v>41.75</v>
      </c>
      <c r="G4993" s="33" t="n">
        <f aca="false">IF(B4993=1,"",IF(B4993=2,C4992,SES_Alpha*C4992+(1-SES_Alpha)*G4992))</f>
        <v>41.4531654942638</v>
      </c>
      <c r="H4993" s="33" t="n">
        <f aca="false">IF(D4993="","",D4993-C4993)</f>
        <v>-3</v>
      </c>
      <c r="I4993" s="33" t="n">
        <f aca="false">IF(E4993="","",E4993-C4993)</f>
        <v>-3.25</v>
      </c>
      <c r="J4993" s="33" t="n">
        <f aca="false">IF(F4993="","",F4993-C4993)</f>
        <v>-3.25</v>
      </c>
      <c r="K4993" s="33" t="n">
        <f aca="false">IF(G4993="","",G4993-C4993)</f>
        <v>-3.54683450573624</v>
      </c>
      <c r="L4993" s="33" t="n">
        <f aca="false">IF(H4993="","",ABS(H4993))</f>
        <v>3</v>
      </c>
      <c r="M4993" s="33" t="n">
        <f aca="false">IF(I4993="","",ABS(I4993))</f>
        <v>3.25</v>
      </c>
      <c r="N4993" s="33" t="n">
        <f aca="false">IF(J4993="","",ABS(J4993))</f>
        <v>3.25</v>
      </c>
      <c r="O4993" s="33" t="n">
        <f aca="false">IF(K4993="","",ABS(K4993))</f>
        <v>3.54683450573624</v>
      </c>
      <c r="P4993" s="34" t="str">
        <f aca="false">IF(B4993&gt;=Eval_Start_Week,"YES","")</f>
        <v>YES</v>
      </c>
      <c r="Q4993" s="34" t="str">
        <f aca="false">IF(AND(B4993&gt;=Cal_Start_Week,B4993&lt;=Cal_End_Week),"YES","")</f>
        <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2" min="3" style="0" width="11"/>
    <col collapsed="false" customWidth="true" hidden="false" outlineLevel="0" max="33" min="33" style="0" width="17"/>
    <col collapsed="false" customWidth="true" hidden="false" outlineLevel="0" max="34" min="34" style="0" width="70"/>
    <col collapsed="false" customWidth="true" hidden="false" outlineLevel="0" max="37" min="35" style="0" width="11"/>
  </cols>
  <sheetData>
    <row r="1" customFormat="false" ht="18.55" hidden="false" customHeight="false" outlineLevel="0" collapsed="false">
      <c r="A1" s="1" t="s">
        <v>332</v>
      </c>
    </row>
    <row r="2" customFormat="false" ht="15" hidden="false" customHeight="false" outlineLevel="0" collapsed="false">
      <c r="A2" s="2" t="s">
        <v>333</v>
      </c>
    </row>
    <row r="3" customFormat="false" ht="15" hidden="false" customHeight="false" outlineLevel="0" collapsed="false">
      <c r="A3" s="13" t="s">
        <v>334</v>
      </c>
    </row>
    <row r="5" customFormat="false" ht="15" hidden="false" customHeight="false" outlineLevel="0" collapsed="false">
      <c r="A5" s="4" t="s">
        <v>335</v>
      </c>
      <c r="B5" s="4"/>
      <c r="C5" s="4"/>
      <c r="D5" s="4" t="s">
        <v>336</v>
      </c>
      <c r="E5" s="4"/>
      <c r="F5" s="4"/>
      <c r="G5" s="4"/>
      <c r="H5" s="4"/>
      <c r="I5" s="4" t="s">
        <v>337</v>
      </c>
      <c r="J5" s="4"/>
      <c r="K5" s="4"/>
      <c r="L5" s="4"/>
      <c r="M5" s="4"/>
      <c r="N5" s="4"/>
      <c r="O5" s="4" t="s">
        <v>338</v>
      </c>
      <c r="P5" s="4"/>
      <c r="Q5" s="4"/>
      <c r="R5" s="4"/>
      <c r="S5" s="4"/>
      <c r="T5" s="4"/>
      <c r="U5" s="4" t="s">
        <v>339</v>
      </c>
      <c r="V5" s="4"/>
      <c r="W5" s="4"/>
      <c r="X5" s="4"/>
      <c r="Y5" s="4"/>
      <c r="Z5" s="4"/>
      <c r="AA5" s="4"/>
      <c r="AB5" s="4"/>
      <c r="AC5" s="4" t="s">
        <v>340</v>
      </c>
      <c r="AD5" s="4"/>
      <c r="AE5" s="4"/>
      <c r="AF5" s="4"/>
      <c r="AG5" s="4"/>
      <c r="AH5" s="4"/>
      <c r="AI5" s="4"/>
      <c r="AJ5" s="4"/>
      <c r="AK5" s="4"/>
    </row>
    <row r="6" customFormat="false" ht="57.75" hidden="false" customHeight="true" outlineLevel="0" collapsed="false">
      <c r="A6" s="6" t="s">
        <v>139</v>
      </c>
      <c r="B6" s="6" t="s">
        <v>265</v>
      </c>
      <c r="C6" s="6" t="s">
        <v>341</v>
      </c>
      <c r="D6" s="6" t="s">
        <v>342</v>
      </c>
      <c r="E6" s="6" t="s">
        <v>343</v>
      </c>
      <c r="F6" s="6" t="s">
        <v>344</v>
      </c>
      <c r="G6" s="6" t="s">
        <v>345</v>
      </c>
      <c r="H6" s="6" t="s">
        <v>346</v>
      </c>
      <c r="I6" s="6" t="s">
        <v>347</v>
      </c>
      <c r="J6" s="6" t="s">
        <v>83</v>
      </c>
      <c r="K6" s="6" t="s">
        <v>125</v>
      </c>
      <c r="L6" s="6" t="s">
        <v>348</v>
      </c>
      <c r="M6" s="6" t="s">
        <v>349</v>
      </c>
      <c r="N6" s="6" t="s">
        <v>350</v>
      </c>
      <c r="O6" s="6" t="s">
        <v>351</v>
      </c>
      <c r="P6" s="6" t="s">
        <v>352</v>
      </c>
      <c r="Q6" s="6" t="s">
        <v>353</v>
      </c>
      <c r="R6" s="6" t="s">
        <v>354</v>
      </c>
      <c r="S6" s="6" t="s">
        <v>355</v>
      </c>
      <c r="T6" s="6" t="s">
        <v>356</v>
      </c>
      <c r="U6" s="6" t="s">
        <v>357</v>
      </c>
      <c r="V6" s="6" t="s">
        <v>143</v>
      </c>
      <c r="W6" s="6" t="s">
        <v>126</v>
      </c>
      <c r="X6" s="6" t="s">
        <v>358</v>
      </c>
      <c r="Y6" s="6" t="s">
        <v>359</v>
      </c>
      <c r="Z6" s="6" t="s">
        <v>360</v>
      </c>
      <c r="AA6" s="6" t="s">
        <v>361</v>
      </c>
      <c r="AB6" s="6" t="s">
        <v>362</v>
      </c>
      <c r="AC6" s="6" t="s">
        <v>363</v>
      </c>
      <c r="AD6" s="6" t="s">
        <v>364</v>
      </c>
      <c r="AE6" s="6" t="s">
        <v>365</v>
      </c>
      <c r="AF6" s="6" t="s">
        <v>366</v>
      </c>
      <c r="AG6" s="6" t="s">
        <v>367</v>
      </c>
      <c r="AH6" s="6" t="s">
        <v>368</v>
      </c>
      <c r="AI6" s="6" t="s">
        <v>369</v>
      </c>
      <c r="AJ6" s="6" t="s">
        <v>370</v>
      </c>
      <c r="AK6" s="6" t="s">
        <v>371</v>
      </c>
    </row>
    <row r="7" customFormat="false" ht="54" hidden="false" customHeight="true" outlineLevel="0" collapsed="false">
      <c r="A7" s="11" t="str">
        <f aca="false">Forecast!A7</f>
        <v>KIT-001</v>
      </c>
      <c r="B7" s="11" t="str">
        <f aca="false">Forecast!B7</f>
        <v>Chef's Knife 20cm</v>
      </c>
      <c r="C7" s="11" t="str">
        <f aca="false">Inputs!E40</f>
        <v>SUP-01</v>
      </c>
      <c r="D7" s="11" t="str">
        <f aca="false">Forecast!AE7</f>
        <v>MA4</v>
      </c>
      <c r="E7" s="35" t="n">
        <f aca="false">Forecast!AF7</f>
        <v>61.25</v>
      </c>
      <c r="F7" s="36" t="n">
        <f aca="false">Forecast!AG7</f>
        <v>0.106475515463918</v>
      </c>
      <c r="G7" s="37" t="n">
        <f aca="false">Forecast!AH7</f>
        <v>-0.00128865979381443</v>
      </c>
      <c r="H7" s="35" t="n">
        <f aca="false">Forecast!AI7</f>
        <v>8.07023981917916</v>
      </c>
      <c r="I7" s="36" t="n">
        <f aca="false">TSL</f>
        <v>0.95</v>
      </c>
      <c r="J7" s="38" t="n">
        <f aca="false">Z_Value</f>
        <v>1.64485362695147</v>
      </c>
      <c r="K7" s="39" t="n">
        <f aca="false">Inputs!F40</f>
        <v>2</v>
      </c>
      <c r="L7" s="28" t="n">
        <f aca="false">J7*H7*SQRT(K7)</f>
        <v>18.7727845215545</v>
      </c>
      <c r="M7" s="28" t="n">
        <f aca="false">E7*K7</f>
        <v>122.5</v>
      </c>
      <c r="N7" s="19" t="n">
        <f aca="false">M7+L7</f>
        <v>141.272784521554</v>
      </c>
      <c r="O7" s="39" t="n">
        <f aca="false">Inputs!J40</f>
        <v>236</v>
      </c>
      <c r="P7" s="39" t="n">
        <f aca="false">Inputs!K40</f>
        <v>0</v>
      </c>
      <c r="Q7" s="39" t="n">
        <f aca="false">Inputs!M40</f>
        <v>0</v>
      </c>
      <c r="R7" s="19" t="n">
        <f aca="false">O7+P7-Q7</f>
        <v>236</v>
      </c>
      <c r="S7" s="28" t="n">
        <f aca="false">IF(E7&gt;0,R7/E7,0)</f>
        <v>3.8530612244898</v>
      </c>
      <c r="T7" s="28" t="n">
        <f aca="false">IF(E7&gt;0,O7/E7,0)</f>
        <v>3.8530612244898</v>
      </c>
      <c r="U7" s="19" t="n">
        <f aca="false">E7*Weeks_Per_Year</f>
        <v>3185</v>
      </c>
      <c r="V7" s="40" t="n">
        <f aca="false">Inputs!H40</f>
        <v>18</v>
      </c>
      <c r="W7" s="40" t="n">
        <f aca="false">Inputs!G40</f>
        <v>40</v>
      </c>
      <c r="X7" s="36" t="n">
        <f aca="false">Holding_Rate</f>
        <v>0.2</v>
      </c>
      <c r="Y7" s="21" t="n">
        <f aca="false">V7*X7</f>
        <v>3.6</v>
      </c>
      <c r="Z7" s="28" t="n">
        <f aca="false">SQRT((2*U7*W7)/Y7)</f>
        <v>266.040932523132</v>
      </c>
      <c r="AA7" s="39" t="n">
        <f aca="false">Inputs!I40</f>
        <v>6</v>
      </c>
      <c r="AB7" s="19" t="n">
        <f aca="false">ROUNDUP(Z7/AA7,0)*AA7</f>
        <v>270</v>
      </c>
      <c r="AC7" s="10" t="str">
        <f aca="false">IF(R7&lt;=N7,"YES","NO")</f>
        <v>NO</v>
      </c>
      <c r="AD7" s="41" t="n">
        <f aca="false">IF(AC7="YES",AB7,0)</f>
        <v>0</v>
      </c>
      <c r="AE7" s="39" t="n">
        <f aca="false">Projection!BQ7</f>
        <v>4</v>
      </c>
      <c r="AF7" s="11" t="str">
        <f aca="false">Projection!BR7</f>
        <v>NO</v>
      </c>
      <c r="AG7" s="12" t="str">
        <f aca="false">IF(AF7="YES","STOCKOUT RISK",IF(AC7="YES","REORDER REQUIRED",IF(S7&gt;Excess_WoC,"EXCESS STOCK","HEALTHY")))</f>
        <v>HEALTHY</v>
      </c>
      <c r="AH7" s="7" t="str">
        <f aca="false">IF(AG7="STOCKOUT RISK","Projected inventory reaches zero in week "&amp;AE7&amp;", before a new order placed now could arrive (week "&amp;(K7+1)&amp;"). "&amp;IF(AC7="YES","Inventory position of "&amp;FIXED(R7,0)&amp;" units is at or below the reorder point of "&amp;FIXED(N7,0)&amp;", so an order of "&amp;FIXED(AD7,0)&amp;" units is recommended (EOQ "&amp;FIXED(Z7,0)&amp;", case pack "&amp;AA7&amp;"), but it cannot arrive in time: expedite supply or manage the shortfall.","No new order is triggered because inventory position of "&amp;FIXED(R7,0)&amp;" units is above the reorder point of "&amp;FIXED(N7,0)&amp;", but the open PO of "&amp;FIXED(P7,0)&amp;" units is due in week "&amp;Inputs!L40&amp;", which is too late: expedite the open PO."),IF(AG7="REORDER REQUIRED","Inventory position of "&amp;FIXED(R7,0)&amp;" units is "&amp;FIXED(N7-R7,0)&amp;" units below the reorder point of "&amp;FIXED(N7,0)&amp;" units. Replenishment is required. EOQ recommends approximately "&amp;FIXED(Z7,0)&amp;" units, rounded to "&amp;FIXED(AD7,0)&amp;" (case pack "&amp;AA7&amp;").",IF(AG7="EXCESS STOCK","Inventory position represents "&amp;FIXED(S7,1)&amp;" weeks of expected demand, above the "&amp;Excess_WoC&amp;"-week excess-stock threshold. No replenishment is triggered.","Inventory position of "&amp;FIXED(R7,0)&amp;" units is above the reorder point of "&amp;FIXED(N7,0)&amp;" units and covers "&amp;FIXED(S7,1)&amp;" weeks of forecast demand. No order needed now.")))</f>
        <v>Inventory position of 236 units is above the reorder point of 141 units and covers 3.9 weeks of forecast demand. No order needed now.</v>
      </c>
      <c r="AI7" s="42" t="n">
        <f aca="false">O7*V7</f>
        <v>4248</v>
      </c>
      <c r="AJ7" s="43" t="n">
        <f aca="false">IF(AG7="STOCKOUT RISK",1000,IF(AG7="REORDER REQUIRED",2000,IF(AG7="EXCESS STOCK",3000,4000)))+IF(AG7="EXCESS STOCK",500-MIN(S7,499),MAX(MIN(S7,499),-499))</f>
        <v>4003.85306122449</v>
      </c>
      <c r="AK7" s="19" t="n">
        <f aca="false">SUMPRODUCT(--($AJ$7:$AJ$54&lt;AJ7))+SUMPRODUCT(--($AJ$7:AJ7=AJ7))</f>
        <v>30</v>
      </c>
    </row>
    <row r="8" customFormat="false" ht="54" hidden="false" customHeight="true" outlineLevel="0" collapsed="false">
      <c r="A8" s="11" t="str">
        <f aca="false">Forecast!A8</f>
        <v>KIT-002</v>
      </c>
      <c r="B8" s="11" t="str">
        <f aca="false">Forecast!B8</f>
        <v>Non-Stick Frying Pan 28cm</v>
      </c>
      <c r="C8" s="11" t="str">
        <f aca="false">Inputs!E41</f>
        <v>SUP-01</v>
      </c>
      <c r="D8" s="11" t="str">
        <f aca="false">Forecast!AE8</f>
        <v>MA4</v>
      </c>
      <c r="E8" s="35" t="n">
        <f aca="false">Forecast!AF8</f>
        <v>33.5</v>
      </c>
      <c r="F8" s="36" t="n">
        <f aca="false">Forecast!AG8</f>
        <v>0.272765421737306</v>
      </c>
      <c r="G8" s="37" t="n">
        <f aca="false">Forecast!AH8</f>
        <v>-0.00356693243810323</v>
      </c>
      <c r="H8" s="35" t="n">
        <f aca="false">Forecast!AI8</f>
        <v>16.126330665219</v>
      </c>
      <c r="I8" s="36" t="n">
        <f aca="false">TSL</f>
        <v>0.95</v>
      </c>
      <c r="J8" s="38" t="n">
        <f aca="false">Z_Value</f>
        <v>1.64485362695147</v>
      </c>
      <c r="K8" s="39" t="n">
        <f aca="false">Inputs!F41</f>
        <v>2</v>
      </c>
      <c r="L8" s="28" t="n">
        <f aca="false">J8*H8*SQRT(K8)</f>
        <v>37.5126560653168</v>
      </c>
      <c r="M8" s="28" t="n">
        <f aca="false">E8*K8</f>
        <v>67</v>
      </c>
      <c r="N8" s="19" t="n">
        <f aca="false">M8+L8</f>
        <v>104.512656065317</v>
      </c>
      <c r="O8" s="39" t="n">
        <f aca="false">Inputs!J41</f>
        <v>6</v>
      </c>
      <c r="P8" s="39" t="n">
        <f aca="false">Inputs!K41</f>
        <v>92</v>
      </c>
      <c r="Q8" s="39" t="n">
        <f aca="false">Inputs!M41</f>
        <v>0</v>
      </c>
      <c r="R8" s="19" t="n">
        <f aca="false">O8+P8-Q8</f>
        <v>98</v>
      </c>
      <c r="S8" s="28" t="n">
        <f aca="false">IF(E8&gt;0,R8/E8,0)</f>
        <v>2.92537313432836</v>
      </c>
      <c r="T8" s="28" t="n">
        <f aca="false">IF(E8&gt;0,O8/E8,0)</f>
        <v>0.17910447761194</v>
      </c>
      <c r="U8" s="19" t="n">
        <f aca="false">E8*Weeks_Per_Year</f>
        <v>1742</v>
      </c>
      <c r="V8" s="40" t="n">
        <f aca="false">Inputs!H41</f>
        <v>22</v>
      </c>
      <c r="W8" s="40" t="n">
        <f aca="false">Inputs!G41</f>
        <v>40</v>
      </c>
      <c r="X8" s="36" t="n">
        <f aca="false">Holding_Rate</f>
        <v>0.2</v>
      </c>
      <c r="Y8" s="21" t="n">
        <f aca="false">V8*X8</f>
        <v>4.4</v>
      </c>
      <c r="Z8" s="28" t="n">
        <f aca="false">SQRT((2*U8*W8)/Y8)</f>
        <v>177.968332218761</v>
      </c>
      <c r="AA8" s="39" t="n">
        <f aca="false">Inputs!I41</f>
        <v>4</v>
      </c>
      <c r="AB8" s="19" t="n">
        <f aca="false">ROUNDUP(Z8/AA8,0)*AA8</f>
        <v>180</v>
      </c>
      <c r="AC8" s="10" t="str">
        <f aca="false">IF(R8&lt;=N8,"YES","NO")</f>
        <v>YES</v>
      </c>
      <c r="AD8" s="41" t="n">
        <f aca="false">IF(AC8="YES",AB8,0)</f>
        <v>180</v>
      </c>
      <c r="AE8" s="39" t="n">
        <f aca="false">Projection!BQ8</f>
        <v>9</v>
      </c>
      <c r="AF8" s="11" t="str">
        <f aca="false">Projection!BR8</f>
        <v>NO</v>
      </c>
      <c r="AG8" s="12" t="str">
        <f aca="false">IF(AF8="YES","STOCKOUT RISK",IF(AC8="YES","REORDER REQUIRED",IF(S8&gt;Excess_WoC,"EXCESS STOCK","HEALTHY")))</f>
        <v>REORDER REQUIRED</v>
      </c>
      <c r="AH8" s="7" t="str">
        <f aca="false">IF(AG8="STOCKOUT RISK","Projected inventory reaches zero in week "&amp;AE8&amp;", before a new order placed now could arrive (week "&amp;(K8+1)&amp;"). "&amp;IF(AC8="YES","Inventory position of "&amp;FIXED(R8,0)&amp;" units is at or below the reorder point of "&amp;FIXED(N8,0)&amp;", so an order of "&amp;FIXED(AD8,0)&amp;" units is recommended (EOQ "&amp;FIXED(Z8,0)&amp;", case pack "&amp;AA8&amp;"), but it cannot arrive in time: expedite supply or manage the shortfall.","No new order is triggered because inventory position of "&amp;FIXED(R8,0)&amp;" units is above the reorder point of "&amp;FIXED(N8,0)&amp;", but the open PO of "&amp;FIXED(P8,0)&amp;" units is due in week "&amp;Inputs!L41&amp;", which is too late: expedite the open PO."),IF(AG8="REORDER REQUIRED","Inventory position of "&amp;FIXED(R8,0)&amp;" units is "&amp;FIXED(N8-R8,0)&amp;" units below the reorder point of "&amp;FIXED(N8,0)&amp;" units. Replenishment is required. EOQ recommends approximately "&amp;FIXED(Z8,0)&amp;" units, rounded to "&amp;FIXED(AD8,0)&amp;" (case pack "&amp;AA8&amp;").",IF(AG8="EXCESS STOCK","Inventory position represents "&amp;FIXED(S8,1)&amp;" weeks of expected demand, above the "&amp;Excess_WoC&amp;"-week excess-stock threshold. No replenishment is triggered.","Inventory position of "&amp;FIXED(R8,0)&amp;" units is above the reorder point of "&amp;FIXED(N8,0)&amp;" units and covers "&amp;FIXED(S8,1)&amp;" weeks of forecast demand. No order needed now.")))</f>
        <v>Inventory position of 98 units is 7 units below the reorder point of 105 units. Replenishment is required. EOQ recommends approximately 178 units, rounded to 180 (case pack 4).</v>
      </c>
      <c r="AI8" s="42" t="n">
        <f aca="false">O8*V8</f>
        <v>132</v>
      </c>
      <c r="AJ8" s="43" t="n">
        <f aca="false">IF(AG8="STOCKOUT RISK",1000,IF(AG8="REORDER REQUIRED",2000,IF(AG8="EXCESS STOCK",3000,4000)))+IF(AG8="EXCESS STOCK",500-MIN(S8,499),MAX(MIN(S8,499),-499))</f>
        <v>2002.92537313433</v>
      </c>
      <c r="AK8" s="19" t="n">
        <f aca="false">SUMPRODUCT(--($AJ$7:$AJ$54&lt;AJ8))+SUMPRODUCT(--($AJ$7:AJ8=AJ8))</f>
        <v>12</v>
      </c>
    </row>
    <row r="9" customFormat="false" ht="54" hidden="false" customHeight="true" outlineLevel="0" collapsed="false">
      <c r="A9" s="11" t="str">
        <f aca="false">Forecast!A9</f>
        <v>KIT-003</v>
      </c>
      <c r="B9" s="11" t="str">
        <f aca="false">Forecast!B9</f>
        <v>Glass Food Storage Set 5pc</v>
      </c>
      <c r="C9" s="11" t="str">
        <f aca="false">Inputs!E42</f>
        <v>SUP-01</v>
      </c>
      <c r="D9" s="11" t="str">
        <f aca="false">Forecast!AE9</f>
        <v>MA8</v>
      </c>
      <c r="E9" s="35" t="n">
        <f aca="false">Forecast!AF9</f>
        <v>95.125</v>
      </c>
      <c r="F9" s="36" t="n">
        <f aca="false">Forecast!AG9</f>
        <v>0.103365384615385</v>
      </c>
      <c r="G9" s="37" t="n">
        <f aca="false">Forecast!AH9</f>
        <v>-0.0229762969588551</v>
      </c>
      <c r="H9" s="35" t="n">
        <f aca="false">Forecast!AI9</f>
        <v>11.354526351423</v>
      </c>
      <c r="I9" s="36" t="n">
        <f aca="false">TSL</f>
        <v>0.95</v>
      </c>
      <c r="J9" s="38" t="n">
        <f aca="false">Z_Value</f>
        <v>1.64485362695147</v>
      </c>
      <c r="K9" s="39" t="n">
        <f aca="false">Inputs!F42</f>
        <v>2</v>
      </c>
      <c r="L9" s="28" t="n">
        <f aca="false">J9*H9*SQRT(K9)</f>
        <v>26.4126074708466</v>
      </c>
      <c r="M9" s="28" t="n">
        <f aca="false">E9*K9</f>
        <v>190.25</v>
      </c>
      <c r="N9" s="19" t="n">
        <f aca="false">M9+L9</f>
        <v>216.662607470847</v>
      </c>
      <c r="O9" s="39" t="n">
        <f aca="false">Inputs!J42</f>
        <v>0</v>
      </c>
      <c r="P9" s="39" t="n">
        <f aca="false">Inputs!K42</f>
        <v>0</v>
      </c>
      <c r="Q9" s="39" t="n">
        <f aca="false">Inputs!M42</f>
        <v>36</v>
      </c>
      <c r="R9" s="19" t="n">
        <f aca="false">O9+P9-Q9</f>
        <v>-36</v>
      </c>
      <c r="S9" s="28" t="n">
        <f aca="false">IF(E9&gt;0,R9/E9,0)</f>
        <v>-0.378449408672799</v>
      </c>
      <c r="T9" s="28" t="n">
        <f aca="false">IF(E9&gt;0,O9/E9,0)</f>
        <v>0</v>
      </c>
      <c r="U9" s="19" t="n">
        <f aca="false">E9*Weeks_Per_Year</f>
        <v>4946.5</v>
      </c>
      <c r="V9" s="40" t="n">
        <f aca="false">Inputs!H42</f>
        <v>15</v>
      </c>
      <c r="W9" s="40" t="n">
        <f aca="false">Inputs!G42</f>
        <v>40</v>
      </c>
      <c r="X9" s="36" t="n">
        <f aca="false">Holding_Rate</f>
        <v>0.2</v>
      </c>
      <c r="Y9" s="21" t="n">
        <f aca="false">V9*X9</f>
        <v>3</v>
      </c>
      <c r="Z9" s="28" t="n">
        <f aca="false">SQRT((2*U9*W9)/Y9)</f>
        <v>363.18957400601</v>
      </c>
      <c r="AA9" s="39" t="n">
        <f aca="false">Inputs!I42</f>
        <v>6</v>
      </c>
      <c r="AB9" s="19" t="n">
        <f aca="false">ROUNDUP(Z9/AA9,0)*AA9</f>
        <v>366</v>
      </c>
      <c r="AC9" s="10" t="str">
        <f aca="false">IF(R9&lt;=N9,"YES","NO")</f>
        <v>YES</v>
      </c>
      <c r="AD9" s="41" t="n">
        <f aca="false">IF(AC9="YES",AB9,0)</f>
        <v>366</v>
      </c>
      <c r="AE9" s="39" t="n">
        <f aca="false">Projection!BQ9</f>
        <v>1</v>
      </c>
      <c r="AF9" s="11" t="str">
        <f aca="false">Projection!BR9</f>
        <v>YES</v>
      </c>
      <c r="AG9" s="12" t="str">
        <f aca="false">IF(AF9="YES","STOCKOUT RISK",IF(AC9="YES","REORDER REQUIRED",IF(S9&gt;Excess_WoC,"EXCESS STOCK","HEALTHY")))</f>
        <v>STOCKOUT RISK</v>
      </c>
      <c r="AH9" s="7" t="str">
        <f aca="false">IF(AG9="STOCKOUT RISK","Projected inventory reaches zero in week "&amp;AE9&amp;", before a new order placed now could arrive (week "&amp;(K9+1)&amp;"). "&amp;IF(AC9="YES","Inventory position of "&amp;FIXED(R9,0)&amp;" units is at or below the reorder point of "&amp;FIXED(N9,0)&amp;", so an order of "&amp;FIXED(AD9,0)&amp;" units is recommended (EOQ "&amp;FIXED(Z9,0)&amp;", case pack "&amp;AA9&amp;"), but it cannot arrive in time: expedite supply or manage the shortfall.","No new order is triggered because inventory position of "&amp;FIXED(R9,0)&amp;" units is above the reorder point of "&amp;FIXED(N9,0)&amp;", but the open PO of "&amp;FIXED(P9,0)&amp;" units is due in week "&amp;Inputs!L42&amp;", which is too late: expedite the open PO."),IF(AG9="REORDER REQUIRED","Inventory position of "&amp;FIXED(R9,0)&amp;" units is "&amp;FIXED(N9-R9,0)&amp;" units below the reorder point of "&amp;FIXED(N9,0)&amp;" units. Replenishment is required. EOQ recommends approximately "&amp;FIXED(Z9,0)&amp;" units, rounded to "&amp;FIXED(AD9,0)&amp;" (case pack "&amp;AA9&amp;").",IF(AG9="EXCESS STOCK","Inventory position represents "&amp;FIXED(S9,1)&amp;" weeks of expected demand, above the "&amp;Excess_WoC&amp;"-week excess-stock threshold. No replenishment is triggered.","Inventory position of "&amp;FIXED(R9,0)&amp;" units is above the reorder point of "&amp;FIXED(N9,0)&amp;" units and covers "&amp;FIXED(S9,1)&amp;" weeks of forecast demand. No order needed now.")))</f>
        <v>Projected inventory reaches zero in week 1, before a new order placed now could arrive (week 3). Inventory position of -36 units is at or below the reorder point of 217, so an order of 366 units is recommended (EOQ 363, case pack 6), but it cannot arrive in time: expedite supply or manage the shortfall.</v>
      </c>
      <c r="AI9" s="42" t="n">
        <f aca="false">O9*V9</f>
        <v>0</v>
      </c>
      <c r="AJ9" s="43" t="n">
        <f aca="false">IF(AG9="STOCKOUT RISK",1000,IF(AG9="REORDER REQUIRED",2000,IF(AG9="EXCESS STOCK",3000,4000)))+IF(AG9="EXCESS STOCK",500-MIN(S9,499),MAX(MIN(S9,499),-499))</f>
        <v>999.621550591327</v>
      </c>
      <c r="AK9" s="19" t="n">
        <f aca="false">SUMPRODUCT(--($AJ$7:$AJ$54&lt;AJ9))+SUMPRODUCT(--($AJ$7:AJ9=AJ9))</f>
        <v>3</v>
      </c>
    </row>
    <row r="10" customFormat="false" ht="54" hidden="false" customHeight="true" outlineLevel="0" collapsed="false">
      <c r="A10" s="11" t="str">
        <f aca="false">Forecast!A10</f>
        <v>KIT-004</v>
      </c>
      <c r="B10" s="11" t="str">
        <f aca="false">Forecast!B10</f>
        <v>Bamboo Cutting Board</v>
      </c>
      <c r="C10" s="11" t="str">
        <f aca="false">Inputs!E43</f>
        <v>SUP-01</v>
      </c>
      <c r="D10" s="11" t="str">
        <f aca="false">Forecast!AE10</f>
        <v>MA4</v>
      </c>
      <c r="E10" s="35" t="n">
        <f aca="false">Forecast!AF10</f>
        <v>96.5</v>
      </c>
      <c r="F10" s="36" t="n">
        <f aca="false">Forecast!AG10</f>
        <v>0.106898029134533</v>
      </c>
      <c r="G10" s="37" t="n">
        <f aca="false">Forecast!AH10</f>
        <v>-0.00996143958868895</v>
      </c>
      <c r="H10" s="35" t="n">
        <f aca="false">Forecast!AI10</f>
        <v>11.4679162587739</v>
      </c>
      <c r="I10" s="36" t="n">
        <f aca="false">TSL</f>
        <v>0.95</v>
      </c>
      <c r="J10" s="38" t="n">
        <f aca="false">Z_Value</f>
        <v>1.64485362695147</v>
      </c>
      <c r="K10" s="39" t="n">
        <f aca="false">Inputs!F43</f>
        <v>2</v>
      </c>
      <c r="L10" s="28" t="n">
        <f aca="false">J10*H10*SQRT(K10)</f>
        <v>26.6763721600395</v>
      </c>
      <c r="M10" s="28" t="n">
        <f aca="false">E10*K10</f>
        <v>193</v>
      </c>
      <c r="N10" s="19" t="n">
        <f aca="false">M10+L10</f>
        <v>219.67637216004</v>
      </c>
      <c r="O10" s="39" t="n">
        <f aca="false">Inputs!J43</f>
        <v>270</v>
      </c>
      <c r="P10" s="39" t="n">
        <f aca="false">Inputs!K43</f>
        <v>0</v>
      </c>
      <c r="Q10" s="39" t="n">
        <f aca="false">Inputs!M43</f>
        <v>0</v>
      </c>
      <c r="R10" s="19" t="n">
        <f aca="false">O10+P10-Q10</f>
        <v>270</v>
      </c>
      <c r="S10" s="28" t="n">
        <f aca="false">IF(E10&gt;0,R10/E10,0)</f>
        <v>2.7979274611399</v>
      </c>
      <c r="T10" s="28" t="n">
        <f aca="false">IF(E10&gt;0,O10/E10,0)</f>
        <v>2.7979274611399</v>
      </c>
      <c r="U10" s="19" t="n">
        <f aca="false">E10*Weeks_Per_Year</f>
        <v>5018</v>
      </c>
      <c r="V10" s="40" t="n">
        <f aca="false">Inputs!H43</f>
        <v>9</v>
      </c>
      <c r="W10" s="40" t="n">
        <f aca="false">Inputs!G43</f>
        <v>40</v>
      </c>
      <c r="X10" s="36" t="n">
        <f aca="false">Holding_Rate</f>
        <v>0.2</v>
      </c>
      <c r="Y10" s="21" t="n">
        <f aca="false">V10*X10</f>
        <v>1.8</v>
      </c>
      <c r="Z10" s="28" t="n">
        <f aca="false">SQRT((2*U10*W10)/Y10)</f>
        <v>472.252286624662</v>
      </c>
      <c r="AA10" s="39" t="n">
        <f aca="false">Inputs!I43</f>
        <v>12</v>
      </c>
      <c r="AB10" s="19" t="n">
        <f aca="false">ROUNDUP(Z10/AA10,0)*AA10</f>
        <v>480</v>
      </c>
      <c r="AC10" s="10" t="str">
        <f aca="false">IF(R10&lt;=N10,"YES","NO")</f>
        <v>NO</v>
      </c>
      <c r="AD10" s="41" t="n">
        <f aca="false">IF(AC10="YES",AB10,0)</f>
        <v>0</v>
      </c>
      <c r="AE10" s="39" t="n">
        <f aca="false">Projection!BQ10</f>
        <v>3</v>
      </c>
      <c r="AF10" s="11" t="str">
        <f aca="false">Projection!BR10</f>
        <v>NO</v>
      </c>
      <c r="AG10" s="12" t="str">
        <f aca="false">IF(AF10="YES","STOCKOUT RISK",IF(AC10="YES","REORDER REQUIRED",IF(S10&gt;Excess_WoC,"EXCESS STOCK","HEALTHY")))</f>
        <v>HEALTHY</v>
      </c>
      <c r="AH10" s="7" t="str">
        <f aca="false">IF(AG10="STOCKOUT RISK","Projected inventory reaches zero in week "&amp;AE10&amp;", before a new order placed now could arrive (week "&amp;(K10+1)&amp;"). "&amp;IF(AC10="YES","Inventory position of "&amp;FIXED(R10,0)&amp;" units is at or below the reorder point of "&amp;FIXED(N10,0)&amp;", so an order of "&amp;FIXED(AD10,0)&amp;" units is recommended (EOQ "&amp;FIXED(Z10,0)&amp;", case pack "&amp;AA10&amp;"), but it cannot arrive in time: expedite supply or manage the shortfall.","No new order is triggered because inventory position of "&amp;FIXED(R10,0)&amp;" units is above the reorder point of "&amp;FIXED(N10,0)&amp;", but the open PO of "&amp;FIXED(P10,0)&amp;" units is due in week "&amp;Inputs!L43&amp;", which is too late: expedite the open PO."),IF(AG10="REORDER REQUIRED","Inventory position of "&amp;FIXED(R10,0)&amp;" units is "&amp;FIXED(N10-R10,0)&amp;" units below the reorder point of "&amp;FIXED(N10,0)&amp;" units. Replenishment is required. EOQ recommends approximately "&amp;FIXED(Z10,0)&amp;" units, rounded to "&amp;FIXED(AD10,0)&amp;" (case pack "&amp;AA10&amp;").",IF(AG10="EXCESS STOCK","Inventory position represents "&amp;FIXED(S10,1)&amp;" weeks of expected demand, above the "&amp;Excess_WoC&amp;"-week excess-stock threshold. No replenishment is triggered.","Inventory position of "&amp;FIXED(R10,0)&amp;" units is above the reorder point of "&amp;FIXED(N10,0)&amp;" units and covers "&amp;FIXED(S10,1)&amp;" weeks of forecast demand. No order needed now.")))</f>
        <v>Inventory position of 270 units is above the reorder point of 220 units and covers 2.8 weeks of forecast demand. No order needed now.</v>
      </c>
      <c r="AI10" s="42" t="n">
        <f aca="false">O10*V10</f>
        <v>2430</v>
      </c>
      <c r="AJ10" s="43" t="n">
        <f aca="false">IF(AG10="STOCKOUT RISK",1000,IF(AG10="REORDER REQUIRED",2000,IF(AG10="EXCESS STOCK",3000,4000)))+IF(AG10="EXCESS STOCK",500-MIN(S10,499),MAX(MIN(S10,499),-499))</f>
        <v>4002.79792746114</v>
      </c>
      <c r="AK10" s="19" t="n">
        <f aca="false">SUMPRODUCT(--($AJ$7:$AJ$54&lt;AJ10))+SUMPRODUCT(--($AJ$7:AJ10=AJ10))</f>
        <v>27</v>
      </c>
    </row>
    <row r="11" customFormat="false" ht="54" hidden="false" customHeight="true" outlineLevel="0" collapsed="false">
      <c r="A11" s="11" t="str">
        <f aca="false">Forecast!A11</f>
        <v>KIT-005</v>
      </c>
      <c r="B11" s="11" t="str">
        <f aca="false">Forecast!B11</f>
        <v>Stainless Saucepan 2L</v>
      </c>
      <c r="C11" s="11" t="str">
        <f aca="false">Inputs!E44</f>
        <v>SUP-01</v>
      </c>
      <c r="D11" s="11" t="str">
        <f aca="false">Forecast!AE11</f>
        <v>MA8</v>
      </c>
      <c r="E11" s="35" t="n">
        <f aca="false">Forecast!AF11</f>
        <v>23.875</v>
      </c>
      <c r="F11" s="36" t="n">
        <f aca="false">Forecast!AG11</f>
        <v>0.138619014573213</v>
      </c>
      <c r="G11" s="37" t="n">
        <f aca="false">Forecast!AH11</f>
        <v>0.0315752949340736</v>
      </c>
      <c r="H11" s="35" t="n">
        <f aca="false">Forecast!AI11</f>
        <v>4.67556487098031</v>
      </c>
      <c r="I11" s="36" t="n">
        <f aca="false">TSL</f>
        <v>0.95</v>
      </c>
      <c r="J11" s="38" t="n">
        <f aca="false">Z_Value</f>
        <v>1.64485362695147</v>
      </c>
      <c r="K11" s="39" t="n">
        <f aca="false">Inputs!F44</f>
        <v>2</v>
      </c>
      <c r="L11" s="28" t="n">
        <f aca="false">J11*H11*SQRT(K11)</f>
        <v>10.8761788752383</v>
      </c>
      <c r="M11" s="28" t="n">
        <f aca="false">E11*K11</f>
        <v>47.75</v>
      </c>
      <c r="N11" s="19" t="n">
        <f aca="false">M11+L11</f>
        <v>58.6261788752383</v>
      </c>
      <c r="O11" s="39" t="n">
        <f aca="false">Inputs!J44</f>
        <v>334</v>
      </c>
      <c r="P11" s="39" t="n">
        <f aca="false">Inputs!K44</f>
        <v>0</v>
      </c>
      <c r="Q11" s="39" t="n">
        <f aca="false">Inputs!M44</f>
        <v>0</v>
      </c>
      <c r="R11" s="19" t="n">
        <f aca="false">O11+P11-Q11</f>
        <v>334</v>
      </c>
      <c r="S11" s="28" t="n">
        <f aca="false">IF(E11&gt;0,R11/E11,0)</f>
        <v>13.9895287958115</v>
      </c>
      <c r="T11" s="28" t="n">
        <f aca="false">IF(E11&gt;0,O11/E11,0)</f>
        <v>13.9895287958115</v>
      </c>
      <c r="U11" s="19" t="n">
        <f aca="false">E11*Weeks_Per_Year</f>
        <v>1241.5</v>
      </c>
      <c r="V11" s="40" t="n">
        <f aca="false">Inputs!H44</f>
        <v>28</v>
      </c>
      <c r="W11" s="40" t="n">
        <f aca="false">Inputs!G44</f>
        <v>40</v>
      </c>
      <c r="X11" s="36" t="n">
        <f aca="false">Holding_Rate</f>
        <v>0.2</v>
      </c>
      <c r="Y11" s="21" t="n">
        <f aca="false">V11*X11</f>
        <v>5.6</v>
      </c>
      <c r="Z11" s="28" t="n">
        <f aca="false">SQRT((2*U11*W11)/Y11)</f>
        <v>133.175501822649</v>
      </c>
      <c r="AA11" s="39" t="n">
        <f aca="false">Inputs!I44</f>
        <v>4</v>
      </c>
      <c r="AB11" s="19" t="n">
        <f aca="false">ROUNDUP(Z11/AA11,0)*AA11</f>
        <v>136</v>
      </c>
      <c r="AC11" s="10" t="str">
        <f aca="false">IF(R11&lt;=N11,"YES","NO")</f>
        <v>NO</v>
      </c>
      <c r="AD11" s="41" t="n">
        <f aca="false">IF(AC11="YES",AB11,0)</f>
        <v>0</v>
      </c>
      <c r="AE11" s="39" t="str">
        <f aca="false">Projection!BQ11</f>
        <v>None</v>
      </c>
      <c r="AF11" s="11" t="str">
        <f aca="false">Projection!BR11</f>
        <v>NO</v>
      </c>
      <c r="AG11" s="12" t="str">
        <f aca="false">IF(AF11="YES","STOCKOUT RISK",IF(AC11="YES","REORDER REQUIRED",IF(S11&gt;Excess_WoC,"EXCESS STOCK","HEALTHY")))</f>
        <v>EXCESS STOCK</v>
      </c>
      <c r="AH11" s="7" t="str">
        <f aca="false">IF(AG11="STOCKOUT RISK","Projected inventory reaches zero in week "&amp;AE11&amp;", before a new order placed now could arrive (week "&amp;(K11+1)&amp;"). "&amp;IF(AC11="YES","Inventory position of "&amp;FIXED(R11,0)&amp;" units is at or below the reorder point of "&amp;FIXED(N11,0)&amp;", so an order of "&amp;FIXED(AD11,0)&amp;" units is recommended (EOQ "&amp;FIXED(Z11,0)&amp;", case pack "&amp;AA11&amp;"), but it cannot arrive in time: expedite supply or manage the shortfall.","No new order is triggered because inventory position of "&amp;FIXED(R11,0)&amp;" units is above the reorder point of "&amp;FIXED(N11,0)&amp;", but the open PO of "&amp;FIXED(P11,0)&amp;" units is due in week "&amp;Inputs!L44&amp;", which is too late: expedite the open PO."),IF(AG11="REORDER REQUIRED","Inventory position of "&amp;FIXED(R11,0)&amp;" units is "&amp;FIXED(N11-R11,0)&amp;" units below the reorder point of "&amp;FIXED(N11,0)&amp;" units. Replenishment is required. EOQ recommends approximately "&amp;FIXED(Z11,0)&amp;" units, rounded to "&amp;FIXED(AD11,0)&amp;" (case pack "&amp;AA11&amp;").",IF(AG11="EXCESS STOCK","Inventory position represents "&amp;FIXED(S11,1)&amp;" weeks of expected demand, above the "&amp;Excess_WoC&amp;"-week excess-stock threshold. No replenishment is triggered.","Inventory position of "&amp;FIXED(R11,0)&amp;" units is above the reorder point of "&amp;FIXED(N11,0)&amp;" units and covers "&amp;FIXED(S11,1)&amp;" weeks of forecast demand. No order needed now.")))</f>
        <v>Inventory position represents 14.0 weeks of expected demand, above the 12-week excess-stock threshold. No replenishment is triggered.</v>
      </c>
      <c r="AI11" s="42" t="n">
        <f aca="false">O11*V11</f>
        <v>9352</v>
      </c>
      <c r="AJ11" s="43" t="n">
        <f aca="false">IF(AG11="STOCKOUT RISK",1000,IF(AG11="REORDER REQUIRED",2000,IF(AG11="EXCESS STOCK",3000,4000)))+IF(AG11="EXCESS STOCK",500-MIN(S11,499),MAX(MIN(S11,499),-499))</f>
        <v>3486.01047120419</v>
      </c>
      <c r="AK11" s="19" t="n">
        <f aca="false">SUMPRODUCT(--($AJ$7:$AJ$54&lt;AJ11))+SUMPRODUCT(--($AJ$7:AJ11=AJ11))</f>
        <v>25</v>
      </c>
    </row>
    <row r="12" customFormat="false" ht="54" hidden="false" customHeight="true" outlineLevel="0" collapsed="false">
      <c r="A12" s="11" t="str">
        <f aca="false">Forecast!A12</f>
        <v>KIT-006</v>
      </c>
      <c r="B12" s="11" t="str">
        <f aca="false">Forecast!B12</f>
        <v>Silicone Utensil Set</v>
      </c>
      <c r="C12" s="11" t="str">
        <f aca="false">Inputs!E45</f>
        <v>SUP-01</v>
      </c>
      <c r="D12" s="11" t="str">
        <f aca="false">Forecast!AE12</f>
        <v>MA8</v>
      </c>
      <c r="E12" s="35" t="n">
        <f aca="false">Forecast!AF12</f>
        <v>66.625</v>
      </c>
      <c r="F12" s="36" t="n">
        <f aca="false">Forecast!AG12</f>
        <v>0.270790378006873</v>
      </c>
      <c r="G12" s="37" t="n">
        <f aca="false">Forecast!AH12</f>
        <v>-0.0412371134020619</v>
      </c>
      <c r="H12" s="35" t="n">
        <f aca="false">Forecast!AI12</f>
        <v>19.8379998661101</v>
      </c>
      <c r="I12" s="36" t="n">
        <f aca="false">TSL</f>
        <v>0.95</v>
      </c>
      <c r="J12" s="38" t="n">
        <f aca="false">Z_Value</f>
        <v>1.64485362695147</v>
      </c>
      <c r="K12" s="39" t="n">
        <f aca="false">Inputs!F45</f>
        <v>2</v>
      </c>
      <c r="L12" s="28" t="n">
        <f aca="false">J12*H12*SQRT(K12)</f>
        <v>46.1466455978244</v>
      </c>
      <c r="M12" s="28" t="n">
        <f aca="false">E12*K12</f>
        <v>133.25</v>
      </c>
      <c r="N12" s="19" t="n">
        <f aca="false">M12+L12</f>
        <v>179.396645597824</v>
      </c>
      <c r="O12" s="39" t="n">
        <f aca="false">Inputs!J45</f>
        <v>378</v>
      </c>
      <c r="P12" s="39" t="n">
        <f aca="false">Inputs!K45</f>
        <v>0</v>
      </c>
      <c r="Q12" s="39" t="n">
        <f aca="false">Inputs!M45</f>
        <v>0</v>
      </c>
      <c r="R12" s="19" t="n">
        <f aca="false">O12+P12-Q12</f>
        <v>378</v>
      </c>
      <c r="S12" s="28" t="n">
        <f aca="false">IF(E12&gt;0,R12/E12,0)</f>
        <v>5.67354596622889</v>
      </c>
      <c r="T12" s="28" t="n">
        <f aca="false">IF(E12&gt;0,O12/E12,0)</f>
        <v>5.67354596622889</v>
      </c>
      <c r="U12" s="19" t="n">
        <f aca="false">E12*Weeks_Per_Year</f>
        <v>3464.5</v>
      </c>
      <c r="V12" s="40" t="n">
        <f aca="false">Inputs!H45</f>
        <v>12</v>
      </c>
      <c r="W12" s="40" t="n">
        <f aca="false">Inputs!G45</f>
        <v>40</v>
      </c>
      <c r="X12" s="36" t="n">
        <f aca="false">Holding_Rate</f>
        <v>0.2</v>
      </c>
      <c r="Y12" s="21" t="n">
        <f aca="false">V12*X12</f>
        <v>2.4</v>
      </c>
      <c r="Z12" s="28" t="n">
        <f aca="false">SQRT((2*U12*W12)/Y12)</f>
        <v>339.828388062759</v>
      </c>
      <c r="AA12" s="39" t="n">
        <f aca="false">Inputs!I45</f>
        <v>10</v>
      </c>
      <c r="AB12" s="19" t="n">
        <f aca="false">ROUNDUP(Z12/AA12,0)*AA12</f>
        <v>340</v>
      </c>
      <c r="AC12" s="10" t="str">
        <f aca="false">IF(R12&lt;=N12,"YES","NO")</f>
        <v>NO</v>
      </c>
      <c r="AD12" s="41" t="n">
        <f aca="false">IF(AC12="YES",AB12,0)</f>
        <v>0</v>
      </c>
      <c r="AE12" s="39" t="n">
        <f aca="false">Projection!BQ12</f>
        <v>6</v>
      </c>
      <c r="AF12" s="11" t="str">
        <f aca="false">Projection!BR12</f>
        <v>NO</v>
      </c>
      <c r="AG12" s="12" t="str">
        <f aca="false">IF(AF12="YES","STOCKOUT RISK",IF(AC12="YES","REORDER REQUIRED",IF(S12&gt;Excess_WoC,"EXCESS STOCK","HEALTHY")))</f>
        <v>HEALTHY</v>
      </c>
      <c r="AH12" s="7" t="str">
        <f aca="false">IF(AG12="STOCKOUT RISK","Projected inventory reaches zero in week "&amp;AE12&amp;", before a new order placed now could arrive (week "&amp;(K12+1)&amp;"). "&amp;IF(AC12="YES","Inventory position of "&amp;FIXED(R12,0)&amp;" units is at or below the reorder point of "&amp;FIXED(N12,0)&amp;", so an order of "&amp;FIXED(AD12,0)&amp;" units is recommended (EOQ "&amp;FIXED(Z12,0)&amp;", case pack "&amp;AA12&amp;"), but it cannot arrive in time: expedite supply or manage the shortfall.","No new order is triggered because inventory position of "&amp;FIXED(R12,0)&amp;" units is above the reorder point of "&amp;FIXED(N12,0)&amp;", but the open PO of "&amp;FIXED(P12,0)&amp;" units is due in week "&amp;Inputs!L45&amp;", which is too late: expedite the open PO."),IF(AG12="REORDER REQUIRED","Inventory position of "&amp;FIXED(R12,0)&amp;" units is "&amp;FIXED(N12-R12,0)&amp;" units below the reorder point of "&amp;FIXED(N12,0)&amp;" units. Replenishment is required. EOQ recommends approximately "&amp;FIXED(Z12,0)&amp;" units, rounded to "&amp;FIXED(AD12,0)&amp;" (case pack "&amp;AA12&amp;").",IF(AG12="EXCESS STOCK","Inventory position represents "&amp;FIXED(S12,1)&amp;" weeks of expected demand, above the "&amp;Excess_WoC&amp;"-week excess-stock threshold. No replenishment is triggered.","Inventory position of "&amp;FIXED(R12,0)&amp;" units is above the reorder point of "&amp;FIXED(N12,0)&amp;" units and covers "&amp;FIXED(S12,1)&amp;" weeks of forecast demand. No order needed now.")))</f>
        <v>Inventory position of 378 units is above the reorder point of 179 units and covers 5.7 weeks of forecast demand. No order needed now.</v>
      </c>
      <c r="AI12" s="42" t="n">
        <f aca="false">O12*V12</f>
        <v>4536</v>
      </c>
      <c r="AJ12" s="43" t="n">
        <f aca="false">IF(AG12="STOCKOUT RISK",1000,IF(AG12="REORDER REQUIRED",2000,IF(AG12="EXCESS STOCK",3000,4000)))+IF(AG12="EXCESS STOCK",500-MIN(S12,499),MAX(MIN(S12,499),-499))</f>
        <v>4005.67354596623</v>
      </c>
      <c r="AK12" s="19" t="n">
        <f aca="false">SUMPRODUCT(--($AJ$7:$AJ$54&lt;AJ12))+SUMPRODUCT(--($AJ$7:AJ12=AJ12))</f>
        <v>35</v>
      </c>
    </row>
    <row r="13" customFormat="false" ht="54" hidden="false" customHeight="true" outlineLevel="0" collapsed="false">
      <c r="A13" s="11" t="str">
        <f aca="false">Forecast!A13</f>
        <v>KIT-007</v>
      </c>
      <c r="B13" s="11" t="str">
        <f aca="false">Forecast!B13</f>
        <v>Cast Iron Casserole 5L</v>
      </c>
      <c r="C13" s="11" t="str">
        <f aca="false">Inputs!E46</f>
        <v>SUP-01</v>
      </c>
      <c r="D13" s="11" t="str">
        <f aca="false">Forecast!AE13</f>
        <v>MA8</v>
      </c>
      <c r="E13" s="35" t="n">
        <f aca="false">Forecast!AF13</f>
        <v>8.875</v>
      </c>
      <c r="F13" s="36" t="n">
        <f aca="false">Forecast!AG13</f>
        <v>0.293717616580311</v>
      </c>
      <c r="G13" s="37" t="n">
        <f aca="false">Forecast!AH13</f>
        <v>-0.0281735751295337</v>
      </c>
      <c r="H13" s="35" t="n">
        <f aca="false">Forecast!AI13</f>
        <v>2.82525388780247</v>
      </c>
      <c r="I13" s="36" t="n">
        <f aca="false">TSL</f>
        <v>0.95</v>
      </c>
      <c r="J13" s="38" t="n">
        <f aca="false">Z_Value</f>
        <v>1.64485362695147</v>
      </c>
      <c r="K13" s="39" t="n">
        <f aca="false">Inputs!F46</f>
        <v>2</v>
      </c>
      <c r="L13" s="28" t="n">
        <f aca="false">J13*H13*SQRT(K13)</f>
        <v>6.57203300555627</v>
      </c>
      <c r="M13" s="28" t="n">
        <f aca="false">E13*K13</f>
        <v>17.75</v>
      </c>
      <c r="N13" s="19" t="n">
        <f aca="false">M13+L13</f>
        <v>24.3220330055563</v>
      </c>
      <c r="O13" s="39" t="n">
        <f aca="false">Inputs!J46</f>
        <v>21</v>
      </c>
      <c r="P13" s="39" t="n">
        <f aca="false">Inputs!K46</f>
        <v>0</v>
      </c>
      <c r="Q13" s="39" t="n">
        <f aca="false">Inputs!M46</f>
        <v>0</v>
      </c>
      <c r="R13" s="19" t="n">
        <f aca="false">O13+P13-Q13</f>
        <v>21</v>
      </c>
      <c r="S13" s="28" t="n">
        <f aca="false">IF(E13&gt;0,R13/E13,0)</f>
        <v>2.36619718309859</v>
      </c>
      <c r="T13" s="28" t="n">
        <f aca="false">IF(E13&gt;0,O13/E13,0)</f>
        <v>2.36619718309859</v>
      </c>
      <c r="U13" s="19" t="n">
        <f aca="false">E13*Weeks_Per_Year</f>
        <v>461.5</v>
      </c>
      <c r="V13" s="40" t="n">
        <f aca="false">Inputs!H46</f>
        <v>85</v>
      </c>
      <c r="W13" s="40" t="n">
        <f aca="false">Inputs!G46</f>
        <v>40</v>
      </c>
      <c r="X13" s="36" t="n">
        <f aca="false">Holding_Rate</f>
        <v>0.2</v>
      </c>
      <c r="Y13" s="21" t="n">
        <f aca="false">V13*X13</f>
        <v>17</v>
      </c>
      <c r="Z13" s="28" t="n">
        <f aca="false">SQRT((2*U13*W13)/Y13)</f>
        <v>46.6021963632869</v>
      </c>
      <c r="AA13" s="39" t="n">
        <f aca="false">Inputs!I46</f>
        <v>1</v>
      </c>
      <c r="AB13" s="19" t="n">
        <f aca="false">ROUNDUP(Z13/AA13,0)*AA13</f>
        <v>47</v>
      </c>
      <c r="AC13" s="10" t="str">
        <f aca="false">IF(R13&lt;=N13,"YES","NO")</f>
        <v>YES</v>
      </c>
      <c r="AD13" s="41" t="n">
        <f aca="false">IF(AC13="YES",AB13,0)</f>
        <v>47</v>
      </c>
      <c r="AE13" s="39" t="n">
        <f aca="false">Projection!BQ13</f>
        <v>8</v>
      </c>
      <c r="AF13" s="11" t="str">
        <f aca="false">Projection!BR13</f>
        <v>NO</v>
      </c>
      <c r="AG13" s="12" t="str">
        <f aca="false">IF(AF13="YES","STOCKOUT RISK",IF(AC13="YES","REORDER REQUIRED",IF(S13&gt;Excess_WoC,"EXCESS STOCK","HEALTHY")))</f>
        <v>REORDER REQUIRED</v>
      </c>
      <c r="AH13" s="7" t="str">
        <f aca="false">IF(AG13="STOCKOUT RISK","Projected inventory reaches zero in week "&amp;AE13&amp;", before a new order placed now could arrive (week "&amp;(K13+1)&amp;"). "&amp;IF(AC13="YES","Inventory position of "&amp;FIXED(R13,0)&amp;" units is at or below the reorder point of "&amp;FIXED(N13,0)&amp;", so an order of "&amp;FIXED(AD13,0)&amp;" units is recommended (EOQ "&amp;FIXED(Z13,0)&amp;", case pack "&amp;AA13&amp;"), but it cannot arrive in time: expedite supply or manage the shortfall.","No new order is triggered because inventory position of "&amp;FIXED(R13,0)&amp;" units is above the reorder point of "&amp;FIXED(N13,0)&amp;", but the open PO of "&amp;FIXED(P13,0)&amp;" units is due in week "&amp;Inputs!L46&amp;", which is too late: expedite the open PO."),IF(AG13="REORDER REQUIRED","Inventory position of "&amp;FIXED(R13,0)&amp;" units is "&amp;FIXED(N13-R13,0)&amp;" units below the reorder point of "&amp;FIXED(N13,0)&amp;" units. Replenishment is required. EOQ recommends approximately "&amp;FIXED(Z13,0)&amp;" units, rounded to "&amp;FIXED(AD13,0)&amp;" (case pack "&amp;AA13&amp;").",IF(AG13="EXCESS STOCK","Inventory position represents "&amp;FIXED(S13,1)&amp;" weeks of expected demand, above the "&amp;Excess_WoC&amp;"-week excess-stock threshold. No replenishment is triggered.","Inventory position of "&amp;FIXED(R13,0)&amp;" units is above the reorder point of "&amp;FIXED(N13,0)&amp;" units and covers "&amp;FIXED(S13,1)&amp;" weeks of forecast demand. No order needed now.")))</f>
        <v>Inventory position of 21 units is 3 units below the reorder point of 24 units. Replenishment is required. EOQ recommends approximately 47 units, rounded to 47 (case pack 1).</v>
      </c>
      <c r="AI13" s="42" t="n">
        <f aca="false">O13*V13</f>
        <v>1785</v>
      </c>
      <c r="AJ13" s="43" t="n">
        <f aca="false">IF(AG13="STOCKOUT RISK",1000,IF(AG13="REORDER REQUIRED",2000,IF(AG13="EXCESS STOCK",3000,4000)))+IF(AG13="EXCESS STOCK",500-MIN(S13,499),MAX(MIN(S13,499),-499))</f>
        <v>2002.3661971831</v>
      </c>
      <c r="AK13" s="19" t="n">
        <f aca="false">SUMPRODUCT(--($AJ$7:$AJ$54&lt;AJ13))+SUMPRODUCT(--($AJ$7:AJ13=AJ13))</f>
        <v>11</v>
      </c>
    </row>
    <row r="14" customFormat="false" ht="54" hidden="false" customHeight="true" outlineLevel="0" collapsed="false">
      <c r="A14" s="11" t="str">
        <f aca="false">Forecast!A14</f>
        <v>KIT-008</v>
      </c>
      <c r="B14" s="11" t="str">
        <f aca="false">Forecast!B14</f>
        <v>Espresso Cup Set 6pc</v>
      </c>
      <c r="C14" s="11" t="str">
        <f aca="false">Inputs!E47</f>
        <v>SUP-01</v>
      </c>
      <c r="D14" s="11" t="str">
        <f aca="false">Forecast!AE14</f>
        <v>MA4</v>
      </c>
      <c r="E14" s="35" t="n">
        <f aca="false">Forecast!AF14</f>
        <v>41.5</v>
      </c>
      <c r="F14" s="36" t="n">
        <f aca="false">Forecast!AG14</f>
        <v>0.0874117647058824</v>
      </c>
      <c r="G14" s="37" t="n">
        <f aca="false">Forecast!AH14</f>
        <v>-0.000117647058823529</v>
      </c>
      <c r="H14" s="35" t="n">
        <f aca="false">Forecast!AI14</f>
        <v>4.6122945208005</v>
      </c>
      <c r="I14" s="36" t="n">
        <f aca="false">TSL</f>
        <v>0.95</v>
      </c>
      <c r="J14" s="38" t="n">
        <f aca="false">Z_Value</f>
        <v>1.64485362695147</v>
      </c>
      <c r="K14" s="39" t="n">
        <f aca="false">Inputs!F47</f>
        <v>2</v>
      </c>
      <c r="L14" s="28" t="n">
        <f aca="false">J14*H14*SQRT(K14)</f>
        <v>10.7290010122327</v>
      </c>
      <c r="M14" s="28" t="n">
        <f aca="false">E14*K14</f>
        <v>83</v>
      </c>
      <c r="N14" s="19" t="n">
        <f aca="false">M14+L14</f>
        <v>93.7290010122327</v>
      </c>
      <c r="O14" s="39" t="n">
        <f aca="false">Inputs!J47</f>
        <v>766</v>
      </c>
      <c r="P14" s="39" t="n">
        <f aca="false">Inputs!K47</f>
        <v>0</v>
      </c>
      <c r="Q14" s="39" t="n">
        <f aca="false">Inputs!M47</f>
        <v>0</v>
      </c>
      <c r="R14" s="19" t="n">
        <f aca="false">O14+P14-Q14</f>
        <v>766</v>
      </c>
      <c r="S14" s="28" t="n">
        <f aca="false">IF(E14&gt;0,R14/E14,0)</f>
        <v>18.4578313253012</v>
      </c>
      <c r="T14" s="28" t="n">
        <f aca="false">IF(E14&gt;0,O14/E14,0)</f>
        <v>18.4578313253012</v>
      </c>
      <c r="U14" s="19" t="n">
        <f aca="false">E14*Weeks_Per_Year</f>
        <v>2158</v>
      </c>
      <c r="V14" s="40" t="n">
        <f aca="false">Inputs!H47</f>
        <v>19</v>
      </c>
      <c r="W14" s="40" t="n">
        <f aca="false">Inputs!G47</f>
        <v>40</v>
      </c>
      <c r="X14" s="36" t="n">
        <f aca="false">Holding_Rate</f>
        <v>0.2</v>
      </c>
      <c r="Y14" s="21" t="n">
        <f aca="false">V14*X14</f>
        <v>3.8</v>
      </c>
      <c r="Z14" s="28" t="n">
        <f aca="false">SQRT((2*U14*W14)/Y14)</f>
        <v>213.146848316761</v>
      </c>
      <c r="AA14" s="39" t="n">
        <f aca="false">Inputs!I47</f>
        <v>6</v>
      </c>
      <c r="AB14" s="19" t="n">
        <f aca="false">ROUNDUP(Z14/AA14,0)*AA14</f>
        <v>216</v>
      </c>
      <c r="AC14" s="10" t="str">
        <f aca="false">IF(R14&lt;=N14,"YES","NO")</f>
        <v>NO</v>
      </c>
      <c r="AD14" s="41" t="n">
        <f aca="false">IF(AC14="YES",AB14,0)</f>
        <v>0</v>
      </c>
      <c r="AE14" s="39" t="str">
        <f aca="false">Projection!BQ14</f>
        <v>None</v>
      </c>
      <c r="AF14" s="11" t="str">
        <f aca="false">Projection!BR14</f>
        <v>NO</v>
      </c>
      <c r="AG14" s="12" t="str">
        <f aca="false">IF(AF14="YES","STOCKOUT RISK",IF(AC14="YES","REORDER REQUIRED",IF(S14&gt;Excess_WoC,"EXCESS STOCK","HEALTHY")))</f>
        <v>EXCESS STOCK</v>
      </c>
      <c r="AH14" s="7" t="str">
        <f aca="false">IF(AG14="STOCKOUT RISK","Projected inventory reaches zero in week "&amp;AE14&amp;", before a new order placed now could arrive (week "&amp;(K14+1)&amp;"). "&amp;IF(AC14="YES","Inventory position of "&amp;FIXED(R14,0)&amp;" units is at or below the reorder point of "&amp;FIXED(N14,0)&amp;", so an order of "&amp;FIXED(AD14,0)&amp;" units is recommended (EOQ "&amp;FIXED(Z14,0)&amp;", case pack "&amp;AA14&amp;"), but it cannot arrive in time: expedite supply or manage the shortfall.","No new order is triggered because inventory position of "&amp;FIXED(R14,0)&amp;" units is above the reorder point of "&amp;FIXED(N14,0)&amp;", but the open PO of "&amp;FIXED(P14,0)&amp;" units is due in week "&amp;Inputs!L47&amp;", which is too late: expedite the open PO."),IF(AG14="REORDER REQUIRED","Inventory position of "&amp;FIXED(R14,0)&amp;" units is "&amp;FIXED(N14-R14,0)&amp;" units below the reorder point of "&amp;FIXED(N14,0)&amp;" units. Replenishment is required. EOQ recommends approximately "&amp;FIXED(Z14,0)&amp;" units, rounded to "&amp;FIXED(AD14,0)&amp;" (case pack "&amp;AA14&amp;").",IF(AG14="EXCESS STOCK","Inventory position represents "&amp;FIXED(S14,1)&amp;" weeks of expected demand, above the "&amp;Excess_WoC&amp;"-week excess-stock threshold. No replenishment is triggered.","Inventory position of "&amp;FIXED(R14,0)&amp;" units is above the reorder point of "&amp;FIXED(N14,0)&amp;" units and covers "&amp;FIXED(S14,1)&amp;" weeks of forecast demand. No order needed now.")))</f>
        <v>Inventory position represents 18.5 weeks of expected demand, above the 12-week excess-stock threshold. No replenishment is triggered.</v>
      </c>
      <c r="AI14" s="42" t="n">
        <f aca="false">O14*V14</f>
        <v>14554</v>
      </c>
      <c r="AJ14" s="43" t="n">
        <f aca="false">IF(AG14="STOCKOUT RISK",1000,IF(AG14="REORDER REQUIRED",2000,IF(AG14="EXCESS STOCK",3000,4000)))+IF(AG14="EXCESS STOCK",500-MIN(S14,499),MAX(MIN(S14,499),-499))</f>
        <v>3481.5421686747</v>
      </c>
      <c r="AK14" s="19" t="n">
        <f aca="false">SUMPRODUCT(--($AJ$7:$AJ$54&lt;AJ14))+SUMPRODUCT(--($AJ$7:AJ14=AJ14))</f>
        <v>22</v>
      </c>
    </row>
    <row r="15" customFormat="false" ht="54" hidden="false" customHeight="true" outlineLevel="0" collapsed="false">
      <c r="A15" s="11" t="str">
        <f aca="false">Forecast!A15</f>
        <v>KIT-009</v>
      </c>
      <c r="B15" s="11" t="str">
        <f aca="false">Forecast!B15</f>
        <v>Digital Kitchen Scale</v>
      </c>
      <c r="C15" s="11" t="str">
        <f aca="false">Inputs!E48</f>
        <v>SUP-01</v>
      </c>
      <c r="D15" s="11" t="str">
        <f aca="false">Forecast!AE15</f>
        <v>MA4</v>
      </c>
      <c r="E15" s="35" t="n">
        <f aca="false">Forecast!AF15</f>
        <v>39.5</v>
      </c>
      <c r="F15" s="36" t="n">
        <f aca="false">Forecast!AG15</f>
        <v>0.109214092140921</v>
      </c>
      <c r="G15" s="37" t="n">
        <f aca="false">Forecast!AH15</f>
        <v>-0.0159891598915989</v>
      </c>
      <c r="H15" s="35" t="n">
        <f aca="false">Forecast!AI15</f>
        <v>4.85351989327843</v>
      </c>
      <c r="I15" s="36" t="n">
        <f aca="false">TSL</f>
        <v>0.95</v>
      </c>
      <c r="J15" s="38" t="n">
        <f aca="false">Z_Value</f>
        <v>1.64485362695147</v>
      </c>
      <c r="K15" s="39" t="n">
        <f aca="false">Inputs!F48</f>
        <v>2</v>
      </c>
      <c r="L15" s="28" t="n">
        <f aca="false">J15*H15*SQRT(K15)</f>
        <v>11.2901332759726</v>
      </c>
      <c r="M15" s="28" t="n">
        <f aca="false">E15*K15</f>
        <v>79</v>
      </c>
      <c r="N15" s="19" t="n">
        <f aca="false">M15+L15</f>
        <v>90.2901332759726</v>
      </c>
      <c r="O15" s="39" t="n">
        <f aca="false">Inputs!J48</f>
        <v>80</v>
      </c>
      <c r="P15" s="39" t="n">
        <f aca="false">Inputs!K48</f>
        <v>0</v>
      </c>
      <c r="Q15" s="39" t="n">
        <f aca="false">Inputs!M48</f>
        <v>0</v>
      </c>
      <c r="R15" s="19" t="n">
        <f aca="false">O15+P15-Q15</f>
        <v>80</v>
      </c>
      <c r="S15" s="28" t="n">
        <f aca="false">IF(E15&gt;0,R15/E15,0)</f>
        <v>2.0253164556962</v>
      </c>
      <c r="T15" s="28" t="n">
        <f aca="false">IF(E15&gt;0,O15/E15,0)</f>
        <v>2.0253164556962</v>
      </c>
      <c r="U15" s="19" t="n">
        <f aca="false">E15*Weeks_Per_Year</f>
        <v>2054</v>
      </c>
      <c r="V15" s="40" t="n">
        <f aca="false">Inputs!H48</f>
        <v>24</v>
      </c>
      <c r="W15" s="40" t="n">
        <f aca="false">Inputs!G48</f>
        <v>40</v>
      </c>
      <c r="X15" s="36" t="n">
        <f aca="false">Holding_Rate</f>
        <v>0.2</v>
      </c>
      <c r="Y15" s="21" t="n">
        <f aca="false">V15*X15</f>
        <v>4.8</v>
      </c>
      <c r="Z15" s="28" t="n">
        <f aca="false">SQRT((2*U15*W15)/Y15)</f>
        <v>185.022521151706</v>
      </c>
      <c r="AA15" s="39" t="n">
        <f aca="false">Inputs!I48</f>
        <v>5</v>
      </c>
      <c r="AB15" s="19" t="n">
        <f aca="false">ROUNDUP(Z15/AA15,0)*AA15</f>
        <v>190</v>
      </c>
      <c r="AC15" s="10" t="str">
        <f aca="false">IF(R15&lt;=N15,"YES","NO")</f>
        <v>YES</v>
      </c>
      <c r="AD15" s="41" t="n">
        <f aca="false">IF(AC15="YES",AB15,0)</f>
        <v>190</v>
      </c>
      <c r="AE15" s="39" t="n">
        <f aca="false">Projection!BQ15</f>
        <v>7</v>
      </c>
      <c r="AF15" s="11" t="str">
        <f aca="false">Projection!BR15</f>
        <v>NO</v>
      </c>
      <c r="AG15" s="12" t="str">
        <f aca="false">IF(AF15="YES","STOCKOUT RISK",IF(AC15="YES","REORDER REQUIRED",IF(S15&gt;Excess_WoC,"EXCESS STOCK","HEALTHY")))</f>
        <v>REORDER REQUIRED</v>
      </c>
      <c r="AH15" s="7" t="str">
        <f aca="false">IF(AG15="STOCKOUT RISK","Projected inventory reaches zero in week "&amp;AE15&amp;", before a new order placed now could arrive (week "&amp;(K15+1)&amp;"). "&amp;IF(AC15="YES","Inventory position of "&amp;FIXED(R15,0)&amp;" units is at or below the reorder point of "&amp;FIXED(N15,0)&amp;", so an order of "&amp;FIXED(AD15,0)&amp;" units is recommended (EOQ "&amp;FIXED(Z15,0)&amp;", case pack "&amp;AA15&amp;"), but it cannot arrive in time: expedite supply or manage the shortfall.","No new order is triggered because inventory position of "&amp;FIXED(R15,0)&amp;" units is above the reorder point of "&amp;FIXED(N15,0)&amp;", but the open PO of "&amp;FIXED(P15,0)&amp;" units is due in week "&amp;Inputs!L48&amp;", which is too late: expedite the open PO."),IF(AG15="REORDER REQUIRED","Inventory position of "&amp;FIXED(R15,0)&amp;" units is "&amp;FIXED(N15-R15,0)&amp;" units below the reorder point of "&amp;FIXED(N15,0)&amp;" units. Replenishment is required. EOQ recommends approximately "&amp;FIXED(Z15,0)&amp;" units, rounded to "&amp;FIXED(AD15,0)&amp;" (case pack "&amp;AA15&amp;").",IF(AG15="EXCESS STOCK","Inventory position represents "&amp;FIXED(S15,1)&amp;" weeks of expected demand, above the "&amp;Excess_WoC&amp;"-week excess-stock threshold. No replenishment is triggered.","Inventory position of "&amp;FIXED(R15,0)&amp;" units is above the reorder point of "&amp;FIXED(N15,0)&amp;" units and covers "&amp;FIXED(S15,1)&amp;" weeks of forecast demand. No order needed now.")))</f>
        <v>Inventory position of 80 units is 10 units below the reorder point of 90 units. Replenishment is required. EOQ recommends approximately 185 units, rounded to 190 (case pack 5).</v>
      </c>
      <c r="AI15" s="42" t="n">
        <f aca="false">O15*V15</f>
        <v>1920</v>
      </c>
      <c r="AJ15" s="43" t="n">
        <f aca="false">IF(AG15="STOCKOUT RISK",1000,IF(AG15="REORDER REQUIRED",2000,IF(AG15="EXCESS STOCK",3000,4000)))+IF(AG15="EXCESS STOCK",500-MIN(S15,499),MAX(MIN(S15,499),-499))</f>
        <v>2002.0253164557</v>
      </c>
      <c r="AK15" s="19" t="n">
        <f aca="false">SUMPRODUCT(--($AJ$7:$AJ$54&lt;AJ15))+SUMPRODUCT(--($AJ$7:AJ15=AJ15))</f>
        <v>10</v>
      </c>
    </row>
    <row r="16" customFormat="false" ht="54" hidden="false" customHeight="true" outlineLevel="0" collapsed="false">
      <c r="A16" s="11" t="str">
        <f aca="false">Forecast!A16</f>
        <v>KIT-010</v>
      </c>
      <c r="B16" s="11" t="str">
        <f aca="false">Forecast!B16</f>
        <v>Measuring Jug 1L</v>
      </c>
      <c r="C16" s="11" t="str">
        <f aca="false">Inputs!E49</f>
        <v>SUP-01</v>
      </c>
      <c r="D16" s="11" t="str">
        <f aca="false">Forecast!AE16</f>
        <v>MA4</v>
      </c>
      <c r="E16" s="35" t="n">
        <f aca="false">Forecast!AF16</f>
        <v>101</v>
      </c>
      <c r="F16" s="36" t="n">
        <f aca="false">Forecast!AG16</f>
        <v>0.0895690499510284</v>
      </c>
      <c r="G16" s="37" t="n">
        <f aca="false">Forecast!AH16</f>
        <v>-0.00200783545543585</v>
      </c>
      <c r="H16" s="35" t="n">
        <f aca="false">Forecast!AI16</f>
        <v>10.3753498096546</v>
      </c>
      <c r="I16" s="36" t="n">
        <f aca="false">TSL</f>
        <v>0.95</v>
      </c>
      <c r="J16" s="38" t="n">
        <f aca="false">Z_Value</f>
        <v>1.64485362695147</v>
      </c>
      <c r="K16" s="39" t="n">
        <f aca="false">Inputs!F49</f>
        <v>2</v>
      </c>
      <c r="L16" s="28" t="n">
        <f aca="false">J16*H16*SQRT(K16)</f>
        <v>24.134872157022</v>
      </c>
      <c r="M16" s="28" t="n">
        <f aca="false">E16*K16</f>
        <v>202</v>
      </c>
      <c r="N16" s="19" t="n">
        <f aca="false">M16+L16</f>
        <v>226.134872157022</v>
      </c>
      <c r="O16" s="39" t="n">
        <f aca="false">Inputs!J49</f>
        <v>304</v>
      </c>
      <c r="P16" s="39" t="n">
        <f aca="false">Inputs!K49</f>
        <v>0</v>
      </c>
      <c r="Q16" s="39" t="n">
        <f aca="false">Inputs!M49</f>
        <v>0</v>
      </c>
      <c r="R16" s="19" t="n">
        <f aca="false">O16+P16-Q16</f>
        <v>304</v>
      </c>
      <c r="S16" s="28" t="n">
        <f aca="false">IF(E16&gt;0,R16/E16,0)</f>
        <v>3.00990099009901</v>
      </c>
      <c r="T16" s="28" t="n">
        <f aca="false">IF(E16&gt;0,O16/E16,0)</f>
        <v>3.00990099009901</v>
      </c>
      <c r="U16" s="19" t="n">
        <f aca="false">E16*Weeks_Per_Year</f>
        <v>5252</v>
      </c>
      <c r="V16" s="40" t="n">
        <f aca="false">Inputs!H49</f>
        <v>6</v>
      </c>
      <c r="W16" s="40" t="n">
        <f aca="false">Inputs!G49</f>
        <v>40</v>
      </c>
      <c r="X16" s="36" t="n">
        <f aca="false">Holding_Rate</f>
        <v>0.2</v>
      </c>
      <c r="Y16" s="21" t="n">
        <f aca="false">V16*X16</f>
        <v>1.2</v>
      </c>
      <c r="Z16" s="28" t="n">
        <f aca="false">SQRT((2*U16*W16)/Y16)</f>
        <v>591.720654813852</v>
      </c>
      <c r="AA16" s="39" t="n">
        <f aca="false">Inputs!I49</f>
        <v>24</v>
      </c>
      <c r="AB16" s="19" t="n">
        <f aca="false">ROUNDUP(Z16/AA16,0)*AA16</f>
        <v>600</v>
      </c>
      <c r="AC16" s="10" t="str">
        <f aca="false">IF(R16&lt;=N16,"YES","NO")</f>
        <v>NO</v>
      </c>
      <c r="AD16" s="41" t="n">
        <f aca="false">IF(AC16="YES",AB16,0)</f>
        <v>0</v>
      </c>
      <c r="AE16" s="39" t="n">
        <f aca="false">Projection!BQ16</f>
        <v>4</v>
      </c>
      <c r="AF16" s="11" t="str">
        <f aca="false">Projection!BR16</f>
        <v>NO</v>
      </c>
      <c r="AG16" s="12" t="str">
        <f aca="false">IF(AF16="YES","STOCKOUT RISK",IF(AC16="YES","REORDER REQUIRED",IF(S16&gt;Excess_WoC,"EXCESS STOCK","HEALTHY")))</f>
        <v>HEALTHY</v>
      </c>
      <c r="AH16" s="7" t="str">
        <f aca="false">IF(AG16="STOCKOUT RISK","Projected inventory reaches zero in week "&amp;AE16&amp;", before a new order placed now could arrive (week "&amp;(K16+1)&amp;"). "&amp;IF(AC16="YES","Inventory position of "&amp;FIXED(R16,0)&amp;" units is at or below the reorder point of "&amp;FIXED(N16,0)&amp;", so an order of "&amp;FIXED(AD16,0)&amp;" units is recommended (EOQ "&amp;FIXED(Z16,0)&amp;", case pack "&amp;AA16&amp;"), but it cannot arrive in time: expedite supply or manage the shortfall.","No new order is triggered because inventory position of "&amp;FIXED(R16,0)&amp;" units is above the reorder point of "&amp;FIXED(N16,0)&amp;", but the open PO of "&amp;FIXED(P16,0)&amp;" units is due in week "&amp;Inputs!L49&amp;", which is too late: expedite the open PO."),IF(AG16="REORDER REQUIRED","Inventory position of "&amp;FIXED(R16,0)&amp;" units is "&amp;FIXED(N16-R16,0)&amp;" units below the reorder point of "&amp;FIXED(N16,0)&amp;" units. Replenishment is required. EOQ recommends approximately "&amp;FIXED(Z16,0)&amp;" units, rounded to "&amp;FIXED(AD16,0)&amp;" (case pack "&amp;AA16&amp;").",IF(AG16="EXCESS STOCK","Inventory position represents "&amp;FIXED(S16,1)&amp;" weeks of expected demand, above the "&amp;Excess_WoC&amp;"-week excess-stock threshold. No replenishment is triggered.","Inventory position of "&amp;FIXED(R16,0)&amp;" units is above the reorder point of "&amp;FIXED(N16,0)&amp;" units and covers "&amp;FIXED(S16,1)&amp;" weeks of forecast demand. No order needed now.")))</f>
        <v>Inventory position of 304 units is above the reorder point of 226 units and covers 3.0 weeks of forecast demand. No order needed now.</v>
      </c>
      <c r="AI16" s="42" t="n">
        <f aca="false">O16*V16</f>
        <v>1824</v>
      </c>
      <c r="AJ16" s="43" t="n">
        <f aca="false">IF(AG16="STOCKOUT RISK",1000,IF(AG16="REORDER REQUIRED",2000,IF(AG16="EXCESS STOCK",3000,4000)))+IF(AG16="EXCESS STOCK",500-MIN(S16,499),MAX(MIN(S16,499),-499))</f>
        <v>4003.0099009901</v>
      </c>
      <c r="AK16" s="19" t="n">
        <f aca="false">SUMPRODUCT(--($AJ$7:$AJ$54&lt;AJ16))+SUMPRODUCT(--($AJ$7:AJ16=AJ16))</f>
        <v>28</v>
      </c>
    </row>
    <row r="17" customFormat="false" ht="54" hidden="false" customHeight="true" outlineLevel="0" collapsed="false">
      <c r="A17" s="11" t="str">
        <f aca="false">Forecast!A17</f>
        <v>BTH-001</v>
      </c>
      <c r="B17" s="11" t="str">
        <f aca="false">Forecast!B17</f>
        <v>Bath Towel 70x140 Grey</v>
      </c>
      <c r="C17" s="11" t="str">
        <f aca="false">Inputs!E50</f>
        <v>SUP-02</v>
      </c>
      <c r="D17" s="11" t="str">
        <f aca="false">Forecast!AE17</f>
        <v>MA4</v>
      </c>
      <c r="E17" s="35" t="n">
        <f aca="false">Forecast!AF17</f>
        <v>106</v>
      </c>
      <c r="F17" s="36" t="n">
        <f aca="false">Forecast!AG17</f>
        <v>0.133237469186524</v>
      </c>
      <c r="G17" s="37" t="n">
        <f aca="false">Forecast!AH17</f>
        <v>0.00225965488907149</v>
      </c>
      <c r="H17" s="35" t="n">
        <f aca="false">Forecast!AI17</f>
        <v>18.698157968777</v>
      </c>
      <c r="I17" s="36" t="n">
        <f aca="false">TSL</f>
        <v>0.95</v>
      </c>
      <c r="J17" s="38" t="n">
        <f aca="false">Z_Value</f>
        <v>1.64485362695147</v>
      </c>
      <c r="K17" s="39" t="n">
        <f aca="false">Inputs!F50</f>
        <v>3</v>
      </c>
      <c r="L17" s="28" t="n">
        <f aca="false">J17*H17*SQRT(K17)</f>
        <v>53.270492097325</v>
      </c>
      <c r="M17" s="28" t="n">
        <f aca="false">E17*K17</f>
        <v>318</v>
      </c>
      <c r="N17" s="19" t="n">
        <f aca="false">M17+L17</f>
        <v>371.270492097325</v>
      </c>
      <c r="O17" s="39" t="n">
        <f aca="false">Inputs!J50</f>
        <v>486</v>
      </c>
      <c r="P17" s="39" t="n">
        <f aca="false">Inputs!K50</f>
        <v>0</v>
      </c>
      <c r="Q17" s="39" t="n">
        <f aca="false">Inputs!M50</f>
        <v>0</v>
      </c>
      <c r="R17" s="19" t="n">
        <f aca="false">O17+P17-Q17</f>
        <v>486</v>
      </c>
      <c r="S17" s="28" t="n">
        <f aca="false">IF(E17&gt;0,R17/E17,0)</f>
        <v>4.58490566037736</v>
      </c>
      <c r="T17" s="28" t="n">
        <f aca="false">IF(E17&gt;0,O17/E17,0)</f>
        <v>4.58490566037736</v>
      </c>
      <c r="U17" s="19" t="n">
        <f aca="false">E17*Weeks_Per_Year</f>
        <v>5512</v>
      </c>
      <c r="V17" s="40" t="n">
        <f aca="false">Inputs!H50</f>
        <v>11</v>
      </c>
      <c r="W17" s="40" t="n">
        <f aca="false">Inputs!G50</f>
        <v>45</v>
      </c>
      <c r="X17" s="36" t="n">
        <f aca="false">Holding_Rate</f>
        <v>0.2</v>
      </c>
      <c r="Y17" s="21" t="n">
        <f aca="false">V17*X17</f>
        <v>2.2</v>
      </c>
      <c r="Z17" s="28" t="n">
        <f aca="false">SQRT((2*U17*W17)/Y17)</f>
        <v>474.858830696986</v>
      </c>
      <c r="AA17" s="39" t="n">
        <f aca="false">Inputs!I50</f>
        <v>10</v>
      </c>
      <c r="AB17" s="19" t="n">
        <f aca="false">ROUNDUP(Z17/AA17,0)*AA17</f>
        <v>480</v>
      </c>
      <c r="AC17" s="10" t="str">
        <f aca="false">IF(R17&lt;=N17,"YES","NO")</f>
        <v>NO</v>
      </c>
      <c r="AD17" s="41" t="n">
        <f aca="false">IF(AC17="YES",AB17,0)</f>
        <v>0</v>
      </c>
      <c r="AE17" s="39" t="n">
        <f aca="false">Projection!BQ17</f>
        <v>5</v>
      </c>
      <c r="AF17" s="11" t="str">
        <f aca="false">Projection!BR17</f>
        <v>NO</v>
      </c>
      <c r="AG17" s="12" t="str">
        <f aca="false">IF(AF17="YES","STOCKOUT RISK",IF(AC17="YES","REORDER REQUIRED",IF(S17&gt;Excess_WoC,"EXCESS STOCK","HEALTHY")))</f>
        <v>HEALTHY</v>
      </c>
      <c r="AH17" s="7" t="str">
        <f aca="false">IF(AG17="STOCKOUT RISK","Projected inventory reaches zero in week "&amp;AE17&amp;", before a new order placed now could arrive (week "&amp;(K17+1)&amp;"). "&amp;IF(AC17="YES","Inventory position of "&amp;FIXED(R17,0)&amp;" units is at or below the reorder point of "&amp;FIXED(N17,0)&amp;", so an order of "&amp;FIXED(AD17,0)&amp;" units is recommended (EOQ "&amp;FIXED(Z17,0)&amp;", case pack "&amp;AA17&amp;"), but it cannot arrive in time: expedite supply or manage the shortfall.","No new order is triggered because inventory position of "&amp;FIXED(R17,0)&amp;" units is above the reorder point of "&amp;FIXED(N17,0)&amp;", but the open PO of "&amp;FIXED(P17,0)&amp;" units is due in week "&amp;Inputs!L50&amp;", which is too late: expedite the open PO."),IF(AG17="REORDER REQUIRED","Inventory position of "&amp;FIXED(R17,0)&amp;" units is "&amp;FIXED(N17-R17,0)&amp;" units below the reorder point of "&amp;FIXED(N17,0)&amp;" units. Replenishment is required. EOQ recommends approximately "&amp;FIXED(Z17,0)&amp;" units, rounded to "&amp;FIXED(AD17,0)&amp;" (case pack "&amp;AA17&amp;").",IF(AG17="EXCESS STOCK","Inventory position represents "&amp;FIXED(S17,1)&amp;" weeks of expected demand, above the "&amp;Excess_WoC&amp;"-week excess-stock threshold. No replenishment is triggered.","Inventory position of "&amp;FIXED(R17,0)&amp;" units is above the reorder point of "&amp;FIXED(N17,0)&amp;" units and covers "&amp;FIXED(S17,1)&amp;" weeks of forecast demand. No order needed now.")))</f>
        <v>Inventory position of 486 units is above the reorder point of 371 units and covers 4.6 weeks of forecast demand. No order needed now.</v>
      </c>
      <c r="AI17" s="42" t="n">
        <f aca="false">O17*V17</f>
        <v>5346</v>
      </c>
      <c r="AJ17" s="43" t="n">
        <f aca="false">IF(AG17="STOCKOUT RISK",1000,IF(AG17="REORDER REQUIRED",2000,IF(AG17="EXCESS STOCK",3000,4000)))+IF(AG17="EXCESS STOCK",500-MIN(S17,499),MAX(MIN(S17,499),-499))</f>
        <v>4004.58490566038</v>
      </c>
      <c r="AK17" s="19" t="n">
        <f aca="false">SUMPRODUCT(--($AJ$7:$AJ$54&lt;AJ17))+SUMPRODUCT(--($AJ$7:AJ17=AJ17))</f>
        <v>34</v>
      </c>
    </row>
    <row r="18" customFormat="false" ht="54" hidden="false" customHeight="true" outlineLevel="0" collapsed="false">
      <c r="A18" s="11" t="str">
        <f aca="false">Forecast!A18</f>
        <v>BTH-002</v>
      </c>
      <c r="B18" s="11" t="str">
        <f aca="false">Forecast!B18</f>
        <v>Hand Towel 50x100 White</v>
      </c>
      <c r="C18" s="11" t="str">
        <f aca="false">Inputs!E51</f>
        <v>SUP-02</v>
      </c>
      <c r="D18" s="11" t="str">
        <f aca="false">Forecast!AE18</f>
        <v>MA4</v>
      </c>
      <c r="E18" s="35" t="n">
        <f aca="false">Forecast!AF18</f>
        <v>146.25</v>
      </c>
      <c r="F18" s="36" t="n">
        <f aca="false">Forecast!AG18</f>
        <v>0.0709159044715447</v>
      </c>
      <c r="G18" s="37" t="n">
        <f aca="false">Forecast!AH18</f>
        <v>0.00390625</v>
      </c>
      <c r="H18" s="35" t="n">
        <f aca="false">Forecast!AI18</f>
        <v>14.0634964872344</v>
      </c>
      <c r="I18" s="36" t="n">
        <f aca="false">TSL</f>
        <v>0.95</v>
      </c>
      <c r="J18" s="38" t="n">
        <f aca="false">Z_Value</f>
        <v>1.64485362695147</v>
      </c>
      <c r="K18" s="39" t="n">
        <f aca="false">Inputs!F51</f>
        <v>3</v>
      </c>
      <c r="L18" s="28" t="n">
        <f aca="false">J18*H18*SQRT(K18)</f>
        <v>40.0664803311094</v>
      </c>
      <c r="M18" s="28" t="n">
        <f aca="false">E18*K18</f>
        <v>438.75</v>
      </c>
      <c r="N18" s="19" t="n">
        <f aca="false">M18+L18</f>
        <v>478.816480331109</v>
      </c>
      <c r="O18" s="39" t="n">
        <f aca="false">Inputs!J51</f>
        <v>75</v>
      </c>
      <c r="P18" s="39" t="n">
        <f aca="false">Inputs!K51</f>
        <v>380</v>
      </c>
      <c r="Q18" s="39" t="n">
        <f aca="false">Inputs!M51</f>
        <v>0</v>
      </c>
      <c r="R18" s="19" t="n">
        <f aca="false">O18+P18-Q18</f>
        <v>455</v>
      </c>
      <c r="S18" s="28" t="n">
        <f aca="false">IF(E18&gt;0,R18/E18,0)</f>
        <v>3.11111111111111</v>
      </c>
      <c r="T18" s="28" t="n">
        <f aca="false">IF(E18&gt;0,O18/E18,0)</f>
        <v>0.512820512820513</v>
      </c>
      <c r="U18" s="19" t="n">
        <f aca="false">E18*Weeks_Per_Year</f>
        <v>7605</v>
      </c>
      <c r="V18" s="40" t="n">
        <f aca="false">Inputs!H51</f>
        <v>6</v>
      </c>
      <c r="W18" s="40" t="n">
        <f aca="false">Inputs!G51</f>
        <v>45</v>
      </c>
      <c r="X18" s="36" t="n">
        <f aca="false">Holding_Rate</f>
        <v>0.2</v>
      </c>
      <c r="Y18" s="21" t="n">
        <f aca="false">V18*X18</f>
        <v>1.2</v>
      </c>
      <c r="Z18" s="28" t="n">
        <f aca="false">SQRT((2*U18*W18)/Y18)</f>
        <v>755.231752510446</v>
      </c>
      <c r="AA18" s="39" t="n">
        <f aca="false">Inputs!I51</f>
        <v>20</v>
      </c>
      <c r="AB18" s="19" t="n">
        <f aca="false">ROUNDUP(Z18/AA18,0)*AA18</f>
        <v>760</v>
      </c>
      <c r="AC18" s="10" t="str">
        <f aca="false">IF(R18&lt;=N18,"YES","NO")</f>
        <v>YES</v>
      </c>
      <c r="AD18" s="41" t="n">
        <f aca="false">IF(AC18="YES",AB18,0)</f>
        <v>760</v>
      </c>
      <c r="AE18" s="39" t="n">
        <f aca="false">Projection!BQ18</f>
        <v>9</v>
      </c>
      <c r="AF18" s="11" t="str">
        <f aca="false">Projection!BR18</f>
        <v>NO</v>
      </c>
      <c r="AG18" s="12" t="str">
        <f aca="false">IF(AF18="YES","STOCKOUT RISK",IF(AC18="YES","REORDER REQUIRED",IF(S18&gt;Excess_WoC,"EXCESS STOCK","HEALTHY")))</f>
        <v>REORDER REQUIRED</v>
      </c>
      <c r="AH18" s="7" t="str">
        <f aca="false">IF(AG18="STOCKOUT RISK","Projected inventory reaches zero in week "&amp;AE18&amp;", before a new order placed now could arrive (week "&amp;(K18+1)&amp;"). "&amp;IF(AC18="YES","Inventory position of "&amp;FIXED(R18,0)&amp;" units is at or below the reorder point of "&amp;FIXED(N18,0)&amp;", so an order of "&amp;FIXED(AD18,0)&amp;" units is recommended (EOQ "&amp;FIXED(Z18,0)&amp;", case pack "&amp;AA18&amp;"), but it cannot arrive in time: expedite supply or manage the shortfall.","No new order is triggered because inventory position of "&amp;FIXED(R18,0)&amp;" units is above the reorder point of "&amp;FIXED(N18,0)&amp;", but the open PO of "&amp;FIXED(P18,0)&amp;" units is due in week "&amp;Inputs!L51&amp;", which is too late: expedite the open PO."),IF(AG18="REORDER REQUIRED","Inventory position of "&amp;FIXED(R18,0)&amp;" units is "&amp;FIXED(N18-R18,0)&amp;" units below the reorder point of "&amp;FIXED(N18,0)&amp;" units. Replenishment is required. EOQ recommends approximately "&amp;FIXED(Z18,0)&amp;" units, rounded to "&amp;FIXED(AD18,0)&amp;" (case pack "&amp;AA18&amp;").",IF(AG18="EXCESS STOCK","Inventory position represents "&amp;FIXED(S18,1)&amp;" weeks of expected demand, above the "&amp;Excess_WoC&amp;"-week excess-stock threshold. No replenishment is triggered.","Inventory position of "&amp;FIXED(R18,0)&amp;" units is above the reorder point of "&amp;FIXED(N18,0)&amp;" units and covers "&amp;FIXED(S18,1)&amp;" weeks of forecast demand. No order needed now.")))</f>
        <v>Inventory position of 455 units is 24 units below the reorder point of 479 units. Replenishment is required. EOQ recommends approximately 755 units, rounded to 760 (case pack 20).</v>
      </c>
      <c r="AI18" s="42" t="n">
        <f aca="false">O18*V18</f>
        <v>450</v>
      </c>
      <c r="AJ18" s="43" t="n">
        <f aca="false">IF(AG18="STOCKOUT RISK",1000,IF(AG18="REORDER REQUIRED",2000,IF(AG18="EXCESS STOCK",3000,4000)))+IF(AG18="EXCESS STOCK",500-MIN(S18,499),MAX(MIN(S18,499),-499))</f>
        <v>2003.11111111111</v>
      </c>
      <c r="AK18" s="19" t="n">
        <f aca="false">SUMPRODUCT(--($AJ$7:$AJ$54&lt;AJ18))+SUMPRODUCT(--($AJ$7:AJ18=AJ18))</f>
        <v>13</v>
      </c>
    </row>
    <row r="19" customFormat="false" ht="54" hidden="false" customHeight="true" outlineLevel="0" collapsed="false">
      <c r="A19" s="11" t="str">
        <f aca="false">Forecast!A19</f>
        <v>BTH-003</v>
      </c>
      <c r="B19" s="11" t="str">
        <f aca="false">Forecast!B19</f>
        <v>Cotton Bath Mat</v>
      </c>
      <c r="C19" s="11" t="str">
        <f aca="false">Inputs!E52</f>
        <v>SUP-02</v>
      </c>
      <c r="D19" s="11" t="str">
        <f aca="false">Forecast!AE19</f>
        <v>MA8</v>
      </c>
      <c r="E19" s="35" t="n">
        <f aca="false">Forecast!AF19</f>
        <v>54.625</v>
      </c>
      <c r="F19" s="36" t="n">
        <f aca="false">Forecast!AG19</f>
        <v>0.264353834176723</v>
      </c>
      <c r="G19" s="37" t="n">
        <f aca="false">Forecast!AH19</f>
        <v>-0.0308972362787077</v>
      </c>
      <c r="H19" s="35" t="n">
        <f aca="false">Forecast!AI19</f>
        <v>16.0795421825538</v>
      </c>
      <c r="I19" s="36" t="n">
        <f aca="false">TSL</f>
        <v>0.95</v>
      </c>
      <c r="J19" s="38" t="n">
        <f aca="false">Z_Value</f>
        <v>1.64485362695147</v>
      </c>
      <c r="K19" s="39" t="n">
        <f aca="false">Inputs!F52</f>
        <v>3</v>
      </c>
      <c r="L19" s="28" t="n">
        <f aca="false">J19*H19*SQRT(K19)</f>
        <v>45.81013414234</v>
      </c>
      <c r="M19" s="28" t="n">
        <f aca="false">E19*K19</f>
        <v>163.875</v>
      </c>
      <c r="N19" s="19" t="n">
        <f aca="false">M19+L19</f>
        <v>209.68513414234</v>
      </c>
      <c r="O19" s="39" t="n">
        <f aca="false">Inputs!J52</f>
        <v>250</v>
      </c>
      <c r="P19" s="39" t="n">
        <f aca="false">Inputs!K52</f>
        <v>0</v>
      </c>
      <c r="Q19" s="39" t="n">
        <f aca="false">Inputs!M52</f>
        <v>0</v>
      </c>
      <c r="R19" s="19" t="n">
        <f aca="false">O19+P19-Q19</f>
        <v>250</v>
      </c>
      <c r="S19" s="28" t="n">
        <f aca="false">IF(E19&gt;0,R19/E19,0)</f>
        <v>4.5766590389016</v>
      </c>
      <c r="T19" s="28" t="n">
        <f aca="false">IF(E19&gt;0,O19/E19,0)</f>
        <v>4.5766590389016</v>
      </c>
      <c r="U19" s="19" t="n">
        <f aca="false">E19*Weeks_Per_Year</f>
        <v>2840.5</v>
      </c>
      <c r="V19" s="40" t="n">
        <f aca="false">Inputs!H52</f>
        <v>14</v>
      </c>
      <c r="W19" s="40" t="n">
        <f aca="false">Inputs!G52</f>
        <v>45</v>
      </c>
      <c r="X19" s="36" t="n">
        <f aca="false">Holding_Rate</f>
        <v>0.2</v>
      </c>
      <c r="Y19" s="21" t="n">
        <f aca="false">V19*X19</f>
        <v>2.8</v>
      </c>
      <c r="Z19" s="28" t="n">
        <f aca="false">SQRT((2*U19*W19)/Y19)</f>
        <v>302.161853506173</v>
      </c>
      <c r="AA19" s="39" t="n">
        <f aca="false">Inputs!I52</f>
        <v>8</v>
      </c>
      <c r="AB19" s="19" t="n">
        <f aca="false">ROUNDUP(Z19/AA19,0)*AA19</f>
        <v>304</v>
      </c>
      <c r="AC19" s="10" t="str">
        <f aca="false">IF(R19&lt;=N19,"YES","NO")</f>
        <v>NO</v>
      </c>
      <c r="AD19" s="41" t="n">
        <f aca="false">IF(AC19="YES",AB19,0)</f>
        <v>0</v>
      </c>
      <c r="AE19" s="39" t="n">
        <f aca="false">Projection!BQ19</f>
        <v>5</v>
      </c>
      <c r="AF19" s="11" t="str">
        <f aca="false">Projection!BR19</f>
        <v>NO</v>
      </c>
      <c r="AG19" s="12" t="str">
        <f aca="false">IF(AF19="YES","STOCKOUT RISK",IF(AC19="YES","REORDER REQUIRED",IF(S19&gt;Excess_WoC,"EXCESS STOCK","HEALTHY")))</f>
        <v>HEALTHY</v>
      </c>
      <c r="AH19" s="7" t="str">
        <f aca="false">IF(AG19="STOCKOUT RISK","Projected inventory reaches zero in week "&amp;AE19&amp;", before a new order placed now could arrive (week "&amp;(K19+1)&amp;"). "&amp;IF(AC19="YES","Inventory position of "&amp;FIXED(R19,0)&amp;" units is at or below the reorder point of "&amp;FIXED(N19,0)&amp;", so an order of "&amp;FIXED(AD19,0)&amp;" units is recommended (EOQ "&amp;FIXED(Z19,0)&amp;", case pack "&amp;AA19&amp;"), but it cannot arrive in time: expedite supply or manage the shortfall.","No new order is triggered because inventory position of "&amp;FIXED(R19,0)&amp;" units is above the reorder point of "&amp;FIXED(N19,0)&amp;", but the open PO of "&amp;FIXED(P19,0)&amp;" units is due in week "&amp;Inputs!L52&amp;", which is too late: expedite the open PO."),IF(AG19="REORDER REQUIRED","Inventory position of "&amp;FIXED(R19,0)&amp;" units is "&amp;FIXED(N19-R19,0)&amp;" units below the reorder point of "&amp;FIXED(N19,0)&amp;" units. Replenishment is required. EOQ recommends approximately "&amp;FIXED(Z19,0)&amp;" units, rounded to "&amp;FIXED(AD19,0)&amp;" (case pack "&amp;AA19&amp;").",IF(AG19="EXCESS STOCK","Inventory position represents "&amp;FIXED(S19,1)&amp;" weeks of expected demand, above the "&amp;Excess_WoC&amp;"-week excess-stock threshold. No replenishment is triggered.","Inventory position of "&amp;FIXED(R19,0)&amp;" units is above the reorder point of "&amp;FIXED(N19,0)&amp;" units and covers "&amp;FIXED(S19,1)&amp;" weeks of forecast demand. No order needed now.")))</f>
        <v>Inventory position of 250 units is above the reorder point of 210 units and covers 4.6 weeks of forecast demand. No order needed now.</v>
      </c>
      <c r="AI19" s="42" t="n">
        <f aca="false">O19*V19</f>
        <v>3500</v>
      </c>
      <c r="AJ19" s="43" t="n">
        <f aca="false">IF(AG19="STOCKOUT RISK",1000,IF(AG19="REORDER REQUIRED",2000,IF(AG19="EXCESS STOCK",3000,4000)))+IF(AG19="EXCESS STOCK",500-MIN(S19,499),MAX(MIN(S19,499),-499))</f>
        <v>4004.5766590389</v>
      </c>
      <c r="AK19" s="19" t="n">
        <f aca="false">SUMPRODUCT(--($AJ$7:$AJ$54&lt;AJ19))+SUMPRODUCT(--($AJ$7:AJ19=AJ19))</f>
        <v>33</v>
      </c>
    </row>
    <row r="20" customFormat="false" ht="54" hidden="false" customHeight="true" outlineLevel="0" collapsed="false">
      <c r="A20" s="11" t="str">
        <f aca="false">Forecast!A20</f>
        <v>BTH-004</v>
      </c>
      <c r="B20" s="11" t="str">
        <f aca="false">Forecast!B20</f>
        <v>Waterproof Shower Curtain</v>
      </c>
      <c r="C20" s="11" t="str">
        <f aca="false">Inputs!E53</f>
        <v>SUP-02</v>
      </c>
      <c r="D20" s="11" t="str">
        <f aca="false">Forecast!AE20</f>
        <v>MA8</v>
      </c>
      <c r="E20" s="35" t="n">
        <f aca="false">Forecast!AF20</f>
        <v>28.625</v>
      </c>
      <c r="F20" s="36" t="n">
        <f aca="false">Forecast!AG20</f>
        <v>0.109831139095592</v>
      </c>
      <c r="G20" s="37" t="n">
        <f aca="false">Forecast!AH20</f>
        <v>0.0357040641099027</v>
      </c>
      <c r="H20" s="35" t="n">
        <f aca="false">Forecast!AI20</f>
        <v>4.71375877863434</v>
      </c>
      <c r="I20" s="36" t="n">
        <f aca="false">TSL</f>
        <v>0.95</v>
      </c>
      <c r="J20" s="38" t="n">
        <f aca="false">Z_Value</f>
        <v>1.64485362695147</v>
      </c>
      <c r="K20" s="39" t="n">
        <f aca="false">Inputs!F53</f>
        <v>3</v>
      </c>
      <c r="L20" s="28" t="n">
        <f aca="false">J20*H20*SQRT(K20)</f>
        <v>13.4293575968949</v>
      </c>
      <c r="M20" s="28" t="n">
        <f aca="false">E20*K20</f>
        <v>85.875</v>
      </c>
      <c r="N20" s="19" t="n">
        <f aca="false">M20+L20</f>
        <v>99.3043575968949</v>
      </c>
      <c r="O20" s="39" t="n">
        <f aca="false">Inputs!J53</f>
        <v>443</v>
      </c>
      <c r="P20" s="39" t="n">
        <f aca="false">Inputs!K53</f>
        <v>0</v>
      </c>
      <c r="Q20" s="39" t="n">
        <f aca="false">Inputs!M53</f>
        <v>0</v>
      </c>
      <c r="R20" s="19" t="n">
        <f aca="false">O20+P20-Q20</f>
        <v>443</v>
      </c>
      <c r="S20" s="28" t="n">
        <f aca="false">IF(E20&gt;0,R20/E20,0)</f>
        <v>15.4759825327511</v>
      </c>
      <c r="T20" s="28" t="n">
        <f aca="false">IF(E20&gt;0,O20/E20,0)</f>
        <v>15.4759825327511</v>
      </c>
      <c r="U20" s="19" t="n">
        <f aca="false">E20*Weeks_Per_Year</f>
        <v>1488.5</v>
      </c>
      <c r="V20" s="40" t="n">
        <f aca="false">Inputs!H53</f>
        <v>16</v>
      </c>
      <c r="W20" s="40" t="n">
        <f aca="false">Inputs!G53</f>
        <v>45</v>
      </c>
      <c r="X20" s="36" t="n">
        <f aca="false">Holding_Rate</f>
        <v>0.2</v>
      </c>
      <c r="Y20" s="21" t="n">
        <f aca="false">V20*X20</f>
        <v>3.2</v>
      </c>
      <c r="Z20" s="28" t="n">
        <f aca="false">SQRT((2*U20*W20)/Y20)</f>
        <v>204.607092985556</v>
      </c>
      <c r="AA20" s="39" t="n">
        <f aca="false">Inputs!I53</f>
        <v>10</v>
      </c>
      <c r="AB20" s="19" t="n">
        <f aca="false">ROUNDUP(Z20/AA20,0)*AA20</f>
        <v>210</v>
      </c>
      <c r="AC20" s="10" t="str">
        <f aca="false">IF(R20&lt;=N20,"YES","NO")</f>
        <v>NO</v>
      </c>
      <c r="AD20" s="41" t="n">
        <f aca="false">IF(AC20="YES",AB20,0)</f>
        <v>0</v>
      </c>
      <c r="AE20" s="39" t="str">
        <f aca="false">Projection!BQ20</f>
        <v>None</v>
      </c>
      <c r="AF20" s="11" t="str">
        <f aca="false">Projection!BR20</f>
        <v>NO</v>
      </c>
      <c r="AG20" s="12" t="str">
        <f aca="false">IF(AF20="YES","STOCKOUT RISK",IF(AC20="YES","REORDER REQUIRED",IF(S20&gt;Excess_WoC,"EXCESS STOCK","HEALTHY")))</f>
        <v>EXCESS STOCK</v>
      </c>
      <c r="AH20" s="7" t="str">
        <f aca="false">IF(AG20="STOCKOUT RISK","Projected inventory reaches zero in week "&amp;AE20&amp;", before a new order placed now could arrive (week "&amp;(K20+1)&amp;"). "&amp;IF(AC20="YES","Inventory position of "&amp;FIXED(R20,0)&amp;" units is at or below the reorder point of "&amp;FIXED(N20,0)&amp;", so an order of "&amp;FIXED(AD20,0)&amp;" units is recommended (EOQ "&amp;FIXED(Z20,0)&amp;", case pack "&amp;AA20&amp;"), but it cannot arrive in time: expedite supply or manage the shortfall.","No new order is triggered because inventory position of "&amp;FIXED(R20,0)&amp;" units is above the reorder point of "&amp;FIXED(N20,0)&amp;", but the open PO of "&amp;FIXED(P20,0)&amp;" units is due in week "&amp;Inputs!L53&amp;", which is too late: expedite the open PO."),IF(AG20="REORDER REQUIRED","Inventory position of "&amp;FIXED(R20,0)&amp;" units is "&amp;FIXED(N20-R20,0)&amp;" units below the reorder point of "&amp;FIXED(N20,0)&amp;" units. Replenishment is required. EOQ recommends approximately "&amp;FIXED(Z20,0)&amp;" units, rounded to "&amp;FIXED(AD20,0)&amp;" (case pack "&amp;AA20&amp;").",IF(AG20="EXCESS STOCK","Inventory position represents "&amp;FIXED(S20,1)&amp;" weeks of expected demand, above the "&amp;Excess_WoC&amp;"-week excess-stock threshold. No replenishment is triggered.","Inventory position of "&amp;FIXED(R20,0)&amp;" units is above the reorder point of "&amp;FIXED(N20,0)&amp;" units and covers "&amp;FIXED(S20,1)&amp;" weeks of forecast demand. No order needed now.")))</f>
        <v>Inventory position represents 15.5 weeks of expected demand, above the 12-week excess-stock threshold. No replenishment is triggered.</v>
      </c>
      <c r="AI20" s="42" t="n">
        <f aca="false">O20*V20</f>
        <v>7088</v>
      </c>
      <c r="AJ20" s="43" t="n">
        <f aca="false">IF(AG20="STOCKOUT RISK",1000,IF(AG20="REORDER REQUIRED",2000,IF(AG20="EXCESS STOCK",3000,4000)))+IF(AG20="EXCESS STOCK",500-MIN(S20,499),MAX(MIN(S20,499),-499))</f>
        <v>3484.52401746725</v>
      </c>
      <c r="AK20" s="19" t="n">
        <f aca="false">SUMPRODUCT(--($AJ$7:$AJ$54&lt;AJ20))+SUMPRODUCT(--($AJ$7:AJ20=AJ20))</f>
        <v>24</v>
      </c>
    </row>
    <row r="21" customFormat="false" ht="54" hidden="false" customHeight="true" outlineLevel="0" collapsed="false">
      <c r="A21" s="11" t="str">
        <f aca="false">Forecast!A21</f>
        <v>BTH-005</v>
      </c>
      <c r="B21" s="11" t="str">
        <f aca="false">Forecast!B21</f>
        <v>Waffle Bathrobe M</v>
      </c>
      <c r="C21" s="11" t="str">
        <f aca="false">Inputs!E54</f>
        <v>SUP-02</v>
      </c>
      <c r="D21" s="11" t="str">
        <f aca="false">Forecast!AE21</f>
        <v>MA8</v>
      </c>
      <c r="E21" s="35" t="n">
        <f aca="false">Forecast!AF21</f>
        <v>19.75</v>
      </c>
      <c r="F21" s="36" t="n">
        <f aca="false">Forecast!AG21</f>
        <v>0.278558052434457</v>
      </c>
      <c r="G21" s="37" t="n">
        <f aca="false">Forecast!AH21</f>
        <v>0.00585205992509363</v>
      </c>
      <c r="H21" s="35" t="n">
        <f aca="false">Forecast!AI21</f>
        <v>6.96898598424241</v>
      </c>
      <c r="I21" s="36" t="n">
        <f aca="false">TSL</f>
        <v>0.95</v>
      </c>
      <c r="J21" s="38" t="n">
        <f aca="false">Z_Value</f>
        <v>1.64485362695147</v>
      </c>
      <c r="K21" s="39" t="n">
        <f aca="false">Inputs!F54</f>
        <v>3</v>
      </c>
      <c r="L21" s="28" t="n">
        <f aca="false">J21*H21*SQRT(K21)</f>
        <v>19.8544323681439</v>
      </c>
      <c r="M21" s="28" t="n">
        <f aca="false">E21*K21</f>
        <v>59.25</v>
      </c>
      <c r="N21" s="19" t="n">
        <f aca="false">M21+L21</f>
        <v>79.1044323681439</v>
      </c>
      <c r="O21" s="39" t="n">
        <f aca="false">Inputs!J54</f>
        <v>19</v>
      </c>
      <c r="P21" s="39" t="n">
        <f aca="false">Inputs!K54</f>
        <v>25</v>
      </c>
      <c r="Q21" s="39" t="n">
        <f aca="false">Inputs!M54</f>
        <v>0</v>
      </c>
      <c r="R21" s="19" t="n">
        <f aca="false">O21+P21-Q21</f>
        <v>44</v>
      </c>
      <c r="S21" s="28" t="n">
        <f aca="false">IF(E21&gt;0,R21/E21,0)</f>
        <v>2.22784810126582</v>
      </c>
      <c r="T21" s="28" t="n">
        <f aca="false">IF(E21&gt;0,O21/E21,0)</f>
        <v>0.962025316455696</v>
      </c>
      <c r="U21" s="19" t="n">
        <f aca="false">E21*Weeks_Per_Year</f>
        <v>1027</v>
      </c>
      <c r="V21" s="40" t="n">
        <f aca="false">Inputs!H54</f>
        <v>32</v>
      </c>
      <c r="W21" s="40" t="n">
        <f aca="false">Inputs!G54</f>
        <v>45</v>
      </c>
      <c r="X21" s="36" t="n">
        <f aca="false">Holding_Rate</f>
        <v>0.2</v>
      </c>
      <c r="Y21" s="21" t="n">
        <f aca="false">V21*X21</f>
        <v>6.4</v>
      </c>
      <c r="Z21" s="28" t="n">
        <f aca="false">SQRT((2*U21*W21)/Y21)</f>
        <v>120.175652692216</v>
      </c>
      <c r="AA21" s="39" t="n">
        <f aca="false">Inputs!I54</f>
        <v>5</v>
      </c>
      <c r="AB21" s="19" t="n">
        <f aca="false">ROUNDUP(Z21/AA21,0)*AA21</f>
        <v>125</v>
      </c>
      <c r="AC21" s="10" t="str">
        <f aca="false">IF(R21&lt;=N21,"YES","NO")</f>
        <v>YES</v>
      </c>
      <c r="AD21" s="41" t="n">
        <f aca="false">IF(AC21="YES",AB21,0)</f>
        <v>125</v>
      </c>
      <c r="AE21" s="39" t="n">
        <f aca="false">Projection!BQ21</f>
        <v>1</v>
      </c>
      <c r="AF21" s="11" t="str">
        <f aca="false">Projection!BR21</f>
        <v>YES</v>
      </c>
      <c r="AG21" s="12" t="str">
        <f aca="false">IF(AF21="YES","STOCKOUT RISK",IF(AC21="YES","REORDER REQUIRED",IF(S21&gt;Excess_WoC,"EXCESS STOCK","HEALTHY")))</f>
        <v>STOCKOUT RISK</v>
      </c>
      <c r="AH21" s="7" t="str">
        <f aca="false">IF(AG21="STOCKOUT RISK","Projected inventory reaches zero in week "&amp;AE21&amp;", before a new order placed now could arrive (week "&amp;(K21+1)&amp;"). "&amp;IF(AC21="YES","Inventory position of "&amp;FIXED(R21,0)&amp;" units is at or below the reorder point of "&amp;FIXED(N21,0)&amp;", so an order of "&amp;FIXED(AD21,0)&amp;" units is recommended (EOQ "&amp;FIXED(Z21,0)&amp;", case pack "&amp;AA21&amp;"), but it cannot arrive in time: expedite supply or manage the shortfall.","No new order is triggered because inventory position of "&amp;FIXED(R21,0)&amp;" units is above the reorder point of "&amp;FIXED(N21,0)&amp;", but the open PO of "&amp;FIXED(P21,0)&amp;" units is due in week "&amp;Inputs!L54&amp;", which is too late: expedite the open PO."),IF(AG21="REORDER REQUIRED","Inventory position of "&amp;FIXED(R21,0)&amp;" units is "&amp;FIXED(N21-R21,0)&amp;" units below the reorder point of "&amp;FIXED(N21,0)&amp;" units. Replenishment is required. EOQ recommends approximately "&amp;FIXED(Z21,0)&amp;" units, rounded to "&amp;FIXED(AD21,0)&amp;" (case pack "&amp;AA21&amp;").",IF(AG21="EXCESS STOCK","Inventory position represents "&amp;FIXED(S21,1)&amp;" weeks of expected demand, above the "&amp;Excess_WoC&amp;"-week excess-stock threshold. No replenishment is triggered.","Inventory position of "&amp;FIXED(R21,0)&amp;" units is above the reorder point of "&amp;FIXED(N21,0)&amp;" units and covers "&amp;FIXED(S21,1)&amp;" weeks of forecast demand. No order needed now.")))</f>
        <v>Projected inventory reaches zero in week 1, before a new order placed now could arrive (week 4). Inventory position of 44 units is at or below the reorder point of 79, so an order of 125 units is recommended (EOQ 120, case pack 5), but it cannot arrive in time: expedite supply or manage the shortfall.</v>
      </c>
      <c r="AI21" s="42" t="n">
        <f aca="false">O21*V21</f>
        <v>608</v>
      </c>
      <c r="AJ21" s="43" t="n">
        <f aca="false">IF(AG21="STOCKOUT RISK",1000,IF(AG21="REORDER REQUIRED",2000,IF(AG21="EXCESS STOCK",3000,4000)))+IF(AG21="EXCESS STOCK",500-MIN(S21,499),MAX(MIN(S21,499),-499))</f>
        <v>1002.22784810127</v>
      </c>
      <c r="AK21" s="19" t="n">
        <f aca="false">SUMPRODUCT(--($AJ$7:$AJ$54&lt;AJ21))+SUMPRODUCT(--($AJ$7:AJ21=AJ21))</f>
        <v>4</v>
      </c>
    </row>
    <row r="22" customFormat="false" ht="54" hidden="false" customHeight="true" outlineLevel="0" collapsed="false">
      <c r="A22" s="11" t="str">
        <f aca="false">Forecast!A22</f>
        <v>BTH-006</v>
      </c>
      <c r="B22" s="11" t="str">
        <f aca="false">Forecast!B22</f>
        <v>Ceramic Toothbrush Holder</v>
      </c>
      <c r="C22" s="11" t="str">
        <f aca="false">Inputs!E55</f>
        <v>SUP-02</v>
      </c>
      <c r="D22" s="11" t="str">
        <f aca="false">Forecast!AE22</f>
        <v>Naive</v>
      </c>
      <c r="E22" s="35" t="n">
        <f aca="false">Forecast!AF22</f>
        <v>36</v>
      </c>
      <c r="F22" s="36" t="n">
        <f aca="false">Forecast!AG22</f>
        <v>0.0960698689956332</v>
      </c>
      <c r="G22" s="37" t="n">
        <f aca="false">Forecast!AH22</f>
        <v>0</v>
      </c>
      <c r="H22" s="35" t="n">
        <f aca="false">Forecast!AI22</f>
        <v>4.51576758289719</v>
      </c>
      <c r="I22" s="36" t="n">
        <f aca="false">TSL</f>
        <v>0.95</v>
      </c>
      <c r="J22" s="38" t="n">
        <f aca="false">Z_Value</f>
        <v>1.64485362695147</v>
      </c>
      <c r="K22" s="39" t="n">
        <f aca="false">Inputs!F55</f>
        <v>3</v>
      </c>
      <c r="L22" s="28" t="n">
        <f aca="false">J22*H22*SQRT(K22)</f>
        <v>12.8652866095031</v>
      </c>
      <c r="M22" s="28" t="n">
        <f aca="false">E22*K22</f>
        <v>108</v>
      </c>
      <c r="N22" s="19" t="n">
        <f aca="false">M22+L22</f>
        <v>120.865286609503</v>
      </c>
      <c r="O22" s="39" t="n">
        <f aca="false">Inputs!J55</f>
        <v>164</v>
      </c>
      <c r="P22" s="39" t="n">
        <f aca="false">Inputs!K55</f>
        <v>0</v>
      </c>
      <c r="Q22" s="39" t="n">
        <f aca="false">Inputs!M55</f>
        <v>0</v>
      </c>
      <c r="R22" s="19" t="n">
        <f aca="false">O22+P22-Q22</f>
        <v>164</v>
      </c>
      <c r="S22" s="28" t="n">
        <f aca="false">IF(E22&gt;0,R22/E22,0)</f>
        <v>4.55555555555556</v>
      </c>
      <c r="T22" s="28" t="n">
        <f aca="false">IF(E22&gt;0,O22/E22,0)</f>
        <v>4.55555555555556</v>
      </c>
      <c r="U22" s="19" t="n">
        <f aca="false">E22*Weeks_Per_Year</f>
        <v>1872</v>
      </c>
      <c r="V22" s="40" t="n">
        <f aca="false">Inputs!H55</f>
        <v>16</v>
      </c>
      <c r="W22" s="40" t="n">
        <f aca="false">Inputs!G55</f>
        <v>45</v>
      </c>
      <c r="X22" s="36" t="n">
        <f aca="false">Holding_Rate</f>
        <v>0.2</v>
      </c>
      <c r="Y22" s="21" t="n">
        <f aca="false">V22*X22</f>
        <v>3.2</v>
      </c>
      <c r="Z22" s="28" t="n">
        <f aca="false">SQRT((2*U22*W22)/Y22)</f>
        <v>229.455878111675</v>
      </c>
      <c r="AA22" s="39" t="n">
        <f aca="false">Inputs!I55</f>
        <v>12</v>
      </c>
      <c r="AB22" s="19" t="n">
        <f aca="false">ROUNDUP(Z22/AA22,0)*AA22</f>
        <v>240</v>
      </c>
      <c r="AC22" s="10" t="str">
        <f aca="false">IF(R22&lt;=N22,"YES","NO")</f>
        <v>NO</v>
      </c>
      <c r="AD22" s="41" t="n">
        <f aca="false">IF(AC22="YES",AB22,0)</f>
        <v>0</v>
      </c>
      <c r="AE22" s="39" t="n">
        <f aca="false">Projection!BQ22</f>
        <v>5</v>
      </c>
      <c r="AF22" s="11" t="str">
        <f aca="false">Projection!BR22</f>
        <v>NO</v>
      </c>
      <c r="AG22" s="12" t="str">
        <f aca="false">IF(AF22="YES","STOCKOUT RISK",IF(AC22="YES","REORDER REQUIRED",IF(S22&gt;Excess_WoC,"EXCESS STOCK","HEALTHY")))</f>
        <v>HEALTHY</v>
      </c>
      <c r="AH22" s="7" t="str">
        <f aca="false">IF(AG22="STOCKOUT RISK","Projected inventory reaches zero in week "&amp;AE22&amp;", before a new order placed now could arrive (week "&amp;(K22+1)&amp;"). "&amp;IF(AC22="YES","Inventory position of "&amp;FIXED(R22,0)&amp;" units is at or below the reorder point of "&amp;FIXED(N22,0)&amp;", so an order of "&amp;FIXED(AD22,0)&amp;" units is recommended (EOQ "&amp;FIXED(Z22,0)&amp;", case pack "&amp;AA22&amp;"), but it cannot arrive in time: expedite supply or manage the shortfall.","No new order is triggered because inventory position of "&amp;FIXED(R22,0)&amp;" units is above the reorder point of "&amp;FIXED(N22,0)&amp;", but the open PO of "&amp;FIXED(P22,0)&amp;" units is due in week "&amp;Inputs!L55&amp;", which is too late: expedite the open PO."),IF(AG22="REORDER REQUIRED","Inventory position of "&amp;FIXED(R22,0)&amp;" units is "&amp;FIXED(N22-R22,0)&amp;" units below the reorder point of "&amp;FIXED(N22,0)&amp;" units. Replenishment is required. EOQ recommends approximately "&amp;FIXED(Z22,0)&amp;" units, rounded to "&amp;FIXED(AD22,0)&amp;" (case pack "&amp;AA22&amp;").",IF(AG22="EXCESS STOCK","Inventory position represents "&amp;FIXED(S22,1)&amp;" weeks of expected demand, above the "&amp;Excess_WoC&amp;"-week excess-stock threshold. No replenishment is triggered.","Inventory position of "&amp;FIXED(R22,0)&amp;" units is above the reorder point of "&amp;FIXED(N22,0)&amp;" units and covers "&amp;FIXED(S22,1)&amp;" weeks of forecast demand. No order needed now.")))</f>
        <v>Inventory position of 164 units is above the reorder point of 121 units and covers 4.6 weeks of forecast demand. No order needed now.</v>
      </c>
      <c r="AI22" s="42" t="n">
        <f aca="false">O22*V22</f>
        <v>2624</v>
      </c>
      <c r="AJ22" s="43" t="n">
        <f aca="false">IF(AG22="STOCKOUT RISK",1000,IF(AG22="REORDER REQUIRED",2000,IF(AG22="EXCESS STOCK",3000,4000)))+IF(AG22="EXCESS STOCK",500-MIN(S22,499),MAX(MIN(S22,499),-499))</f>
        <v>4004.55555555556</v>
      </c>
      <c r="AK22" s="19" t="n">
        <f aca="false">SUMPRODUCT(--($AJ$7:$AJ$54&lt;AJ22))+SUMPRODUCT(--($AJ$7:AJ22=AJ22))</f>
        <v>32</v>
      </c>
    </row>
    <row r="23" customFormat="false" ht="54" hidden="false" customHeight="true" outlineLevel="0" collapsed="false">
      <c r="A23" s="11" t="str">
        <f aca="false">Forecast!A23</f>
        <v>BTH-007</v>
      </c>
      <c r="B23" s="11" t="str">
        <f aca="false">Forecast!B23</f>
        <v>Glass Soap Dispenser</v>
      </c>
      <c r="C23" s="11" t="str">
        <f aca="false">Inputs!E56</f>
        <v>SUP-02</v>
      </c>
      <c r="D23" s="11" t="str">
        <f aca="false">Forecast!AE23</f>
        <v>MA4</v>
      </c>
      <c r="E23" s="35" t="n">
        <f aca="false">Forecast!AF23</f>
        <v>58</v>
      </c>
      <c r="F23" s="36" t="n">
        <f aca="false">Forecast!AG23</f>
        <v>0.11491722437478</v>
      </c>
      <c r="G23" s="37" t="n">
        <f aca="false">Forecast!AH23</f>
        <v>-0.00836562169778091</v>
      </c>
      <c r="H23" s="35" t="n">
        <f aca="false">Forecast!AI23</f>
        <v>8.20131522717578</v>
      </c>
      <c r="I23" s="36" t="n">
        <f aca="false">TSL</f>
        <v>0.95</v>
      </c>
      <c r="J23" s="38" t="n">
        <f aca="false">Z_Value</f>
        <v>1.64485362695147</v>
      </c>
      <c r="K23" s="39" t="n">
        <f aca="false">Inputs!F56</f>
        <v>3</v>
      </c>
      <c r="L23" s="28" t="n">
        <f aca="false">J23*H23*SQRT(K23)</f>
        <v>23.3653014765665</v>
      </c>
      <c r="M23" s="28" t="n">
        <f aca="false">E23*K23</f>
        <v>174</v>
      </c>
      <c r="N23" s="19" t="n">
        <f aca="false">M23+L23</f>
        <v>197.365301476566</v>
      </c>
      <c r="O23" s="39" t="n">
        <f aca="false">Inputs!J56</f>
        <v>416</v>
      </c>
      <c r="P23" s="39" t="n">
        <f aca="false">Inputs!K56</f>
        <v>0</v>
      </c>
      <c r="Q23" s="39" t="n">
        <f aca="false">Inputs!M56</f>
        <v>0</v>
      </c>
      <c r="R23" s="19" t="n">
        <f aca="false">O23+P23-Q23</f>
        <v>416</v>
      </c>
      <c r="S23" s="28" t="n">
        <f aca="false">IF(E23&gt;0,R23/E23,0)</f>
        <v>7.17241379310345</v>
      </c>
      <c r="T23" s="28" t="n">
        <f aca="false">IF(E23&gt;0,O23/E23,0)</f>
        <v>7.17241379310345</v>
      </c>
      <c r="U23" s="19" t="n">
        <f aca="false">E23*Weeks_Per_Year</f>
        <v>3016</v>
      </c>
      <c r="V23" s="40" t="n">
        <f aca="false">Inputs!H56</f>
        <v>12</v>
      </c>
      <c r="W23" s="40" t="n">
        <f aca="false">Inputs!G56</f>
        <v>45</v>
      </c>
      <c r="X23" s="36" t="n">
        <f aca="false">Holding_Rate</f>
        <v>0.2</v>
      </c>
      <c r="Y23" s="21" t="n">
        <f aca="false">V23*X23</f>
        <v>2.4</v>
      </c>
      <c r="Z23" s="28" t="n">
        <f aca="false">SQRT((2*U23*W23)/Y23)</f>
        <v>336.303434416005</v>
      </c>
      <c r="AA23" s="39" t="n">
        <f aca="false">Inputs!I56</f>
        <v>12</v>
      </c>
      <c r="AB23" s="19" t="n">
        <f aca="false">ROUNDUP(Z23/AA23,0)*AA23</f>
        <v>348</v>
      </c>
      <c r="AC23" s="10" t="str">
        <f aca="false">IF(R23&lt;=N23,"YES","NO")</f>
        <v>NO</v>
      </c>
      <c r="AD23" s="41" t="n">
        <f aca="false">IF(AC23="YES",AB23,0)</f>
        <v>0</v>
      </c>
      <c r="AE23" s="39" t="n">
        <f aca="false">Projection!BQ23</f>
        <v>8</v>
      </c>
      <c r="AF23" s="11" t="str">
        <f aca="false">Projection!BR23</f>
        <v>NO</v>
      </c>
      <c r="AG23" s="12" t="str">
        <f aca="false">IF(AF23="YES","STOCKOUT RISK",IF(AC23="YES","REORDER REQUIRED",IF(S23&gt;Excess_WoC,"EXCESS STOCK","HEALTHY")))</f>
        <v>HEALTHY</v>
      </c>
      <c r="AH23" s="7" t="str">
        <f aca="false">IF(AG23="STOCKOUT RISK","Projected inventory reaches zero in week "&amp;AE23&amp;", before a new order placed now could arrive (week "&amp;(K23+1)&amp;"). "&amp;IF(AC23="YES","Inventory position of "&amp;FIXED(R23,0)&amp;" units is at or below the reorder point of "&amp;FIXED(N23,0)&amp;", so an order of "&amp;FIXED(AD23,0)&amp;" units is recommended (EOQ "&amp;FIXED(Z23,0)&amp;", case pack "&amp;AA23&amp;"), but it cannot arrive in time: expedite supply or manage the shortfall.","No new order is triggered because inventory position of "&amp;FIXED(R23,0)&amp;" units is above the reorder point of "&amp;FIXED(N23,0)&amp;", but the open PO of "&amp;FIXED(P23,0)&amp;" units is due in week "&amp;Inputs!L56&amp;", which is too late: expedite the open PO."),IF(AG23="REORDER REQUIRED","Inventory position of "&amp;FIXED(R23,0)&amp;" units is "&amp;FIXED(N23-R23,0)&amp;" units below the reorder point of "&amp;FIXED(N23,0)&amp;" units. Replenishment is required. EOQ recommends approximately "&amp;FIXED(Z23,0)&amp;" units, rounded to "&amp;FIXED(AD23,0)&amp;" (case pack "&amp;AA23&amp;").",IF(AG23="EXCESS STOCK","Inventory position represents "&amp;FIXED(S23,1)&amp;" weeks of expected demand, above the "&amp;Excess_WoC&amp;"-week excess-stock threshold. No replenishment is triggered.","Inventory position of "&amp;FIXED(R23,0)&amp;" units is above the reorder point of "&amp;FIXED(N23,0)&amp;" units and covers "&amp;FIXED(S23,1)&amp;" weeks of forecast demand. No order needed now.")))</f>
        <v>Inventory position of 416 units is above the reorder point of 197 units and covers 7.2 weeks of forecast demand. No order needed now.</v>
      </c>
      <c r="AI23" s="42" t="n">
        <f aca="false">O23*V23</f>
        <v>4992</v>
      </c>
      <c r="AJ23" s="43" t="n">
        <f aca="false">IF(AG23="STOCKOUT RISK",1000,IF(AG23="REORDER REQUIRED",2000,IF(AG23="EXCESS STOCK",3000,4000)))+IF(AG23="EXCESS STOCK",500-MIN(S23,499),MAX(MIN(S23,499),-499))</f>
        <v>4007.1724137931</v>
      </c>
      <c r="AK23" s="19" t="n">
        <f aca="false">SUMPRODUCT(--($AJ$7:$AJ$54&lt;AJ23))+SUMPRODUCT(--($AJ$7:AJ23=AJ23))</f>
        <v>39</v>
      </c>
    </row>
    <row r="24" customFormat="false" ht="54" hidden="false" customHeight="true" outlineLevel="0" collapsed="false">
      <c r="A24" s="11" t="str">
        <f aca="false">Forecast!A24</f>
        <v>BTH-008</v>
      </c>
      <c r="B24" s="11" t="str">
        <f aca="false">Forecast!B24</f>
        <v>Chrome Towel Rail</v>
      </c>
      <c r="C24" s="11" t="str">
        <f aca="false">Inputs!E57</f>
        <v>SUP-02</v>
      </c>
      <c r="D24" s="11" t="str">
        <f aca="false">Forecast!AE24</f>
        <v>MA8</v>
      </c>
      <c r="E24" s="35" t="n">
        <f aca="false">Forecast!AF24</f>
        <v>6.5</v>
      </c>
      <c r="F24" s="36" t="n">
        <f aca="false">Forecast!AG24</f>
        <v>0.297523961661342</v>
      </c>
      <c r="G24" s="37" t="n">
        <f aca="false">Forecast!AH24</f>
        <v>-0.0155750798722045</v>
      </c>
      <c r="H24" s="35" t="n">
        <f aca="false">Forecast!AI24</f>
        <v>2.18700974898533</v>
      </c>
      <c r="I24" s="36" t="n">
        <f aca="false">TSL</f>
        <v>0.95</v>
      </c>
      <c r="J24" s="38" t="n">
        <f aca="false">Z_Value</f>
        <v>1.64485362695147</v>
      </c>
      <c r="K24" s="39" t="n">
        <f aca="false">Inputs!F57</f>
        <v>3</v>
      </c>
      <c r="L24" s="28" t="n">
        <f aca="false">J24*H24*SQRT(K24)</f>
        <v>6.23072528024619</v>
      </c>
      <c r="M24" s="28" t="n">
        <f aca="false">E24*K24</f>
        <v>19.5</v>
      </c>
      <c r="N24" s="19" t="n">
        <f aca="false">M24+L24</f>
        <v>25.7307252802462</v>
      </c>
      <c r="O24" s="39" t="n">
        <f aca="false">Inputs!J57</f>
        <v>126</v>
      </c>
      <c r="P24" s="39" t="n">
        <f aca="false">Inputs!K57</f>
        <v>0</v>
      </c>
      <c r="Q24" s="39" t="n">
        <f aca="false">Inputs!M57</f>
        <v>0</v>
      </c>
      <c r="R24" s="19" t="n">
        <f aca="false">O24+P24-Q24</f>
        <v>126</v>
      </c>
      <c r="S24" s="28" t="n">
        <f aca="false">IF(E24&gt;0,R24/E24,0)</f>
        <v>19.3846153846154</v>
      </c>
      <c r="T24" s="28" t="n">
        <f aca="false">IF(E24&gt;0,O24/E24,0)</f>
        <v>19.3846153846154</v>
      </c>
      <c r="U24" s="19" t="n">
        <f aca="false">E24*Weeks_Per_Year</f>
        <v>338</v>
      </c>
      <c r="V24" s="40" t="n">
        <f aca="false">Inputs!H57</f>
        <v>95</v>
      </c>
      <c r="W24" s="40" t="n">
        <f aca="false">Inputs!G57</f>
        <v>45</v>
      </c>
      <c r="X24" s="36" t="n">
        <f aca="false">Holding_Rate</f>
        <v>0.2</v>
      </c>
      <c r="Y24" s="21" t="n">
        <f aca="false">V24*X24</f>
        <v>19</v>
      </c>
      <c r="Z24" s="28" t="n">
        <f aca="false">SQRT((2*U24*W24)/Y24)</f>
        <v>40.013155731321</v>
      </c>
      <c r="AA24" s="39" t="n">
        <f aca="false">Inputs!I57</f>
        <v>1</v>
      </c>
      <c r="AB24" s="19" t="n">
        <f aca="false">ROUNDUP(Z24/AA24,0)*AA24</f>
        <v>41</v>
      </c>
      <c r="AC24" s="10" t="str">
        <f aca="false">IF(R24&lt;=N24,"YES","NO")</f>
        <v>NO</v>
      </c>
      <c r="AD24" s="41" t="n">
        <f aca="false">IF(AC24="YES",AB24,0)</f>
        <v>0</v>
      </c>
      <c r="AE24" s="39" t="str">
        <f aca="false">Projection!BQ24</f>
        <v>None</v>
      </c>
      <c r="AF24" s="11" t="str">
        <f aca="false">Projection!BR24</f>
        <v>NO</v>
      </c>
      <c r="AG24" s="12" t="str">
        <f aca="false">IF(AF24="YES","STOCKOUT RISK",IF(AC24="YES","REORDER REQUIRED",IF(S24&gt;Excess_WoC,"EXCESS STOCK","HEALTHY")))</f>
        <v>EXCESS STOCK</v>
      </c>
      <c r="AH24" s="7" t="str">
        <f aca="false">IF(AG24="STOCKOUT RISK","Projected inventory reaches zero in week "&amp;AE24&amp;", before a new order placed now could arrive (week "&amp;(K24+1)&amp;"). "&amp;IF(AC24="YES","Inventory position of "&amp;FIXED(R24,0)&amp;" units is at or below the reorder point of "&amp;FIXED(N24,0)&amp;", so an order of "&amp;FIXED(AD24,0)&amp;" units is recommended (EOQ "&amp;FIXED(Z24,0)&amp;", case pack "&amp;AA24&amp;"), but it cannot arrive in time: expedite supply or manage the shortfall.","No new order is triggered because inventory position of "&amp;FIXED(R24,0)&amp;" units is above the reorder point of "&amp;FIXED(N24,0)&amp;", but the open PO of "&amp;FIXED(P24,0)&amp;" units is due in week "&amp;Inputs!L57&amp;", which is too late: expedite the open PO."),IF(AG24="REORDER REQUIRED","Inventory position of "&amp;FIXED(R24,0)&amp;" units is "&amp;FIXED(N24-R24,0)&amp;" units below the reorder point of "&amp;FIXED(N24,0)&amp;" units. Replenishment is required. EOQ recommends approximately "&amp;FIXED(Z24,0)&amp;" units, rounded to "&amp;FIXED(AD24,0)&amp;" (case pack "&amp;AA24&amp;").",IF(AG24="EXCESS STOCK","Inventory position represents "&amp;FIXED(S24,1)&amp;" weeks of expected demand, above the "&amp;Excess_WoC&amp;"-week excess-stock threshold. No replenishment is triggered.","Inventory position of "&amp;FIXED(R24,0)&amp;" units is above the reorder point of "&amp;FIXED(N24,0)&amp;" units and covers "&amp;FIXED(S24,1)&amp;" weeks of forecast demand. No order needed now.")))</f>
        <v>Inventory position represents 19.4 weeks of expected demand, above the 12-week excess-stock threshold. No replenishment is triggered.</v>
      </c>
      <c r="AI24" s="42" t="n">
        <f aca="false">O24*V24</f>
        <v>11970</v>
      </c>
      <c r="AJ24" s="43" t="n">
        <f aca="false">IF(AG24="STOCKOUT RISK",1000,IF(AG24="REORDER REQUIRED",2000,IF(AG24="EXCESS STOCK",3000,4000)))+IF(AG24="EXCESS STOCK",500-MIN(S24,499),MAX(MIN(S24,499),-499))</f>
        <v>3480.61538461538</v>
      </c>
      <c r="AK24" s="19" t="n">
        <f aca="false">SUMPRODUCT(--($AJ$7:$AJ$54&lt;AJ24))+SUMPRODUCT(--($AJ$7:AJ24=AJ24))</f>
        <v>21</v>
      </c>
    </row>
    <row r="25" customFormat="false" ht="54" hidden="false" customHeight="true" outlineLevel="0" collapsed="false">
      <c r="A25" s="11" t="str">
        <f aca="false">Forecast!A25</f>
        <v>BTH-009</v>
      </c>
      <c r="B25" s="11" t="str">
        <f aca="false">Forecast!B25</f>
        <v>Woven Laundry Basket</v>
      </c>
      <c r="C25" s="11" t="str">
        <f aca="false">Inputs!E58</f>
        <v>SUP-02</v>
      </c>
      <c r="D25" s="11" t="str">
        <f aca="false">Forecast!AE25</f>
        <v>MA8</v>
      </c>
      <c r="E25" s="35" t="n">
        <f aca="false">Forecast!AF25</f>
        <v>29.125</v>
      </c>
      <c r="F25" s="36" t="n">
        <f aca="false">Forecast!AG25</f>
        <v>0.300081168831169</v>
      </c>
      <c r="G25" s="37" t="n">
        <f aca="false">Forecast!AH25</f>
        <v>-0.00543831168831169</v>
      </c>
      <c r="H25" s="35" t="n">
        <f aca="false">Forecast!AI25</f>
        <v>10.7869672334093</v>
      </c>
      <c r="I25" s="36" t="n">
        <f aca="false">TSL</f>
        <v>0.95</v>
      </c>
      <c r="J25" s="38" t="n">
        <f aca="false">Z_Value</f>
        <v>1.64485362695147</v>
      </c>
      <c r="K25" s="39" t="n">
        <f aca="false">Inputs!F58</f>
        <v>3</v>
      </c>
      <c r="L25" s="28" t="n">
        <f aca="false">J25*H25*SQRT(K25)</f>
        <v>30.7317466095307</v>
      </c>
      <c r="M25" s="28" t="n">
        <f aca="false">E25*K25</f>
        <v>87.375</v>
      </c>
      <c r="N25" s="19" t="n">
        <f aca="false">M25+L25</f>
        <v>118.106746609531</v>
      </c>
      <c r="O25" s="39" t="n">
        <f aca="false">Inputs!J58</f>
        <v>100</v>
      </c>
      <c r="P25" s="39" t="n">
        <f aca="false">Inputs!K58</f>
        <v>0</v>
      </c>
      <c r="Q25" s="39" t="n">
        <f aca="false">Inputs!M58</f>
        <v>0</v>
      </c>
      <c r="R25" s="19" t="n">
        <f aca="false">O25+P25-Q25</f>
        <v>100</v>
      </c>
      <c r="S25" s="28" t="n">
        <f aca="false">IF(E25&gt;0,R25/E25,0)</f>
        <v>3.43347639484979</v>
      </c>
      <c r="T25" s="28" t="n">
        <f aca="false">IF(E25&gt;0,O25/E25,0)</f>
        <v>3.43347639484979</v>
      </c>
      <c r="U25" s="19" t="n">
        <f aca="false">E25*Weeks_Per_Year</f>
        <v>1514.5</v>
      </c>
      <c r="V25" s="40" t="n">
        <f aca="false">Inputs!H58</f>
        <v>21</v>
      </c>
      <c r="W25" s="40" t="n">
        <f aca="false">Inputs!G58</f>
        <v>45</v>
      </c>
      <c r="X25" s="36" t="n">
        <f aca="false">Holding_Rate</f>
        <v>0.2</v>
      </c>
      <c r="Y25" s="21" t="n">
        <f aca="false">V25*X25</f>
        <v>4.2</v>
      </c>
      <c r="Z25" s="28" t="n">
        <f aca="false">SQRT((2*U25*W25)/Y25)</f>
        <v>180.148748062737</v>
      </c>
      <c r="AA25" s="39" t="n">
        <f aca="false">Inputs!I58</f>
        <v>4</v>
      </c>
      <c r="AB25" s="19" t="n">
        <f aca="false">ROUNDUP(Z25/AA25,0)*AA25</f>
        <v>184</v>
      </c>
      <c r="AC25" s="10" t="str">
        <f aca="false">IF(R25&lt;=N25,"YES","NO")</f>
        <v>YES</v>
      </c>
      <c r="AD25" s="41" t="n">
        <f aca="false">IF(AC25="YES",AB25,0)</f>
        <v>184</v>
      </c>
      <c r="AE25" s="39" t="n">
        <f aca="false">Projection!BQ25</f>
        <v>10</v>
      </c>
      <c r="AF25" s="11" t="str">
        <f aca="false">Projection!BR25</f>
        <v>NO</v>
      </c>
      <c r="AG25" s="12" t="str">
        <f aca="false">IF(AF25="YES","STOCKOUT RISK",IF(AC25="YES","REORDER REQUIRED",IF(S25&gt;Excess_WoC,"EXCESS STOCK","HEALTHY")))</f>
        <v>REORDER REQUIRED</v>
      </c>
      <c r="AH25" s="7" t="str">
        <f aca="false">IF(AG25="STOCKOUT RISK","Projected inventory reaches zero in week "&amp;AE25&amp;", before a new order placed now could arrive (week "&amp;(K25+1)&amp;"). "&amp;IF(AC25="YES","Inventory position of "&amp;FIXED(R25,0)&amp;" units is at or below the reorder point of "&amp;FIXED(N25,0)&amp;", so an order of "&amp;FIXED(AD25,0)&amp;" units is recommended (EOQ "&amp;FIXED(Z25,0)&amp;", case pack "&amp;AA25&amp;"), but it cannot arrive in time: expedite supply or manage the shortfall.","No new order is triggered because inventory position of "&amp;FIXED(R25,0)&amp;" units is above the reorder point of "&amp;FIXED(N25,0)&amp;", but the open PO of "&amp;FIXED(P25,0)&amp;" units is due in week "&amp;Inputs!L58&amp;", which is too late: expedite the open PO."),IF(AG25="REORDER REQUIRED","Inventory position of "&amp;FIXED(R25,0)&amp;" units is "&amp;FIXED(N25-R25,0)&amp;" units below the reorder point of "&amp;FIXED(N25,0)&amp;" units. Replenishment is required. EOQ recommends approximately "&amp;FIXED(Z25,0)&amp;" units, rounded to "&amp;FIXED(AD25,0)&amp;" (case pack "&amp;AA25&amp;").",IF(AG25="EXCESS STOCK","Inventory position represents "&amp;FIXED(S25,1)&amp;" weeks of expected demand, above the "&amp;Excess_WoC&amp;"-week excess-stock threshold. No replenishment is triggered.","Inventory position of "&amp;FIXED(R25,0)&amp;" units is above the reorder point of "&amp;FIXED(N25,0)&amp;" units and covers "&amp;FIXED(S25,1)&amp;" weeks of forecast demand. No order needed now.")))</f>
        <v>Inventory position of 100 units is 18 units below the reorder point of 118 units. Replenishment is required. EOQ recommends approximately 180 units, rounded to 184 (case pack 4).</v>
      </c>
      <c r="AI25" s="42" t="n">
        <f aca="false">O25*V25</f>
        <v>2100</v>
      </c>
      <c r="AJ25" s="43" t="n">
        <f aca="false">IF(AG25="STOCKOUT RISK",1000,IF(AG25="REORDER REQUIRED",2000,IF(AG25="EXCESS STOCK",3000,4000)))+IF(AG25="EXCESS STOCK",500-MIN(S25,499),MAX(MIN(S25,499),-499))</f>
        <v>2003.43347639485</v>
      </c>
      <c r="AK25" s="19" t="n">
        <f aca="false">SUMPRODUCT(--($AJ$7:$AJ$54&lt;AJ25))+SUMPRODUCT(--($AJ$7:AJ25=AJ25))</f>
        <v>14</v>
      </c>
    </row>
    <row r="26" customFormat="false" ht="54" hidden="false" customHeight="true" outlineLevel="0" collapsed="false">
      <c r="A26" s="11" t="str">
        <f aca="false">Forecast!A26</f>
        <v>BTH-010</v>
      </c>
      <c r="B26" s="11" t="str">
        <f aca="false">Forecast!B26</f>
        <v>Microfibre Hair Towel</v>
      </c>
      <c r="C26" s="11" t="str">
        <f aca="false">Inputs!E59</f>
        <v>SUP-02</v>
      </c>
      <c r="D26" s="11" t="str">
        <f aca="false">Forecast!AE26</f>
        <v>MA4</v>
      </c>
      <c r="E26" s="35" t="n">
        <f aca="false">Forecast!AF26</f>
        <v>77.5</v>
      </c>
      <c r="F26" s="36" t="n">
        <f aca="false">Forecast!AG26</f>
        <v>0.106589147286822</v>
      </c>
      <c r="G26" s="37" t="n">
        <f aca="false">Forecast!AH26</f>
        <v>-0.0131782945736434</v>
      </c>
      <c r="H26" s="35" t="n">
        <f aca="false">Forecast!AI26</f>
        <v>10.0749454036673</v>
      </c>
      <c r="I26" s="36" t="n">
        <f aca="false">TSL</f>
        <v>0.95</v>
      </c>
      <c r="J26" s="38" t="n">
        <f aca="false">Z_Value</f>
        <v>1.64485362695147</v>
      </c>
      <c r="K26" s="39" t="n">
        <f aca="false">Inputs!F59</f>
        <v>3</v>
      </c>
      <c r="L26" s="28" t="n">
        <f aca="false">J26*H26*SQRT(K26)</f>
        <v>28.7032177395892</v>
      </c>
      <c r="M26" s="28" t="n">
        <f aca="false">E26*K26</f>
        <v>232.5</v>
      </c>
      <c r="N26" s="19" t="n">
        <f aca="false">M26+L26</f>
        <v>261.203217739589</v>
      </c>
      <c r="O26" s="39" t="n">
        <f aca="false">Inputs!J59</f>
        <v>81</v>
      </c>
      <c r="P26" s="39" t="n">
        <f aca="false">Inputs!K59</f>
        <v>100</v>
      </c>
      <c r="Q26" s="39" t="n">
        <f aca="false">Inputs!M59</f>
        <v>0</v>
      </c>
      <c r="R26" s="19" t="n">
        <f aca="false">O26+P26-Q26</f>
        <v>181</v>
      </c>
      <c r="S26" s="28" t="n">
        <f aca="false">IF(E26&gt;0,R26/E26,0)</f>
        <v>2.33548387096774</v>
      </c>
      <c r="T26" s="28" t="n">
        <f aca="false">IF(E26&gt;0,O26/E26,0)</f>
        <v>1.04516129032258</v>
      </c>
      <c r="U26" s="19" t="n">
        <f aca="false">E26*Weeks_Per_Year</f>
        <v>4030</v>
      </c>
      <c r="V26" s="40" t="n">
        <f aca="false">Inputs!H59</f>
        <v>9</v>
      </c>
      <c r="W26" s="40" t="n">
        <f aca="false">Inputs!G59</f>
        <v>45</v>
      </c>
      <c r="X26" s="36" t="n">
        <f aca="false">Holding_Rate</f>
        <v>0.2</v>
      </c>
      <c r="Y26" s="21" t="n">
        <f aca="false">V26*X26</f>
        <v>1.8</v>
      </c>
      <c r="Z26" s="28" t="n">
        <f aca="false">SQRT((2*U26*W26)/Y26)</f>
        <v>448.887513749269</v>
      </c>
      <c r="AA26" s="39" t="n">
        <f aca="false">Inputs!I59</f>
        <v>20</v>
      </c>
      <c r="AB26" s="19" t="n">
        <f aca="false">ROUNDUP(Z26/AA26,0)*AA26</f>
        <v>460</v>
      </c>
      <c r="AC26" s="10" t="str">
        <f aca="false">IF(R26&lt;=N26,"YES","NO")</f>
        <v>YES</v>
      </c>
      <c r="AD26" s="41" t="n">
        <f aca="false">IF(AC26="YES",AB26,0)</f>
        <v>460</v>
      </c>
      <c r="AE26" s="39" t="n">
        <f aca="false">Projection!BQ26</f>
        <v>2</v>
      </c>
      <c r="AF26" s="11" t="str">
        <f aca="false">Projection!BR26</f>
        <v>YES</v>
      </c>
      <c r="AG26" s="12" t="str">
        <f aca="false">IF(AF26="YES","STOCKOUT RISK",IF(AC26="YES","REORDER REQUIRED",IF(S26&gt;Excess_WoC,"EXCESS STOCK","HEALTHY")))</f>
        <v>STOCKOUT RISK</v>
      </c>
      <c r="AH26" s="7" t="str">
        <f aca="false">IF(AG26="STOCKOUT RISK","Projected inventory reaches zero in week "&amp;AE26&amp;", before a new order placed now could arrive (week "&amp;(K26+1)&amp;"). "&amp;IF(AC26="YES","Inventory position of "&amp;FIXED(R26,0)&amp;" units is at or below the reorder point of "&amp;FIXED(N26,0)&amp;", so an order of "&amp;FIXED(AD26,0)&amp;" units is recommended (EOQ "&amp;FIXED(Z26,0)&amp;", case pack "&amp;AA26&amp;"), but it cannot arrive in time: expedite supply or manage the shortfall.","No new order is triggered because inventory position of "&amp;FIXED(R26,0)&amp;" units is above the reorder point of "&amp;FIXED(N26,0)&amp;", but the open PO of "&amp;FIXED(P26,0)&amp;" units is due in week "&amp;Inputs!L59&amp;", which is too late: expedite the open PO."),IF(AG26="REORDER REQUIRED","Inventory position of "&amp;FIXED(R26,0)&amp;" units is "&amp;FIXED(N26-R26,0)&amp;" units below the reorder point of "&amp;FIXED(N26,0)&amp;" units. Replenishment is required. EOQ recommends approximately "&amp;FIXED(Z26,0)&amp;" units, rounded to "&amp;FIXED(AD26,0)&amp;" (case pack "&amp;AA26&amp;").",IF(AG26="EXCESS STOCK","Inventory position represents "&amp;FIXED(S26,1)&amp;" weeks of expected demand, above the "&amp;Excess_WoC&amp;"-week excess-stock threshold. No replenishment is triggered.","Inventory position of "&amp;FIXED(R26,0)&amp;" units is above the reorder point of "&amp;FIXED(N26,0)&amp;" units and covers "&amp;FIXED(S26,1)&amp;" weeks of forecast demand. No order needed now.")))</f>
        <v>Projected inventory reaches zero in week 2, before a new order placed now could arrive (week 4). Inventory position of 181 units is at or below the reorder point of 261, so an order of 460 units is recommended (EOQ 449, case pack 20), but it cannot arrive in time: expedite supply or manage the shortfall.</v>
      </c>
      <c r="AI26" s="42" t="n">
        <f aca="false">O26*V26</f>
        <v>729</v>
      </c>
      <c r="AJ26" s="43" t="n">
        <f aca="false">IF(AG26="STOCKOUT RISK",1000,IF(AG26="REORDER REQUIRED",2000,IF(AG26="EXCESS STOCK",3000,4000)))+IF(AG26="EXCESS STOCK",500-MIN(S26,499),MAX(MIN(S26,499),-499))</f>
        <v>1002.33548387097</v>
      </c>
      <c r="AK26" s="19" t="n">
        <f aca="false">SUMPRODUCT(--($AJ$7:$AJ$54&lt;AJ26))+SUMPRODUCT(--($AJ$7:AJ26=AJ26))</f>
        <v>5</v>
      </c>
    </row>
    <row r="27" customFormat="false" ht="54" hidden="false" customHeight="true" outlineLevel="0" collapsed="false">
      <c r="A27" s="11" t="str">
        <f aca="false">Forecast!A27</f>
        <v>BED-001</v>
      </c>
      <c r="B27" s="11" t="str">
        <f aca="false">Forecast!B27</f>
        <v>All-Season Duvet 135x200</v>
      </c>
      <c r="C27" s="11" t="str">
        <f aca="false">Inputs!E60</f>
        <v>SUP-03</v>
      </c>
      <c r="D27" s="11" t="str">
        <f aca="false">Forecast!AE27</f>
        <v>MA4</v>
      </c>
      <c r="E27" s="35" t="n">
        <f aca="false">Forecast!AF27</f>
        <v>38</v>
      </c>
      <c r="F27" s="36" t="n">
        <f aca="false">Forecast!AG27</f>
        <v>0.097510874818753</v>
      </c>
      <c r="G27" s="37" t="n">
        <f aca="false">Forecast!AH27</f>
        <v>-0.00108748187530208</v>
      </c>
      <c r="H27" s="35" t="n">
        <f aca="false">Forecast!AI27</f>
        <v>4.99748003994242</v>
      </c>
      <c r="I27" s="36" t="n">
        <f aca="false">TSL</f>
        <v>0.95</v>
      </c>
      <c r="J27" s="38" t="n">
        <f aca="false">Z_Value</f>
        <v>1.64485362695147</v>
      </c>
      <c r="K27" s="39" t="n">
        <f aca="false">Inputs!F60</f>
        <v>4</v>
      </c>
      <c r="L27" s="28" t="n">
        <f aca="false">J27*H27*SQRT(K27)</f>
        <v>16.4402463386338</v>
      </c>
      <c r="M27" s="28" t="n">
        <f aca="false">E27*K27</f>
        <v>152</v>
      </c>
      <c r="N27" s="19" t="n">
        <f aca="false">M27+L27</f>
        <v>168.440246338634</v>
      </c>
      <c r="O27" s="39" t="n">
        <f aca="false">Inputs!J60</f>
        <v>116</v>
      </c>
      <c r="P27" s="39" t="n">
        <f aca="false">Inputs!K60</f>
        <v>156</v>
      </c>
      <c r="Q27" s="39" t="n">
        <f aca="false">Inputs!M60</f>
        <v>0</v>
      </c>
      <c r="R27" s="19" t="n">
        <f aca="false">O27+P27-Q27</f>
        <v>272</v>
      </c>
      <c r="S27" s="28" t="n">
        <f aca="false">IF(E27&gt;0,R27/E27,0)</f>
        <v>7.15789473684211</v>
      </c>
      <c r="T27" s="28" t="n">
        <f aca="false">IF(E27&gt;0,O27/E27,0)</f>
        <v>3.05263157894737</v>
      </c>
      <c r="U27" s="19" t="n">
        <f aca="false">E27*Weeks_Per_Year</f>
        <v>1976</v>
      </c>
      <c r="V27" s="40" t="n">
        <f aca="false">Inputs!H60</f>
        <v>45</v>
      </c>
      <c r="W27" s="40" t="n">
        <f aca="false">Inputs!G60</f>
        <v>55</v>
      </c>
      <c r="X27" s="36" t="n">
        <f aca="false">Holding_Rate</f>
        <v>0.2</v>
      </c>
      <c r="Y27" s="21" t="n">
        <f aca="false">V27*X27</f>
        <v>9</v>
      </c>
      <c r="Z27" s="28" t="n">
        <f aca="false">SQRT((2*U27*W27)/Y27)</f>
        <v>155.406277579482</v>
      </c>
      <c r="AA27" s="39" t="n">
        <f aca="false">Inputs!I60</f>
        <v>4</v>
      </c>
      <c r="AB27" s="19" t="n">
        <f aca="false">ROUNDUP(Z27/AA27,0)*AA27</f>
        <v>156</v>
      </c>
      <c r="AC27" s="10" t="str">
        <f aca="false">IF(R27&lt;=N27,"YES","NO")</f>
        <v>NO</v>
      </c>
      <c r="AD27" s="41" t="n">
        <f aca="false">IF(AC27="YES",AB27,0)</f>
        <v>0</v>
      </c>
      <c r="AE27" s="39" t="n">
        <f aca="false">Projection!BQ27</f>
        <v>8</v>
      </c>
      <c r="AF27" s="11" t="str">
        <f aca="false">Projection!BR27</f>
        <v>NO</v>
      </c>
      <c r="AG27" s="12" t="str">
        <f aca="false">IF(AF27="YES","STOCKOUT RISK",IF(AC27="YES","REORDER REQUIRED",IF(S27&gt;Excess_WoC,"EXCESS STOCK","HEALTHY")))</f>
        <v>HEALTHY</v>
      </c>
      <c r="AH27" s="7" t="str">
        <f aca="false">IF(AG27="STOCKOUT RISK","Projected inventory reaches zero in week "&amp;AE27&amp;", before a new order placed now could arrive (week "&amp;(K27+1)&amp;"). "&amp;IF(AC27="YES","Inventory position of "&amp;FIXED(R27,0)&amp;" units is at or below the reorder point of "&amp;FIXED(N27,0)&amp;", so an order of "&amp;FIXED(AD27,0)&amp;" units is recommended (EOQ "&amp;FIXED(Z27,0)&amp;", case pack "&amp;AA27&amp;"), but it cannot arrive in time: expedite supply or manage the shortfall.","No new order is triggered because inventory position of "&amp;FIXED(R27,0)&amp;" units is above the reorder point of "&amp;FIXED(N27,0)&amp;", but the open PO of "&amp;FIXED(P27,0)&amp;" units is due in week "&amp;Inputs!L60&amp;", which is too late: expedite the open PO."),IF(AG27="REORDER REQUIRED","Inventory position of "&amp;FIXED(R27,0)&amp;" units is "&amp;FIXED(N27-R27,0)&amp;" units below the reorder point of "&amp;FIXED(N27,0)&amp;" units. Replenishment is required. EOQ recommends approximately "&amp;FIXED(Z27,0)&amp;" units, rounded to "&amp;FIXED(AD27,0)&amp;" (case pack "&amp;AA27&amp;").",IF(AG27="EXCESS STOCK","Inventory position represents "&amp;FIXED(S27,1)&amp;" weeks of expected demand, above the "&amp;Excess_WoC&amp;"-week excess-stock threshold. No replenishment is triggered.","Inventory position of "&amp;FIXED(R27,0)&amp;" units is above the reorder point of "&amp;FIXED(N27,0)&amp;" units and covers "&amp;FIXED(S27,1)&amp;" weeks of forecast demand. No order needed now.")))</f>
        <v>Inventory position of 272 units is above the reorder point of 168 units and covers 7.2 weeks of forecast demand. No order needed now.</v>
      </c>
      <c r="AI27" s="42" t="n">
        <f aca="false">O27*V27</f>
        <v>5220</v>
      </c>
      <c r="AJ27" s="43" t="n">
        <f aca="false">IF(AG27="STOCKOUT RISK",1000,IF(AG27="REORDER REQUIRED",2000,IF(AG27="EXCESS STOCK",3000,4000)))+IF(AG27="EXCESS STOCK",500-MIN(S27,499),MAX(MIN(S27,499),-499))</f>
        <v>4007.15789473684</v>
      </c>
      <c r="AK27" s="19" t="n">
        <f aca="false">SUMPRODUCT(--($AJ$7:$AJ$54&lt;AJ27))+SUMPRODUCT(--($AJ$7:AJ27=AJ27))</f>
        <v>38</v>
      </c>
    </row>
    <row r="28" customFormat="false" ht="54" hidden="false" customHeight="true" outlineLevel="0" collapsed="false">
      <c r="A28" s="11" t="str">
        <f aca="false">Forecast!A28</f>
        <v>BED-002</v>
      </c>
      <c r="B28" s="11" t="str">
        <f aca="false">Forecast!B28</f>
        <v>Pillow 80x80 Medium</v>
      </c>
      <c r="C28" s="11" t="str">
        <f aca="false">Inputs!E61</f>
        <v>SUP-03</v>
      </c>
      <c r="D28" s="11" t="str">
        <f aca="false">Forecast!AE28</f>
        <v>MA8</v>
      </c>
      <c r="E28" s="35" t="n">
        <f aca="false">Forecast!AF28</f>
        <v>78.625</v>
      </c>
      <c r="F28" s="36" t="n">
        <f aca="false">Forecast!AG28</f>
        <v>0.105513629195765</v>
      </c>
      <c r="G28" s="37" t="n">
        <f aca="false">Forecast!AH28</f>
        <v>0.00374521288578509</v>
      </c>
      <c r="H28" s="35" t="n">
        <f aca="false">Forecast!AI28</f>
        <v>12.6661364729128</v>
      </c>
      <c r="I28" s="36" t="n">
        <f aca="false">TSL</f>
        <v>0.95</v>
      </c>
      <c r="J28" s="38" t="n">
        <f aca="false">Z_Value</f>
        <v>1.64485362695147</v>
      </c>
      <c r="K28" s="39" t="n">
        <f aca="false">Inputs!F61</f>
        <v>4</v>
      </c>
      <c r="L28" s="28" t="n">
        <f aca="false">J28*H28*SQRT(K28)</f>
        <v>41.667881033866</v>
      </c>
      <c r="M28" s="28" t="n">
        <f aca="false">E28*K28</f>
        <v>314.5</v>
      </c>
      <c r="N28" s="19" t="n">
        <f aca="false">M28+L28</f>
        <v>356.167881033866</v>
      </c>
      <c r="O28" s="39" t="n">
        <f aca="false">Inputs!J61</f>
        <v>350</v>
      </c>
      <c r="P28" s="39" t="n">
        <f aca="false">Inputs!K61</f>
        <v>408</v>
      </c>
      <c r="Q28" s="39" t="n">
        <f aca="false">Inputs!M61</f>
        <v>0</v>
      </c>
      <c r="R28" s="19" t="n">
        <f aca="false">O28+P28-Q28</f>
        <v>758</v>
      </c>
      <c r="S28" s="28" t="n">
        <f aca="false">IF(E28&gt;0,R28/E28,0)</f>
        <v>9.64069952305247</v>
      </c>
      <c r="T28" s="28" t="n">
        <f aca="false">IF(E28&gt;0,O28/E28,0)</f>
        <v>4.45151033386328</v>
      </c>
      <c r="U28" s="19" t="n">
        <f aca="false">E28*Weeks_Per_Year</f>
        <v>4088.5</v>
      </c>
      <c r="V28" s="40" t="n">
        <f aca="false">Inputs!H61</f>
        <v>14</v>
      </c>
      <c r="W28" s="40" t="n">
        <f aca="false">Inputs!G61</f>
        <v>55</v>
      </c>
      <c r="X28" s="36" t="n">
        <f aca="false">Holding_Rate</f>
        <v>0.2</v>
      </c>
      <c r="Y28" s="21" t="n">
        <f aca="false">V28*X28</f>
        <v>2.8</v>
      </c>
      <c r="Z28" s="28" t="n">
        <f aca="false">SQRT((2*U28*W28)/Y28)</f>
        <v>400.773805103506</v>
      </c>
      <c r="AA28" s="39" t="n">
        <f aca="false">Inputs!I61</f>
        <v>8</v>
      </c>
      <c r="AB28" s="19" t="n">
        <f aca="false">ROUNDUP(Z28/AA28,0)*AA28</f>
        <v>408</v>
      </c>
      <c r="AC28" s="10" t="str">
        <f aca="false">IF(R28&lt;=N28,"YES","NO")</f>
        <v>NO</v>
      </c>
      <c r="AD28" s="41" t="n">
        <f aca="false">IF(AC28="YES",AB28,0)</f>
        <v>0</v>
      </c>
      <c r="AE28" s="39" t="n">
        <f aca="false">Projection!BQ28</f>
        <v>10</v>
      </c>
      <c r="AF28" s="11" t="str">
        <f aca="false">Projection!BR28</f>
        <v>NO</v>
      </c>
      <c r="AG28" s="12" t="str">
        <f aca="false">IF(AF28="YES","STOCKOUT RISK",IF(AC28="YES","REORDER REQUIRED",IF(S28&gt;Excess_WoC,"EXCESS STOCK","HEALTHY")))</f>
        <v>HEALTHY</v>
      </c>
      <c r="AH28" s="7" t="str">
        <f aca="false">IF(AG28="STOCKOUT RISK","Projected inventory reaches zero in week "&amp;AE28&amp;", before a new order placed now could arrive (week "&amp;(K28+1)&amp;"). "&amp;IF(AC28="YES","Inventory position of "&amp;FIXED(R28,0)&amp;" units is at or below the reorder point of "&amp;FIXED(N28,0)&amp;", so an order of "&amp;FIXED(AD28,0)&amp;" units is recommended (EOQ "&amp;FIXED(Z28,0)&amp;", case pack "&amp;AA28&amp;"), but it cannot arrive in time: expedite supply or manage the shortfall.","No new order is triggered because inventory position of "&amp;FIXED(R28,0)&amp;" units is above the reorder point of "&amp;FIXED(N28,0)&amp;", but the open PO of "&amp;FIXED(P28,0)&amp;" units is due in week "&amp;Inputs!L61&amp;", which is too late: expedite the open PO."),IF(AG28="REORDER REQUIRED","Inventory position of "&amp;FIXED(R28,0)&amp;" units is "&amp;FIXED(N28-R28,0)&amp;" units below the reorder point of "&amp;FIXED(N28,0)&amp;" units. Replenishment is required. EOQ recommends approximately "&amp;FIXED(Z28,0)&amp;" units, rounded to "&amp;FIXED(AD28,0)&amp;" (case pack "&amp;AA28&amp;").",IF(AG28="EXCESS STOCK","Inventory position represents "&amp;FIXED(S28,1)&amp;" weeks of expected demand, above the "&amp;Excess_WoC&amp;"-week excess-stock threshold. No replenishment is triggered.","Inventory position of "&amp;FIXED(R28,0)&amp;" units is above the reorder point of "&amp;FIXED(N28,0)&amp;" units and covers "&amp;FIXED(S28,1)&amp;" weeks of forecast demand. No order needed now.")))</f>
        <v>Inventory position of 758 units is above the reorder point of 356 units and covers 9.6 weeks of forecast demand. No order needed now.</v>
      </c>
      <c r="AI28" s="42" t="n">
        <f aca="false">O28*V28</f>
        <v>4900</v>
      </c>
      <c r="AJ28" s="43" t="n">
        <f aca="false">IF(AG28="STOCKOUT RISK",1000,IF(AG28="REORDER REQUIRED",2000,IF(AG28="EXCESS STOCK",3000,4000)))+IF(AG28="EXCESS STOCK",500-MIN(S28,499),MAX(MIN(S28,499),-499))</f>
        <v>4009.64069952305</v>
      </c>
      <c r="AK28" s="19" t="n">
        <f aca="false">SUMPRODUCT(--($AJ$7:$AJ$54&lt;AJ28))+SUMPRODUCT(--($AJ$7:AJ28=AJ28))</f>
        <v>46</v>
      </c>
    </row>
    <row r="29" customFormat="false" ht="54" hidden="false" customHeight="true" outlineLevel="0" collapsed="false">
      <c r="A29" s="11" t="str">
        <f aca="false">Forecast!A29</f>
        <v>BED-003</v>
      </c>
      <c r="B29" s="11" t="str">
        <f aca="false">Forecast!B29</f>
        <v>Cotton Bed Linen Set Grey</v>
      </c>
      <c r="C29" s="11" t="str">
        <f aca="false">Inputs!E62</f>
        <v>SUP-03</v>
      </c>
      <c r="D29" s="11" t="str">
        <f aca="false">Forecast!AE29</f>
        <v>MA8</v>
      </c>
      <c r="E29" s="35" t="n">
        <f aca="false">Forecast!AF29</f>
        <v>57.625</v>
      </c>
      <c r="F29" s="36" t="n">
        <f aca="false">Forecast!AG29</f>
        <v>0.350865209471767</v>
      </c>
      <c r="G29" s="37" t="n">
        <f aca="false">Forecast!AH29</f>
        <v>-0.00314207650273224</v>
      </c>
      <c r="H29" s="35" t="n">
        <f aca="false">Forecast!AI29</f>
        <v>22.0817432070015</v>
      </c>
      <c r="I29" s="36" t="n">
        <f aca="false">TSL</f>
        <v>0.95</v>
      </c>
      <c r="J29" s="38" t="n">
        <f aca="false">Z_Value</f>
        <v>1.64485362695147</v>
      </c>
      <c r="K29" s="39" t="n">
        <f aca="false">Inputs!F62</f>
        <v>4</v>
      </c>
      <c r="L29" s="28" t="n">
        <f aca="false">J29*H29*SQRT(K29)</f>
        <v>72.6424708068947</v>
      </c>
      <c r="M29" s="28" t="n">
        <f aca="false">E29*K29</f>
        <v>230.5</v>
      </c>
      <c r="N29" s="19" t="n">
        <f aca="false">M29+L29</f>
        <v>303.142470806895</v>
      </c>
      <c r="O29" s="39" t="n">
        <f aca="false">Inputs!J62</f>
        <v>138</v>
      </c>
      <c r="P29" s="39" t="n">
        <f aca="false">Inputs!K62</f>
        <v>105</v>
      </c>
      <c r="Q29" s="39" t="n">
        <f aca="false">Inputs!M62</f>
        <v>0</v>
      </c>
      <c r="R29" s="19" t="n">
        <f aca="false">O29+P29-Q29</f>
        <v>243</v>
      </c>
      <c r="S29" s="28" t="n">
        <f aca="false">IF(E29&gt;0,R29/E29,0)</f>
        <v>4.21691973969631</v>
      </c>
      <c r="T29" s="28" t="n">
        <f aca="false">IF(E29&gt;0,O29/E29,0)</f>
        <v>2.39479392624729</v>
      </c>
      <c r="U29" s="19" t="n">
        <f aca="false">E29*Weeks_Per_Year</f>
        <v>2996.5</v>
      </c>
      <c r="V29" s="40" t="n">
        <f aca="false">Inputs!H62</f>
        <v>38</v>
      </c>
      <c r="W29" s="40" t="n">
        <f aca="false">Inputs!G62</f>
        <v>55</v>
      </c>
      <c r="X29" s="36" t="n">
        <f aca="false">Holding_Rate</f>
        <v>0.2</v>
      </c>
      <c r="Y29" s="21" t="n">
        <f aca="false">V29*X29</f>
        <v>7.6</v>
      </c>
      <c r="Z29" s="28" t="n">
        <f aca="false">SQRT((2*U29*W29)/Y29)</f>
        <v>208.255599532983</v>
      </c>
      <c r="AA29" s="39" t="n">
        <f aca="false">Inputs!I62</f>
        <v>5</v>
      </c>
      <c r="AB29" s="19" t="n">
        <f aca="false">ROUNDUP(Z29/AA29,0)*AA29</f>
        <v>210</v>
      </c>
      <c r="AC29" s="10" t="str">
        <f aca="false">IF(R29&lt;=N29,"YES","NO")</f>
        <v>YES</v>
      </c>
      <c r="AD29" s="41" t="n">
        <f aca="false">IF(AC29="YES",AB29,0)</f>
        <v>210</v>
      </c>
      <c r="AE29" s="39" t="n">
        <f aca="false">Projection!BQ29</f>
        <v>8</v>
      </c>
      <c r="AF29" s="11" t="str">
        <f aca="false">Projection!BR29</f>
        <v>NO</v>
      </c>
      <c r="AG29" s="12" t="str">
        <f aca="false">IF(AF29="YES","STOCKOUT RISK",IF(AC29="YES","REORDER REQUIRED",IF(S29&gt;Excess_WoC,"EXCESS STOCK","HEALTHY")))</f>
        <v>REORDER REQUIRED</v>
      </c>
      <c r="AH29" s="7" t="str">
        <f aca="false">IF(AG29="STOCKOUT RISK","Projected inventory reaches zero in week "&amp;AE29&amp;", before a new order placed now could arrive (week "&amp;(K29+1)&amp;"). "&amp;IF(AC29="YES","Inventory position of "&amp;FIXED(R29,0)&amp;" units is at or below the reorder point of "&amp;FIXED(N29,0)&amp;", so an order of "&amp;FIXED(AD29,0)&amp;" units is recommended (EOQ "&amp;FIXED(Z29,0)&amp;", case pack "&amp;AA29&amp;"), but it cannot arrive in time: expedite supply or manage the shortfall.","No new order is triggered because inventory position of "&amp;FIXED(R29,0)&amp;" units is above the reorder point of "&amp;FIXED(N29,0)&amp;", but the open PO of "&amp;FIXED(P29,0)&amp;" units is due in week "&amp;Inputs!L62&amp;", which is too late: expedite the open PO."),IF(AG29="REORDER REQUIRED","Inventory position of "&amp;FIXED(R29,0)&amp;" units is "&amp;FIXED(N29-R29,0)&amp;" units below the reorder point of "&amp;FIXED(N29,0)&amp;" units. Replenishment is required. EOQ recommends approximately "&amp;FIXED(Z29,0)&amp;" units, rounded to "&amp;FIXED(AD29,0)&amp;" (case pack "&amp;AA29&amp;").",IF(AG29="EXCESS STOCK","Inventory position represents "&amp;FIXED(S29,1)&amp;" weeks of expected demand, above the "&amp;Excess_WoC&amp;"-week excess-stock threshold. No replenishment is triggered.","Inventory position of "&amp;FIXED(R29,0)&amp;" units is above the reorder point of "&amp;FIXED(N29,0)&amp;" units and covers "&amp;FIXED(S29,1)&amp;" weeks of forecast demand. No order needed now.")))</f>
        <v>Inventory position of 243 units is 60 units below the reorder point of 303 units. Replenishment is required. EOQ recommends approximately 208 units, rounded to 210 (case pack 5).</v>
      </c>
      <c r="AI29" s="42" t="n">
        <f aca="false">O29*V29</f>
        <v>5244</v>
      </c>
      <c r="AJ29" s="43" t="n">
        <f aca="false">IF(AG29="STOCKOUT RISK",1000,IF(AG29="REORDER REQUIRED",2000,IF(AG29="EXCESS STOCK",3000,4000)))+IF(AG29="EXCESS STOCK",500-MIN(S29,499),MAX(MIN(S29,499),-499))</f>
        <v>2004.2169197397</v>
      </c>
      <c r="AK29" s="19" t="n">
        <f aca="false">SUMPRODUCT(--($AJ$7:$AJ$54&lt;AJ29))+SUMPRODUCT(--($AJ$7:AJ29=AJ29))</f>
        <v>15</v>
      </c>
    </row>
    <row r="30" customFormat="false" ht="54" hidden="false" customHeight="true" outlineLevel="0" collapsed="false">
      <c r="A30" s="11" t="str">
        <f aca="false">Forecast!A30</f>
        <v>BED-004</v>
      </c>
      <c r="B30" s="11" t="str">
        <f aca="false">Forecast!B30</f>
        <v>Fitted Sheet 180x200</v>
      </c>
      <c r="C30" s="11" t="str">
        <f aca="false">Inputs!E63</f>
        <v>SUP-03</v>
      </c>
      <c r="D30" s="11" t="str">
        <f aca="false">Forecast!AE30</f>
        <v>MA4</v>
      </c>
      <c r="E30" s="35" t="n">
        <f aca="false">Forecast!AF30</f>
        <v>81.25</v>
      </c>
      <c r="F30" s="36" t="n">
        <f aca="false">Forecast!AG30</f>
        <v>0.123158046807281</v>
      </c>
      <c r="G30" s="37" t="n">
        <f aca="false">Forecast!AH30</f>
        <v>-0.013363189829529</v>
      </c>
      <c r="H30" s="35" t="n">
        <f aca="false">Forecast!AI30</f>
        <v>10.5788835938395</v>
      </c>
      <c r="I30" s="36" t="n">
        <f aca="false">TSL</f>
        <v>0.95</v>
      </c>
      <c r="J30" s="38" t="n">
        <f aca="false">Z_Value</f>
        <v>1.64485362695147</v>
      </c>
      <c r="K30" s="39" t="n">
        <f aca="false">Inputs!F63</f>
        <v>4</v>
      </c>
      <c r="L30" s="28" t="n">
        <f aca="false">J30*H30*SQRT(K30)</f>
        <v>34.8014300968486</v>
      </c>
      <c r="M30" s="28" t="n">
        <f aca="false">E30*K30</f>
        <v>325</v>
      </c>
      <c r="N30" s="19" t="n">
        <f aca="false">M30+L30</f>
        <v>359.801430096849</v>
      </c>
      <c r="O30" s="39" t="n">
        <f aca="false">Inputs!J63</f>
        <v>0</v>
      </c>
      <c r="P30" s="39" t="n">
        <f aca="false">Inputs!K63</f>
        <v>0</v>
      </c>
      <c r="Q30" s="39" t="n">
        <f aca="false">Inputs!M63</f>
        <v>35</v>
      </c>
      <c r="R30" s="19" t="n">
        <f aca="false">O30+P30-Q30</f>
        <v>-35</v>
      </c>
      <c r="S30" s="28" t="n">
        <f aca="false">IF(E30&gt;0,R30/E30,0)</f>
        <v>-0.430769230769231</v>
      </c>
      <c r="T30" s="28" t="n">
        <f aca="false">IF(E30&gt;0,O30/E30,0)</f>
        <v>0</v>
      </c>
      <c r="U30" s="19" t="n">
        <f aca="false">E30*Weeks_Per_Year</f>
        <v>4225</v>
      </c>
      <c r="V30" s="40" t="n">
        <f aca="false">Inputs!H63</f>
        <v>19</v>
      </c>
      <c r="W30" s="40" t="n">
        <f aca="false">Inputs!G63</f>
        <v>55</v>
      </c>
      <c r="X30" s="36" t="n">
        <f aca="false">Holding_Rate</f>
        <v>0.2</v>
      </c>
      <c r="Y30" s="21" t="n">
        <f aca="false">V30*X30</f>
        <v>3.8</v>
      </c>
      <c r="Z30" s="28" t="n">
        <f aca="false">SQRT((2*U30*W30)/Y30)</f>
        <v>349.717931451831</v>
      </c>
      <c r="AA30" s="39" t="n">
        <f aca="false">Inputs!I63</f>
        <v>10</v>
      </c>
      <c r="AB30" s="19" t="n">
        <f aca="false">ROUNDUP(Z30/AA30,0)*AA30</f>
        <v>350</v>
      </c>
      <c r="AC30" s="10" t="str">
        <f aca="false">IF(R30&lt;=N30,"YES","NO")</f>
        <v>YES</v>
      </c>
      <c r="AD30" s="41" t="n">
        <f aca="false">IF(AC30="YES",AB30,0)</f>
        <v>350</v>
      </c>
      <c r="AE30" s="39" t="n">
        <f aca="false">Projection!BQ30</f>
        <v>1</v>
      </c>
      <c r="AF30" s="11" t="str">
        <f aca="false">Projection!BR30</f>
        <v>YES</v>
      </c>
      <c r="AG30" s="12" t="str">
        <f aca="false">IF(AF30="YES","STOCKOUT RISK",IF(AC30="YES","REORDER REQUIRED",IF(S30&gt;Excess_WoC,"EXCESS STOCK","HEALTHY")))</f>
        <v>STOCKOUT RISK</v>
      </c>
      <c r="AH30" s="7" t="str">
        <f aca="false">IF(AG30="STOCKOUT RISK","Projected inventory reaches zero in week "&amp;AE30&amp;", before a new order placed now could arrive (week "&amp;(K30+1)&amp;"). "&amp;IF(AC30="YES","Inventory position of "&amp;FIXED(R30,0)&amp;" units is at or below the reorder point of "&amp;FIXED(N30,0)&amp;", so an order of "&amp;FIXED(AD30,0)&amp;" units is recommended (EOQ "&amp;FIXED(Z30,0)&amp;", case pack "&amp;AA30&amp;"), but it cannot arrive in time: expedite supply or manage the shortfall.","No new order is triggered because inventory position of "&amp;FIXED(R30,0)&amp;" units is above the reorder point of "&amp;FIXED(N30,0)&amp;", but the open PO of "&amp;FIXED(P30,0)&amp;" units is due in week "&amp;Inputs!L63&amp;", which is too late: expedite the open PO."),IF(AG30="REORDER REQUIRED","Inventory position of "&amp;FIXED(R30,0)&amp;" units is "&amp;FIXED(N30-R30,0)&amp;" units below the reorder point of "&amp;FIXED(N30,0)&amp;" units. Replenishment is required. EOQ recommends approximately "&amp;FIXED(Z30,0)&amp;" units, rounded to "&amp;FIXED(AD30,0)&amp;" (case pack "&amp;AA30&amp;").",IF(AG30="EXCESS STOCK","Inventory position represents "&amp;FIXED(S30,1)&amp;" weeks of expected demand, above the "&amp;Excess_WoC&amp;"-week excess-stock threshold. No replenishment is triggered.","Inventory position of "&amp;FIXED(R30,0)&amp;" units is above the reorder point of "&amp;FIXED(N30,0)&amp;" units and covers "&amp;FIXED(S30,1)&amp;" weeks of forecast demand. No order needed now.")))</f>
        <v>Projected inventory reaches zero in week 1, before a new order placed now could arrive (week 5). Inventory position of -35 units is at or below the reorder point of 360, so an order of 350 units is recommended (EOQ 350, case pack 10), but it cannot arrive in time: expedite supply or manage the shortfall.</v>
      </c>
      <c r="AI30" s="42" t="n">
        <f aca="false">O30*V30</f>
        <v>0</v>
      </c>
      <c r="AJ30" s="43" t="n">
        <f aca="false">IF(AG30="STOCKOUT RISK",1000,IF(AG30="REORDER REQUIRED",2000,IF(AG30="EXCESS STOCK",3000,4000)))+IF(AG30="EXCESS STOCK",500-MIN(S30,499),MAX(MIN(S30,499),-499))</f>
        <v>999.569230769231</v>
      </c>
      <c r="AK30" s="19" t="n">
        <f aca="false">SUMPRODUCT(--($AJ$7:$AJ$54&lt;AJ30))+SUMPRODUCT(--($AJ$7:AJ30=AJ30))</f>
        <v>2</v>
      </c>
    </row>
    <row r="31" customFormat="false" ht="54" hidden="false" customHeight="true" outlineLevel="0" collapsed="false">
      <c r="A31" s="11" t="str">
        <f aca="false">Forecast!A31</f>
        <v>BED-005</v>
      </c>
      <c r="B31" s="11" t="str">
        <f aca="false">Forecast!B31</f>
        <v>Weighted Blanket 7kg</v>
      </c>
      <c r="C31" s="11" t="str">
        <f aca="false">Inputs!E64</f>
        <v>SUP-03</v>
      </c>
      <c r="D31" s="11" t="str">
        <f aca="false">Forecast!AE31</f>
        <v>MA4</v>
      </c>
      <c r="E31" s="35" t="n">
        <f aca="false">Forecast!AF31</f>
        <v>11.75</v>
      </c>
      <c r="F31" s="36" t="n">
        <f aca="false">Forecast!AG31</f>
        <v>0.133354755784062</v>
      </c>
      <c r="G31" s="37" t="n">
        <f aca="false">Forecast!AH31</f>
        <v>0.0196015424164524</v>
      </c>
      <c r="H31" s="35" t="n">
        <f aca="false">Forecast!AI31</f>
        <v>2.39828428964054</v>
      </c>
      <c r="I31" s="36" t="n">
        <f aca="false">TSL</f>
        <v>0.95</v>
      </c>
      <c r="J31" s="38" t="n">
        <f aca="false">Z_Value</f>
        <v>1.64485362695147</v>
      </c>
      <c r="K31" s="39" t="n">
        <f aca="false">Inputs!F64</f>
        <v>4</v>
      </c>
      <c r="L31" s="28" t="n">
        <f aca="false">J31*H31*SQRT(K31)</f>
        <v>7.88965322455197</v>
      </c>
      <c r="M31" s="28" t="n">
        <f aca="false">E31*K31</f>
        <v>47</v>
      </c>
      <c r="N31" s="19" t="n">
        <f aca="false">M31+L31</f>
        <v>54.889653224552</v>
      </c>
      <c r="O31" s="39" t="n">
        <f aca="false">Inputs!J64</f>
        <v>253</v>
      </c>
      <c r="P31" s="39" t="n">
        <f aca="false">Inputs!K64</f>
        <v>0</v>
      </c>
      <c r="Q31" s="39" t="n">
        <f aca="false">Inputs!M64</f>
        <v>0</v>
      </c>
      <c r="R31" s="19" t="n">
        <f aca="false">O31+P31-Q31</f>
        <v>253</v>
      </c>
      <c r="S31" s="28" t="n">
        <f aca="false">IF(E31&gt;0,R31/E31,0)</f>
        <v>21.531914893617</v>
      </c>
      <c r="T31" s="28" t="n">
        <f aca="false">IF(E31&gt;0,O31/E31,0)</f>
        <v>21.531914893617</v>
      </c>
      <c r="U31" s="19" t="n">
        <f aca="false">E31*Weeks_Per_Year</f>
        <v>611</v>
      </c>
      <c r="V31" s="40" t="n">
        <f aca="false">Inputs!H64</f>
        <v>65</v>
      </c>
      <c r="W31" s="40" t="n">
        <f aca="false">Inputs!G64</f>
        <v>55</v>
      </c>
      <c r="X31" s="36" t="n">
        <f aca="false">Holding_Rate</f>
        <v>0.2</v>
      </c>
      <c r="Y31" s="21" t="n">
        <f aca="false">V31*X31</f>
        <v>13</v>
      </c>
      <c r="Z31" s="28" t="n">
        <f aca="false">SQRT((2*U31*W31)/Y31)</f>
        <v>71.9027120489902</v>
      </c>
      <c r="AA31" s="39" t="n">
        <f aca="false">Inputs!I64</f>
        <v>2</v>
      </c>
      <c r="AB31" s="19" t="n">
        <f aca="false">ROUNDUP(Z31/AA31,0)*AA31</f>
        <v>72</v>
      </c>
      <c r="AC31" s="10" t="str">
        <f aca="false">IF(R31&lt;=N31,"YES","NO")</f>
        <v>NO</v>
      </c>
      <c r="AD31" s="41" t="n">
        <f aca="false">IF(AC31="YES",AB31,0)</f>
        <v>0</v>
      </c>
      <c r="AE31" s="39" t="str">
        <f aca="false">Projection!BQ31</f>
        <v>None</v>
      </c>
      <c r="AF31" s="11" t="str">
        <f aca="false">Projection!BR31</f>
        <v>NO</v>
      </c>
      <c r="AG31" s="12" t="str">
        <f aca="false">IF(AF31="YES","STOCKOUT RISK",IF(AC31="YES","REORDER REQUIRED",IF(S31&gt;Excess_WoC,"EXCESS STOCK","HEALTHY")))</f>
        <v>EXCESS STOCK</v>
      </c>
      <c r="AH31" s="7" t="str">
        <f aca="false">IF(AG31="STOCKOUT RISK","Projected inventory reaches zero in week "&amp;AE31&amp;", before a new order placed now could arrive (week "&amp;(K31+1)&amp;"). "&amp;IF(AC31="YES","Inventory position of "&amp;FIXED(R31,0)&amp;" units is at or below the reorder point of "&amp;FIXED(N31,0)&amp;", so an order of "&amp;FIXED(AD31,0)&amp;" units is recommended (EOQ "&amp;FIXED(Z31,0)&amp;", case pack "&amp;AA31&amp;"), but it cannot arrive in time: expedite supply or manage the shortfall.","No new order is triggered because inventory position of "&amp;FIXED(R31,0)&amp;" units is above the reorder point of "&amp;FIXED(N31,0)&amp;", but the open PO of "&amp;FIXED(P31,0)&amp;" units is due in week "&amp;Inputs!L64&amp;", which is too late: expedite the open PO."),IF(AG31="REORDER REQUIRED","Inventory position of "&amp;FIXED(R31,0)&amp;" units is "&amp;FIXED(N31-R31,0)&amp;" units below the reorder point of "&amp;FIXED(N31,0)&amp;" units. Replenishment is required. EOQ recommends approximately "&amp;FIXED(Z31,0)&amp;" units, rounded to "&amp;FIXED(AD31,0)&amp;" (case pack "&amp;AA31&amp;").",IF(AG31="EXCESS STOCK","Inventory position represents "&amp;FIXED(S31,1)&amp;" weeks of expected demand, above the "&amp;Excess_WoC&amp;"-week excess-stock threshold. No replenishment is triggered.","Inventory position of "&amp;FIXED(R31,0)&amp;" units is above the reorder point of "&amp;FIXED(N31,0)&amp;" units and covers "&amp;FIXED(S31,1)&amp;" weeks of forecast demand. No order needed now.")))</f>
        <v>Inventory position represents 21.5 weeks of expected demand, above the 12-week excess-stock threshold. No replenishment is triggered.</v>
      </c>
      <c r="AI31" s="42" t="n">
        <f aca="false">O31*V31</f>
        <v>16445</v>
      </c>
      <c r="AJ31" s="43" t="n">
        <f aca="false">IF(AG31="STOCKOUT RISK",1000,IF(AG31="REORDER REQUIRED",2000,IF(AG31="EXCESS STOCK",3000,4000)))+IF(AG31="EXCESS STOCK",500-MIN(S31,499),MAX(MIN(S31,499),-499))</f>
        <v>3478.46808510638</v>
      </c>
      <c r="AK31" s="19" t="n">
        <f aca="false">SUMPRODUCT(--($AJ$7:$AJ$54&lt;AJ31))+SUMPRODUCT(--($AJ$7:AJ31=AJ31))</f>
        <v>18</v>
      </c>
    </row>
    <row r="32" customFormat="false" ht="54" hidden="false" customHeight="true" outlineLevel="0" collapsed="false">
      <c r="A32" s="11" t="str">
        <f aca="false">Forecast!A32</f>
        <v>BED-006</v>
      </c>
      <c r="B32" s="11" t="str">
        <f aca="false">Forecast!B32</f>
        <v>Mattress Protector 160x200</v>
      </c>
      <c r="C32" s="11" t="str">
        <f aca="false">Inputs!E65</f>
        <v>SUP-03</v>
      </c>
      <c r="D32" s="11" t="str">
        <f aca="false">Forecast!AE32</f>
        <v>MA4</v>
      </c>
      <c r="E32" s="35" t="n">
        <f aca="false">Forecast!AF32</f>
        <v>31.5</v>
      </c>
      <c r="F32" s="36" t="n">
        <f aca="false">Forecast!AG32</f>
        <v>0.110161290322581</v>
      </c>
      <c r="G32" s="37" t="n">
        <f aca="false">Forecast!AH32</f>
        <v>-0.005</v>
      </c>
      <c r="H32" s="35" t="n">
        <f aca="false">Forecast!AI32</f>
        <v>3.93957410837193</v>
      </c>
      <c r="I32" s="36" t="n">
        <f aca="false">TSL</f>
        <v>0.95</v>
      </c>
      <c r="J32" s="38" t="n">
        <f aca="false">Z_Value</f>
        <v>1.64485362695147</v>
      </c>
      <c r="K32" s="39" t="n">
        <f aca="false">Inputs!F65</f>
        <v>4</v>
      </c>
      <c r="L32" s="28" t="n">
        <f aca="false">J32*H32*SQRT(K32)</f>
        <v>12.9600455215993</v>
      </c>
      <c r="M32" s="28" t="n">
        <f aca="false">E32*K32</f>
        <v>126</v>
      </c>
      <c r="N32" s="19" t="n">
        <f aca="false">M32+L32</f>
        <v>138.960045521599</v>
      </c>
      <c r="O32" s="39" t="n">
        <f aca="false">Inputs!J65</f>
        <v>74</v>
      </c>
      <c r="P32" s="39" t="n">
        <f aca="false">Inputs!K65</f>
        <v>180</v>
      </c>
      <c r="Q32" s="39" t="n">
        <f aca="false">Inputs!M65</f>
        <v>0</v>
      </c>
      <c r="R32" s="19" t="n">
        <f aca="false">O32+P32-Q32</f>
        <v>254</v>
      </c>
      <c r="S32" s="28" t="n">
        <f aca="false">IF(E32&gt;0,R32/E32,0)</f>
        <v>8.06349206349206</v>
      </c>
      <c r="T32" s="28" t="n">
        <f aca="false">IF(E32&gt;0,O32/E32,0)</f>
        <v>2.34920634920635</v>
      </c>
      <c r="U32" s="19" t="n">
        <f aca="false">E32*Weeks_Per_Year</f>
        <v>1638</v>
      </c>
      <c r="V32" s="40" t="n">
        <f aca="false">Inputs!H65</f>
        <v>29</v>
      </c>
      <c r="W32" s="40" t="n">
        <f aca="false">Inputs!G65</f>
        <v>55</v>
      </c>
      <c r="X32" s="36" t="n">
        <f aca="false">Holding_Rate</f>
        <v>0.2</v>
      </c>
      <c r="Y32" s="21" t="n">
        <f aca="false">V32*X32</f>
        <v>5.8</v>
      </c>
      <c r="Z32" s="28" t="n">
        <f aca="false">SQRT((2*U32*W32)/Y32)</f>
        <v>176.254126877584</v>
      </c>
      <c r="AA32" s="39" t="n">
        <f aca="false">Inputs!I65</f>
        <v>6</v>
      </c>
      <c r="AB32" s="19" t="n">
        <f aca="false">ROUNDUP(Z32/AA32,0)*AA32</f>
        <v>180</v>
      </c>
      <c r="AC32" s="10" t="str">
        <f aca="false">IF(R32&lt;=N32,"YES","NO")</f>
        <v>NO</v>
      </c>
      <c r="AD32" s="41" t="n">
        <f aca="false">IF(AC32="YES",AB32,0)</f>
        <v>0</v>
      </c>
      <c r="AE32" s="39" t="n">
        <f aca="false">Projection!BQ32</f>
        <v>9</v>
      </c>
      <c r="AF32" s="11" t="str">
        <f aca="false">Projection!BR32</f>
        <v>NO</v>
      </c>
      <c r="AG32" s="12" t="str">
        <f aca="false">IF(AF32="YES","STOCKOUT RISK",IF(AC32="YES","REORDER REQUIRED",IF(S32&gt;Excess_WoC,"EXCESS STOCK","HEALTHY")))</f>
        <v>HEALTHY</v>
      </c>
      <c r="AH32" s="7" t="str">
        <f aca="false">IF(AG32="STOCKOUT RISK","Projected inventory reaches zero in week "&amp;AE32&amp;", before a new order placed now could arrive (week "&amp;(K32+1)&amp;"). "&amp;IF(AC32="YES","Inventory position of "&amp;FIXED(R32,0)&amp;" units is at or below the reorder point of "&amp;FIXED(N32,0)&amp;", so an order of "&amp;FIXED(AD32,0)&amp;" units is recommended (EOQ "&amp;FIXED(Z32,0)&amp;", case pack "&amp;AA32&amp;"), but it cannot arrive in time: expedite supply or manage the shortfall.","No new order is triggered because inventory position of "&amp;FIXED(R32,0)&amp;" units is above the reorder point of "&amp;FIXED(N32,0)&amp;", but the open PO of "&amp;FIXED(P32,0)&amp;" units is due in week "&amp;Inputs!L65&amp;", which is too late: expedite the open PO."),IF(AG32="REORDER REQUIRED","Inventory position of "&amp;FIXED(R32,0)&amp;" units is "&amp;FIXED(N32-R32,0)&amp;" units below the reorder point of "&amp;FIXED(N32,0)&amp;" units. Replenishment is required. EOQ recommends approximately "&amp;FIXED(Z32,0)&amp;" units, rounded to "&amp;FIXED(AD32,0)&amp;" (case pack "&amp;AA32&amp;").",IF(AG32="EXCESS STOCK","Inventory position represents "&amp;FIXED(S32,1)&amp;" weeks of expected demand, above the "&amp;Excess_WoC&amp;"-week excess-stock threshold. No replenishment is triggered.","Inventory position of "&amp;FIXED(R32,0)&amp;" units is above the reorder point of "&amp;FIXED(N32,0)&amp;" units and covers "&amp;FIXED(S32,1)&amp;" weeks of forecast demand. No order needed now.")))</f>
        <v>Inventory position of 254 units is above the reorder point of 139 units and covers 8.1 weeks of forecast demand. No order needed now.</v>
      </c>
      <c r="AI32" s="42" t="n">
        <f aca="false">O32*V32</f>
        <v>2146</v>
      </c>
      <c r="AJ32" s="43" t="n">
        <f aca="false">IF(AG32="STOCKOUT RISK",1000,IF(AG32="REORDER REQUIRED",2000,IF(AG32="EXCESS STOCK",3000,4000)))+IF(AG32="EXCESS STOCK",500-MIN(S32,499),MAX(MIN(S32,499),-499))</f>
        <v>4008.06349206349</v>
      </c>
      <c r="AK32" s="19" t="n">
        <f aca="false">SUMPRODUCT(--($AJ$7:$AJ$54&lt;AJ32))+SUMPRODUCT(--($AJ$7:AJ32=AJ32))</f>
        <v>40</v>
      </c>
    </row>
    <row r="33" customFormat="false" ht="54" hidden="false" customHeight="true" outlineLevel="0" collapsed="false">
      <c r="A33" s="11" t="str">
        <f aca="false">Forecast!A33</f>
        <v>BED-007</v>
      </c>
      <c r="B33" s="11" t="str">
        <f aca="false">Forecast!B33</f>
        <v>Linen Throw Blanket</v>
      </c>
      <c r="C33" s="11" t="str">
        <f aca="false">Inputs!E66</f>
        <v>SUP-03</v>
      </c>
      <c r="D33" s="11" t="str">
        <f aca="false">Forecast!AE33</f>
        <v>MA8</v>
      </c>
      <c r="E33" s="35" t="n">
        <f aca="false">Forecast!AF33</f>
        <v>28.875</v>
      </c>
      <c r="F33" s="36" t="n">
        <f aca="false">Forecast!AG33</f>
        <v>0.229810393258427</v>
      </c>
      <c r="G33" s="37" t="n">
        <f aca="false">Forecast!AH33</f>
        <v>-0.0233497191011236</v>
      </c>
      <c r="H33" s="35" t="n">
        <f aca="false">Forecast!AI33</f>
        <v>7.96636825599001</v>
      </c>
      <c r="I33" s="36" t="n">
        <f aca="false">TSL</f>
        <v>0.95</v>
      </c>
      <c r="J33" s="38" t="n">
        <f aca="false">Z_Value</f>
        <v>1.64485362695147</v>
      </c>
      <c r="K33" s="39" t="n">
        <f aca="false">Inputs!F66</f>
        <v>4</v>
      </c>
      <c r="L33" s="28" t="n">
        <f aca="false">J33*H33*SQRT(K33)</f>
        <v>26.2070194389925</v>
      </c>
      <c r="M33" s="28" t="n">
        <f aca="false">E33*K33</f>
        <v>115.5</v>
      </c>
      <c r="N33" s="19" t="n">
        <f aca="false">M33+L33</f>
        <v>141.707019438992</v>
      </c>
      <c r="O33" s="39" t="n">
        <f aca="false">Inputs!J66</f>
        <v>84</v>
      </c>
      <c r="P33" s="39" t="n">
        <f aca="false">Inputs!K66</f>
        <v>160</v>
      </c>
      <c r="Q33" s="39" t="n">
        <f aca="false">Inputs!M66</f>
        <v>0</v>
      </c>
      <c r="R33" s="19" t="n">
        <f aca="false">O33+P33-Q33</f>
        <v>244</v>
      </c>
      <c r="S33" s="28" t="n">
        <f aca="false">IF(E33&gt;0,R33/E33,0)</f>
        <v>8.45021645021645</v>
      </c>
      <c r="T33" s="28" t="n">
        <f aca="false">IF(E33&gt;0,O33/E33,0)</f>
        <v>2.90909090909091</v>
      </c>
      <c r="U33" s="19" t="n">
        <f aca="false">E33*Weeks_Per_Year</f>
        <v>1501.5</v>
      </c>
      <c r="V33" s="40" t="n">
        <f aca="false">Inputs!H66</f>
        <v>34</v>
      </c>
      <c r="W33" s="40" t="n">
        <f aca="false">Inputs!G66</f>
        <v>55</v>
      </c>
      <c r="X33" s="36" t="n">
        <f aca="false">Holding_Rate</f>
        <v>0.2</v>
      </c>
      <c r="Y33" s="21" t="n">
        <f aca="false">V33*X33</f>
        <v>6.8</v>
      </c>
      <c r="Z33" s="28" t="n">
        <f aca="false">SQRT((2*U33*W33)/Y33)</f>
        <v>155.8491918113</v>
      </c>
      <c r="AA33" s="39" t="n">
        <f aca="false">Inputs!I66</f>
        <v>5</v>
      </c>
      <c r="AB33" s="19" t="n">
        <f aca="false">ROUNDUP(Z33/AA33,0)*AA33</f>
        <v>160</v>
      </c>
      <c r="AC33" s="10" t="str">
        <f aca="false">IF(R33&lt;=N33,"YES","NO")</f>
        <v>NO</v>
      </c>
      <c r="AD33" s="41" t="n">
        <f aca="false">IF(AC33="YES",AB33,0)</f>
        <v>0</v>
      </c>
      <c r="AE33" s="39" t="n">
        <f aca="false">Projection!BQ33</f>
        <v>9</v>
      </c>
      <c r="AF33" s="11" t="str">
        <f aca="false">Projection!BR33</f>
        <v>NO</v>
      </c>
      <c r="AG33" s="12" t="str">
        <f aca="false">IF(AF33="YES","STOCKOUT RISK",IF(AC33="YES","REORDER REQUIRED",IF(S33&gt;Excess_WoC,"EXCESS STOCK","HEALTHY")))</f>
        <v>HEALTHY</v>
      </c>
      <c r="AH33" s="7" t="str">
        <f aca="false">IF(AG33="STOCKOUT RISK","Projected inventory reaches zero in week "&amp;AE33&amp;", before a new order placed now could arrive (week "&amp;(K33+1)&amp;"). "&amp;IF(AC33="YES","Inventory position of "&amp;FIXED(R33,0)&amp;" units is at or below the reorder point of "&amp;FIXED(N33,0)&amp;", so an order of "&amp;FIXED(AD33,0)&amp;" units is recommended (EOQ "&amp;FIXED(Z33,0)&amp;", case pack "&amp;AA33&amp;"), but it cannot arrive in time: expedite supply or manage the shortfall.","No new order is triggered because inventory position of "&amp;FIXED(R33,0)&amp;" units is above the reorder point of "&amp;FIXED(N33,0)&amp;", but the open PO of "&amp;FIXED(P33,0)&amp;" units is due in week "&amp;Inputs!L66&amp;", which is too late: expedite the open PO."),IF(AG33="REORDER REQUIRED","Inventory position of "&amp;FIXED(R33,0)&amp;" units is "&amp;FIXED(N33-R33,0)&amp;" units below the reorder point of "&amp;FIXED(N33,0)&amp;" units. Replenishment is required. EOQ recommends approximately "&amp;FIXED(Z33,0)&amp;" units, rounded to "&amp;FIXED(AD33,0)&amp;" (case pack "&amp;AA33&amp;").",IF(AG33="EXCESS STOCK","Inventory position represents "&amp;FIXED(S33,1)&amp;" weeks of expected demand, above the "&amp;Excess_WoC&amp;"-week excess-stock threshold. No replenishment is triggered.","Inventory position of "&amp;FIXED(R33,0)&amp;" units is above the reorder point of "&amp;FIXED(N33,0)&amp;" units and covers "&amp;FIXED(S33,1)&amp;" weeks of forecast demand. No order needed now.")))</f>
        <v>Inventory position of 244 units is above the reorder point of 142 units and covers 8.5 weeks of forecast demand. No order needed now.</v>
      </c>
      <c r="AI33" s="42" t="n">
        <f aca="false">O33*V33</f>
        <v>2856</v>
      </c>
      <c r="AJ33" s="43" t="n">
        <f aca="false">IF(AG33="STOCKOUT RISK",1000,IF(AG33="REORDER REQUIRED",2000,IF(AG33="EXCESS STOCK",3000,4000)))+IF(AG33="EXCESS STOCK",500-MIN(S33,499),MAX(MIN(S33,499),-499))</f>
        <v>4008.45021645022</v>
      </c>
      <c r="AK33" s="19" t="n">
        <f aca="false">SUMPRODUCT(--($AJ$7:$AJ$54&lt;AJ33))+SUMPRODUCT(--($AJ$7:AJ33=AJ33))</f>
        <v>41</v>
      </c>
    </row>
    <row r="34" customFormat="false" ht="54" hidden="false" customHeight="true" outlineLevel="0" collapsed="false">
      <c r="A34" s="11" t="str">
        <f aca="false">Forecast!A34</f>
        <v>BED-008</v>
      </c>
      <c r="B34" s="11" t="str">
        <f aca="false">Forecast!B34</f>
        <v>Silk Pillowcase</v>
      </c>
      <c r="C34" s="11" t="str">
        <f aca="false">Inputs!E67</f>
        <v>SUP-03</v>
      </c>
      <c r="D34" s="11" t="str">
        <f aca="false">Forecast!AE34</f>
        <v>MA4</v>
      </c>
      <c r="E34" s="35" t="n">
        <f aca="false">Forecast!AF34</f>
        <v>6.75</v>
      </c>
      <c r="F34" s="36" t="n">
        <f aca="false">Forecast!AG34</f>
        <v>0.287209302325581</v>
      </c>
      <c r="G34" s="37" t="n">
        <f aca="false">Forecast!AH34</f>
        <v>-0.0104651162790698</v>
      </c>
      <c r="H34" s="35" t="n">
        <f aca="false">Forecast!AI34</f>
        <v>3.01787347843229</v>
      </c>
      <c r="I34" s="36" t="n">
        <f aca="false">TSL</f>
        <v>0.95</v>
      </c>
      <c r="J34" s="38" t="n">
        <f aca="false">Z_Value</f>
        <v>1.64485362695147</v>
      </c>
      <c r="K34" s="39" t="n">
        <f aca="false">Inputs!F67</f>
        <v>4</v>
      </c>
      <c r="L34" s="28" t="n">
        <f aca="false">J34*H34*SQRT(K34)</f>
        <v>9.92792027336003</v>
      </c>
      <c r="M34" s="28" t="n">
        <f aca="false">E34*K34</f>
        <v>27</v>
      </c>
      <c r="N34" s="19" t="n">
        <f aca="false">M34+L34</f>
        <v>36.92792027336</v>
      </c>
      <c r="O34" s="39" t="n">
        <f aca="false">Inputs!J67</f>
        <v>35</v>
      </c>
      <c r="P34" s="39" t="n">
        <f aca="false">Inputs!K67</f>
        <v>0</v>
      </c>
      <c r="Q34" s="39" t="n">
        <f aca="false">Inputs!M67</f>
        <v>0</v>
      </c>
      <c r="R34" s="19" t="n">
        <f aca="false">O34+P34-Q34</f>
        <v>35</v>
      </c>
      <c r="S34" s="28" t="n">
        <f aca="false">IF(E34&gt;0,R34/E34,0)</f>
        <v>5.18518518518519</v>
      </c>
      <c r="T34" s="28" t="n">
        <f aca="false">IF(E34&gt;0,O34/E34,0)</f>
        <v>5.18518518518519</v>
      </c>
      <c r="U34" s="19" t="n">
        <f aca="false">E34*Weeks_Per_Year</f>
        <v>351</v>
      </c>
      <c r="V34" s="40" t="n">
        <f aca="false">Inputs!H67</f>
        <v>72</v>
      </c>
      <c r="W34" s="40" t="n">
        <f aca="false">Inputs!G67</f>
        <v>55</v>
      </c>
      <c r="X34" s="36" t="n">
        <f aca="false">Holding_Rate</f>
        <v>0.2</v>
      </c>
      <c r="Y34" s="21" t="n">
        <f aca="false">V34*X34</f>
        <v>14.4</v>
      </c>
      <c r="Z34" s="28" t="n">
        <f aca="false">SQRT((2*U34*W34)/Y34)</f>
        <v>51.7807879430199</v>
      </c>
      <c r="AA34" s="39" t="n">
        <f aca="false">Inputs!I67</f>
        <v>2</v>
      </c>
      <c r="AB34" s="19" t="n">
        <f aca="false">ROUNDUP(Z34/AA34,0)*AA34</f>
        <v>52</v>
      </c>
      <c r="AC34" s="10" t="str">
        <f aca="false">IF(R34&lt;=N34,"YES","NO")</f>
        <v>YES</v>
      </c>
      <c r="AD34" s="41" t="n">
        <f aca="false">IF(AC34="YES",AB34,0)</f>
        <v>52</v>
      </c>
      <c r="AE34" s="39" t="str">
        <f aca="false">Projection!BQ34</f>
        <v>None</v>
      </c>
      <c r="AF34" s="11" t="str">
        <f aca="false">Projection!BR34</f>
        <v>NO</v>
      </c>
      <c r="AG34" s="12" t="str">
        <f aca="false">IF(AF34="YES","STOCKOUT RISK",IF(AC34="YES","REORDER REQUIRED",IF(S34&gt;Excess_WoC,"EXCESS STOCK","HEALTHY")))</f>
        <v>REORDER REQUIRED</v>
      </c>
      <c r="AH34" s="7" t="str">
        <f aca="false">IF(AG34="STOCKOUT RISK","Projected inventory reaches zero in week "&amp;AE34&amp;", before a new order placed now could arrive (week "&amp;(K34+1)&amp;"). "&amp;IF(AC34="YES","Inventory position of "&amp;FIXED(R34,0)&amp;" units is at or below the reorder point of "&amp;FIXED(N34,0)&amp;", so an order of "&amp;FIXED(AD34,0)&amp;" units is recommended (EOQ "&amp;FIXED(Z34,0)&amp;", case pack "&amp;AA34&amp;"), but it cannot arrive in time: expedite supply or manage the shortfall.","No new order is triggered because inventory position of "&amp;FIXED(R34,0)&amp;" units is above the reorder point of "&amp;FIXED(N34,0)&amp;", but the open PO of "&amp;FIXED(P34,0)&amp;" units is due in week "&amp;Inputs!L67&amp;", which is too late: expedite the open PO."),IF(AG34="REORDER REQUIRED","Inventory position of "&amp;FIXED(R34,0)&amp;" units is "&amp;FIXED(N34-R34,0)&amp;" units below the reorder point of "&amp;FIXED(N34,0)&amp;" units. Replenishment is required. EOQ recommends approximately "&amp;FIXED(Z34,0)&amp;" units, rounded to "&amp;FIXED(AD34,0)&amp;" (case pack "&amp;AA34&amp;").",IF(AG34="EXCESS STOCK","Inventory position represents "&amp;FIXED(S34,1)&amp;" weeks of expected demand, above the "&amp;Excess_WoC&amp;"-week excess-stock threshold. No replenishment is triggered.","Inventory position of "&amp;FIXED(R34,0)&amp;" units is above the reorder point of "&amp;FIXED(N34,0)&amp;" units and covers "&amp;FIXED(S34,1)&amp;" weeks of forecast demand. No order needed now.")))</f>
        <v>Inventory position of 35 units is 2 units below the reorder point of 37 units. Replenishment is required. EOQ recommends approximately 52 units, rounded to 52 (case pack 2).</v>
      </c>
      <c r="AI34" s="42" t="n">
        <f aca="false">O34*V34</f>
        <v>2520</v>
      </c>
      <c r="AJ34" s="43" t="n">
        <f aca="false">IF(AG34="STOCKOUT RISK",1000,IF(AG34="REORDER REQUIRED",2000,IF(AG34="EXCESS STOCK",3000,4000)))+IF(AG34="EXCESS STOCK",500-MIN(S34,499),MAX(MIN(S34,499),-499))</f>
        <v>2005.18518518519</v>
      </c>
      <c r="AK34" s="19" t="n">
        <f aca="false">SUMPRODUCT(--($AJ$7:$AJ$54&lt;AJ34))+SUMPRODUCT(--($AJ$7:AJ34=AJ34))</f>
        <v>16</v>
      </c>
    </row>
    <row r="35" customFormat="false" ht="54" hidden="false" customHeight="true" outlineLevel="0" collapsed="false">
      <c r="A35" s="11" t="str">
        <f aca="false">Forecast!A35</f>
        <v>BED-009</v>
      </c>
      <c r="B35" s="11" t="str">
        <f aca="false">Forecast!B35</f>
        <v>Kids Bedding Set Stars</v>
      </c>
      <c r="C35" s="11" t="str">
        <f aca="false">Inputs!E68</f>
        <v>SUP-03</v>
      </c>
      <c r="D35" s="11" t="str">
        <f aca="false">Forecast!AE35</f>
        <v>MA4</v>
      </c>
      <c r="E35" s="35" t="n">
        <f aca="false">Forecast!AF35</f>
        <v>12.75</v>
      </c>
      <c r="F35" s="36" t="n">
        <f aca="false">Forecast!AG35</f>
        <v>0.13778256189451</v>
      </c>
      <c r="G35" s="37" t="n">
        <f aca="false">Forecast!AH35</f>
        <v>0.0258342303552207</v>
      </c>
      <c r="H35" s="35" t="n">
        <f aca="false">Forecast!AI35</f>
        <v>3.14961272727696</v>
      </c>
      <c r="I35" s="36" t="n">
        <f aca="false">TSL</f>
        <v>0.95</v>
      </c>
      <c r="J35" s="38" t="n">
        <f aca="false">Z_Value</f>
        <v>1.64485362695147</v>
      </c>
      <c r="K35" s="39" t="n">
        <f aca="false">Inputs!F68</f>
        <v>4</v>
      </c>
      <c r="L35" s="28" t="n">
        <f aca="false">J35*H35*SQRT(K35)</f>
        <v>10.3613038359081</v>
      </c>
      <c r="M35" s="28" t="n">
        <f aca="false">E35*K35</f>
        <v>51</v>
      </c>
      <c r="N35" s="19" t="n">
        <f aca="false">M35+L35</f>
        <v>61.3613038359081</v>
      </c>
      <c r="O35" s="39" t="n">
        <f aca="false">Inputs!J68</f>
        <v>119</v>
      </c>
      <c r="P35" s="39" t="n">
        <f aca="false">Inputs!K68</f>
        <v>0</v>
      </c>
      <c r="Q35" s="39" t="n">
        <f aca="false">Inputs!M68</f>
        <v>0</v>
      </c>
      <c r="R35" s="19" t="n">
        <f aca="false">O35+P35-Q35</f>
        <v>119</v>
      </c>
      <c r="S35" s="28" t="n">
        <f aca="false">IF(E35&gt;0,R35/E35,0)</f>
        <v>9.33333333333333</v>
      </c>
      <c r="T35" s="28" t="n">
        <f aca="false">IF(E35&gt;0,O35/E35,0)</f>
        <v>9.33333333333333</v>
      </c>
      <c r="U35" s="19" t="n">
        <f aca="false">E35*Weeks_Per_Year</f>
        <v>663</v>
      </c>
      <c r="V35" s="40" t="n">
        <f aca="false">Inputs!H68</f>
        <v>30</v>
      </c>
      <c r="W35" s="40" t="n">
        <f aca="false">Inputs!G68</f>
        <v>55</v>
      </c>
      <c r="X35" s="36" t="n">
        <f aca="false">Holding_Rate</f>
        <v>0.2</v>
      </c>
      <c r="Y35" s="21" t="n">
        <f aca="false">V35*X35</f>
        <v>6</v>
      </c>
      <c r="Z35" s="28" t="n">
        <f aca="false">SQRT((2*U35*W35)/Y35)</f>
        <v>110.249716552924</v>
      </c>
      <c r="AA35" s="39" t="n">
        <f aca="false">Inputs!I68</f>
        <v>4</v>
      </c>
      <c r="AB35" s="19" t="n">
        <f aca="false">ROUNDUP(Z35/AA35,0)*AA35</f>
        <v>112</v>
      </c>
      <c r="AC35" s="10" t="str">
        <f aca="false">IF(R35&lt;=N35,"YES","NO")</f>
        <v>NO</v>
      </c>
      <c r="AD35" s="41" t="n">
        <f aca="false">IF(AC35="YES",AB35,0)</f>
        <v>0</v>
      </c>
      <c r="AE35" s="39" t="n">
        <f aca="false">Projection!BQ35</f>
        <v>10</v>
      </c>
      <c r="AF35" s="11" t="str">
        <f aca="false">Projection!BR35</f>
        <v>NO</v>
      </c>
      <c r="AG35" s="12" t="str">
        <f aca="false">IF(AF35="YES","STOCKOUT RISK",IF(AC35="YES","REORDER REQUIRED",IF(S35&gt;Excess_WoC,"EXCESS STOCK","HEALTHY")))</f>
        <v>HEALTHY</v>
      </c>
      <c r="AH35" s="7" t="str">
        <f aca="false">IF(AG35="STOCKOUT RISK","Projected inventory reaches zero in week "&amp;AE35&amp;", before a new order placed now could arrive (week "&amp;(K35+1)&amp;"). "&amp;IF(AC35="YES","Inventory position of "&amp;FIXED(R35,0)&amp;" units is at or below the reorder point of "&amp;FIXED(N35,0)&amp;", so an order of "&amp;FIXED(AD35,0)&amp;" units is recommended (EOQ "&amp;FIXED(Z35,0)&amp;", case pack "&amp;AA35&amp;"), but it cannot arrive in time: expedite supply or manage the shortfall.","No new order is triggered because inventory position of "&amp;FIXED(R35,0)&amp;" units is above the reorder point of "&amp;FIXED(N35,0)&amp;", but the open PO of "&amp;FIXED(P35,0)&amp;" units is due in week "&amp;Inputs!L68&amp;", which is too late: expedite the open PO."),IF(AG35="REORDER REQUIRED","Inventory position of "&amp;FIXED(R35,0)&amp;" units is "&amp;FIXED(N35-R35,0)&amp;" units below the reorder point of "&amp;FIXED(N35,0)&amp;" units. Replenishment is required. EOQ recommends approximately "&amp;FIXED(Z35,0)&amp;" units, rounded to "&amp;FIXED(AD35,0)&amp;" (case pack "&amp;AA35&amp;").",IF(AG35="EXCESS STOCK","Inventory position represents "&amp;FIXED(S35,1)&amp;" weeks of expected demand, above the "&amp;Excess_WoC&amp;"-week excess-stock threshold. No replenishment is triggered.","Inventory position of "&amp;FIXED(R35,0)&amp;" units is above the reorder point of "&amp;FIXED(N35,0)&amp;" units and covers "&amp;FIXED(S35,1)&amp;" weeks of forecast demand. No order needed now.")))</f>
        <v>Inventory position of 119 units is above the reorder point of 61 units and covers 9.3 weeks of forecast demand. No order needed now.</v>
      </c>
      <c r="AI35" s="42" t="n">
        <f aca="false">O35*V35</f>
        <v>3570</v>
      </c>
      <c r="AJ35" s="43" t="n">
        <f aca="false">IF(AG35="STOCKOUT RISK",1000,IF(AG35="REORDER REQUIRED",2000,IF(AG35="EXCESS STOCK",3000,4000)))+IF(AG35="EXCESS STOCK",500-MIN(S35,499),MAX(MIN(S35,499),-499))</f>
        <v>4009.33333333333</v>
      </c>
      <c r="AK35" s="19" t="n">
        <f aca="false">SUMPRODUCT(--($AJ$7:$AJ$54&lt;AJ35))+SUMPRODUCT(--($AJ$7:AJ35=AJ35))</f>
        <v>44</v>
      </c>
    </row>
    <row r="36" customFormat="false" ht="54" hidden="false" customHeight="true" outlineLevel="0" collapsed="false">
      <c r="A36" s="11" t="str">
        <f aca="false">Forecast!A36</f>
        <v>ELE-001</v>
      </c>
      <c r="B36" s="11" t="str">
        <f aca="false">Forecast!B36</f>
        <v>Dimmable LED Desk Lamp</v>
      </c>
      <c r="C36" s="11" t="str">
        <f aca="false">Inputs!E69</f>
        <v>SUP-04</v>
      </c>
      <c r="D36" s="11" t="str">
        <f aca="false">Forecast!AE36</f>
        <v>MA4</v>
      </c>
      <c r="E36" s="35" t="n">
        <f aca="false">Forecast!AF36</f>
        <v>33.25</v>
      </c>
      <c r="F36" s="36" t="n">
        <f aca="false">Forecast!AG36</f>
        <v>0.131936887921654</v>
      </c>
      <c r="G36" s="37" t="n">
        <f aca="false">Forecast!AH36</f>
        <v>0.000272034820457019</v>
      </c>
      <c r="H36" s="35" t="n">
        <f aca="false">Forecast!AI36</f>
        <v>5.99631454182188</v>
      </c>
      <c r="I36" s="36" t="n">
        <f aca="false">TSL</f>
        <v>0.95</v>
      </c>
      <c r="J36" s="38" t="n">
        <f aca="false">Z_Value</f>
        <v>1.64485362695147</v>
      </c>
      <c r="K36" s="39" t="n">
        <f aca="false">Inputs!F69</f>
        <v>6</v>
      </c>
      <c r="L36" s="28" t="n">
        <f aca="false">J36*H36*SQRT(K36)</f>
        <v>24.1594636226177</v>
      </c>
      <c r="M36" s="28" t="n">
        <f aca="false">E36*K36</f>
        <v>199.5</v>
      </c>
      <c r="N36" s="19" t="n">
        <f aca="false">M36+L36</f>
        <v>223.659463622618</v>
      </c>
      <c r="O36" s="39" t="n">
        <f aca="false">Inputs!J69</f>
        <v>375</v>
      </c>
      <c r="P36" s="39" t="n">
        <f aca="false">Inputs!K69</f>
        <v>0</v>
      </c>
      <c r="Q36" s="39" t="n">
        <f aca="false">Inputs!M69</f>
        <v>0</v>
      </c>
      <c r="R36" s="19" t="n">
        <f aca="false">O36+P36-Q36</f>
        <v>375</v>
      </c>
      <c r="S36" s="28" t="n">
        <f aca="false">IF(E36&gt;0,R36/E36,0)</f>
        <v>11.2781954887218</v>
      </c>
      <c r="T36" s="28" t="n">
        <f aca="false">IF(E36&gt;0,O36/E36,0)</f>
        <v>11.2781954887218</v>
      </c>
      <c r="U36" s="19" t="n">
        <f aca="false">E36*Weeks_Per_Year</f>
        <v>1729</v>
      </c>
      <c r="V36" s="40" t="n">
        <f aca="false">Inputs!H69</f>
        <v>27</v>
      </c>
      <c r="W36" s="40" t="n">
        <f aca="false">Inputs!G69</f>
        <v>90</v>
      </c>
      <c r="X36" s="36" t="n">
        <f aca="false">Holding_Rate</f>
        <v>0.2</v>
      </c>
      <c r="Y36" s="21" t="n">
        <f aca="false">V36*X36</f>
        <v>5.4</v>
      </c>
      <c r="Z36" s="28" t="n">
        <f aca="false">SQRT((2*U36*W36)/Y36)</f>
        <v>240.069434400411</v>
      </c>
      <c r="AA36" s="39" t="n">
        <f aca="false">Inputs!I69</f>
        <v>6</v>
      </c>
      <c r="AB36" s="19" t="n">
        <f aca="false">ROUNDUP(Z36/AA36,0)*AA36</f>
        <v>246</v>
      </c>
      <c r="AC36" s="10" t="str">
        <f aca="false">IF(R36&lt;=N36,"YES","NO")</f>
        <v>NO</v>
      </c>
      <c r="AD36" s="41" t="n">
        <f aca="false">IF(AC36="YES",AB36,0)</f>
        <v>0</v>
      </c>
      <c r="AE36" s="39" t="n">
        <f aca="false">Projection!BQ36</f>
        <v>12</v>
      </c>
      <c r="AF36" s="11" t="str">
        <f aca="false">Projection!BR36</f>
        <v>NO</v>
      </c>
      <c r="AG36" s="12" t="str">
        <f aca="false">IF(AF36="YES","STOCKOUT RISK",IF(AC36="YES","REORDER REQUIRED",IF(S36&gt;Excess_WoC,"EXCESS STOCK","HEALTHY")))</f>
        <v>HEALTHY</v>
      </c>
      <c r="AH36" s="7" t="str">
        <f aca="false">IF(AG36="STOCKOUT RISK","Projected inventory reaches zero in week "&amp;AE36&amp;", before a new order placed now could arrive (week "&amp;(K36+1)&amp;"). "&amp;IF(AC36="YES","Inventory position of "&amp;FIXED(R36,0)&amp;" units is at or below the reorder point of "&amp;FIXED(N36,0)&amp;", so an order of "&amp;FIXED(AD36,0)&amp;" units is recommended (EOQ "&amp;FIXED(Z36,0)&amp;", case pack "&amp;AA36&amp;"), but it cannot arrive in time: expedite supply or manage the shortfall.","No new order is triggered because inventory position of "&amp;FIXED(R36,0)&amp;" units is above the reorder point of "&amp;FIXED(N36,0)&amp;", but the open PO of "&amp;FIXED(P36,0)&amp;" units is due in week "&amp;Inputs!L69&amp;", which is too late: expedite the open PO."),IF(AG36="REORDER REQUIRED","Inventory position of "&amp;FIXED(R36,0)&amp;" units is "&amp;FIXED(N36-R36,0)&amp;" units below the reorder point of "&amp;FIXED(N36,0)&amp;" units. Replenishment is required. EOQ recommends approximately "&amp;FIXED(Z36,0)&amp;" units, rounded to "&amp;FIXED(AD36,0)&amp;" (case pack "&amp;AA36&amp;").",IF(AG36="EXCESS STOCK","Inventory position represents "&amp;FIXED(S36,1)&amp;" weeks of expected demand, above the "&amp;Excess_WoC&amp;"-week excess-stock threshold. No replenishment is triggered.","Inventory position of "&amp;FIXED(R36,0)&amp;" units is above the reorder point of "&amp;FIXED(N36,0)&amp;" units and covers "&amp;FIXED(S36,1)&amp;" weeks of forecast demand. No order needed now.")))</f>
        <v>Inventory position of 375 units is above the reorder point of 224 units and covers 11.3 weeks of forecast demand. No order needed now.</v>
      </c>
      <c r="AI36" s="42" t="n">
        <f aca="false">O36*V36</f>
        <v>10125</v>
      </c>
      <c r="AJ36" s="43" t="n">
        <f aca="false">IF(AG36="STOCKOUT RISK",1000,IF(AG36="REORDER REQUIRED",2000,IF(AG36="EXCESS STOCK",3000,4000)))+IF(AG36="EXCESS STOCK",500-MIN(S36,499),MAX(MIN(S36,499),-499))</f>
        <v>4011.27819548872</v>
      </c>
      <c r="AK36" s="19" t="n">
        <f aca="false">SUMPRODUCT(--($AJ$7:$AJ$54&lt;AJ36))+SUMPRODUCT(--($AJ$7:AJ36=AJ36))</f>
        <v>47</v>
      </c>
    </row>
    <row r="37" customFormat="false" ht="54" hidden="false" customHeight="true" outlineLevel="0" collapsed="false">
      <c r="A37" s="11" t="str">
        <f aca="false">Forecast!A37</f>
        <v>ELE-002</v>
      </c>
      <c r="B37" s="11" t="str">
        <f aca="false">Forecast!B37</f>
        <v>Electric Kettle 1.7L</v>
      </c>
      <c r="C37" s="11" t="str">
        <f aca="false">Inputs!E70</f>
        <v>SUP-04</v>
      </c>
      <c r="D37" s="11" t="str">
        <f aca="false">Forecast!AE37</f>
        <v>MA4</v>
      </c>
      <c r="E37" s="35" t="n">
        <f aca="false">Forecast!AF37</f>
        <v>36.5</v>
      </c>
      <c r="F37" s="36" t="n">
        <f aca="false">Forecast!AG37</f>
        <v>0.286832648870637</v>
      </c>
      <c r="G37" s="37" t="n">
        <f aca="false">Forecast!AH37</f>
        <v>0.0121919917864476</v>
      </c>
      <c r="H37" s="35" t="n">
        <f aca="false">Forecast!AI37</f>
        <v>13.2060147795414</v>
      </c>
      <c r="I37" s="36" t="n">
        <f aca="false">TSL</f>
        <v>0.95</v>
      </c>
      <c r="J37" s="38" t="n">
        <f aca="false">Z_Value</f>
        <v>1.64485362695147</v>
      </c>
      <c r="K37" s="39" t="n">
        <f aca="false">Inputs!F70</f>
        <v>6</v>
      </c>
      <c r="L37" s="28" t="n">
        <f aca="false">J37*H37*SQRT(K37)</f>
        <v>53.2077214163526</v>
      </c>
      <c r="M37" s="28" t="n">
        <f aca="false">E37*K37</f>
        <v>219</v>
      </c>
      <c r="N37" s="19" t="n">
        <f aca="false">M37+L37</f>
        <v>272.207721416353</v>
      </c>
      <c r="O37" s="39" t="n">
        <f aca="false">Inputs!J70</f>
        <v>106</v>
      </c>
      <c r="P37" s="39" t="n">
        <f aca="false">Inputs!K70</f>
        <v>120</v>
      </c>
      <c r="Q37" s="39" t="n">
        <f aca="false">Inputs!M70</f>
        <v>0</v>
      </c>
      <c r="R37" s="19" t="n">
        <f aca="false">O37+P37-Q37</f>
        <v>226</v>
      </c>
      <c r="S37" s="28" t="n">
        <f aca="false">IF(E37&gt;0,R37/E37,0)</f>
        <v>6.19178082191781</v>
      </c>
      <c r="T37" s="28" t="n">
        <f aca="false">IF(E37&gt;0,O37/E37,0)</f>
        <v>2.9041095890411</v>
      </c>
      <c r="U37" s="19" t="n">
        <f aca="false">E37*Weeks_Per_Year</f>
        <v>1898</v>
      </c>
      <c r="V37" s="40" t="n">
        <f aca="false">Inputs!H70</f>
        <v>31</v>
      </c>
      <c r="W37" s="40" t="n">
        <f aca="false">Inputs!G70</f>
        <v>90</v>
      </c>
      <c r="X37" s="36" t="n">
        <f aca="false">Holding_Rate</f>
        <v>0.2</v>
      </c>
      <c r="Y37" s="21" t="n">
        <f aca="false">V37*X37</f>
        <v>6.2</v>
      </c>
      <c r="Z37" s="28" t="n">
        <f aca="false">SQRT((2*U37*W37)/Y37)</f>
        <v>234.740762984301</v>
      </c>
      <c r="AA37" s="39" t="n">
        <f aca="false">Inputs!I70</f>
        <v>4</v>
      </c>
      <c r="AB37" s="19" t="n">
        <f aca="false">ROUNDUP(Z37/AA37,0)*AA37</f>
        <v>236</v>
      </c>
      <c r="AC37" s="10" t="str">
        <f aca="false">IF(R37&lt;=N37,"YES","NO")</f>
        <v>YES</v>
      </c>
      <c r="AD37" s="41" t="n">
        <f aca="false">IF(AC37="YES",AB37,0)</f>
        <v>236</v>
      </c>
      <c r="AE37" s="39" t="str">
        <f aca="false">Projection!BQ37</f>
        <v>None</v>
      </c>
      <c r="AF37" s="11" t="str">
        <f aca="false">Projection!BR37</f>
        <v>NO</v>
      </c>
      <c r="AG37" s="12" t="str">
        <f aca="false">IF(AF37="YES","STOCKOUT RISK",IF(AC37="YES","REORDER REQUIRED",IF(S37&gt;Excess_WoC,"EXCESS STOCK","HEALTHY")))</f>
        <v>REORDER REQUIRED</v>
      </c>
      <c r="AH37" s="7" t="str">
        <f aca="false">IF(AG37="STOCKOUT RISK","Projected inventory reaches zero in week "&amp;AE37&amp;", before a new order placed now could arrive (week "&amp;(K37+1)&amp;"). "&amp;IF(AC37="YES","Inventory position of "&amp;FIXED(R37,0)&amp;" units is at or below the reorder point of "&amp;FIXED(N37,0)&amp;", so an order of "&amp;FIXED(AD37,0)&amp;" units is recommended (EOQ "&amp;FIXED(Z37,0)&amp;", case pack "&amp;AA37&amp;"), but it cannot arrive in time: expedite supply or manage the shortfall.","No new order is triggered because inventory position of "&amp;FIXED(R37,0)&amp;" units is above the reorder point of "&amp;FIXED(N37,0)&amp;", but the open PO of "&amp;FIXED(P37,0)&amp;" units is due in week "&amp;Inputs!L70&amp;", which is too late: expedite the open PO."),IF(AG37="REORDER REQUIRED","Inventory position of "&amp;FIXED(R37,0)&amp;" units is "&amp;FIXED(N37-R37,0)&amp;" units below the reorder point of "&amp;FIXED(N37,0)&amp;" units. Replenishment is required. EOQ recommends approximately "&amp;FIXED(Z37,0)&amp;" units, rounded to "&amp;FIXED(AD37,0)&amp;" (case pack "&amp;AA37&amp;").",IF(AG37="EXCESS STOCK","Inventory position represents "&amp;FIXED(S37,1)&amp;" weeks of expected demand, above the "&amp;Excess_WoC&amp;"-week excess-stock threshold. No replenishment is triggered.","Inventory position of "&amp;FIXED(R37,0)&amp;" units is above the reorder point of "&amp;FIXED(N37,0)&amp;" units and covers "&amp;FIXED(S37,1)&amp;" weeks of forecast demand. No order needed now.")))</f>
        <v>Inventory position of 226 units is 46 units below the reorder point of 272 units. Replenishment is required. EOQ recommends approximately 235 units, rounded to 236 (case pack 4).</v>
      </c>
      <c r="AI37" s="42" t="n">
        <f aca="false">O37*V37</f>
        <v>3286</v>
      </c>
      <c r="AJ37" s="43" t="n">
        <f aca="false">IF(AG37="STOCKOUT RISK",1000,IF(AG37="REORDER REQUIRED",2000,IF(AG37="EXCESS STOCK",3000,4000)))+IF(AG37="EXCESS STOCK",500-MIN(S37,499),MAX(MIN(S37,499),-499))</f>
        <v>2006.19178082192</v>
      </c>
      <c r="AK37" s="19" t="n">
        <f aca="false">SUMPRODUCT(--($AJ$7:$AJ$54&lt;AJ37))+SUMPRODUCT(--($AJ$7:AJ37=AJ37))</f>
        <v>17</v>
      </c>
    </row>
    <row r="38" customFormat="false" ht="54" hidden="false" customHeight="true" outlineLevel="0" collapsed="false">
      <c r="A38" s="11" t="str">
        <f aca="false">Forecast!A38</f>
        <v>ELE-003</v>
      </c>
      <c r="B38" s="11" t="str">
        <f aca="false">Forecast!B38</f>
        <v>Hand Blender 800W</v>
      </c>
      <c r="C38" s="11" t="str">
        <f aca="false">Inputs!E71</f>
        <v>SUP-04</v>
      </c>
      <c r="D38" s="11" t="str">
        <f aca="false">Forecast!AE38</f>
        <v>MA4</v>
      </c>
      <c r="E38" s="35" t="n">
        <f aca="false">Forecast!AF38</f>
        <v>36.5</v>
      </c>
      <c r="F38" s="36" t="n">
        <f aca="false">Forecast!AG38</f>
        <v>0.144225188624492</v>
      </c>
      <c r="G38" s="37" t="n">
        <f aca="false">Forecast!AH38</f>
        <v>-0.0130586186883343</v>
      </c>
      <c r="H38" s="35" t="n">
        <f aca="false">Forecast!AI38</f>
        <v>5.7571599464117</v>
      </c>
      <c r="I38" s="36" t="n">
        <f aca="false">TSL</f>
        <v>0.95</v>
      </c>
      <c r="J38" s="38" t="n">
        <f aca="false">Z_Value</f>
        <v>1.64485362695147</v>
      </c>
      <c r="K38" s="39" t="n">
        <f aca="false">Inputs!F71</f>
        <v>6</v>
      </c>
      <c r="L38" s="28" t="n">
        <f aca="false">J38*H38*SQRT(K38)</f>
        <v>23.1958973007218</v>
      </c>
      <c r="M38" s="28" t="n">
        <f aca="false">E38*K38</f>
        <v>219</v>
      </c>
      <c r="N38" s="19" t="n">
        <f aca="false">M38+L38</f>
        <v>242.195897300722</v>
      </c>
      <c r="O38" s="39" t="n">
        <f aca="false">Inputs!J71</f>
        <v>58</v>
      </c>
      <c r="P38" s="39" t="n">
        <f aca="false">Inputs!K71</f>
        <v>276</v>
      </c>
      <c r="Q38" s="39" t="n">
        <f aca="false">Inputs!M71</f>
        <v>0</v>
      </c>
      <c r="R38" s="19" t="n">
        <f aca="false">O38+P38-Q38</f>
        <v>334</v>
      </c>
      <c r="S38" s="28" t="n">
        <f aca="false">IF(E38&gt;0,R38/E38,0)</f>
        <v>9.15068493150685</v>
      </c>
      <c r="T38" s="28" t="n">
        <f aca="false">IF(E38&gt;0,O38/E38,0)</f>
        <v>1.58904109589041</v>
      </c>
      <c r="U38" s="19" t="n">
        <f aca="false">E38*Weeks_Per_Year</f>
        <v>1898</v>
      </c>
      <c r="V38" s="40" t="n">
        <f aca="false">Inputs!H71</f>
        <v>36</v>
      </c>
      <c r="W38" s="40" t="n">
        <f aca="false">Inputs!G71</f>
        <v>90</v>
      </c>
      <c r="X38" s="36" t="n">
        <f aca="false">Holding_Rate</f>
        <v>0.2</v>
      </c>
      <c r="Y38" s="21" t="n">
        <f aca="false">V38*X38</f>
        <v>7.2</v>
      </c>
      <c r="Z38" s="28" t="n">
        <f aca="false">SQRT((2*U38*W38)/Y38)</f>
        <v>217.83020910792</v>
      </c>
      <c r="AA38" s="39" t="n">
        <f aca="false">Inputs!I71</f>
        <v>4</v>
      </c>
      <c r="AB38" s="19" t="n">
        <f aca="false">ROUNDUP(Z38/AA38,0)*AA38</f>
        <v>220</v>
      </c>
      <c r="AC38" s="10" t="str">
        <f aca="false">IF(R38&lt;=N38,"YES","NO")</f>
        <v>NO</v>
      </c>
      <c r="AD38" s="41" t="n">
        <f aca="false">IF(AC38="YES",AB38,0)</f>
        <v>0</v>
      </c>
      <c r="AE38" s="39" t="n">
        <f aca="false">Projection!BQ38</f>
        <v>2</v>
      </c>
      <c r="AF38" s="11" t="str">
        <f aca="false">Projection!BR38</f>
        <v>YES</v>
      </c>
      <c r="AG38" s="12" t="str">
        <f aca="false">IF(AF38="YES","STOCKOUT RISK",IF(AC38="YES","REORDER REQUIRED",IF(S38&gt;Excess_WoC,"EXCESS STOCK","HEALTHY")))</f>
        <v>STOCKOUT RISK</v>
      </c>
      <c r="AH38" s="7" t="str">
        <f aca="false">IF(AG38="STOCKOUT RISK","Projected inventory reaches zero in week "&amp;AE38&amp;", before a new order placed now could arrive (week "&amp;(K38+1)&amp;"). "&amp;IF(AC38="YES","Inventory position of "&amp;FIXED(R38,0)&amp;" units is at or below the reorder point of "&amp;FIXED(N38,0)&amp;", so an order of "&amp;FIXED(AD38,0)&amp;" units is recommended (EOQ "&amp;FIXED(Z38,0)&amp;", case pack "&amp;AA38&amp;"), but it cannot arrive in time: expedite supply or manage the shortfall.","No new order is triggered because inventory position of "&amp;FIXED(R38,0)&amp;" units is above the reorder point of "&amp;FIXED(N38,0)&amp;", but the open PO of "&amp;FIXED(P38,0)&amp;" units is due in week "&amp;Inputs!L71&amp;", which is too late: expedite the open PO."),IF(AG38="REORDER REQUIRED","Inventory position of "&amp;FIXED(R38,0)&amp;" units is "&amp;FIXED(N38-R38,0)&amp;" units below the reorder point of "&amp;FIXED(N38,0)&amp;" units. Replenishment is required. EOQ recommends approximately "&amp;FIXED(Z38,0)&amp;" units, rounded to "&amp;FIXED(AD38,0)&amp;" (case pack "&amp;AA38&amp;").",IF(AG38="EXCESS STOCK","Inventory position represents "&amp;FIXED(S38,1)&amp;" weeks of expected demand, above the "&amp;Excess_WoC&amp;"-week excess-stock threshold. No replenishment is triggered.","Inventory position of "&amp;FIXED(R38,0)&amp;" units is above the reorder point of "&amp;FIXED(N38,0)&amp;" units and covers "&amp;FIXED(S38,1)&amp;" weeks of forecast demand. No order needed now.")))</f>
        <v>Projected inventory reaches zero in week 2, before a new order placed now could arrive (week 7). No new order is triggered because inventory position of 334 units is above the reorder point of 242, but the open PO of 276 units is due in week 6, which is too late: expedite the open PO.</v>
      </c>
      <c r="AI38" s="42" t="n">
        <f aca="false">O38*V38</f>
        <v>2088</v>
      </c>
      <c r="AJ38" s="43" t="n">
        <f aca="false">IF(AG38="STOCKOUT RISK",1000,IF(AG38="REORDER REQUIRED",2000,IF(AG38="EXCESS STOCK",3000,4000)))+IF(AG38="EXCESS STOCK",500-MIN(S38,499),MAX(MIN(S38,499),-499))</f>
        <v>1009.15068493151</v>
      </c>
      <c r="AK38" s="19" t="n">
        <f aca="false">SUMPRODUCT(--($AJ$7:$AJ$54&lt;AJ38))+SUMPRODUCT(--($AJ$7:AJ38=AJ38))</f>
        <v>6</v>
      </c>
    </row>
    <row r="39" customFormat="false" ht="54" hidden="false" customHeight="true" outlineLevel="0" collapsed="false">
      <c r="A39" s="11" t="str">
        <f aca="false">Forecast!A39</f>
        <v>ELE-004</v>
      </c>
      <c r="B39" s="11" t="str">
        <f aca="false">Forecast!B39</f>
        <v>Smart Plug 2-Pack</v>
      </c>
      <c r="C39" s="11" t="str">
        <f aca="false">Inputs!E72</f>
        <v>SUP-04</v>
      </c>
      <c r="D39" s="11" t="str">
        <f aca="false">Forecast!AE39</f>
        <v>MA8</v>
      </c>
      <c r="E39" s="35" t="n">
        <f aca="false">Forecast!AF39</f>
        <v>121</v>
      </c>
      <c r="F39" s="36" t="n">
        <f aca="false">Forecast!AG39</f>
        <v>0.109637355028562</v>
      </c>
      <c r="G39" s="37" t="n">
        <f aca="false">Forecast!AH39</f>
        <v>-0.023519993075991</v>
      </c>
      <c r="H39" s="35" t="n">
        <f aca="false">Forecast!AI39</f>
        <v>15.434580072656</v>
      </c>
      <c r="I39" s="36" t="n">
        <f aca="false">TSL</f>
        <v>0.95</v>
      </c>
      <c r="J39" s="38" t="n">
        <f aca="false">Z_Value</f>
        <v>1.64485362695147</v>
      </c>
      <c r="K39" s="39" t="n">
        <f aca="false">Inputs!F72</f>
        <v>6</v>
      </c>
      <c r="L39" s="28" t="n">
        <f aca="false">J39*H39*SQRT(K39)</f>
        <v>62.1867270629231</v>
      </c>
      <c r="M39" s="28" t="n">
        <f aca="false">E39*K39</f>
        <v>726</v>
      </c>
      <c r="N39" s="19" t="n">
        <f aca="false">M39+L39</f>
        <v>788.186727062923</v>
      </c>
      <c r="O39" s="39" t="n">
        <f aca="false">Inputs!J72</f>
        <v>1060</v>
      </c>
      <c r="P39" s="39" t="n">
        <f aca="false">Inputs!K72</f>
        <v>0</v>
      </c>
      <c r="Q39" s="39" t="n">
        <f aca="false">Inputs!M72</f>
        <v>0</v>
      </c>
      <c r="R39" s="19" t="n">
        <f aca="false">O39+P39-Q39</f>
        <v>1060</v>
      </c>
      <c r="S39" s="28" t="n">
        <f aca="false">IF(E39&gt;0,R39/E39,0)</f>
        <v>8.7603305785124</v>
      </c>
      <c r="T39" s="28" t="n">
        <f aca="false">IF(E39&gt;0,O39/E39,0)</f>
        <v>8.7603305785124</v>
      </c>
      <c r="U39" s="19" t="n">
        <f aca="false">E39*Weeks_Per_Year</f>
        <v>6292</v>
      </c>
      <c r="V39" s="40" t="n">
        <f aca="false">Inputs!H72</f>
        <v>14</v>
      </c>
      <c r="W39" s="40" t="n">
        <f aca="false">Inputs!G72</f>
        <v>90</v>
      </c>
      <c r="X39" s="36" t="n">
        <f aca="false">Holding_Rate</f>
        <v>0.2</v>
      </c>
      <c r="Y39" s="21" t="n">
        <f aca="false">V39*X39</f>
        <v>2.8</v>
      </c>
      <c r="Z39" s="28" t="n">
        <f aca="false">SQRT((2*U39*W39)/Y39)</f>
        <v>635.991913695225</v>
      </c>
      <c r="AA39" s="39" t="n">
        <f aca="false">Inputs!I72</f>
        <v>10</v>
      </c>
      <c r="AB39" s="19" t="n">
        <f aca="false">ROUNDUP(Z39/AA39,0)*AA39</f>
        <v>640</v>
      </c>
      <c r="AC39" s="10" t="str">
        <f aca="false">IF(R39&lt;=N39,"YES","NO")</f>
        <v>NO</v>
      </c>
      <c r="AD39" s="41" t="n">
        <f aca="false">IF(AC39="YES",AB39,0)</f>
        <v>0</v>
      </c>
      <c r="AE39" s="39" t="n">
        <f aca="false">Projection!BQ39</f>
        <v>9</v>
      </c>
      <c r="AF39" s="11" t="str">
        <f aca="false">Projection!BR39</f>
        <v>NO</v>
      </c>
      <c r="AG39" s="12" t="str">
        <f aca="false">IF(AF39="YES","STOCKOUT RISK",IF(AC39="YES","REORDER REQUIRED",IF(S39&gt;Excess_WoC,"EXCESS STOCK","HEALTHY")))</f>
        <v>HEALTHY</v>
      </c>
      <c r="AH39" s="7" t="str">
        <f aca="false">IF(AG39="STOCKOUT RISK","Projected inventory reaches zero in week "&amp;AE39&amp;", before a new order placed now could arrive (week "&amp;(K39+1)&amp;"). "&amp;IF(AC39="YES","Inventory position of "&amp;FIXED(R39,0)&amp;" units is at or below the reorder point of "&amp;FIXED(N39,0)&amp;", so an order of "&amp;FIXED(AD39,0)&amp;" units is recommended (EOQ "&amp;FIXED(Z39,0)&amp;", case pack "&amp;AA39&amp;"), but it cannot arrive in time: expedite supply or manage the shortfall.","No new order is triggered because inventory position of "&amp;FIXED(R39,0)&amp;" units is above the reorder point of "&amp;FIXED(N39,0)&amp;", but the open PO of "&amp;FIXED(P39,0)&amp;" units is due in week "&amp;Inputs!L72&amp;", which is too late: expedite the open PO."),IF(AG39="REORDER REQUIRED","Inventory position of "&amp;FIXED(R39,0)&amp;" units is "&amp;FIXED(N39-R39,0)&amp;" units below the reorder point of "&amp;FIXED(N39,0)&amp;" units. Replenishment is required. EOQ recommends approximately "&amp;FIXED(Z39,0)&amp;" units, rounded to "&amp;FIXED(AD39,0)&amp;" (case pack "&amp;AA39&amp;").",IF(AG39="EXCESS STOCK","Inventory position represents "&amp;FIXED(S39,1)&amp;" weeks of expected demand, above the "&amp;Excess_WoC&amp;"-week excess-stock threshold. No replenishment is triggered.","Inventory position of "&amp;FIXED(R39,0)&amp;" units is above the reorder point of "&amp;FIXED(N39,0)&amp;" units and covers "&amp;FIXED(S39,1)&amp;" weeks of forecast demand. No order needed now.")))</f>
        <v>Inventory position of 1,060 units is above the reorder point of 788 units and covers 8.8 weeks of forecast demand. No order needed now.</v>
      </c>
      <c r="AI39" s="42" t="n">
        <f aca="false">O39*V39</f>
        <v>14840</v>
      </c>
      <c r="AJ39" s="43" t="n">
        <f aca="false">IF(AG39="STOCKOUT RISK",1000,IF(AG39="REORDER REQUIRED",2000,IF(AG39="EXCESS STOCK",3000,4000)))+IF(AG39="EXCESS STOCK",500-MIN(S39,499),MAX(MIN(S39,499),-499))</f>
        <v>4008.76033057851</v>
      </c>
      <c r="AK39" s="19" t="n">
        <f aca="false">SUMPRODUCT(--($AJ$7:$AJ$54&lt;AJ39))+SUMPRODUCT(--($AJ$7:AJ39=AJ39))</f>
        <v>42</v>
      </c>
    </row>
    <row r="40" customFormat="false" ht="54" hidden="false" customHeight="true" outlineLevel="0" collapsed="false">
      <c r="A40" s="11" t="str">
        <f aca="false">Forecast!A40</f>
        <v>ELE-005</v>
      </c>
      <c r="B40" s="11" t="str">
        <f aca="false">Forecast!B40</f>
        <v>Mini Bluetooth Speaker</v>
      </c>
      <c r="C40" s="11" t="str">
        <f aca="false">Inputs!E73</f>
        <v>SUP-04</v>
      </c>
      <c r="D40" s="11" t="str">
        <f aca="false">Forecast!AE40</f>
        <v>MA4</v>
      </c>
      <c r="E40" s="35" t="n">
        <f aca="false">Forecast!AF40</f>
        <v>26.75</v>
      </c>
      <c r="F40" s="36" t="n">
        <f aca="false">Forecast!AG40</f>
        <v>0.115875912408759</v>
      </c>
      <c r="G40" s="37" t="n">
        <f aca="false">Forecast!AH40</f>
        <v>0.0175964546402503</v>
      </c>
      <c r="H40" s="35" t="n">
        <f aca="false">Forecast!AI40</f>
        <v>4.97844855730251</v>
      </c>
      <c r="I40" s="36" t="n">
        <f aca="false">TSL</f>
        <v>0.95</v>
      </c>
      <c r="J40" s="38" t="n">
        <f aca="false">Z_Value</f>
        <v>1.64485362695147</v>
      </c>
      <c r="K40" s="39" t="n">
        <f aca="false">Inputs!F73</f>
        <v>6</v>
      </c>
      <c r="L40" s="28" t="n">
        <f aca="false">J40*H40*SQRT(K40)</f>
        <v>20.0584285527956</v>
      </c>
      <c r="M40" s="28" t="n">
        <f aca="false">E40*K40</f>
        <v>160.5</v>
      </c>
      <c r="N40" s="19" t="n">
        <f aca="false">M40+L40</f>
        <v>180.558428552796</v>
      </c>
      <c r="O40" s="39" t="n">
        <f aca="false">Inputs!J73</f>
        <v>569</v>
      </c>
      <c r="P40" s="39" t="n">
        <f aca="false">Inputs!K73</f>
        <v>0</v>
      </c>
      <c r="Q40" s="39" t="n">
        <f aca="false">Inputs!M73</f>
        <v>0</v>
      </c>
      <c r="R40" s="19" t="n">
        <f aca="false">O40+P40-Q40</f>
        <v>569</v>
      </c>
      <c r="S40" s="28" t="n">
        <f aca="false">IF(E40&gt;0,R40/E40,0)</f>
        <v>21.2710280373832</v>
      </c>
      <c r="T40" s="28" t="n">
        <f aca="false">IF(E40&gt;0,O40/E40,0)</f>
        <v>21.2710280373832</v>
      </c>
      <c r="U40" s="19" t="n">
        <f aca="false">E40*Weeks_Per_Year</f>
        <v>1391</v>
      </c>
      <c r="V40" s="40" t="n">
        <f aca="false">Inputs!H73</f>
        <v>23</v>
      </c>
      <c r="W40" s="40" t="n">
        <f aca="false">Inputs!G73</f>
        <v>90</v>
      </c>
      <c r="X40" s="36" t="n">
        <f aca="false">Holding_Rate</f>
        <v>0.2</v>
      </c>
      <c r="Y40" s="21" t="n">
        <f aca="false">V40*X40</f>
        <v>4.6</v>
      </c>
      <c r="Z40" s="28" t="n">
        <f aca="false">SQRT((2*U40*W40)/Y40)</f>
        <v>233.303310697917</v>
      </c>
      <c r="AA40" s="39" t="n">
        <f aca="false">Inputs!I73</f>
        <v>6</v>
      </c>
      <c r="AB40" s="19" t="n">
        <f aca="false">ROUNDUP(Z40/AA40,0)*AA40</f>
        <v>234</v>
      </c>
      <c r="AC40" s="10" t="str">
        <f aca="false">IF(R40&lt;=N40,"YES","NO")</f>
        <v>NO</v>
      </c>
      <c r="AD40" s="41" t="n">
        <f aca="false">IF(AC40="YES",AB40,0)</f>
        <v>0</v>
      </c>
      <c r="AE40" s="39" t="str">
        <f aca="false">Projection!BQ40</f>
        <v>None</v>
      </c>
      <c r="AF40" s="11" t="str">
        <f aca="false">Projection!BR40</f>
        <v>NO</v>
      </c>
      <c r="AG40" s="12" t="str">
        <f aca="false">IF(AF40="YES","STOCKOUT RISK",IF(AC40="YES","REORDER REQUIRED",IF(S40&gt;Excess_WoC,"EXCESS STOCK","HEALTHY")))</f>
        <v>EXCESS STOCK</v>
      </c>
      <c r="AH40" s="7" t="str">
        <f aca="false">IF(AG40="STOCKOUT RISK","Projected inventory reaches zero in week "&amp;AE40&amp;", before a new order placed now could arrive (week "&amp;(K40+1)&amp;"). "&amp;IF(AC40="YES","Inventory position of "&amp;FIXED(R40,0)&amp;" units is at or below the reorder point of "&amp;FIXED(N40,0)&amp;", so an order of "&amp;FIXED(AD40,0)&amp;" units is recommended (EOQ "&amp;FIXED(Z40,0)&amp;", case pack "&amp;AA40&amp;"), but it cannot arrive in time: expedite supply or manage the shortfall.","No new order is triggered because inventory position of "&amp;FIXED(R40,0)&amp;" units is above the reorder point of "&amp;FIXED(N40,0)&amp;", but the open PO of "&amp;FIXED(P40,0)&amp;" units is due in week "&amp;Inputs!L73&amp;", which is too late: expedite the open PO."),IF(AG40="REORDER REQUIRED","Inventory position of "&amp;FIXED(R40,0)&amp;" units is "&amp;FIXED(N40-R40,0)&amp;" units below the reorder point of "&amp;FIXED(N40,0)&amp;" units. Replenishment is required. EOQ recommends approximately "&amp;FIXED(Z40,0)&amp;" units, rounded to "&amp;FIXED(AD40,0)&amp;" (case pack "&amp;AA40&amp;").",IF(AG40="EXCESS STOCK","Inventory position represents "&amp;FIXED(S40,1)&amp;" weeks of expected demand, above the "&amp;Excess_WoC&amp;"-week excess-stock threshold. No replenishment is triggered.","Inventory position of "&amp;FIXED(R40,0)&amp;" units is above the reorder point of "&amp;FIXED(N40,0)&amp;" units and covers "&amp;FIXED(S40,1)&amp;" weeks of forecast demand. No order needed now.")))</f>
        <v>Inventory position represents 21.3 weeks of expected demand, above the 12-week excess-stock threshold. No replenishment is triggered.</v>
      </c>
      <c r="AI40" s="42" t="n">
        <f aca="false">O40*V40</f>
        <v>13087</v>
      </c>
      <c r="AJ40" s="43" t="n">
        <f aca="false">IF(AG40="STOCKOUT RISK",1000,IF(AG40="REORDER REQUIRED",2000,IF(AG40="EXCESS STOCK",3000,4000)))+IF(AG40="EXCESS STOCK",500-MIN(S40,499),MAX(MIN(S40,499),-499))</f>
        <v>3478.72897196262</v>
      </c>
      <c r="AK40" s="19" t="n">
        <f aca="false">SUMPRODUCT(--($AJ$7:$AJ$54&lt;AJ40))+SUMPRODUCT(--($AJ$7:AJ40=AJ40))</f>
        <v>19</v>
      </c>
    </row>
    <row r="41" customFormat="false" ht="54" hidden="false" customHeight="true" outlineLevel="0" collapsed="false">
      <c r="A41" s="11" t="str">
        <f aca="false">Forecast!A41</f>
        <v>ELE-006</v>
      </c>
      <c r="B41" s="11" t="str">
        <f aca="false">Forecast!B41</f>
        <v>USB-C Charging Hub</v>
      </c>
      <c r="C41" s="11" t="str">
        <f aca="false">Inputs!E74</f>
        <v>SUP-04</v>
      </c>
      <c r="D41" s="11" t="str">
        <f aca="false">Forecast!AE41</f>
        <v>MA4</v>
      </c>
      <c r="E41" s="35" t="n">
        <f aca="false">Forecast!AF41</f>
        <v>60.75</v>
      </c>
      <c r="F41" s="36" t="n">
        <f aca="false">Forecast!AG41</f>
        <v>0.0860942249240122</v>
      </c>
      <c r="G41" s="37" t="n">
        <f aca="false">Forecast!AH41</f>
        <v>0.000379939209726444</v>
      </c>
      <c r="H41" s="35" t="n">
        <f aca="false">Forecast!AI41</f>
        <v>6.77007899847192</v>
      </c>
      <c r="I41" s="36" t="n">
        <f aca="false">TSL</f>
        <v>0.95</v>
      </c>
      <c r="J41" s="38" t="n">
        <f aca="false">Z_Value</f>
        <v>1.64485362695147</v>
      </c>
      <c r="K41" s="39" t="n">
        <f aca="false">Inputs!F74</f>
        <v>6</v>
      </c>
      <c r="L41" s="28" t="n">
        <f aca="false">J41*H41*SQRT(K41)</f>
        <v>27.2770009219922</v>
      </c>
      <c r="M41" s="28" t="n">
        <f aca="false">E41*K41</f>
        <v>364.5</v>
      </c>
      <c r="N41" s="19" t="n">
        <f aca="false">M41+L41</f>
        <v>391.777000921992</v>
      </c>
      <c r="O41" s="39" t="n">
        <f aca="false">Inputs!J74</f>
        <v>687</v>
      </c>
      <c r="P41" s="39" t="n">
        <f aca="false">Inputs!K74</f>
        <v>0</v>
      </c>
      <c r="Q41" s="39" t="n">
        <f aca="false">Inputs!M74</f>
        <v>0</v>
      </c>
      <c r="R41" s="19" t="n">
        <f aca="false">O41+P41-Q41</f>
        <v>687</v>
      </c>
      <c r="S41" s="28" t="n">
        <f aca="false">IF(E41&gt;0,R41/E41,0)</f>
        <v>11.3086419753086</v>
      </c>
      <c r="T41" s="28" t="n">
        <f aca="false">IF(E41&gt;0,O41/E41,0)</f>
        <v>11.3086419753086</v>
      </c>
      <c r="U41" s="19" t="n">
        <f aca="false">E41*Weeks_Per_Year</f>
        <v>3159</v>
      </c>
      <c r="V41" s="40" t="n">
        <f aca="false">Inputs!H74</f>
        <v>17</v>
      </c>
      <c r="W41" s="40" t="n">
        <f aca="false">Inputs!G74</f>
        <v>90</v>
      </c>
      <c r="X41" s="36" t="n">
        <f aca="false">Holding_Rate</f>
        <v>0.2</v>
      </c>
      <c r="Y41" s="21" t="n">
        <f aca="false">V41*X41</f>
        <v>3.4</v>
      </c>
      <c r="Z41" s="28" t="n">
        <f aca="false">SQRT((2*U41*W41)/Y41)</f>
        <v>408.951313080895</v>
      </c>
      <c r="AA41" s="39" t="n">
        <f aca="false">Inputs!I74</f>
        <v>10</v>
      </c>
      <c r="AB41" s="19" t="n">
        <f aca="false">ROUNDUP(Z41/AA41,0)*AA41</f>
        <v>410</v>
      </c>
      <c r="AC41" s="10" t="str">
        <f aca="false">IF(R41&lt;=N41,"YES","NO")</f>
        <v>NO</v>
      </c>
      <c r="AD41" s="41" t="n">
        <f aca="false">IF(AC41="YES",AB41,0)</f>
        <v>0</v>
      </c>
      <c r="AE41" s="39" t="n">
        <f aca="false">Projection!BQ41</f>
        <v>12</v>
      </c>
      <c r="AF41" s="11" t="str">
        <f aca="false">Projection!BR41</f>
        <v>NO</v>
      </c>
      <c r="AG41" s="12" t="str">
        <f aca="false">IF(AF41="YES","STOCKOUT RISK",IF(AC41="YES","REORDER REQUIRED",IF(S41&gt;Excess_WoC,"EXCESS STOCK","HEALTHY")))</f>
        <v>HEALTHY</v>
      </c>
      <c r="AH41" s="7" t="str">
        <f aca="false">IF(AG41="STOCKOUT RISK","Projected inventory reaches zero in week "&amp;AE41&amp;", before a new order placed now could arrive (week "&amp;(K41+1)&amp;"). "&amp;IF(AC41="YES","Inventory position of "&amp;FIXED(R41,0)&amp;" units is at or below the reorder point of "&amp;FIXED(N41,0)&amp;", so an order of "&amp;FIXED(AD41,0)&amp;" units is recommended (EOQ "&amp;FIXED(Z41,0)&amp;", case pack "&amp;AA41&amp;"), but it cannot arrive in time: expedite supply or manage the shortfall.","No new order is triggered because inventory position of "&amp;FIXED(R41,0)&amp;" units is above the reorder point of "&amp;FIXED(N41,0)&amp;", but the open PO of "&amp;FIXED(P41,0)&amp;" units is due in week "&amp;Inputs!L74&amp;", which is too late: expedite the open PO."),IF(AG41="REORDER REQUIRED","Inventory position of "&amp;FIXED(R41,0)&amp;" units is "&amp;FIXED(N41-R41,0)&amp;" units below the reorder point of "&amp;FIXED(N41,0)&amp;" units. Replenishment is required. EOQ recommends approximately "&amp;FIXED(Z41,0)&amp;" units, rounded to "&amp;FIXED(AD41,0)&amp;" (case pack "&amp;AA41&amp;").",IF(AG41="EXCESS STOCK","Inventory position represents "&amp;FIXED(S41,1)&amp;" weeks of expected demand, above the "&amp;Excess_WoC&amp;"-week excess-stock threshold. No replenishment is triggered.","Inventory position of "&amp;FIXED(R41,0)&amp;" units is above the reorder point of "&amp;FIXED(N41,0)&amp;" units and covers "&amp;FIXED(S41,1)&amp;" weeks of forecast demand. No order needed now.")))</f>
        <v>Inventory position of 687 units is above the reorder point of 392 units and covers 11.3 weeks of forecast demand. No order needed now.</v>
      </c>
      <c r="AI41" s="42" t="n">
        <f aca="false">O41*V41</f>
        <v>11679</v>
      </c>
      <c r="AJ41" s="43" t="n">
        <f aca="false">IF(AG41="STOCKOUT RISK",1000,IF(AG41="REORDER REQUIRED",2000,IF(AG41="EXCESS STOCK",3000,4000)))+IF(AG41="EXCESS STOCK",500-MIN(S41,499),MAX(MIN(S41,499),-499))</f>
        <v>4011.30864197531</v>
      </c>
      <c r="AK41" s="19" t="n">
        <f aca="false">SUMPRODUCT(--($AJ$7:$AJ$54&lt;AJ41))+SUMPRODUCT(--($AJ$7:AJ41=AJ41))</f>
        <v>48</v>
      </c>
    </row>
    <row r="42" customFormat="false" ht="54" hidden="false" customHeight="true" outlineLevel="0" collapsed="false">
      <c r="A42" s="11" t="str">
        <f aca="false">Forecast!A42</f>
        <v>ELE-007</v>
      </c>
      <c r="B42" s="11" t="str">
        <f aca="false">Forecast!B42</f>
        <v>Compact Air Purifier</v>
      </c>
      <c r="C42" s="11" t="str">
        <f aca="false">Inputs!E75</f>
        <v>SUP-04</v>
      </c>
      <c r="D42" s="11" t="str">
        <f aca="false">Forecast!AE42</f>
        <v>MA8</v>
      </c>
      <c r="E42" s="35" t="n">
        <f aca="false">Forecast!AF42</f>
        <v>7.625</v>
      </c>
      <c r="F42" s="36" t="n">
        <f aca="false">Forecast!AG42</f>
        <v>0.267685851318945</v>
      </c>
      <c r="G42" s="37" t="n">
        <f aca="false">Forecast!AH42</f>
        <v>-0.0152877697841727</v>
      </c>
      <c r="H42" s="35" t="n">
        <f aca="false">Forecast!AI42</f>
        <v>2.65159154766928</v>
      </c>
      <c r="I42" s="36" t="n">
        <f aca="false">TSL</f>
        <v>0.95</v>
      </c>
      <c r="J42" s="38" t="n">
        <f aca="false">Z_Value</f>
        <v>1.64485362695147</v>
      </c>
      <c r="K42" s="39" t="n">
        <f aca="false">Inputs!F75</f>
        <v>6</v>
      </c>
      <c r="L42" s="28" t="n">
        <f aca="false">J42*H42*SQRT(K42)</f>
        <v>10.6834004605924</v>
      </c>
      <c r="M42" s="28" t="n">
        <f aca="false">E42*K42</f>
        <v>45.75</v>
      </c>
      <c r="N42" s="19" t="n">
        <f aca="false">M42+L42</f>
        <v>56.4334004605924</v>
      </c>
      <c r="O42" s="39" t="n">
        <f aca="false">Inputs!J75</f>
        <v>120</v>
      </c>
      <c r="P42" s="39" t="n">
        <f aca="false">Inputs!K75</f>
        <v>0</v>
      </c>
      <c r="Q42" s="39" t="n">
        <f aca="false">Inputs!M75</f>
        <v>0</v>
      </c>
      <c r="R42" s="19" t="n">
        <f aca="false">O42+P42-Q42</f>
        <v>120</v>
      </c>
      <c r="S42" s="28" t="n">
        <f aca="false">IF(E42&gt;0,R42/E42,0)</f>
        <v>15.7377049180328</v>
      </c>
      <c r="T42" s="28" t="n">
        <f aca="false">IF(E42&gt;0,O42/E42,0)</f>
        <v>15.7377049180328</v>
      </c>
      <c r="U42" s="19" t="n">
        <f aca="false">E42*Weeks_Per_Year</f>
        <v>396.5</v>
      </c>
      <c r="V42" s="40" t="n">
        <f aca="false">Inputs!H75</f>
        <v>120</v>
      </c>
      <c r="W42" s="40" t="n">
        <f aca="false">Inputs!G75</f>
        <v>90</v>
      </c>
      <c r="X42" s="36" t="n">
        <f aca="false">Holding_Rate</f>
        <v>0.2</v>
      </c>
      <c r="Y42" s="21" t="n">
        <f aca="false">V42*X42</f>
        <v>24</v>
      </c>
      <c r="Z42" s="28" t="n">
        <f aca="false">SQRT((2*U42*W42)/Y42)</f>
        <v>54.5321006380646</v>
      </c>
      <c r="AA42" s="39" t="n">
        <f aca="false">Inputs!I75</f>
        <v>1</v>
      </c>
      <c r="AB42" s="19" t="n">
        <f aca="false">ROUNDUP(Z42/AA42,0)*AA42</f>
        <v>55</v>
      </c>
      <c r="AC42" s="10" t="str">
        <f aca="false">IF(R42&lt;=N42,"YES","NO")</f>
        <v>NO</v>
      </c>
      <c r="AD42" s="41" t="n">
        <f aca="false">IF(AC42="YES",AB42,0)</f>
        <v>0</v>
      </c>
      <c r="AE42" s="39" t="str">
        <f aca="false">Projection!BQ42</f>
        <v>None</v>
      </c>
      <c r="AF42" s="11" t="str">
        <f aca="false">Projection!BR42</f>
        <v>NO</v>
      </c>
      <c r="AG42" s="12" t="str">
        <f aca="false">IF(AF42="YES","STOCKOUT RISK",IF(AC42="YES","REORDER REQUIRED",IF(S42&gt;Excess_WoC,"EXCESS STOCK","HEALTHY")))</f>
        <v>EXCESS STOCK</v>
      </c>
      <c r="AH42" s="7" t="str">
        <f aca="false">IF(AG42="STOCKOUT RISK","Projected inventory reaches zero in week "&amp;AE42&amp;", before a new order placed now could arrive (week "&amp;(K42+1)&amp;"). "&amp;IF(AC42="YES","Inventory position of "&amp;FIXED(R42,0)&amp;" units is at or below the reorder point of "&amp;FIXED(N42,0)&amp;", so an order of "&amp;FIXED(AD42,0)&amp;" units is recommended (EOQ "&amp;FIXED(Z42,0)&amp;", case pack "&amp;AA42&amp;"), but it cannot arrive in time: expedite supply or manage the shortfall.","No new order is triggered because inventory position of "&amp;FIXED(R42,0)&amp;" units is above the reorder point of "&amp;FIXED(N42,0)&amp;", but the open PO of "&amp;FIXED(P42,0)&amp;" units is due in week "&amp;Inputs!L75&amp;", which is too late: expedite the open PO."),IF(AG42="REORDER REQUIRED","Inventory position of "&amp;FIXED(R42,0)&amp;" units is "&amp;FIXED(N42-R42,0)&amp;" units below the reorder point of "&amp;FIXED(N42,0)&amp;" units. Replenishment is required. EOQ recommends approximately "&amp;FIXED(Z42,0)&amp;" units, rounded to "&amp;FIXED(AD42,0)&amp;" (case pack "&amp;AA42&amp;").",IF(AG42="EXCESS STOCK","Inventory position represents "&amp;FIXED(S42,1)&amp;" weeks of expected demand, above the "&amp;Excess_WoC&amp;"-week excess-stock threshold. No replenishment is triggered.","Inventory position of "&amp;FIXED(R42,0)&amp;" units is above the reorder point of "&amp;FIXED(N42,0)&amp;" units and covers "&amp;FIXED(S42,1)&amp;" weeks of forecast demand. No order needed now.")))</f>
        <v>Inventory position represents 15.7 weeks of expected demand, above the 12-week excess-stock threshold. No replenishment is triggered.</v>
      </c>
      <c r="AI42" s="42" t="n">
        <f aca="false">O42*V42</f>
        <v>14400</v>
      </c>
      <c r="AJ42" s="43" t="n">
        <f aca="false">IF(AG42="STOCKOUT RISK",1000,IF(AG42="REORDER REQUIRED",2000,IF(AG42="EXCESS STOCK",3000,4000)))+IF(AG42="EXCESS STOCK",500-MIN(S42,499),MAX(MIN(S42,499),-499))</f>
        <v>3484.26229508197</v>
      </c>
      <c r="AK42" s="19" t="n">
        <f aca="false">SUMPRODUCT(--($AJ$7:$AJ$54&lt;AJ42))+SUMPRODUCT(--($AJ$7:AJ42=AJ42))</f>
        <v>23</v>
      </c>
    </row>
    <row r="43" customFormat="false" ht="54" hidden="false" customHeight="true" outlineLevel="0" collapsed="false">
      <c r="A43" s="11" t="str">
        <f aca="false">Forecast!A43</f>
        <v>ELE-008</v>
      </c>
      <c r="B43" s="11" t="str">
        <f aca="false">Forecast!B43</f>
        <v>Burr Coffee Grinder</v>
      </c>
      <c r="C43" s="11" t="str">
        <f aca="false">Inputs!E76</f>
        <v>SUP-04</v>
      </c>
      <c r="D43" s="11" t="str">
        <f aca="false">Forecast!AE43</f>
        <v>MA4</v>
      </c>
      <c r="E43" s="35" t="n">
        <f aca="false">Forecast!AF43</f>
        <v>16.25</v>
      </c>
      <c r="F43" s="36" t="n">
        <f aca="false">Forecast!AG43</f>
        <v>0.315789473684211</v>
      </c>
      <c r="G43" s="37" t="n">
        <f aca="false">Forecast!AH43</f>
        <v>0.00415512465373961</v>
      </c>
      <c r="H43" s="35" t="n">
        <f aca="false">Forecast!AI43</f>
        <v>5.99644816942222</v>
      </c>
      <c r="I43" s="36" t="n">
        <f aca="false">TSL</f>
        <v>0.95</v>
      </c>
      <c r="J43" s="38" t="n">
        <f aca="false">Z_Value</f>
        <v>1.64485362695147</v>
      </c>
      <c r="K43" s="39" t="n">
        <f aca="false">Inputs!F76</f>
        <v>6</v>
      </c>
      <c r="L43" s="28" t="n">
        <f aca="false">J43*H43*SQRT(K43)</f>
        <v>24.1600020151798</v>
      </c>
      <c r="M43" s="28" t="n">
        <f aca="false">E43*K43</f>
        <v>97.5</v>
      </c>
      <c r="N43" s="19" t="n">
        <f aca="false">M43+L43</f>
        <v>121.66000201518</v>
      </c>
      <c r="O43" s="39" t="n">
        <f aca="false">Inputs!J76</f>
        <v>29</v>
      </c>
      <c r="P43" s="39" t="n">
        <f aca="false">Inputs!K76</f>
        <v>126</v>
      </c>
      <c r="Q43" s="39" t="n">
        <f aca="false">Inputs!M76</f>
        <v>0</v>
      </c>
      <c r="R43" s="19" t="n">
        <f aca="false">O43+P43-Q43</f>
        <v>155</v>
      </c>
      <c r="S43" s="28" t="n">
        <f aca="false">IF(E43&gt;0,R43/E43,0)</f>
        <v>9.53846153846154</v>
      </c>
      <c r="T43" s="28" t="n">
        <f aca="false">IF(E43&gt;0,O43/E43,0)</f>
        <v>1.78461538461538</v>
      </c>
      <c r="U43" s="19" t="n">
        <f aca="false">E43*Weeks_Per_Year</f>
        <v>845</v>
      </c>
      <c r="V43" s="40" t="n">
        <f aca="false">Inputs!H76</f>
        <v>48</v>
      </c>
      <c r="W43" s="40" t="n">
        <f aca="false">Inputs!G76</f>
        <v>90</v>
      </c>
      <c r="X43" s="36" t="n">
        <f aca="false">Holding_Rate</f>
        <v>0.2</v>
      </c>
      <c r="Y43" s="21" t="n">
        <f aca="false">V43*X43</f>
        <v>9.6</v>
      </c>
      <c r="Z43" s="28" t="n">
        <f aca="false">SQRT((2*U43*W43)/Y43)</f>
        <v>125.871958751741</v>
      </c>
      <c r="AA43" s="39" t="n">
        <f aca="false">Inputs!I76</f>
        <v>2</v>
      </c>
      <c r="AB43" s="19" t="n">
        <f aca="false">ROUNDUP(Z43/AA43,0)*AA43</f>
        <v>126</v>
      </c>
      <c r="AC43" s="10" t="str">
        <f aca="false">IF(R43&lt;=N43,"YES","NO")</f>
        <v>NO</v>
      </c>
      <c r="AD43" s="41" t="n">
        <f aca="false">IF(AC43="YES",AB43,0)</f>
        <v>0</v>
      </c>
      <c r="AE43" s="39" t="n">
        <f aca="false">Projection!BQ43</f>
        <v>10</v>
      </c>
      <c r="AF43" s="11" t="str">
        <f aca="false">Projection!BR43</f>
        <v>NO</v>
      </c>
      <c r="AG43" s="12" t="str">
        <f aca="false">IF(AF43="YES","STOCKOUT RISK",IF(AC43="YES","REORDER REQUIRED",IF(S43&gt;Excess_WoC,"EXCESS STOCK","HEALTHY")))</f>
        <v>HEALTHY</v>
      </c>
      <c r="AH43" s="7" t="str">
        <f aca="false">IF(AG43="STOCKOUT RISK","Projected inventory reaches zero in week "&amp;AE43&amp;", before a new order placed now could arrive (week "&amp;(K43+1)&amp;"). "&amp;IF(AC43="YES","Inventory position of "&amp;FIXED(R43,0)&amp;" units is at or below the reorder point of "&amp;FIXED(N43,0)&amp;", so an order of "&amp;FIXED(AD43,0)&amp;" units is recommended (EOQ "&amp;FIXED(Z43,0)&amp;", case pack "&amp;AA43&amp;"), but it cannot arrive in time: expedite supply or manage the shortfall.","No new order is triggered because inventory position of "&amp;FIXED(R43,0)&amp;" units is above the reorder point of "&amp;FIXED(N43,0)&amp;", but the open PO of "&amp;FIXED(P43,0)&amp;" units is due in week "&amp;Inputs!L76&amp;", which is too late: expedite the open PO."),IF(AG43="REORDER REQUIRED","Inventory position of "&amp;FIXED(R43,0)&amp;" units is "&amp;FIXED(N43-R43,0)&amp;" units below the reorder point of "&amp;FIXED(N43,0)&amp;" units. Replenishment is required. EOQ recommends approximately "&amp;FIXED(Z43,0)&amp;" units, rounded to "&amp;FIXED(AD43,0)&amp;" (case pack "&amp;AA43&amp;").",IF(AG43="EXCESS STOCK","Inventory position represents "&amp;FIXED(S43,1)&amp;" weeks of expected demand, above the "&amp;Excess_WoC&amp;"-week excess-stock threshold. No replenishment is triggered.","Inventory position of "&amp;FIXED(R43,0)&amp;" units is above the reorder point of "&amp;FIXED(N43,0)&amp;" units and covers "&amp;FIXED(S43,1)&amp;" weeks of forecast demand. No order needed now.")))</f>
        <v>Inventory position of 155 units is above the reorder point of 122 units and covers 9.5 weeks of forecast demand. No order needed now.</v>
      </c>
      <c r="AI43" s="42" t="n">
        <f aca="false">O43*V43</f>
        <v>1392</v>
      </c>
      <c r="AJ43" s="43" t="n">
        <f aca="false">IF(AG43="STOCKOUT RISK",1000,IF(AG43="REORDER REQUIRED",2000,IF(AG43="EXCESS STOCK",3000,4000)))+IF(AG43="EXCESS STOCK",500-MIN(S43,499),MAX(MIN(S43,499),-499))</f>
        <v>4009.53846153846</v>
      </c>
      <c r="AK43" s="19" t="n">
        <f aca="false">SUMPRODUCT(--($AJ$7:$AJ$54&lt;AJ43))+SUMPRODUCT(--($AJ$7:AJ43=AJ43))</f>
        <v>45</v>
      </c>
    </row>
    <row r="44" customFormat="false" ht="54" hidden="false" customHeight="true" outlineLevel="0" collapsed="false">
      <c r="A44" s="11" t="str">
        <f aca="false">Forecast!A44</f>
        <v>CLN-001</v>
      </c>
      <c r="B44" s="11" t="str">
        <f aca="false">Forecast!B44</f>
        <v>Dishwasher Tabs 60pc</v>
      </c>
      <c r="C44" s="11" t="str">
        <f aca="false">Inputs!E77</f>
        <v>SUP-05</v>
      </c>
      <c r="D44" s="11" t="str">
        <f aca="false">Forecast!AE44</f>
        <v>MA4</v>
      </c>
      <c r="E44" s="35" t="n">
        <f aca="false">Forecast!AF44</f>
        <v>216.5</v>
      </c>
      <c r="F44" s="36" t="n">
        <f aca="false">Forecast!AG44</f>
        <v>0.090787041112774</v>
      </c>
      <c r="G44" s="37" t="n">
        <f aca="false">Forecast!AH44</f>
        <v>0.00173870939343252</v>
      </c>
      <c r="H44" s="35" t="n">
        <f aca="false">Forecast!AI44</f>
        <v>22.6541825329629</v>
      </c>
      <c r="I44" s="36" t="n">
        <f aca="false">TSL</f>
        <v>0.95</v>
      </c>
      <c r="J44" s="38" t="n">
        <f aca="false">Z_Value</f>
        <v>1.64485362695147</v>
      </c>
      <c r="K44" s="39" t="n">
        <f aca="false">Inputs!F77</f>
        <v>1</v>
      </c>
      <c r="L44" s="28" t="n">
        <f aca="false">J44*H44*SQRT(K44)</f>
        <v>37.2628143049647</v>
      </c>
      <c r="M44" s="28" t="n">
        <f aca="false">E44*K44</f>
        <v>216.5</v>
      </c>
      <c r="N44" s="19" t="n">
        <f aca="false">M44+L44</f>
        <v>253.762814304965</v>
      </c>
      <c r="O44" s="39" t="n">
        <f aca="false">Inputs!J77</f>
        <v>666</v>
      </c>
      <c r="P44" s="39" t="n">
        <f aca="false">Inputs!K77</f>
        <v>0</v>
      </c>
      <c r="Q44" s="39" t="n">
        <f aca="false">Inputs!M77</f>
        <v>0</v>
      </c>
      <c r="R44" s="19" t="n">
        <f aca="false">O44+P44-Q44</f>
        <v>666</v>
      </c>
      <c r="S44" s="28" t="n">
        <f aca="false">IF(E44&gt;0,R44/E44,0)</f>
        <v>3.07621247113164</v>
      </c>
      <c r="T44" s="28" t="n">
        <f aca="false">IF(E44&gt;0,O44/E44,0)</f>
        <v>3.07621247113164</v>
      </c>
      <c r="U44" s="19" t="n">
        <f aca="false">E44*Weeks_Per_Year</f>
        <v>11258</v>
      </c>
      <c r="V44" s="40" t="n">
        <f aca="false">Inputs!H77</f>
        <v>7</v>
      </c>
      <c r="W44" s="40" t="n">
        <f aca="false">Inputs!G77</f>
        <v>35</v>
      </c>
      <c r="X44" s="36" t="n">
        <f aca="false">Holding_Rate</f>
        <v>0.2</v>
      </c>
      <c r="Y44" s="21" t="n">
        <f aca="false">V44*X44</f>
        <v>1.4</v>
      </c>
      <c r="Z44" s="28" t="n">
        <f aca="false">SQRT((2*U44*W44)/Y44)</f>
        <v>750.266619276108</v>
      </c>
      <c r="AA44" s="39" t="n">
        <f aca="false">Inputs!I77</f>
        <v>12</v>
      </c>
      <c r="AB44" s="19" t="n">
        <f aca="false">ROUNDUP(Z44/AA44,0)*AA44</f>
        <v>756</v>
      </c>
      <c r="AC44" s="10" t="str">
        <f aca="false">IF(R44&lt;=N44,"YES","NO")</f>
        <v>NO</v>
      </c>
      <c r="AD44" s="41" t="n">
        <f aca="false">IF(AC44="YES",AB44,0)</f>
        <v>0</v>
      </c>
      <c r="AE44" s="39" t="n">
        <f aca="false">Projection!BQ44</f>
        <v>4</v>
      </c>
      <c r="AF44" s="11" t="str">
        <f aca="false">Projection!BR44</f>
        <v>NO</v>
      </c>
      <c r="AG44" s="12" t="str">
        <f aca="false">IF(AF44="YES","STOCKOUT RISK",IF(AC44="YES","REORDER REQUIRED",IF(S44&gt;Excess_WoC,"EXCESS STOCK","HEALTHY")))</f>
        <v>HEALTHY</v>
      </c>
      <c r="AH44" s="7" t="str">
        <f aca="false">IF(AG44="STOCKOUT RISK","Projected inventory reaches zero in week "&amp;AE44&amp;", before a new order placed now could arrive (week "&amp;(K44+1)&amp;"). "&amp;IF(AC44="YES","Inventory position of "&amp;FIXED(R44,0)&amp;" units is at or below the reorder point of "&amp;FIXED(N44,0)&amp;", so an order of "&amp;FIXED(AD44,0)&amp;" units is recommended (EOQ "&amp;FIXED(Z44,0)&amp;", case pack "&amp;AA44&amp;"), but it cannot arrive in time: expedite supply or manage the shortfall.","No new order is triggered because inventory position of "&amp;FIXED(R44,0)&amp;" units is above the reorder point of "&amp;FIXED(N44,0)&amp;", but the open PO of "&amp;FIXED(P44,0)&amp;" units is due in week "&amp;Inputs!L77&amp;", which is too late: expedite the open PO."),IF(AG44="REORDER REQUIRED","Inventory position of "&amp;FIXED(R44,0)&amp;" units is "&amp;FIXED(N44-R44,0)&amp;" units below the reorder point of "&amp;FIXED(N44,0)&amp;" units. Replenishment is required. EOQ recommends approximately "&amp;FIXED(Z44,0)&amp;" units, rounded to "&amp;FIXED(AD44,0)&amp;" (case pack "&amp;AA44&amp;").",IF(AG44="EXCESS STOCK","Inventory position represents "&amp;FIXED(S44,1)&amp;" weeks of expected demand, above the "&amp;Excess_WoC&amp;"-week excess-stock threshold. No replenishment is triggered.","Inventory position of "&amp;FIXED(R44,0)&amp;" units is above the reorder point of "&amp;FIXED(N44,0)&amp;" units and covers "&amp;FIXED(S44,1)&amp;" weeks of forecast demand. No order needed now.")))</f>
        <v>Inventory position of 666 units is above the reorder point of 254 units and covers 3.1 weeks of forecast demand. No order needed now.</v>
      </c>
      <c r="AI44" s="42" t="n">
        <f aca="false">O44*V44</f>
        <v>4662</v>
      </c>
      <c r="AJ44" s="43" t="n">
        <f aca="false">IF(AG44="STOCKOUT RISK",1000,IF(AG44="REORDER REQUIRED",2000,IF(AG44="EXCESS STOCK",3000,4000)))+IF(AG44="EXCESS STOCK",500-MIN(S44,499),MAX(MIN(S44,499),-499))</f>
        <v>4003.07621247113</v>
      </c>
      <c r="AK44" s="19" t="n">
        <f aca="false">SUMPRODUCT(--($AJ$7:$AJ$54&lt;AJ44))+SUMPRODUCT(--($AJ$7:AJ44=AJ44))</f>
        <v>29</v>
      </c>
    </row>
    <row r="45" customFormat="false" ht="54" hidden="false" customHeight="true" outlineLevel="0" collapsed="false">
      <c r="A45" s="11" t="str">
        <f aca="false">Forecast!A45</f>
        <v>CLN-002</v>
      </c>
      <c r="B45" s="11" t="str">
        <f aca="false">Forecast!B45</f>
        <v>Microfibre Cloths 10-Pack</v>
      </c>
      <c r="C45" s="11" t="str">
        <f aca="false">Inputs!E78</f>
        <v>SUP-05</v>
      </c>
      <c r="D45" s="11" t="str">
        <f aca="false">Forecast!AE45</f>
        <v>MA4</v>
      </c>
      <c r="E45" s="35" t="n">
        <f aca="false">Forecast!AF45</f>
        <v>179.75</v>
      </c>
      <c r="F45" s="36" t="n">
        <f aca="false">Forecast!AG45</f>
        <v>0.13779786851874</v>
      </c>
      <c r="G45" s="37" t="n">
        <f aca="false">Forecast!AH45</f>
        <v>-0.0142198539097114</v>
      </c>
      <c r="H45" s="35" t="n">
        <f aca="false">Forecast!AI45</f>
        <v>27.5996425118114</v>
      </c>
      <c r="I45" s="36" t="n">
        <f aca="false">TSL</f>
        <v>0.95</v>
      </c>
      <c r="J45" s="38" t="n">
        <f aca="false">Z_Value</f>
        <v>1.64485362695147</v>
      </c>
      <c r="K45" s="39" t="n">
        <f aca="false">Inputs!F78</f>
        <v>1</v>
      </c>
      <c r="L45" s="28" t="n">
        <f aca="false">J45*H45*SQRT(K45)</f>
        <v>45.3973720881171</v>
      </c>
      <c r="M45" s="28" t="n">
        <f aca="false">E45*K45</f>
        <v>179.75</v>
      </c>
      <c r="N45" s="19" t="n">
        <f aca="false">M45+L45</f>
        <v>225.147372088117</v>
      </c>
      <c r="O45" s="39" t="n">
        <f aca="false">Inputs!J78</f>
        <v>180</v>
      </c>
      <c r="P45" s="39" t="n">
        <f aca="false">Inputs!K78</f>
        <v>0</v>
      </c>
      <c r="Q45" s="39" t="n">
        <f aca="false">Inputs!M78</f>
        <v>0</v>
      </c>
      <c r="R45" s="19" t="n">
        <f aca="false">O45+P45-Q45</f>
        <v>180</v>
      </c>
      <c r="S45" s="28" t="n">
        <f aca="false">IF(E45&gt;0,R45/E45,0)</f>
        <v>1.00139082058414</v>
      </c>
      <c r="T45" s="28" t="n">
        <f aca="false">IF(E45&gt;0,O45/E45,0)</f>
        <v>1.00139082058414</v>
      </c>
      <c r="U45" s="19" t="n">
        <f aca="false">E45*Weeks_Per_Year</f>
        <v>9347</v>
      </c>
      <c r="V45" s="40" t="n">
        <f aca="false">Inputs!H78</f>
        <v>5</v>
      </c>
      <c r="W45" s="40" t="n">
        <f aca="false">Inputs!G78</f>
        <v>35</v>
      </c>
      <c r="X45" s="36" t="n">
        <f aca="false">Holding_Rate</f>
        <v>0.2</v>
      </c>
      <c r="Y45" s="21" t="n">
        <f aca="false">V45*X45</f>
        <v>1</v>
      </c>
      <c r="Z45" s="28" t="n">
        <f aca="false">SQRT((2*U45*W45)/Y45)</f>
        <v>808.881944414635</v>
      </c>
      <c r="AA45" s="39" t="n">
        <f aca="false">Inputs!I78</f>
        <v>20</v>
      </c>
      <c r="AB45" s="19" t="n">
        <f aca="false">ROUNDUP(Z45/AA45,0)*AA45</f>
        <v>820</v>
      </c>
      <c r="AC45" s="10" t="str">
        <f aca="false">IF(R45&lt;=N45,"YES","NO")</f>
        <v>YES</v>
      </c>
      <c r="AD45" s="41" t="n">
        <f aca="false">IF(AC45="YES",AB45,0)</f>
        <v>820</v>
      </c>
      <c r="AE45" s="39" t="n">
        <f aca="false">Projection!BQ45</f>
        <v>6</v>
      </c>
      <c r="AF45" s="11" t="str">
        <f aca="false">Projection!BR45</f>
        <v>NO</v>
      </c>
      <c r="AG45" s="12" t="str">
        <f aca="false">IF(AF45="YES","STOCKOUT RISK",IF(AC45="YES","REORDER REQUIRED",IF(S45&gt;Excess_WoC,"EXCESS STOCK","HEALTHY")))</f>
        <v>REORDER REQUIRED</v>
      </c>
      <c r="AH45" s="7" t="str">
        <f aca="false">IF(AG45="STOCKOUT RISK","Projected inventory reaches zero in week "&amp;AE45&amp;", before a new order placed now could arrive (week "&amp;(K45+1)&amp;"). "&amp;IF(AC45="YES","Inventory position of "&amp;FIXED(R45,0)&amp;" units is at or below the reorder point of "&amp;FIXED(N45,0)&amp;", so an order of "&amp;FIXED(AD45,0)&amp;" units is recommended (EOQ "&amp;FIXED(Z45,0)&amp;", case pack "&amp;AA45&amp;"), but it cannot arrive in time: expedite supply or manage the shortfall.","No new order is triggered because inventory position of "&amp;FIXED(R45,0)&amp;" units is above the reorder point of "&amp;FIXED(N45,0)&amp;", but the open PO of "&amp;FIXED(P45,0)&amp;" units is due in week "&amp;Inputs!L78&amp;", which is too late: expedite the open PO."),IF(AG45="REORDER REQUIRED","Inventory position of "&amp;FIXED(R45,0)&amp;" units is "&amp;FIXED(N45-R45,0)&amp;" units below the reorder point of "&amp;FIXED(N45,0)&amp;" units. Replenishment is required. EOQ recommends approximately "&amp;FIXED(Z45,0)&amp;" units, rounded to "&amp;FIXED(AD45,0)&amp;" (case pack "&amp;AA45&amp;").",IF(AG45="EXCESS STOCK","Inventory position represents "&amp;FIXED(S45,1)&amp;" weeks of expected demand, above the "&amp;Excess_WoC&amp;"-week excess-stock threshold. No replenishment is triggered.","Inventory position of "&amp;FIXED(R45,0)&amp;" units is above the reorder point of "&amp;FIXED(N45,0)&amp;" units and covers "&amp;FIXED(S45,1)&amp;" weeks of forecast demand. No order needed now.")))</f>
        <v>Inventory position of 180 units is 45 units below the reorder point of 225 units. Replenishment is required. EOQ recommends approximately 809 units, rounded to 820 (case pack 20).</v>
      </c>
      <c r="AI45" s="42" t="n">
        <f aca="false">O45*V45</f>
        <v>900</v>
      </c>
      <c r="AJ45" s="43" t="n">
        <f aca="false">IF(AG45="STOCKOUT RISK",1000,IF(AG45="REORDER REQUIRED",2000,IF(AG45="EXCESS STOCK",3000,4000)))+IF(AG45="EXCESS STOCK",500-MIN(S45,499),MAX(MIN(S45,499),-499))</f>
        <v>2001.00139082058</v>
      </c>
      <c r="AK45" s="19" t="n">
        <f aca="false">SUMPRODUCT(--($AJ$7:$AJ$54&lt;AJ45))+SUMPRODUCT(--($AJ$7:AJ45=AJ45))</f>
        <v>7</v>
      </c>
    </row>
    <row r="46" customFormat="false" ht="54" hidden="false" customHeight="true" outlineLevel="0" collapsed="false">
      <c r="A46" s="11" t="str">
        <f aca="false">Forecast!A46</f>
        <v>CLN-003</v>
      </c>
      <c r="B46" s="11" t="str">
        <f aca="false">Forecast!B46</f>
        <v>Eco Laundry Detergent 2L</v>
      </c>
      <c r="C46" s="11" t="str">
        <f aca="false">Inputs!E79</f>
        <v>SUP-05</v>
      </c>
      <c r="D46" s="11" t="str">
        <f aca="false">Forecast!AE46</f>
        <v>MA4</v>
      </c>
      <c r="E46" s="35" t="n">
        <f aca="false">Forecast!AF46</f>
        <v>189.25</v>
      </c>
      <c r="F46" s="36" t="n">
        <f aca="false">Forecast!AG46</f>
        <v>0.138406764574989</v>
      </c>
      <c r="G46" s="37" t="n">
        <f aca="false">Forecast!AH46</f>
        <v>-0.0148531375166889</v>
      </c>
      <c r="H46" s="35" t="n">
        <f aca="false">Forecast!AI46</f>
        <v>28.759317134124</v>
      </c>
      <c r="I46" s="36" t="n">
        <f aca="false">TSL</f>
        <v>0.95</v>
      </c>
      <c r="J46" s="38" t="n">
        <f aca="false">Z_Value</f>
        <v>1.64485362695147</v>
      </c>
      <c r="K46" s="39" t="n">
        <f aca="false">Inputs!F79</f>
        <v>1</v>
      </c>
      <c r="L46" s="28" t="n">
        <f aca="false">J46*H46*SQRT(K46)</f>
        <v>47.3048670967114</v>
      </c>
      <c r="M46" s="28" t="n">
        <f aca="false">E46*K46</f>
        <v>189.25</v>
      </c>
      <c r="N46" s="19" t="n">
        <f aca="false">M46+L46</f>
        <v>236.554867096711</v>
      </c>
      <c r="O46" s="39" t="n">
        <f aca="false">Inputs!J79</f>
        <v>0</v>
      </c>
      <c r="P46" s="39" t="n">
        <f aca="false">Inputs!K79</f>
        <v>0</v>
      </c>
      <c r="Q46" s="39" t="n">
        <f aca="false">Inputs!M79</f>
        <v>99</v>
      </c>
      <c r="R46" s="19" t="n">
        <f aca="false">O46+P46-Q46</f>
        <v>-99</v>
      </c>
      <c r="S46" s="28" t="n">
        <f aca="false">IF(E46&gt;0,R46/E46,0)</f>
        <v>-0.523117569352708</v>
      </c>
      <c r="T46" s="28" t="n">
        <f aca="false">IF(E46&gt;0,O46/E46,0)</f>
        <v>0</v>
      </c>
      <c r="U46" s="19" t="n">
        <f aca="false">E46*Weeks_Per_Year</f>
        <v>9841</v>
      </c>
      <c r="V46" s="40" t="n">
        <f aca="false">Inputs!H79</f>
        <v>9</v>
      </c>
      <c r="W46" s="40" t="n">
        <f aca="false">Inputs!G79</f>
        <v>35</v>
      </c>
      <c r="X46" s="36" t="n">
        <f aca="false">Holding_Rate</f>
        <v>0.2</v>
      </c>
      <c r="Y46" s="21" t="n">
        <f aca="false">V46*X46</f>
        <v>1.8</v>
      </c>
      <c r="Z46" s="28" t="n">
        <f aca="false">SQRT((2*U46*W46)/Y46)</f>
        <v>618.632003339268</v>
      </c>
      <c r="AA46" s="39" t="n">
        <f aca="false">Inputs!I79</f>
        <v>6</v>
      </c>
      <c r="AB46" s="19" t="n">
        <f aca="false">ROUNDUP(Z46/AA46,0)*AA46</f>
        <v>624</v>
      </c>
      <c r="AC46" s="10" t="str">
        <f aca="false">IF(R46&lt;=N46,"YES","NO")</f>
        <v>YES</v>
      </c>
      <c r="AD46" s="41" t="n">
        <f aca="false">IF(AC46="YES",AB46,0)</f>
        <v>624</v>
      </c>
      <c r="AE46" s="39" t="n">
        <f aca="false">Projection!BQ46</f>
        <v>1</v>
      </c>
      <c r="AF46" s="11" t="str">
        <f aca="false">Projection!BR46</f>
        <v>YES</v>
      </c>
      <c r="AG46" s="12" t="str">
        <f aca="false">IF(AF46="YES","STOCKOUT RISK",IF(AC46="YES","REORDER REQUIRED",IF(S46&gt;Excess_WoC,"EXCESS STOCK","HEALTHY")))</f>
        <v>STOCKOUT RISK</v>
      </c>
      <c r="AH46" s="7" t="str">
        <f aca="false">IF(AG46="STOCKOUT RISK","Projected inventory reaches zero in week "&amp;AE46&amp;", before a new order placed now could arrive (week "&amp;(K46+1)&amp;"). "&amp;IF(AC46="YES","Inventory position of "&amp;FIXED(R46,0)&amp;" units is at or below the reorder point of "&amp;FIXED(N46,0)&amp;", so an order of "&amp;FIXED(AD46,0)&amp;" units is recommended (EOQ "&amp;FIXED(Z46,0)&amp;", case pack "&amp;AA46&amp;"), but it cannot arrive in time: expedite supply or manage the shortfall.","No new order is triggered because inventory position of "&amp;FIXED(R46,0)&amp;" units is above the reorder point of "&amp;FIXED(N46,0)&amp;", but the open PO of "&amp;FIXED(P46,0)&amp;" units is due in week "&amp;Inputs!L79&amp;", which is too late: expedite the open PO."),IF(AG46="REORDER REQUIRED","Inventory position of "&amp;FIXED(R46,0)&amp;" units is "&amp;FIXED(N46-R46,0)&amp;" units below the reorder point of "&amp;FIXED(N46,0)&amp;" units. Replenishment is required. EOQ recommends approximately "&amp;FIXED(Z46,0)&amp;" units, rounded to "&amp;FIXED(AD46,0)&amp;" (case pack "&amp;AA46&amp;").",IF(AG46="EXCESS STOCK","Inventory position represents "&amp;FIXED(S46,1)&amp;" weeks of expected demand, above the "&amp;Excess_WoC&amp;"-week excess-stock threshold. No replenishment is triggered.","Inventory position of "&amp;FIXED(R46,0)&amp;" units is above the reorder point of "&amp;FIXED(N46,0)&amp;" units and covers "&amp;FIXED(S46,1)&amp;" weeks of forecast demand. No order needed now.")))</f>
        <v>Projected inventory reaches zero in week 1, before a new order placed now could arrive (week 2). Inventory position of -99 units is at or below the reorder point of 237, so an order of 624 units is recommended (EOQ 619, case pack 6), but it cannot arrive in time: expedite supply or manage the shortfall.</v>
      </c>
      <c r="AI46" s="42" t="n">
        <f aca="false">O46*V46</f>
        <v>0</v>
      </c>
      <c r="AJ46" s="43" t="n">
        <f aca="false">IF(AG46="STOCKOUT RISK",1000,IF(AG46="REORDER REQUIRED",2000,IF(AG46="EXCESS STOCK",3000,4000)))+IF(AG46="EXCESS STOCK",500-MIN(S46,499),MAX(MIN(S46,499),-499))</f>
        <v>999.476882430647</v>
      </c>
      <c r="AK46" s="19" t="n">
        <f aca="false">SUMPRODUCT(--($AJ$7:$AJ$54&lt;AJ46))+SUMPRODUCT(--($AJ$7:AJ46=AJ46))</f>
        <v>1</v>
      </c>
    </row>
    <row r="47" customFormat="false" ht="54" hidden="false" customHeight="true" outlineLevel="0" collapsed="false">
      <c r="A47" s="11" t="str">
        <f aca="false">Forecast!A47</f>
        <v>CLN-004</v>
      </c>
      <c r="B47" s="11" t="str">
        <f aca="false">Forecast!B47</f>
        <v>Glass Cleaner Spray</v>
      </c>
      <c r="C47" s="11" t="str">
        <f aca="false">Inputs!E80</f>
        <v>SUP-05</v>
      </c>
      <c r="D47" s="11" t="str">
        <f aca="false">Forecast!AE47</f>
        <v>MA4</v>
      </c>
      <c r="E47" s="35" t="n">
        <f aca="false">Forecast!AF47</f>
        <v>63</v>
      </c>
      <c r="F47" s="36" t="n">
        <f aca="false">Forecast!AG47</f>
        <v>0.308271935699933</v>
      </c>
      <c r="G47" s="37" t="n">
        <f aca="false">Forecast!AH47</f>
        <v>0.0243916052690333</v>
      </c>
      <c r="H47" s="35" t="n">
        <f aca="false">Forecast!AI47</f>
        <v>33.842457221987</v>
      </c>
      <c r="I47" s="36" t="n">
        <f aca="false">TSL</f>
        <v>0.95</v>
      </c>
      <c r="J47" s="38" t="n">
        <f aca="false">Z_Value</f>
        <v>1.64485362695147</v>
      </c>
      <c r="K47" s="39" t="n">
        <f aca="false">Inputs!F80</f>
        <v>1</v>
      </c>
      <c r="L47" s="28" t="n">
        <f aca="false">J47*H47*SQRT(K47)</f>
        <v>55.6658885065354</v>
      </c>
      <c r="M47" s="28" t="n">
        <f aca="false">E47*K47</f>
        <v>63</v>
      </c>
      <c r="N47" s="19" t="n">
        <f aca="false">M47+L47</f>
        <v>118.665888506535</v>
      </c>
      <c r="O47" s="39" t="n">
        <f aca="false">Inputs!J80</f>
        <v>556</v>
      </c>
      <c r="P47" s="39" t="n">
        <f aca="false">Inputs!K80</f>
        <v>0</v>
      </c>
      <c r="Q47" s="39" t="n">
        <f aca="false">Inputs!M80</f>
        <v>0</v>
      </c>
      <c r="R47" s="19" t="n">
        <f aca="false">O47+P47-Q47</f>
        <v>556</v>
      </c>
      <c r="S47" s="28" t="n">
        <f aca="false">IF(E47&gt;0,R47/E47,0)</f>
        <v>8.82539682539683</v>
      </c>
      <c r="T47" s="28" t="n">
        <f aca="false">IF(E47&gt;0,O47/E47,0)</f>
        <v>8.82539682539683</v>
      </c>
      <c r="U47" s="19" t="n">
        <f aca="false">E47*Weeks_Per_Year</f>
        <v>3276</v>
      </c>
      <c r="V47" s="40" t="n">
        <f aca="false">Inputs!H80</f>
        <v>6</v>
      </c>
      <c r="W47" s="40" t="n">
        <f aca="false">Inputs!G80</f>
        <v>35</v>
      </c>
      <c r="X47" s="36" t="n">
        <f aca="false">Holding_Rate</f>
        <v>0.2</v>
      </c>
      <c r="Y47" s="21" t="n">
        <f aca="false">V47*X47</f>
        <v>1.2</v>
      </c>
      <c r="Z47" s="28" t="n">
        <f aca="false">SQRT((2*U47*W47)/Y47)</f>
        <v>437.149859887888</v>
      </c>
      <c r="AA47" s="39" t="n">
        <f aca="false">Inputs!I80</f>
        <v>12</v>
      </c>
      <c r="AB47" s="19" t="n">
        <f aca="false">ROUNDUP(Z47/AA47,0)*AA47</f>
        <v>444</v>
      </c>
      <c r="AC47" s="10" t="str">
        <f aca="false">IF(R47&lt;=N47,"YES","NO")</f>
        <v>NO</v>
      </c>
      <c r="AD47" s="41" t="n">
        <f aca="false">IF(AC47="YES",AB47,0)</f>
        <v>0</v>
      </c>
      <c r="AE47" s="39" t="n">
        <f aca="false">Projection!BQ47</f>
        <v>9</v>
      </c>
      <c r="AF47" s="11" t="str">
        <f aca="false">Projection!BR47</f>
        <v>NO</v>
      </c>
      <c r="AG47" s="12" t="str">
        <f aca="false">IF(AF47="YES","STOCKOUT RISK",IF(AC47="YES","REORDER REQUIRED",IF(S47&gt;Excess_WoC,"EXCESS STOCK","HEALTHY")))</f>
        <v>HEALTHY</v>
      </c>
      <c r="AH47" s="7" t="str">
        <f aca="false">IF(AG47="STOCKOUT RISK","Projected inventory reaches zero in week "&amp;AE47&amp;", before a new order placed now could arrive (week "&amp;(K47+1)&amp;"). "&amp;IF(AC47="YES","Inventory position of "&amp;FIXED(R47,0)&amp;" units is at or below the reorder point of "&amp;FIXED(N47,0)&amp;", so an order of "&amp;FIXED(AD47,0)&amp;" units is recommended (EOQ "&amp;FIXED(Z47,0)&amp;", case pack "&amp;AA47&amp;"), but it cannot arrive in time: expedite supply or manage the shortfall.","No new order is triggered because inventory position of "&amp;FIXED(R47,0)&amp;" units is above the reorder point of "&amp;FIXED(N47,0)&amp;", but the open PO of "&amp;FIXED(P47,0)&amp;" units is due in week "&amp;Inputs!L80&amp;", which is too late: expedite the open PO."),IF(AG47="REORDER REQUIRED","Inventory position of "&amp;FIXED(R47,0)&amp;" units is "&amp;FIXED(N47-R47,0)&amp;" units below the reorder point of "&amp;FIXED(N47,0)&amp;" units. Replenishment is required. EOQ recommends approximately "&amp;FIXED(Z47,0)&amp;" units, rounded to "&amp;FIXED(AD47,0)&amp;" (case pack "&amp;AA47&amp;").",IF(AG47="EXCESS STOCK","Inventory position represents "&amp;FIXED(S47,1)&amp;" weeks of expected demand, above the "&amp;Excess_WoC&amp;"-week excess-stock threshold. No replenishment is triggered.","Inventory position of "&amp;FIXED(R47,0)&amp;" units is above the reorder point of "&amp;FIXED(N47,0)&amp;" units and covers "&amp;FIXED(S47,1)&amp;" weeks of forecast demand. No order needed now.")))</f>
        <v>Inventory position of 556 units is above the reorder point of 119 units and covers 8.8 weeks of forecast demand. No order needed now.</v>
      </c>
      <c r="AI47" s="42" t="n">
        <f aca="false">O47*V47</f>
        <v>3336</v>
      </c>
      <c r="AJ47" s="43" t="n">
        <f aca="false">IF(AG47="STOCKOUT RISK",1000,IF(AG47="REORDER REQUIRED",2000,IF(AG47="EXCESS STOCK",3000,4000)))+IF(AG47="EXCESS STOCK",500-MIN(S47,499),MAX(MIN(S47,499),-499))</f>
        <v>4008.8253968254</v>
      </c>
      <c r="AK47" s="19" t="n">
        <f aca="false">SUMPRODUCT(--($AJ$7:$AJ$54&lt;AJ47))+SUMPRODUCT(--($AJ$7:AJ47=AJ47))</f>
        <v>43</v>
      </c>
    </row>
    <row r="48" customFormat="false" ht="54" hidden="false" customHeight="true" outlineLevel="0" collapsed="false">
      <c r="A48" s="11" t="str">
        <f aca="false">Forecast!A48</f>
        <v>CLN-005</v>
      </c>
      <c r="B48" s="11" t="str">
        <f aca="false">Forecast!B48</f>
        <v>Bamboo Toilet Brush</v>
      </c>
      <c r="C48" s="11" t="str">
        <f aca="false">Inputs!E81</f>
        <v>SUP-05</v>
      </c>
      <c r="D48" s="11" t="str">
        <f aca="false">Forecast!AE48</f>
        <v>MA4</v>
      </c>
      <c r="E48" s="35" t="n">
        <f aca="false">Forecast!AF48</f>
        <v>53.25</v>
      </c>
      <c r="F48" s="36" t="n">
        <f aca="false">Forecast!AG48</f>
        <v>0.109024773889107</v>
      </c>
      <c r="G48" s="37" t="n">
        <f aca="false">Forecast!AH48</f>
        <v>-0.00304758159653952</v>
      </c>
      <c r="H48" s="35" t="n">
        <f aca="false">Forecast!AI48</f>
        <v>6.54401755223669</v>
      </c>
      <c r="I48" s="36" t="n">
        <f aca="false">TSL</f>
        <v>0.95</v>
      </c>
      <c r="J48" s="38" t="n">
        <f aca="false">Z_Value</f>
        <v>1.64485362695147</v>
      </c>
      <c r="K48" s="39" t="n">
        <f aca="false">Inputs!F81</f>
        <v>1</v>
      </c>
      <c r="L48" s="28" t="n">
        <f aca="false">J48*H48*SQRT(K48)</f>
        <v>10.7639510056306</v>
      </c>
      <c r="M48" s="28" t="n">
        <f aca="false">E48*K48</f>
        <v>53.25</v>
      </c>
      <c r="N48" s="19" t="n">
        <f aca="false">M48+L48</f>
        <v>64.0139510056306</v>
      </c>
      <c r="O48" s="39" t="n">
        <f aca="false">Inputs!J81</f>
        <v>307</v>
      </c>
      <c r="P48" s="39" t="n">
        <f aca="false">Inputs!K81</f>
        <v>0</v>
      </c>
      <c r="Q48" s="39" t="n">
        <f aca="false">Inputs!M81</f>
        <v>0</v>
      </c>
      <c r="R48" s="19" t="n">
        <f aca="false">O48+P48-Q48</f>
        <v>307</v>
      </c>
      <c r="S48" s="28" t="n">
        <f aca="false">IF(E48&gt;0,R48/E48,0)</f>
        <v>5.76525821596244</v>
      </c>
      <c r="T48" s="28" t="n">
        <f aca="false">IF(E48&gt;0,O48/E48,0)</f>
        <v>5.76525821596244</v>
      </c>
      <c r="U48" s="19" t="n">
        <f aca="false">E48*Weeks_Per_Year</f>
        <v>2769</v>
      </c>
      <c r="V48" s="40" t="n">
        <f aca="false">Inputs!H81</f>
        <v>11</v>
      </c>
      <c r="W48" s="40" t="n">
        <f aca="false">Inputs!G81</f>
        <v>35</v>
      </c>
      <c r="X48" s="36" t="n">
        <f aca="false">Holding_Rate</f>
        <v>0.2</v>
      </c>
      <c r="Y48" s="21" t="n">
        <f aca="false">V48*X48</f>
        <v>2.2</v>
      </c>
      <c r="Z48" s="28" t="n">
        <f aca="false">SQRT((2*U48*W48)/Y48)</f>
        <v>296.824098507088</v>
      </c>
      <c r="AA48" s="39" t="n">
        <f aca="false">Inputs!I81</f>
        <v>12</v>
      </c>
      <c r="AB48" s="19" t="n">
        <f aca="false">ROUNDUP(Z48/AA48,0)*AA48</f>
        <v>300</v>
      </c>
      <c r="AC48" s="10" t="str">
        <f aca="false">IF(R48&lt;=N48,"YES","NO")</f>
        <v>NO</v>
      </c>
      <c r="AD48" s="41" t="n">
        <f aca="false">IF(AC48="YES",AB48,0)</f>
        <v>0</v>
      </c>
      <c r="AE48" s="39" t="n">
        <f aca="false">Projection!BQ48</f>
        <v>6</v>
      </c>
      <c r="AF48" s="11" t="str">
        <f aca="false">Projection!BR48</f>
        <v>NO</v>
      </c>
      <c r="AG48" s="12" t="str">
        <f aca="false">IF(AF48="YES","STOCKOUT RISK",IF(AC48="YES","REORDER REQUIRED",IF(S48&gt;Excess_WoC,"EXCESS STOCK","HEALTHY")))</f>
        <v>HEALTHY</v>
      </c>
      <c r="AH48" s="7" t="str">
        <f aca="false">IF(AG48="STOCKOUT RISK","Projected inventory reaches zero in week "&amp;AE48&amp;", before a new order placed now could arrive (week "&amp;(K48+1)&amp;"). "&amp;IF(AC48="YES","Inventory position of "&amp;FIXED(R48,0)&amp;" units is at or below the reorder point of "&amp;FIXED(N48,0)&amp;", so an order of "&amp;FIXED(AD48,0)&amp;" units is recommended (EOQ "&amp;FIXED(Z48,0)&amp;", case pack "&amp;AA48&amp;"), but it cannot arrive in time: expedite supply or manage the shortfall.","No new order is triggered because inventory position of "&amp;FIXED(R48,0)&amp;" units is above the reorder point of "&amp;FIXED(N48,0)&amp;", but the open PO of "&amp;FIXED(P48,0)&amp;" units is due in week "&amp;Inputs!L81&amp;", which is too late: expedite the open PO."),IF(AG48="REORDER REQUIRED","Inventory position of "&amp;FIXED(R48,0)&amp;" units is "&amp;FIXED(N48-R48,0)&amp;" units below the reorder point of "&amp;FIXED(N48,0)&amp;" units. Replenishment is required. EOQ recommends approximately "&amp;FIXED(Z48,0)&amp;" units, rounded to "&amp;FIXED(AD48,0)&amp;" (case pack "&amp;AA48&amp;").",IF(AG48="EXCESS STOCK","Inventory position represents "&amp;FIXED(S48,1)&amp;" weeks of expected demand, above the "&amp;Excess_WoC&amp;"-week excess-stock threshold. No replenishment is triggered.","Inventory position of "&amp;FIXED(R48,0)&amp;" units is above the reorder point of "&amp;FIXED(N48,0)&amp;" units and covers "&amp;FIXED(S48,1)&amp;" weeks of forecast demand. No order needed now.")))</f>
        <v>Inventory position of 307 units is above the reorder point of 64 units and covers 5.8 weeks of forecast demand. No order needed now.</v>
      </c>
      <c r="AI48" s="42" t="n">
        <f aca="false">O48*V48</f>
        <v>3377</v>
      </c>
      <c r="AJ48" s="43" t="n">
        <f aca="false">IF(AG48="STOCKOUT RISK",1000,IF(AG48="REORDER REQUIRED",2000,IF(AG48="EXCESS STOCK",3000,4000)))+IF(AG48="EXCESS STOCK",500-MIN(S48,499),MAX(MIN(S48,499),-499))</f>
        <v>4005.76525821596</v>
      </c>
      <c r="AK48" s="19" t="n">
        <f aca="false">SUMPRODUCT(--($AJ$7:$AJ$54&lt;AJ48))+SUMPRODUCT(--($AJ$7:AJ48=AJ48))</f>
        <v>36</v>
      </c>
    </row>
    <row r="49" customFormat="false" ht="54" hidden="false" customHeight="true" outlineLevel="0" collapsed="false">
      <c r="A49" s="11" t="str">
        <f aca="false">Forecast!A49</f>
        <v>CLN-006</v>
      </c>
      <c r="B49" s="11" t="str">
        <f aca="false">Forecast!B49</f>
        <v>Reusable Mop Pads 3-Pack</v>
      </c>
      <c r="C49" s="11" t="str">
        <f aca="false">Inputs!E82</f>
        <v>SUP-05</v>
      </c>
      <c r="D49" s="11" t="str">
        <f aca="false">Forecast!AE49</f>
        <v>MA4</v>
      </c>
      <c r="E49" s="35" t="n">
        <f aca="false">Forecast!AF49</f>
        <v>47</v>
      </c>
      <c r="F49" s="36" t="n">
        <f aca="false">Forecast!AG49</f>
        <v>0.103592605510987</v>
      </c>
      <c r="G49" s="37" t="n">
        <f aca="false">Forecast!AH49</f>
        <v>0.0261597488664109</v>
      </c>
      <c r="H49" s="35" t="n">
        <f aca="false">Forecast!AI49</f>
        <v>7.40174452552343</v>
      </c>
      <c r="I49" s="36" t="n">
        <f aca="false">TSL</f>
        <v>0.95</v>
      </c>
      <c r="J49" s="38" t="n">
        <f aca="false">Z_Value</f>
        <v>1.64485362695147</v>
      </c>
      <c r="K49" s="39" t="n">
        <f aca="false">Inputs!F82</f>
        <v>1</v>
      </c>
      <c r="L49" s="28" t="n">
        <f aca="false">J49*H49*SQRT(K49)</f>
        <v>12.1747863285754</v>
      </c>
      <c r="M49" s="28" t="n">
        <f aca="false">E49*K49</f>
        <v>47</v>
      </c>
      <c r="N49" s="19" t="n">
        <f aca="false">M49+L49</f>
        <v>59.1747863285754</v>
      </c>
      <c r="O49" s="39" t="n">
        <f aca="false">Inputs!J82</f>
        <v>930</v>
      </c>
      <c r="P49" s="39" t="n">
        <f aca="false">Inputs!K82</f>
        <v>0</v>
      </c>
      <c r="Q49" s="39" t="n">
        <f aca="false">Inputs!M82</f>
        <v>0</v>
      </c>
      <c r="R49" s="19" t="n">
        <f aca="false">O49+P49-Q49</f>
        <v>930</v>
      </c>
      <c r="S49" s="28" t="n">
        <f aca="false">IF(E49&gt;0,R49/E49,0)</f>
        <v>19.7872340425532</v>
      </c>
      <c r="T49" s="28" t="n">
        <f aca="false">IF(E49&gt;0,O49/E49,0)</f>
        <v>19.7872340425532</v>
      </c>
      <c r="U49" s="19" t="n">
        <f aca="false">E49*Weeks_Per_Year</f>
        <v>2444</v>
      </c>
      <c r="V49" s="40" t="n">
        <f aca="false">Inputs!H82</f>
        <v>10</v>
      </c>
      <c r="W49" s="40" t="n">
        <f aca="false">Inputs!G82</f>
        <v>35</v>
      </c>
      <c r="X49" s="36" t="n">
        <f aca="false">Holding_Rate</f>
        <v>0.2</v>
      </c>
      <c r="Y49" s="21" t="n">
        <f aca="false">V49*X49</f>
        <v>2</v>
      </c>
      <c r="Z49" s="28" t="n">
        <f aca="false">SQRT((2*U49*W49)/Y49)</f>
        <v>292.472220903114</v>
      </c>
      <c r="AA49" s="39" t="n">
        <f aca="false">Inputs!I82</f>
        <v>12</v>
      </c>
      <c r="AB49" s="19" t="n">
        <f aca="false">ROUNDUP(Z49/AA49,0)*AA49</f>
        <v>300</v>
      </c>
      <c r="AC49" s="10" t="str">
        <f aca="false">IF(R49&lt;=N49,"YES","NO")</f>
        <v>NO</v>
      </c>
      <c r="AD49" s="41" t="n">
        <f aca="false">IF(AC49="YES",AB49,0)</f>
        <v>0</v>
      </c>
      <c r="AE49" s="39" t="str">
        <f aca="false">Projection!BQ49</f>
        <v>None</v>
      </c>
      <c r="AF49" s="11" t="str">
        <f aca="false">Projection!BR49</f>
        <v>NO</v>
      </c>
      <c r="AG49" s="12" t="str">
        <f aca="false">IF(AF49="YES","STOCKOUT RISK",IF(AC49="YES","REORDER REQUIRED",IF(S49&gt;Excess_WoC,"EXCESS STOCK","HEALTHY")))</f>
        <v>EXCESS STOCK</v>
      </c>
      <c r="AH49" s="7" t="str">
        <f aca="false">IF(AG49="STOCKOUT RISK","Projected inventory reaches zero in week "&amp;AE49&amp;", before a new order placed now could arrive (week "&amp;(K49+1)&amp;"). "&amp;IF(AC49="YES","Inventory position of "&amp;FIXED(R49,0)&amp;" units is at or below the reorder point of "&amp;FIXED(N49,0)&amp;", so an order of "&amp;FIXED(AD49,0)&amp;" units is recommended (EOQ "&amp;FIXED(Z49,0)&amp;", case pack "&amp;AA49&amp;"), but it cannot arrive in time: expedite supply or manage the shortfall.","No new order is triggered because inventory position of "&amp;FIXED(R49,0)&amp;" units is above the reorder point of "&amp;FIXED(N49,0)&amp;", but the open PO of "&amp;FIXED(P49,0)&amp;" units is due in week "&amp;Inputs!L82&amp;", which is too late: expedite the open PO."),IF(AG49="REORDER REQUIRED","Inventory position of "&amp;FIXED(R49,0)&amp;" units is "&amp;FIXED(N49-R49,0)&amp;" units below the reorder point of "&amp;FIXED(N49,0)&amp;" units. Replenishment is required. EOQ recommends approximately "&amp;FIXED(Z49,0)&amp;" units, rounded to "&amp;FIXED(AD49,0)&amp;" (case pack "&amp;AA49&amp;").",IF(AG49="EXCESS STOCK","Inventory position represents "&amp;FIXED(S49,1)&amp;" weeks of expected demand, above the "&amp;Excess_WoC&amp;"-week excess-stock threshold. No replenishment is triggered.","Inventory position of "&amp;FIXED(R49,0)&amp;" units is above the reorder point of "&amp;FIXED(N49,0)&amp;" units and covers "&amp;FIXED(S49,1)&amp;" weeks of forecast demand. No order needed now.")))</f>
        <v>Inventory position represents 19.8 weeks of expected demand, above the 12-week excess-stock threshold. No replenishment is triggered.</v>
      </c>
      <c r="AI49" s="42" t="n">
        <f aca="false">O49*V49</f>
        <v>9300</v>
      </c>
      <c r="AJ49" s="43" t="n">
        <f aca="false">IF(AG49="STOCKOUT RISK",1000,IF(AG49="REORDER REQUIRED",2000,IF(AG49="EXCESS STOCK",3000,4000)))+IF(AG49="EXCESS STOCK",500-MIN(S49,499),MAX(MIN(S49,499),-499))</f>
        <v>3480.21276595745</v>
      </c>
      <c r="AK49" s="19" t="n">
        <f aca="false">SUMPRODUCT(--($AJ$7:$AJ$54&lt;AJ49))+SUMPRODUCT(--($AJ$7:AJ49=AJ49))</f>
        <v>20</v>
      </c>
    </row>
    <row r="50" customFormat="false" ht="54" hidden="false" customHeight="true" outlineLevel="0" collapsed="false">
      <c r="A50" s="11" t="str">
        <f aca="false">Forecast!A50</f>
        <v>CLN-007</v>
      </c>
      <c r="B50" s="11" t="str">
        <f aca="false">Forecast!B50</f>
        <v>Kettle Descaler 500ml</v>
      </c>
      <c r="C50" s="11" t="str">
        <f aca="false">Inputs!E83</f>
        <v>SUP-05</v>
      </c>
      <c r="D50" s="11" t="str">
        <f aca="false">Forecast!AE50</f>
        <v>MA8</v>
      </c>
      <c r="E50" s="35" t="n">
        <f aca="false">Forecast!AF50</f>
        <v>65.125</v>
      </c>
      <c r="F50" s="36" t="n">
        <f aca="false">Forecast!AG50</f>
        <v>0.206430465527401</v>
      </c>
      <c r="G50" s="37" t="n">
        <f aca="false">Forecast!AH50</f>
        <v>-0.00217295226870949</v>
      </c>
      <c r="H50" s="35" t="n">
        <f aca="false">Forecast!AI50</f>
        <v>16.8033979998691</v>
      </c>
      <c r="I50" s="36" t="n">
        <f aca="false">TSL</f>
        <v>0.95</v>
      </c>
      <c r="J50" s="38" t="n">
        <f aca="false">Z_Value</f>
        <v>1.64485362695147</v>
      </c>
      <c r="K50" s="39" t="n">
        <f aca="false">Inputs!F83</f>
        <v>1</v>
      </c>
      <c r="L50" s="28" t="n">
        <f aca="false">J50*H50*SQRT(K50)</f>
        <v>27.6391301451938</v>
      </c>
      <c r="M50" s="28" t="n">
        <f aca="false">E50*K50</f>
        <v>65.125</v>
      </c>
      <c r="N50" s="19" t="n">
        <f aca="false">M50+L50</f>
        <v>92.7641301451939</v>
      </c>
      <c r="O50" s="39" t="n">
        <f aca="false">Inputs!J83</f>
        <v>72</v>
      </c>
      <c r="P50" s="39" t="n">
        <f aca="false">Inputs!K83</f>
        <v>0</v>
      </c>
      <c r="Q50" s="39" t="n">
        <f aca="false">Inputs!M83</f>
        <v>0</v>
      </c>
      <c r="R50" s="19" t="n">
        <f aca="false">O50+P50-Q50</f>
        <v>72</v>
      </c>
      <c r="S50" s="28" t="n">
        <f aca="false">IF(E50&gt;0,R50/E50,0)</f>
        <v>1.10556621880998</v>
      </c>
      <c r="T50" s="28" t="n">
        <f aca="false">IF(E50&gt;0,O50/E50,0)</f>
        <v>1.10556621880998</v>
      </c>
      <c r="U50" s="19" t="n">
        <f aca="false">E50*Weeks_Per_Year</f>
        <v>3386.5</v>
      </c>
      <c r="V50" s="40" t="n">
        <f aca="false">Inputs!H83</f>
        <v>8</v>
      </c>
      <c r="W50" s="40" t="n">
        <f aca="false">Inputs!G83</f>
        <v>35</v>
      </c>
      <c r="X50" s="36" t="n">
        <f aca="false">Holding_Rate</f>
        <v>0.2</v>
      </c>
      <c r="Y50" s="21" t="n">
        <f aca="false">V50*X50</f>
        <v>1.6</v>
      </c>
      <c r="Z50" s="28" t="n">
        <f aca="false">SQRT((2*U50*W50)/Y50)</f>
        <v>384.914763291823</v>
      </c>
      <c r="AA50" s="39" t="n">
        <f aca="false">Inputs!I83</f>
        <v>12</v>
      </c>
      <c r="AB50" s="19" t="n">
        <f aca="false">ROUNDUP(Z50/AA50,0)*AA50</f>
        <v>396</v>
      </c>
      <c r="AC50" s="10" t="str">
        <f aca="false">IF(R50&lt;=N50,"YES","NO")</f>
        <v>YES</v>
      </c>
      <c r="AD50" s="41" t="n">
        <f aca="false">IF(AC50="YES",AB50,0)</f>
        <v>396</v>
      </c>
      <c r="AE50" s="39" t="n">
        <f aca="false">Projection!BQ50</f>
        <v>8</v>
      </c>
      <c r="AF50" s="11" t="str">
        <f aca="false">Projection!BR50</f>
        <v>NO</v>
      </c>
      <c r="AG50" s="12" t="str">
        <f aca="false">IF(AF50="YES","STOCKOUT RISK",IF(AC50="YES","REORDER REQUIRED",IF(S50&gt;Excess_WoC,"EXCESS STOCK","HEALTHY")))</f>
        <v>REORDER REQUIRED</v>
      </c>
      <c r="AH50" s="7" t="str">
        <f aca="false">IF(AG50="STOCKOUT RISK","Projected inventory reaches zero in week "&amp;AE50&amp;", before a new order placed now could arrive (week "&amp;(K50+1)&amp;"). "&amp;IF(AC50="YES","Inventory position of "&amp;FIXED(R50,0)&amp;" units is at or below the reorder point of "&amp;FIXED(N50,0)&amp;", so an order of "&amp;FIXED(AD50,0)&amp;" units is recommended (EOQ "&amp;FIXED(Z50,0)&amp;", case pack "&amp;AA50&amp;"), but it cannot arrive in time: expedite supply or manage the shortfall.","No new order is triggered because inventory position of "&amp;FIXED(R50,0)&amp;" units is above the reorder point of "&amp;FIXED(N50,0)&amp;", but the open PO of "&amp;FIXED(P50,0)&amp;" units is due in week "&amp;Inputs!L83&amp;", which is too late: expedite the open PO."),IF(AG50="REORDER REQUIRED","Inventory position of "&amp;FIXED(R50,0)&amp;" units is "&amp;FIXED(N50-R50,0)&amp;" units below the reorder point of "&amp;FIXED(N50,0)&amp;" units. Replenishment is required. EOQ recommends approximately "&amp;FIXED(Z50,0)&amp;" units, rounded to "&amp;FIXED(AD50,0)&amp;" (case pack "&amp;AA50&amp;").",IF(AG50="EXCESS STOCK","Inventory position represents "&amp;FIXED(S50,1)&amp;" weeks of expected demand, above the "&amp;Excess_WoC&amp;"-week excess-stock threshold. No replenishment is triggered.","Inventory position of "&amp;FIXED(R50,0)&amp;" units is above the reorder point of "&amp;FIXED(N50,0)&amp;" units and covers "&amp;FIXED(S50,1)&amp;" weeks of forecast demand. No order needed now.")))</f>
        <v>Inventory position of 72 units is 21 units below the reorder point of 93 units. Replenishment is required. EOQ recommends approximately 385 units, rounded to 396 (case pack 12).</v>
      </c>
      <c r="AI50" s="42" t="n">
        <f aca="false">O50*V50</f>
        <v>576</v>
      </c>
      <c r="AJ50" s="43" t="n">
        <f aca="false">IF(AG50="STOCKOUT RISK",1000,IF(AG50="REORDER REQUIRED",2000,IF(AG50="EXCESS STOCK",3000,4000)))+IF(AG50="EXCESS STOCK",500-MIN(S50,499),MAX(MIN(S50,499),-499))</f>
        <v>2001.10556621881</v>
      </c>
      <c r="AK50" s="19" t="n">
        <f aca="false">SUMPRODUCT(--($AJ$7:$AJ$54&lt;AJ50))+SUMPRODUCT(--($AJ$7:AJ50=AJ50))</f>
        <v>8</v>
      </c>
    </row>
    <row r="51" customFormat="false" ht="54" hidden="false" customHeight="true" outlineLevel="0" collapsed="false">
      <c r="A51" s="11" t="str">
        <f aca="false">Forecast!A51</f>
        <v>CLN-008</v>
      </c>
      <c r="B51" s="11" t="str">
        <f aca="false">Forecast!B51</f>
        <v>Lint Roller 3-Pack</v>
      </c>
      <c r="C51" s="11" t="str">
        <f aca="false">Inputs!E84</f>
        <v>SUP-05</v>
      </c>
      <c r="D51" s="11" t="str">
        <f aca="false">Forecast!AE51</f>
        <v>MA4</v>
      </c>
      <c r="E51" s="35" t="n">
        <f aca="false">Forecast!AF51</f>
        <v>83.25</v>
      </c>
      <c r="F51" s="36" t="n">
        <f aca="false">Forecast!AG51</f>
        <v>0.0886198547215496</v>
      </c>
      <c r="G51" s="37" t="n">
        <f aca="false">Forecast!AH51</f>
        <v>-0.00290556900726392</v>
      </c>
      <c r="H51" s="35" t="n">
        <f aca="false">Forecast!AI51</f>
        <v>9.23015175159467</v>
      </c>
      <c r="I51" s="36" t="n">
        <f aca="false">TSL</f>
        <v>0.95</v>
      </c>
      <c r="J51" s="38" t="n">
        <f aca="false">Z_Value</f>
        <v>1.64485362695147</v>
      </c>
      <c r="K51" s="39" t="n">
        <f aca="false">Inputs!F84</f>
        <v>1</v>
      </c>
      <c r="L51" s="28" t="n">
        <f aca="false">J51*H51*SQRT(K51)</f>
        <v>15.182248585923</v>
      </c>
      <c r="M51" s="28" t="n">
        <f aca="false">E51*K51</f>
        <v>83.25</v>
      </c>
      <c r="N51" s="19" t="n">
        <f aca="false">M51+L51</f>
        <v>98.432248585923</v>
      </c>
      <c r="O51" s="39" t="n">
        <f aca="false">Inputs!J84</f>
        <v>351</v>
      </c>
      <c r="P51" s="39" t="n">
        <f aca="false">Inputs!K84</f>
        <v>0</v>
      </c>
      <c r="Q51" s="39" t="n">
        <f aca="false">Inputs!M84</f>
        <v>0</v>
      </c>
      <c r="R51" s="19" t="n">
        <f aca="false">O51+P51-Q51</f>
        <v>351</v>
      </c>
      <c r="S51" s="28" t="n">
        <f aca="false">IF(E51&gt;0,R51/E51,0)</f>
        <v>4.21621621621622</v>
      </c>
      <c r="T51" s="28" t="n">
        <f aca="false">IF(E51&gt;0,O51/E51,0)</f>
        <v>4.21621621621622</v>
      </c>
      <c r="U51" s="19" t="n">
        <f aca="false">E51*Weeks_Per_Year</f>
        <v>4329</v>
      </c>
      <c r="V51" s="40" t="n">
        <f aca="false">Inputs!H84</f>
        <v>7</v>
      </c>
      <c r="W51" s="40" t="n">
        <f aca="false">Inputs!G84</f>
        <v>35</v>
      </c>
      <c r="X51" s="36" t="n">
        <f aca="false">Holding_Rate</f>
        <v>0.2</v>
      </c>
      <c r="Y51" s="21" t="n">
        <f aca="false">V51*X51</f>
        <v>1.4</v>
      </c>
      <c r="Z51" s="28" t="n">
        <f aca="false">SQRT((2*U51*W51)/Y51)</f>
        <v>465.241872578125</v>
      </c>
      <c r="AA51" s="39" t="n">
        <f aca="false">Inputs!I84</f>
        <v>24</v>
      </c>
      <c r="AB51" s="19" t="n">
        <f aca="false">ROUNDUP(Z51/AA51,0)*AA51</f>
        <v>480</v>
      </c>
      <c r="AC51" s="10" t="str">
        <f aca="false">IF(R51&lt;=N51,"YES","NO")</f>
        <v>NO</v>
      </c>
      <c r="AD51" s="41" t="n">
        <f aca="false">IF(AC51="YES",AB51,0)</f>
        <v>0</v>
      </c>
      <c r="AE51" s="39" t="n">
        <f aca="false">Projection!BQ51</f>
        <v>5</v>
      </c>
      <c r="AF51" s="11" t="str">
        <f aca="false">Projection!BR51</f>
        <v>NO</v>
      </c>
      <c r="AG51" s="12" t="str">
        <f aca="false">IF(AF51="YES","STOCKOUT RISK",IF(AC51="YES","REORDER REQUIRED",IF(S51&gt;Excess_WoC,"EXCESS STOCK","HEALTHY")))</f>
        <v>HEALTHY</v>
      </c>
      <c r="AH51" s="7" t="str">
        <f aca="false">IF(AG51="STOCKOUT RISK","Projected inventory reaches zero in week "&amp;AE51&amp;", before a new order placed now could arrive (week "&amp;(K51+1)&amp;"). "&amp;IF(AC51="YES","Inventory position of "&amp;FIXED(R51,0)&amp;" units is at or below the reorder point of "&amp;FIXED(N51,0)&amp;", so an order of "&amp;FIXED(AD51,0)&amp;" units is recommended (EOQ "&amp;FIXED(Z51,0)&amp;", case pack "&amp;AA51&amp;"), but it cannot arrive in time: expedite supply or manage the shortfall.","No new order is triggered because inventory position of "&amp;FIXED(R51,0)&amp;" units is above the reorder point of "&amp;FIXED(N51,0)&amp;", but the open PO of "&amp;FIXED(P51,0)&amp;" units is due in week "&amp;Inputs!L84&amp;", which is too late: expedite the open PO."),IF(AG51="REORDER REQUIRED","Inventory position of "&amp;FIXED(R51,0)&amp;" units is "&amp;FIXED(N51-R51,0)&amp;" units below the reorder point of "&amp;FIXED(N51,0)&amp;" units. Replenishment is required. EOQ recommends approximately "&amp;FIXED(Z51,0)&amp;" units, rounded to "&amp;FIXED(AD51,0)&amp;" (case pack "&amp;AA51&amp;").",IF(AG51="EXCESS STOCK","Inventory position represents "&amp;FIXED(S51,1)&amp;" weeks of expected demand, above the "&amp;Excess_WoC&amp;"-week excess-stock threshold. No replenishment is triggered.","Inventory position of "&amp;FIXED(R51,0)&amp;" units is above the reorder point of "&amp;FIXED(N51,0)&amp;" units and covers "&amp;FIXED(S51,1)&amp;" weeks of forecast demand. No order needed now.")))</f>
        <v>Inventory position of 351 units is above the reorder point of 98 units and covers 4.2 weeks of forecast demand. No order needed now.</v>
      </c>
      <c r="AI51" s="42" t="n">
        <f aca="false">O51*V51</f>
        <v>2457</v>
      </c>
      <c r="AJ51" s="43" t="n">
        <f aca="false">IF(AG51="STOCKOUT RISK",1000,IF(AG51="REORDER REQUIRED",2000,IF(AG51="EXCESS STOCK",3000,4000)))+IF(AG51="EXCESS STOCK",500-MIN(S51,499),MAX(MIN(S51,499),-499))</f>
        <v>4004.21621621622</v>
      </c>
      <c r="AK51" s="19" t="n">
        <f aca="false">SUMPRODUCT(--($AJ$7:$AJ$54&lt;AJ51))+SUMPRODUCT(--($AJ$7:AJ51=AJ51))</f>
        <v>31</v>
      </c>
    </row>
    <row r="52" customFormat="false" ht="54" hidden="false" customHeight="true" outlineLevel="0" collapsed="false">
      <c r="A52" s="11" t="str">
        <f aca="false">Forecast!A52</f>
        <v>CLN-009</v>
      </c>
      <c r="B52" s="11" t="str">
        <f aca="false">Forecast!B52</f>
        <v>Stain Remover Pen</v>
      </c>
      <c r="C52" s="11" t="str">
        <f aca="false">Inputs!E85</f>
        <v>SUP-05</v>
      </c>
      <c r="D52" s="11" t="str">
        <f aca="false">Forecast!AE52</f>
        <v>MA4</v>
      </c>
      <c r="E52" s="35" t="n">
        <f aca="false">Forecast!AF52</f>
        <v>71.75</v>
      </c>
      <c r="F52" s="36" t="n">
        <f aca="false">Forecast!AG52</f>
        <v>0.102087576374745</v>
      </c>
      <c r="G52" s="37" t="n">
        <f aca="false">Forecast!AH52</f>
        <v>-0.0218092328581127</v>
      </c>
      <c r="H52" s="35" t="n">
        <f aca="false">Forecast!AI52</f>
        <v>7.05986541377621</v>
      </c>
      <c r="I52" s="36" t="n">
        <f aca="false">TSL</f>
        <v>0.95</v>
      </c>
      <c r="J52" s="38" t="n">
        <f aca="false">Z_Value</f>
        <v>1.64485362695147</v>
      </c>
      <c r="K52" s="39" t="n">
        <f aca="false">Inputs!F85</f>
        <v>1</v>
      </c>
      <c r="L52" s="28" t="n">
        <f aca="false">J52*H52*SQRT(K52)</f>
        <v>11.612445231639</v>
      </c>
      <c r="M52" s="28" t="n">
        <f aca="false">E52*K52</f>
        <v>71.75</v>
      </c>
      <c r="N52" s="19" t="n">
        <f aca="false">M52+L52</f>
        <v>83.362445231639</v>
      </c>
      <c r="O52" s="39" t="n">
        <f aca="false">Inputs!J85</f>
        <v>416</v>
      </c>
      <c r="P52" s="39" t="n">
        <f aca="false">Inputs!K85</f>
        <v>0</v>
      </c>
      <c r="Q52" s="39" t="n">
        <f aca="false">Inputs!M85</f>
        <v>0</v>
      </c>
      <c r="R52" s="19" t="n">
        <f aca="false">O52+P52-Q52</f>
        <v>416</v>
      </c>
      <c r="S52" s="28" t="n">
        <f aca="false">IF(E52&gt;0,R52/E52,0)</f>
        <v>5.79790940766551</v>
      </c>
      <c r="T52" s="28" t="n">
        <f aca="false">IF(E52&gt;0,O52/E52,0)</f>
        <v>5.79790940766551</v>
      </c>
      <c r="U52" s="19" t="n">
        <f aca="false">E52*Weeks_Per_Year</f>
        <v>3731</v>
      </c>
      <c r="V52" s="40" t="n">
        <f aca="false">Inputs!H85</f>
        <v>13</v>
      </c>
      <c r="W52" s="40" t="n">
        <f aca="false">Inputs!G85</f>
        <v>35</v>
      </c>
      <c r="X52" s="36" t="n">
        <f aca="false">Holding_Rate</f>
        <v>0.2</v>
      </c>
      <c r="Y52" s="21" t="n">
        <f aca="false">V52*X52</f>
        <v>2.6</v>
      </c>
      <c r="Z52" s="28" t="n">
        <f aca="false">SQRT((2*U52*W52)/Y52)</f>
        <v>316.93847983481</v>
      </c>
      <c r="AA52" s="39" t="n">
        <f aca="false">Inputs!I85</f>
        <v>24</v>
      </c>
      <c r="AB52" s="19" t="n">
        <f aca="false">ROUNDUP(Z52/AA52,0)*AA52</f>
        <v>336</v>
      </c>
      <c r="AC52" s="10" t="str">
        <f aca="false">IF(R52&lt;=N52,"YES","NO")</f>
        <v>NO</v>
      </c>
      <c r="AD52" s="41" t="n">
        <f aca="false">IF(AC52="YES",AB52,0)</f>
        <v>0</v>
      </c>
      <c r="AE52" s="39" t="n">
        <f aca="false">Projection!BQ52</f>
        <v>6</v>
      </c>
      <c r="AF52" s="11" t="str">
        <f aca="false">Projection!BR52</f>
        <v>NO</v>
      </c>
      <c r="AG52" s="12" t="str">
        <f aca="false">IF(AF52="YES","STOCKOUT RISK",IF(AC52="YES","REORDER REQUIRED",IF(S52&gt;Excess_WoC,"EXCESS STOCK","HEALTHY")))</f>
        <v>HEALTHY</v>
      </c>
      <c r="AH52" s="7" t="str">
        <f aca="false">IF(AG52="STOCKOUT RISK","Projected inventory reaches zero in week "&amp;AE52&amp;", before a new order placed now could arrive (week "&amp;(K52+1)&amp;"). "&amp;IF(AC52="YES","Inventory position of "&amp;FIXED(R52,0)&amp;" units is at or below the reorder point of "&amp;FIXED(N52,0)&amp;", so an order of "&amp;FIXED(AD52,0)&amp;" units is recommended (EOQ "&amp;FIXED(Z52,0)&amp;", case pack "&amp;AA52&amp;"), but it cannot arrive in time: expedite supply or manage the shortfall.","No new order is triggered because inventory position of "&amp;FIXED(R52,0)&amp;" units is above the reorder point of "&amp;FIXED(N52,0)&amp;", but the open PO of "&amp;FIXED(P52,0)&amp;" units is due in week "&amp;Inputs!L85&amp;", which is too late: expedite the open PO."),IF(AG52="REORDER REQUIRED","Inventory position of "&amp;FIXED(R52,0)&amp;" units is "&amp;FIXED(N52-R52,0)&amp;" units below the reorder point of "&amp;FIXED(N52,0)&amp;" units. Replenishment is required. EOQ recommends approximately "&amp;FIXED(Z52,0)&amp;" units, rounded to "&amp;FIXED(AD52,0)&amp;" (case pack "&amp;AA52&amp;").",IF(AG52="EXCESS STOCK","Inventory position represents "&amp;FIXED(S52,1)&amp;" weeks of expected demand, above the "&amp;Excess_WoC&amp;"-week excess-stock threshold. No replenishment is triggered.","Inventory position of "&amp;FIXED(R52,0)&amp;" units is above the reorder point of "&amp;FIXED(N52,0)&amp;" units and covers "&amp;FIXED(S52,1)&amp;" weeks of forecast demand. No order needed now.")))</f>
        <v>Inventory position of 416 units is above the reorder point of 83 units and covers 5.8 weeks of forecast demand. No order needed now.</v>
      </c>
      <c r="AI52" s="42" t="n">
        <f aca="false">O52*V52</f>
        <v>5408</v>
      </c>
      <c r="AJ52" s="43" t="n">
        <f aca="false">IF(AG52="STOCKOUT RISK",1000,IF(AG52="REORDER REQUIRED",2000,IF(AG52="EXCESS STOCK",3000,4000)))+IF(AG52="EXCESS STOCK",500-MIN(S52,499),MAX(MIN(S52,499),-499))</f>
        <v>4005.79790940767</v>
      </c>
      <c r="AK52" s="19" t="n">
        <f aca="false">SUMPRODUCT(--($AJ$7:$AJ$54&lt;AJ52))+SUMPRODUCT(--($AJ$7:AJ52=AJ52))</f>
        <v>37</v>
      </c>
    </row>
    <row r="53" customFormat="false" ht="54" hidden="false" customHeight="true" outlineLevel="0" collapsed="false">
      <c r="A53" s="11" t="str">
        <f aca="false">Forecast!A53</f>
        <v>CLN-010</v>
      </c>
      <c r="B53" s="11" t="str">
        <f aca="false">Forecast!B53</f>
        <v>Scrub Brush Set</v>
      </c>
      <c r="C53" s="11" t="str">
        <f aca="false">Inputs!E86</f>
        <v>SUP-05</v>
      </c>
      <c r="D53" s="11" t="str">
        <f aca="false">Forecast!AE53</f>
        <v>MA8</v>
      </c>
      <c r="E53" s="35" t="n">
        <f aca="false">Forecast!AF53</f>
        <v>37.75</v>
      </c>
      <c r="F53" s="36" t="n">
        <f aca="false">Forecast!AG53</f>
        <v>0.302757958287596</v>
      </c>
      <c r="G53" s="37" t="n">
        <f aca="false">Forecast!AH53</f>
        <v>-0.0378018660812294</v>
      </c>
      <c r="H53" s="35" t="n">
        <f aca="false">Forecast!AI53</f>
        <v>13.3653245106182</v>
      </c>
      <c r="I53" s="36" t="n">
        <f aca="false">TSL</f>
        <v>0.95</v>
      </c>
      <c r="J53" s="38" t="n">
        <f aca="false">Z_Value</f>
        <v>1.64485362695147</v>
      </c>
      <c r="K53" s="39" t="n">
        <f aca="false">Inputs!F86</f>
        <v>1</v>
      </c>
      <c r="L53" s="28" t="n">
        <f aca="false">J53*H53*SQRT(K53)</f>
        <v>21.9840024966738</v>
      </c>
      <c r="M53" s="28" t="n">
        <f aca="false">E53*K53</f>
        <v>37.75</v>
      </c>
      <c r="N53" s="19" t="n">
        <f aca="false">M53+L53</f>
        <v>59.7340024966738</v>
      </c>
      <c r="O53" s="39" t="n">
        <f aca="false">Inputs!J86</f>
        <v>50</v>
      </c>
      <c r="P53" s="39" t="n">
        <f aca="false">Inputs!K86</f>
        <v>0</v>
      </c>
      <c r="Q53" s="39" t="n">
        <f aca="false">Inputs!M86</f>
        <v>0</v>
      </c>
      <c r="R53" s="19" t="n">
        <f aca="false">O53+P53-Q53</f>
        <v>50</v>
      </c>
      <c r="S53" s="28" t="n">
        <f aca="false">IF(E53&gt;0,R53/E53,0)</f>
        <v>1.32450331125828</v>
      </c>
      <c r="T53" s="28" t="n">
        <f aca="false">IF(E53&gt;0,O53/E53,0)</f>
        <v>1.32450331125828</v>
      </c>
      <c r="U53" s="19" t="n">
        <f aca="false">E53*Weeks_Per_Year</f>
        <v>1963</v>
      </c>
      <c r="V53" s="40" t="n">
        <f aca="false">Inputs!H86</f>
        <v>16</v>
      </c>
      <c r="W53" s="40" t="n">
        <f aca="false">Inputs!G86</f>
        <v>35</v>
      </c>
      <c r="X53" s="36" t="n">
        <f aca="false">Holding_Rate</f>
        <v>0.2</v>
      </c>
      <c r="Y53" s="21" t="n">
        <f aca="false">V53*X53</f>
        <v>3.2</v>
      </c>
      <c r="Z53" s="28" t="n">
        <f aca="false">SQRT((2*U53*W53)/Y53)</f>
        <v>207.221198239948</v>
      </c>
      <c r="AA53" s="39" t="n">
        <f aca="false">Inputs!I86</f>
        <v>12</v>
      </c>
      <c r="AB53" s="19" t="n">
        <f aca="false">ROUNDUP(Z53/AA53,0)*AA53</f>
        <v>216</v>
      </c>
      <c r="AC53" s="10" t="str">
        <f aca="false">IF(R53&lt;=N53,"YES","NO")</f>
        <v>YES</v>
      </c>
      <c r="AD53" s="41" t="n">
        <f aca="false">IF(AC53="YES",AB53,0)</f>
        <v>216</v>
      </c>
      <c r="AE53" s="39" t="n">
        <f aca="false">Projection!BQ53</f>
        <v>8</v>
      </c>
      <c r="AF53" s="11" t="str">
        <f aca="false">Projection!BR53</f>
        <v>NO</v>
      </c>
      <c r="AG53" s="12" t="str">
        <f aca="false">IF(AF53="YES","STOCKOUT RISK",IF(AC53="YES","REORDER REQUIRED",IF(S53&gt;Excess_WoC,"EXCESS STOCK","HEALTHY")))</f>
        <v>REORDER REQUIRED</v>
      </c>
      <c r="AH53" s="7" t="str">
        <f aca="false">IF(AG53="STOCKOUT RISK","Projected inventory reaches zero in week "&amp;AE53&amp;", before a new order placed now could arrive (week "&amp;(K53+1)&amp;"). "&amp;IF(AC53="YES","Inventory position of "&amp;FIXED(R53,0)&amp;" units is at or below the reorder point of "&amp;FIXED(N53,0)&amp;", so an order of "&amp;FIXED(AD53,0)&amp;" units is recommended (EOQ "&amp;FIXED(Z53,0)&amp;", case pack "&amp;AA53&amp;"), but it cannot arrive in time: expedite supply or manage the shortfall.","No new order is triggered because inventory position of "&amp;FIXED(R53,0)&amp;" units is above the reorder point of "&amp;FIXED(N53,0)&amp;", but the open PO of "&amp;FIXED(P53,0)&amp;" units is due in week "&amp;Inputs!L86&amp;", which is too late: expedite the open PO."),IF(AG53="REORDER REQUIRED","Inventory position of "&amp;FIXED(R53,0)&amp;" units is "&amp;FIXED(N53-R53,0)&amp;" units below the reorder point of "&amp;FIXED(N53,0)&amp;" units. Replenishment is required. EOQ recommends approximately "&amp;FIXED(Z53,0)&amp;" units, rounded to "&amp;FIXED(AD53,0)&amp;" (case pack "&amp;AA53&amp;").",IF(AG53="EXCESS STOCK","Inventory position represents "&amp;FIXED(S53,1)&amp;" weeks of expected demand, above the "&amp;Excess_WoC&amp;"-week excess-stock threshold. No replenishment is triggered.","Inventory position of "&amp;FIXED(R53,0)&amp;" units is above the reorder point of "&amp;FIXED(N53,0)&amp;" units and covers "&amp;FIXED(S53,1)&amp;" weeks of forecast demand. No order needed now.")))</f>
        <v>Inventory position of 50 units is 10 units below the reorder point of 60 units. Replenishment is required. EOQ recommends approximately 207 units, rounded to 216 (case pack 12).</v>
      </c>
      <c r="AI53" s="42" t="n">
        <f aca="false">O53*V53</f>
        <v>800</v>
      </c>
      <c r="AJ53" s="43" t="n">
        <f aca="false">IF(AG53="STOCKOUT RISK",1000,IF(AG53="REORDER REQUIRED",2000,IF(AG53="EXCESS STOCK",3000,4000)))+IF(AG53="EXCESS STOCK",500-MIN(S53,499),MAX(MIN(S53,499),-499))</f>
        <v>2001.32450331126</v>
      </c>
      <c r="AK53" s="19" t="n">
        <f aca="false">SUMPRODUCT(--($AJ$7:$AJ$54&lt;AJ53))+SUMPRODUCT(--($AJ$7:AJ53=AJ53))</f>
        <v>9</v>
      </c>
    </row>
    <row r="54" customFormat="false" ht="54" hidden="false" customHeight="true" outlineLevel="0" collapsed="false">
      <c r="A54" s="11" t="str">
        <f aca="false">Forecast!A54</f>
        <v>CLN-011</v>
      </c>
      <c r="B54" s="11" t="str">
        <f aca="false">Forecast!B54</f>
        <v>Oven Cleaner Gel</v>
      </c>
      <c r="C54" s="11" t="str">
        <f aca="false">Inputs!E87</f>
        <v>SUP-05</v>
      </c>
      <c r="D54" s="11" t="str">
        <f aca="false">Forecast!AE54</f>
        <v>MA4</v>
      </c>
      <c r="E54" s="35" t="n">
        <f aca="false">Forecast!AF54</f>
        <v>43.75</v>
      </c>
      <c r="F54" s="36" t="n">
        <f aca="false">Forecast!AG54</f>
        <v>0.10145793499044</v>
      </c>
      <c r="G54" s="37" t="n">
        <f aca="false">Forecast!AH54</f>
        <v>-0.00848470363288719</v>
      </c>
      <c r="H54" s="35" t="n">
        <f aca="false">Forecast!AI54</f>
        <v>5.02567643631521</v>
      </c>
      <c r="I54" s="36" t="n">
        <f aca="false">TSL</f>
        <v>0.95</v>
      </c>
      <c r="J54" s="38" t="n">
        <f aca="false">Z_Value</f>
        <v>1.64485362695147</v>
      </c>
      <c r="K54" s="39" t="n">
        <f aca="false">Inputs!F87</f>
        <v>1</v>
      </c>
      <c r="L54" s="28" t="n">
        <f aca="false">J54*H54*SQRT(K54)</f>
        <v>8.26650211415762</v>
      </c>
      <c r="M54" s="28" t="n">
        <f aca="false">E54*K54</f>
        <v>43.75</v>
      </c>
      <c r="N54" s="19" t="n">
        <f aca="false">M54+L54</f>
        <v>52.0165021141576</v>
      </c>
      <c r="O54" s="39" t="n">
        <f aca="false">Inputs!J87</f>
        <v>102</v>
      </c>
      <c r="P54" s="39" t="n">
        <f aca="false">Inputs!K87</f>
        <v>0</v>
      </c>
      <c r="Q54" s="39" t="n">
        <f aca="false">Inputs!M87</f>
        <v>0</v>
      </c>
      <c r="R54" s="19" t="n">
        <f aca="false">O54+P54-Q54</f>
        <v>102</v>
      </c>
      <c r="S54" s="28" t="n">
        <f aca="false">IF(E54&gt;0,R54/E54,0)</f>
        <v>2.33142857142857</v>
      </c>
      <c r="T54" s="28" t="n">
        <f aca="false">IF(E54&gt;0,O54/E54,0)</f>
        <v>2.33142857142857</v>
      </c>
      <c r="U54" s="19" t="n">
        <f aca="false">E54*Weeks_Per_Year</f>
        <v>2275</v>
      </c>
      <c r="V54" s="40" t="n">
        <f aca="false">Inputs!H87</f>
        <v>14</v>
      </c>
      <c r="W54" s="40" t="n">
        <f aca="false">Inputs!G87</f>
        <v>35</v>
      </c>
      <c r="X54" s="36" t="n">
        <f aca="false">Holding_Rate</f>
        <v>0.2</v>
      </c>
      <c r="Y54" s="21" t="n">
        <f aca="false">V54*X54</f>
        <v>2.8</v>
      </c>
      <c r="Z54" s="28" t="n">
        <f aca="false">SQRT((2*U54*W54)/Y54)</f>
        <v>238.484800354236</v>
      </c>
      <c r="AA54" s="39" t="n">
        <f aca="false">Inputs!I87</f>
        <v>12</v>
      </c>
      <c r="AB54" s="19" t="n">
        <f aca="false">ROUNDUP(Z54/AA54,0)*AA54</f>
        <v>240</v>
      </c>
      <c r="AC54" s="10" t="str">
        <f aca="false">IF(R54&lt;=N54,"YES","NO")</f>
        <v>NO</v>
      </c>
      <c r="AD54" s="41" t="n">
        <f aca="false">IF(AC54="YES",AB54,0)</f>
        <v>0</v>
      </c>
      <c r="AE54" s="39" t="n">
        <f aca="false">Projection!BQ54</f>
        <v>3</v>
      </c>
      <c r="AF54" s="11" t="str">
        <f aca="false">Projection!BR54</f>
        <v>NO</v>
      </c>
      <c r="AG54" s="12" t="str">
        <f aca="false">IF(AF54="YES","STOCKOUT RISK",IF(AC54="YES","REORDER REQUIRED",IF(S54&gt;Excess_WoC,"EXCESS STOCK","HEALTHY")))</f>
        <v>HEALTHY</v>
      </c>
      <c r="AH54" s="7" t="str">
        <f aca="false">IF(AG54="STOCKOUT RISK","Projected inventory reaches zero in week "&amp;AE54&amp;", before a new order placed now could arrive (week "&amp;(K54+1)&amp;"). "&amp;IF(AC54="YES","Inventory position of "&amp;FIXED(R54,0)&amp;" units is at or below the reorder point of "&amp;FIXED(N54,0)&amp;", so an order of "&amp;FIXED(AD54,0)&amp;" units is recommended (EOQ "&amp;FIXED(Z54,0)&amp;", case pack "&amp;AA54&amp;"), but it cannot arrive in time: expedite supply or manage the shortfall.","No new order is triggered because inventory position of "&amp;FIXED(R54,0)&amp;" units is above the reorder point of "&amp;FIXED(N54,0)&amp;", but the open PO of "&amp;FIXED(P54,0)&amp;" units is due in week "&amp;Inputs!L87&amp;", which is too late: expedite the open PO."),IF(AG54="REORDER REQUIRED","Inventory position of "&amp;FIXED(R54,0)&amp;" units is "&amp;FIXED(N54-R54,0)&amp;" units below the reorder point of "&amp;FIXED(N54,0)&amp;" units. Replenishment is required. EOQ recommends approximately "&amp;FIXED(Z54,0)&amp;" units, rounded to "&amp;FIXED(AD54,0)&amp;" (case pack "&amp;AA54&amp;").",IF(AG54="EXCESS STOCK","Inventory position represents "&amp;FIXED(S54,1)&amp;" weeks of expected demand, above the "&amp;Excess_WoC&amp;"-week excess-stock threshold. No replenishment is triggered.","Inventory position of "&amp;FIXED(R54,0)&amp;" units is above the reorder point of "&amp;FIXED(N54,0)&amp;" units and covers "&amp;FIXED(S54,1)&amp;" weeks of forecast demand. No order needed now.")))</f>
        <v>Inventory position of 102 units is above the reorder point of 52 units and covers 2.3 weeks of forecast demand. No order needed now.</v>
      </c>
      <c r="AI54" s="42" t="n">
        <f aca="false">O54*V54</f>
        <v>1428</v>
      </c>
      <c r="AJ54" s="43" t="n">
        <f aca="false">IF(AG54="STOCKOUT RISK",1000,IF(AG54="REORDER REQUIRED",2000,IF(AG54="EXCESS STOCK",3000,4000)))+IF(AG54="EXCESS STOCK",500-MIN(S54,499),MAX(MIN(S54,499),-499))</f>
        <v>4002.33142857143</v>
      </c>
      <c r="AK54" s="19" t="n">
        <f aca="false">SUMPRODUCT(--($AJ$7:$AJ$54&lt;AJ54))+SUMPRODUCT(--($AJ$7:AJ54=AJ54))</f>
        <v>26</v>
      </c>
    </row>
  </sheetData>
  <mergeCells count="6">
    <mergeCell ref="A5:C5"/>
    <mergeCell ref="D5:H5"/>
    <mergeCell ref="I5:N5"/>
    <mergeCell ref="O5:T5"/>
    <mergeCell ref="U5:AB5"/>
    <mergeCell ref="AC5:AK5"/>
  </mergeCells>
  <conditionalFormatting sqref="AG7:AG54">
    <cfRule type="expression" priority="2" aboveAverage="0" equalAverage="0" bottom="0" percent="0" rank="0" text="" dxfId="4">
      <formula>AG7="STOCKOUT RISK"</formula>
    </cfRule>
    <cfRule type="expression" priority="3" aboveAverage="0" equalAverage="0" bottom="0" percent="0" rank="0" text="" dxfId="5">
      <formula>AG7="REORDER REQUIRED"</formula>
    </cfRule>
    <cfRule type="expression" priority="4" aboveAverage="0" equalAverage="0" bottom="0" percent="0" rank="0" text="" dxfId="6">
      <formula>AG7="EXCESS STOCK"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S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8" min="1" style="0" width="11"/>
    <col collapsed="false" customWidth="true" hidden="false" outlineLevel="0" max="68" min="9" style="0" width="7.5"/>
    <col collapsed="false" customWidth="true" hidden="false" outlineLevel="0" max="71" min="69" style="0" width="12"/>
  </cols>
  <sheetData>
    <row r="1" customFormat="false" ht="18.55" hidden="false" customHeight="false" outlineLevel="0" collapsed="false">
      <c r="A1" s="1" t="s">
        <v>372</v>
      </c>
    </row>
    <row r="2" customFormat="false" ht="15" hidden="false" customHeight="false" outlineLevel="0" collapsed="false">
      <c r="A2" s="2" t="s">
        <v>373</v>
      </c>
    </row>
    <row r="4" customFormat="false" ht="15" hidden="false" customHeight="false" outlineLevel="0" collapsed="false">
      <c r="A4" s="4" t="s">
        <v>374</v>
      </c>
      <c r="B4" s="4"/>
      <c r="C4" s="4"/>
      <c r="D4" s="4"/>
      <c r="E4" s="4"/>
      <c r="F4" s="4"/>
      <c r="G4" s="4"/>
      <c r="H4" s="4"/>
      <c r="I4" s="4" t="s">
        <v>375</v>
      </c>
      <c r="J4" s="4"/>
      <c r="K4" s="4"/>
      <c r="L4" s="4"/>
      <c r="M4" s="4"/>
      <c r="N4" s="4"/>
      <c r="O4" s="4"/>
      <c r="P4" s="4"/>
      <c r="Q4" s="4"/>
      <c r="R4" s="4"/>
      <c r="S4" s="4"/>
      <c r="T4" s="4"/>
      <c r="U4" s="4" t="s">
        <v>376</v>
      </c>
      <c r="V4" s="4"/>
      <c r="W4" s="4"/>
      <c r="X4" s="4"/>
      <c r="Y4" s="4"/>
      <c r="Z4" s="4"/>
      <c r="AA4" s="4"/>
      <c r="AB4" s="4"/>
      <c r="AC4" s="4"/>
      <c r="AD4" s="4"/>
      <c r="AE4" s="4"/>
      <c r="AF4" s="4"/>
      <c r="AG4" s="4" t="s">
        <v>377</v>
      </c>
      <c r="AH4" s="4"/>
      <c r="AI4" s="4"/>
      <c r="AJ4" s="4"/>
      <c r="AK4" s="4"/>
      <c r="AL4" s="4"/>
      <c r="AM4" s="4"/>
      <c r="AN4" s="4"/>
      <c r="AO4" s="4"/>
      <c r="AP4" s="4"/>
      <c r="AQ4" s="4"/>
      <c r="AR4" s="4"/>
      <c r="AS4" s="4" t="s">
        <v>378</v>
      </c>
      <c r="AT4" s="4"/>
      <c r="AU4" s="4"/>
      <c r="AV4" s="4"/>
      <c r="AW4" s="4"/>
      <c r="AX4" s="4"/>
      <c r="AY4" s="4"/>
      <c r="AZ4" s="4"/>
      <c r="BA4" s="4"/>
      <c r="BB4" s="4"/>
      <c r="BC4" s="4"/>
      <c r="BD4" s="4"/>
      <c r="BE4" s="4" t="s">
        <v>379</v>
      </c>
      <c r="BF4" s="4"/>
      <c r="BG4" s="4"/>
      <c r="BH4" s="4"/>
      <c r="BI4" s="4"/>
      <c r="BJ4" s="4"/>
      <c r="BK4" s="4"/>
      <c r="BL4" s="4"/>
      <c r="BM4" s="4"/>
      <c r="BN4" s="4"/>
      <c r="BO4" s="4"/>
      <c r="BP4" s="4"/>
      <c r="BQ4" s="4" t="s">
        <v>380</v>
      </c>
      <c r="BR4" s="4"/>
      <c r="BS4" s="4"/>
    </row>
    <row r="5" customFormat="false" ht="15" hidden="false" customHeight="false" outlineLevel="0" collapsed="false">
      <c r="A5" s="2" t="s">
        <v>381</v>
      </c>
      <c r="I5" s="44" t="n">
        <f aca="false">Snapshot_Date+7*(I$6-1)</f>
        <v>46202</v>
      </c>
      <c r="J5" s="44" t="n">
        <f aca="false">Snapshot_Date+7*(J$6-1)</f>
        <v>46209</v>
      </c>
      <c r="K5" s="44" t="n">
        <f aca="false">Snapshot_Date+7*(K$6-1)</f>
        <v>46216</v>
      </c>
      <c r="L5" s="44" t="n">
        <f aca="false">Snapshot_Date+7*(L$6-1)</f>
        <v>46223</v>
      </c>
      <c r="M5" s="44" t="n">
        <f aca="false">Snapshot_Date+7*(M$6-1)</f>
        <v>46230</v>
      </c>
      <c r="N5" s="44" t="n">
        <f aca="false">Snapshot_Date+7*(N$6-1)</f>
        <v>46237</v>
      </c>
      <c r="O5" s="44" t="n">
        <f aca="false">Snapshot_Date+7*(O$6-1)</f>
        <v>46244</v>
      </c>
      <c r="P5" s="44" t="n">
        <f aca="false">Snapshot_Date+7*(P$6-1)</f>
        <v>46251</v>
      </c>
      <c r="Q5" s="44" t="n">
        <f aca="false">Snapshot_Date+7*(Q$6-1)</f>
        <v>46258</v>
      </c>
      <c r="R5" s="44" t="n">
        <f aca="false">Snapshot_Date+7*(R$6-1)</f>
        <v>46265</v>
      </c>
      <c r="S5" s="44" t="n">
        <f aca="false">Snapshot_Date+7*(S$6-1)</f>
        <v>46272</v>
      </c>
      <c r="T5" s="44" t="n">
        <f aca="false">Snapshot_Date+7*(T$6-1)</f>
        <v>46279</v>
      </c>
      <c r="U5" s="44" t="n">
        <f aca="false">Snapshot_Date+7*(U$6-1)</f>
        <v>46202</v>
      </c>
      <c r="V5" s="44" t="n">
        <f aca="false">Snapshot_Date+7*(V$6-1)</f>
        <v>46209</v>
      </c>
      <c r="W5" s="44" t="n">
        <f aca="false">Snapshot_Date+7*(W$6-1)</f>
        <v>46216</v>
      </c>
      <c r="X5" s="44" t="n">
        <f aca="false">Snapshot_Date+7*(X$6-1)</f>
        <v>46223</v>
      </c>
      <c r="Y5" s="44" t="n">
        <f aca="false">Snapshot_Date+7*(Y$6-1)</f>
        <v>46230</v>
      </c>
      <c r="Z5" s="44" t="n">
        <f aca="false">Snapshot_Date+7*(Z$6-1)</f>
        <v>46237</v>
      </c>
      <c r="AA5" s="44" t="n">
        <f aca="false">Snapshot_Date+7*(AA$6-1)</f>
        <v>46244</v>
      </c>
      <c r="AB5" s="44" t="n">
        <f aca="false">Snapshot_Date+7*(AB$6-1)</f>
        <v>46251</v>
      </c>
      <c r="AC5" s="44" t="n">
        <f aca="false">Snapshot_Date+7*(AC$6-1)</f>
        <v>46258</v>
      </c>
      <c r="AD5" s="44" t="n">
        <f aca="false">Snapshot_Date+7*(AD$6-1)</f>
        <v>46265</v>
      </c>
      <c r="AE5" s="44" t="n">
        <f aca="false">Snapshot_Date+7*(AE$6-1)</f>
        <v>46272</v>
      </c>
      <c r="AF5" s="44" t="n">
        <f aca="false">Snapshot_Date+7*(AF$6-1)</f>
        <v>46279</v>
      </c>
      <c r="AG5" s="44" t="n">
        <f aca="false">Snapshot_Date+7*(AG$6-1)</f>
        <v>46202</v>
      </c>
      <c r="AH5" s="44" t="n">
        <f aca="false">Snapshot_Date+7*(AH$6-1)</f>
        <v>46209</v>
      </c>
      <c r="AI5" s="44" t="n">
        <f aca="false">Snapshot_Date+7*(AI$6-1)</f>
        <v>46216</v>
      </c>
      <c r="AJ5" s="44" t="n">
        <f aca="false">Snapshot_Date+7*(AJ$6-1)</f>
        <v>46223</v>
      </c>
      <c r="AK5" s="44" t="n">
        <f aca="false">Snapshot_Date+7*(AK$6-1)</f>
        <v>46230</v>
      </c>
      <c r="AL5" s="44" t="n">
        <f aca="false">Snapshot_Date+7*(AL$6-1)</f>
        <v>46237</v>
      </c>
      <c r="AM5" s="44" t="n">
        <f aca="false">Snapshot_Date+7*(AM$6-1)</f>
        <v>46244</v>
      </c>
      <c r="AN5" s="44" t="n">
        <f aca="false">Snapshot_Date+7*(AN$6-1)</f>
        <v>46251</v>
      </c>
      <c r="AO5" s="44" t="n">
        <f aca="false">Snapshot_Date+7*(AO$6-1)</f>
        <v>46258</v>
      </c>
      <c r="AP5" s="44" t="n">
        <f aca="false">Snapshot_Date+7*(AP$6-1)</f>
        <v>46265</v>
      </c>
      <c r="AQ5" s="44" t="n">
        <f aca="false">Snapshot_Date+7*(AQ$6-1)</f>
        <v>46272</v>
      </c>
      <c r="AR5" s="44" t="n">
        <f aca="false">Snapshot_Date+7*(AR$6-1)</f>
        <v>46279</v>
      </c>
      <c r="AS5" s="44" t="n">
        <f aca="false">Snapshot_Date+7*(AS$6-1)</f>
        <v>46202</v>
      </c>
      <c r="AT5" s="44" t="n">
        <f aca="false">Snapshot_Date+7*(AT$6-1)</f>
        <v>46209</v>
      </c>
      <c r="AU5" s="44" t="n">
        <f aca="false">Snapshot_Date+7*(AU$6-1)</f>
        <v>46216</v>
      </c>
      <c r="AV5" s="44" t="n">
        <f aca="false">Snapshot_Date+7*(AV$6-1)</f>
        <v>46223</v>
      </c>
      <c r="AW5" s="44" t="n">
        <f aca="false">Snapshot_Date+7*(AW$6-1)</f>
        <v>46230</v>
      </c>
      <c r="AX5" s="44" t="n">
        <f aca="false">Snapshot_Date+7*(AX$6-1)</f>
        <v>46237</v>
      </c>
      <c r="AY5" s="44" t="n">
        <f aca="false">Snapshot_Date+7*(AY$6-1)</f>
        <v>46244</v>
      </c>
      <c r="AZ5" s="44" t="n">
        <f aca="false">Snapshot_Date+7*(AZ$6-1)</f>
        <v>46251</v>
      </c>
      <c r="BA5" s="44" t="n">
        <f aca="false">Snapshot_Date+7*(BA$6-1)</f>
        <v>46258</v>
      </c>
      <c r="BB5" s="44" t="n">
        <f aca="false">Snapshot_Date+7*(BB$6-1)</f>
        <v>46265</v>
      </c>
      <c r="BC5" s="44" t="n">
        <f aca="false">Snapshot_Date+7*(BC$6-1)</f>
        <v>46272</v>
      </c>
      <c r="BD5" s="44" t="n">
        <f aca="false">Snapshot_Date+7*(BD$6-1)</f>
        <v>46279</v>
      </c>
      <c r="BE5" s="44" t="n">
        <f aca="false">Snapshot_Date+7*(BE$6-1)</f>
        <v>46202</v>
      </c>
      <c r="BF5" s="44" t="n">
        <f aca="false">Snapshot_Date+7*(BF$6-1)</f>
        <v>46209</v>
      </c>
      <c r="BG5" s="44" t="n">
        <f aca="false">Snapshot_Date+7*(BG$6-1)</f>
        <v>46216</v>
      </c>
      <c r="BH5" s="44" t="n">
        <f aca="false">Snapshot_Date+7*(BH$6-1)</f>
        <v>46223</v>
      </c>
      <c r="BI5" s="44" t="n">
        <f aca="false">Snapshot_Date+7*(BI$6-1)</f>
        <v>46230</v>
      </c>
      <c r="BJ5" s="44" t="n">
        <f aca="false">Snapshot_Date+7*(BJ$6-1)</f>
        <v>46237</v>
      </c>
      <c r="BK5" s="44" t="n">
        <f aca="false">Snapshot_Date+7*(BK$6-1)</f>
        <v>46244</v>
      </c>
      <c r="BL5" s="44" t="n">
        <f aca="false">Snapshot_Date+7*(BL$6-1)</f>
        <v>46251</v>
      </c>
      <c r="BM5" s="44" t="n">
        <f aca="false">Snapshot_Date+7*(BM$6-1)</f>
        <v>46258</v>
      </c>
      <c r="BN5" s="44" t="n">
        <f aca="false">Snapshot_Date+7*(BN$6-1)</f>
        <v>46265</v>
      </c>
      <c r="BO5" s="44" t="n">
        <f aca="false">Snapshot_Date+7*(BO$6-1)</f>
        <v>46272</v>
      </c>
      <c r="BP5" s="44" t="n">
        <f aca="false">Snapshot_Date+7*(BP$6-1)</f>
        <v>46279</v>
      </c>
    </row>
    <row r="6" customFormat="false" ht="57.75" hidden="false" customHeight="true" outlineLevel="0" collapsed="false">
      <c r="A6" s="6" t="s">
        <v>139</v>
      </c>
      <c r="B6" s="6" t="s">
        <v>125</v>
      </c>
      <c r="C6" s="6" t="s">
        <v>382</v>
      </c>
      <c r="D6" s="6" t="s">
        <v>383</v>
      </c>
      <c r="E6" s="6" t="s">
        <v>384</v>
      </c>
      <c r="F6" s="6" t="s">
        <v>385</v>
      </c>
      <c r="G6" s="6" t="s">
        <v>386</v>
      </c>
      <c r="H6" s="6" t="s">
        <v>387</v>
      </c>
      <c r="I6" s="45" t="n">
        <v>1</v>
      </c>
      <c r="J6" s="45" t="n">
        <v>2</v>
      </c>
      <c r="K6" s="45" t="n">
        <v>3</v>
      </c>
      <c r="L6" s="45" t="n">
        <v>4</v>
      </c>
      <c r="M6" s="45" t="n">
        <v>5</v>
      </c>
      <c r="N6" s="45" t="n">
        <v>6</v>
      </c>
      <c r="O6" s="45" t="n">
        <v>7</v>
      </c>
      <c r="P6" s="45" t="n">
        <v>8</v>
      </c>
      <c r="Q6" s="45" t="n">
        <v>9</v>
      </c>
      <c r="R6" s="45" t="n">
        <v>10</v>
      </c>
      <c r="S6" s="45" t="n">
        <v>11</v>
      </c>
      <c r="T6" s="45" t="n">
        <v>12</v>
      </c>
      <c r="U6" s="45" t="n">
        <v>1</v>
      </c>
      <c r="V6" s="45" t="n">
        <v>2</v>
      </c>
      <c r="W6" s="45" t="n">
        <v>3</v>
      </c>
      <c r="X6" s="45" t="n">
        <v>4</v>
      </c>
      <c r="Y6" s="45" t="n">
        <v>5</v>
      </c>
      <c r="Z6" s="45" t="n">
        <v>6</v>
      </c>
      <c r="AA6" s="45" t="n">
        <v>7</v>
      </c>
      <c r="AB6" s="45" t="n">
        <v>8</v>
      </c>
      <c r="AC6" s="45" t="n">
        <v>9</v>
      </c>
      <c r="AD6" s="45" t="n">
        <v>10</v>
      </c>
      <c r="AE6" s="45" t="n">
        <v>11</v>
      </c>
      <c r="AF6" s="45" t="n">
        <v>12</v>
      </c>
      <c r="AG6" s="45" t="n">
        <v>1</v>
      </c>
      <c r="AH6" s="45" t="n">
        <v>2</v>
      </c>
      <c r="AI6" s="45" t="n">
        <v>3</v>
      </c>
      <c r="AJ6" s="45" t="n">
        <v>4</v>
      </c>
      <c r="AK6" s="45" t="n">
        <v>5</v>
      </c>
      <c r="AL6" s="45" t="n">
        <v>6</v>
      </c>
      <c r="AM6" s="45" t="n">
        <v>7</v>
      </c>
      <c r="AN6" s="45" t="n">
        <v>8</v>
      </c>
      <c r="AO6" s="45" t="n">
        <v>9</v>
      </c>
      <c r="AP6" s="45" t="n">
        <v>10</v>
      </c>
      <c r="AQ6" s="45" t="n">
        <v>11</v>
      </c>
      <c r="AR6" s="45" t="n">
        <v>12</v>
      </c>
      <c r="AS6" s="45" t="n">
        <v>1</v>
      </c>
      <c r="AT6" s="45" t="n">
        <v>2</v>
      </c>
      <c r="AU6" s="45" t="n">
        <v>3</v>
      </c>
      <c r="AV6" s="45" t="n">
        <v>4</v>
      </c>
      <c r="AW6" s="45" t="n">
        <v>5</v>
      </c>
      <c r="AX6" s="45" t="n">
        <v>6</v>
      </c>
      <c r="AY6" s="45" t="n">
        <v>7</v>
      </c>
      <c r="AZ6" s="45" t="n">
        <v>8</v>
      </c>
      <c r="BA6" s="45" t="n">
        <v>9</v>
      </c>
      <c r="BB6" s="45" t="n">
        <v>10</v>
      </c>
      <c r="BC6" s="45" t="n">
        <v>11</v>
      </c>
      <c r="BD6" s="45" t="n">
        <v>12</v>
      </c>
      <c r="BE6" s="45" t="n">
        <v>1</v>
      </c>
      <c r="BF6" s="45" t="n">
        <v>2</v>
      </c>
      <c r="BG6" s="45" t="n">
        <v>3</v>
      </c>
      <c r="BH6" s="45" t="n">
        <v>4</v>
      </c>
      <c r="BI6" s="45" t="n">
        <v>5</v>
      </c>
      <c r="BJ6" s="45" t="n">
        <v>6</v>
      </c>
      <c r="BK6" s="45" t="n">
        <v>7</v>
      </c>
      <c r="BL6" s="45" t="n">
        <v>8</v>
      </c>
      <c r="BM6" s="45" t="n">
        <v>9</v>
      </c>
      <c r="BN6" s="45" t="n">
        <v>10</v>
      </c>
      <c r="BO6" s="45" t="n">
        <v>11</v>
      </c>
      <c r="BP6" s="45" t="n">
        <v>12</v>
      </c>
      <c r="BQ6" s="6" t="s">
        <v>365</v>
      </c>
      <c r="BR6" s="6" t="s">
        <v>366</v>
      </c>
      <c r="BS6" s="6" t="s">
        <v>388</v>
      </c>
    </row>
    <row r="7" customFormat="false" ht="15" hidden="false" customHeight="false" outlineLevel="0" collapsed="false">
      <c r="A7" s="11" t="str">
        <f aca="false">Replenishment_Plan!A7</f>
        <v>KIT-001</v>
      </c>
      <c r="B7" s="39" t="n">
        <f aca="false">Replenishment_Plan!K7</f>
        <v>2</v>
      </c>
      <c r="C7" s="35" t="n">
        <f aca="false">Replenishment_Plan!E7</f>
        <v>61.25</v>
      </c>
      <c r="D7" s="39" t="n">
        <f aca="false">Replenishment_Plan!O7-Replenishment_Plan!Q7</f>
        <v>236</v>
      </c>
      <c r="E7" s="39" t="n">
        <f aca="false">Replenishment_Plan!P7</f>
        <v>0</v>
      </c>
      <c r="F7" s="39" t="n">
        <f aca="false">Inputs!L40</f>
        <v>0</v>
      </c>
      <c r="G7" s="39" t="n">
        <f aca="false">Replenishment_Plan!AD7</f>
        <v>0</v>
      </c>
      <c r="H7" s="19" t="str">
        <f aca="false">IF(G7&gt;0,B7+1,"none")</f>
        <v>none</v>
      </c>
      <c r="I7" s="46" t="n">
        <f aca="false">IF(AND($E7&gt;0,I$6=$F7),$E7,0)</f>
        <v>0</v>
      </c>
      <c r="J7" s="46" t="n">
        <f aca="false">IF(AND($E7&gt;0,J$6=$F7),$E7,0)</f>
        <v>0</v>
      </c>
      <c r="K7" s="46" t="n">
        <f aca="false">IF(AND($E7&gt;0,K$6=$F7),$E7,0)</f>
        <v>0</v>
      </c>
      <c r="L7" s="46" t="n">
        <f aca="false">IF(AND($E7&gt;0,L$6=$F7),$E7,0)</f>
        <v>0</v>
      </c>
      <c r="M7" s="46" t="n">
        <f aca="false">IF(AND($E7&gt;0,M$6=$F7),$E7,0)</f>
        <v>0</v>
      </c>
      <c r="N7" s="46" t="n">
        <f aca="false">IF(AND($E7&gt;0,N$6=$F7),$E7,0)</f>
        <v>0</v>
      </c>
      <c r="O7" s="46" t="n">
        <f aca="false">IF(AND($E7&gt;0,O$6=$F7),$E7,0)</f>
        <v>0</v>
      </c>
      <c r="P7" s="46" t="n">
        <f aca="false">IF(AND($E7&gt;0,P$6=$F7),$E7,0)</f>
        <v>0</v>
      </c>
      <c r="Q7" s="46" t="n">
        <f aca="false">IF(AND($E7&gt;0,Q$6=$F7),$E7,0)</f>
        <v>0</v>
      </c>
      <c r="R7" s="46" t="n">
        <f aca="false">IF(AND($E7&gt;0,R$6=$F7),$E7,0)</f>
        <v>0</v>
      </c>
      <c r="S7" s="46" t="n">
        <f aca="false">IF(AND($E7&gt;0,S$6=$F7),$E7,0)</f>
        <v>0</v>
      </c>
      <c r="T7" s="46" t="n">
        <f aca="false">IF(AND($E7&gt;0,T$6=$F7),$E7,0)</f>
        <v>0</v>
      </c>
      <c r="U7" s="46" t="n">
        <f aca="false">IF(AND($G7&gt;0,U$6=$H7),$G7,0)</f>
        <v>0</v>
      </c>
      <c r="V7" s="46" t="n">
        <f aca="false">IF(AND($G7&gt;0,V$6=$H7),$G7,0)</f>
        <v>0</v>
      </c>
      <c r="W7" s="46" t="n">
        <f aca="false">IF(AND($G7&gt;0,W$6=$H7),$G7,0)</f>
        <v>0</v>
      </c>
      <c r="X7" s="46" t="n">
        <f aca="false">IF(AND($G7&gt;0,X$6=$H7),$G7,0)</f>
        <v>0</v>
      </c>
      <c r="Y7" s="46" t="n">
        <f aca="false">IF(AND($G7&gt;0,Y$6=$H7),$G7,0)</f>
        <v>0</v>
      </c>
      <c r="Z7" s="46" t="n">
        <f aca="false">IF(AND($G7&gt;0,Z$6=$H7),$G7,0)</f>
        <v>0</v>
      </c>
      <c r="AA7" s="46" t="n">
        <f aca="false">IF(AND($G7&gt;0,AA$6=$H7),$G7,0)</f>
        <v>0</v>
      </c>
      <c r="AB7" s="46" t="n">
        <f aca="false">IF(AND($G7&gt;0,AB$6=$H7),$G7,0)</f>
        <v>0</v>
      </c>
      <c r="AC7" s="46" t="n">
        <f aca="false">IF(AND($G7&gt;0,AC$6=$H7),$G7,0)</f>
        <v>0</v>
      </c>
      <c r="AD7" s="46" t="n">
        <f aca="false">IF(AND($G7&gt;0,AD$6=$H7),$G7,0)</f>
        <v>0</v>
      </c>
      <c r="AE7" s="46" t="n">
        <f aca="false">IF(AND($G7&gt;0,AE$6=$H7),$G7,0)</f>
        <v>0</v>
      </c>
      <c r="AF7" s="46" t="n">
        <f aca="false">IF(AND($G7&gt;0,AF$6=$H7),$G7,0)</f>
        <v>0</v>
      </c>
      <c r="AG7" s="33" t="n">
        <f aca="false">$C7</f>
        <v>61.25</v>
      </c>
      <c r="AH7" s="33" t="n">
        <f aca="false">$C7</f>
        <v>61.25</v>
      </c>
      <c r="AI7" s="33" t="n">
        <f aca="false">$C7</f>
        <v>61.25</v>
      </c>
      <c r="AJ7" s="33" t="n">
        <f aca="false">$C7</f>
        <v>61.25</v>
      </c>
      <c r="AK7" s="33" t="n">
        <f aca="false">$C7</f>
        <v>61.25</v>
      </c>
      <c r="AL7" s="33" t="n">
        <f aca="false">$C7</f>
        <v>61.25</v>
      </c>
      <c r="AM7" s="33" t="n">
        <f aca="false">$C7</f>
        <v>61.25</v>
      </c>
      <c r="AN7" s="33" t="n">
        <f aca="false">$C7</f>
        <v>61.25</v>
      </c>
      <c r="AO7" s="33" t="n">
        <f aca="false">$C7</f>
        <v>61.25</v>
      </c>
      <c r="AP7" s="33" t="n">
        <f aca="false">$C7</f>
        <v>61.25</v>
      </c>
      <c r="AQ7" s="33" t="n">
        <f aca="false">$C7</f>
        <v>61.25</v>
      </c>
      <c r="AR7" s="33" t="n">
        <f aca="false">$C7</f>
        <v>61.25</v>
      </c>
      <c r="AS7" s="47" t="n">
        <f aca="false">$D7+I7+U7-AG7</f>
        <v>174.75</v>
      </c>
      <c r="AT7" s="47" t="n">
        <f aca="false">AS7+J7+V7-AH7</f>
        <v>113.5</v>
      </c>
      <c r="AU7" s="47" t="n">
        <f aca="false">AT7+K7+W7-AI7</f>
        <v>52.25</v>
      </c>
      <c r="AV7" s="47" t="n">
        <f aca="false">AU7+L7+X7-AJ7</f>
        <v>-9</v>
      </c>
      <c r="AW7" s="47" t="n">
        <f aca="false">AV7+M7+Y7-AK7</f>
        <v>-70.25</v>
      </c>
      <c r="AX7" s="47" t="n">
        <f aca="false">AW7+N7+Z7-AL7</f>
        <v>-131.5</v>
      </c>
      <c r="AY7" s="47" t="n">
        <f aca="false">AX7+O7+AA7-AM7</f>
        <v>-192.75</v>
      </c>
      <c r="AZ7" s="47" t="n">
        <f aca="false">AY7+P7+AB7-AN7</f>
        <v>-254</v>
      </c>
      <c r="BA7" s="47" t="n">
        <f aca="false">AZ7+Q7+AC7-AO7</f>
        <v>-315.25</v>
      </c>
      <c r="BB7" s="47" t="n">
        <f aca="false">BA7+R7+AD7-AP7</f>
        <v>-376.5</v>
      </c>
      <c r="BC7" s="47" t="n">
        <f aca="false">BB7+S7+AE7-AQ7</f>
        <v>-437.75</v>
      </c>
      <c r="BD7" s="47" t="n">
        <f aca="false">BC7+T7+AF7-AR7</f>
        <v>-499</v>
      </c>
      <c r="BE7" s="46" t="n">
        <f aca="false">IF(AS7&lt;=0,1,0)</f>
        <v>0</v>
      </c>
      <c r="BF7" s="46" t="n">
        <f aca="false">IF(AT7&lt;=0,1,0)</f>
        <v>0</v>
      </c>
      <c r="BG7" s="46" t="n">
        <f aca="false">IF(AU7&lt;=0,1,0)</f>
        <v>0</v>
      </c>
      <c r="BH7" s="46" t="n">
        <f aca="false">IF(AV7&lt;=0,1,0)</f>
        <v>1</v>
      </c>
      <c r="BI7" s="46" t="n">
        <f aca="false">IF(AW7&lt;=0,1,0)</f>
        <v>1</v>
      </c>
      <c r="BJ7" s="46" t="n">
        <f aca="false">IF(AX7&lt;=0,1,0)</f>
        <v>1</v>
      </c>
      <c r="BK7" s="46" t="n">
        <f aca="false">IF(AY7&lt;=0,1,0)</f>
        <v>1</v>
      </c>
      <c r="BL7" s="46" t="n">
        <f aca="false">IF(AZ7&lt;=0,1,0)</f>
        <v>1</v>
      </c>
      <c r="BM7" s="46" t="n">
        <f aca="false">IF(BA7&lt;=0,1,0)</f>
        <v>1</v>
      </c>
      <c r="BN7" s="46" t="n">
        <f aca="false">IF(BB7&lt;=0,1,0)</f>
        <v>1</v>
      </c>
      <c r="BO7" s="46" t="n">
        <f aca="false">IF(BC7&lt;=0,1,0)</f>
        <v>1</v>
      </c>
      <c r="BP7" s="46" t="n">
        <f aca="false">IF(BD7&lt;=0,1,0)</f>
        <v>1</v>
      </c>
      <c r="BQ7" s="41" t="n">
        <f aca="false">IF(COUNTIF(BE7:BP7,1)=0,"None",MATCH(1,BE7:BP7,0))</f>
        <v>4</v>
      </c>
      <c r="BR7" s="12" t="str">
        <f aca="false">IF(COUNTIFS(BE$6:BP$6,"&lt;="&amp;$B7,BE7:BP7,1)&gt;0,"YES","NO")</f>
        <v>NO</v>
      </c>
      <c r="BS7" s="19" t="n">
        <f aca="false">MIN(AS7:BD7)</f>
        <v>-499</v>
      </c>
    </row>
    <row r="8" customFormat="false" ht="15" hidden="false" customHeight="false" outlineLevel="0" collapsed="false">
      <c r="A8" s="11" t="str">
        <f aca="false">Replenishment_Plan!A8</f>
        <v>KIT-002</v>
      </c>
      <c r="B8" s="39" t="n">
        <f aca="false">Replenishment_Plan!K8</f>
        <v>2</v>
      </c>
      <c r="C8" s="35" t="n">
        <f aca="false">Replenishment_Plan!E8</f>
        <v>33.5</v>
      </c>
      <c r="D8" s="39" t="n">
        <f aca="false">Replenishment_Plan!O8-Replenishment_Plan!Q8</f>
        <v>6</v>
      </c>
      <c r="E8" s="39" t="n">
        <f aca="false">Replenishment_Plan!P8</f>
        <v>92</v>
      </c>
      <c r="F8" s="39" t="n">
        <f aca="false">Inputs!L41</f>
        <v>1</v>
      </c>
      <c r="G8" s="39" t="n">
        <f aca="false">Replenishment_Plan!AD8</f>
        <v>180</v>
      </c>
      <c r="H8" s="19" t="n">
        <f aca="false">IF(G8&gt;0,B8+1,"none")</f>
        <v>3</v>
      </c>
      <c r="I8" s="46" t="n">
        <f aca="false">IF(AND($E8&gt;0,I$6=$F8),$E8,0)</f>
        <v>92</v>
      </c>
      <c r="J8" s="46" t="n">
        <f aca="false">IF(AND($E8&gt;0,J$6=$F8),$E8,0)</f>
        <v>0</v>
      </c>
      <c r="K8" s="46" t="n">
        <f aca="false">IF(AND($E8&gt;0,K$6=$F8),$E8,0)</f>
        <v>0</v>
      </c>
      <c r="L8" s="46" t="n">
        <f aca="false">IF(AND($E8&gt;0,L$6=$F8),$E8,0)</f>
        <v>0</v>
      </c>
      <c r="M8" s="46" t="n">
        <f aca="false">IF(AND($E8&gt;0,M$6=$F8),$E8,0)</f>
        <v>0</v>
      </c>
      <c r="N8" s="46" t="n">
        <f aca="false">IF(AND($E8&gt;0,N$6=$F8),$E8,0)</f>
        <v>0</v>
      </c>
      <c r="O8" s="46" t="n">
        <f aca="false">IF(AND($E8&gt;0,O$6=$F8),$E8,0)</f>
        <v>0</v>
      </c>
      <c r="P8" s="46" t="n">
        <f aca="false">IF(AND($E8&gt;0,P$6=$F8),$E8,0)</f>
        <v>0</v>
      </c>
      <c r="Q8" s="46" t="n">
        <f aca="false">IF(AND($E8&gt;0,Q$6=$F8),$E8,0)</f>
        <v>0</v>
      </c>
      <c r="R8" s="46" t="n">
        <f aca="false">IF(AND($E8&gt;0,R$6=$F8),$E8,0)</f>
        <v>0</v>
      </c>
      <c r="S8" s="46" t="n">
        <f aca="false">IF(AND($E8&gt;0,S$6=$F8),$E8,0)</f>
        <v>0</v>
      </c>
      <c r="T8" s="46" t="n">
        <f aca="false">IF(AND($E8&gt;0,T$6=$F8),$E8,0)</f>
        <v>0</v>
      </c>
      <c r="U8" s="46" t="n">
        <f aca="false">IF(AND($G8&gt;0,U$6=$H8),$G8,0)</f>
        <v>0</v>
      </c>
      <c r="V8" s="46" t="n">
        <f aca="false">IF(AND($G8&gt;0,V$6=$H8),$G8,0)</f>
        <v>0</v>
      </c>
      <c r="W8" s="46" t="n">
        <f aca="false">IF(AND($G8&gt;0,W$6=$H8),$G8,0)</f>
        <v>180</v>
      </c>
      <c r="X8" s="46" t="n">
        <f aca="false">IF(AND($G8&gt;0,X$6=$H8),$G8,0)</f>
        <v>0</v>
      </c>
      <c r="Y8" s="46" t="n">
        <f aca="false">IF(AND($G8&gt;0,Y$6=$H8),$G8,0)</f>
        <v>0</v>
      </c>
      <c r="Z8" s="46" t="n">
        <f aca="false">IF(AND($G8&gt;0,Z$6=$H8),$G8,0)</f>
        <v>0</v>
      </c>
      <c r="AA8" s="46" t="n">
        <f aca="false">IF(AND($G8&gt;0,AA$6=$H8),$G8,0)</f>
        <v>0</v>
      </c>
      <c r="AB8" s="46" t="n">
        <f aca="false">IF(AND($G8&gt;0,AB$6=$H8),$G8,0)</f>
        <v>0</v>
      </c>
      <c r="AC8" s="46" t="n">
        <f aca="false">IF(AND($G8&gt;0,AC$6=$H8),$G8,0)</f>
        <v>0</v>
      </c>
      <c r="AD8" s="46" t="n">
        <f aca="false">IF(AND($G8&gt;0,AD$6=$H8),$G8,0)</f>
        <v>0</v>
      </c>
      <c r="AE8" s="46" t="n">
        <f aca="false">IF(AND($G8&gt;0,AE$6=$H8),$G8,0)</f>
        <v>0</v>
      </c>
      <c r="AF8" s="46" t="n">
        <f aca="false">IF(AND($G8&gt;0,AF$6=$H8),$G8,0)</f>
        <v>0</v>
      </c>
      <c r="AG8" s="33" t="n">
        <f aca="false">$C8</f>
        <v>33.5</v>
      </c>
      <c r="AH8" s="33" t="n">
        <f aca="false">$C8</f>
        <v>33.5</v>
      </c>
      <c r="AI8" s="33" t="n">
        <f aca="false">$C8</f>
        <v>33.5</v>
      </c>
      <c r="AJ8" s="33" t="n">
        <f aca="false">$C8</f>
        <v>33.5</v>
      </c>
      <c r="AK8" s="33" t="n">
        <f aca="false">$C8</f>
        <v>33.5</v>
      </c>
      <c r="AL8" s="33" t="n">
        <f aca="false">$C8</f>
        <v>33.5</v>
      </c>
      <c r="AM8" s="33" t="n">
        <f aca="false">$C8</f>
        <v>33.5</v>
      </c>
      <c r="AN8" s="33" t="n">
        <f aca="false">$C8</f>
        <v>33.5</v>
      </c>
      <c r="AO8" s="33" t="n">
        <f aca="false">$C8</f>
        <v>33.5</v>
      </c>
      <c r="AP8" s="33" t="n">
        <f aca="false">$C8</f>
        <v>33.5</v>
      </c>
      <c r="AQ8" s="33" t="n">
        <f aca="false">$C8</f>
        <v>33.5</v>
      </c>
      <c r="AR8" s="33" t="n">
        <f aca="false">$C8</f>
        <v>33.5</v>
      </c>
      <c r="AS8" s="47" t="n">
        <f aca="false">$D8+I8+U8-AG8</f>
        <v>64.5</v>
      </c>
      <c r="AT8" s="47" t="n">
        <f aca="false">AS8+J8+V8-AH8</f>
        <v>31</v>
      </c>
      <c r="AU8" s="47" t="n">
        <f aca="false">AT8+K8+W8-AI8</f>
        <v>177.5</v>
      </c>
      <c r="AV8" s="47" t="n">
        <f aca="false">AU8+L8+X8-AJ8</f>
        <v>144</v>
      </c>
      <c r="AW8" s="47" t="n">
        <f aca="false">AV8+M8+Y8-AK8</f>
        <v>110.5</v>
      </c>
      <c r="AX8" s="47" t="n">
        <f aca="false">AW8+N8+Z8-AL8</f>
        <v>77</v>
      </c>
      <c r="AY8" s="47" t="n">
        <f aca="false">AX8+O8+AA8-AM8</f>
        <v>43.5</v>
      </c>
      <c r="AZ8" s="47" t="n">
        <f aca="false">AY8+P8+AB8-AN8</f>
        <v>10</v>
      </c>
      <c r="BA8" s="47" t="n">
        <f aca="false">AZ8+Q8+AC8-AO8</f>
        <v>-23.5</v>
      </c>
      <c r="BB8" s="47" t="n">
        <f aca="false">BA8+R8+AD8-AP8</f>
        <v>-57</v>
      </c>
      <c r="BC8" s="47" t="n">
        <f aca="false">BB8+S8+AE8-AQ8</f>
        <v>-90.5</v>
      </c>
      <c r="BD8" s="47" t="n">
        <f aca="false">BC8+T8+AF8-AR8</f>
        <v>-124</v>
      </c>
      <c r="BE8" s="46" t="n">
        <f aca="false">IF(AS8&lt;=0,1,0)</f>
        <v>0</v>
      </c>
      <c r="BF8" s="46" t="n">
        <f aca="false">IF(AT8&lt;=0,1,0)</f>
        <v>0</v>
      </c>
      <c r="BG8" s="46" t="n">
        <f aca="false">IF(AU8&lt;=0,1,0)</f>
        <v>0</v>
      </c>
      <c r="BH8" s="46" t="n">
        <f aca="false">IF(AV8&lt;=0,1,0)</f>
        <v>0</v>
      </c>
      <c r="BI8" s="46" t="n">
        <f aca="false">IF(AW8&lt;=0,1,0)</f>
        <v>0</v>
      </c>
      <c r="BJ8" s="46" t="n">
        <f aca="false">IF(AX8&lt;=0,1,0)</f>
        <v>0</v>
      </c>
      <c r="BK8" s="46" t="n">
        <f aca="false">IF(AY8&lt;=0,1,0)</f>
        <v>0</v>
      </c>
      <c r="BL8" s="46" t="n">
        <f aca="false">IF(AZ8&lt;=0,1,0)</f>
        <v>0</v>
      </c>
      <c r="BM8" s="46" t="n">
        <f aca="false">IF(BA8&lt;=0,1,0)</f>
        <v>1</v>
      </c>
      <c r="BN8" s="46" t="n">
        <f aca="false">IF(BB8&lt;=0,1,0)</f>
        <v>1</v>
      </c>
      <c r="BO8" s="46" t="n">
        <f aca="false">IF(BC8&lt;=0,1,0)</f>
        <v>1</v>
      </c>
      <c r="BP8" s="46" t="n">
        <f aca="false">IF(BD8&lt;=0,1,0)</f>
        <v>1</v>
      </c>
      <c r="BQ8" s="41" t="n">
        <f aca="false">IF(COUNTIF(BE8:BP8,1)=0,"None",MATCH(1,BE8:BP8,0))</f>
        <v>9</v>
      </c>
      <c r="BR8" s="12" t="str">
        <f aca="false">IF(COUNTIFS(BE$6:BP$6,"&lt;="&amp;$B8,BE8:BP8,1)&gt;0,"YES","NO")</f>
        <v>NO</v>
      </c>
      <c r="BS8" s="19" t="n">
        <f aca="false">MIN(AS8:BD8)</f>
        <v>-124</v>
      </c>
    </row>
    <row r="9" customFormat="false" ht="15" hidden="false" customHeight="false" outlineLevel="0" collapsed="false">
      <c r="A9" s="11" t="str">
        <f aca="false">Replenishment_Plan!A9</f>
        <v>KIT-003</v>
      </c>
      <c r="B9" s="39" t="n">
        <f aca="false">Replenishment_Plan!K9</f>
        <v>2</v>
      </c>
      <c r="C9" s="35" t="n">
        <f aca="false">Replenishment_Plan!E9</f>
        <v>95.125</v>
      </c>
      <c r="D9" s="39" t="n">
        <f aca="false">Replenishment_Plan!O9-Replenishment_Plan!Q9</f>
        <v>-36</v>
      </c>
      <c r="E9" s="39" t="n">
        <f aca="false">Replenishment_Plan!P9</f>
        <v>0</v>
      </c>
      <c r="F9" s="39" t="n">
        <f aca="false">Inputs!L42</f>
        <v>0</v>
      </c>
      <c r="G9" s="39" t="n">
        <f aca="false">Replenishment_Plan!AD9</f>
        <v>366</v>
      </c>
      <c r="H9" s="19" t="n">
        <f aca="false">IF(G9&gt;0,B9+1,"none")</f>
        <v>3</v>
      </c>
      <c r="I9" s="46" t="n">
        <f aca="false">IF(AND($E9&gt;0,I$6=$F9),$E9,0)</f>
        <v>0</v>
      </c>
      <c r="J9" s="46" t="n">
        <f aca="false">IF(AND($E9&gt;0,J$6=$F9),$E9,0)</f>
        <v>0</v>
      </c>
      <c r="K9" s="46" t="n">
        <f aca="false">IF(AND($E9&gt;0,K$6=$F9),$E9,0)</f>
        <v>0</v>
      </c>
      <c r="L9" s="46" t="n">
        <f aca="false">IF(AND($E9&gt;0,L$6=$F9),$E9,0)</f>
        <v>0</v>
      </c>
      <c r="M9" s="46" t="n">
        <f aca="false">IF(AND($E9&gt;0,M$6=$F9),$E9,0)</f>
        <v>0</v>
      </c>
      <c r="N9" s="46" t="n">
        <f aca="false">IF(AND($E9&gt;0,N$6=$F9),$E9,0)</f>
        <v>0</v>
      </c>
      <c r="O9" s="46" t="n">
        <f aca="false">IF(AND($E9&gt;0,O$6=$F9),$E9,0)</f>
        <v>0</v>
      </c>
      <c r="P9" s="46" t="n">
        <f aca="false">IF(AND($E9&gt;0,P$6=$F9),$E9,0)</f>
        <v>0</v>
      </c>
      <c r="Q9" s="46" t="n">
        <f aca="false">IF(AND($E9&gt;0,Q$6=$F9),$E9,0)</f>
        <v>0</v>
      </c>
      <c r="R9" s="46" t="n">
        <f aca="false">IF(AND($E9&gt;0,R$6=$F9),$E9,0)</f>
        <v>0</v>
      </c>
      <c r="S9" s="46" t="n">
        <f aca="false">IF(AND($E9&gt;0,S$6=$F9),$E9,0)</f>
        <v>0</v>
      </c>
      <c r="T9" s="46" t="n">
        <f aca="false">IF(AND($E9&gt;0,T$6=$F9),$E9,0)</f>
        <v>0</v>
      </c>
      <c r="U9" s="46" t="n">
        <f aca="false">IF(AND($G9&gt;0,U$6=$H9),$G9,0)</f>
        <v>0</v>
      </c>
      <c r="V9" s="46" t="n">
        <f aca="false">IF(AND($G9&gt;0,V$6=$H9),$G9,0)</f>
        <v>0</v>
      </c>
      <c r="W9" s="46" t="n">
        <f aca="false">IF(AND($G9&gt;0,W$6=$H9),$G9,0)</f>
        <v>366</v>
      </c>
      <c r="X9" s="46" t="n">
        <f aca="false">IF(AND($G9&gt;0,X$6=$H9),$G9,0)</f>
        <v>0</v>
      </c>
      <c r="Y9" s="46" t="n">
        <f aca="false">IF(AND($G9&gt;0,Y$6=$H9),$G9,0)</f>
        <v>0</v>
      </c>
      <c r="Z9" s="46" t="n">
        <f aca="false">IF(AND($G9&gt;0,Z$6=$H9),$G9,0)</f>
        <v>0</v>
      </c>
      <c r="AA9" s="46" t="n">
        <f aca="false">IF(AND($G9&gt;0,AA$6=$H9),$G9,0)</f>
        <v>0</v>
      </c>
      <c r="AB9" s="46" t="n">
        <f aca="false">IF(AND($G9&gt;0,AB$6=$H9),$G9,0)</f>
        <v>0</v>
      </c>
      <c r="AC9" s="46" t="n">
        <f aca="false">IF(AND($G9&gt;0,AC$6=$H9),$G9,0)</f>
        <v>0</v>
      </c>
      <c r="AD9" s="46" t="n">
        <f aca="false">IF(AND($G9&gt;0,AD$6=$H9),$G9,0)</f>
        <v>0</v>
      </c>
      <c r="AE9" s="46" t="n">
        <f aca="false">IF(AND($G9&gt;0,AE$6=$H9),$G9,0)</f>
        <v>0</v>
      </c>
      <c r="AF9" s="46" t="n">
        <f aca="false">IF(AND($G9&gt;0,AF$6=$H9),$G9,0)</f>
        <v>0</v>
      </c>
      <c r="AG9" s="33" t="n">
        <f aca="false">$C9</f>
        <v>95.125</v>
      </c>
      <c r="AH9" s="33" t="n">
        <f aca="false">$C9</f>
        <v>95.125</v>
      </c>
      <c r="AI9" s="33" t="n">
        <f aca="false">$C9</f>
        <v>95.125</v>
      </c>
      <c r="AJ9" s="33" t="n">
        <f aca="false">$C9</f>
        <v>95.125</v>
      </c>
      <c r="AK9" s="33" t="n">
        <f aca="false">$C9</f>
        <v>95.125</v>
      </c>
      <c r="AL9" s="33" t="n">
        <f aca="false">$C9</f>
        <v>95.125</v>
      </c>
      <c r="AM9" s="33" t="n">
        <f aca="false">$C9</f>
        <v>95.125</v>
      </c>
      <c r="AN9" s="33" t="n">
        <f aca="false">$C9</f>
        <v>95.125</v>
      </c>
      <c r="AO9" s="33" t="n">
        <f aca="false">$C9</f>
        <v>95.125</v>
      </c>
      <c r="AP9" s="33" t="n">
        <f aca="false">$C9</f>
        <v>95.125</v>
      </c>
      <c r="AQ9" s="33" t="n">
        <f aca="false">$C9</f>
        <v>95.125</v>
      </c>
      <c r="AR9" s="33" t="n">
        <f aca="false">$C9</f>
        <v>95.125</v>
      </c>
      <c r="AS9" s="47" t="n">
        <f aca="false">$D9+I9+U9-AG9</f>
        <v>-131.125</v>
      </c>
      <c r="AT9" s="47" t="n">
        <f aca="false">AS9+J9+V9-AH9</f>
        <v>-226.25</v>
      </c>
      <c r="AU9" s="47" t="n">
        <f aca="false">AT9+K9+W9-AI9</f>
        <v>44.625</v>
      </c>
      <c r="AV9" s="47" t="n">
        <f aca="false">AU9+L9+X9-AJ9</f>
        <v>-50.5</v>
      </c>
      <c r="AW9" s="47" t="n">
        <f aca="false">AV9+M9+Y9-AK9</f>
        <v>-145.625</v>
      </c>
      <c r="AX9" s="47" t="n">
        <f aca="false">AW9+N9+Z9-AL9</f>
        <v>-240.75</v>
      </c>
      <c r="AY9" s="47" t="n">
        <f aca="false">AX9+O9+AA9-AM9</f>
        <v>-335.875</v>
      </c>
      <c r="AZ9" s="47" t="n">
        <f aca="false">AY9+P9+AB9-AN9</f>
        <v>-431</v>
      </c>
      <c r="BA9" s="47" t="n">
        <f aca="false">AZ9+Q9+AC9-AO9</f>
        <v>-526.125</v>
      </c>
      <c r="BB9" s="47" t="n">
        <f aca="false">BA9+R9+AD9-AP9</f>
        <v>-621.25</v>
      </c>
      <c r="BC9" s="47" t="n">
        <f aca="false">BB9+S9+AE9-AQ9</f>
        <v>-716.375</v>
      </c>
      <c r="BD9" s="47" t="n">
        <f aca="false">BC9+T9+AF9-AR9</f>
        <v>-811.5</v>
      </c>
      <c r="BE9" s="46" t="n">
        <f aca="false">IF(AS9&lt;=0,1,0)</f>
        <v>1</v>
      </c>
      <c r="BF9" s="46" t="n">
        <f aca="false">IF(AT9&lt;=0,1,0)</f>
        <v>1</v>
      </c>
      <c r="BG9" s="46" t="n">
        <f aca="false">IF(AU9&lt;=0,1,0)</f>
        <v>0</v>
      </c>
      <c r="BH9" s="46" t="n">
        <f aca="false">IF(AV9&lt;=0,1,0)</f>
        <v>1</v>
      </c>
      <c r="BI9" s="46" t="n">
        <f aca="false">IF(AW9&lt;=0,1,0)</f>
        <v>1</v>
      </c>
      <c r="BJ9" s="46" t="n">
        <f aca="false">IF(AX9&lt;=0,1,0)</f>
        <v>1</v>
      </c>
      <c r="BK9" s="46" t="n">
        <f aca="false">IF(AY9&lt;=0,1,0)</f>
        <v>1</v>
      </c>
      <c r="BL9" s="46" t="n">
        <f aca="false">IF(AZ9&lt;=0,1,0)</f>
        <v>1</v>
      </c>
      <c r="BM9" s="46" t="n">
        <f aca="false">IF(BA9&lt;=0,1,0)</f>
        <v>1</v>
      </c>
      <c r="BN9" s="46" t="n">
        <f aca="false">IF(BB9&lt;=0,1,0)</f>
        <v>1</v>
      </c>
      <c r="BO9" s="46" t="n">
        <f aca="false">IF(BC9&lt;=0,1,0)</f>
        <v>1</v>
      </c>
      <c r="BP9" s="46" t="n">
        <f aca="false">IF(BD9&lt;=0,1,0)</f>
        <v>1</v>
      </c>
      <c r="BQ9" s="41" t="n">
        <f aca="false">IF(COUNTIF(BE9:BP9,1)=0,"None",MATCH(1,BE9:BP9,0))</f>
        <v>1</v>
      </c>
      <c r="BR9" s="12" t="str">
        <f aca="false">IF(COUNTIFS(BE$6:BP$6,"&lt;="&amp;$B9,BE9:BP9,1)&gt;0,"YES","NO")</f>
        <v>YES</v>
      </c>
      <c r="BS9" s="19" t="n">
        <f aca="false">MIN(AS9:BD9)</f>
        <v>-811.5</v>
      </c>
    </row>
    <row r="10" customFormat="false" ht="15" hidden="false" customHeight="false" outlineLevel="0" collapsed="false">
      <c r="A10" s="11" t="str">
        <f aca="false">Replenishment_Plan!A10</f>
        <v>KIT-004</v>
      </c>
      <c r="B10" s="39" t="n">
        <f aca="false">Replenishment_Plan!K10</f>
        <v>2</v>
      </c>
      <c r="C10" s="35" t="n">
        <f aca="false">Replenishment_Plan!E10</f>
        <v>96.5</v>
      </c>
      <c r="D10" s="39" t="n">
        <f aca="false">Replenishment_Plan!O10-Replenishment_Plan!Q10</f>
        <v>270</v>
      </c>
      <c r="E10" s="39" t="n">
        <f aca="false">Replenishment_Plan!P10</f>
        <v>0</v>
      </c>
      <c r="F10" s="39" t="n">
        <f aca="false">Inputs!L43</f>
        <v>0</v>
      </c>
      <c r="G10" s="39" t="n">
        <f aca="false">Replenishment_Plan!AD10</f>
        <v>0</v>
      </c>
      <c r="H10" s="19" t="str">
        <f aca="false">IF(G10&gt;0,B10+1,"none")</f>
        <v>none</v>
      </c>
      <c r="I10" s="46" t="n">
        <f aca="false">IF(AND($E10&gt;0,I$6=$F10),$E10,0)</f>
        <v>0</v>
      </c>
      <c r="J10" s="46" t="n">
        <f aca="false">IF(AND($E10&gt;0,J$6=$F10),$E10,0)</f>
        <v>0</v>
      </c>
      <c r="K10" s="46" t="n">
        <f aca="false">IF(AND($E10&gt;0,K$6=$F10),$E10,0)</f>
        <v>0</v>
      </c>
      <c r="L10" s="46" t="n">
        <f aca="false">IF(AND($E10&gt;0,L$6=$F10),$E10,0)</f>
        <v>0</v>
      </c>
      <c r="M10" s="46" t="n">
        <f aca="false">IF(AND($E10&gt;0,M$6=$F10),$E10,0)</f>
        <v>0</v>
      </c>
      <c r="N10" s="46" t="n">
        <f aca="false">IF(AND($E10&gt;0,N$6=$F10),$E10,0)</f>
        <v>0</v>
      </c>
      <c r="O10" s="46" t="n">
        <f aca="false">IF(AND($E10&gt;0,O$6=$F10),$E10,0)</f>
        <v>0</v>
      </c>
      <c r="P10" s="46" t="n">
        <f aca="false">IF(AND($E10&gt;0,P$6=$F10),$E10,0)</f>
        <v>0</v>
      </c>
      <c r="Q10" s="46" t="n">
        <f aca="false">IF(AND($E10&gt;0,Q$6=$F10),$E10,0)</f>
        <v>0</v>
      </c>
      <c r="R10" s="46" t="n">
        <f aca="false">IF(AND($E10&gt;0,R$6=$F10),$E10,0)</f>
        <v>0</v>
      </c>
      <c r="S10" s="46" t="n">
        <f aca="false">IF(AND($E10&gt;0,S$6=$F10),$E10,0)</f>
        <v>0</v>
      </c>
      <c r="T10" s="46" t="n">
        <f aca="false">IF(AND($E10&gt;0,T$6=$F10),$E10,0)</f>
        <v>0</v>
      </c>
      <c r="U10" s="46" t="n">
        <f aca="false">IF(AND($G10&gt;0,U$6=$H10),$G10,0)</f>
        <v>0</v>
      </c>
      <c r="V10" s="46" t="n">
        <f aca="false">IF(AND($G10&gt;0,V$6=$H10),$G10,0)</f>
        <v>0</v>
      </c>
      <c r="W10" s="46" t="n">
        <f aca="false">IF(AND($G10&gt;0,W$6=$H10),$G10,0)</f>
        <v>0</v>
      </c>
      <c r="X10" s="46" t="n">
        <f aca="false">IF(AND($G10&gt;0,X$6=$H10),$G10,0)</f>
        <v>0</v>
      </c>
      <c r="Y10" s="46" t="n">
        <f aca="false">IF(AND($G10&gt;0,Y$6=$H10),$G10,0)</f>
        <v>0</v>
      </c>
      <c r="Z10" s="46" t="n">
        <f aca="false">IF(AND($G10&gt;0,Z$6=$H10),$G10,0)</f>
        <v>0</v>
      </c>
      <c r="AA10" s="46" t="n">
        <f aca="false">IF(AND($G10&gt;0,AA$6=$H10),$G10,0)</f>
        <v>0</v>
      </c>
      <c r="AB10" s="46" t="n">
        <f aca="false">IF(AND($G10&gt;0,AB$6=$H10),$G10,0)</f>
        <v>0</v>
      </c>
      <c r="AC10" s="46" t="n">
        <f aca="false">IF(AND($G10&gt;0,AC$6=$H10),$G10,0)</f>
        <v>0</v>
      </c>
      <c r="AD10" s="46" t="n">
        <f aca="false">IF(AND($G10&gt;0,AD$6=$H10),$G10,0)</f>
        <v>0</v>
      </c>
      <c r="AE10" s="46" t="n">
        <f aca="false">IF(AND($G10&gt;0,AE$6=$H10),$G10,0)</f>
        <v>0</v>
      </c>
      <c r="AF10" s="46" t="n">
        <f aca="false">IF(AND($G10&gt;0,AF$6=$H10),$G10,0)</f>
        <v>0</v>
      </c>
      <c r="AG10" s="33" t="n">
        <f aca="false">$C10</f>
        <v>96.5</v>
      </c>
      <c r="AH10" s="33" t="n">
        <f aca="false">$C10</f>
        <v>96.5</v>
      </c>
      <c r="AI10" s="33" t="n">
        <f aca="false">$C10</f>
        <v>96.5</v>
      </c>
      <c r="AJ10" s="33" t="n">
        <f aca="false">$C10</f>
        <v>96.5</v>
      </c>
      <c r="AK10" s="33" t="n">
        <f aca="false">$C10</f>
        <v>96.5</v>
      </c>
      <c r="AL10" s="33" t="n">
        <f aca="false">$C10</f>
        <v>96.5</v>
      </c>
      <c r="AM10" s="33" t="n">
        <f aca="false">$C10</f>
        <v>96.5</v>
      </c>
      <c r="AN10" s="33" t="n">
        <f aca="false">$C10</f>
        <v>96.5</v>
      </c>
      <c r="AO10" s="33" t="n">
        <f aca="false">$C10</f>
        <v>96.5</v>
      </c>
      <c r="AP10" s="33" t="n">
        <f aca="false">$C10</f>
        <v>96.5</v>
      </c>
      <c r="AQ10" s="33" t="n">
        <f aca="false">$C10</f>
        <v>96.5</v>
      </c>
      <c r="AR10" s="33" t="n">
        <f aca="false">$C10</f>
        <v>96.5</v>
      </c>
      <c r="AS10" s="47" t="n">
        <f aca="false">$D10+I10+U10-AG10</f>
        <v>173.5</v>
      </c>
      <c r="AT10" s="47" t="n">
        <f aca="false">AS10+J10+V10-AH10</f>
        <v>77</v>
      </c>
      <c r="AU10" s="47" t="n">
        <f aca="false">AT10+K10+W10-AI10</f>
        <v>-19.5</v>
      </c>
      <c r="AV10" s="47" t="n">
        <f aca="false">AU10+L10+X10-AJ10</f>
        <v>-116</v>
      </c>
      <c r="AW10" s="47" t="n">
        <f aca="false">AV10+M10+Y10-AK10</f>
        <v>-212.5</v>
      </c>
      <c r="AX10" s="47" t="n">
        <f aca="false">AW10+N10+Z10-AL10</f>
        <v>-309</v>
      </c>
      <c r="AY10" s="47" t="n">
        <f aca="false">AX10+O10+AA10-AM10</f>
        <v>-405.5</v>
      </c>
      <c r="AZ10" s="47" t="n">
        <f aca="false">AY10+P10+AB10-AN10</f>
        <v>-502</v>
      </c>
      <c r="BA10" s="47" t="n">
        <f aca="false">AZ10+Q10+AC10-AO10</f>
        <v>-598.5</v>
      </c>
      <c r="BB10" s="47" t="n">
        <f aca="false">BA10+R10+AD10-AP10</f>
        <v>-695</v>
      </c>
      <c r="BC10" s="47" t="n">
        <f aca="false">BB10+S10+AE10-AQ10</f>
        <v>-791.5</v>
      </c>
      <c r="BD10" s="47" t="n">
        <f aca="false">BC10+T10+AF10-AR10</f>
        <v>-888</v>
      </c>
      <c r="BE10" s="46" t="n">
        <f aca="false">IF(AS10&lt;=0,1,0)</f>
        <v>0</v>
      </c>
      <c r="BF10" s="46" t="n">
        <f aca="false">IF(AT10&lt;=0,1,0)</f>
        <v>0</v>
      </c>
      <c r="BG10" s="46" t="n">
        <f aca="false">IF(AU10&lt;=0,1,0)</f>
        <v>1</v>
      </c>
      <c r="BH10" s="46" t="n">
        <f aca="false">IF(AV10&lt;=0,1,0)</f>
        <v>1</v>
      </c>
      <c r="BI10" s="46" t="n">
        <f aca="false">IF(AW10&lt;=0,1,0)</f>
        <v>1</v>
      </c>
      <c r="BJ10" s="46" t="n">
        <f aca="false">IF(AX10&lt;=0,1,0)</f>
        <v>1</v>
      </c>
      <c r="BK10" s="46" t="n">
        <f aca="false">IF(AY10&lt;=0,1,0)</f>
        <v>1</v>
      </c>
      <c r="BL10" s="46" t="n">
        <f aca="false">IF(AZ10&lt;=0,1,0)</f>
        <v>1</v>
      </c>
      <c r="BM10" s="46" t="n">
        <f aca="false">IF(BA10&lt;=0,1,0)</f>
        <v>1</v>
      </c>
      <c r="BN10" s="46" t="n">
        <f aca="false">IF(BB10&lt;=0,1,0)</f>
        <v>1</v>
      </c>
      <c r="BO10" s="46" t="n">
        <f aca="false">IF(BC10&lt;=0,1,0)</f>
        <v>1</v>
      </c>
      <c r="BP10" s="46" t="n">
        <f aca="false">IF(BD10&lt;=0,1,0)</f>
        <v>1</v>
      </c>
      <c r="BQ10" s="41" t="n">
        <f aca="false">IF(COUNTIF(BE10:BP10,1)=0,"None",MATCH(1,BE10:BP10,0))</f>
        <v>3</v>
      </c>
      <c r="BR10" s="12" t="str">
        <f aca="false">IF(COUNTIFS(BE$6:BP$6,"&lt;="&amp;$B10,BE10:BP10,1)&gt;0,"YES","NO")</f>
        <v>NO</v>
      </c>
      <c r="BS10" s="19" t="n">
        <f aca="false">MIN(AS10:BD10)</f>
        <v>-888</v>
      </c>
    </row>
    <row r="11" customFormat="false" ht="15" hidden="false" customHeight="false" outlineLevel="0" collapsed="false">
      <c r="A11" s="11" t="str">
        <f aca="false">Replenishment_Plan!A11</f>
        <v>KIT-005</v>
      </c>
      <c r="B11" s="39" t="n">
        <f aca="false">Replenishment_Plan!K11</f>
        <v>2</v>
      </c>
      <c r="C11" s="35" t="n">
        <f aca="false">Replenishment_Plan!E11</f>
        <v>23.875</v>
      </c>
      <c r="D11" s="39" t="n">
        <f aca="false">Replenishment_Plan!O11-Replenishment_Plan!Q11</f>
        <v>334</v>
      </c>
      <c r="E11" s="39" t="n">
        <f aca="false">Replenishment_Plan!P11</f>
        <v>0</v>
      </c>
      <c r="F11" s="39" t="n">
        <f aca="false">Inputs!L44</f>
        <v>0</v>
      </c>
      <c r="G11" s="39" t="n">
        <f aca="false">Replenishment_Plan!AD11</f>
        <v>0</v>
      </c>
      <c r="H11" s="19" t="str">
        <f aca="false">IF(G11&gt;0,B11+1,"none")</f>
        <v>none</v>
      </c>
      <c r="I11" s="46" t="n">
        <f aca="false">IF(AND($E11&gt;0,I$6=$F11),$E11,0)</f>
        <v>0</v>
      </c>
      <c r="J11" s="46" t="n">
        <f aca="false">IF(AND($E11&gt;0,J$6=$F11),$E11,0)</f>
        <v>0</v>
      </c>
      <c r="K11" s="46" t="n">
        <f aca="false">IF(AND($E11&gt;0,K$6=$F11),$E11,0)</f>
        <v>0</v>
      </c>
      <c r="L11" s="46" t="n">
        <f aca="false">IF(AND($E11&gt;0,L$6=$F11),$E11,0)</f>
        <v>0</v>
      </c>
      <c r="M11" s="46" t="n">
        <f aca="false">IF(AND($E11&gt;0,M$6=$F11),$E11,0)</f>
        <v>0</v>
      </c>
      <c r="N11" s="46" t="n">
        <f aca="false">IF(AND($E11&gt;0,N$6=$F11),$E11,0)</f>
        <v>0</v>
      </c>
      <c r="O11" s="46" t="n">
        <f aca="false">IF(AND($E11&gt;0,O$6=$F11),$E11,0)</f>
        <v>0</v>
      </c>
      <c r="P11" s="46" t="n">
        <f aca="false">IF(AND($E11&gt;0,P$6=$F11),$E11,0)</f>
        <v>0</v>
      </c>
      <c r="Q11" s="46" t="n">
        <f aca="false">IF(AND($E11&gt;0,Q$6=$F11),$E11,0)</f>
        <v>0</v>
      </c>
      <c r="R11" s="46" t="n">
        <f aca="false">IF(AND($E11&gt;0,R$6=$F11),$E11,0)</f>
        <v>0</v>
      </c>
      <c r="S11" s="46" t="n">
        <f aca="false">IF(AND($E11&gt;0,S$6=$F11),$E11,0)</f>
        <v>0</v>
      </c>
      <c r="T11" s="46" t="n">
        <f aca="false">IF(AND($E11&gt;0,T$6=$F11),$E11,0)</f>
        <v>0</v>
      </c>
      <c r="U11" s="46" t="n">
        <f aca="false">IF(AND($G11&gt;0,U$6=$H11),$G11,0)</f>
        <v>0</v>
      </c>
      <c r="V11" s="46" t="n">
        <f aca="false">IF(AND($G11&gt;0,V$6=$H11),$G11,0)</f>
        <v>0</v>
      </c>
      <c r="W11" s="46" t="n">
        <f aca="false">IF(AND($G11&gt;0,W$6=$H11),$G11,0)</f>
        <v>0</v>
      </c>
      <c r="X11" s="46" t="n">
        <f aca="false">IF(AND($G11&gt;0,X$6=$H11),$G11,0)</f>
        <v>0</v>
      </c>
      <c r="Y11" s="46" t="n">
        <f aca="false">IF(AND($G11&gt;0,Y$6=$H11),$G11,0)</f>
        <v>0</v>
      </c>
      <c r="Z11" s="46" t="n">
        <f aca="false">IF(AND($G11&gt;0,Z$6=$H11),$G11,0)</f>
        <v>0</v>
      </c>
      <c r="AA11" s="46" t="n">
        <f aca="false">IF(AND($G11&gt;0,AA$6=$H11),$G11,0)</f>
        <v>0</v>
      </c>
      <c r="AB11" s="46" t="n">
        <f aca="false">IF(AND($G11&gt;0,AB$6=$H11),$G11,0)</f>
        <v>0</v>
      </c>
      <c r="AC11" s="46" t="n">
        <f aca="false">IF(AND($G11&gt;0,AC$6=$H11),$G11,0)</f>
        <v>0</v>
      </c>
      <c r="AD11" s="46" t="n">
        <f aca="false">IF(AND($G11&gt;0,AD$6=$H11),$G11,0)</f>
        <v>0</v>
      </c>
      <c r="AE11" s="46" t="n">
        <f aca="false">IF(AND($G11&gt;0,AE$6=$H11),$G11,0)</f>
        <v>0</v>
      </c>
      <c r="AF11" s="46" t="n">
        <f aca="false">IF(AND($G11&gt;0,AF$6=$H11),$G11,0)</f>
        <v>0</v>
      </c>
      <c r="AG11" s="33" t="n">
        <f aca="false">$C11</f>
        <v>23.875</v>
      </c>
      <c r="AH11" s="33" t="n">
        <f aca="false">$C11</f>
        <v>23.875</v>
      </c>
      <c r="AI11" s="33" t="n">
        <f aca="false">$C11</f>
        <v>23.875</v>
      </c>
      <c r="AJ11" s="33" t="n">
        <f aca="false">$C11</f>
        <v>23.875</v>
      </c>
      <c r="AK11" s="33" t="n">
        <f aca="false">$C11</f>
        <v>23.875</v>
      </c>
      <c r="AL11" s="33" t="n">
        <f aca="false">$C11</f>
        <v>23.875</v>
      </c>
      <c r="AM11" s="33" t="n">
        <f aca="false">$C11</f>
        <v>23.875</v>
      </c>
      <c r="AN11" s="33" t="n">
        <f aca="false">$C11</f>
        <v>23.875</v>
      </c>
      <c r="AO11" s="33" t="n">
        <f aca="false">$C11</f>
        <v>23.875</v>
      </c>
      <c r="AP11" s="33" t="n">
        <f aca="false">$C11</f>
        <v>23.875</v>
      </c>
      <c r="AQ11" s="33" t="n">
        <f aca="false">$C11</f>
        <v>23.875</v>
      </c>
      <c r="AR11" s="33" t="n">
        <f aca="false">$C11</f>
        <v>23.875</v>
      </c>
      <c r="AS11" s="47" t="n">
        <f aca="false">$D11+I11+U11-AG11</f>
        <v>310.125</v>
      </c>
      <c r="AT11" s="47" t="n">
        <f aca="false">AS11+J11+V11-AH11</f>
        <v>286.25</v>
      </c>
      <c r="AU11" s="47" t="n">
        <f aca="false">AT11+K11+W11-AI11</f>
        <v>262.375</v>
      </c>
      <c r="AV11" s="47" t="n">
        <f aca="false">AU11+L11+X11-AJ11</f>
        <v>238.5</v>
      </c>
      <c r="AW11" s="47" t="n">
        <f aca="false">AV11+M11+Y11-AK11</f>
        <v>214.625</v>
      </c>
      <c r="AX11" s="47" t="n">
        <f aca="false">AW11+N11+Z11-AL11</f>
        <v>190.75</v>
      </c>
      <c r="AY11" s="47" t="n">
        <f aca="false">AX11+O11+AA11-AM11</f>
        <v>166.875</v>
      </c>
      <c r="AZ11" s="47" t="n">
        <f aca="false">AY11+P11+AB11-AN11</f>
        <v>143</v>
      </c>
      <c r="BA11" s="47" t="n">
        <f aca="false">AZ11+Q11+AC11-AO11</f>
        <v>119.125</v>
      </c>
      <c r="BB11" s="47" t="n">
        <f aca="false">BA11+R11+AD11-AP11</f>
        <v>95.25</v>
      </c>
      <c r="BC11" s="47" t="n">
        <f aca="false">BB11+S11+AE11-AQ11</f>
        <v>71.375</v>
      </c>
      <c r="BD11" s="47" t="n">
        <f aca="false">BC11+T11+AF11-AR11</f>
        <v>47.5</v>
      </c>
      <c r="BE11" s="46" t="n">
        <f aca="false">IF(AS11&lt;=0,1,0)</f>
        <v>0</v>
      </c>
      <c r="BF11" s="46" t="n">
        <f aca="false">IF(AT11&lt;=0,1,0)</f>
        <v>0</v>
      </c>
      <c r="BG11" s="46" t="n">
        <f aca="false">IF(AU11&lt;=0,1,0)</f>
        <v>0</v>
      </c>
      <c r="BH11" s="46" t="n">
        <f aca="false">IF(AV11&lt;=0,1,0)</f>
        <v>0</v>
      </c>
      <c r="BI11" s="46" t="n">
        <f aca="false">IF(AW11&lt;=0,1,0)</f>
        <v>0</v>
      </c>
      <c r="BJ11" s="46" t="n">
        <f aca="false">IF(AX11&lt;=0,1,0)</f>
        <v>0</v>
      </c>
      <c r="BK11" s="46" t="n">
        <f aca="false">IF(AY11&lt;=0,1,0)</f>
        <v>0</v>
      </c>
      <c r="BL11" s="46" t="n">
        <f aca="false">IF(AZ11&lt;=0,1,0)</f>
        <v>0</v>
      </c>
      <c r="BM11" s="46" t="n">
        <f aca="false">IF(BA11&lt;=0,1,0)</f>
        <v>0</v>
      </c>
      <c r="BN11" s="46" t="n">
        <f aca="false">IF(BB11&lt;=0,1,0)</f>
        <v>0</v>
      </c>
      <c r="BO11" s="46" t="n">
        <f aca="false">IF(BC11&lt;=0,1,0)</f>
        <v>0</v>
      </c>
      <c r="BP11" s="46" t="n">
        <f aca="false">IF(BD11&lt;=0,1,0)</f>
        <v>0</v>
      </c>
      <c r="BQ11" s="41" t="str">
        <f aca="false">IF(COUNTIF(BE11:BP11,1)=0,"None",MATCH(1,BE11:BP11,0))</f>
        <v>None</v>
      </c>
      <c r="BR11" s="12" t="str">
        <f aca="false">IF(COUNTIFS(BE$6:BP$6,"&lt;="&amp;$B11,BE11:BP11,1)&gt;0,"YES","NO")</f>
        <v>NO</v>
      </c>
      <c r="BS11" s="19" t="n">
        <f aca="false">MIN(AS11:BD11)</f>
        <v>47.5</v>
      </c>
    </row>
    <row r="12" customFormat="false" ht="15" hidden="false" customHeight="false" outlineLevel="0" collapsed="false">
      <c r="A12" s="11" t="str">
        <f aca="false">Replenishment_Plan!A12</f>
        <v>KIT-006</v>
      </c>
      <c r="B12" s="39" t="n">
        <f aca="false">Replenishment_Plan!K12</f>
        <v>2</v>
      </c>
      <c r="C12" s="35" t="n">
        <f aca="false">Replenishment_Plan!E12</f>
        <v>66.625</v>
      </c>
      <c r="D12" s="39" t="n">
        <f aca="false">Replenishment_Plan!O12-Replenishment_Plan!Q12</f>
        <v>378</v>
      </c>
      <c r="E12" s="39" t="n">
        <f aca="false">Replenishment_Plan!P12</f>
        <v>0</v>
      </c>
      <c r="F12" s="39" t="n">
        <f aca="false">Inputs!L45</f>
        <v>0</v>
      </c>
      <c r="G12" s="39" t="n">
        <f aca="false">Replenishment_Plan!AD12</f>
        <v>0</v>
      </c>
      <c r="H12" s="19" t="str">
        <f aca="false">IF(G12&gt;0,B12+1,"none")</f>
        <v>none</v>
      </c>
      <c r="I12" s="46" t="n">
        <f aca="false">IF(AND($E12&gt;0,I$6=$F12),$E12,0)</f>
        <v>0</v>
      </c>
      <c r="J12" s="46" t="n">
        <f aca="false">IF(AND($E12&gt;0,J$6=$F12),$E12,0)</f>
        <v>0</v>
      </c>
      <c r="K12" s="46" t="n">
        <f aca="false">IF(AND($E12&gt;0,K$6=$F12),$E12,0)</f>
        <v>0</v>
      </c>
      <c r="L12" s="46" t="n">
        <f aca="false">IF(AND($E12&gt;0,L$6=$F12),$E12,0)</f>
        <v>0</v>
      </c>
      <c r="M12" s="46" t="n">
        <f aca="false">IF(AND($E12&gt;0,M$6=$F12),$E12,0)</f>
        <v>0</v>
      </c>
      <c r="N12" s="46" t="n">
        <f aca="false">IF(AND($E12&gt;0,N$6=$F12),$E12,0)</f>
        <v>0</v>
      </c>
      <c r="O12" s="46" t="n">
        <f aca="false">IF(AND($E12&gt;0,O$6=$F12),$E12,0)</f>
        <v>0</v>
      </c>
      <c r="P12" s="46" t="n">
        <f aca="false">IF(AND($E12&gt;0,P$6=$F12),$E12,0)</f>
        <v>0</v>
      </c>
      <c r="Q12" s="46" t="n">
        <f aca="false">IF(AND($E12&gt;0,Q$6=$F12),$E12,0)</f>
        <v>0</v>
      </c>
      <c r="R12" s="46" t="n">
        <f aca="false">IF(AND($E12&gt;0,R$6=$F12),$E12,0)</f>
        <v>0</v>
      </c>
      <c r="S12" s="46" t="n">
        <f aca="false">IF(AND($E12&gt;0,S$6=$F12),$E12,0)</f>
        <v>0</v>
      </c>
      <c r="T12" s="46" t="n">
        <f aca="false">IF(AND($E12&gt;0,T$6=$F12),$E12,0)</f>
        <v>0</v>
      </c>
      <c r="U12" s="46" t="n">
        <f aca="false">IF(AND($G12&gt;0,U$6=$H12),$G12,0)</f>
        <v>0</v>
      </c>
      <c r="V12" s="46" t="n">
        <f aca="false">IF(AND($G12&gt;0,V$6=$H12),$G12,0)</f>
        <v>0</v>
      </c>
      <c r="W12" s="46" t="n">
        <f aca="false">IF(AND($G12&gt;0,W$6=$H12),$G12,0)</f>
        <v>0</v>
      </c>
      <c r="X12" s="46" t="n">
        <f aca="false">IF(AND($G12&gt;0,X$6=$H12),$G12,0)</f>
        <v>0</v>
      </c>
      <c r="Y12" s="46" t="n">
        <f aca="false">IF(AND($G12&gt;0,Y$6=$H12),$G12,0)</f>
        <v>0</v>
      </c>
      <c r="Z12" s="46" t="n">
        <f aca="false">IF(AND($G12&gt;0,Z$6=$H12),$G12,0)</f>
        <v>0</v>
      </c>
      <c r="AA12" s="46" t="n">
        <f aca="false">IF(AND($G12&gt;0,AA$6=$H12),$G12,0)</f>
        <v>0</v>
      </c>
      <c r="AB12" s="46" t="n">
        <f aca="false">IF(AND($G12&gt;0,AB$6=$H12),$G12,0)</f>
        <v>0</v>
      </c>
      <c r="AC12" s="46" t="n">
        <f aca="false">IF(AND($G12&gt;0,AC$6=$H12),$G12,0)</f>
        <v>0</v>
      </c>
      <c r="AD12" s="46" t="n">
        <f aca="false">IF(AND($G12&gt;0,AD$6=$H12),$G12,0)</f>
        <v>0</v>
      </c>
      <c r="AE12" s="46" t="n">
        <f aca="false">IF(AND($G12&gt;0,AE$6=$H12),$G12,0)</f>
        <v>0</v>
      </c>
      <c r="AF12" s="46" t="n">
        <f aca="false">IF(AND($G12&gt;0,AF$6=$H12),$G12,0)</f>
        <v>0</v>
      </c>
      <c r="AG12" s="33" t="n">
        <f aca="false">$C12</f>
        <v>66.625</v>
      </c>
      <c r="AH12" s="33" t="n">
        <f aca="false">$C12</f>
        <v>66.625</v>
      </c>
      <c r="AI12" s="33" t="n">
        <f aca="false">$C12</f>
        <v>66.625</v>
      </c>
      <c r="AJ12" s="33" t="n">
        <f aca="false">$C12</f>
        <v>66.625</v>
      </c>
      <c r="AK12" s="33" t="n">
        <f aca="false">$C12</f>
        <v>66.625</v>
      </c>
      <c r="AL12" s="33" t="n">
        <f aca="false">$C12</f>
        <v>66.625</v>
      </c>
      <c r="AM12" s="33" t="n">
        <f aca="false">$C12</f>
        <v>66.625</v>
      </c>
      <c r="AN12" s="33" t="n">
        <f aca="false">$C12</f>
        <v>66.625</v>
      </c>
      <c r="AO12" s="33" t="n">
        <f aca="false">$C12</f>
        <v>66.625</v>
      </c>
      <c r="AP12" s="33" t="n">
        <f aca="false">$C12</f>
        <v>66.625</v>
      </c>
      <c r="AQ12" s="33" t="n">
        <f aca="false">$C12</f>
        <v>66.625</v>
      </c>
      <c r="AR12" s="33" t="n">
        <f aca="false">$C12</f>
        <v>66.625</v>
      </c>
      <c r="AS12" s="47" t="n">
        <f aca="false">$D12+I12+U12-AG12</f>
        <v>311.375</v>
      </c>
      <c r="AT12" s="47" t="n">
        <f aca="false">AS12+J12+V12-AH12</f>
        <v>244.75</v>
      </c>
      <c r="AU12" s="47" t="n">
        <f aca="false">AT12+K12+W12-AI12</f>
        <v>178.125</v>
      </c>
      <c r="AV12" s="47" t="n">
        <f aca="false">AU12+L12+X12-AJ12</f>
        <v>111.5</v>
      </c>
      <c r="AW12" s="47" t="n">
        <f aca="false">AV12+M12+Y12-AK12</f>
        <v>44.875</v>
      </c>
      <c r="AX12" s="47" t="n">
        <f aca="false">AW12+N12+Z12-AL12</f>
        <v>-21.75</v>
      </c>
      <c r="AY12" s="47" t="n">
        <f aca="false">AX12+O12+AA12-AM12</f>
        <v>-88.375</v>
      </c>
      <c r="AZ12" s="47" t="n">
        <f aca="false">AY12+P12+AB12-AN12</f>
        <v>-155</v>
      </c>
      <c r="BA12" s="47" t="n">
        <f aca="false">AZ12+Q12+AC12-AO12</f>
        <v>-221.625</v>
      </c>
      <c r="BB12" s="47" t="n">
        <f aca="false">BA12+R12+AD12-AP12</f>
        <v>-288.25</v>
      </c>
      <c r="BC12" s="47" t="n">
        <f aca="false">BB12+S12+AE12-AQ12</f>
        <v>-354.875</v>
      </c>
      <c r="BD12" s="47" t="n">
        <f aca="false">BC12+T12+AF12-AR12</f>
        <v>-421.5</v>
      </c>
      <c r="BE12" s="46" t="n">
        <f aca="false">IF(AS12&lt;=0,1,0)</f>
        <v>0</v>
      </c>
      <c r="BF12" s="46" t="n">
        <f aca="false">IF(AT12&lt;=0,1,0)</f>
        <v>0</v>
      </c>
      <c r="BG12" s="46" t="n">
        <f aca="false">IF(AU12&lt;=0,1,0)</f>
        <v>0</v>
      </c>
      <c r="BH12" s="46" t="n">
        <f aca="false">IF(AV12&lt;=0,1,0)</f>
        <v>0</v>
      </c>
      <c r="BI12" s="46" t="n">
        <f aca="false">IF(AW12&lt;=0,1,0)</f>
        <v>0</v>
      </c>
      <c r="BJ12" s="46" t="n">
        <f aca="false">IF(AX12&lt;=0,1,0)</f>
        <v>1</v>
      </c>
      <c r="BK12" s="46" t="n">
        <f aca="false">IF(AY12&lt;=0,1,0)</f>
        <v>1</v>
      </c>
      <c r="BL12" s="46" t="n">
        <f aca="false">IF(AZ12&lt;=0,1,0)</f>
        <v>1</v>
      </c>
      <c r="BM12" s="46" t="n">
        <f aca="false">IF(BA12&lt;=0,1,0)</f>
        <v>1</v>
      </c>
      <c r="BN12" s="46" t="n">
        <f aca="false">IF(BB12&lt;=0,1,0)</f>
        <v>1</v>
      </c>
      <c r="BO12" s="46" t="n">
        <f aca="false">IF(BC12&lt;=0,1,0)</f>
        <v>1</v>
      </c>
      <c r="BP12" s="46" t="n">
        <f aca="false">IF(BD12&lt;=0,1,0)</f>
        <v>1</v>
      </c>
      <c r="BQ12" s="41" t="n">
        <f aca="false">IF(COUNTIF(BE12:BP12,1)=0,"None",MATCH(1,BE12:BP12,0))</f>
        <v>6</v>
      </c>
      <c r="BR12" s="12" t="str">
        <f aca="false">IF(COUNTIFS(BE$6:BP$6,"&lt;="&amp;$B12,BE12:BP12,1)&gt;0,"YES","NO")</f>
        <v>NO</v>
      </c>
      <c r="BS12" s="19" t="n">
        <f aca="false">MIN(AS12:BD12)</f>
        <v>-421.5</v>
      </c>
    </row>
    <row r="13" customFormat="false" ht="15" hidden="false" customHeight="false" outlineLevel="0" collapsed="false">
      <c r="A13" s="11" t="str">
        <f aca="false">Replenishment_Plan!A13</f>
        <v>KIT-007</v>
      </c>
      <c r="B13" s="39" t="n">
        <f aca="false">Replenishment_Plan!K13</f>
        <v>2</v>
      </c>
      <c r="C13" s="35" t="n">
        <f aca="false">Replenishment_Plan!E13</f>
        <v>8.875</v>
      </c>
      <c r="D13" s="39" t="n">
        <f aca="false">Replenishment_Plan!O13-Replenishment_Plan!Q13</f>
        <v>21</v>
      </c>
      <c r="E13" s="39" t="n">
        <f aca="false">Replenishment_Plan!P13</f>
        <v>0</v>
      </c>
      <c r="F13" s="39" t="n">
        <f aca="false">Inputs!L46</f>
        <v>0</v>
      </c>
      <c r="G13" s="39" t="n">
        <f aca="false">Replenishment_Plan!AD13</f>
        <v>47</v>
      </c>
      <c r="H13" s="19" t="n">
        <f aca="false">IF(G13&gt;0,B13+1,"none")</f>
        <v>3</v>
      </c>
      <c r="I13" s="46" t="n">
        <f aca="false">IF(AND($E13&gt;0,I$6=$F13),$E13,0)</f>
        <v>0</v>
      </c>
      <c r="J13" s="46" t="n">
        <f aca="false">IF(AND($E13&gt;0,J$6=$F13),$E13,0)</f>
        <v>0</v>
      </c>
      <c r="K13" s="46" t="n">
        <f aca="false">IF(AND($E13&gt;0,K$6=$F13),$E13,0)</f>
        <v>0</v>
      </c>
      <c r="L13" s="46" t="n">
        <f aca="false">IF(AND($E13&gt;0,L$6=$F13),$E13,0)</f>
        <v>0</v>
      </c>
      <c r="M13" s="46" t="n">
        <f aca="false">IF(AND($E13&gt;0,M$6=$F13),$E13,0)</f>
        <v>0</v>
      </c>
      <c r="N13" s="46" t="n">
        <f aca="false">IF(AND($E13&gt;0,N$6=$F13),$E13,0)</f>
        <v>0</v>
      </c>
      <c r="O13" s="46" t="n">
        <f aca="false">IF(AND($E13&gt;0,O$6=$F13),$E13,0)</f>
        <v>0</v>
      </c>
      <c r="P13" s="46" t="n">
        <f aca="false">IF(AND($E13&gt;0,P$6=$F13),$E13,0)</f>
        <v>0</v>
      </c>
      <c r="Q13" s="46" t="n">
        <f aca="false">IF(AND($E13&gt;0,Q$6=$F13),$E13,0)</f>
        <v>0</v>
      </c>
      <c r="R13" s="46" t="n">
        <f aca="false">IF(AND($E13&gt;0,R$6=$F13),$E13,0)</f>
        <v>0</v>
      </c>
      <c r="S13" s="46" t="n">
        <f aca="false">IF(AND($E13&gt;0,S$6=$F13),$E13,0)</f>
        <v>0</v>
      </c>
      <c r="T13" s="46" t="n">
        <f aca="false">IF(AND($E13&gt;0,T$6=$F13),$E13,0)</f>
        <v>0</v>
      </c>
      <c r="U13" s="46" t="n">
        <f aca="false">IF(AND($G13&gt;0,U$6=$H13),$G13,0)</f>
        <v>0</v>
      </c>
      <c r="V13" s="46" t="n">
        <f aca="false">IF(AND($G13&gt;0,V$6=$H13),$G13,0)</f>
        <v>0</v>
      </c>
      <c r="W13" s="46" t="n">
        <f aca="false">IF(AND($G13&gt;0,W$6=$H13),$G13,0)</f>
        <v>47</v>
      </c>
      <c r="X13" s="46" t="n">
        <f aca="false">IF(AND($G13&gt;0,X$6=$H13),$G13,0)</f>
        <v>0</v>
      </c>
      <c r="Y13" s="46" t="n">
        <f aca="false">IF(AND($G13&gt;0,Y$6=$H13),$G13,0)</f>
        <v>0</v>
      </c>
      <c r="Z13" s="46" t="n">
        <f aca="false">IF(AND($G13&gt;0,Z$6=$H13),$G13,0)</f>
        <v>0</v>
      </c>
      <c r="AA13" s="46" t="n">
        <f aca="false">IF(AND($G13&gt;0,AA$6=$H13),$G13,0)</f>
        <v>0</v>
      </c>
      <c r="AB13" s="46" t="n">
        <f aca="false">IF(AND($G13&gt;0,AB$6=$H13),$G13,0)</f>
        <v>0</v>
      </c>
      <c r="AC13" s="46" t="n">
        <f aca="false">IF(AND($G13&gt;0,AC$6=$H13),$G13,0)</f>
        <v>0</v>
      </c>
      <c r="AD13" s="46" t="n">
        <f aca="false">IF(AND($G13&gt;0,AD$6=$H13),$G13,0)</f>
        <v>0</v>
      </c>
      <c r="AE13" s="46" t="n">
        <f aca="false">IF(AND($G13&gt;0,AE$6=$H13),$G13,0)</f>
        <v>0</v>
      </c>
      <c r="AF13" s="46" t="n">
        <f aca="false">IF(AND($G13&gt;0,AF$6=$H13),$G13,0)</f>
        <v>0</v>
      </c>
      <c r="AG13" s="33" t="n">
        <f aca="false">$C13</f>
        <v>8.875</v>
      </c>
      <c r="AH13" s="33" t="n">
        <f aca="false">$C13</f>
        <v>8.875</v>
      </c>
      <c r="AI13" s="33" t="n">
        <f aca="false">$C13</f>
        <v>8.875</v>
      </c>
      <c r="AJ13" s="33" t="n">
        <f aca="false">$C13</f>
        <v>8.875</v>
      </c>
      <c r="AK13" s="33" t="n">
        <f aca="false">$C13</f>
        <v>8.875</v>
      </c>
      <c r="AL13" s="33" t="n">
        <f aca="false">$C13</f>
        <v>8.875</v>
      </c>
      <c r="AM13" s="33" t="n">
        <f aca="false">$C13</f>
        <v>8.875</v>
      </c>
      <c r="AN13" s="33" t="n">
        <f aca="false">$C13</f>
        <v>8.875</v>
      </c>
      <c r="AO13" s="33" t="n">
        <f aca="false">$C13</f>
        <v>8.875</v>
      </c>
      <c r="AP13" s="33" t="n">
        <f aca="false">$C13</f>
        <v>8.875</v>
      </c>
      <c r="AQ13" s="33" t="n">
        <f aca="false">$C13</f>
        <v>8.875</v>
      </c>
      <c r="AR13" s="33" t="n">
        <f aca="false">$C13</f>
        <v>8.875</v>
      </c>
      <c r="AS13" s="47" t="n">
        <f aca="false">$D13+I13+U13-AG13</f>
        <v>12.125</v>
      </c>
      <c r="AT13" s="47" t="n">
        <f aca="false">AS13+J13+V13-AH13</f>
        <v>3.25</v>
      </c>
      <c r="AU13" s="47" t="n">
        <f aca="false">AT13+K13+W13-AI13</f>
        <v>41.375</v>
      </c>
      <c r="AV13" s="47" t="n">
        <f aca="false">AU13+L13+X13-AJ13</f>
        <v>32.5</v>
      </c>
      <c r="AW13" s="47" t="n">
        <f aca="false">AV13+M13+Y13-AK13</f>
        <v>23.625</v>
      </c>
      <c r="AX13" s="47" t="n">
        <f aca="false">AW13+N13+Z13-AL13</f>
        <v>14.75</v>
      </c>
      <c r="AY13" s="47" t="n">
        <f aca="false">AX13+O13+AA13-AM13</f>
        <v>5.875</v>
      </c>
      <c r="AZ13" s="47" t="n">
        <f aca="false">AY13+P13+AB13-AN13</f>
        <v>-3</v>
      </c>
      <c r="BA13" s="47" t="n">
        <f aca="false">AZ13+Q13+AC13-AO13</f>
        <v>-11.875</v>
      </c>
      <c r="BB13" s="47" t="n">
        <f aca="false">BA13+R13+AD13-AP13</f>
        <v>-20.75</v>
      </c>
      <c r="BC13" s="47" t="n">
        <f aca="false">BB13+S13+AE13-AQ13</f>
        <v>-29.625</v>
      </c>
      <c r="BD13" s="47" t="n">
        <f aca="false">BC13+T13+AF13-AR13</f>
        <v>-38.5</v>
      </c>
      <c r="BE13" s="46" t="n">
        <f aca="false">IF(AS13&lt;=0,1,0)</f>
        <v>0</v>
      </c>
      <c r="BF13" s="46" t="n">
        <f aca="false">IF(AT13&lt;=0,1,0)</f>
        <v>0</v>
      </c>
      <c r="BG13" s="46" t="n">
        <f aca="false">IF(AU13&lt;=0,1,0)</f>
        <v>0</v>
      </c>
      <c r="BH13" s="46" t="n">
        <f aca="false">IF(AV13&lt;=0,1,0)</f>
        <v>0</v>
      </c>
      <c r="BI13" s="46" t="n">
        <f aca="false">IF(AW13&lt;=0,1,0)</f>
        <v>0</v>
      </c>
      <c r="BJ13" s="46" t="n">
        <f aca="false">IF(AX13&lt;=0,1,0)</f>
        <v>0</v>
      </c>
      <c r="BK13" s="46" t="n">
        <f aca="false">IF(AY13&lt;=0,1,0)</f>
        <v>0</v>
      </c>
      <c r="BL13" s="46" t="n">
        <f aca="false">IF(AZ13&lt;=0,1,0)</f>
        <v>1</v>
      </c>
      <c r="BM13" s="46" t="n">
        <f aca="false">IF(BA13&lt;=0,1,0)</f>
        <v>1</v>
      </c>
      <c r="BN13" s="46" t="n">
        <f aca="false">IF(BB13&lt;=0,1,0)</f>
        <v>1</v>
      </c>
      <c r="BO13" s="46" t="n">
        <f aca="false">IF(BC13&lt;=0,1,0)</f>
        <v>1</v>
      </c>
      <c r="BP13" s="46" t="n">
        <f aca="false">IF(BD13&lt;=0,1,0)</f>
        <v>1</v>
      </c>
      <c r="BQ13" s="41" t="n">
        <f aca="false">IF(COUNTIF(BE13:BP13,1)=0,"None",MATCH(1,BE13:BP13,0))</f>
        <v>8</v>
      </c>
      <c r="BR13" s="12" t="str">
        <f aca="false">IF(COUNTIFS(BE$6:BP$6,"&lt;="&amp;$B13,BE13:BP13,1)&gt;0,"YES","NO")</f>
        <v>NO</v>
      </c>
      <c r="BS13" s="19" t="n">
        <f aca="false">MIN(AS13:BD13)</f>
        <v>-38.5</v>
      </c>
    </row>
    <row r="14" customFormat="false" ht="15" hidden="false" customHeight="false" outlineLevel="0" collapsed="false">
      <c r="A14" s="11" t="str">
        <f aca="false">Replenishment_Plan!A14</f>
        <v>KIT-008</v>
      </c>
      <c r="B14" s="39" t="n">
        <f aca="false">Replenishment_Plan!K14</f>
        <v>2</v>
      </c>
      <c r="C14" s="35" t="n">
        <f aca="false">Replenishment_Plan!E14</f>
        <v>41.5</v>
      </c>
      <c r="D14" s="39" t="n">
        <f aca="false">Replenishment_Plan!O14-Replenishment_Plan!Q14</f>
        <v>766</v>
      </c>
      <c r="E14" s="39" t="n">
        <f aca="false">Replenishment_Plan!P14</f>
        <v>0</v>
      </c>
      <c r="F14" s="39" t="n">
        <f aca="false">Inputs!L47</f>
        <v>0</v>
      </c>
      <c r="G14" s="39" t="n">
        <f aca="false">Replenishment_Plan!AD14</f>
        <v>0</v>
      </c>
      <c r="H14" s="19" t="str">
        <f aca="false">IF(G14&gt;0,B14+1,"none")</f>
        <v>none</v>
      </c>
      <c r="I14" s="46" t="n">
        <f aca="false">IF(AND($E14&gt;0,I$6=$F14),$E14,0)</f>
        <v>0</v>
      </c>
      <c r="J14" s="46" t="n">
        <f aca="false">IF(AND($E14&gt;0,J$6=$F14),$E14,0)</f>
        <v>0</v>
      </c>
      <c r="K14" s="46" t="n">
        <f aca="false">IF(AND($E14&gt;0,K$6=$F14),$E14,0)</f>
        <v>0</v>
      </c>
      <c r="L14" s="46" t="n">
        <f aca="false">IF(AND($E14&gt;0,L$6=$F14),$E14,0)</f>
        <v>0</v>
      </c>
      <c r="M14" s="46" t="n">
        <f aca="false">IF(AND($E14&gt;0,M$6=$F14),$E14,0)</f>
        <v>0</v>
      </c>
      <c r="N14" s="46" t="n">
        <f aca="false">IF(AND($E14&gt;0,N$6=$F14),$E14,0)</f>
        <v>0</v>
      </c>
      <c r="O14" s="46" t="n">
        <f aca="false">IF(AND($E14&gt;0,O$6=$F14),$E14,0)</f>
        <v>0</v>
      </c>
      <c r="P14" s="46" t="n">
        <f aca="false">IF(AND($E14&gt;0,P$6=$F14),$E14,0)</f>
        <v>0</v>
      </c>
      <c r="Q14" s="46" t="n">
        <f aca="false">IF(AND($E14&gt;0,Q$6=$F14),$E14,0)</f>
        <v>0</v>
      </c>
      <c r="R14" s="46" t="n">
        <f aca="false">IF(AND($E14&gt;0,R$6=$F14),$E14,0)</f>
        <v>0</v>
      </c>
      <c r="S14" s="46" t="n">
        <f aca="false">IF(AND($E14&gt;0,S$6=$F14),$E14,0)</f>
        <v>0</v>
      </c>
      <c r="T14" s="46" t="n">
        <f aca="false">IF(AND($E14&gt;0,T$6=$F14),$E14,0)</f>
        <v>0</v>
      </c>
      <c r="U14" s="46" t="n">
        <f aca="false">IF(AND($G14&gt;0,U$6=$H14),$G14,0)</f>
        <v>0</v>
      </c>
      <c r="V14" s="46" t="n">
        <f aca="false">IF(AND($G14&gt;0,V$6=$H14),$G14,0)</f>
        <v>0</v>
      </c>
      <c r="W14" s="46" t="n">
        <f aca="false">IF(AND($G14&gt;0,W$6=$H14),$G14,0)</f>
        <v>0</v>
      </c>
      <c r="X14" s="46" t="n">
        <f aca="false">IF(AND($G14&gt;0,X$6=$H14),$G14,0)</f>
        <v>0</v>
      </c>
      <c r="Y14" s="46" t="n">
        <f aca="false">IF(AND($G14&gt;0,Y$6=$H14),$G14,0)</f>
        <v>0</v>
      </c>
      <c r="Z14" s="46" t="n">
        <f aca="false">IF(AND($G14&gt;0,Z$6=$H14),$G14,0)</f>
        <v>0</v>
      </c>
      <c r="AA14" s="46" t="n">
        <f aca="false">IF(AND($G14&gt;0,AA$6=$H14),$G14,0)</f>
        <v>0</v>
      </c>
      <c r="AB14" s="46" t="n">
        <f aca="false">IF(AND($G14&gt;0,AB$6=$H14),$G14,0)</f>
        <v>0</v>
      </c>
      <c r="AC14" s="46" t="n">
        <f aca="false">IF(AND($G14&gt;0,AC$6=$H14),$G14,0)</f>
        <v>0</v>
      </c>
      <c r="AD14" s="46" t="n">
        <f aca="false">IF(AND($G14&gt;0,AD$6=$H14),$G14,0)</f>
        <v>0</v>
      </c>
      <c r="AE14" s="46" t="n">
        <f aca="false">IF(AND($G14&gt;0,AE$6=$H14),$G14,0)</f>
        <v>0</v>
      </c>
      <c r="AF14" s="46" t="n">
        <f aca="false">IF(AND($G14&gt;0,AF$6=$H14),$G14,0)</f>
        <v>0</v>
      </c>
      <c r="AG14" s="33" t="n">
        <f aca="false">$C14</f>
        <v>41.5</v>
      </c>
      <c r="AH14" s="33" t="n">
        <f aca="false">$C14</f>
        <v>41.5</v>
      </c>
      <c r="AI14" s="33" t="n">
        <f aca="false">$C14</f>
        <v>41.5</v>
      </c>
      <c r="AJ14" s="33" t="n">
        <f aca="false">$C14</f>
        <v>41.5</v>
      </c>
      <c r="AK14" s="33" t="n">
        <f aca="false">$C14</f>
        <v>41.5</v>
      </c>
      <c r="AL14" s="33" t="n">
        <f aca="false">$C14</f>
        <v>41.5</v>
      </c>
      <c r="AM14" s="33" t="n">
        <f aca="false">$C14</f>
        <v>41.5</v>
      </c>
      <c r="AN14" s="33" t="n">
        <f aca="false">$C14</f>
        <v>41.5</v>
      </c>
      <c r="AO14" s="33" t="n">
        <f aca="false">$C14</f>
        <v>41.5</v>
      </c>
      <c r="AP14" s="33" t="n">
        <f aca="false">$C14</f>
        <v>41.5</v>
      </c>
      <c r="AQ14" s="33" t="n">
        <f aca="false">$C14</f>
        <v>41.5</v>
      </c>
      <c r="AR14" s="33" t="n">
        <f aca="false">$C14</f>
        <v>41.5</v>
      </c>
      <c r="AS14" s="47" t="n">
        <f aca="false">$D14+I14+U14-AG14</f>
        <v>724.5</v>
      </c>
      <c r="AT14" s="47" t="n">
        <f aca="false">AS14+J14+V14-AH14</f>
        <v>683</v>
      </c>
      <c r="AU14" s="47" t="n">
        <f aca="false">AT14+K14+W14-AI14</f>
        <v>641.5</v>
      </c>
      <c r="AV14" s="47" t="n">
        <f aca="false">AU14+L14+X14-AJ14</f>
        <v>600</v>
      </c>
      <c r="AW14" s="47" t="n">
        <f aca="false">AV14+M14+Y14-AK14</f>
        <v>558.5</v>
      </c>
      <c r="AX14" s="47" t="n">
        <f aca="false">AW14+N14+Z14-AL14</f>
        <v>517</v>
      </c>
      <c r="AY14" s="47" t="n">
        <f aca="false">AX14+O14+AA14-AM14</f>
        <v>475.5</v>
      </c>
      <c r="AZ14" s="47" t="n">
        <f aca="false">AY14+P14+AB14-AN14</f>
        <v>434</v>
      </c>
      <c r="BA14" s="47" t="n">
        <f aca="false">AZ14+Q14+AC14-AO14</f>
        <v>392.5</v>
      </c>
      <c r="BB14" s="47" t="n">
        <f aca="false">BA14+R14+AD14-AP14</f>
        <v>351</v>
      </c>
      <c r="BC14" s="47" t="n">
        <f aca="false">BB14+S14+AE14-AQ14</f>
        <v>309.5</v>
      </c>
      <c r="BD14" s="47" t="n">
        <f aca="false">BC14+T14+AF14-AR14</f>
        <v>268</v>
      </c>
      <c r="BE14" s="46" t="n">
        <f aca="false">IF(AS14&lt;=0,1,0)</f>
        <v>0</v>
      </c>
      <c r="BF14" s="46" t="n">
        <f aca="false">IF(AT14&lt;=0,1,0)</f>
        <v>0</v>
      </c>
      <c r="BG14" s="46" t="n">
        <f aca="false">IF(AU14&lt;=0,1,0)</f>
        <v>0</v>
      </c>
      <c r="BH14" s="46" t="n">
        <f aca="false">IF(AV14&lt;=0,1,0)</f>
        <v>0</v>
      </c>
      <c r="BI14" s="46" t="n">
        <f aca="false">IF(AW14&lt;=0,1,0)</f>
        <v>0</v>
      </c>
      <c r="BJ14" s="46" t="n">
        <f aca="false">IF(AX14&lt;=0,1,0)</f>
        <v>0</v>
      </c>
      <c r="BK14" s="46" t="n">
        <f aca="false">IF(AY14&lt;=0,1,0)</f>
        <v>0</v>
      </c>
      <c r="BL14" s="46" t="n">
        <f aca="false">IF(AZ14&lt;=0,1,0)</f>
        <v>0</v>
      </c>
      <c r="BM14" s="46" t="n">
        <f aca="false">IF(BA14&lt;=0,1,0)</f>
        <v>0</v>
      </c>
      <c r="BN14" s="46" t="n">
        <f aca="false">IF(BB14&lt;=0,1,0)</f>
        <v>0</v>
      </c>
      <c r="BO14" s="46" t="n">
        <f aca="false">IF(BC14&lt;=0,1,0)</f>
        <v>0</v>
      </c>
      <c r="BP14" s="46" t="n">
        <f aca="false">IF(BD14&lt;=0,1,0)</f>
        <v>0</v>
      </c>
      <c r="BQ14" s="41" t="str">
        <f aca="false">IF(COUNTIF(BE14:BP14,1)=0,"None",MATCH(1,BE14:BP14,0))</f>
        <v>None</v>
      </c>
      <c r="BR14" s="12" t="str">
        <f aca="false">IF(COUNTIFS(BE$6:BP$6,"&lt;="&amp;$B14,BE14:BP14,1)&gt;0,"YES","NO")</f>
        <v>NO</v>
      </c>
      <c r="BS14" s="19" t="n">
        <f aca="false">MIN(AS14:BD14)</f>
        <v>268</v>
      </c>
    </row>
    <row r="15" customFormat="false" ht="15" hidden="false" customHeight="false" outlineLevel="0" collapsed="false">
      <c r="A15" s="11" t="str">
        <f aca="false">Replenishment_Plan!A15</f>
        <v>KIT-009</v>
      </c>
      <c r="B15" s="39" t="n">
        <f aca="false">Replenishment_Plan!K15</f>
        <v>2</v>
      </c>
      <c r="C15" s="35" t="n">
        <f aca="false">Replenishment_Plan!E15</f>
        <v>39.5</v>
      </c>
      <c r="D15" s="39" t="n">
        <f aca="false">Replenishment_Plan!O15-Replenishment_Plan!Q15</f>
        <v>80</v>
      </c>
      <c r="E15" s="39" t="n">
        <f aca="false">Replenishment_Plan!P15</f>
        <v>0</v>
      </c>
      <c r="F15" s="39" t="n">
        <f aca="false">Inputs!L48</f>
        <v>0</v>
      </c>
      <c r="G15" s="39" t="n">
        <f aca="false">Replenishment_Plan!AD15</f>
        <v>190</v>
      </c>
      <c r="H15" s="19" t="n">
        <f aca="false">IF(G15&gt;0,B15+1,"none")</f>
        <v>3</v>
      </c>
      <c r="I15" s="46" t="n">
        <f aca="false">IF(AND($E15&gt;0,I$6=$F15),$E15,0)</f>
        <v>0</v>
      </c>
      <c r="J15" s="46" t="n">
        <f aca="false">IF(AND($E15&gt;0,J$6=$F15),$E15,0)</f>
        <v>0</v>
      </c>
      <c r="K15" s="46" t="n">
        <f aca="false">IF(AND($E15&gt;0,K$6=$F15),$E15,0)</f>
        <v>0</v>
      </c>
      <c r="L15" s="46" t="n">
        <f aca="false">IF(AND($E15&gt;0,L$6=$F15),$E15,0)</f>
        <v>0</v>
      </c>
      <c r="M15" s="46" t="n">
        <f aca="false">IF(AND($E15&gt;0,M$6=$F15),$E15,0)</f>
        <v>0</v>
      </c>
      <c r="N15" s="46" t="n">
        <f aca="false">IF(AND($E15&gt;0,N$6=$F15),$E15,0)</f>
        <v>0</v>
      </c>
      <c r="O15" s="46" t="n">
        <f aca="false">IF(AND($E15&gt;0,O$6=$F15),$E15,0)</f>
        <v>0</v>
      </c>
      <c r="P15" s="46" t="n">
        <f aca="false">IF(AND($E15&gt;0,P$6=$F15),$E15,0)</f>
        <v>0</v>
      </c>
      <c r="Q15" s="46" t="n">
        <f aca="false">IF(AND($E15&gt;0,Q$6=$F15),$E15,0)</f>
        <v>0</v>
      </c>
      <c r="R15" s="46" t="n">
        <f aca="false">IF(AND($E15&gt;0,R$6=$F15),$E15,0)</f>
        <v>0</v>
      </c>
      <c r="S15" s="46" t="n">
        <f aca="false">IF(AND($E15&gt;0,S$6=$F15),$E15,0)</f>
        <v>0</v>
      </c>
      <c r="T15" s="46" t="n">
        <f aca="false">IF(AND($E15&gt;0,T$6=$F15),$E15,0)</f>
        <v>0</v>
      </c>
      <c r="U15" s="46" t="n">
        <f aca="false">IF(AND($G15&gt;0,U$6=$H15),$G15,0)</f>
        <v>0</v>
      </c>
      <c r="V15" s="46" t="n">
        <f aca="false">IF(AND($G15&gt;0,V$6=$H15),$G15,0)</f>
        <v>0</v>
      </c>
      <c r="W15" s="46" t="n">
        <f aca="false">IF(AND($G15&gt;0,W$6=$H15),$G15,0)</f>
        <v>190</v>
      </c>
      <c r="X15" s="46" t="n">
        <f aca="false">IF(AND($G15&gt;0,X$6=$H15),$G15,0)</f>
        <v>0</v>
      </c>
      <c r="Y15" s="46" t="n">
        <f aca="false">IF(AND($G15&gt;0,Y$6=$H15),$G15,0)</f>
        <v>0</v>
      </c>
      <c r="Z15" s="46" t="n">
        <f aca="false">IF(AND($G15&gt;0,Z$6=$H15),$G15,0)</f>
        <v>0</v>
      </c>
      <c r="AA15" s="46" t="n">
        <f aca="false">IF(AND($G15&gt;0,AA$6=$H15),$G15,0)</f>
        <v>0</v>
      </c>
      <c r="AB15" s="46" t="n">
        <f aca="false">IF(AND($G15&gt;0,AB$6=$H15),$G15,0)</f>
        <v>0</v>
      </c>
      <c r="AC15" s="46" t="n">
        <f aca="false">IF(AND($G15&gt;0,AC$6=$H15),$G15,0)</f>
        <v>0</v>
      </c>
      <c r="AD15" s="46" t="n">
        <f aca="false">IF(AND($G15&gt;0,AD$6=$H15),$G15,0)</f>
        <v>0</v>
      </c>
      <c r="AE15" s="46" t="n">
        <f aca="false">IF(AND($G15&gt;0,AE$6=$H15),$G15,0)</f>
        <v>0</v>
      </c>
      <c r="AF15" s="46" t="n">
        <f aca="false">IF(AND($G15&gt;0,AF$6=$H15),$G15,0)</f>
        <v>0</v>
      </c>
      <c r="AG15" s="33" t="n">
        <f aca="false">$C15</f>
        <v>39.5</v>
      </c>
      <c r="AH15" s="33" t="n">
        <f aca="false">$C15</f>
        <v>39.5</v>
      </c>
      <c r="AI15" s="33" t="n">
        <f aca="false">$C15</f>
        <v>39.5</v>
      </c>
      <c r="AJ15" s="33" t="n">
        <f aca="false">$C15</f>
        <v>39.5</v>
      </c>
      <c r="AK15" s="33" t="n">
        <f aca="false">$C15</f>
        <v>39.5</v>
      </c>
      <c r="AL15" s="33" t="n">
        <f aca="false">$C15</f>
        <v>39.5</v>
      </c>
      <c r="AM15" s="33" t="n">
        <f aca="false">$C15</f>
        <v>39.5</v>
      </c>
      <c r="AN15" s="33" t="n">
        <f aca="false">$C15</f>
        <v>39.5</v>
      </c>
      <c r="AO15" s="33" t="n">
        <f aca="false">$C15</f>
        <v>39.5</v>
      </c>
      <c r="AP15" s="33" t="n">
        <f aca="false">$C15</f>
        <v>39.5</v>
      </c>
      <c r="AQ15" s="33" t="n">
        <f aca="false">$C15</f>
        <v>39.5</v>
      </c>
      <c r="AR15" s="33" t="n">
        <f aca="false">$C15</f>
        <v>39.5</v>
      </c>
      <c r="AS15" s="47" t="n">
        <f aca="false">$D15+I15+U15-AG15</f>
        <v>40.5</v>
      </c>
      <c r="AT15" s="47" t="n">
        <f aca="false">AS15+J15+V15-AH15</f>
        <v>1</v>
      </c>
      <c r="AU15" s="47" t="n">
        <f aca="false">AT15+K15+W15-AI15</f>
        <v>151.5</v>
      </c>
      <c r="AV15" s="47" t="n">
        <f aca="false">AU15+L15+X15-AJ15</f>
        <v>112</v>
      </c>
      <c r="AW15" s="47" t="n">
        <f aca="false">AV15+M15+Y15-AK15</f>
        <v>72.5</v>
      </c>
      <c r="AX15" s="47" t="n">
        <f aca="false">AW15+N15+Z15-AL15</f>
        <v>33</v>
      </c>
      <c r="AY15" s="47" t="n">
        <f aca="false">AX15+O15+AA15-AM15</f>
        <v>-6.5</v>
      </c>
      <c r="AZ15" s="47" t="n">
        <f aca="false">AY15+P15+AB15-AN15</f>
        <v>-46</v>
      </c>
      <c r="BA15" s="47" t="n">
        <f aca="false">AZ15+Q15+AC15-AO15</f>
        <v>-85.5</v>
      </c>
      <c r="BB15" s="47" t="n">
        <f aca="false">BA15+R15+AD15-AP15</f>
        <v>-125</v>
      </c>
      <c r="BC15" s="47" t="n">
        <f aca="false">BB15+S15+AE15-AQ15</f>
        <v>-164.5</v>
      </c>
      <c r="BD15" s="47" t="n">
        <f aca="false">BC15+T15+AF15-AR15</f>
        <v>-204</v>
      </c>
      <c r="BE15" s="46" t="n">
        <f aca="false">IF(AS15&lt;=0,1,0)</f>
        <v>0</v>
      </c>
      <c r="BF15" s="46" t="n">
        <f aca="false">IF(AT15&lt;=0,1,0)</f>
        <v>0</v>
      </c>
      <c r="BG15" s="46" t="n">
        <f aca="false">IF(AU15&lt;=0,1,0)</f>
        <v>0</v>
      </c>
      <c r="BH15" s="46" t="n">
        <f aca="false">IF(AV15&lt;=0,1,0)</f>
        <v>0</v>
      </c>
      <c r="BI15" s="46" t="n">
        <f aca="false">IF(AW15&lt;=0,1,0)</f>
        <v>0</v>
      </c>
      <c r="BJ15" s="46" t="n">
        <f aca="false">IF(AX15&lt;=0,1,0)</f>
        <v>0</v>
      </c>
      <c r="BK15" s="46" t="n">
        <f aca="false">IF(AY15&lt;=0,1,0)</f>
        <v>1</v>
      </c>
      <c r="BL15" s="46" t="n">
        <f aca="false">IF(AZ15&lt;=0,1,0)</f>
        <v>1</v>
      </c>
      <c r="BM15" s="46" t="n">
        <f aca="false">IF(BA15&lt;=0,1,0)</f>
        <v>1</v>
      </c>
      <c r="BN15" s="46" t="n">
        <f aca="false">IF(BB15&lt;=0,1,0)</f>
        <v>1</v>
      </c>
      <c r="BO15" s="46" t="n">
        <f aca="false">IF(BC15&lt;=0,1,0)</f>
        <v>1</v>
      </c>
      <c r="BP15" s="46" t="n">
        <f aca="false">IF(BD15&lt;=0,1,0)</f>
        <v>1</v>
      </c>
      <c r="BQ15" s="41" t="n">
        <f aca="false">IF(COUNTIF(BE15:BP15,1)=0,"None",MATCH(1,BE15:BP15,0))</f>
        <v>7</v>
      </c>
      <c r="BR15" s="12" t="str">
        <f aca="false">IF(COUNTIFS(BE$6:BP$6,"&lt;="&amp;$B15,BE15:BP15,1)&gt;0,"YES","NO")</f>
        <v>NO</v>
      </c>
      <c r="BS15" s="19" t="n">
        <f aca="false">MIN(AS15:BD15)</f>
        <v>-204</v>
      </c>
    </row>
    <row r="16" customFormat="false" ht="15" hidden="false" customHeight="false" outlineLevel="0" collapsed="false">
      <c r="A16" s="11" t="str">
        <f aca="false">Replenishment_Plan!A16</f>
        <v>KIT-010</v>
      </c>
      <c r="B16" s="39" t="n">
        <f aca="false">Replenishment_Plan!K16</f>
        <v>2</v>
      </c>
      <c r="C16" s="35" t="n">
        <f aca="false">Replenishment_Plan!E16</f>
        <v>101</v>
      </c>
      <c r="D16" s="39" t="n">
        <f aca="false">Replenishment_Plan!O16-Replenishment_Plan!Q16</f>
        <v>304</v>
      </c>
      <c r="E16" s="39" t="n">
        <f aca="false">Replenishment_Plan!P16</f>
        <v>0</v>
      </c>
      <c r="F16" s="39" t="n">
        <f aca="false">Inputs!L49</f>
        <v>0</v>
      </c>
      <c r="G16" s="39" t="n">
        <f aca="false">Replenishment_Plan!AD16</f>
        <v>0</v>
      </c>
      <c r="H16" s="19" t="str">
        <f aca="false">IF(G16&gt;0,B16+1,"none")</f>
        <v>none</v>
      </c>
      <c r="I16" s="46" t="n">
        <f aca="false">IF(AND($E16&gt;0,I$6=$F16),$E16,0)</f>
        <v>0</v>
      </c>
      <c r="J16" s="46" t="n">
        <f aca="false">IF(AND($E16&gt;0,J$6=$F16),$E16,0)</f>
        <v>0</v>
      </c>
      <c r="K16" s="46" t="n">
        <f aca="false">IF(AND($E16&gt;0,K$6=$F16),$E16,0)</f>
        <v>0</v>
      </c>
      <c r="L16" s="46" t="n">
        <f aca="false">IF(AND($E16&gt;0,L$6=$F16),$E16,0)</f>
        <v>0</v>
      </c>
      <c r="M16" s="46" t="n">
        <f aca="false">IF(AND($E16&gt;0,M$6=$F16),$E16,0)</f>
        <v>0</v>
      </c>
      <c r="N16" s="46" t="n">
        <f aca="false">IF(AND($E16&gt;0,N$6=$F16),$E16,0)</f>
        <v>0</v>
      </c>
      <c r="O16" s="46" t="n">
        <f aca="false">IF(AND($E16&gt;0,O$6=$F16),$E16,0)</f>
        <v>0</v>
      </c>
      <c r="P16" s="46" t="n">
        <f aca="false">IF(AND($E16&gt;0,P$6=$F16),$E16,0)</f>
        <v>0</v>
      </c>
      <c r="Q16" s="46" t="n">
        <f aca="false">IF(AND($E16&gt;0,Q$6=$F16),$E16,0)</f>
        <v>0</v>
      </c>
      <c r="R16" s="46" t="n">
        <f aca="false">IF(AND($E16&gt;0,R$6=$F16),$E16,0)</f>
        <v>0</v>
      </c>
      <c r="S16" s="46" t="n">
        <f aca="false">IF(AND($E16&gt;0,S$6=$F16),$E16,0)</f>
        <v>0</v>
      </c>
      <c r="T16" s="46" t="n">
        <f aca="false">IF(AND($E16&gt;0,T$6=$F16),$E16,0)</f>
        <v>0</v>
      </c>
      <c r="U16" s="46" t="n">
        <f aca="false">IF(AND($G16&gt;0,U$6=$H16),$G16,0)</f>
        <v>0</v>
      </c>
      <c r="V16" s="46" t="n">
        <f aca="false">IF(AND($G16&gt;0,V$6=$H16),$G16,0)</f>
        <v>0</v>
      </c>
      <c r="W16" s="46" t="n">
        <f aca="false">IF(AND($G16&gt;0,W$6=$H16),$G16,0)</f>
        <v>0</v>
      </c>
      <c r="X16" s="46" t="n">
        <f aca="false">IF(AND($G16&gt;0,X$6=$H16),$G16,0)</f>
        <v>0</v>
      </c>
      <c r="Y16" s="46" t="n">
        <f aca="false">IF(AND($G16&gt;0,Y$6=$H16),$G16,0)</f>
        <v>0</v>
      </c>
      <c r="Z16" s="46" t="n">
        <f aca="false">IF(AND($G16&gt;0,Z$6=$H16),$G16,0)</f>
        <v>0</v>
      </c>
      <c r="AA16" s="46" t="n">
        <f aca="false">IF(AND($G16&gt;0,AA$6=$H16),$G16,0)</f>
        <v>0</v>
      </c>
      <c r="AB16" s="46" t="n">
        <f aca="false">IF(AND($G16&gt;0,AB$6=$H16),$G16,0)</f>
        <v>0</v>
      </c>
      <c r="AC16" s="46" t="n">
        <f aca="false">IF(AND($G16&gt;0,AC$6=$H16),$G16,0)</f>
        <v>0</v>
      </c>
      <c r="AD16" s="46" t="n">
        <f aca="false">IF(AND($G16&gt;0,AD$6=$H16),$G16,0)</f>
        <v>0</v>
      </c>
      <c r="AE16" s="46" t="n">
        <f aca="false">IF(AND($G16&gt;0,AE$6=$H16),$G16,0)</f>
        <v>0</v>
      </c>
      <c r="AF16" s="46" t="n">
        <f aca="false">IF(AND($G16&gt;0,AF$6=$H16),$G16,0)</f>
        <v>0</v>
      </c>
      <c r="AG16" s="33" t="n">
        <f aca="false">$C16</f>
        <v>101</v>
      </c>
      <c r="AH16" s="33" t="n">
        <f aca="false">$C16</f>
        <v>101</v>
      </c>
      <c r="AI16" s="33" t="n">
        <f aca="false">$C16</f>
        <v>101</v>
      </c>
      <c r="AJ16" s="33" t="n">
        <f aca="false">$C16</f>
        <v>101</v>
      </c>
      <c r="AK16" s="33" t="n">
        <f aca="false">$C16</f>
        <v>101</v>
      </c>
      <c r="AL16" s="33" t="n">
        <f aca="false">$C16</f>
        <v>101</v>
      </c>
      <c r="AM16" s="33" t="n">
        <f aca="false">$C16</f>
        <v>101</v>
      </c>
      <c r="AN16" s="33" t="n">
        <f aca="false">$C16</f>
        <v>101</v>
      </c>
      <c r="AO16" s="33" t="n">
        <f aca="false">$C16</f>
        <v>101</v>
      </c>
      <c r="AP16" s="33" t="n">
        <f aca="false">$C16</f>
        <v>101</v>
      </c>
      <c r="AQ16" s="33" t="n">
        <f aca="false">$C16</f>
        <v>101</v>
      </c>
      <c r="AR16" s="33" t="n">
        <f aca="false">$C16</f>
        <v>101</v>
      </c>
      <c r="AS16" s="47" t="n">
        <f aca="false">$D16+I16+U16-AG16</f>
        <v>203</v>
      </c>
      <c r="AT16" s="47" t="n">
        <f aca="false">AS16+J16+V16-AH16</f>
        <v>102</v>
      </c>
      <c r="AU16" s="47" t="n">
        <f aca="false">AT16+K16+W16-AI16</f>
        <v>1</v>
      </c>
      <c r="AV16" s="47" t="n">
        <f aca="false">AU16+L16+X16-AJ16</f>
        <v>-100</v>
      </c>
      <c r="AW16" s="47" t="n">
        <f aca="false">AV16+M16+Y16-AK16</f>
        <v>-201</v>
      </c>
      <c r="AX16" s="47" t="n">
        <f aca="false">AW16+N16+Z16-AL16</f>
        <v>-302</v>
      </c>
      <c r="AY16" s="47" t="n">
        <f aca="false">AX16+O16+AA16-AM16</f>
        <v>-403</v>
      </c>
      <c r="AZ16" s="47" t="n">
        <f aca="false">AY16+P16+AB16-AN16</f>
        <v>-504</v>
      </c>
      <c r="BA16" s="47" t="n">
        <f aca="false">AZ16+Q16+AC16-AO16</f>
        <v>-605</v>
      </c>
      <c r="BB16" s="47" t="n">
        <f aca="false">BA16+R16+AD16-AP16</f>
        <v>-706</v>
      </c>
      <c r="BC16" s="47" t="n">
        <f aca="false">BB16+S16+AE16-AQ16</f>
        <v>-807</v>
      </c>
      <c r="BD16" s="47" t="n">
        <f aca="false">BC16+T16+AF16-AR16</f>
        <v>-908</v>
      </c>
      <c r="BE16" s="46" t="n">
        <f aca="false">IF(AS16&lt;=0,1,0)</f>
        <v>0</v>
      </c>
      <c r="BF16" s="46" t="n">
        <f aca="false">IF(AT16&lt;=0,1,0)</f>
        <v>0</v>
      </c>
      <c r="BG16" s="46" t="n">
        <f aca="false">IF(AU16&lt;=0,1,0)</f>
        <v>0</v>
      </c>
      <c r="BH16" s="46" t="n">
        <f aca="false">IF(AV16&lt;=0,1,0)</f>
        <v>1</v>
      </c>
      <c r="BI16" s="46" t="n">
        <f aca="false">IF(AW16&lt;=0,1,0)</f>
        <v>1</v>
      </c>
      <c r="BJ16" s="46" t="n">
        <f aca="false">IF(AX16&lt;=0,1,0)</f>
        <v>1</v>
      </c>
      <c r="BK16" s="46" t="n">
        <f aca="false">IF(AY16&lt;=0,1,0)</f>
        <v>1</v>
      </c>
      <c r="BL16" s="46" t="n">
        <f aca="false">IF(AZ16&lt;=0,1,0)</f>
        <v>1</v>
      </c>
      <c r="BM16" s="46" t="n">
        <f aca="false">IF(BA16&lt;=0,1,0)</f>
        <v>1</v>
      </c>
      <c r="BN16" s="46" t="n">
        <f aca="false">IF(BB16&lt;=0,1,0)</f>
        <v>1</v>
      </c>
      <c r="BO16" s="46" t="n">
        <f aca="false">IF(BC16&lt;=0,1,0)</f>
        <v>1</v>
      </c>
      <c r="BP16" s="46" t="n">
        <f aca="false">IF(BD16&lt;=0,1,0)</f>
        <v>1</v>
      </c>
      <c r="BQ16" s="41" t="n">
        <f aca="false">IF(COUNTIF(BE16:BP16,1)=0,"None",MATCH(1,BE16:BP16,0))</f>
        <v>4</v>
      </c>
      <c r="BR16" s="12" t="str">
        <f aca="false">IF(COUNTIFS(BE$6:BP$6,"&lt;="&amp;$B16,BE16:BP16,1)&gt;0,"YES","NO")</f>
        <v>NO</v>
      </c>
      <c r="BS16" s="19" t="n">
        <f aca="false">MIN(AS16:BD16)</f>
        <v>-908</v>
      </c>
    </row>
    <row r="17" customFormat="false" ht="15" hidden="false" customHeight="false" outlineLevel="0" collapsed="false">
      <c r="A17" s="11" t="str">
        <f aca="false">Replenishment_Plan!A17</f>
        <v>BTH-001</v>
      </c>
      <c r="B17" s="39" t="n">
        <f aca="false">Replenishment_Plan!K17</f>
        <v>3</v>
      </c>
      <c r="C17" s="35" t="n">
        <f aca="false">Replenishment_Plan!E17</f>
        <v>106</v>
      </c>
      <c r="D17" s="39" t="n">
        <f aca="false">Replenishment_Plan!O17-Replenishment_Plan!Q17</f>
        <v>486</v>
      </c>
      <c r="E17" s="39" t="n">
        <f aca="false">Replenishment_Plan!P17</f>
        <v>0</v>
      </c>
      <c r="F17" s="39" t="n">
        <f aca="false">Inputs!L50</f>
        <v>0</v>
      </c>
      <c r="G17" s="39" t="n">
        <f aca="false">Replenishment_Plan!AD17</f>
        <v>0</v>
      </c>
      <c r="H17" s="19" t="str">
        <f aca="false">IF(G17&gt;0,B17+1,"none")</f>
        <v>none</v>
      </c>
      <c r="I17" s="46" t="n">
        <f aca="false">IF(AND($E17&gt;0,I$6=$F17),$E17,0)</f>
        <v>0</v>
      </c>
      <c r="J17" s="46" t="n">
        <f aca="false">IF(AND($E17&gt;0,J$6=$F17),$E17,0)</f>
        <v>0</v>
      </c>
      <c r="K17" s="46" t="n">
        <f aca="false">IF(AND($E17&gt;0,K$6=$F17),$E17,0)</f>
        <v>0</v>
      </c>
      <c r="L17" s="46" t="n">
        <f aca="false">IF(AND($E17&gt;0,L$6=$F17),$E17,0)</f>
        <v>0</v>
      </c>
      <c r="M17" s="46" t="n">
        <f aca="false">IF(AND($E17&gt;0,M$6=$F17),$E17,0)</f>
        <v>0</v>
      </c>
      <c r="N17" s="46" t="n">
        <f aca="false">IF(AND($E17&gt;0,N$6=$F17),$E17,0)</f>
        <v>0</v>
      </c>
      <c r="O17" s="46" t="n">
        <f aca="false">IF(AND($E17&gt;0,O$6=$F17),$E17,0)</f>
        <v>0</v>
      </c>
      <c r="P17" s="46" t="n">
        <f aca="false">IF(AND($E17&gt;0,P$6=$F17),$E17,0)</f>
        <v>0</v>
      </c>
      <c r="Q17" s="46" t="n">
        <f aca="false">IF(AND($E17&gt;0,Q$6=$F17),$E17,0)</f>
        <v>0</v>
      </c>
      <c r="R17" s="46" t="n">
        <f aca="false">IF(AND($E17&gt;0,R$6=$F17),$E17,0)</f>
        <v>0</v>
      </c>
      <c r="S17" s="46" t="n">
        <f aca="false">IF(AND($E17&gt;0,S$6=$F17),$E17,0)</f>
        <v>0</v>
      </c>
      <c r="T17" s="46" t="n">
        <f aca="false">IF(AND($E17&gt;0,T$6=$F17),$E17,0)</f>
        <v>0</v>
      </c>
      <c r="U17" s="46" t="n">
        <f aca="false">IF(AND($G17&gt;0,U$6=$H17),$G17,0)</f>
        <v>0</v>
      </c>
      <c r="V17" s="46" t="n">
        <f aca="false">IF(AND($G17&gt;0,V$6=$H17),$G17,0)</f>
        <v>0</v>
      </c>
      <c r="W17" s="46" t="n">
        <f aca="false">IF(AND($G17&gt;0,W$6=$H17),$G17,0)</f>
        <v>0</v>
      </c>
      <c r="X17" s="46" t="n">
        <f aca="false">IF(AND($G17&gt;0,X$6=$H17),$G17,0)</f>
        <v>0</v>
      </c>
      <c r="Y17" s="46" t="n">
        <f aca="false">IF(AND($G17&gt;0,Y$6=$H17),$G17,0)</f>
        <v>0</v>
      </c>
      <c r="Z17" s="46" t="n">
        <f aca="false">IF(AND($G17&gt;0,Z$6=$H17),$G17,0)</f>
        <v>0</v>
      </c>
      <c r="AA17" s="46" t="n">
        <f aca="false">IF(AND($G17&gt;0,AA$6=$H17),$G17,0)</f>
        <v>0</v>
      </c>
      <c r="AB17" s="46" t="n">
        <f aca="false">IF(AND($G17&gt;0,AB$6=$H17),$G17,0)</f>
        <v>0</v>
      </c>
      <c r="AC17" s="46" t="n">
        <f aca="false">IF(AND($G17&gt;0,AC$6=$H17),$G17,0)</f>
        <v>0</v>
      </c>
      <c r="AD17" s="46" t="n">
        <f aca="false">IF(AND($G17&gt;0,AD$6=$H17),$G17,0)</f>
        <v>0</v>
      </c>
      <c r="AE17" s="46" t="n">
        <f aca="false">IF(AND($G17&gt;0,AE$6=$H17),$G17,0)</f>
        <v>0</v>
      </c>
      <c r="AF17" s="46" t="n">
        <f aca="false">IF(AND($G17&gt;0,AF$6=$H17),$G17,0)</f>
        <v>0</v>
      </c>
      <c r="AG17" s="33" t="n">
        <f aca="false">$C17</f>
        <v>106</v>
      </c>
      <c r="AH17" s="33" t="n">
        <f aca="false">$C17</f>
        <v>106</v>
      </c>
      <c r="AI17" s="33" t="n">
        <f aca="false">$C17</f>
        <v>106</v>
      </c>
      <c r="AJ17" s="33" t="n">
        <f aca="false">$C17</f>
        <v>106</v>
      </c>
      <c r="AK17" s="33" t="n">
        <f aca="false">$C17</f>
        <v>106</v>
      </c>
      <c r="AL17" s="33" t="n">
        <f aca="false">$C17</f>
        <v>106</v>
      </c>
      <c r="AM17" s="33" t="n">
        <f aca="false">$C17</f>
        <v>106</v>
      </c>
      <c r="AN17" s="33" t="n">
        <f aca="false">$C17</f>
        <v>106</v>
      </c>
      <c r="AO17" s="33" t="n">
        <f aca="false">$C17</f>
        <v>106</v>
      </c>
      <c r="AP17" s="33" t="n">
        <f aca="false">$C17</f>
        <v>106</v>
      </c>
      <c r="AQ17" s="33" t="n">
        <f aca="false">$C17</f>
        <v>106</v>
      </c>
      <c r="AR17" s="33" t="n">
        <f aca="false">$C17</f>
        <v>106</v>
      </c>
      <c r="AS17" s="47" t="n">
        <f aca="false">$D17+I17+U17-AG17</f>
        <v>380</v>
      </c>
      <c r="AT17" s="47" t="n">
        <f aca="false">AS17+J17+V17-AH17</f>
        <v>274</v>
      </c>
      <c r="AU17" s="47" t="n">
        <f aca="false">AT17+K17+W17-AI17</f>
        <v>168</v>
      </c>
      <c r="AV17" s="47" t="n">
        <f aca="false">AU17+L17+X17-AJ17</f>
        <v>62</v>
      </c>
      <c r="AW17" s="47" t="n">
        <f aca="false">AV17+M17+Y17-AK17</f>
        <v>-44</v>
      </c>
      <c r="AX17" s="47" t="n">
        <f aca="false">AW17+N17+Z17-AL17</f>
        <v>-150</v>
      </c>
      <c r="AY17" s="47" t="n">
        <f aca="false">AX17+O17+AA17-AM17</f>
        <v>-256</v>
      </c>
      <c r="AZ17" s="47" t="n">
        <f aca="false">AY17+P17+AB17-AN17</f>
        <v>-362</v>
      </c>
      <c r="BA17" s="47" t="n">
        <f aca="false">AZ17+Q17+AC17-AO17</f>
        <v>-468</v>
      </c>
      <c r="BB17" s="47" t="n">
        <f aca="false">BA17+R17+AD17-AP17</f>
        <v>-574</v>
      </c>
      <c r="BC17" s="47" t="n">
        <f aca="false">BB17+S17+AE17-AQ17</f>
        <v>-680</v>
      </c>
      <c r="BD17" s="47" t="n">
        <f aca="false">BC17+T17+AF17-AR17</f>
        <v>-786</v>
      </c>
      <c r="BE17" s="46" t="n">
        <f aca="false">IF(AS17&lt;=0,1,0)</f>
        <v>0</v>
      </c>
      <c r="BF17" s="46" t="n">
        <f aca="false">IF(AT17&lt;=0,1,0)</f>
        <v>0</v>
      </c>
      <c r="BG17" s="46" t="n">
        <f aca="false">IF(AU17&lt;=0,1,0)</f>
        <v>0</v>
      </c>
      <c r="BH17" s="46" t="n">
        <f aca="false">IF(AV17&lt;=0,1,0)</f>
        <v>0</v>
      </c>
      <c r="BI17" s="46" t="n">
        <f aca="false">IF(AW17&lt;=0,1,0)</f>
        <v>1</v>
      </c>
      <c r="BJ17" s="46" t="n">
        <f aca="false">IF(AX17&lt;=0,1,0)</f>
        <v>1</v>
      </c>
      <c r="BK17" s="46" t="n">
        <f aca="false">IF(AY17&lt;=0,1,0)</f>
        <v>1</v>
      </c>
      <c r="BL17" s="46" t="n">
        <f aca="false">IF(AZ17&lt;=0,1,0)</f>
        <v>1</v>
      </c>
      <c r="BM17" s="46" t="n">
        <f aca="false">IF(BA17&lt;=0,1,0)</f>
        <v>1</v>
      </c>
      <c r="BN17" s="46" t="n">
        <f aca="false">IF(BB17&lt;=0,1,0)</f>
        <v>1</v>
      </c>
      <c r="BO17" s="46" t="n">
        <f aca="false">IF(BC17&lt;=0,1,0)</f>
        <v>1</v>
      </c>
      <c r="BP17" s="46" t="n">
        <f aca="false">IF(BD17&lt;=0,1,0)</f>
        <v>1</v>
      </c>
      <c r="BQ17" s="41" t="n">
        <f aca="false">IF(COUNTIF(BE17:BP17,1)=0,"None",MATCH(1,BE17:BP17,0))</f>
        <v>5</v>
      </c>
      <c r="BR17" s="12" t="str">
        <f aca="false">IF(COUNTIFS(BE$6:BP$6,"&lt;="&amp;$B17,BE17:BP17,1)&gt;0,"YES","NO")</f>
        <v>NO</v>
      </c>
      <c r="BS17" s="19" t="n">
        <f aca="false">MIN(AS17:BD17)</f>
        <v>-786</v>
      </c>
    </row>
    <row r="18" customFormat="false" ht="15" hidden="false" customHeight="false" outlineLevel="0" collapsed="false">
      <c r="A18" s="11" t="str">
        <f aca="false">Replenishment_Plan!A18</f>
        <v>BTH-002</v>
      </c>
      <c r="B18" s="39" t="n">
        <f aca="false">Replenishment_Plan!K18</f>
        <v>3</v>
      </c>
      <c r="C18" s="35" t="n">
        <f aca="false">Replenishment_Plan!E18</f>
        <v>146.25</v>
      </c>
      <c r="D18" s="39" t="n">
        <f aca="false">Replenishment_Plan!O18-Replenishment_Plan!Q18</f>
        <v>75</v>
      </c>
      <c r="E18" s="39" t="n">
        <f aca="false">Replenishment_Plan!P18</f>
        <v>380</v>
      </c>
      <c r="F18" s="39" t="n">
        <f aca="false">Inputs!L51</f>
        <v>1</v>
      </c>
      <c r="G18" s="39" t="n">
        <f aca="false">Replenishment_Plan!AD18</f>
        <v>760</v>
      </c>
      <c r="H18" s="19" t="n">
        <f aca="false">IF(G18&gt;0,B18+1,"none")</f>
        <v>4</v>
      </c>
      <c r="I18" s="46" t="n">
        <f aca="false">IF(AND($E18&gt;0,I$6=$F18),$E18,0)</f>
        <v>380</v>
      </c>
      <c r="J18" s="46" t="n">
        <f aca="false">IF(AND($E18&gt;0,J$6=$F18),$E18,0)</f>
        <v>0</v>
      </c>
      <c r="K18" s="46" t="n">
        <f aca="false">IF(AND($E18&gt;0,K$6=$F18),$E18,0)</f>
        <v>0</v>
      </c>
      <c r="L18" s="46" t="n">
        <f aca="false">IF(AND($E18&gt;0,L$6=$F18),$E18,0)</f>
        <v>0</v>
      </c>
      <c r="M18" s="46" t="n">
        <f aca="false">IF(AND($E18&gt;0,M$6=$F18),$E18,0)</f>
        <v>0</v>
      </c>
      <c r="N18" s="46" t="n">
        <f aca="false">IF(AND($E18&gt;0,N$6=$F18),$E18,0)</f>
        <v>0</v>
      </c>
      <c r="O18" s="46" t="n">
        <f aca="false">IF(AND($E18&gt;0,O$6=$F18),$E18,0)</f>
        <v>0</v>
      </c>
      <c r="P18" s="46" t="n">
        <f aca="false">IF(AND($E18&gt;0,P$6=$F18),$E18,0)</f>
        <v>0</v>
      </c>
      <c r="Q18" s="46" t="n">
        <f aca="false">IF(AND($E18&gt;0,Q$6=$F18),$E18,0)</f>
        <v>0</v>
      </c>
      <c r="R18" s="46" t="n">
        <f aca="false">IF(AND($E18&gt;0,R$6=$F18),$E18,0)</f>
        <v>0</v>
      </c>
      <c r="S18" s="46" t="n">
        <f aca="false">IF(AND($E18&gt;0,S$6=$F18),$E18,0)</f>
        <v>0</v>
      </c>
      <c r="T18" s="46" t="n">
        <f aca="false">IF(AND($E18&gt;0,T$6=$F18),$E18,0)</f>
        <v>0</v>
      </c>
      <c r="U18" s="46" t="n">
        <f aca="false">IF(AND($G18&gt;0,U$6=$H18),$G18,0)</f>
        <v>0</v>
      </c>
      <c r="V18" s="46" t="n">
        <f aca="false">IF(AND($G18&gt;0,V$6=$H18),$G18,0)</f>
        <v>0</v>
      </c>
      <c r="W18" s="46" t="n">
        <f aca="false">IF(AND($G18&gt;0,W$6=$H18),$G18,0)</f>
        <v>0</v>
      </c>
      <c r="X18" s="46" t="n">
        <f aca="false">IF(AND($G18&gt;0,X$6=$H18),$G18,0)</f>
        <v>760</v>
      </c>
      <c r="Y18" s="46" t="n">
        <f aca="false">IF(AND($G18&gt;0,Y$6=$H18),$G18,0)</f>
        <v>0</v>
      </c>
      <c r="Z18" s="46" t="n">
        <f aca="false">IF(AND($G18&gt;0,Z$6=$H18),$G18,0)</f>
        <v>0</v>
      </c>
      <c r="AA18" s="46" t="n">
        <f aca="false">IF(AND($G18&gt;0,AA$6=$H18),$G18,0)</f>
        <v>0</v>
      </c>
      <c r="AB18" s="46" t="n">
        <f aca="false">IF(AND($G18&gt;0,AB$6=$H18),$G18,0)</f>
        <v>0</v>
      </c>
      <c r="AC18" s="46" t="n">
        <f aca="false">IF(AND($G18&gt;0,AC$6=$H18),$G18,0)</f>
        <v>0</v>
      </c>
      <c r="AD18" s="46" t="n">
        <f aca="false">IF(AND($G18&gt;0,AD$6=$H18),$G18,0)</f>
        <v>0</v>
      </c>
      <c r="AE18" s="46" t="n">
        <f aca="false">IF(AND($G18&gt;0,AE$6=$H18),$G18,0)</f>
        <v>0</v>
      </c>
      <c r="AF18" s="46" t="n">
        <f aca="false">IF(AND($G18&gt;0,AF$6=$H18),$G18,0)</f>
        <v>0</v>
      </c>
      <c r="AG18" s="33" t="n">
        <f aca="false">$C18</f>
        <v>146.25</v>
      </c>
      <c r="AH18" s="33" t="n">
        <f aca="false">$C18</f>
        <v>146.25</v>
      </c>
      <c r="AI18" s="33" t="n">
        <f aca="false">$C18</f>
        <v>146.25</v>
      </c>
      <c r="AJ18" s="33" t="n">
        <f aca="false">$C18</f>
        <v>146.25</v>
      </c>
      <c r="AK18" s="33" t="n">
        <f aca="false">$C18</f>
        <v>146.25</v>
      </c>
      <c r="AL18" s="33" t="n">
        <f aca="false">$C18</f>
        <v>146.25</v>
      </c>
      <c r="AM18" s="33" t="n">
        <f aca="false">$C18</f>
        <v>146.25</v>
      </c>
      <c r="AN18" s="33" t="n">
        <f aca="false">$C18</f>
        <v>146.25</v>
      </c>
      <c r="AO18" s="33" t="n">
        <f aca="false">$C18</f>
        <v>146.25</v>
      </c>
      <c r="AP18" s="33" t="n">
        <f aca="false">$C18</f>
        <v>146.25</v>
      </c>
      <c r="AQ18" s="33" t="n">
        <f aca="false">$C18</f>
        <v>146.25</v>
      </c>
      <c r="AR18" s="33" t="n">
        <f aca="false">$C18</f>
        <v>146.25</v>
      </c>
      <c r="AS18" s="47" t="n">
        <f aca="false">$D18+I18+U18-AG18</f>
        <v>308.75</v>
      </c>
      <c r="AT18" s="47" t="n">
        <f aca="false">AS18+J18+V18-AH18</f>
        <v>162.5</v>
      </c>
      <c r="AU18" s="47" t="n">
        <f aca="false">AT18+K18+W18-AI18</f>
        <v>16.25</v>
      </c>
      <c r="AV18" s="47" t="n">
        <f aca="false">AU18+L18+X18-AJ18</f>
        <v>630</v>
      </c>
      <c r="AW18" s="47" t="n">
        <f aca="false">AV18+M18+Y18-AK18</f>
        <v>483.75</v>
      </c>
      <c r="AX18" s="47" t="n">
        <f aca="false">AW18+N18+Z18-AL18</f>
        <v>337.5</v>
      </c>
      <c r="AY18" s="47" t="n">
        <f aca="false">AX18+O18+AA18-AM18</f>
        <v>191.25</v>
      </c>
      <c r="AZ18" s="47" t="n">
        <f aca="false">AY18+P18+AB18-AN18</f>
        <v>45</v>
      </c>
      <c r="BA18" s="47" t="n">
        <f aca="false">AZ18+Q18+AC18-AO18</f>
        <v>-101.25</v>
      </c>
      <c r="BB18" s="47" t="n">
        <f aca="false">BA18+R18+AD18-AP18</f>
        <v>-247.5</v>
      </c>
      <c r="BC18" s="47" t="n">
        <f aca="false">BB18+S18+AE18-AQ18</f>
        <v>-393.75</v>
      </c>
      <c r="BD18" s="47" t="n">
        <f aca="false">BC18+T18+AF18-AR18</f>
        <v>-540</v>
      </c>
      <c r="BE18" s="46" t="n">
        <f aca="false">IF(AS18&lt;=0,1,0)</f>
        <v>0</v>
      </c>
      <c r="BF18" s="46" t="n">
        <f aca="false">IF(AT18&lt;=0,1,0)</f>
        <v>0</v>
      </c>
      <c r="BG18" s="46" t="n">
        <f aca="false">IF(AU18&lt;=0,1,0)</f>
        <v>0</v>
      </c>
      <c r="BH18" s="46" t="n">
        <f aca="false">IF(AV18&lt;=0,1,0)</f>
        <v>0</v>
      </c>
      <c r="BI18" s="46" t="n">
        <f aca="false">IF(AW18&lt;=0,1,0)</f>
        <v>0</v>
      </c>
      <c r="BJ18" s="46" t="n">
        <f aca="false">IF(AX18&lt;=0,1,0)</f>
        <v>0</v>
      </c>
      <c r="BK18" s="46" t="n">
        <f aca="false">IF(AY18&lt;=0,1,0)</f>
        <v>0</v>
      </c>
      <c r="BL18" s="46" t="n">
        <f aca="false">IF(AZ18&lt;=0,1,0)</f>
        <v>0</v>
      </c>
      <c r="BM18" s="46" t="n">
        <f aca="false">IF(BA18&lt;=0,1,0)</f>
        <v>1</v>
      </c>
      <c r="BN18" s="46" t="n">
        <f aca="false">IF(BB18&lt;=0,1,0)</f>
        <v>1</v>
      </c>
      <c r="BO18" s="46" t="n">
        <f aca="false">IF(BC18&lt;=0,1,0)</f>
        <v>1</v>
      </c>
      <c r="BP18" s="46" t="n">
        <f aca="false">IF(BD18&lt;=0,1,0)</f>
        <v>1</v>
      </c>
      <c r="BQ18" s="41" t="n">
        <f aca="false">IF(COUNTIF(BE18:BP18,1)=0,"None",MATCH(1,BE18:BP18,0))</f>
        <v>9</v>
      </c>
      <c r="BR18" s="12" t="str">
        <f aca="false">IF(COUNTIFS(BE$6:BP$6,"&lt;="&amp;$B18,BE18:BP18,1)&gt;0,"YES","NO")</f>
        <v>NO</v>
      </c>
      <c r="BS18" s="19" t="n">
        <f aca="false">MIN(AS18:BD18)</f>
        <v>-540</v>
      </c>
    </row>
    <row r="19" customFormat="false" ht="15" hidden="false" customHeight="false" outlineLevel="0" collapsed="false">
      <c r="A19" s="11" t="str">
        <f aca="false">Replenishment_Plan!A19</f>
        <v>BTH-003</v>
      </c>
      <c r="B19" s="39" t="n">
        <f aca="false">Replenishment_Plan!K19</f>
        <v>3</v>
      </c>
      <c r="C19" s="35" t="n">
        <f aca="false">Replenishment_Plan!E19</f>
        <v>54.625</v>
      </c>
      <c r="D19" s="39" t="n">
        <f aca="false">Replenishment_Plan!O19-Replenishment_Plan!Q19</f>
        <v>250</v>
      </c>
      <c r="E19" s="39" t="n">
        <f aca="false">Replenishment_Plan!P19</f>
        <v>0</v>
      </c>
      <c r="F19" s="39" t="n">
        <f aca="false">Inputs!L52</f>
        <v>0</v>
      </c>
      <c r="G19" s="39" t="n">
        <f aca="false">Replenishment_Plan!AD19</f>
        <v>0</v>
      </c>
      <c r="H19" s="19" t="str">
        <f aca="false">IF(G19&gt;0,B19+1,"none")</f>
        <v>none</v>
      </c>
      <c r="I19" s="46" t="n">
        <f aca="false">IF(AND($E19&gt;0,I$6=$F19),$E19,0)</f>
        <v>0</v>
      </c>
      <c r="J19" s="46" t="n">
        <f aca="false">IF(AND($E19&gt;0,J$6=$F19),$E19,0)</f>
        <v>0</v>
      </c>
      <c r="K19" s="46" t="n">
        <f aca="false">IF(AND($E19&gt;0,K$6=$F19),$E19,0)</f>
        <v>0</v>
      </c>
      <c r="L19" s="46" t="n">
        <f aca="false">IF(AND($E19&gt;0,L$6=$F19),$E19,0)</f>
        <v>0</v>
      </c>
      <c r="M19" s="46" t="n">
        <f aca="false">IF(AND($E19&gt;0,M$6=$F19),$E19,0)</f>
        <v>0</v>
      </c>
      <c r="N19" s="46" t="n">
        <f aca="false">IF(AND($E19&gt;0,N$6=$F19),$E19,0)</f>
        <v>0</v>
      </c>
      <c r="O19" s="46" t="n">
        <f aca="false">IF(AND($E19&gt;0,O$6=$F19),$E19,0)</f>
        <v>0</v>
      </c>
      <c r="P19" s="46" t="n">
        <f aca="false">IF(AND($E19&gt;0,P$6=$F19),$E19,0)</f>
        <v>0</v>
      </c>
      <c r="Q19" s="46" t="n">
        <f aca="false">IF(AND($E19&gt;0,Q$6=$F19),$E19,0)</f>
        <v>0</v>
      </c>
      <c r="R19" s="46" t="n">
        <f aca="false">IF(AND($E19&gt;0,R$6=$F19),$E19,0)</f>
        <v>0</v>
      </c>
      <c r="S19" s="46" t="n">
        <f aca="false">IF(AND($E19&gt;0,S$6=$F19),$E19,0)</f>
        <v>0</v>
      </c>
      <c r="T19" s="46" t="n">
        <f aca="false">IF(AND($E19&gt;0,T$6=$F19),$E19,0)</f>
        <v>0</v>
      </c>
      <c r="U19" s="46" t="n">
        <f aca="false">IF(AND($G19&gt;0,U$6=$H19),$G19,0)</f>
        <v>0</v>
      </c>
      <c r="V19" s="46" t="n">
        <f aca="false">IF(AND($G19&gt;0,V$6=$H19),$G19,0)</f>
        <v>0</v>
      </c>
      <c r="W19" s="46" t="n">
        <f aca="false">IF(AND($G19&gt;0,W$6=$H19),$G19,0)</f>
        <v>0</v>
      </c>
      <c r="X19" s="46" t="n">
        <f aca="false">IF(AND($G19&gt;0,X$6=$H19),$G19,0)</f>
        <v>0</v>
      </c>
      <c r="Y19" s="46" t="n">
        <f aca="false">IF(AND($G19&gt;0,Y$6=$H19),$G19,0)</f>
        <v>0</v>
      </c>
      <c r="Z19" s="46" t="n">
        <f aca="false">IF(AND($G19&gt;0,Z$6=$H19),$G19,0)</f>
        <v>0</v>
      </c>
      <c r="AA19" s="46" t="n">
        <f aca="false">IF(AND($G19&gt;0,AA$6=$H19),$G19,0)</f>
        <v>0</v>
      </c>
      <c r="AB19" s="46" t="n">
        <f aca="false">IF(AND($G19&gt;0,AB$6=$H19),$G19,0)</f>
        <v>0</v>
      </c>
      <c r="AC19" s="46" t="n">
        <f aca="false">IF(AND($G19&gt;0,AC$6=$H19),$G19,0)</f>
        <v>0</v>
      </c>
      <c r="AD19" s="46" t="n">
        <f aca="false">IF(AND($G19&gt;0,AD$6=$H19),$G19,0)</f>
        <v>0</v>
      </c>
      <c r="AE19" s="46" t="n">
        <f aca="false">IF(AND($G19&gt;0,AE$6=$H19),$G19,0)</f>
        <v>0</v>
      </c>
      <c r="AF19" s="46" t="n">
        <f aca="false">IF(AND($G19&gt;0,AF$6=$H19),$G19,0)</f>
        <v>0</v>
      </c>
      <c r="AG19" s="33" t="n">
        <f aca="false">$C19</f>
        <v>54.625</v>
      </c>
      <c r="AH19" s="33" t="n">
        <f aca="false">$C19</f>
        <v>54.625</v>
      </c>
      <c r="AI19" s="33" t="n">
        <f aca="false">$C19</f>
        <v>54.625</v>
      </c>
      <c r="AJ19" s="33" t="n">
        <f aca="false">$C19</f>
        <v>54.625</v>
      </c>
      <c r="AK19" s="33" t="n">
        <f aca="false">$C19</f>
        <v>54.625</v>
      </c>
      <c r="AL19" s="33" t="n">
        <f aca="false">$C19</f>
        <v>54.625</v>
      </c>
      <c r="AM19" s="33" t="n">
        <f aca="false">$C19</f>
        <v>54.625</v>
      </c>
      <c r="AN19" s="33" t="n">
        <f aca="false">$C19</f>
        <v>54.625</v>
      </c>
      <c r="AO19" s="33" t="n">
        <f aca="false">$C19</f>
        <v>54.625</v>
      </c>
      <c r="AP19" s="33" t="n">
        <f aca="false">$C19</f>
        <v>54.625</v>
      </c>
      <c r="AQ19" s="33" t="n">
        <f aca="false">$C19</f>
        <v>54.625</v>
      </c>
      <c r="AR19" s="33" t="n">
        <f aca="false">$C19</f>
        <v>54.625</v>
      </c>
      <c r="AS19" s="47" t="n">
        <f aca="false">$D19+I19+U19-AG19</f>
        <v>195.375</v>
      </c>
      <c r="AT19" s="47" t="n">
        <f aca="false">AS19+J19+V19-AH19</f>
        <v>140.75</v>
      </c>
      <c r="AU19" s="47" t="n">
        <f aca="false">AT19+K19+W19-AI19</f>
        <v>86.125</v>
      </c>
      <c r="AV19" s="47" t="n">
        <f aca="false">AU19+L19+X19-AJ19</f>
        <v>31.5</v>
      </c>
      <c r="AW19" s="47" t="n">
        <f aca="false">AV19+M19+Y19-AK19</f>
        <v>-23.125</v>
      </c>
      <c r="AX19" s="47" t="n">
        <f aca="false">AW19+N19+Z19-AL19</f>
        <v>-77.75</v>
      </c>
      <c r="AY19" s="47" t="n">
        <f aca="false">AX19+O19+AA19-AM19</f>
        <v>-132.375</v>
      </c>
      <c r="AZ19" s="47" t="n">
        <f aca="false">AY19+P19+AB19-AN19</f>
        <v>-187</v>
      </c>
      <c r="BA19" s="47" t="n">
        <f aca="false">AZ19+Q19+AC19-AO19</f>
        <v>-241.625</v>
      </c>
      <c r="BB19" s="47" t="n">
        <f aca="false">BA19+R19+AD19-AP19</f>
        <v>-296.25</v>
      </c>
      <c r="BC19" s="47" t="n">
        <f aca="false">BB19+S19+AE19-AQ19</f>
        <v>-350.875</v>
      </c>
      <c r="BD19" s="47" t="n">
        <f aca="false">BC19+T19+AF19-AR19</f>
        <v>-405.5</v>
      </c>
      <c r="BE19" s="46" t="n">
        <f aca="false">IF(AS19&lt;=0,1,0)</f>
        <v>0</v>
      </c>
      <c r="BF19" s="46" t="n">
        <f aca="false">IF(AT19&lt;=0,1,0)</f>
        <v>0</v>
      </c>
      <c r="BG19" s="46" t="n">
        <f aca="false">IF(AU19&lt;=0,1,0)</f>
        <v>0</v>
      </c>
      <c r="BH19" s="46" t="n">
        <f aca="false">IF(AV19&lt;=0,1,0)</f>
        <v>0</v>
      </c>
      <c r="BI19" s="46" t="n">
        <f aca="false">IF(AW19&lt;=0,1,0)</f>
        <v>1</v>
      </c>
      <c r="BJ19" s="46" t="n">
        <f aca="false">IF(AX19&lt;=0,1,0)</f>
        <v>1</v>
      </c>
      <c r="BK19" s="46" t="n">
        <f aca="false">IF(AY19&lt;=0,1,0)</f>
        <v>1</v>
      </c>
      <c r="BL19" s="46" t="n">
        <f aca="false">IF(AZ19&lt;=0,1,0)</f>
        <v>1</v>
      </c>
      <c r="BM19" s="46" t="n">
        <f aca="false">IF(BA19&lt;=0,1,0)</f>
        <v>1</v>
      </c>
      <c r="BN19" s="46" t="n">
        <f aca="false">IF(BB19&lt;=0,1,0)</f>
        <v>1</v>
      </c>
      <c r="BO19" s="46" t="n">
        <f aca="false">IF(BC19&lt;=0,1,0)</f>
        <v>1</v>
      </c>
      <c r="BP19" s="46" t="n">
        <f aca="false">IF(BD19&lt;=0,1,0)</f>
        <v>1</v>
      </c>
      <c r="BQ19" s="41" t="n">
        <f aca="false">IF(COUNTIF(BE19:BP19,1)=0,"None",MATCH(1,BE19:BP19,0))</f>
        <v>5</v>
      </c>
      <c r="BR19" s="12" t="str">
        <f aca="false">IF(COUNTIFS(BE$6:BP$6,"&lt;="&amp;$B19,BE19:BP19,1)&gt;0,"YES","NO")</f>
        <v>NO</v>
      </c>
      <c r="BS19" s="19" t="n">
        <f aca="false">MIN(AS19:BD19)</f>
        <v>-405.5</v>
      </c>
    </row>
    <row r="20" customFormat="false" ht="15" hidden="false" customHeight="false" outlineLevel="0" collapsed="false">
      <c r="A20" s="11" t="str">
        <f aca="false">Replenishment_Plan!A20</f>
        <v>BTH-004</v>
      </c>
      <c r="B20" s="39" t="n">
        <f aca="false">Replenishment_Plan!K20</f>
        <v>3</v>
      </c>
      <c r="C20" s="35" t="n">
        <f aca="false">Replenishment_Plan!E20</f>
        <v>28.625</v>
      </c>
      <c r="D20" s="39" t="n">
        <f aca="false">Replenishment_Plan!O20-Replenishment_Plan!Q20</f>
        <v>443</v>
      </c>
      <c r="E20" s="39" t="n">
        <f aca="false">Replenishment_Plan!P20</f>
        <v>0</v>
      </c>
      <c r="F20" s="39" t="n">
        <f aca="false">Inputs!L53</f>
        <v>0</v>
      </c>
      <c r="G20" s="39" t="n">
        <f aca="false">Replenishment_Plan!AD20</f>
        <v>0</v>
      </c>
      <c r="H20" s="19" t="str">
        <f aca="false">IF(G20&gt;0,B20+1,"none")</f>
        <v>none</v>
      </c>
      <c r="I20" s="46" t="n">
        <f aca="false">IF(AND($E20&gt;0,I$6=$F20),$E20,0)</f>
        <v>0</v>
      </c>
      <c r="J20" s="46" t="n">
        <f aca="false">IF(AND($E20&gt;0,J$6=$F20),$E20,0)</f>
        <v>0</v>
      </c>
      <c r="K20" s="46" t="n">
        <f aca="false">IF(AND($E20&gt;0,K$6=$F20),$E20,0)</f>
        <v>0</v>
      </c>
      <c r="L20" s="46" t="n">
        <f aca="false">IF(AND($E20&gt;0,L$6=$F20),$E20,0)</f>
        <v>0</v>
      </c>
      <c r="M20" s="46" t="n">
        <f aca="false">IF(AND($E20&gt;0,M$6=$F20),$E20,0)</f>
        <v>0</v>
      </c>
      <c r="N20" s="46" t="n">
        <f aca="false">IF(AND($E20&gt;0,N$6=$F20),$E20,0)</f>
        <v>0</v>
      </c>
      <c r="O20" s="46" t="n">
        <f aca="false">IF(AND($E20&gt;0,O$6=$F20),$E20,0)</f>
        <v>0</v>
      </c>
      <c r="P20" s="46" t="n">
        <f aca="false">IF(AND($E20&gt;0,P$6=$F20),$E20,0)</f>
        <v>0</v>
      </c>
      <c r="Q20" s="46" t="n">
        <f aca="false">IF(AND($E20&gt;0,Q$6=$F20),$E20,0)</f>
        <v>0</v>
      </c>
      <c r="R20" s="46" t="n">
        <f aca="false">IF(AND($E20&gt;0,R$6=$F20),$E20,0)</f>
        <v>0</v>
      </c>
      <c r="S20" s="46" t="n">
        <f aca="false">IF(AND($E20&gt;0,S$6=$F20),$E20,0)</f>
        <v>0</v>
      </c>
      <c r="T20" s="46" t="n">
        <f aca="false">IF(AND($E20&gt;0,T$6=$F20),$E20,0)</f>
        <v>0</v>
      </c>
      <c r="U20" s="46" t="n">
        <f aca="false">IF(AND($G20&gt;0,U$6=$H20),$G20,0)</f>
        <v>0</v>
      </c>
      <c r="V20" s="46" t="n">
        <f aca="false">IF(AND($G20&gt;0,V$6=$H20),$G20,0)</f>
        <v>0</v>
      </c>
      <c r="W20" s="46" t="n">
        <f aca="false">IF(AND($G20&gt;0,W$6=$H20),$G20,0)</f>
        <v>0</v>
      </c>
      <c r="X20" s="46" t="n">
        <f aca="false">IF(AND($G20&gt;0,X$6=$H20),$G20,0)</f>
        <v>0</v>
      </c>
      <c r="Y20" s="46" t="n">
        <f aca="false">IF(AND($G20&gt;0,Y$6=$H20),$G20,0)</f>
        <v>0</v>
      </c>
      <c r="Z20" s="46" t="n">
        <f aca="false">IF(AND($G20&gt;0,Z$6=$H20),$G20,0)</f>
        <v>0</v>
      </c>
      <c r="AA20" s="46" t="n">
        <f aca="false">IF(AND($G20&gt;0,AA$6=$H20),$G20,0)</f>
        <v>0</v>
      </c>
      <c r="AB20" s="46" t="n">
        <f aca="false">IF(AND($G20&gt;0,AB$6=$H20),$G20,0)</f>
        <v>0</v>
      </c>
      <c r="AC20" s="46" t="n">
        <f aca="false">IF(AND($G20&gt;0,AC$6=$H20),$G20,0)</f>
        <v>0</v>
      </c>
      <c r="AD20" s="46" t="n">
        <f aca="false">IF(AND($G20&gt;0,AD$6=$H20),$G20,0)</f>
        <v>0</v>
      </c>
      <c r="AE20" s="46" t="n">
        <f aca="false">IF(AND($G20&gt;0,AE$6=$H20),$G20,0)</f>
        <v>0</v>
      </c>
      <c r="AF20" s="46" t="n">
        <f aca="false">IF(AND($G20&gt;0,AF$6=$H20),$G20,0)</f>
        <v>0</v>
      </c>
      <c r="AG20" s="33" t="n">
        <f aca="false">$C20</f>
        <v>28.625</v>
      </c>
      <c r="AH20" s="33" t="n">
        <f aca="false">$C20</f>
        <v>28.625</v>
      </c>
      <c r="AI20" s="33" t="n">
        <f aca="false">$C20</f>
        <v>28.625</v>
      </c>
      <c r="AJ20" s="33" t="n">
        <f aca="false">$C20</f>
        <v>28.625</v>
      </c>
      <c r="AK20" s="33" t="n">
        <f aca="false">$C20</f>
        <v>28.625</v>
      </c>
      <c r="AL20" s="33" t="n">
        <f aca="false">$C20</f>
        <v>28.625</v>
      </c>
      <c r="AM20" s="33" t="n">
        <f aca="false">$C20</f>
        <v>28.625</v>
      </c>
      <c r="AN20" s="33" t="n">
        <f aca="false">$C20</f>
        <v>28.625</v>
      </c>
      <c r="AO20" s="33" t="n">
        <f aca="false">$C20</f>
        <v>28.625</v>
      </c>
      <c r="AP20" s="33" t="n">
        <f aca="false">$C20</f>
        <v>28.625</v>
      </c>
      <c r="AQ20" s="33" t="n">
        <f aca="false">$C20</f>
        <v>28.625</v>
      </c>
      <c r="AR20" s="33" t="n">
        <f aca="false">$C20</f>
        <v>28.625</v>
      </c>
      <c r="AS20" s="47" t="n">
        <f aca="false">$D20+I20+U20-AG20</f>
        <v>414.375</v>
      </c>
      <c r="AT20" s="47" t="n">
        <f aca="false">AS20+J20+V20-AH20</f>
        <v>385.75</v>
      </c>
      <c r="AU20" s="47" t="n">
        <f aca="false">AT20+K20+W20-AI20</f>
        <v>357.125</v>
      </c>
      <c r="AV20" s="47" t="n">
        <f aca="false">AU20+L20+X20-AJ20</f>
        <v>328.5</v>
      </c>
      <c r="AW20" s="47" t="n">
        <f aca="false">AV20+M20+Y20-AK20</f>
        <v>299.875</v>
      </c>
      <c r="AX20" s="47" t="n">
        <f aca="false">AW20+N20+Z20-AL20</f>
        <v>271.25</v>
      </c>
      <c r="AY20" s="47" t="n">
        <f aca="false">AX20+O20+AA20-AM20</f>
        <v>242.625</v>
      </c>
      <c r="AZ20" s="47" t="n">
        <f aca="false">AY20+P20+AB20-AN20</f>
        <v>214</v>
      </c>
      <c r="BA20" s="47" t="n">
        <f aca="false">AZ20+Q20+AC20-AO20</f>
        <v>185.375</v>
      </c>
      <c r="BB20" s="47" t="n">
        <f aca="false">BA20+R20+AD20-AP20</f>
        <v>156.75</v>
      </c>
      <c r="BC20" s="47" t="n">
        <f aca="false">BB20+S20+AE20-AQ20</f>
        <v>128.125</v>
      </c>
      <c r="BD20" s="47" t="n">
        <f aca="false">BC20+T20+AF20-AR20</f>
        <v>99.5</v>
      </c>
      <c r="BE20" s="46" t="n">
        <f aca="false">IF(AS20&lt;=0,1,0)</f>
        <v>0</v>
      </c>
      <c r="BF20" s="46" t="n">
        <f aca="false">IF(AT20&lt;=0,1,0)</f>
        <v>0</v>
      </c>
      <c r="BG20" s="46" t="n">
        <f aca="false">IF(AU20&lt;=0,1,0)</f>
        <v>0</v>
      </c>
      <c r="BH20" s="46" t="n">
        <f aca="false">IF(AV20&lt;=0,1,0)</f>
        <v>0</v>
      </c>
      <c r="BI20" s="46" t="n">
        <f aca="false">IF(AW20&lt;=0,1,0)</f>
        <v>0</v>
      </c>
      <c r="BJ20" s="46" t="n">
        <f aca="false">IF(AX20&lt;=0,1,0)</f>
        <v>0</v>
      </c>
      <c r="BK20" s="46" t="n">
        <f aca="false">IF(AY20&lt;=0,1,0)</f>
        <v>0</v>
      </c>
      <c r="BL20" s="46" t="n">
        <f aca="false">IF(AZ20&lt;=0,1,0)</f>
        <v>0</v>
      </c>
      <c r="BM20" s="46" t="n">
        <f aca="false">IF(BA20&lt;=0,1,0)</f>
        <v>0</v>
      </c>
      <c r="BN20" s="46" t="n">
        <f aca="false">IF(BB20&lt;=0,1,0)</f>
        <v>0</v>
      </c>
      <c r="BO20" s="46" t="n">
        <f aca="false">IF(BC20&lt;=0,1,0)</f>
        <v>0</v>
      </c>
      <c r="BP20" s="46" t="n">
        <f aca="false">IF(BD20&lt;=0,1,0)</f>
        <v>0</v>
      </c>
      <c r="BQ20" s="41" t="str">
        <f aca="false">IF(COUNTIF(BE20:BP20,1)=0,"None",MATCH(1,BE20:BP20,0))</f>
        <v>None</v>
      </c>
      <c r="BR20" s="12" t="str">
        <f aca="false">IF(COUNTIFS(BE$6:BP$6,"&lt;="&amp;$B20,BE20:BP20,1)&gt;0,"YES","NO")</f>
        <v>NO</v>
      </c>
      <c r="BS20" s="19" t="n">
        <f aca="false">MIN(AS20:BD20)</f>
        <v>99.5</v>
      </c>
    </row>
    <row r="21" customFormat="false" ht="15" hidden="false" customHeight="false" outlineLevel="0" collapsed="false">
      <c r="A21" s="11" t="str">
        <f aca="false">Replenishment_Plan!A21</f>
        <v>BTH-005</v>
      </c>
      <c r="B21" s="39" t="n">
        <f aca="false">Replenishment_Plan!K21</f>
        <v>3</v>
      </c>
      <c r="C21" s="35" t="n">
        <f aca="false">Replenishment_Plan!E21</f>
        <v>19.75</v>
      </c>
      <c r="D21" s="39" t="n">
        <f aca="false">Replenishment_Plan!O21-Replenishment_Plan!Q21</f>
        <v>19</v>
      </c>
      <c r="E21" s="39" t="n">
        <f aca="false">Replenishment_Plan!P21</f>
        <v>25</v>
      </c>
      <c r="F21" s="39" t="n">
        <f aca="false">Inputs!L54</f>
        <v>2</v>
      </c>
      <c r="G21" s="39" t="n">
        <f aca="false">Replenishment_Plan!AD21</f>
        <v>125</v>
      </c>
      <c r="H21" s="19" t="n">
        <f aca="false">IF(G21&gt;0,B21+1,"none")</f>
        <v>4</v>
      </c>
      <c r="I21" s="46" t="n">
        <f aca="false">IF(AND($E21&gt;0,I$6=$F21),$E21,0)</f>
        <v>0</v>
      </c>
      <c r="J21" s="46" t="n">
        <f aca="false">IF(AND($E21&gt;0,J$6=$F21),$E21,0)</f>
        <v>25</v>
      </c>
      <c r="K21" s="46" t="n">
        <f aca="false">IF(AND($E21&gt;0,K$6=$F21),$E21,0)</f>
        <v>0</v>
      </c>
      <c r="L21" s="46" t="n">
        <f aca="false">IF(AND($E21&gt;0,L$6=$F21),$E21,0)</f>
        <v>0</v>
      </c>
      <c r="M21" s="46" t="n">
        <f aca="false">IF(AND($E21&gt;0,M$6=$F21),$E21,0)</f>
        <v>0</v>
      </c>
      <c r="N21" s="46" t="n">
        <f aca="false">IF(AND($E21&gt;0,N$6=$F21),$E21,0)</f>
        <v>0</v>
      </c>
      <c r="O21" s="46" t="n">
        <f aca="false">IF(AND($E21&gt;0,O$6=$F21),$E21,0)</f>
        <v>0</v>
      </c>
      <c r="P21" s="46" t="n">
        <f aca="false">IF(AND($E21&gt;0,P$6=$F21),$E21,0)</f>
        <v>0</v>
      </c>
      <c r="Q21" s="46" t="n">
        <f aca="false">IF(AND($E21&gt;0,Q$6=$F21),$E21,0)</f>
        <v>0</v>
      </c>
      <c r="R21" s="46" t="n">
        <f aca="false">IF(AND($E21&gt;0,R$6=$F21),$E21,0)</f>
        <v>0</v>
      </c>
      <c r="S21" s="46" t="n">
        <f aca="false">IF(AND($E21&gt;0,S$6=$F21),$E21,0)</f>
        <v>0</v>
      </c>
      <c r="T21" s="46" t="n">
        <f aca="false">IF(AND($E21&gt;0,T$6=$F21),$E21,0)</f>
        <v>0</v>
      </c>
      <c r="U21" s="46" t="n">
        <f aca="false">IF(AND($G21&gt;0,U$6=$H21),$G21,0)</f>
        <v>0</v>
      </c>
      <c r="V21" s="46" t="n">
        <f aca="false">IF(AND($G21&gt;0,V$6=$H21),$G21,0)</f>
        <v>0</v>
      </c>
      <c r="W21" s="46" t="n">
        <f aca="false">IF(AND($G21&gt;0,W$6=$H21),$G21,0)</f>
        <v>0</v>
      </c>
      <c r="X21" s="46" t="n">
        <f aca="false">IF(AND($G21&gt;0,X$6=$H21),$G21,0)</f>
        <v>125</v>
      </c>
      <c r="Y21" s="46" t="n">
        <f aca="false">IF(AND($G21&gt;0,Y$6=$H21),$G21,0)</f>
        <v>0</v>
      </c>
      <c r="Z21" s="46" t="n">
        <f aca="false">IF(AND($G21&gt;0,Z$6=$H21),$G21,0)</f>
        <v>0</v>
      </c>
      <c r="AA21" s="46" t="n">
        <f aca="false">IF(AND($G21&gt;0,AA$6=$H21),$G21,0)</f>
        <v>0</v>
      </c>
      <c r="AB21" s="46" t="n">
        <f aca="false">IF(AND($G21&gt;0,AB$6=$H21),$G21,0)</f>
        <v>0</v>
      </c>
      <c r="AC21" s="46" t="n">
        <f aca="false">IF(AND($G21&gt;0,AC$6=$H21),$G21,0)</f>
        <v>0</v>
      </c>
      <c r="AD21" s="46" t="n">
        <f aca="false">IF(AND($G21&gt;0,AD$6=$H21),$G21,0)</f>
        <v>0</v>
      </c>
      <c r="AE21" s="46" t="n">
        <f aca="false">IF(AND($G21&gt;0,AE$6=$H21),$G21,0)</f>
        <v>0</v>
      </c>
      <c r="AF21" s="46" t="n">
        <f aca="false">IF(AND($G21&gt;0,AF$6=$H21),$G21,0)</f>
        <v>0</v>
      </c>
      <c r="AG21" s="33" t="n">
        <f aca="false">$C21</f>
        <v>19.75</v>
      </c>
      <c r="AH21" s="33" t="n">
        <f aca="false">$C21</f>
        <v>19.75</v>
      </c>
      <c r="AI21" s="33" t="n">
        <f aca="false">$C21</f>
        <v>19.75</v>
      </c>
      <c r="AJ21" s="33" t="n">
        <f aca="false">$C21</f>
        <v>19.75</v>
      </c>
      <c r="AK21" s="33" t="n">
        <f aca="false">$C21</f>
        <v>19.75</v>
      </c>
      <c r="AL21" s="33" t="n">
        <f aca="false">$C21</f>
        <v>19.75</v>
      </c>
      <c r="AM21" s="33" t="n">
        <f aca="false">$C21</f>
        <v>19.75</v>
      </c>
      <c r="AN21" s="33" t="n">
        <f aca="false">$C21</f>
        <v>19.75</v>
      </c>
      <c r="AO21" s="33" t="n">
        <f aca="false">$C21</f>
        <v>19.75</v>
      </c>
      <c r="AP21" s="33" t="n">
        <f aca="false">$C21</f>
        <v>19.75</v>
      </c>
      <c r="AQ21" s="33" t="n">
        <f aca="false">$C21</f>
        <v>19.75</v>
      </c>
      <c r="AR21" s="33" t="n">
        <f aca="false">$C21</f>
        <v>19.75</v>
      </c>
      <c r="AS21" s="47" t="n">
        <f aca="false">$D21+I21+U21-AG21</f>
        <v>-0.75</v>
      </c>
      <c r="AT21" s="47" t="n">
        <f aca="false">AS21+J21+V21-AH21</f>
        <v>4.5</v>
      </c>
      <c r="AU21" s="47" t="n">
        <f aca="false">AT21+K21+W21-AI21</f>
        <v>-15.25</v>
      </c>
      <c r="AV21" s="47" t="n">
        <f aca="false">AU21+L21+X21-AJ21</f>
        <v>90</v>
      </c>
      <c r="AW21" s="47" t="n">
        <f aca="false">AV21+M21+Y21-AK21</f>
        <v>70.25</v>
      </c>
      <c r="AX21" s="47" t="n">
        <f aca="false">AW21+N21+Z21-AL21</f>
        <v>50.5</v>
      </c>
      <c r="AY21" s="47" t="n">
        <f aca="false">AX21+O21+AA21-AM21</f>
        <v>30.75</v>
      </c>
      <c r="AZ21" s="47" t="n">
        <f aca="false">AY21+P21+AB21-AN21</f>
        <v>11</v>
      </c>
      <c r="BA21" s="47" t="n">
        <f aca="false">AZ21+Q21+AC21-AO21</f>
        <v>-8.75</v>
      </c>
      <c r="BB21" s="47" t="n">
        <f aca="false">BA21+R21+AD21-AP21</f>
        <v>-28.5</v>
      </c>
      <c r="BC21" s="47" t="n">
        <f aca="false">BB21+S21+AE21-AQ21</f>
        <v>-48.25</v>
      </c>
      <c r="BD21" s="47" t="n">
        <f aca="false">BC21+T21+AF21-AR21</f>
        <v>-68</v>
      </c>
      <c r="BE21" s="46" t="n">
        <f aca="false">IF(AS21&lt;=0,1,0)</f>
        <v>1</v>
      </c>
      <c r="BF21" s="46" t="n">
        <f aca="false">IF(AT21&lt;=0,1,0)</f>
        <v>0</v>
      </c>
      <c r="BG21" s="46" t="n">
        <f aca="false">IF(AU21&lt;=0,1,0)</f>
        <v>1</v>
      </c>
      <c r="BH21" s="46" t="n">
        <f aca="false">IF(AV21&lt;=0,1,0)</f>
        <v>0</v>
      </c>
      <c r="BI21" s="46" t="n">
        <f aca="false">IF(AW21&lt;=0,1,0)</f>
        <v>0</v>
      </c>
      <c r="BJ21" s="46" t="n">
        <f aca="false">IF(AX21&lt;=0,1,0)</f>
        <v>0</v>
      </c>
      <c r="BK21" s="46" t="n">
        <f aca="false">IF(AY21&lt;=0,1,0)</f>
        <v>0</v>
      </c>
      <c r="BL21" s="46" t="n">
        <f aca="false">IF(AZ21&lt;=0,1,0)</f>
        <v>0</v>
      </c>
      <c r="BM21" s="46" t="n">
        <f aca="false">IF(BA21&lt;=0,1,0)</f>
        <v>1</v>
      </c>
      <c r="BN21" s="46" t="n">
        <f aca="false">IF(BB21&lt;=0,1,0)</f>
        <v>1</v>
      </c>
      <c r="BO21" s="46" t="n">
        <f aca="false">IF(BC21&lt;=0,1,0)</f>
        <v>1</v>
      </c>
      <c r="BP21" s="46" t="n">
        <f aca="false">IF(BD21&lt;=0,1,0)</f>
        <v>1</v>
      </c>
      <c r="BQ21" s="41" t="n">
        <f aca="false">IF(COUNTIF(BE21:BP21,1)=0,"None",MATCH(1,BE21:BP21,0))</f>
        <v>1</v>
      </c>
      <c r="BR21" s="12" t="str">
        <f aca="false">IF(COUNTIFS(BE$6:BP$6,"&lt;="&amp;$B21,BE21:BP21,1)&gt;0,"YES","NO")</f>
        <v>YES</v>
      </c>
      <c r="BS21" s="19" t="n">
        <f aca="false">MIN(AS21:BD21)</f>
        <v>-68</v>
      </c>
    </row>
    <row r="22" customFormat="false" ht="15" hidden="false" customHeight="false" outlineLevel="0" collapsed="false">
      <c r="A22" s="11" t="str">
        <f aca="false">Replenishment_Plan!A22</f>
        <v>BTH-006</v>
      </c>
      <c r="B22" s="39" t="n">
        <f aca="false">Replenishment_Plan!K22</f>
        <v>3</v>
      </c>
      <c r="C22" s="35" t="n">
        <f aca="false">Replenishment_Plan!E22</f>
        <v>36</v>
      </c>
      <c r="D22" s="39" t="n">
        <f aca="false">Replenishment_Plan!O22-Replenishment_Plan!Q22</f>
        <v>164</v>
      </c>
      <c r="E22" s="39" t="n">
        <f aca="false">Replenishment_Plan!P22</f>
        <v>0</v>
      </c>
      <c r="F22" s="39" t="n">
        <f aca="false">Inputs!L55</f>
        <v>0</v>
      </c>
      <c r="G22" s="39" t="n">
        <f aca="false">Replenishment_Plan!AD22</f>
        <v>0</v>
      </c>
      <c r="H22" s="19" t="str">
        <f aca="false">IF(G22&gt;0,B22+1,"none")</f>
        <v>none</v>
      </c>
      <c r="I22" s="46" t="n">
        <f aca="false">IF(AND($E22&gt;0,I$6=$F22),$E22,0)</f>
        <v>0</v>
      </c>
      <c r="J22" s="46" t="n">
        <f aca="false">IF(AND($E22&gt;0,J$6=$F22),$E22,0)</f>
        <v>0</v>
      </c>
      <c r="K22" s="46" t="n">
        <f aca="false">IF(AND($E22&gt;0,K$6=$F22),$E22,0)</f>
        <v>0</v>
      </c>
      <c r="L22" s="46" t="n">
        <f aca="false">IF(AND($E22&gt;0,L$6=$F22),$E22,0)</f>
        <v>0</v>
      </c>
      <c r="M22" s="46" t="n">
        <f aca="false">IF(AND($E22&gt;0,M$6=$F22),$E22,0)</f>
        <v>0</v>
      </c>
      <c r="N22" s="46" t="n">
        <f aca="false">IF(AND($E22&gt;0,N$6=$F22),$E22,0)</f>
        <v>0</v>
      </c>
      <c r="O22" s="46" t="n">
        <f aca="false">IF(AND($E22&gt;0,O$6=$F22),$E22,0)</f>
        <v>0</v>
      </c>
      <c r="P22" s="46" t="n">
        <f aca="false">IF(AND($E22&gt;0,P$6=$F22),$E22,0)</f>
        <v>0</v>
      </c>
      <c r="Q22" s="46" t="n">
        <f aca="false">IF(AND($E22&gt;0,Q$6=$F22),$E22,0)</f>
        <v>0</v>
      </c>
      <c r="R22" s="46" t="n">
        <f aca="false">IF(AND($E22&gt;0,R$6=$F22),$E22,0)</f>
        <v>0</v>
      </c>
      <c r="S22" s="46" t="n">
        <f aca="false">IF(AND($E22&gt;0,S$6=$F22),$E22,0)</f>
        <v>0</v>
      </c>
      <c r="T22" s="46" t="n">
        <f aca="false">IF(AND($E22&gt;0,T$6=$F22),$E22,0)</f>
        <v>0</v>
      </c>
      <c r="U22" s="46" t="n">
        <f aca="false">IF(AND($G22&gt;0,U$6=$H22),$G22,0)</f>
        <v>0</v>
      </c>
      <c r="V22" s="46" t="n">
        <f aca="false">IF(AND($G22&gt;0,V$6=$H22),$G22,0)</f>
        <v>0</v>
      </c>
      <c r="W22" s="46" t="n">
        <f aca="false">IF(AND($G22&gt;0,W$6=$H22),$G22,0)</f>
        <v>0</v>
      </c>
      <c r="X22" s="46" t="n">
        <f aca="false">IF(AND($G22&gt;0,X$6=$H22),$G22,0)</f>
        <v>0</v>
      </c>
      <c r="Y22" s="46" t="n">
        <f aca="false">IF(AND($G22&gt;0,Y$6=$H22),$G22,0)</f>
        <v>0</v>
      </c>
      <c r="Z22" s="46" t="n">
        <f aca="false">IF(AND($G22&gt;0,Z$6=$H22),$G22,0)</f>
        <v>0</v>
      </c>
      <c r="AA22" s="46" t="n">
        <f aca="false">IF(AND($G22&gt;0,AA$6=$H22),$G22,0)</f>
        <v>0</v>
      </c>
      <c r="AB22" s="46" t="n">
        <f aca="false">IF(AND($G22&gt;0,AB$6=$H22),$G22,0)</f>
        <v>0</v>
      </c>
      <c r="AC22" s="46" t="n">
        <f aca="false">IF(AND($G22&gt;0,AC$6=$H22),$G22,0)</f>
        <v>0</v>
      </c>
      <c r="AD22" s="46" t="n">
        <f aca="false">IF(AND($G22&gt;0,AD$6=$H22),$G22,0)</f>
        <v>0</v>
      </c>
      <c r="AE22" s="46" t="n">
        <f aca="false">IF(AND($G22&gt;0,AE$6=$H22),$G22,0)</f>
        <v>0</v>
      </c>
      <c r="AF22" s="46" t="n">
        <f aca="false">IF(AND($G22&gt;0,AF$6=$H22),$G22,0)</f>
        <v>0</v>
      </c>
      <c r="AG22" s="33" t="n">
        <f aca="false">$C22</f>
        <v>36</v>
      </c>
      <c r="AH22" s="33" t="n">
        <f aca="false">$C22</f>
        <v>36</v>
      </c>
      <c r="AI22" s="33" t="n">
        <f aca="false">$C22</f>
        <v>36</v>
      </c>
      <c r="AJ22" s="33" t="n">
        <f aca="false">$C22</f>
        <v>36</v>
      </c>
      <c r="AK22" s="33" t="n">
        <f aca="false">$C22</f>
        <v>36</v>
      </c>
      <c r="AL22" s="33" t="n">
        <f aca="false">$C22</f>
        <v>36</v>
      </c>
      <c r="AM22" s="33" t="n">
        <f aca="false">$C22</f>
        <v>36</v>
      </c>
      <c r="AN22" s="33" t="n">
        <f aca="false">$C22</f>
        <v>36</v>
      </c>
      <c r="AO22" s="33" t="n">
        <f aca="false">$C22</f>
        <v>36</v>
      </c>
      <c r="AP22" s="33" t="n">
        <f aca="false">$C22</f>
        <v>36</v>
      </c>
      <c r="AQ22" s="33" t="n">
        <f aca="false">$C22</f>
        <v>36</v>
      </c>
      <c r="AR22" s="33" t="n">
        <f aca="false">$C22</f>
        <v>36</v>
      </c>
      <c r="AS22" s="47" t="n">
        <f aca="false">$D22+I22+U22-AG22</f>
        <v>128</v>
      </c>
      <c r="AT22" s="47" t="n">
        <f aca="false">AS22+J22+V22-AH22</f>
        <v>92</v>
      </c>
      <c r="AU22" s="47" t="n">
        <f aca="false">AT22+K22+W22-AI22</f>
        <v>56</v>
      </c>
      <c r="AV22" s="47" t="n">
        <f aca="false">AU22+L22+X22-AJ22</f>
        <v>20</v>
      </c>
      <c r="AW22" s="47" t="n">
        <f aca="false">AV22+M22+Y22-AK22</f>
        <v>-16</v>
      </c>
      <c r="AX22" s="47" t="n">
        <f aca="false">AW22+N22+Z22-AL22</f>
        <v>-52</v>
      </c>
      <c r="AY22" s="47" t="n">
        <f aca="false">AX22+O22+AA22-AM22</f>
        <v>-88</v>
      </c>
      <c r="AZ22" s="47" t="n">
        <f aca="false">AY22+P22+AB22-AN22</f>
        <v>-124</v>
      </c>
      <c r="BA22" s="47" t="n">
        <f aca="false">AZ22+Q22+AC22-AO22</f>
        <v>-160</v>
      </c>
      <c r="BB22" s="47" t="n">
        <f aca="false">BA22+R22+AD22-AP22</f>
        <v>-196</v>
      </c>
      <c r="BC22" s="47" t="n">
        <f aca="false">BB22+S22+AE22-AQ22</f>
        <v>-232</v>
      </c>
      <c r="BD22" s="47" t="n">
        <f aca="false">BC22+T22+AF22-AR22</f>
        <v>-268</v>
      </c>
      <c r="BE22" s="46" t="n">
        <f aca="false">IF(AS22&lt;=0,1,0)</f>
        <v>0</v>
      </c>
      <c r="BF22" s="46" t="n">
        <f aca="false">IF(AT22&lt;=0,1,0)</f>
        <v>0</v>
      </c>
      <c r="BG22" s="46" t="n">
        <f aca="false">IF(AU22&lt;=0,1,0)</f>
        <v>0</v>
      </c>
      <c r="BH22" s="46" t="n">
        <f aca="false">IF(AV22&lt;=0,1,0)</f>
        <v>0</v>
      </c>
      <c r="BI22" s="46" t="n">
        <f aca="false">IF(AW22&lt;=0,1,0)</f>
        <v>1</v>
      </c>
      <c r="BJ22" s="46" t="n">
        <f aca="false">IF(AX22&lt;=0,1,0)</f>
        <v>1</v>
      </c>
      <c r="BK22" s="46" t="n">
        <f aca="false">IF(AY22&lt;=0,1,0)</f>
        <v>1</v>
      </c>
      <c r="BL22" s="46" t="n">
        <f aca="false">IF(AZ22&lt;=0,1,0)</f>
        <v>1</v>
      </c>
      <c r="BM22" s="46" t="n">
        <f aca="false">IF(BA22&lt;=0,1,0)</f>
        <v>1</v>
      </c>
      <c r="BN22" s="46" t="n">
        <f aca="false">IF(BB22&lt;=0,1,0)</f>
        <v>1</v>
      </c>
      <c r="BO22" s="46" t="n">
        <f aca="false">IF(BC22&lt;=0,1,0)</f>
        <v>1</v>
      </c>
      <c r="BP22" s="46" t="n">
        <f aca="false">IF(BD22&lt;=0,1,0)</f>
        <v>1</v>
      </c>
      <c r="BQ22" s="41" t="n">
        <f aca="false">IF(COUNTIF(BE22:BP22,1)=0,"None",MATCH(1,BE22:BP22,0))</f>
        <v>5</v>
      </c>
      <c r="BR22" s="12" t="str">
        <f aca="false">IF(COUNTIFS(BE$6:BP$6,"&lt;="&amp;$B22,BE22:BP22,1)&gt;0,"YES","NO")</f>
        <v>NO</v>
      </c>
      <c r="BS22" s="19" t="n">
        <f aca="false">MIN(AS22:BD22)</f>
        <v>-268</v>
      </c>
    </row>
    <row r="23" customFormat="false" ht="15" hidden="false" customHeight="false" outlineLevel="0" collapsed="false">
      <c r="A23" s="11" t="str">
        <f aca="false">Replenishment_Plan!A23</f>
        <v>BTH-007</v>
      </c>
      <c r="B23" s="39" t="n">
        <f aca="false">Replenishment_Plan!K23</f>
        <v>3</v>
      </c>
      <c r="C23" s="35" t="n">
        <f aca="false">Replenishment_Plan!E23</f>
        <v>58</v>
      </c>
      <c r="D23" s="39" t="n">
        <f aca="false">Replenishment_Plan!O23-Replenishment_Plan!Q23</f>
        <v>416</v>
      </c>
      <c r="E23" s="39" t="n">
        <f aca="false">Replenishment_Plan!P23</f>
        <v>0</v>
      </c>
      <c r="F23" s="39" t="n">
        <f aca="false">Inputs!L56</f>
        <v>0</v>
      </c>
      <c r="G23" s="39" t="n">
        <f aca="false">Replenishment_Plan!AD23</f>
        <v>0</v>
      </c>
      <c r="H23" s="19" t="str">
        <f aca="false">IF(G23&gt;0,B23+1,"none")</f>
        <v>none</v>
      </c>
      <c r="I23" s="46" t="n">
        <f aca="false">IF(AND($E23&gt;0,I$6=$F23),$E23,0)</f>
        <v>0</v>
      </c>
      <c r="J23" s="46" t="n">
        <f aca="false">IF(AND($E23&gt;0,J$6=$F23),$E23,0)</f>
        <v>0</v>
      </c>
      <c r="K23" s="46" t="n">
        <f aca="false">IF(AND($E23&gt;0,K$6=$F23),$E23,0)</f>
        <v>0</v>
      </c>
      <c r="L23" s="46" t="n">
        <f aca="false">IF(AND($E23&gt;0,L$6=$F23),$E23,0)</f>
        <v>0</v>
      </c>
      <c r="M23" s="46" t="n">
        <f aca="false">IF(AND($E23&gt;0,M$6=$F23),$E23,0)</f>
        <v>0</v>
      </c>
      <c r="N23" s="46" t="n">
        <f aca="false">IF(AND($E23&gt;0,N$6=$F23),$E23,0)</f>
        <v>0</v>
      </c>
      <c r="O23" s="46" t="n">
        <f aca="false">IF(AND($E23&gt;0,O$6=$F23),$E23,0)</f>
        <v>0</v>
      </c>
      <c r="P23" s="46" t="n">
        <f aca="false">IF(AND($E23&gt;0,P$6=$F23),$E23,0)</f>
        <v>0</v>
      </c>
      <c r="Q23" s="46" t="n">
        <f aca="false">IF(AND($E23&gt;0,Q$6=$F23),$E23,0)</f>
        <v>0</v>
      </c>
      <c r="R23" s="46" t="n">
        <f aca="false">IF(AND($E23&gt;0,R$6=$F23),$E23,0)</f>
        <v>0</v>
      </c>
      <c r="S23" s="46" t="n">
        <f aca="false">IF(AND($E23&gt;0,S$6=$F23),$E23,0)</f>
        <v>0</v>
      </c>
      <c r="T23" s="46" t="n">
        <f aca="false">IF(AND($E23&gt;0,T$6=$F23),$E23,0)</f>
        <v>0</v>
      </c>
      <c r="U23" s="46" t="n">
        <f aca="false">IF(AND($G23&gt;0,U$6=$H23),$G23,0)</f>
        <v>0</v>
      </c>
      <c r="V23" s="46" t="n">
        <f aca="false">IF(AND($G23&gt;0,V$6=$H23),$G23,0)</f>
        <v>0</v>
      </c>
      <c r="W23" s="46" t="n">
        <f aca="false">IF(AND($G23&gt;0,W$6=$H23),$G23,0)</f>
        <v>0</v>
      </c>
      <c r="X23" s="46" t="n">
        <f aca="false">IF(AND($G23&gt;0,X$6=$H23),$G23,0)</f>
        <v>0</v>
      </c>
      <c r="Y23" s="46" t="n">
        <f aca="false">IF(AND($G23&gt;0,Y$6=$H23),$G23,0)</f>
        <v>0</v>
      </c>
      <c r="Z23" s="46" t="n">
        <f aca="false">IF(AND($G23&gt;0,Z$6=$H23),$G23,0)</f>
        <v>0</v>
      </c>
      <c r="AA23" s="46" t="n">
        <f aca="false">IF(AND($G23&gt;0,AA$6=$H23),$G23,0)</f>
        <v>0</v>
      </c>
      <c r="AB23" s="46" t="n">
        <f aca="false">IF(AND($G23&gt;0,AB$6=$H23),$G23,0)</f>
        <v>0</v>
      </c>
      <c r="AC23" s="46" t="n">
        <f aca="false">IF(AND($G23&gt;0,AC$6=$H23),$G23,0)</f>
        <v>0</v>
      </c>
      <c r="AD23" s="46" t="n">
        <f aca="false">IF(AND($G23&gt;0,AD$6=$H23),$G23,0)</f>
        <v>0</v>
      </c>
      <c r="AE23" s="46" t="n">
        <f aca="false">IF(AND($G23&gt;0,AE$6=$H23),$G23,0)</f>
        <v>0</v>
      </c>
      <c r="AF23" s="46" t="n">
        <f aca="false">IF(AND($G23&gt;0,AF$6=$H23),$G23,0)</f>
        <v>0</v>
      </c>
      <c r="AG23" s="33" t="n">
        <f aca="false">$C23</f>
        <v>58</v>
      </c>
      <c r="AH23" s="33" t="n">
        <f aca="false">$C23</f>
        <v>58</v>
      </c>
      <c r="AI23" s="33" t="n">
        <f aca="false">$C23</f>
        <v>58</v>
      </c>
      <c r="AJ23" s="33" t="n">
        <f aca="false">$C23</f>
        <v>58</v>
      </c>
      <c r="AK23" s="33" t="n">
        <f aca="false">$C23</f>
        <v>58</v>
      </c>
      <c r="AL23" s="33" t="n">
        <f aca="false">$C23</f>
        <v>58</v>
      </c>
      <c r="AM23" s="33" t="n">
        <f aca="false">$C23</f>
        <v>58</v>
      </c>
      <c r="AN23" s="33" t="n">
        <f aca="false">$C23</f>
        <v>58</v>
      </c>
      <c r="AO23" s="33" t="n">
        <f aca="false">$C23</f>
        <v>58</v>
      </c>
      <c r="AP23" s="33" t="n">
        <f aca="false">$C23</f>
        <v>58</v>
      </c>
      <c r="AQ23" s="33" t="n">
        <f aca="false">$C23</f>
        <v>58</v>
      </c>
      <c r="AR23" s="33" t="n">
        <f aca="false">$C23</f>
        <v>58</v>
      </c>
      <c r="AS23" s="47" t="n">
        <f aca="false">$D23+I23+U23-AG23</f>
        <v>358</v>
      </c>
      <c r="AT23" s="47" t="n">
        <f aca="false">AS23+J23+V23-AH23</f>
        <v>300</v>
      </c>
      <c r="AU23" s="47" t="n">
        <f aca="false">AT23+K23+W23-AI23</f>
        <v>242</v>
      </c>
      <c r="AV23" s="47" t="n">
        <f aca="false">AU23+L23+X23-AJ23</f>
        <v>184</v>
      </c>
      <c r="AW23" s="47" t="n">
        <f aca="false">AV23+M23+Y23-AK23</f>
        <v>126</v>
      </c>
      <c r="AX23" s="47" t="n">
        <f aca="false">AW23+N23+Z23-AL23</f>
        <v>68</v>
      </c>
      <c r="AY23" s="47" t="n">
        <f aca="false">AX23+O23+AA23-AM23</f>
        <v>10</v>
      </c>
      <c r="AZ23" s="47" t="n">
        <f aca="false">AY23+P23+AB23-AN23</f>
        <v>-48</v>
      </c>
      <c r="BA23" s="47" t="n">
        <f aca="false">AZ23+Q23+AC23-AO23</f>
        <v>-106</v>
      </c>
      <c r="BB23" s="47" t="n">
        <f aca="false">BA23+R23+AD23-AP23</f>
        <v>-164</v>
      </c>
      <c r="BC23" s="47" t="n">
        <f aca="false">BB23+S23+AE23-AQ23</f>
        <v>-222</v>
      </c>
      <c r="BD23" s="47" t="n">
        <f aca="false">BC23+T23+AF23-AR23</f>
        <v>-280</v>
      </c>
      <c r="BE23" s="46" t="n">
        <f aca="false">IF(AS23&lt;=0,1,0)</f>
        <v>0</v>
      </c>
      <c r="BF23" s="46" t="n">
        <f aca="false">IF(AT23&lt;=0,1,0)</f>
        <v>0</v>
      </c>
      <c r="BG23" s="46" t="n">
        <f aca="false">IF(AU23&lt;=0,1,0)</f>
        <v>0</v>
      </c>
      <c r="BH23" s="46" t="n">
        <f aca="false">IF(AV23&lt;=0,1,0)</f>
        <v>0</v>
      </c>
      <c r="BI23" s="46" t="n">
        <f aca="false">IF(AW23&lt;=0,1,0)</f>
        <v>0</v>
      </c>
      <c r="BJ23" s="46" t="n">
        <f aca="false">IF(AX23&lt;=0,1,0)</f>
        <v>0</v>
      </c>
      <c r="BK23" s="46" t="n">
        <f aca="false">IF(AY23&lt;=0,1,0)</f>
        <v>0</v>
      </c>
      <c r="BL23" s="46" t="n">
        <f aca="false">IF(AZ23&lt;=0,1,0)</f>
        <v>1</v>
      </c>
      <c r="BM23" s="46" t="n">
        <f aca="false">IF(BA23&lt;=0,1,0)</f>
        <v>1</v>
      </c>
      <c r="BN23" s="46" t="n">
        <f aca="false">IF(BB23&lt;=0,1,0)</f>
        <v>1</v>
      </c>
      <c r="BO23" s="46" t="n">
        <f aca="false">IF(BC23&lt;=0,1,0)</f>
        <v>1</v>
      </c>
      <c r="BP23" s="46" t="n">
        <f aca="false">IF(BD23&lt;=0,1,0)</f>
        <v>1</v>
      </c>
      <c r="BQ23" s="41" t="n">
        <f aca="false">IF(COUNTIF(BE23:BP23,1)=0,"None",MATCH(1,BE23:BP23,0))</f>
        <v>8</v>
      </c>
      <c r="BR23" s="12" t="str">
        <f aca="false">IF(COUNTIFS(BE$6:BP$6,"&lt;="&amp;$B23,BE23:BP23,1)&gt;0,"YES","NO")</f>
        <v>NO</v>
      </c>
      <c r="BS23" s="19" t="n">
        <f aca="false">MIN(AS23:BD23)</f>
        <v>-280</v>
      </c>
    </row>
    <row r="24" customFormat="false" ht="15" hidden="false" customHeight="false" outlineLevel="0" collapsed="false">
      <c r="A24" s="11" t="str">
        <f aca="false">Replenishment_Plan!A24</f>
        <v>BTH-008</v>
      </c>
      <c r="B24" s="39" t="n">
        <f aca="false">Replenishment_Plan!K24</f>
        <v>3</v>
      </c>
      <c r="C24" s="35" t="n">
        <f aca="false">Replenishment_Plan!E24</f>
        <v>6.5</v>
      </c>
      <c r="D24" s="39" t="n">
        <f aca="false">Replenishment_Plan!O24-Replenishment_Plan!Q24</f>
        <v>126</v>
      </c>
      <c r="E24" s="39" t="n">
        <f aca="false">Replenishment_Plan!P24</f>
        <v>0</v>
      </c>
      <c r="F24" s="39" t="n">
        <f aca="false">Inputs!L57</f>
        <v>0</v>
      </c>
      <c r="G24" s="39" t="n">
        <f aca="false">Replenishment_Plan!AD24</f>
        <v>0</v>
      </c>
      <c r="H24" s="19" t="str">
        <f aca="false">IF(G24&gt;0,B24+1,"none")</f>
        <v>none</v>
      </c>
      <c r="I24" s="46" t="n">
        <f aca="false">IF(AND($E24&gt;0,I$6=$F24),$E24,0)</f>
        <v>0</v>
      </c>
      <c r="J24" s="46" t="n">
        <f aca="false">IF(AND($E24&gt;0,J$6=$F24),$E24,0)</f>
        <v>0</v>
      </c>
      <c r="K24" s="46" t="n">
        <f aca="false">IF(AND($E24&gt;0,K$6=$F24),$E24,0)</f>
        <v>0</v>
      </c>
      <c r="L24" s="46" t="n">
        <f aca="false">IF(AND($E24&gt;0,L$6=$F24),$E24,0)</f>
        <v>0</v>
      </c>
      <c r="M24" s="46" t="n">
        <f aca="false">IF(AND($E24&gt;0,M$6=$F24),$E24,0)</f>
        <v>0</v>
      </c>
      <c r="N24" s="46" t="n">
        <f aca="false">IF(AND($E24&gt;0,N$6=$F24),$E24,0)</f>
        <v>0</v>
      </c>
      <c r="O24" s="46" t="n">
        <f aca="false">IF(AND($E24&gt;0,O$6=$F24),$E24,0)</f>
        <v>0</v>
      </c>
      <c r="P24" s="46" t="n">
        <f aca="false">IF(AND($E24&gt;0,P$6=$F24),$E24,0)</f>
        <v>0</v>
      </c>
      <c r="Q24" s="46" t="n">
        <f aca="false">IF(AND($E24&gt;0,Q$6=$F24),$E24,0)</f>
        <v>0</v>
      </c>
      <c r="R24" s="46" t="n">
        <f aca="false">IF(AND($E24&gt;0,R$6=$F24),$E24,0)</f>
        <v>0</v>
      </c>
      <c r="S24" s="46" t="n">
        <f aca="false">IF(AND($E24&gt;0,S$6=$F24),$E24,0)</f>
        <v>0</v>
      </c>
      <c r="T24" s="46" t="n">
        <f aca="false">IF(AND($E24&gt;0,T$6=$F24),$E24,0)</f>
        <v>0</v>
      </c>
      <c r="U24" s="46" t="n">
        <f aca="false">IF(AND($G24&gt;0,U$6=$H24),$G24,0)</f>
        <v>0</v>
      </c>
      <c r="V24" s="46" t="n">
        <f aca="false">IF(AND($G24&gt;0,V$6=$H24),$G24,0)</f>
        <v>0</v>
      </c>
      <c r="W24" s="46" t="n">
        <f aca="false">IF(AND($G24&gt;0,W$6=$H24),$G24,0)</f>
        <v>0</v>
      </c>
      <c r="X24" s="46" t="n">
        <f aca="false">IF(AND($G24&gt;0,X$6=$H24),$G24,0)</f>
        <v>0</v>
      </c>
      <c r="Y24" s="46" t="n">
        <f aca="false">IF(AND($G24&gt;0,Y$6=$H24),$G24,0)</f>
        <v>0</v>
      </c>
      <c r="Z24" s="46" t="n">
        <f aca="false">IF(AND($G24&gt;0,Z$6=$H24),$G24,0)</f>
        <v>0</v>
      </c>
      <c r="AA24" s="46" t="n">
        <f aca="false">IF(AND($G24&gt;0,AA$6=$H24),$G24,0)</f>
        <v>0</v>
      </c>
      <c r="AB24" s="46" t="n">
        <f aca="false">IF(AND($G24&gt;0,AB$6=$H24),$G24,0)</f>
        <v>0</v>
      </c>
      <c r="AC24" s="46" t="n">
        <f aca="false">IF(AND($G24&gt;0,AC$6=$H24),$G24,0)</f>
        <v>0</v>
      </c>
      <c r="AD24" s="46" t="n">
        <f aca="false">IF(AND($G24&gt;0,AD$6=$H24),$G24,0)</f>
        <v>0</v>
      </c>
      <c r="AE24" s="46" t="n">
        <f aca="false">IF(AND($G24&gt;0,AE$6=$H24),$G24,0)</f>
        <v>0</v>
      </c>
      <c r="AF24" s="46" t="n">
        <f aca="false">IF(AND($G24&gt;0,AF$6=$H24),$G24,0)</f>
        <v>0</v>
      </c>
      <c r="AG24" s="33" t="n">
        <f aca="false">$C24</f>
        <v>6.5</v>
      </c>
      <c r="AH24" s="33" t="n">
        <f aca="false">$C24</f>
        <v>6.5</v>
      </c>
      <c r="AI24" s="33" t="n">
        <f aca="false">$C24</f>
        <v>6.5</v>
      </c>
      <c r="AJ24" s="33" t="n">
        <f aca="false">$C24</f>
        <v>6.5</v>
      </c>
      <c r="AK24" s="33" t="n">
        <f aca="false">$C24</f>
        <v>6.5</v>
      </c>
      <c r="AL24" s="33" t="n">
        <f aca="false">$C24</f>
        <v>6.5</v>
      </c>
      <c r="AM24" s="33" t="n">
        <f aca="false">$C24</f>
        <v>6.5</v>
      </c>
      <c r="AN24" s="33" t="n">
        <f aca="false">$C24</f>
        <v>6.5</v>
      </c>
      <c r="AO24" s="33" t="n">
        <f aca="false">$C24</f>
        <v>6.5</v>
      </c>
      <c r="AP24" s="33" t="n">
        <f aca="false">$C24</f>
        <v>6.5</v>
      </c>
      <c r="AQ24" s="33" t="n">
        <f aca="false">$C24</f>
        <v>6.5</v>
      </c>
      <c r="AR24" s="33" t="n">
        <f aca="false">$C24</f>
        <v>6.5</v>
      </c>
      <c r="AS24" s="47" t="n">
        <f aca="false">$D24+I24+U24-AG24</f>
        <v>119.5</v>
      </c>
      <c r="AT24" s="47" t="n">
        <f aca="false">AS24+J24+V24-AH24</f>
        <v>113</v>
      </c>
      <c r="AU24" s="47" t="n">
        <f aca="false">AT24+K24+W24-AI24</f>
        <v>106.5</v>
      </c>
      <c r="AV24" s="47" t="n">
        <f aca="false">AU24+L24+X24-AJ24</f>
        <v>100</v>
      </c>
      <c r="AW24" s="47" t="n">
        <f aca="false">AV24+M24+Y24-AK24</f>
        <v>93.5</v>
      </c>
      <c r="AX24" s="47" t="n">
        <f aca="false">AW24+N24+Z24-AL24</f>
        <v>87</v>
      </c>
      <c r="AY24" s="47" t="n">
        <f aca="false">AX24+O24+AA24-AM24</f>
        <v>80.5</v>
      </c>
      <c r="AZ24" s="47" t="n">
        <f aca="false">AY24+P24+AB24-AN24</f>
        <v>74</v>
      </c>
      <c r="BA24" s="47" t="n">
        <f aca="false">AZ24+Q24+AC24-AO24</f>
        <v>67.5</v>
      </c>
      <c r="BB24" s="47" t="n">
        <f aca="false">BA24+R24+AD24-AP24</f>
        <v>61</v>
      </c>
      <c r="BC24" s="47" t="n">
        <f aca="false">BB24+S24+AE24-AQ24</f>
        <v>54.5</v>
      </c>
      <c r="BD24" s="47" t="n">
        <f aca="false">BC24+T24+AF24-AR24</f>
        <v>48</v>
      </c>
      <c r="BE24" s="46" t="n">
        <f aca="false">IF(AS24&lt;=0,1,0)</f>
        <v>0</v>
      </c>
      <c r="BF24" s="46" t="n">
        <f aca="false">IF(AT24&lt;=0,1,0)</f>
        <v>0</v>
      </c>
      <c r="BG24" s="46" t="n">
        <f aca="false">IF(AU24&lt;=0,1,0)</f>
        <v>0</v>
      </c>
      <c r="BH24" s="46" t="n">
        <f aca="false">IF(AV24&lt;=0,1,0)</f>
        <v>0</v>
      </c>
      <c r="BI24" s="46" t="n">
        <f aca="false">IF(AW24&lt;=0,1,0)</f>
        <v>0</v>
      </c>
      <c r="BJ24" s="46" t="n">
        <f aca="false">IF(AX24&lt;=0,1,0)</f>
        <v>0</v>
      </c>
      <c r="BK24" s="46" t="n">
        <f aca="false">IF(AY24&lt;=0,1,0)</f>
        <v>0</v>
      </c>
      <c r="BL24" s="46" t="n">
        <f aca="false">IF(AZ24&lt;=0,1,0)</f>
        <v>0</v>
      </c>
      <c r="BM24" s="46" t="n">
        <f aca="false">IF(BA24&lt;=0,1,0)</f>
        <v>0</v>
      </c>
      <c r="BN24" s="46" t="n">
        <f aca="false">IF(BB24&lt;=0,1,0)</f>
        <v>0</v>
      </c>
      <c r="BO24" s="46" t="n">
        <f aca="false">IF(BC24&lt;=0,1,0)</f>
        <v>0</v>
      </c>
      <c r="BP24" s="46" t="n">
        <f aca="false">IF(BD24&lt;=0,1,0)</f>
        <v>0</v>
      </c>
      <c r="BQ24" s="41" t="str">
        <f aca="false">IF(COUNTIF(BE24:BP24,1)=0,"None",MATCH(1,BE24:BP24,0))</f>
        <v>None</v>
      </c>
      <c r="BR24" s="12" t="str">
        <f aca="false">IF(COUNTIFS(BE$6:BP$6,"&lt;="&amp;$B24,BE24:BP24,1)&gt;0,"YES","NO")</f>
        <v>NO</v>
      </c>
      <c r="BS24" s="19" t="n">
        <f aca="false">MIN(AS24:BD24)</f>
        <v>48</v>
      </c>
    </row>
    <row r="25" customFormat="false" ht="15" hidden="false" customHeight="false" outlineLevel="0" collapsed="false">
      <c r="A25" s="11" t="str">
        <f aca="false">Replenishment_Plan!A25</f>
        <v>BTH-009</v>
      </c>
      <c r="B25" s="39" t="n">
        <f aca="false">Replenishment_Plan!K25</f>
        <v>3</v>
      </c>
      <c r="C25" s="35" t="n">
        <f aca="false">Replenishment_Plan!E25</f>
        <v>29.125</v>
      </c>
      <c r="D25" s="39" t="n">
        <f aca="false">Replenishment_Plan!O25-Replenishment_Plan!Q25</f>
        <v>100</v>
      </c>
      <c r="E25" s="39" t="n">
        <f aca="false">Replenishment_Plan!P25</f>
        <v>0</v>
      </c>
      <c r="F25" s="39" t="n">
        <f aca="false">Inputs!L58</f>
        <v>0</v>
      </c>
      <c r="G25" s="39" t="n">
        <f aca="false">Replenishment_Plan!AD25</f>
        <v>184</v>
      </c>
      <c r="H25" s="19" t="n">
        <f aca="false">IF(G25&gt;0,B25+1,"none")</f>
        <v>4</v>
      </c>
      <c r="I25" s="46" t="n">
        <f aca="false">IF(AND($E25&gt;0,I$6=$F25),$E25,0)</f>
        <v>0</v>
      </c>
      <c r="J25" s="46" t="n">
        <f aca="false">IF(AND($E25&gt;0,J$6=$F25),$E25,0)</f>
        <v>0</v>
      </c>
      <c r="K25" s="46" t="n">
        <f aca="false">IF(AND($E25&gt;0,K$6=$F25),$E25,0)</f>
        <v>0</v>
      </c>
      <c r="L25" s="46" t="n">
        <f aca="false">IF(AND($E25&gt;0,L$6=$F25),$E25,0)</f>
        <v>0</v>
      </c>
      <c r="M25" s="46" t="n">
        <f aca="false">IF(AND($E25&gt;0,M$6=$F25),$E25,0)</f>
        <v>0</v>
      </c>
      <c r="N25" s="46" t="n">
        <f aca="false">IF(AND($E25&gt;0,N$6=$F25),$E25,0)</f>
        <v>0</v>
      </c>
      <c r="O25" s="46" t="n">
        <f aca="false">IF(AND($E25&gt;0,O$6=$F25),$E25,0)</f>
        <v>0</v>
      </c>
      <c r="P25" s="46" t="n">
        <f aca="false">IF(AND($E25&gt;0,P$6=$F25),$E25,0)</f>
        <v>0</v>
      </c>
      <c r="Q25" s="46" t="n">
        <f aca="false">IF(AND($E25&gt;0,Q$6=$F25),$E25,0)</f>
        <v>0</v>
      </c>
      <c r="R25" s="46" t="n">
        <f aca="false">IF(AND($E25&gt;0,R$6=$F25),$E25,0)</f>
        <v>0</v>
      </c>
      <c r="S25" s="46" t="n">
        <f aca="false">IF(AND($E25&gt;0,S$6=$F25),$E25,0)</f>
        <v>0</v>
      </c>
      <c r="T25" s="46" t="n">
        <f aca="false">IF(AND($E25&gt;0,T$6=$F25),$E25,0)</f>
        <v>0</v>
      </c>
      <c r="U25" s="46" t="n">
        <f aca="false">IF(AND($G25&gt;0,U$6=$H25),$G25,0)</f>
        <v>0</v>
      </c>
      <c r="V25" s="46" t="n">
        <f aca="false">IF(AND($G25&gt;0,V$6=$H25),$G25,0)</f>
        <v>0</v>
      </c>
      <c r="W25" s="46" t="n">
        <f aca="false">IF(AND($G25&gt;0,W$6=$H25),$G25,0)</f>
        <v>0</v>
      </c>
      <c r="X25" s="46" t="n">
        <f aca="false">IF(AND($G25&gt;0,X$6=$H25),$G25,0)</f>
        <v>184</v>
      </c>
      <c r="Y25" s="46" t="n">
        <f aca="false">IF(AND($G25&gt;0,Y$6=$H25),$G25,0)</f>
        <v>0</v>
      </c>
      <c r="Z25" s="46" t="n">
        <f aca="false">IF(AND($G25&gt;0,Z$6=$H25),$G25,0)</f>
        <v>0</v>
      </c>
      <c r="AA25" s="46" t="n">
        <f aca="false">IF(AND($G25&gt;0,AA$6=$H25),$G25,0)</f>
        <v>0</v>
      </c>
      <c r="AB25" s="46" t="n">
        <f aca="false">IF(AND($G25&gt;0,AB$6=$H25),$G25,0)</f>
        <v>0</v>
      </c>
      <c r="AC25" s="46" t="n">
        <f aca="false">IF(AND($G25&gt;0,AC$6=$H25),$G25,0)</f>
        <v>0</v>
      </c>
      <c r="AD25" s="46" t="n">
        <f aca="false">IF(AND($G25&gt;0,AD$6=$H25),$G25,0)</f>
        <v>0</v>
      </c>
      <c r="AE25" s="46" t="n">
        <f aca="false">IF(AND($G25&gt;0,AE$6=$H25),$G25,0)</f>
        <v>0</v>
      </c>
      <c r="AF25" s="46" t="n">
        <f aca="false">IF(AND($G25&gt;0,AF$6=$H25),$G25,0)</f>
        <v>0</v>
      </c>
      <c r="AG25" s="33" t="n">
        <f aca="false">$C25</f>
        <v>29.125</v>
      </c>
      <c r="AH25" s="33" t="n">
        <f aca="false">$C25</f>
        <v>29.125</v>
      </c>
      <c r="AI25" s="33" t="n">
        <f aca="false">$C25</f>
        <v>29.125</v>
      </c>
      <c r="AJ25" s="33" t="n">
        <f aca="false">$C25</f>
        <v>29.125</v>
      </c>
      <c r="AK25" s="33" t="n">
        <f aca="false">$C25</f>
        <v>29.125</v>
      </c>
      <c r="AL25" s="33" t="n">
        <f aca="false">$C25</f>
        <v>29.125</v>
      </c>
      <c r="AM25" s="33" t="n">
        <f aca="false">$C25</f>
        <v>29.125</v>
      </c>
      <c r="AN25" s="33" t="n">
        <f aca="false">$C25</f>
        <v>29.125</v>
      </c>
      <c r="AO25" s="33" t="n">
        <f aca="false">$C25</f>
        <v>29.125</v>
      </c>
      <c r="AP25" s="33" t="n">
        <f aca="false">$C25</f>
        <v>29.125</v>
      </c>
      <c r="AQ25" s="33" t="n">
        <f aca="false">$C25</f>
        <v>29.125</v>
      </c>
      <c r="AR25" s="33" t="n">
        <f aca="false">$C25</f>
        <v>29.125</v>
      </c>
      <c r="AS25" s="47" t="n">
        <f aca="false">$D25+I25+U25-AG25</f>
        <v>70.875</v>
      </c>
      <c r="AT25" s="47" t="n">
        <f aca="false">AS25+J25+V25-AH25</f>
        <v>41.75</v>
      </c>
      <c r="AU25" s="47" t="n">
        <f aca="false">AT25+K25+W25-AI25</f>
        <v>12.625</v>
      </c>
      <c r="AV25" s="47" t="n">
        <f aca="false">AU25+L25+X25-AJ25</f>
        <v>167.5</v>
      </c>
      <c r="AW25" s="47" t="n">
        <f aca="false">AV25+M25+Y25-AK25</f>
        <v>138.375</v>
      </c>
      <c r="AX25" s="47" t="n">
        <f aca="false">AW25+N25+Z25-AL25</f>
        <v>109.25</v>
      </c>
      <c r="AY25" s="47" t="n">
        <f aca="false">AX25+O25+AA25-AM25</f>
        <v>80.125</v>
      </c>
      <c r="AZ25" s="47" t="n">
        <f aca="false">AY25+P25+AB25-AN25</f>
        <v>51</v>
      </c>
      <c r="BA25" s="47" t="n">
        <f aca="false">AZ25+Q25+AC25-AO25</f>
        <v>21.875</v>
      </c>
      <c r="BB25" s="47" t="n">
        <f aca="false">BA25+R25+AD25-AP25</f>
        <v>-7.25</v>
      </c>
      <c r="BC25" s="47" t="n">
        <f aca="false">BB25+S25+AE25-AQ25</f>
        <v>-36.375</v>
      </c>
      <c r="BD25" s="47" t="n">
        <f aca="false">BC25+T25+AF25-AR25</f>
        <v>-65.5</v>
      </c>
      <c r="BE25" s="46" t="n">
        <f aca="false">IF(AS25&lt;=0,1,0)</f>
        <v>0</v>
      </c>
      <c r="BF25" s="46" t="n">
        <f aca="false">IF(AT25&lt;=0,1,0)</f>
        <v>0</v>
      </c>
      <c r="BG25" s="46" t="n">
        <f aca="false">IF(AU25&lt;=0,1,0)</f>
        <v>0</v>
      </c>
      <c r="BH25" s="46" t="n">
        <f aca="false">IF(AV25&lt;=0,1,0)</f>
        <v>0</v>
      </c>
      <c r="BI25" s="46" t="n">
        <f aca="false">IF(AW25&lt;=0,1,0)</f>
        <v>0</v>
      </c>
      <c r="BJ25" s="46" t="n">
        <f aca="false">IF(AX25&lt;=0,1,0)</f>
        <v>0</v>
      </c>
      <c r="BK25" s="46" t="n">
        <f aca="false">IF(AY25&lt;=0,1,0)</f>
        <v>0</v>
      </c>
      <c r="BL25" s="46" t="n">
        <f aca="false">IF(AZ25&lt;=0,1,0)</f>
        <v>0</v>
      </c>
      <c r="BM25" s="46" t="n">
        <f aca="false">IF(BA25&lt;=0,1,0)</f>
        <v>0</v>
      </c>
      <c r="BN25" s="46" t="n">
        <f aca="false">IF(BB25&lt;=0,1,0)</f>
        <v>1</v>
      </c>
      <c r="BO25" s="46" t="n">
        <f aca="false">IF(BC25&lt;=0,1,0)</f>
        <v>1</v>
      </c>
      <c r="BP25" s="46" t="n">
        <f aca="false">IF(BD25&lt;=0,1,0)</f>
        <v>1</v>
      </c>
      <c r="BQ25" s="41" t="n">
        <f aca="false">IF(COUNTIF(BE25:BP25,1)=0,"None",MATCH(1,BE25:BP25,0))</f>
        <v>10</v>
      </c>
      <c r="BR25" s="12" t="str">
        <f aca="false">IF(COUNTIFS(BE$6:BP$6,"&lt;="&amp;$B25,BE25:BP25,1)&gt;0,"YES","NO")</f>
        <v>NO</v>
      </c>
      <c r="BS25" s="19" t="n">
        <f aca="false">MIN(AS25:BD25)</f>
        <v>-65.5</v>
      </c>
    </row>
    <row r="26" customFormat="false" ht="15" hidden="false" customHeight="false" outlineLevel="0" collapsed="false">
      <c r="A26" s="11" t="str">
        <f aca="false">Replenishment_Plan!A26</f>
        <v>BTH-010</v>
      </c>
      <c r="B26" s="39" t="n">
        <f aca="false">Replenishment_Plan!K26</f>
        <v>3</v>
      </c>
      <c r="C26" s="35" t="n">
        <f aca="false">Replenishment_Plan!E26</f>
        <v>77.5</v>
      </c>
      <c r="D26" s="39" t="n">
        <f aca="false">Replenishment_Plan!O26-Replenishment_Plan!Q26</f>
        <v>81</v>
      </c>
      <c r="E26" s="39" t="n">
        <f aca="false">Replenishment_Plan!P26</f>
        <v>100</v>
      </c>
      <c r="F26" s="39" t="n">
        <f aca="false">Inputs!L59</f>
        <v>3</v>
      </c>
      <c r="G26" s="39" t="n">
        <f aca="false">Replenishment_Plan!AD26</f>
        <v>460</v>
      </c>
      <c r="H26" s="19" t="n">
        <f aca="false">IF(G26&gt;0,B26+1,"none")</f>
        <v>4</v>
      </c>
      <c r="I26" s="46" t="n">
        <f aca="false">IF(AND($E26&gt;0,I$6=$F26),$E26,0)</f>
        <v>0</v>
      </c>
      <c r="J26" s="46" t="n">
        <f aca="false">IF(AND($E26&gt;0,J$6=$F26),$E26,0)</f>
        <v>0</v>
      </c>
      <c r="K26" s="46" t="n">
        <f aca="false">IF(AND($E26&gt;0,K$6=$F26),$E26,0)</f>
        <v>100</v>
      </c>
      <c r="L26" s="46" t="n">
        <f aca="false">IF(AND($E26&gt;0,L$6=$F26),$E26,0)</f>
        <v>0</v>
      </c>
      <c r="M26" s="46" t="n">
        <f aca="false">IF(AND($E26&gt;0,M$6=$F26),$E26,0)</f>
        <v>0</v>
      </c>
      <c r="N26" s="46" t="n">
        <f aca="false">IF(AND($E26&gt;0,N$6=$F26),$E26,0)</f>
        <v>0</v>
      </c>
      <c r="O26" s="46" t="n">
        <f aca="false">IF(AND($E26&gt;0,O$6=$F26),$E26,0)</f>
        <v>0</v>
      </c>
      <c r="P26" s="46" t="n">
        <f aca="false">IF(AND($E26&gt;0,P$6=$F26),$E26,0)</f>
        <v>0</v>
      </c>
      <c r="Q26" s="46" t="n">
        <f aca="false">IF(AND($E26&gt;0,Q$6=$F26),$E26,0)</f>
        <v>0</v>
      </c>
      <c r="R26" s="46" t="n">
        <f aca="false">IF(AND($E26&gt;0,R$6=$F26),$E26,0)</f>
        <v>0</v>
      </c>
      <c r="S26" s="46" t="n">
        <f aca="false">IF(AND($E26&gt;0,S$6=$F26),$E26,0)</f>
        <v>0</v>
      </c>
      <c r="T26" s="46" t="n">
        <f aca="false">IF(AND($E26&gt;0,T$6=$F26),$E26,0)</f>
        <v>0</v>
      </c>
      <c r="U26" s="46" t="n">
        <f aca="false">IF(AND($G26&gt;0,U$6=$H26),$G26,0)</f>
        <v>0</v>
      </c>
      <c r="V26" s="46" t="n">
        <f aca="false">IF(AND($G26&gt;0,V$6=$H26),$G26,0)</f>
        <v>0</v>
      </c>
      <c r="W26" s="46" t="n">
        <f aca="false">IF(AND($G26&gt;0,W$6=$H26),$G26,0)</f>
        <v>0</v>
      </c>
      <c r="X26" s="46" t="n">
        <f aca="false">IF(AND($G26&gt;0,X$6=$H26),$G26,0)</f>
        <v>460</v>
      </c>
      <c r="Y26" s="46" t="n">
        <f aca="false">IF(AND($G26&gt;0,Y$6=$H26),$G26,0)</f>
        <v>0</v>
      </c>
      <c r="Z26" s="46" t="n">
        <f aca="false">IF(AND($G26&gt;0,Z$6=$H26),$G26,0)</f>
        <v>0</v>
      </c>
      <c r="AA26" s="46" t="n">
        <f aca="false">IF(AND($G26&gt;0,AA$6=$H26),$G26,0)</f>
        <v>0</v>
      </c>
      <c r="AB26" s="46" t="n">
        <f aca="false">IF(AND($G26&gt;0,AB$6=$H26),$G26,0)</f>
        <v>0</v>
      </c>
      <c r="AC26" s="46" t="n">
        <f aca="false">IF(AND($G26&gt;0,AC$6=$H26),$G26,0)</f>
        <v>0</v>
      </c>
      <c r="AD26" s="46" t="n">
        <f aca="false">IF(AND($G26&gt;0,AD$6=$H26),$G26,0)</f>
        <v>0</v>
      </c>
      <c r="AE26" s="46" t="n">
        <f aca="false">IF(AND($G26&gt;0,AE$6=$H26),$G26,0)</f>
        <v>0</v>
      </c>
      <c r="AF26" s="46" t="n">
        <f aca="false">IF(AND($G26&gt;0,AF$6=$H26),$G26,0)</f>
        <v>0</v>
      </c>
      <c r="AG26" s="33" t="n">
        <f aca="false">$C26</f>
        <v>77.5</v>
      </c>
      <c r="AH26" s="33" t="n">
        <f aca="false">$C26</f>
        <v>77.5</v>
      </c>
      <c r="AI26" s="33" t="n">
        <f aca="false">$C26</f>
        <v>77.5</v>
      </c>
      <c r="AJ26" s="33" t="n">
        <f aca="false">$C26</f>
        <v>77.5</v>
      </c>
      <c r="AK26" s="33" t="n">
        <f aca="false">$C26</f>
        <v>77.5</v>
      </c>
      <c r="AL26" s="33" t="n">
        <f aca="false">$C26</f>
        <v>77.5</v>
      </c>
      <c r="AM26" s="33" t="n">
        <f aca="false">$C26</f>
        <v>77.5</v>
      </c>
      <c r="AN26" s="33" t="n">
        <f aca="false">$C26</f>
        <v>77.5</v>
      </c>
      <c r="AO26" s="33" t="n">
        <f aca="false">$C26</f>
        <v>77.5</v>
      </c>
      <c r="AP26" s="33" t="n">
        <f aca="false">$C26</f>
        <v>77.5</v>
      </c>
      <c r="AQ26" s="33" t="n">
        <f aca="false">$C26</f>
        <v>77.5</v>
      </c>
      <c r="AR26" s="33" t="n">
        <f aca="false">$C26</f>
        <v>77.5</v>
      </c>
      <c r="AS26" s="47" t="n">
        <f aca="false">$D26+I26+U26-AG26</f>
        <v>3.5</v>
      </c>
      <c r="AT26" s="47" t="n">
        <f aca="false">AS26+J26+V26-AH26</f>
        <v>-74</v>
      </c>
      <c r="AU26" s="47" t="n">
        <f aca="false">AT26+K26+W26-AI26</f>
        <v>-51.5</v>
      </c>
      <c r="AV26" s="47" t="n">
        <f aca="false">AU26+L26+X26-AJ26</f>
        <v>331</v>
      </c>
      <c r="AW26" s="47" t="n">
        <f aca="false">AV26+M26+Y26-AK26</f>
        <v>253.5</v>
      </c>
      <c r="AX26" s="47" t="n">
        <f aca="false">AW26+N26+Z26-AL26</f>
        <v>176</v>
      </c>
      <c r="AY26" s="47" t="n">
        <f aca="false">AX26+O26+AA26-AM26</f>
        <v>98.5</v>
      </c>
      <c r="AZ26" s="47" t="n">
        <f aca="false">AY26+P26+AB26-AN26</f>
        <v>21</v>
      </c>
      <c r="BA26" s="47" t="n">
        <f aca="false">AZ26+Q26+AC26-AO26</f>
        <v>-56.5</v>
      </c>
      <c r="BB26" s="47" t="n">
        <f aca="false">BA26+R26+AD26-AP26</f>
        <v>-134</v>
      </c>
      <c r="BC26" s="47" t="n">
        <f aca="false">BB26+S26+AE26-AQ26</f>
        <v>-211.5</v>
      </c>
      <c r="BD26" s="47" t="n">
        <f aca="false">BC26+T26+AF26-AR26</f>
        <v>-289</v>
      </c>
      <c r="BE26" s="46" t="n">
        <f aca="false">IF(AS26&lt;=0,1,0)</f>
        <v>0</v>
      </c>
      <c r="BF26" s="46" t="n">
        <f aca="false">IF(AT26&lt;=0,1,0)</f>
        <v>1</v>
      </c>
      <c r="BG26" s="46" t="n">
        <f aca="false">IF(AU26&lt;=0,1,0)</f>
        <v>1</v>
      </c>
      <c r="BH26" s="46" t="n">
        <f aca="false">IF(AV26&lt;=0,1,0)</f>
        <v>0</v>
      </c>
      <c r="BI26" s="46" t="n">
        <f aca="false">IF(AW26&lt;=0,1,0)</f>
        <v>0</v>
      </c>
      <c r="BJ26" s="46" t="n">
        <f aca="false">IF(AX26&lt;=0,1,0)</f>
        <v>0</v>
      </c>
      <c r="BK26" s="46" t="n">
        <f aca="false">IF(AY26&lt;=0,1,0)</f>
        <v>0</v>
      </c>
      <c r="BL26" s="46" t="n">
        <f aca="false">IF(AZ26&lt;=0,1,0)</f>
        <v>0</v>
      </c>
      <c r="BM26" s="46" t="n">
        <f aca="false">IF(BA26&lt;=0,1,0)</f>
        <v>1</v>
      </c>
      <c r="BN26" s="46" t="n">
        <f aca="false">IF(BB26&lt;=0,1,0)</f>
        <v>1</v>
      </c>
      <c r="BO26" s="46" t="n">
        <f aca="false">IF(BC26&lt;=0,1,0)</f>
        <v>1</v>
      </c>
      <c r="BP26" s="46" t="n">
        <f aca="false">IF(BD26&lt;=0,1,0)</f>
        <v>1</v>
      </c>
      <c r="BQ26" s="41" t="n">
        <f aca="false">IF(COUNTIF(BE26:BP26,1)=0,"None",MATCH(1,BE26:BP26,0))</f>
        <v>2</v>
      </c>
      <c r="BR26" s="12" t="str">
        <f aca="false">IF(COUNTIFS(BE$6:BP$6,"&lt;="&amp;$B26,BE26:BP26,1)&gt;0,"YES","NO")</f>
        <v>YES</v>
      </c>
      <c r="BS26" s="19" t="n">
        <f aca="false">MIN(AS26:BD26)</f>
        <v>-289</v>
      </c>
    </row>
    <row r="27" customFormat="false" ht="15" hidden="false" customHeight="false" outlineLevel="0" collapsed="false">
      <c r="A27" s="11" t="str">
        <f aca="false">Replenishment_Plan!A27</f>
        <v>BED-001</v>
      </c>
      <c r="B27" s="39" t="n">
        <f aca="false">Replenishment_Plan!K27</f>
        <v>4</v>
      </c>
      <c r="C27" s="35" t="n">
        <f aca="false">Replenishment_Plan!E27</f>
        <v>38</v>
      </c>
      <c r="D27" s="39" t="n">
        <f aca="false">Replenishment_Plan!O27-Replenishment_Plan!Q27</f>
        <v>116</v>
      </c>
      <c r="E27" s="39" t="n">
        <f aca="false">Replenishment_Plan!P27</f>
        <v>156</v>
      </c>
      <c r="F27" s="39" t="n">
        <f aca="false">Inputs!L60</f>
        <v>1</v>
      </c>
      <c r="G27" s="39" t="n">
        <f aca="false">Replenishment_Plan!AD27</f>
        <v>0</v>
      </c>
      <c r="H27" s="19" t="str">
        <f aca="false">IF(G27&gt;0,B27+1,"none")</f>
        <v>none</v>
      </c>
      <c r="I27" s="46" t="n">
        <f aca="false">IF(AND($E27&gt;0,I$6=$F27),$E27,0)</f>
        <v>156</v>
      </c>
      <c r="J27" s="46" t="n">
        <f aca="false">IF(AND($E27&gt;0,J$6=$F27),$E27,0)</f>
        <v>0</v>
      </c>
      <c r="K27" s="46" t="n">
        <f aca="false">IF(AND($E27&gt;0,K$6=$F27),$E27,0)</f>
        <v>0</v>
      </c>
      <c r="L27" s="46" t="n">
        <f aca="false">IF(AND($E27&gt;0,L$6=$F27),$E27,0)</f>
        <v>0</v>
      </c>
      <c r="M27" s="46" t="n">
        <f aca="false">IF(AND($E27&gt;0,M$6=$F27),$E27,0)</f>
        <v>0</v>
      </c>
      <c r="N27" s="46" t="n">
        <f aca="false">IF(AND($E27&gt;0,N$6=$F27),$E27,0)</f>
        <v>0</v>
      </c>
      <c r="O27" s="46" t="n">
        <f aca="false">IF(AND($E27&gt;0,O$6=$F27),$E27,0)</f>
        <v>0</v>
      </c>
      <c r="P27" s="46" t="n">
        <f aca="false">IF(AND($E27&gt;0,P$6=$F27),$E27,0)</f>
        <v>0</v>
      </c>
      <c r="Q27" s="46" t="n">
        <f aca="false">IF(AND($E27&gt;0,Q$6=$F27),$E27,0)</f>
        <v>0</v>
      </c>
      <c r="R27" s="46" t="n">
        <f aca="false">IF(AND($E27&gt;0,R$6=$F27),$E27,0)</f>
        <v>0</v>
      </c>
      <c r="S27" s="46" t="n">
        <f aca="false">IF(AND($E27&gt;0,S$6=$F27),$E27,0)</f>
        <v>0</v>
      </c>
      <c r="T27" s="46" t="n">
        <f aca="false">IF(AND($E27&gt;0,T$6=$F27),$E27,0)</f>
        <v>0</v>
      </c>
      <c r="U27" s="46" t="n">
        <f aca="false">IF(AND($G27&gt;0,U$6=$H27),$G27,0)</f>
        <v>0</v>
      </c>
      <c r="V27" s="46" t="n">
        <f aca="false">IF(AND($G27&gt;0,V$6=$H27),$G27,0)</f>
        <v>0</v>
      </c>
      <c r="W27" s="46" t="n">
        <f aca="false">IF(AND($G27&gt;0,W$6=$H27),$G27,0)</f>
        <v>0</v>
      </c>
      <c r="X27" s="46" t="n">
        <f aca="false">IF(AND($G27&gt;0,X$6=$H27),$G27,0)</f>
        <v>0</v>
      </c>
      <c r="Y27" s="46" t="n">
        <f aca="false">IF(AND($G27&gt;0,Y$6=$H27),$G27,0)</f>
        <v>0</v>
      </c>
      <c r="Z27" s="46" t="n">
        <f aca="false">IF(AND($G27&gt;0,Z$6=$H27),$G27,0)</f>
        <v>0</v>
      </c>
      <c r="AA27" s="46" t="n">
        <f aca="false">IF(AND($G27&gt;0,AA$6=$H27),$G27,0)</f>
        <v>0</v>
      </c>
      <c r="AB27" s="46" t="n">
        <f aca="false">IF(AND($G27&gt;0,AB$6=$H27),$G27,0)</f>
        <v>0</v>
      </c>
      <c r="AC27" s="46" t="n">
        <f aca="false">IF(AND($G27&gt;0,AC$6=$H27),$G27,0)</f>
        <v>0</v>
      </c>
      <c r="AD27" s="46" t="n">
        <f aca="false">IF(AND($G27&gt;0,AD$6=$H27),$G27,0)</f>
        <v>0</v>
      </c>
      <c r="AE27" s="46" t="n">
        <f aca="false">IF(AND($G27&gt;0,AE$6=$H27),$G27,0)</f>
        <v>0</v>
      </c>
      <c r="AF27" s="46" t="n">
        <f aca="false">IF(AND($G27&gt;0,AF$6=$H27),$G27,0)</f>
        <v>0</v>
      </c>
      <c r="AG27" s="33" t="n">
        <f aca="false">$C27</f>
        <v>38</v>
      </c>
      <c r="AH27" s="33" t="n">
        <f aca="false">$C27</f>
        <v>38</v>
      </c>
      <c r="AI27" s="33" t="n">
        <f aca="false">$C27</f>
        <v>38</v>
      </c>
      <c r="AJ27" s="33" t="n">
        <f aca="false">$C27</f>
        <v>38</v>
      </c>
      <c r="AK27" s="33" t="n">
        <f aca="false">$C27</f>
        <v>38</v>
      </c>
      <c r="AL27" s="33" t="n">
        <f aca="false">$C27</f>
        <v>38</v>
      </c>
      <c r="AM27" s="33" t="n">
        <f aca="false">$C27</f>
        <v>38</v>
      </c>
      <c r="AN27" s="33" t="n">
        <f aca="false">$C27</f>
        <v>38</v>
      </c>
      <c r="AO27" s="33" t="n">
        <f aca="false">$C27</f>
        <v>38</v>
      </c>
      <c r="AP27" s="33" t="n">
        <f aca="false">$C27</f>
        <v>38</v>
      </c>
      <c r="AQ27" s="33" t="n">
        <f aca="false">$C27</f>
        <v>38</v>
      </c>
      <c r="AR27" s="33" t="n">
        <f aca="false">$C27</f>
        <v>38</v>
      </c>
      <c r="AS27" s="47" t="n">
        <f aca="false">$D27+I27+U27-AG27</f>
        <v>234</v>
      </c>
      <c r="AT27" s="47" t="n">
        <f aca="false">AS27+J27+V27-AH27</f>
        <v>196</v>
      </c>
      <c r="AU27" s="47" t="n">
        <f aca="false">AT27+K27+W27-AI27</f>
        <v>158</v>
      </c>
      <c r="AV27" s="47" t="n">
        <f aca="false">AU27+L27+X27-AJ27</f>
        <v>120</v>
      </c>
      <c r="AW27" s="47" t="n">
        <f aca="false">AV27+M27+Y27-AK27</f>
        <v>82</v>
      </c>
      <c r="AX27" s="47" t="n">
        <f aca="false">AW27+N27+Z27-AL27</f>
        <v>44</v>
      </c>
      <c r="AY27" s="47" t="n">
        <f aca="false">AX27+O27+AA27-AM27</f>
        <v>6</v>
      </c>
      <c r="AZ27" s="47" t="n">
        <f aca="false">AY27+P27+AB27-AN27</f>
        <v>-32</v>
      </c>
      <c r="BA27" s="47" t="n">
        <f aca="false">AZ27+Q27+AC27-AO27</f>
        <v>-70</v>
      </c>
      <c r="BB27" s="47" t="n">
        <f aca="false">BA27+R27+AD27-AP27</f>
        <v>-108</v>
      </c>
      <c r="BC27" s="47" t="n">
        <f aca="false">BB27+S27+AE27-AQ27</f>
        <v>-146</v>
      </c>
      <c r="BD27" s="47" t="n">
        <f aca="false">BC27+T27+AF27-AR27</f>
        <v>-184</v>
      </c>
      <c r="BE27" s="46" t="n">
        <f aca="false">IF(AS27&lt;=0,1,0)</f>
        <v>0</v>
      </c>
      <c r="BF27" s="46" t="n">
        <f aca="false">IF(AT27&lt;=0,1,0)</f>
        <v>0</v>
      </c>
      <c r="BG27" s="46" t="n">
        <f aca="false">IF(AU27&lt;=0,1,0)</f>
        <v>0</v>
      </c>
      <c r="BH27" s="46" t="n">
        <f aca="false">IF(AV27&lt;=0,1,0)</f>
        <v>0</v>
      </c>
      <c r="BI27" s="46" t="n">
        <f aca="false">IF(AW27&lt;=0,1,0)</f>
        <v>0</v>
      </c>
      <c r="BJ27" s="46" t="n">
        <f aca="false">IF(AX27&lt;=0,1,0)</f>
        <v>0</v>
      </c>
      <c r="BK27" s="46" t="n">
        <f aca="false">IF(AY27&lt;=0,1,0)</f>
        <v>0</v>
      </c>
      <c r="BL27" s="46" t="n">
        <f aca="false">IF(AZ27&lt;=0,1,0)</f>
        <v>1</v>
      </c>
      <c r="BM27" s="46" t="n">
        <f aca="false">IF(BA27&lt;=0,1,0)</f>
        <v>1</v>
      </c>
      <c r="BN27" s="46" t="n">
        <f aca="false">IF(BB27&lt;=0,1,0)</f>
        <v>1</v>
      </c>
      <c r="BO27" s="46" t="n">
        <f aca="false">IF(BC27&lt;=0,1,0)</f>
        <v>1</v>
      </c>
      <c r="BP27" s="46" t="n">
        <f aca="false">IF(BD27&lt;=0,1,0)</f>
        <v>1</v>
      </c>
      <c r="BQ27" s="41" t="n">
        <f aca="false">IF(COUNTIF(BE27:BP27,1)=0,"None",MATCH(1,BE27:BP27,0))</f>
        <v>8</v>
      </c>
      <c r="BR27" s="12" t="str">
        <f aca="false">IF(COUNTIFS(BE$6:BP$6,"&lt;="&amp;$B27,BE27:BP27,1)&gt;0,"YES","NO")</f>
        <v>NO</v>
      </c>
      <c r="BS27" s="19" t="n">
        <f aca="false">MIN(AS27:BD27)</f>
        <v>-184</v>
      </c>
    </row>
    <row r="28" customFormat="false" ht="15" hidden="false" customHeight="false" outlineLevel="0" collapsed="false">
      <c r="A28" s="11" t="str">
        <f aca="false">Replenishment_Plan!A28</f>
        <v>BED-002</v>
      </c>
      <c r="B28" s="39" t="n">
        <f aca="false">Replenishment_Plan!K28</f>
        <v>4</v>
      </c>
      <c r="C28" s="35" t="n">
        <f aca="false">Replenishment_Plan!E28</f>
        <v>78.625</v>
      </c>
      <c r="D28" s="39" t="n">
        <f aca="false">Replenishment_Plan!O28-Replenishment_Plan!Q28</f>
        <v>350</v>
      </c>
      <c r="E28" s="39" t="n">
        <f aca="false">Replenishment_Plan!P28</f>
        <v>408</v>
      </c>
      <c r="F28" s="39" t="n">
        <f aca="false">Inputs!L61</f>
        <v>1</v>
      </c>
      <c r="G28" s="39" t="n">
        <f aca="false">Replenishment_Plan!AD28</f>
        <v>0</v>
      </c>
      <c r="H28" s="19" t="str">
        <f aca="false">IF(G28&gt;0,B28+1,"none")</f>
        <v>none</v>
      </c>
      <c r="I28" s="46" t="n">
        <f aca="false">IF(AND($E28&gt;0,I$6=$F28),$E28,0)</f>
        <v>408</v>
      </c>
      <c r="J28" s="46" t="n">
        <f aca="false">IF(AND($E28&gt;0,J$6=$F28),$E28,0)</f>
        <v>0</v>
      </c>
      <c r="K28" s="46" t="n">
        <f aca="false">IF(AND($E28&gt;0,K$6=$F28),$E28,0)</f>
        <v>0</v>
      </c>
      <c r="L28" s="46" t="n">
        <f aca="false">IF(AND($E28&gt;0,L$6=$F28),$E28,0)</f>
        <v>0</v>
      </c>
      <c r="M28" s="46" t="n">
        <f aca="false">IF(AND($E28&gt;0,M$6=$F28),$E28,0)</f>
        <v>0</v>
      </c>
      <c r="N28" s="46" t="n">
        <f aca="false">IF(AND($E28&gt;0,N$6=$F28),$E28,0)</f>
        <v>0</v>
      </c>
      <c r="O28" s="46" t="n">
        <f aca="false">IF(AND($E28&gt;0,O$6=$F28),$E28,0)</f>
        <v>0</v>
      </c>
      <c r="P28" s="46" t="n">
        <f aca="false">IF(AND($E28&gt;0,P$6=$F28),$E28,0)</f>
        <v>0</v>
      </c>
      <c r="Q28" s="46" t="n">
        <f aca="false">IF(AND($E28&gt;0,Q$6=$F28),$E28,0)</f>
        <v>0</v>
      </c>
      <c r="R28" s="46" t="n">
        <f aca="false">IF(AND($E28&gt;0,R$6=$F28),$E28,0)</f>
        <v>0</v>
      </c>
      <c r="S28" s="46" t="n">
        <f aca="false">IF(AND($E28&gt;0,S$6=$F28),$E28,0)</f>
        <v>0</v>
      </c>
      <c r="T28" s="46" t="n">
        <f aca="false">IF(AND($E28&gt;0,T$6=$F28),$E28,0)</f>
        <v>0</v>
      </c>
      <c r="U28" s="46" t="n">
        <f aca="false">IF(AND($G28&gt;0,U$6=$H28),$G28,0)</f>
        <v>0</v>
      </c>
      <c r="V28" s="46" t="n">
        <f aca="false">IF(AND($G28&gt;0,V$6=$H28),$G28,0)</f>
        <v>0</v>
      </c>
      <c r="W28" s="46" t="n">
        <f aca="false">IF(AND($G28&gt;0,W$6=$H28),$G28,0)</f>
        <v>0</v>
      </c>
      <c r="X28" s="46" t="n">
        <f aca="false">IF(AND($G28&gt;0,X$6=$H28),$G28,0)</f>
        <v>0</v>
      </c>
      <c r="Y28" s="46" t="n">
        <f aca="false">IF(AND($G28&gt;0,Y$6=$H28),$G28,0)</f>
        <v>0</v>
      </c>
      <c r="Z28" s="46" t="n">
        <f aca="false">IF(AND($G28&gt;0,Z$6=$H28),$G28,0)</f>
        <v>0</v>
      </c>
      <c r="AA28" s="46" t="n">
        <f aca="false">IF(AND($G28&gt;0,AA$6=$H28),$G28,0)</f>
        <v>0</v>
      </c>
      <c r="AB28" s="46" t="n">
        <f aca="false">IF(AND($G28&gt;0,AB$6=$H28),$G28,0)</f>
        <v>0</v>
      </c>
      <c r="AC28" s="46" t="n">
        <f aca="false">IF(AND($G28&gt;0,AC$6=$H28),$G28,0)</f>
        <v>0</v>
      </c>
      <c r="AD28" s="46" t="n">
        <f aca="false">IF(AND($G28&gt;0,AD$6=$H28),$G28,0)</f>
        <v>0</v>
      </c>
      <c r="AE28" s="46" t="n">
        <f aca="false">IF(AND($G28&gt;0,AE$6=$H28),$G28,0)</f>
        <v>0</v>
      </c>
      <c r="AF28" s="46" t="n">
        <f aca="false">IF(AND($G28&gt;0,AF$6=$H28),$G28,0)</f>
        <v>0</v>
      </c>
      <c r="AG28" s="33" t="n">
        <f aca="false">$C28</f>
        <v>78.625</v>
      </c>
      <c r="AH28" s="33" t="n">
        <f aca="false">$C28</f>
        <v>78.625</v>
      </c>
      <c r="AI28" s="33" t="n">
        <f aca="false">$C28</f>
        <v>78.625</v>
      </c>
      <c r="AJ28" s="33" t="n">
        <f aca="false">$C28</f>
        <v>78.625</v>
      </c>
      <c r="AK28" s="33" t="n">
        <f aca="false">$C28</f>
        <v>78.625</v>
      </c>
      <c r="AL28" s="33" t="n">
        <f aca="false">$C28</f>
        <v>78.625</v>
      </c>
      <c r="AM28" s="33" t="n">
        <f aca="false">$C28</f>
        <v>78.625</v>
      </c>
      <c r="AN28" s="33" t="n">
        <f aca="false">$C28</f>
        <v>78.625</v>
      </c>
      <c r="AO28" s="33" t="n">
        <f aca="false">$C28</f>
        <v>78.625</v>
      </c>
      <c r="AP28" s="33" t="n">
        <f aca="false">$C28</f>
        <v>78.625</v>
      </c>
      <c r="AQ28" s="33" t="n">
        <f aca="false">$C28</f>
        <v>78.625</v>
      </c>
      <c r="AR28" s="33" t="n">
        <f aca="false">$C28</f>
        <v>78.625</v>
      </c>
      <c r="AS28" s="47" t="n">
        <f aca="false">$D28+I28+U28-AG28</f>
        <v>679.375</v>
      </c>
      <c r="AT28" s="47" t="n">
        <f aca="false">AS28+J28+V28-AH28</f>
        <v>600.75</v>
      </c>
      <c r="AU28" s="47" t="n">
        <f aca="false">AT28+K28+W28-AI28</f>
        <v>522.125</v>
      </c>
      <c r="AV28" s="47" t="n">
        <f aca="false">AU28+L28+X28-AJ28</f>
        <v>443.5</v>
      </c>
      <c r="AW28" s="47" t="n">
        <f aca="false">AV28+M28+Y28-AK28</f>
        <v>364.875</v>
      </c>
      <c r="AX28" s="47" t="n">
        <f aca="false">AW28+N28+Z28-AL28</f>
        <v>286.25</v>
      </c>
      <c r="AY28" s="47" t="n">
        <f aca="false">AX28+O28+AA28-AM28</f>
        <v>207.625</v>
      </c>
      <c r="AZ28" s="47" t="n">
        <f aca="false">AY28+P28+AB28-AN28</f>
        <v>129</v>
      </c>
      <c r="BA28" s="47" t="n">
        <f aca="false">AZ28+Q28+AC28-AO28</f>
        <v>50.375</v>
      </c>
      <c r="BB28" s="47" t="n">
        <f aca="false">BA28+R28+AD28-AP28</f>
        <v>-28.25</v>
      </c>
      <c r="BC28" s="47" t="n">
        <f aca="false">BB28+S28+AE28-AQ28</f>
        <v>-106.875</v>
      </c>
      <c r="BD28" s="47" t="n">
        <f aca="false">BC28+T28+AF28-AR28</f>
        <v>-185.5</v>
      </c>
      <c r="BE28" s="46" t="n">
        <f aca="false">IF(AS28&lt;=0,1,0)</f>
        <v>0</v>
      </c>
      <c r="BF28" s="46" t="n">
        <f aca="false">IF(AT28&lt;=0,1,0)</f>
        <v>0</v>
      </c>
      <c r="BG28" s="46" t="n">
        <f aca="false">IF(AU28&lt;=0,1,0)</f>
        <v>0</v>
      </c>
      <c r="BH28" s="46" t="n">
        <f aca="false">IF(AV28&lt;=0,1,0)</f>
        <v>0</v>
      </c>
      <c r="BI28" s="46" t="n">
        <f aca="false">IF(AW28&lt;=0,1,0)</f>
        <v>0</v>
      </c>
      <c r="BJ28" s="46" t="n">
        <f aca="false">IF(AX28&lt;=0,1,0)</f>
        <v>0</v>
      </c>
      <c r="BK28" s="46" t="n">
        <f aca="false">IF(AY28&lt;=0,1,0)</f>
        <v>0</v>
      </c>
      <c r="BL28" s="46" t="n">
        <f aca="false">IF(AZ28&lt;=0,1,0)</f>
        <v>0</v>
      </c>
      <c r="BM28" s="46" t="n">
        <f aca="false">IF(BA28&lt;=0,1,0)</f>
        <v>0</v>
      </c>
      <c r="BN28" s="46" t="n">
        <f aca="false">IF(BB28&lt;=0,1,0)</f>
        <v>1</v>
      </c>
      <c r="BO28" s="46" t="n">
        <f aca="false">IF(BC28&lt;=0,1,0)</f>
        <v>1</v>
      </c>
      <c r="BP28" s="46" t="n">
        <f aca="false">IF(BD28&lt;=0,1,0)</f>
        <v>1</v>
      </c>
      <c r="BQ28" s="41" t="n">
        <f aca="false">IF(COUNTIF(BE28:BP28,1)=0,"None",MATCH(1,BE28:BP28,0))</f>
        <v>10</v>
      </c>
      <c r="BR28" s="12" t="str">
        <f aca="false">IF(COUNTIFS(BE$6:BP$6,"&lt;="&amp;$B28,BE28:BP28,1)&gt;0,"YES","NO")</f>
        <v>NO</v>
      </c>
      <c r="BS28" s="19" t="n">
        <f aca="false">MIN(AS28:BD28)</f>
        <v>-185.5</v>
      </c>
    </row>
    <row r="29" customFormat="false" ht="15" hidden="false" customHeight="false" outlineLevel="0" collapsed="false">
      <c r="A29" s="11" t="str">
        <f aca="false">Replenishment_Plan!A29</f>
        <v>BED-003</v>
      </c>
      <c r="B29" s="39" t="n">
        <f aca="false">Replenishment_Plan!K29</f>
        <v>4</v>
      </c>
      <c r="C29" s="35" t="n">
        <f aca="false">Replenishment_Plan!E29</f>
        <v>57.625</v>
      </c>
      <c r="D29" s="39" t="n">
        <f aca="false">Replenishment_Plan!O29-Replenishment_Plan!Q29</f>
        <v>138</v>
      </c>
      <c r="E29" s="39" t="n">
        <f aca="false">Replenishment_Plan!P29</f>
        <v>105</v>
      </c>
      <c r="F29" s="39" t="n">
        <f aca="false">Inputs!L62</f>
        <v>1</v>
      </c>
      <c r="G29" s="39" t="n">
        <f aca="false">Replenishment_Plan!AD29</f>
        <v>210</v>
      </c>
      <c r="H29" s="19" t="n">
        <f aca="false">IF(G29&gt;0,B29+1,"none")</f>
        <v>5</v>
      </c>
      <c r="I29" s="46" t="n">
        <f aca="false">IF(AND($E29&gt;0,I$6=$F29),$E29,0)</f>
        <v>105</v>
      </c>
      <c r="J29" s="46" t="n">
        <f aca="false">IF(AND($E29&gt;0,J$6=$F29),$E29,0)</f>
        <v>0</v>
      </c>
      <c r="K29" s="46" t="n">
        <f aca="false">IF(AND($E29&gt;0,K$6=$F29),$E29,0)</f>
        <v>0</v>
      </c>
      <c r="L29" s="46" t="n">
        <f aca="false">IF(AND($E29&gt;0,L$6=$F29),$E29,0)</f>
        <v>0</v>
      </c>
      <c r="M29" s="46" t="n">
        <f aca="false">IF(AND($E29&gt;0,M$6=$F29),$E29,0)</f>
        <v>0</v>
      </c>
      <c r="N29" s="46" t="n">
        <f aca="false">IF(AND($E29&gt;0,N$6=$F29),$E29,0)</f>
        <v>0</v>
      </c>
      <c r="O29" s="46" t="n">
        <f aca="false">IF(AND($E29&gt;0,O$6=$F29),$E29,0)</f>
        <v>0</v>
      </c>
      <c r="P29" s="46" t="n">
        <f aca="false">IF(AND($E29&gt;0,P$6=$F29),$E29,0)</f>
        <v>0</v>
      </c>
      <c r="Q29" s="46" t="n">
        <f aca="false">IF(AND($E29&gt;0,Q$6=$F29),$E29,0)</f>
        <v>0</v>
      </c>
      <c r="R29" s="46" t="n">
        <f aca="false">IF(AND($E29&gt;0,R$6=$F29),$E29,0)</f>
        <v>0</v>
      </c>
      <c r="S29" s="46" t="n">
        <f aca="false">IF(AND($E29&gt;0,S$6=$F29),$E29,0)</f>
        <v>0</v>
      </c>
      <c r="T29" s="46" t="n">
        <f aca="false">IF(AND($E29&gt;0,T$6=$F29),$E29,0)</f>
        <v>0</v>
      </c>
      <c r="U29" s="46" t="n">
        <f aca="false">IF(AND($G29&gt;0,U$6=$H29),$G29,0)</f>
        <v>0</v>
      </c>
      <c r="V29" s="46" t="n">
        <f aca="false">IF(AND($G29&gt;0,V$6=$H29),$G29,0)</f>
        <v>0</v>
      </c>
      <c r="W29" s="46" t="n">
        <f aca="false">IF(AND($G29&gt;0,W$6=$H29),$G29,0)</f>
        <v>0</v>
      </c>
      <c r="X29" s="46" t="n">
        <f aca="false">IF(AND($G29&gt;0,X$6=$H29),$G29,0)</f>
        <v>0</v>
      </c>
      <c r="Y29" s="46" t="n">
        <f aca="false">IF(AND($G29&gt;0,Y$6=$H29),$G29,0)</f>
        <v>210</v>
      </c>
      <c r="Z29" s="46" t="n">
        <f aca="false">IF(AND($G29&gt;0,Z$6=$H29),$G29,0)</f>
        <v>0</v>
      </c>
      <c r="AA29" s="46" t="n">
        <f aca="false">IF(AND($G29&gt;0,AA$6=$H29),$G29,0)</f>
        <v>0</v>
      </c>
      <c r="AB29" s="46" t="n">
        <f aca="false">IF(AND($G29&gt;0,AB$6=$H29),$G29,0)</f>
        <v>0</v>
      </c>
      <c r="AC29" s="46" t="n">
        <f aca="false">IF(AND($G29&gt;0,AC$6=$H29),$G29,0)</f>
        <v>0</v>
      </c>
      <c r="AD29" s="46" t="n">
        <f aca="false">IF(AND($G29&gt;0,AD$6=$H29),$G29,0)</f>
        <v>0</v>
      </c>
      <c r="AE29" s="46" t="n">
        <f aca="false">IF(AND($G29&gt;0,AE$6=$H29),$G29,0)</f>
        <v>0</v>
      </c>
      <c r="AF29" s="46" t="n">
        <f aca="false">IF(AND($G29&gt;0,AF$6=$H29),$G29,0)</f>
        <v>0</v>
      </c>
      <c r="AG29" s="33" t="n">
        <f aca="false">$C29</f>
        <v>57.625</v>
      </c>
      <c r="AH29" s="33" t="n">
        <f aca="false">$C29</f>
        <v>57.625</v>
      </c>
      <c r="AI29" s="33" t="n">
        <f aca="false">$C29</f>
        <v>57.625</v>
      </c>
      <c r="AJ29" s="33" t="n">
        <f aca="false">$C29</f>
        <v>57.625</v>
      </c>
      <c r="AK29" s="33" t="n">
        <f aca="false">$C29</f>
        <v>57.625</v>
      </c>
      <c r="AL29" s="33" t="n">
        <f aca="false">$C29</f>
        <v>57.625</v>
      </c>
      <c r="AM29" s="33" t="n">
        <f aca="false">$C29</f>
        <v>57.625</v>
      </c>
      <c r="AN29" s="33" t="n">
        <f aca="false">$C29</f>
        <v>57.625</v>
      </c>
      <c r="AO29" s="33" t="n">
        <f aca="false">$C29</f>
        <v>57.625</v>
      </c>
      <c r="AP29" s="33" t="n">
        <f aca="false">$C29</f>
        <v>57.625</v>
      </c>
      <c r="AQ29" s="33" t="n">
        <f aca="false">$C29</f>
        <v>57.625</v>
      </c>
      <c r="AR29" s="33" t="n">
        <f aca="false">$C29</f>
        <v>57.625</v>
      </c>
      <c r="AS29" s="47" t="n">
        <f aca="false">$D29+I29+U29-AG29</f>
        <v>185.375</v>
      </c>
      <c r="AT29" s="47" t="n">
        <f aca="false">AS29+J29+V29-AH29</f>
        <v>127.75</v>
      </c>
      <c r="AU29" s="47" t="n">
        <f aca="false">AT29+K29+W29-AI29</f>
        <v>70.125</v>
      </c>
      <c r="AV29" s="47" t="n">
        <f aca="false">AU29+L29+X29-AJ29</f>
        <v>12.5</v>
      </c>
      <c r="AW29" s="47" t="n">
        <f aca="false">AV29+M29+Y29-AK29</f>
        <v>164.875</v>
      </c>
      <c r="AX29" s="47" t="n">
        <f aca="false">AW29+N29+Z29-AL29</f>
        <v>107.25</v>
      </c>
      <c r="AY29" s="47" t="n">
        <f aca="false">AX29+O29+AA29-AM29</f>
        <v>49.625</v>
      </c>
      <c r="AZ29" s="47" t="n">
        <f aca="false">AY29+P29+AB29-AN29</f>
        <v>-8</v>
      </c>
      <c r="BA29" s="47" t="n">
        <f aca="false">AZ29+Q29+AC29-AO29</f>
        <v>-65.625</v>
      </c>
      <c r="BB29" s="47" t="n">
        <f aca="false">BA29+R29+AD29-AP29</f>
        <v>-123.25</v>
      </c>
      <c r="BC29" s="47" t="n">
        <f aca="false">BB29+S29+AE29-AQ29</f>
        <v>-180.875</v>
      </c>
      <c r="BD29" s="47" t="n">
        <f aca="false">BC29+T29+AF29-AR29</f>
        <v>-238.5</v>
      </c>
      <c r="BE29" s="46" t="n">
        <f aca="false">IF(AS29&lt;=0,1,0)</f>
        <v>0</v>
      </c>
      <c r="BF29" s="46" t="n">
        <f aca="false">IF(AT29&lt;=0,1,0)</f>
        <v>0</v>
      </c>
      <c r="BG29" s="46" t="n">
        <f aca="false">IF(AU29&lt;=0,1,0)</f>
        <v>0</v>
      </c>
      <c r="BH29" s="46" t="n">
        <f aca="false">IF(AV29&lt;=0,1,0)</f>
        <v>0</v>
      </c>
      <c r="BI29" s="46" t="n">
        <f aca="false">IF(AW29&lt;=0,1,0)</f>
        <v>0</v>
      </c>
      <c r="BJ29" s="46" t="n">
        <f aca="false">IF(AX29&lt;=0,1,0)</f>
        <v>0</v>
      </c>
      <c r="BK29" s="46" t="n">
        <f aca="false">IF(AY29&lt;=0,1,0)</f>
        <v>0</v>
      </c>
      <c r="BL29" s="46" t="n">
        <f aca="false">IF(AZ29&lt;=0,1,0)</f>
        <v>1</v>
      </c>
      <c r="BM29" s="46" t="n">
        <f aca="false">IF(BA29&lt;=0,1,0)</f>
        <v>1</v>
      </c>
      <c r="BN29" s="46" t="n">
        <f aca="false">IF(BB29&lt;=0,1,0)</f>
        <v>1</v>
      </c>
      <c r="BO29" s="46" t="n">
        <f aca="false">IF(BC29&lt;=0,1,0)</f>
        <v>1</v>
      </c>
      <c r="BP29" s="46" t="n">
        <f aca="false">IF(BD29&lt;=0,1,0)</f>
        <v>1</v>
      </c>
      <c r="BQ29" s="41" t="n">
        <f aca="false">IF(COUNTIF(BE29:BP29,1)=0,"None",MATCH(1,BE29:BP29,0))</f>
        <v>8</v>
      </c>
      <c r="BR29" s="12" t="str">
        <f aca="false">IF(COUNTIFS(BE$6:BP$6,"&lt;="&amp;$B29,BE29:BP29,1)&gt;0,"YES","NO")</f>
        <v>NO</v>
      </c>
      <c r="BS29" s="19" t="n">
        <f aca="false">MIN(AS29:BD29)</f>
        <v>-238.5</v>
      </c>
    </row>
    <row r="30" customFormat="false" ht="15" hidden="false" customHeight="false" outlineLevel="0" collapsed="false">
      <c r="A30" s="11" t="str">
        <f aca="false">Replenishment_Plan!A30</f>
        <v>BED-004</v>
      </c>
      <c r="B30" s="39" t="n">
        <f aca="false">Replenishment_Plan!K30</f>
        <v>4</v>
      </c>
      <c r="C30" s="35" t="n">
        <f aca="false">Replenishment_Plan!E30</f>
        <v>81.25</v>
      </c>
      <c r="D30" s="39" t="n">
        <f aca="false">Replenishment_Plan!O30-Replenishment_Plan!Q30</f>
        <v>-35</v>
      </c>
      <c r="E30" s="39" t="n">
        <f aca="false">Replenishment_Plan!P30</f>
        <v>0</v>
      </c>
      <c r="F30" s="39" t="n">
        <f aca="false">Inputs!L63</f>
        <v>0</v>
      </c>
      <c r="G30" s="39" t="n">
        <f aca="false">Replenishment_Plan!AD30</f>
        <v>350</v>
      </c>
      <c r="H30" s="19" t="n">
        <f aca="false">IF(G30&gt;0,B30+1,"none")</f>
        <v>5</v>
      </c>
      <c r="I30" s="46" t="n">
        <f aca="false">IF(AND($E30&gt;0,I$6=$F30),$E30,0)</f>
        <v>0</v>
      </c>
      <c r="J30" s="46" t="n">
        <f aca="false">IF(AND($E30&gt;0,J$6=$F30),$E30,0)</f>
        <v>0</v>
      </c>
      <c r="K30" s="46" t="n">
        <f aca="false">IF(AND($E30&gt;0,K$6=$F30),$E30,0)</f>
        <v>0</v>
      </c>
      <c r="L30" s="46" t="n">
        <f aca="false">IF(AND($E30&gt;0,L$6=$F30),$E30,0)</f>
        <v>0</v>
      </c>
      <c r="M30" s="46" t="n">
        <f aca="false">IF(AND($E30&gt;0,M$6=$F30),$E30,0)</f>
        <v>0</v>
      </c>
      <c r="N30" s="46" t="n">
        <f aca="false">IF(AND($E30&gt;0,N$6=$F30),$E30,0)</f>
        <v>0</v>
      </c>
      <c r="O30" s="46" t="n">
        <f aca="false">IF(AND($E30&gt;0,O$6=$F30),$E30,0)</f>
        <v>0</v>
      </c>
      <c r="P30" s="46" t="n">
        <f aca="false">IF(AND($E30&gt;0,P$6=$F30),$E30,0)</f>
        <v>0</v>
      </c>
      <c r="Q30" s="46" t="n">
        <f aca="false">IF(AND($E30&gt;0,Q$6=$F30),$E30,0)</f>
        <v>0</v>
      </c>
      <c r="R30" s="46" t="n">
        <f aca="false">IF(AND($E30&gt;0,R$6=$F30),$E30,0)</f>
        <v>0</v>
      </c>
      <c r="S30" s="46" t="n">
        <f aca="false">IF(AND($E30&gt;0,S$6=$F30),$E30,0)</f>
        <v>0</v>
      </c>
      <c r="T30" s="46" t="n">
        <f aca="false">IF(AND($E30&gt;0,T$6=$F30),$E30,0)</f>
        <v>0</v>
      </c>
      <c r="U30" s="46" t="n">
        <f aca="false">IF(AND($G30&gt;0,U$6=$H30),$G30,0)</f>
        <v>0</v>
      </c>
      <c r="V30" s="46" t="n">
        <f aca="false">IF(AND($G30&gt;0,V$6=$H30),$G30,0)</f>
        <v>0</v>
      </c>
      <c r="W30" s="46" t="n">
        <f aca="false">IF(AND($G30&gt;0,W$6=$H30),$G30,0)</f>
        <v>0</v>
      </c>
      <c r="X30" s="46" t="n">
        <f aca="false">IF(AND($G30&gt;0,X$6=$H30),$G30,0)</f>
        <v>0</v>
      </c>
      <c r="Y30" s="46" t="n">
        <f aca="false">IF(AND($G30&gt;0,Y$6=$H30),$G30,0)</f>
        <v>350</v>
      </c>
      <c r="Z30" s="46" t="n">
        <f aca="false">IF(AND($G30&gt;0,Z$6=$H30),$G30,0)</f>
        <v>0</v>
      </c>
      <c r="AA30" s="46" t="n">
        <f aca="false">IF(AND($G30&gt;0,AA$6=$H30),$G30,0)</f>
        <v>0</v>
      </c>
      <c r="AB30" s="46" t="n">
        <f aca="false">IF(AND($G30&gt;0,AB$6=$H30),$G30,0)</f>
        <v>0</v>
      </c>
      <c r="AC30" s="46" t="n">
        <f aca="false">IF(AND($G30&gt;0,AC$6=$H30),$G30,0)</f>
        <v>0</v>
      </c>
      <c r="AD30" s="46" t="n">
        <f aca="false">IF(AND($G30&gt;0,AD$6=$H30),$G30,0)</f>
        <v>0</v>
      </c>
      <c r="AE30" s="46" t="n">
        <f aca="false">IF(AND($G30&gt;0,AE$6=$H30),$G30,0)</f>
        <v>0</v>
      </c>
      <c r="AF30" s="46" t="n">
        <f aca="false">IF(AND($G30&gt;0,AF$6=$H30),$G30,0)</f>
        <v>0</v>
      </c>
      <c r="AG30" s="33" t="n">
        <f aca="false">$C30</f>
        <v>81.25</v>
      </c>
      <c r="AH30" s="33" t="n">
        <f aca="false">$C30</f>
        <v>81.25</v>
      </c>
      <c r="AI30" s="33" t="n">
        <f aca="false">$C30</f>
        <v>81.25</v>
      </c>
      <c r="AJ30" s="33" t="n">
        <f aca="false">$C30</f>
        <v>81.25</v>
      </c>
      <c r="AK30" s="33" t="n">
        <f aca="false">$C30</f>
        <v>81.25</v>
      </c>
      <c r="AL30" s="33" t="n">
        <f aca="false">$C30</f>
        <v>81.25</v>
      </c>
      <c r="AM30" s="33" t="n">
        <f aca="false">$C30</f>
        <v>81.25</v>
      </c>
      <c r="AN30" s="33" t="n">
        <f aca="false">$C30</f>
        <v>81.25</v>
      </c>
      <c r="AO30" s="33" t="n">
        <f aca="false">$C30</f>
        <v>81.25</v>
      </c>
      <c r="AP30" s="33" t="n">
        <f aca="false">$C30</f>
        <v>81.25</v>
      </c>
      <c r="AQ30" s="33" t="n">
        <f aca="false">$C30</f>
        <v>81.25</v>
      </c>
      <c r="AR30" s="33" t="n">
        <f aca="false">$C30</f>
        <v>81.25</v>
      </c>
      <c r="AS30" s="47" t="n">
        <f aca="false">$D30+I30+U30-AG30</f>
        <v>-116.25</v>
      </c>
      <c r="AT30" s="47" t="n">
        <f aca="false">AS30+J30+V30-AH30</f>
        <v>-197.5</v>
      </c>
      <c r="AU30" s="47" t="n">
        <f aca="false">AT30+K30+W30-AI30</f>
        <v>-278.75</v>
      </c>
      <c r="AV30" s="47" t="n">
        <f aca="false">AU30+L30+X30-AJ30</f>
        <v>-360</v>
      </c>
      <c r="AW30" s="47" t="n">
        <f aca="false">AV30+M30+Y30-AK30</f>
        <v>-91.25</v>
      </c>
      <c r="AX30" s="47" t="n">
        <f aca="false">AW30+N30+Z30-AL30</f>
        <v>-172.5</v>
      </c>
      <c r="AY30" s="47" t="n">
        <f aca="false">AX30+O30+AA30-AM30</f>
        <v>-253.75</v>
      </c>
      <c r="AZ30" s="47" t="n">
        <f aca="false">AY30+P30+AB30-AN30</f>
        <v>-335</v>
      </c>
      <c r="BA30" s="47" t="n">
        <f aca="false">AZ30+Q30+AC30-AO30</f>
        <v>-416.25</v>
      </c>
      <c r="BB30" s="47" t="n">
        <f aca="false">BA30+R30+AD30-AP30</f>
        <v>-497.5</v>
      </c>
      <c r="BC30" s="47" t="n">
        <f aca="false">BB30+S30+AE30-AQ30</f>
        <v>-578.75</v>
      </c>
      <c r="BD30" s="47" t="n">
        <f aca="false">BC30+T30+AF30-AR30</f>
        <v>-660</v>
      </c>
      <c r="BE30" s="46" t="n">
        <f aca="false">IF(AS30&lt;=0,1,0)</f>
        <v>1</v>
      </c>
      <c r="BF30" s="46" t="n">
        <f aca="false">IF(AT30&lt;=0,1,0)</f>
        <v>1</v>
      </c>
      <c r="BG30" s="46" t="n">
        <f aca="false">IF(AU30&lt;=0,1,0)</f>
        <v>1</v>
      </c>
      <c r="BH30" s="46" t="n">
        <f aca="false">IF(AV30&lt;=0,1,0)</f>
        <v>1</v>
      </c>
      <c r="BI30" s="46" t="n">
        <f aca="false">IF(AW30&lt;=0,1,0)</f>
        <v>1</v>
      </c>
      <c r="BJ30" s="46" t="n">
        <f aca="false">IF(AX30&lt;=0,1,0)</f>
        <v>1</v>
      </c>
      <c r="BK30" s="46" t="n">
        <f aca="false">IF(AY30&lt;=0,1,0)</f>
        <v>1</v>
      </c>
      <c r="BL30" s="46" t="n">
        <f aca="false">IF(AZ30&lt;=0,1,0)</f>
        <v>1</v>
      </c>
      <c r="BM30" s="46" t="n">
        <f aca="false">IF(BA30&lt;=0,1,0)</f>
        <v>1</v>
      </c>
      <c r="BN30" s="46" t="n">
        <f aca="false">IF(BB30&lt;=0,1,0)</f>
        <v>1</v>
      </c>
      <c r="BO30" s="46" t="n">
        <f aca="false">IF(BC30&lt;=0,1,0)</f>
        <v>1</v>
      </c>
      <c r="BP30" s="46" t="n">
        <f aca="false">IF(BD30&lt;=0,1,0)</f>
        <v>1</v>
      </c>
      <c r="BQ30" s="41" t="n">
        <f aca="false">IF(COUNTIF(BE30:BP30,1)=0,"None",MATCH(1,BE30:BP30,0))</f>
        <v>1</v>
      </c>
      <c r="BR30" s="12" t="str">
        <f aca="false">IF(COUNTIFS(BE$6:BP$6,"&lt;="&amp;$B30,BE30:BP30,1)&gt;0,"YES","NO")</f>
        <v>YES</v>
      </c>
      <c r="BS30" s="19" t="n">
        <f aca="false">MIN(AS30:BD30)</f>
        <v>-660</v>
      </c>
    </row>
    <row r="31" customFormat="false" ht="15" hidden="false" customHeight="false" outlineLevel="0" collapsed="false">
      <c r="A31" s="11" t="str">
        <f aca="false">Replenishment_Plan!A31</f>
        <v>BED-005</v>
      </c>
      <c r="B31" s="39" t="n">
        <f aca="false">Replenishment_Plan!K31</f>
        <v>4</v>
      </c>
      <c r="C31" s="35" t="n">
        <f aca="false">Replenishment_Plan!E31</f>
        <v>11.75</v>
      </c>
      <c r="D31" s="39" t="n">
        <f aca="false">Replenishment_Plan!O31-Replenishment_Plan!Q31</f>
        <v>253</v>
      </c>
      <c r="E31" s="39" t="n">
        <f aca="false">Replenishment_Plan!P31</f>
        <v>0</v>
      </c>
      <c r="F31" s="39" t="n">
        <f aca="false">Inputs!L64</f>
        <v>0</v>
      </c>
      <c r="G31" s="39" t="n">
        <f aca="false">Replenishment_Plan!AD31</f>
        <v>0</v>
      </c>
      <c r="H31" s="19" t="str">
        <f aca="false">IF(G31&gt;0,B31+1,"none")</f>
        <v>none</v>
      </c>
      <c r="I31" s="46" t="n">
        <f aca="false">IF(AND($E31&gt;0,I$6=$F31),$E31,0)</f>
        <v>0</v>
      </c>
      <c r="J31" s="46" t="n">
        <f aca="false">IF(AND($E31&gt;0,J$6=$F31),$E31,0)</f>
        <v>0</v>
      </c>
      <c r="K31" s="46" t="n">
        <f aca="false">IF(AND($E31&gt;0,K$6=$F31),$E31,0)</f>
        <v>0</v>
      </c>
      <c r="L31" s="46" t="n">
        <f aca="false">IF(AND($E31&gt;0,L$6=$F31),$E31,0)</f>
        <v>0</v>
      </c>
      <c r="M31" s="46" t="n">
        <f aca="false">IF(AND($E31&gt;0,M$6=$F31),$E31,0)</f>
        <v>0</v>
      </c>
      <c r="N31" s="46" t="n">
        <f aca="false">IF(AND($E31&gt;0,N$6=$F31),$E31,0)</f>
        <v>0</v>
      </c>
      <c r="O31" s="46" t="n">
        <f aca="false">IF(AND($E31&gt;0,O$6=$F31),$E31,0)</f>
        <v>0</v>
      </c>
      <c r="P31" s="46" t="n">
        <f aca="false">IF(AND($E31&gt;0,P$6=$F31),$E31,0)</f>
        <v>0</v>
      </c>
      <c r="Q31" s="46" t="n">
        <f aca="false">IF(AND($E31&gt;0,Q$6=$F31),$E31,0)</f>
        <v>0</v>
      </c>
      <c r="R31" s="46" t="n">
        <f aca="false">IF(AND($E31&gt;0,R$6=$F31),$E31,0)</f>
        <v>0</v>
      </c>
      <c r="S31" s="46" t="n">
        <f aca="false">IF(AND($E31&gt;0,S$6=$F31),$E31,0)</f>
        <v>0</v>
      </c>
      <c r="T31" s="46" t="n">
        <f aca="false">IF(AND($E31&gt;0,T$6=$F31),$E31,0)</f>
        <v>0</v>
      </c>
      <c r="U31" s="46" t="n">
        <f aca="false">IF(AND($G31&gt;0,U$6=$H31),$G31,0)</f>
        <v>0</v>
      </c>
      <c r="V31" s="46" t="n">
        <f aca="false">IF(AND($G31&gt;0,V$6=$H31),$G31,0)</f>
        <v>0</v>
      </c>
      <c r="W31" s="46" t="n">
        <f aca="false">IF(AND($G31&gt;0,W$6=$H31),$G31,0)</f>
        <v>0</v>
      </c>
      <c r="X31" s="46" t="n">
        <f aca="false">IF(AND($G31&gt;0,X$6=$H31),$G31,0)</f>
        <v>0</v>
      </c>
      <c r="Y31" s="46" t="n">
        <f aca="false">IF(AND($G31&gt;0,Y$6=$H31),$G31,0)</f>
        <v>0</v>
      </c>
      <c r="Z31" s="46" t="n">
        <f aca="false">IF(AND($G31&gt;0,Z$6=$H31),$G31,0)</f>
        <v>0</v>
      </c>
      <c r="AA31" s="46" t="n">
        <f aca="false">IF(AND($G31&gt;0,AA$6=$H31),$G31,0)</f>
        <v>0</v>
      </c>
      <c r="AB31" s="46" t="n">
        <f aca="false">IF(AND($G31&gt;0,AB$6=$H31),$G31,0)</f>
        <v>0</v>
      </c>
      <c r="AC31" s="46" t="n">
        <f aca="false">IF(AND($G31&gt;0,AC$6=$H31),$G31,0)</f>
        <v>0</v>
      </c>
      <c r="AD31" s="46" t="n">
        <f aca="false">IF(AND($G31&gt;0,AD$6=$H31),$G31,0)</f>
        <v>0</v>
      </c>
      <c r="AE31" s="46" t="n">
        <f aca="false">IF(AND($G31&gt;0,AE$6=$H31),$G31,0)</f>
        <v>0</v>
      </c>
      <c r="AF31" s="46" t="n">
        <f aca="false">IF(AND($G31&gt;0,AF$6=$H31),$G31,0)</f>
        <v>0</v>
      </c>
      <c r="AG31" s="33" t="n">
        <f aca="false">$C31</f>
        <v>11.75</v>
      </c>
      <c r="AH31" s="33" t="n">
        <f aca="false">$C31</f>
        <v>11.75</v>
      </c>
      <c r="AI31" s="33" t="n">
        <f aca="false">$C31</f>
        <v>11.75</v>
      </c>
      <c r="AJ31" s="33" t="n">
        <f aca="false">$C31</f>
        <v>11.75</v>
      </c>
      <c r="AK31" s="33" t="n">
        <f aca="false">$C31</f>
        <v>11.75</v>
      </c>
      <c r="AL31" s="33" t="n">
        <f aca="false">$C31</f>
        <v>11.75</v>
      </c>
      <c r="AM31" s="33" t="n">
        <f aca="false">$C31</f>
        <v>11.75</v>
      </c>
      <c r="AN31" s="33" t="n">
        <f aca="false">$C31</f>
        <v>11.75</v>
      </c>
      <c r="AO31" s="33" t="n">
        <f aca="false">$C31</f>
        <v>11.75</v>
      </c>
      <c r="AP31" s="33" t="n">
        <f aca="false">$C31</f>
        <v>11.75</v>
      </c>
      <c r="AQ31" s="33" t="n">
        <f aca="false">$C31</f>
        <v>11.75</v>
      </c>
      <c r="AR31" s="33" t="n">
        <f aca="false">$C31</f>
        <v>11.75</v>
      </c>
      <c r="AS31" s="47" t="n">
        <f aca="false">$D31+I31+U31-AG31</f>
        <v>241.25</v>
      </c>
      <c r="AT31" s="47" t="n">
        <f aca="false">AS31+J31+V31-AH31</f>
        <v>229.5</v>
      </c>
      <c r="AU31" s="47" t="n">
        <f aca="false">AT31+K31+W31-AI31</f>
        <v>217.75</v>
      </c>
      <c r="AV31" s="47" t="n">
        <f aca="false">AU31+L31+X31-AJ31</f>
        <v>206</v>
      </c>
      <c r="AW31" s="47" t="n">
        <f aca="false">AV31+M31+Y31-AK31</f>
        <v>194.25</v>
      </c>
      <c r="AX31" s="47" t="n">
        <f aca="false">AW31+N31+Z31-AL31</f>
        <v>182.5</v>
      </c>
      <c r="AY31" s="47" t="n">
        <f aca="false">AX31+O31+AA31-AM31</f>
        <v>170.75</v>
      </c>
      <c r="AZ31" s="47" t="n">
        <f aca="false">AY31+P31+AB31-AN31</f>
        <v>159</v>
      </c>
      <c r="BA31" s="47" t="n">
        <f aca="false">AZ31+Q31+AC31-AO31</f>
        <v>147.25</v>
      </c>
      <c r="BB31" s="47" t="n">
        <f aca="false">BA31+R31+AD31-AP31</f>
        <v>135.5</v>
      </c>
      <c r="BC31" s="47" t="n">
        <f aca="false">BB31+S31+AE31-AQ31</f>
        <v>123.75</v>
      </c>
      <c r="BD31" s="47" t="n">
        <f aca="false">BC31+T31+AF31-AR31</f>
        <v>112</v>
      </c>
      <c r="BE31" s="46" t="n">
        <f aca="false">IF(AS31&lt;=0,1,0)</f>
        <v>0</v>
      </c>
      <c r="BF31" s="46" t="n">
        <f aca="false">IF(AT31&lt;=0,1,0)</f>
        <v>0</v>
      </c>
      <c r="BG31" s="46" t="n">
        <f aca="false">IF(AU31&lt;=0,1,0)</f>
        <v>0</v>
      </c>
      <c r="BH31" s="46" t="n">
        <f aca="false">IF(AV31&lt;=0,1,0)</f>
        <v>0</v>
      </c>
      <c r="BI31" s="46" t="n">
        <f aca="false">IF(AW31&lt;=0,1,0)</f>
        <v>0</v>
      </c>
      <c r="BJ31" s="46" t="n">
        <f aca="false">IF(AX31&lt;=0,1,0)</f>
        <v>0</v>
      </c>
      <c r="BK31" s="46" t="n">
        <f aca="false">IF(AY31&lt;=0,1,0)</f>
        <v>0</v>
      </c>
      <c r="BL31" s="46" t="n">
        <f aca="false">IF(AZ31&lt;=0,1,0)</f>
        <v>0</v>
      </c>
      <c r="BM31" s="46" t="n">
        <f aca="false">IF(BA31&lt;=0,1,0)</f>
        <v>0</v>
      </c>
      <c r="BN31" s="46" t="n">
        <f aca="false">IF(BB31&lt;=0,1,0)</f>
        <v>0</v>
      </c>
      <c r="BO31" s="46" t="n">
        <f aca="false">IF(BC31&lt;=0,1,0)</f>
        <v>0</v>
      </c>
      <c r="BP31" s="46" t="n">
        <f aca="false">IF(BD31&lt;=0,1,0)</f>
        <v>0</v>
      </c>
      <c r="BQ31" s="41" t="str">
        <f aca="false">IF(COUNTIF(BE31:BP31,1)=0,"None",MATCH(1,BE31:BP31,0))</f>
        <v>None</v>
      </c>
      <c r="BR31" s="12" t="str">
        <f aca="false">IF(COUNTIFS(BE$6:BP$6,"&lt;="&amp;$B31,BE31:BP31,1)&gt;0,"YES","NO")</f>
        <v>NO</v>
      </c>
      <c r="BS31" s="19" t="n">
        <f aca="false">MIN(AS31:BD31)</f>
        <v>112</v>
      </c>
    </row>
    <row r="32" customFormat="false" ht="15" hidden="false" customHeight="false" outlineLevel="0" collapsed="false">
      <c r="A32" s="11" t="str">
        <f aca="false">Replenishment_Plan!A32</f>
        <v>BED-006</v>
      </c>
      <c r="B32" s="39" t="n">
        <f aca="false">Replenishment_Plan!K32</f>
        <v>4</v>
      </c>
      <c r="C32" s="35" t="n">
        <f aca="false">Replenishment_Plan!E32</f>
        <v>31.5</v>
      </c>
      <c r="D32" s="39" t="n">
        <f aca="false">Replenishment_Plan!O32-Replenishment_Plan!Q32</f>
        <v>74</v>
      </c>
      <c r="E32" s="39" t="n">
        <f aca="false">Replenishment_Plan!P32</f>
        <v>180</v>
      </c>
      <c r="F32" s="39" t="n">
        <f aca="false">Inputs!L65</f>
        <v>2</v>
      </c>
      <c r="G32" s="39" t="n">
        <f aca="false">Replenishment_Plan!AD32</f>
        <v>0</v>
      </c>
      <c r="H32" s="19" t="str">
        <f aca="false">IF(G32&gt;0,B32+1,"none")</f>
        <v>none</v>
      </c>
      <c r="I32" s="46" t="n">
        <f aca="false">IF(AND($E32&gt;0,I$6=$F32),$E32,0)</f>
        <v>0</v>
      </c>
      <c r="J32" s="46" t="n">
        <f aca="false">IF(AND($E32&gt;0,J$6=$F32),$E32,0)</f>
        <v>180</v>
      </c>
      <c r="K32" s="46" t="n">
        <f aca="false">IF(AND($E32&gt;0,K$6=$F32),$E32,0)</f>
        <v>0</v>
      </c>
      <c r="L32" s="46" t="n">
        <f aca="false">IF(AND($E32&gt;0,L$6=$F32),$E32,0)</f>
        <v>0</v>
      </c>
      <c r="M32" s="46" t="n">
        <f aca="false">IF(AND($E32&gt;0,M$6=$F32),$E32,0)</f>
        <v>0</v>
      </c>
      <c r="N32" s="46" t="n">
        <f aca="false">IF(AND($E32&gt;0,N$6=$F32),$E32,0)</f>
        <v>0</v>
      </c>
      <c r="O32" s="46" t="n">
        <f aca="false">IF(AND($E32&gt;0,O$6=$F32),$E32,0)</f>
        <v>0</v>
      </c>
      <c r="P32" s="46" t="n">
        <f aca="false">IF(AND($E32&gt;0,P$6=$F32),$E32,0)</f>
        <v>0</v>
      </c>
      <c r="Q32" s="46" t="n">
        <f aca="false">IF(AND($E32&gt;0,Q$6=$F32),$E32,0)</f>
        <v>0</v>
      </c>
      <c r="R32" s="46" t="n">
        <f aca="false">IF(AND($E32&gt;0,R$6=$F32),$E32,0)</f>
        <v>0</v>
      </c>
      <c r="S32" s="46" t="n">
        <f aca="false">IF(AND($E32&gt;0,S$6=$F32),$E32,0)</f>
        <v>0</v>
      </c>
      <c r="T32" s="46" t="n">
        <f aca="false">IF(AND($E32&gt;0,T$6=$F32),$E32,0)</f>
        <v>0</v>
      </c>
      <c r="U32" s="46" t="n">
        <f aca="false">IF(AND($G32&gt;0,U$6=$H32),$G32,0)</f>
        <v>0</v>
      </c>
      <c r="V32" s="46" t="n">
        <f aca="false">IF(AND($G32&gt;0,V$6=$H32),$G32,0)</f>
        <v>0</v>
      </c>
      <c r="W32" s="46" t="n">
        <f aca="false">IF(AND($G32&gt;0,W$6=$H32),$G32,0)</f>
        <v>0</v>
      </c>
      <c r="X32" s="46" t="n">
        <f aca="false">IF(AND($G32&gt;0,X$6=$H32),$G32,0)</f>
        <v>0</v>
      </c>
      <c r="Y32" s="46" t="n">
        <f aca="false">IF(AND($G32&gt;0,Y$6=$H32),$G32,0)</f>
        <v>0</v>
      </c>
      <c r="Z32" s="46" t="n">
        <f aca="false">IF(AND($G32&gt;0,Z$6=$H32),$G32,0)</f>
        <v>0</v>
      </c>
      <c r="AA32" s="46" t="n">
        <f aca="false">IF(AND($G32&gt;0,AA$6=$H32),$G32,0)</f>
        <v>0</v>
      </c>
      <c r="AB32" s="46" t="n">
        <f aca="false">IF(AND($G32&gt;0,AB$6=$H32),$G32,0)</f>
        <v>0</v>
      </c>
      <c r="AC32" s="46" t="n">
        <f aca="false">IF(AND($G32&gt;0,AC$6=$H32),$G32,0)</f>
        <v>0</v>
      </c>
      <c r="AD32" s="46" t="n">
        <f aca="false">IF(AND($G32&gt;0,AD$6=$H32),$G32,0)</f>
        <v>0</v>
      </c>
      <c r="AE32" s="46" t="n">
        <f aca="false">IF(AND($G32&gt;0,AE$6=$H32),$G32,0)</f>
        <v>0</v>
      </c>
      <c r="AF32" s="46" t="n">
        <f aca="false">IF(AND($G32&gt;0,AF$6=$H32),$G32,0)</f>
        <v>0</v>
      </c>
      <c r="AG32" s="33" t="n">
        <f aca="false">$C32</f>
        <v>31.5</v>
      </c>
      <c r="AH32" s="33" t="n">
        <f aca="false">$C32</f>
        <v>31.5</v>
      </c>
      <c r="AI32" s="33" t="n">
        <f aca="false">$C32</f>
        <v>31.5</v>
      </c>
      <c r="AJ32" s="33" t="n">
        <f aca="false">$C32</f>
        <v>31.5</v>
      </c>
      <c r="AK32" s="33" t="n">
        <f aca="false">$C32</f>
        <v>31.5</v>
      </c>
      <c r="AL32" s="33" t="n">
        <f aca="false">$C32</f>
        <v>31.5</v>
      </c>
      <c r="AM32" s="33" t="n">
        <f aca="false">$C32</f>
        <v>31.5</v>
      </c>
      <c r="AN32" s="33" t="n">
        <f aca="false">$C32</f>
        <v>31.5</v>
      </c>
      <c r="AO32" s="33" t="n">
        <f aca="false">$C32</f>
        <v>31.5</v>
      </c>
      <c r="AP32" s="33" t="n">
        <f aca="false">$C32</f>
        <v>31.5</v>
      </c>
      <c r="AQ32" s="33" t="n">
        <f aca="false">$C32</f>
        <v>31.5</v>
      </c>
      <c r="AR32" s="33" t="n">
        <f aca="false">$C32</f>
        <v>31.5</v>
      </c>
      <c r="AS32" s="47" t="n">
        <f aca="false">$D32+I32+U32-AG32</f>
        <v>42.5</v>
      </c>
      <c r="AT32" s="47" t="n">
        <f aca="false">AS32+J32+V32-AH32</f>
        <v>191</v>
      </c>
      <c r="AU32" s="47" t="n">
        <f aca="false">AT32+K32+W32-AI32</f>
        <v>159.5</v>
      </c>
      <c r="AV32" s="47" t="n">
        <f aca="false">AU32+L32+X32-AJ32</f>
        <v>128</v>
      </c>
      <c r="AW32" s="47" t="n">
        <f aca="false">AV32+M32+Y32-AK32</f>
        <v>96.5</v>
      </c>
      <c r="AX32" s="47" t="n">
        <f aca="false">AW32+N32+Z32-AL32</f>
        <v>65</v>
      </c>
      <c r="AY32" s="47" t="n">
        <f aca="false">AX32+O32+AA32-AM32</f>
        <v>33.5</v>
      </c>
      <c r="AZ32" s="47" t="n">
        <f aca="false">AY32+P32+AB32-AN32</f>
        <v>2</v>
      </c>
      <c r="BA32" s="47" t="n">
        <f aca="false">AZ32+Q32+AC32-AO32</f>
        <v>-29.5</v>
      </c>
      <c r="BB32" s="47" t="n">
        <f aca="false">BA32+R32+AD32-AP32</f>
        <v>-61</v>
      </c>
      <c r="BC32" s="47" t="n">
        <f aca="false">BB32+S32+AE32-AQ32</f>
        <v>-92.5</v>
      </c>
      <c r="BD32" s="47" t="n">
        <f aca="false">BC32+T32+AF32-AR32</f>
        <v>-124</v>
      </c>
      <c r="BE32" s="46" t="n">
        <f aca="false">IF(AS32&lt;=0,1,0)</f>
        <v>0</v>
      </c>
      <c r="BF32" s="46" t="n">
        <f aca="false">IF(AT32&lt;=0,1,0)</f>
        <v>0</v>
      </c>
      <c r="BG32" s="46" t="n">
        <f aca="false">IF(AU32&lt;=0,1,0)</f>
        <v>0</v>
      </c>
      <c r="BH32" s="46" t="n">
        <f aca="false">IF(AV32&lt;=0,1,0)</f>
        <v>0</v>
      </c>
      <c r="BI32" s="46" t="n">
        <f aca="false">IF(AW32&lt;=0,1,0)</f>
        <v>0</v>
      </c>
      <c r="BJ32" s="46" t="n">
        <f aca="false">IF(AX32&lt;=0,1,0)</f>
        <v>0</v>
      </c>
      <c r="BK32" s="46" t="n">
        <f aca="false">IF(AY32&lt;=0,1,0)</f>
        <v>0</v>
      </c>
      <c r="BL32" s="46" t="n">
        <f aca="false">IF(AZ32&lt;=0,1,0)</f>
        <v>0</v>
      </c>
      <c r="BM32" s="46" t="n">
        <f aca="false">IF(BA32&lt;=0,1,0)</f>
        <v>1</v>
      </c>
      <c r="BN32" s="46" t="n">
        <f aca="false">IF(BB32&lt;=0,1,0)</f>
        <v>1</v>
      </c>
      <c r="BO32" s="46" t="n">
        <f aca="false">IF(BC32&lt;=0,1,0)</f>
        <v>1</v>
      </c>
      <c r="BP32" s="46" t="n">
        <f aca="false">IF(BD32&lt;=0,1,0)</f>
        <v>1</v>
      </c>
      <c r="BQ32" s="41" t="n">
        <f aca="false">IF(COUNTIF(BE32:BP32,1)=0,"None",MATCH(1,BE32:BP32,0))</f>
        <v>9</v>
      </c>
      <c r="BR32" s="12" t="str">
        <f aca="false">IF(COUNTIFS(BE$6:BP$6,"&lt;="&amp;$B32,BE32:BP32,1)&gt;0,"YES","NO")</f>
        <v>NO</v>
      </c>
      <c r="BS32" s="19" t="n">
        <f aca="false">MIN(AS32:BD32)</f>
        <v>-124</v>
      </c>
    </row>
    <row r="33" customFormat="false" ht="15" hidden="false" customHeight="false" outlineLevel="0" collapsed="false">
      <c r="A33" s="11" t="str">
        <f aca="false">Replenishment_Plan!A33</f>
        <v>BED-007</v>
      </c>
      <c r="B33" s="39" t="n">
        <f aca="false">Replenishment_Plan!K33</f>
        <v>4</v>
      </c>
      <c r="C33" s="35" t="n">
        <f aca="false">Replenishment_Plan!E33</f>
        <v>28.875</v>
      </c>
      <c r="D33" s="39" t="n">
        <f aca="false">Replenishment_Plan!O33-Replenishment_Plan!Q33</f>
        <v>84</v>
      </c>
      <c r="E33" s="39" t="n">
        <f aca="false">Replenishment_Plan!P33</f>
        <v>160</v>
      </c>
      <c r="F33" s="39" t="n">
        <f aca="false">Inputs!L66</f>
        <v>3</v>
      </c>
      <c r="G33" s="39" t="n">
        <f aca="false">Replenishment_Plan!AD33</f>
        <v>0</v>
      </c>
      <c r="H33" s="19" t="str">
        <f aca="false">IF(G33&gt;0,B33+1,"none")</f>
        <v>none</v>
      </c>
      <c r="I33" s="46" t="n">
        <f aca="false">IF(AND($E33&gt;0,I$6=$F33),$E33,0)</f>
        <v>0</v>
      </c>
      <c r="J33" s="46" t="n">
        <f aca="false">IF(AND($E33&gt;0,J$6=$F33),$E33,0)</f>
        <v>0</v>
      </c>
      <c r="K33" s="46" t="n">
        <f aca="false">IF(AND($E33&gt;0,K$6=$F33),$E33,0)</f>
        <v>160</v>
      </c>
      <c r="L33" s="46" t="n">
        <f aca="false">IF(AND($E33&gt;0,L$6=$F33),$E33,0)</f>
        <v>0</v>
      </c>
      <c r="M33" s="46" t="n">
        <f aca="false">IF(AND($E33&gt;0,M$6=$F33),$E33,0)</f>
        <v>0</v>
      </c>
      <c r="N33" s="46" t="n">
        <f aca="false">IF(AND($E33&gt;0,N$6=$F33),$E33,0)</f>
        <v>0</v>
      </c>
      <c r="O33" s="46" t="n">
        <f aca="false">IF(AND($E33&gt;0,O$6=$F33),$E33,0)</f>
        <v>0</v>
      </c>
      <c r="P33" s="46" t="n">
        <f aca="false">IF(AND($E33&gt;0,P$6=$F33),$E33,0)</f>
        <v>0</v>
      </c>
      <c r="Q33" s="46" t="n">
        <f aca="false">IF(AND($E33&gt;0,Q$6=$F33),$E33,0)</f>
        <v>0</v>
      </c>
      <c r="R33" s="46" t="n">
        <f aca="false">IF(AND($E33&gt;0,R$6=$F33),$E33,0)</f>
        <v>0</v>
      </c>
      <c r="S33" s="46" t="n">
        <f aca="false">IF(AND($E33&gt;0,S$6=$F33),$E33,0)</f>
        <v>0</v>
      </c>
      <c r="T33" s="46" t="n">
        <f aca="false">IF(AND($E33&gt;0,T$6=$F33),$E33,0)</f>
        <v>0</v>
      </c>
      <c r="U33" s="46" t="n">
        <f aca="false">IF(AND($G33&gt;0,U$6=$H33),$G33,0)</f>
        <v>0</v>
      </c>
      <c r="V33" s="46" t="n">
        <f aca="false">IF(AND($G33&gt;0,V$6=$H33),$G33,0)</f>
        <v>0</v>
      </c>
      <c r="W33" s="46" t="n">
        <f aca="false">IF(AND($G33&gt;0,W$6=$H33),$G33,0)</f>
        <v>0</v>
      </c>
      <c r="X33" s="46" t="n">
        <f aca="false">IF(AND($G33&gt;0,X$6=$H33),$G33,0)</f>
        <v>0</v>
      </c>
      <c r="Y33" s="46" t="n">
        <f aca="false">IF(AND($G33&gt;0,Y$6=$H33),$G33,0)</f>
        <v>0</v>
      </c>
      <c r="Z33" s="46" t="n">
        <f aca="false">IF(AND($G33&gt;0,Z$6=$H33),$G33,0)</f>
        <v>0</v>
      </c>
      <c r="AA33" s="46" t="n">
        <f aca="false">IF(AND($G33&gt;0,AA$6=$H33),$G33,0)</f>
        <v>0</v>
      </c>
      <c r="AB33" s="46" t="n">
        <f aca="false">IF(AND($G33&gt;0,AB$6=$H33),$G33,0)</f>
        <v>0</v>
      </c>
      <c r="AC33" s="46" t="n">
        <f aca="false">IF(AND($G33&gt;0,AC$6=$H33),$G33,0)</f>
        <v>0</v>
      </c>
      <c r="AD33" s="46" t="n">
        <f aca="false">IF(AND($G33&gt;0,AD$6=$H33),$G33,0)</f>
        <v>0</v>
      </c>
      <c r="AE33" s="46" t="n">
        <f aca="false">IF(AND($G33&gt;0,AE$6=$H33),$G33,0)</f>
        <v>0</v>
      </c>
      <c r="AF33" s="46" t="n">
        <f aca="false">IF(AND($G33&gt;0,AF$6=$H33),$G33,0)</f>
        <v>0</v>
      </c>
      <c r="AG33" s="33" t="n">
        <f aca="false">$C33</f>
        <v>28.875</v>
      </c>
      <c r="AH33" s="33" t="n">
        <f aca="false">$C33</f>
        <v>28.875</v>
      </c>
      <c r="AI33" s="33" t="n">
        <f aca="false">$C33</f>
        <v>28.875</v>
      </c>
      <c r="AJ33" s="33" t="n">
        <f aca="false">$C33</f>
        <v>28.875</v>
      </c>
      <c r="AK33" s="33" t="n">
        <f aca="false">$C33</f>
        <v>28.875</v>
      </c>
      <c r="AL33" s="33" t="n">
        <f aca="false">$C33</f>
        <v>28.875</v>
      </c>
      <c r="AM33" s="33" t="n">
        <f aca="false">$C33</f>
        <v>28.875</v>
      </c>
      <c r="AN33" s="33" t="n">
        <f aca="false">$C33</f>
        <v>28.875</v>
      </c>
      <c r="AO33" s="33" t="n">
        <f aca="false">$C33</f>
        <v>28.875</v>
      </c>
      <c r="AP33" s="33" t="n">
        <f aca="false">$C33</f>
        <v>28.875</v>
      </c>
      <c r="AQ33" s="33" t="n">
        <f aca="false">$C33</f>
        <v>28.875</v>
      </c>
      <c r="AR33" s="33" t="n">
        <f aca="false">$C33</f>
        <v>28.875</v>
      </c>
      <c r="AS33" s="47" t="n">
        <f aca="false">$D33+I33+U33-AG33</f>
        <v>55.125</v>
      </c>
      <c r="AT33" s="47" t="n">
        <f aca="false">AS33+J33+V33-AH33</f>
        <v>26.25</v>
      </c>
      <c r="AU33" s="47" t="n">
        <f aca="false">AT33+K33+W33-AI33</f>
        <v>157.375</v>
      </c>
      <c r="AV33" s="47" t="n">
        <f aca="false">AU33+L33+X33-AJ33</f>
        <v>128.5</v>
      </c>
      <c r="AW33" s="47" t="n">
        <f aca="false">AV33+M33+Y33-AK33</f>
        <v>99.625</v>
      </c>
      <c r="AX33" s="47" t="n">
        <f aca="false">AW33+N33+Z33-AL33</f>
        <v>70.75</v>
      </c>
      <c r="AY33" s="47" t="n">
        <f aca="false">AX33+O33+AA33-AM33</f>
        <v>41.875</v>
      </c>
      <c r="AZ33" s="47" t="n">
        <f aca="false">AY33+P33+AB33-AN33</f>
        <v>13</v>
      </c>
      <c r="BA33" s="47" t="n">
        <f aca="false">AZ33+Q33+AC33-AO33</f>
        <v>-15.875</v>
      </c>
      <c r="BB33" s="47" t="n">
        <f aca="false">BA33+R33+AD33-AP33</f>
        <v>-44.75</v>
      </c>
      <c r="BC33" s="47" t="n">
        <f aca="false">BB33+S33+AE33-AQ33</f>
        <v>-73.625</v>
      </c>
      <c r="BD33" s="47" t="n">
        <f aca="false">BC33+T33+AF33-AR33</f>
        <v>-102.5</v>
      </c>
      <c r="BE33" s="46" t="n">
        <f aca="false">IF(AS33&lt;=0,1,0)</f>
        <v>0</v>
      </c>
      <c r="BF33" s="46" t="n">
        <f aca="false">IF(AT33&lt;=0,1,0)</f>
        <v>0</v>
      </c>
      <c r="BG33" s="46" t="n">
        <f aca="false">IF(AU33&lt;=0,1,0)</f>
        <v>0</v>
      </c>
      <c r="BH33" s="46" t="n">
        <f aca="false">IF(AV33&lt;=0,1,0)</f>
        <v>0</v>
      </c>
      <c r="BI33" s="46" t="n">
        <f aca="false">IF(AW33&lt;=0,1,0)</f>
        <v>0</v>
      </c>
      <c r="BJ33" s="46" t="n">
        <f aca="false">IF(AX33&lt;=0,1,0)</f>
        <v>0</v>
      </c>
      <c r="BK33" s="46" t="n">
        <f aca="false">IF(AY33&lt;=0,1,0)</f>
        <v>0</v>
      </c>
      <c r="BL33" s="46" t="n">
        <f aca="false">IF(AZ33&lt;=0,1,0)</f>
        <v>0</v>
      </c>
      <c r="BM33" s="46" t="n">
        <f aca="false">IF(BA33&lt;=0,1,0)</f>
        <v>1</v>
      </c>
      <c r="BN33" s="46" t="n">
        <f aca="false">IF(BB33&lt;=0,1,0)</f>
        <v>1</v>
      </c>
      <c r="BO33" s="46" t="n">
        <f aca="false">IF(BC33&lt;=0,1,0)</f>
        <v>1</v>
      </c>
      <c r="BP33" s="46" t="n">
        <f aca="false">IF(BD33&lt;=0,1,0)</f>
        <v>1</v>
      </c>
      <c r="BQ33" s="41" t="n">
        <f aca="false">IF(COUNTIF(BE33:BP33,1)=0,"None",MATCH(1,BE33:BP33,0))</f>
        <v>9</v>
      </c>
      <c r="BR33" s="12" t="str">
        <f aca="false">IF(COUNTIFS(BE$6:BP$6,"&lt;="&amp;$B33,BE33:BP33,1)&gt;0,"YES","NO")</f>
        <v>NO</v>
      </c>
      <c r="BS33" s="19" t="n">
        <f aca="false">MIN(AS33:BD33)</f>
        <v>-102.5</v>
      </c>
    </row>
    <row r="34" customFormat="false" ht="15" hidden="false" customHeight="false" outlineLevel="0" collapsed="false">
      <c r="A34" s="11" t="str">
        <f aca="false">Replenishment_Plan!A34</f>
        <v>BED-008</v>
      </c>
      <c r="B34" s="39" t="n">
        <f aca="false">Replenishment_Plan!K34</f>
        <v>4</v>
      </c>
      <c r="C34" s="35" t="n">
        <f aca="false">Replenishment_Plan!E34</f>
        <v>6.75</v>
      </c>
      <c r="D34" s="39" t="n">
        <f aca="false">Replenishment_Plan!O34-Replenishment_Plan!Q34</f>
        <v>35</v>
      </c>
      <c r="E34" s="39" t="n">
        <f aca="false">Replenishment_Plan!P34</f>
        <v>0</v>
      </c>
      <c r="F34" s="39" t="n">
        <f aca="false">Inputs!L67</f>
        <v>0</v>
      </c>
      <c r="G34" s="39" t="n">
        <f aca="false">Replenishment_Plan!AD34</f>
        <v>52</v>
      </c>
      <c r="H34" s="19" t="n">
        <f aca="false">IF(G34&gt;0,B34+1,"none")</f>
        <v>5</v>
      </c>
      <c r="I34" s="46" t="n">
        <f aca="false">IF(AND($E34&gt;0,I$6=$F34),$E34,0)</f>
        <v>0</v>
      </c>
      <c r="J34" s="46" t="n">
        <f aca="false">IF(AND($E34&gt;0,J$6=$F34),$E34,0)</f>
        <v>0</v>
      </c>
      <c r="K34" s="46" t="n">
        <f aca="false">IF(AND($E34&gt;0,K$6=$F34),$E34,0)</f>
        <v>0</v>
      </c>
      <c r="L34" s="46" t="n">
        <f aca="false">IF(AND($E34&gt;0,L$6=$F34),$E34,0)</f>
        <v>0</v>
      </c>
      <c r="M34" s="46" t="n">
        <f aca="false">IF(AND($E34&gt;0,M$6=$F34),$E34,0)</f>
        <v>0</v>
      </c>
      <c r="N34" s="46" t="n">
        <f aca="false">IF(AND($E34&gt;0,N$6=$F34),$E34,0)</f>
        <v>0</v>
      </c>
      <c r="O34" s="46" t="n">
        <f aca="false">IF(AND($E34&gt;0,O$6=$F34),$E34,0)</f>
        <v>0</v>
      </c>
      <c r="P34" s="46" t="n">
        <f aca="false">IF(AND($E34&gt;0,P$6=$F34),$E34,0)</f>
        <v>0</v>
      </c>
      <c r="Q34" s="46" t="n">
        <f aca="false">IF(AND($E34&gt;0,Q$6=$F34),$E34,0)</f>
        <v>0</v>
      </c>
      <c r="R34" s="46" t="n">
        <f aca="false">IF(AND($E34&gt;0,R$6=$F34),$E34,0)</f>
        <v>0</v>
      </c>
      <c r="S34" s="46" t="n">
        <f aca="false">IF(AND($E34&gt;0,S$6=$F34),$E34,0)</f>
        <v>0</v>
      </c>
      <c r="T34" s="46" t="n">
        <f aca="false">IF(AND($E34&gt;0,T$6=$F34),$E34,0)</f>
        <v>0</v>
      </c>
      <c r="U34" s="46" t="n">
        <f aca="false">IF(AND($G34&gt;0,U$6=$H34),$G34,0)</f>
        <v>0</v>
      </c>
      <c r="V34" s="46" t="n">
        <f aca="false">IF(AND($G34&gt;0,V$6=$H34),$G34,0)</f>
        <v>0</v>
      </c>
      <c r="W34" s="46" t="n">
        <f aca="false">IF(AND($G34&gt;0,W$6=$H34),$G34,0)</f>
        <v>0</v>
      </c>
      <c r="X34" s="46" t="n">
        <f aca="false">IF(AND($G34&gt;0,X$6=$H34),$G34,0)</f>
        <v>0</v>
      </c>
      <c r="Y34" s="46" t="n">
        <f aca="false">IF(AND($G34&gt;0,Y$6=$H34),$G34,0)</f>
        <v>52</v>
      </c>
      <c r="Z34" s="46" t="n">
        <f aca="false">IF(AND($G34&gt;0,Z$6=$H34),$G34,0)</f>
        <v>0</v>
      </c>
      <c r="AA34" s="46" t="n">
        <f aca="false">IF(AND($G34&gt;0,AA$6=$H34),$G34,0)</f>
        <v>0</v>
      </c>
      <c r="AB34" s="46" t="n">
        <f aca="false">IF(AND($G34&gt;0,AB$6=$H34),$G34,0)</f>
        <v>0</v>
      </c>
      <c r="AC34" s="46" t="n">
        <f aca="false">IF(AND($G34&gt;0,AC$6=$H34),$G34,0)</f>
        <v>0</v>
      </c>
      <c r="AD34" s="46" t="n">
        <f aca="false">IF(AND($G34&gt;0,AD$6=$H34),$G34,0)</f>
        <v>0</v>
      </c>
      <c r="AE34" s="46" t="n">
        <f aca="false">IF(AND($G34&gt;0,AE$6=$H34),$G34,0)</f>
        <v>0</v>
      </c>
      <c r="AF34" s="46" t="n">
        <f aca="false">IF(AND($G34&gt;0,AF$6=$H34),$G34,0)</f>
        <v>0</v>
      </c>
      <c r="AG34" s="33" t="n">
        <f aca="false">$C34</f>
        <v>6.75</v>
      </c>
      <c r="AH34" s="33" t="n">
        <f aca="false">$C34</f>
        <v>6.75</v>
      </c>
      <c r="AI34" s="33" t="n">
        <f aca="false">$C34</f>
        <v>6.75</v>
      </c>
      <c r="AJ34" s="33" t="n">
        <f aca="false">$C34</f>
        <v>6.75</v>
      </c>
      <c r="AK34" s="33" t="n">
        <f aca="false">$C34</f>
        <v>6.75</v>
      </c>
      <c r="AL34" s="33" t="n">
        <f aca="false">$C34</f>
        <v>6.75</v>
      </c>
      <c r="AM34" s="33" t="n">
        <f aca="false">$C34</f>
        <v>6.75</v>
      </c>
      <c r="AN34" s="33" t="n">
        <f aca="false">$C34</f>
        <v>6.75</v>
      </c>
      <c r="AO34" s="33" t="n">
        <f aca="false">$C34</f>
        <v>6.75</v>
      </c>
      <c r="AP34" s="33" t="n">
        <f aca="false">$C34</f>
        <v>6.75</v>
      </c>
      <c r="AQ34" s="33" t="n">
        <f aca="false">$C34</f>
        <v>6.75</v>
      </c>
      <c r="AR34" s="33" t="n">
        <f aca="false">$C34</f>
        <v>6.75</v>
      </c>
      <c r="AS34" s="47" t="n">
        <f aca="false">$D34+I34+U34-AG34</f>
        <v>28.25</v>
      </c>
      <c r="AT34" s="47" t="n">
        <f aca="false">AS34+J34+V34-AH34</f>
        <v>21.5</v>
      </c>
      <c r="AU34" s="47" t="n">
        <f aca="false">AT34+K34+W34-AI34</f>
        <v>14.75</v>
      </c>
      <c r="AV34" s="47" t="n">
        <f aca="false">AU34+L34+X34-AJ34</f>
        <v>8</v>
      </c>
      <c r="AW34" s="47" t="n">
        <f aca="false">AV34+M34+Y34-AK34</f>
        <v>53.25</v>
      </c>
      <c r="AX34" s="47" t="n">
        <f aca="false">AW34+N34+Z34-AL34</f>
        <v>46.5</v>
      </c>
      <c r="AY34" s="47" t="n">
        <f aca="false">AX34+O34+AA34-AM34</f>
        <v>39.75</v>
      </c>
      <c r="AZ34" s="47" t="n">
        <f aca="false">AY34+P34+AB34-AN34</f>
        <v>33</v>
      </c>
      <c r="BA34" s="47" t="n">
        <f aca="false">AZ34+Q34+AC34-AO34</f>
        <v>26.25</v>
      </c>
      <c r="BB34" s="47" t="n">
        <f aca="false">BA34+R34+AD34-AP34</f>
        <v>19.5</v>
      </c>
      <c r="BC34" s="47" t="n">
        <f aca="false">BB34+S34+AE34-AQ34</f>
        <v>12.75</v>
      </c>
      <c r="BD34" s="47" t="n">
        <f aca="false">BC34+T34+AF34-AR34</f>
        <v>6</v>
      </c>
      <c r="BE34" s="46" t="n">
        <f aca="false">IF(AS34&lt;=0,1,0)</f>
        <v>0</v>
      </c>
      <c r="BF34" s="46" t="n">
        <f aca="false">IF(AT34&lt;=0,1,0)</f>
        <v>0</v>
      </c>
      <c r="BG34" s="46" t="n">
        <f aca="false">IF(AU34&lt;=0,1,0)</f>
        <v>0</v>
      </c>
      <c r="BH34" s="46" t="n">
        <f aca="false">IF(AV34&lt;=0,1,0)</f>
        <v>0</v>
      </c>
      <c r="BI34" s="46" t="n">
        <f aca="false">IF(AW34&lt;=0,1,0)</f>
        <v>0</v>
      </c>
      <c r="BJ34" s="46" t="n">
        <f aca="false">IF(AX34&lt;=0,1,0)</f>
        <v>0</v>
      </c>
      <c r="BK34" s="46" t="n">
        <f aca="false">IF(AY34&lt;=0,1,0)</f>
        <v>0</v>
      </c>
      <c r="BL34" s="46" t="n">
        <f aca="false">IF(AZ34&lt;=0,1,0)</f>
        <v>0</v>
      </c>
      <c r="BM34" s="46" t="n">
        <f aca="false">IF(BA34&lt;=0,1,0)</f>
        <v>0</v>
      </c>
      <c r="BN34" s="46" t="n">
        <f aca="false">IF(BB34&lt;=0,1,0)</f>
        <v>0</v>
      </c>
      <c r="BO34" s="46" t="n">
        <f aca="false">IF(BC34&lt;=0,1,0)</f>
        <v>0</v>
      </c>
      <c r="BP34" s="46" t="n">
        <f aca="false">IF(BD34&lt;=0,1,0)</f>
        <v>0</v>
      </c>
      <c r="BQ34" s="41" t="str">
        <f aca="false">IF(COUNTIF(BE34:BP34,1)=0,"None",MATCH(1,BE34:BP34,0))</f>
        <v>None</v>
      </c>
      <c r="BR34" s="12" t="str">
        <f aca="false">IF(COUNTIFS(BE$6:BP$6,"&lt;="&amp;$B34,BE34:BP34,1)&gt;0,"YES","NO")</f>
        <v>NO</v>
      </c>
      <c r="BS34" s="19" t="n">
        <f aca="false">MIN(AS34:BD34)</f>
        <v>6</v>
      </c>
    </row>
    <row r="35" customFormat="false" ht="15" hidden="false" customHeight="false" outlineLevel="0" collapsed="false">
      <c r="A35" s="11" t="str">
        <f aca="false">Replenishment_Plan!A35</f>
        <v>BED-009</v>
      </c>
      <c r="B35" s="39" t="n">
        <f aca="false">Replenishment_Plan!K35</f>
        <v>4</v>
      </c>
      <c r="C35" s="35" t="n">
        <f aca="false">Replenishment_Plan!E35</f>
        <v>12.75</v>
      </c>
      <c r="D35" s="39" t="n">
        <f aca="false">Replenishment_Plan!O35-Replenishment_Plan!Q35</f>
        <v>119</v>
      </c>
      <c r="E35" s="39" t="n">
        <f aca="false">Replenishment_Plan!P35</f>
        <v>0</v>
      </c>
      <c r="F35" s="39" t="n">
        <f aca="false">Inputs!L68</f>
        <v>0</v>
      </c>
      <c r="G35" s="39" t="n">
        <f aca="false">Replenishment_Plan!AD35</f>
        <v>0</v>
      </c>
      <c r="H35" s="19" t="str">
        <f aca="false">IF(G35&gt;0,B35+1,"none")</f>
        <v>none</v>
      </c>
      <c r="I35" s="46" t="n">
        <f aca="false">IF(AND($E35&gt;0,I$6=$F35),$E35,0)</f>
        <v>0</v>
      </c>
      <c r="J35" s="46" t="n">
        <f aca="false">IF(AND($E35&gt;0,J$6=$F35),$E35,0)</f>
        <v>0</v>
      </c>
      <c r="K35" s="46" t="n">
        <f aca="false">IF(AND($E35&gt;0,K$6=$F35),$E35,0)</f>
        <v>0</v>
      </c>
      <c r="L35" s="46" t="n">
        <f aca="false">IF(AND($E35&gt;0,L$6=$F35),$E35,0)</f>
        <v>0</v>
      </c>
      <c r="M35" s="46" t="n">
        <f aca="false">IF(AND($E35&gt;0,M$6=$F35),$E35,0)</f>
        <v>0</v>
      </c>
      <c r="N35" s="46" t="n">
        <f aca="false">IF(AND($E35&gt;0,N$6=$F35),$E35,0)</f>
        <v>0</v>
      </c>
      <c r="O35" s="46" t="n">
        <f aca="false">IF(AND($E35&gt;0,O$6=$F35),$E35,0)</f>
        <v>0</v>
      </c>
      <c r="P35" s="46" t="n">
        <f aca="false">IF(AND($E35&gt;0,P$6=$F35),$E35,0)</f>
        <v>0</v>
      </c>
      <c r="Q35" s="46" t="n">
        <f aca="false">IF(AND($E35&gt;0,Q$6=$F35),$E35,0)</f>
        <v>0</v>
      </c>
      <c r="R35" s="46" t="n">
        <f aca="false">IF(AND($E35&gt;0,R$6=$F35),$E35,0)</f>
        <v>0</v>
      </c>
      <c r="S35" s="46" t="n">
        <f aca="false">IF(AND($E35&gt;0,S$6=$F35),$E35,0)</f>
        <v>0</v>
      </c>
      <c r="T35" s="46" t="n">
        <f aca="false">IF(AND($E35&gt;0,T$6=$F35),$E35,0)</f>
        <v>0</v>
      </c>
      <c r="U35" s="46" t="n">
        <f aca="false">IF(AND($G35&gt;0,U$6=$H35),$G35,0)</f>
        <v>0</v>
      </c>
      <c r="V35" s="46" t="n">
        <f aca="false">IF(AND($G35&gt;0,V$6=$H35),$G35,0)</f>
        <v>0</v>
      </c>
      <c r="W35" s="46" t="n">
        <f aca="false">IF(AND($G35&gt;0,W$6=$H35),$G35,0)</f>
        <v>0</v>
      </c>
      <c r="X35" s="46" t="n">
        <f aca="false">IF(AND($G35&gt;0,X$6=$H35),$G35,0)</f>
        <v>0</v>
      </c>
      <c r="Y35" s="46" t="n">
        <f aca="false">IF(AND($G35&gt;0,Y$6=$H35),$G35,0)</f>
        <v>0</v>
      </c>
      <c r="Z35" s="46" t="n">
        <f aca="false">IF(AND($G35&gt;0,Z$6=$H35),$G35,0)</f>
        <v>0</v>
      </c>
      <c r="AA35" s="46" t="n">
        <f aca="false">IF(AND($G35&gt;0,AA$6=$H35),$G35,0)</f>
        <v>0</v>
      </c>
      <c r="AB35" s="46" t="n">
        <f aca="false">IF(AND($G35&gt;0,AB$6=$H35),$G35,0)</f>
        <v>0</v>
      </c>
      <c r="AC35" s="46" t="n">
        <f aca="false">IF(AND($G35&gt;0,AC$6=$H35),$G35,0)</f>
        <v>0</v>
      </c>
      <c r="AD35" s="46" t="n">
        <f aca="false">IF(AND($G35&gt;0,AD$6=$H35),$G35,0)</f>
        <v>0</v>
      </c>
      <c r="AE35" s="46" t="n">
        <f aca="false">IF(AND($G35&gt;0,AE$6=$H35),$G35,0)</f>
        <v>0</v>
      </c>
      <c r="AF35" s="46" t="n">
        <f aca="false">IF(AND($G35&gt;0,AF$6=$H35),$G35,0)</f>
        <v>0</v>
      </c>
      <c r="AG35" s="33" t="n">
        <f aca="false">$C35</f>
        <v>12.75</v>
      </c>
      <c r="AH35" s="33" t="n">
        <f aca="false">$C35</f>
        <v>12.75</v>
      </c>
      <c r="AI35" s="33" t="n">
        <f aca="false">$C35</f>
        <v>12.75</v>
      </c>
      <c r="AJ35" s="33" t="n">
        <f aca="false">$C35</f>
        <v>12.75</v>
      </c>
      <c r="AK35" s="33" t="n">
        <f aca="false">$C35</f>
        <v>12.75</v>
      </c>
      <c r="AL35" s="33" t="n">
        <f aca="false">$C35</f>
        <v>12.75</v>
      </c>
      <c r="AM35" s="33" t="n">
        <f aca="false">$C35</f>
        <v>12.75</v>
      </c>
      <c r="AN35" s="33" t="n">
        <f aca="false">$C35</f>
        <v>12.75</v>
      </c>
      <c r="AO35" s="33" t="n">
        <f aca="false">$C35</f>
        <v>12.75</v>
      </c>
      <c r="AP35" s="33" t="n">
        <f aca="false">$C35</f>
        <v>12.75</v>
      </c>
      <c r="AQ35" s="33" t="n">
        <f aca="false">$C35</f>
        <v>12.75</v>
      </c>
      <c r="AR35" s="33" t="n">
        <f aca="false">$C35</f>
        <v>12.75</v>
      </c>
      <c r="AS35" s="47" t="n">
        <f aca="false">$D35+I35+U35-AG35</f>
        <v>106.25</v>
      </c>
      <c r="AT35" s="47" t="n">
        <f aca="false">AS35+J35+V35-AH35</f>
        <v>93.5</v>
      </c>
      <c r="AU35" s="47" t="n">
        <f aca="false">AT35+K35+W35-AI35</f>
        <v>80.75</v>
      </c>
      <c r="AV35" s="47" t="n">
        <f aca="false">AU35+L35+X35-AJ35</f>
        <v>68</v>
      </c>
      <c r="AW35" s="47" t="n">
        <f aca="false">AV35+M35+Y35-AK35</f>
        <v>55.25</v>
      </c>
      <c r="AX35" s="47" t="n">
        <f aca="false">AW35+N35+Z35-AL35</f>
        <v>42.5</v>
      </c>
      <c r="AY35" s="47" t="n">
        <f aca="false">AX35+O35+AA35-AM35</f>
        <v>29.75</v>
      </c>
      <c r="AZ35" s="47" t="n">
        <f aca="false">AY35+P35+AB35-AN35</f>
        <v>17</v>
      </c>
      <c r="BA35" s="47" t="n">
        <f aca="false">AZ35+Q35+AC35-AO35</f>
        <v>4.25</v>
      </c>
      <c r="BB35" s="47" t="n">
        <f aca="false">BA35+R35+AD35-AP35</f>
        <v>-8.5</v>
      </c>
      <c r="BC35" s="47" t="n">
        <f aca="false">BB35+S35+AE35-AQ35</f>
        <v>-21.25</v>
      </c>
      <c r="BD35" s="47" t="n">
        <f aca="false">BC35+T35+AF35-AR35</f>
        <v>-34</v>
      </c>
      <c r="BE35" s="46" t="n">
        <f aca="false">IF(AS35&lt;=0,1,0)</f>
        <v>0</v>
      </c>
      <c r="BF35" s="46" t="n">
        <f aca="false">IF(AT35&lt;=0,1,0)</f>
        <v>0</v>
      </c>
      <c r="BG35" s="46" t="n">
        <f aca="false">IF(AU35&lt;=0,1,0)</f>
        <v>0</v>
      </c>
      <c r="BH35" s="46" t="n">
        <f aca="false">IF(AV35&lt;=0,1,0)</f>
        <v>0</v>
      </c>
      <c r="BI35" s="46" t="n">
        <f aca="false">IF(AW35&lt;=0,1,0)</f>
        <v>0</v>
      </c>
      <c r="BJ35" s="46" t="n">
        <f aca="false">IF(AX35&lt;=0,1,0)</f>
        <v>0</v>
      </c>
      <c r="BK35" s="46" t="n">
        <f aca="false">IF(AY35&lt;=0,1,0)</f>
        <v>0</v>
      </c>
      <c r="BL35" s="46" t="n">
        <f aca="false">IF(AZ35&lt;=0,1,0)</f>
        <v>0</v>
      </c>
      <c r="BM35" s="46" t="n">
        <f aca="false">IF(BA35&lt;=0,1,0)</f>
        <v>0</v>
      </c>
      <c r="BN35" s="46" t="n">
        <f aca="false">IF(BB35&lt;=0,1,0)</f>
        <v>1</v>
      </c>
      <c r="BO35" s="46" t="n">
        <f aca="false">IF(BC35&lt;=0,1,0)</f>
        <v>1</v>
      </c>
      <c r="BP35" s="46" t="n">
        <f aca="false">IF(BD35&lt;=0,1,0)</f>
        <v>1</v>
      </c>
      <c r="BQ35" s="41" t="n">
        <f aca="false">IF(COUNTIF(BE35:BP35,1)=0,"None",MATCH(1,BE35:BP35,0))</f>
        <v>10</v>
      </c>
      <c r="BR35" s="12" t="str">
        <f aca="false">IF(COUNTIFS(BE$6:BP$6,"&lt;="&amp;$B35,BE35:BP35,1)&gt;0,"YES","NO")</f>
        <v>NO</v>
      </c>
      <c r="BS35" s="19" t="n">
        <f aca="false">MIN(AS35:BD35)</f>
        <v>-34</v>
      </c>
    </row>
    <row r="36" customFormat="false" ht="15" hidden="false" customHeight="false" outlineLevel="0" collapsed="false">
      <c r="A36" s="11" t="str">
        <f aca="false">Replenishment_Plan!A36</f>
        <v>ELE-001</v>
      </c>
      <c r="B36" s="39" t="n">
        <f aca="false">Replenishment_Plan!K36</f>
        <v>6</v>
      </c>
      <c r="C36" s="35" t="n">
        <f aca="false">Replenishment_Plan!E36</f>
        <v>33.25</v>
      </c>
      <c r="D36" s="39" t="n">
        <f aca="false">Replenishment_Plan!O36-Replenishment_Plan!Q36</f>
        <v>375</v>
      </c>
      <c r="E36" s="39" t="n">
        <f aca="false">Replenishment_Plan!P36</f>
        <v>0</v>
      </c>
      <c r="F36" s="39" t="n">
        <f aca="false">Inputs!L69</f>
        <v>0</v>
      </c>
      <c r="G36" s="39" t="n">
        <f aca="false">Replenishment_Plan!AD36</f>
        <v>0</v>
      </c>
      <c r="H36" s="19" t="str">
        <f aca="false">IF(G36&gt;0,B36+1,"none")</f>
        <v>none</v>
      </c>
      <c r="I36" s="46" t="n">
        <f aca="false">IF(AND($E36&gt;0,I$6=$F36),$E36,0)</f>
        <v>0</v>
      </c>
      <c r="J36" s="46" t="n">
        <f aca="false">IF(AND($E36&gt;0,J$6=$F36),$E36,0)</f>
        <v>0</v>
      </c>
      <c r="K36" s="46" t="n">
        <f aca="false">IF(AND($E36&gt;0,K$6=$F36),$E36,0)</f>
        <v>0</v>
      </c>
      <c r="L36" s="46" t="n">
        <f aca="false">IF(AND($E36&gt;0,L$6=$F36),$E36,0)</f>
        <v>0</v>
      </c>
      <c r="M36" s="46" t="n">
        <f aca="false">IF(AND($E36&gt;0,M$6=$F36),$E36,0)</f>
        <v>0</v>
      </c>
      <c r="N36" s="46" t="n">
        <f aca="false">IF(AND($E36&gt;0,N$6=$F36),$E36,0)</f>
        <v>0</v>
      </c>
      <c r="O36" s="46" t="n">
        <f aca="false">IF(AND($E36&gt;0,O$6=$F36),$E36,0)</f>
        <v>0</v>
      </c>
      <c r="P36" s="46" t="n">
        <f aca="false">IF(AND($E36&gt;0,P$6=$F36),$E36,0)</f>
        <v>0</v>
      </c>
      <c r="Q36" s="46" t="n">
        <f aca="false">IF(AND($E36&gt;0,Q$6=$F36),$E36,0)</f>
        <v>0</v>
      </c>
      <c r="R36" s="46" t="n">
        <f aca="false">IF(AND($E36&gt;0,R$6=$F36),$E36,0)</f>
        <v>0</v>
      </c>
      <c r="S36" s="46" t="n">
        <f aca="false">IF(AND($E36&gt;0,S$6=$F36),$E36,0)</f>
        <v>0</v>
      </c>
      <c r="T36" s="46" t="n">
        <f aca="false">IF(AND($E36&gt;0,T$6=$F36),$E36,0)</f>
        <v>0</v>
      </c>
      <c r="U36" s="46" t="n">
        <f aca="false">IF(AND($G36&gt;0,U$6=$H36),$G36,0)</f>
        <v>0</v>
      </c>
      <c r="V36" s="46" t="n">
        <f aca="false">IF(AND($G36&gt;0,V$6=$H36),$G36,0)</f>
        <v>0</v>
      </c>
      <c r="W36" s="46" t="n">
        <f aca="false">IF(AND($G36&gt;0,W$6=$H36),$G36,0)</f>
        <v>0</v>
      </c>
      <c r="X36" s="46" t="n">
        <f aca="false">IF(AND($G36&gt;0,X$6=$H36),$G36,0)</f>
        <v>0</v>
      </c>
      <c r="Y36" s="46" t="n">
        <f aca="false">IF(AND($G36&gt;0,Y$6=$H36),$G36,0)</f>
        <v>0</v>
      </c>
      <c r="Z36" s="46" t="n">
        <f aca="false">IF(AND($G36&gt;0,Z$6=$H36),$G36,0)</f>
        <v>0</v>
      </c>
      <c r="AA36" s="46" t="n">
        <f aca="false">IF(AND($G36&gt;0,AA$6=$H36),$G36,0)</f>
        <v>0</v>
      </c>
      <c r="AB36" s="46" t="n">
        <f aca="false">IF(AND($G36&gt;0,AB$6=$H36),$G36,0)</f>
        <v>0</v>
      </c>
      <c r="AC36" s="46" t="n">
        <f aca="false">IF(AND($G36&gt;0,AC$6=$H36),$G36,0)</f>
        <v>0</v>
      </c>
      <c r="AD36" s="46" t="n">
        <f aca="false">IF(AND($G36&gt;0,AD$6=$H36),$G36,0)</f>
        <v>0</v>
      </c>
      <c r="AE36" s="46" t="n">
        <f aca="false">IF(AND($G36&gt;0,AE$6=$H36),$G36,0)</f>
        <v>0</v>
      </c>
      <c r="AF36" s="46" t="n">
        <f aca="false">IF(AND($G36&gt;0,AF$6=$H36),$G36,0)</f>
        <v>0</v>
      </c>
      <c r="AG36" s="33" t="n">
        <f aca="false">$C36</f>
        <v>33.25</v>
      </c>
      <c r="AH36" s="33" t="n">
        <f aca="false">$C36</f>
        <v>33.25</v>
      </c>
      <c r="AI36" s="33" t="n">
        <f aca="false">$C36</f>
        <v>33.25</v>
      </c>
      <c r="AJ36" s="33" t="n">
        <f aca="false">$C36</f>
        <v>33.25</v>
      </c>
      <c r="AK36" s="33" t="n">
        <f aca="false">$C36</f>
        <v>33.25</v>
      </c>
      <c r="AL36" s="33" t="n">
        <f aca="false">$C36</f>
        <v>33.25</v>
      </c>
      <c r="AM36" s="33" t="n">
        <f aca="false">$C36</f>
        <v>33.25</v>
      </c>
      <c r="AN36" s="33" t="n">
        <f aca="false">$C36</f>
        <v>33.25</v>
      </c>
      <c r="AO36" s="33" t="n">
        <f aca="false">$C36</f>
        <v>33.25</v>
      </c>
      <c r="AP36" s="33" t="n">
        <f aca="false">$C36</f>
        <v>33.25</v>
      </c>
      <c r="AQ36" s="33" t="n">
        <f aca="false">$C36</f>
        <v>33.25</v>
      </c>
      <c r="AR36" s="33" t="n">
        <f aca="false">$C36</f>
        <v>33.25</v>
      </c>
      <c r="AS36" s="47" t="n">
        <f aca="false">$D36+I36+U36-AG36</f>
        <v>341.75</v>
      </c>
      <c r="AT36" s="47" t="n">
        <f aca="false">AS36+J36+V36-AH36</f>
        <v>308.5</v>
      </c>
      <c r="AU36" s="47" t="n">
        <f aca="false">AT36+K36+W36-AI36</f>
        <v>275.25</v>
      </c>
      <c r="AV36" s="47" t="n">
        <f aca="false">AU36+L36+X36-AJ36</f>
        <v>242</v>
      </c>
      <c r="AW36" s="47" t="n">
        <f aca="false">AV36+M36+Y36-AK36</f>
        <v>208.75</v>
      </c>
      <c r="AX36" s="47" t="n">
        <f aca="false">AW36+N36+Z36-AL36</f>
        <v>175.5</v>
      </c>
      <c r="AY36" s="47" t="n">
        <f aca="false">AX36+O36+AA36-AM36</f>
        <v>142.25</v>
      </c>
      <c r="AZ36" s="47" t="n">
        <f aca="false">AY36+P36+AB36-AN36</f>
        <v>109</v>
      </c>
      <c r="BA36" s="47" t="n">
        <f aca="false">AZ36+Q36+AC36-AO36</f>
        <v>75.75</v>
      </c>
      <c r="BB36" s="47" t="n">
        <f aca="false">BA36+R36+AD36-AP36</f>
        <v>42.5</v>
      </c>
      <c r="BC36" s="47" t="n">
        <f aca="false">BB36+S36+AE36-AQ36</f>
        <v>9.25</v>
      </c>
      <c r="BD36" s="47" t="n">
        <f aca="false">BC36+T36+AF36-AR36</f>
        <v>-24</v>
      </c>
      <c r="BE36" s="46" t="n">
        <f aca="false">IF(AS36&lt;=0,1,0)</f>
        <v>0</v>
      </c>
      <c r="BF36" s="46" t="n">
        <f aca="false">IF(AT36&lt;=0,1,0)</f>
        <v>0</v>
      </c>
      <c r="BG36" s="46" t="n">
        <f aca="false">IF(AU36&lt;=0,1,0)</f>
        <v>0</v>
      </c>
      <c r="BH36" s="46" t="n">
        <f aca="false">IF(AV36&lt;=0,1,0)</f>
        <v>0</v>
      </c>
      <c r="BI36" s="46" t="n">
        <f aca="false">IF(AW36&lt;=0,1,0)</f>
        <v>0</v>
      </c>
      <c r="BJ36" s="46" t="n">
        <f aca="false">IF(AX36&lt;=0,1,0)</f>
        <v>0</v>
      </c>
      <c r="BK36" s="46" t="n">
        <f aca="false">IF(AY36&lt;=0,1,0)</f>
        <v>0</v>
      </c>
      <c r="BL36" s="46" t="n">
        <f aca="false">IF(AZ36&lt;=0,1,0)</f>
        <v>0</v>
      </c>
      <c r="BM36" s="46" t="n">
        <f aca="false">IF(BA36&lt;=0,1,0)</f>
        <v>0</v>
      </c>
      <c r="BN36" s="46" t="n">
        <f aca="false">IF(BB36&lt;=0,1,0)</f>
        <v>0</v>
      </c>
      <c r="BO36" s="46" t="n">
        <f aca="false">IF(BC36&lt;=0,1,0)</f>
        <v>0</v>
      </c>
      <c r="BP36" s="46" t="n">
        <f aca="false">IF(BD36&lt;=0,1,0)</f>
        <v>1</v>
      </c>
      <c r="BQ36" s="41" t="n">
        <f aca="false">IF(COUNTIF(BE36:BP36,1)=0,"None",MATCH(1,BE36:BP36,0))</f>
        <v>12</v>
      </c>
      <c r="BR36" s="12" t="str">
        <f aca="false">IF(COUNTIFS(BE$6:BP$6,"&lt;="&amp;$B36,BE36:BP36,1)&gt;0,"YES","NO")</f>
        <v>NO</v>
      </c>
      <c r="BS36" s="19" t="n">
        <f aca="false">MIN(AS36:BD36)</f>
        <v>-24</v>
      </c>
    </row>
    <row r="37" customFormat="false" ht="15" hidden="false" customHeight="false" outlineLevel="0" collapsed="false">
      <c r="A37" s="11" t="str">
        <f aca="false">Replenishment_Plan!A37</f>
        <v>ELE-002</v>
      </c>
      <c r="B37" s="39" t="n">
        <f aca="false">Replenishment_Plan!K37</f>
        <v>6</v>
      </c>
      <c r="C37" s="35" t="n">
        <f aca="false">Replenishment_Plan!E37</f>
        <v>36.5</v>
      </c>
      <c r="D37" s="39" t="n">
        <f aca="false">Replenishment_Plan!O37-Replenishment_Plan!Q37</f>
        <v>106</v>
      </c>
      <c r="E37" s="39" t="n">
        <f aca="false">Replenishment_Plan!P37</f>
        <v>120</v>
      </c>
      <c r="F37" s="39" t="n">
        <f aca="false">Inputs!L70</f>
        <v>2</v>
      </c>
      <c r="G37" s="39" t="n">
        <f aca="false">Replenishment_Plan!AD37</f>
        <v>236</v>
      </c>
      <c r="H37" s="19" t="n">
        <f aca="false">IF(G37&gt;0,B37+1,"none")</f>
        <v>7</v>
      </c>
      <c r="I37" s="46" t="n">
        <f aca="false">IF(AND($E37&gt;0,I$6=$F37),$E37,0)</f>
        <v>0</v>
      </c>
      <c r="J37" s="46" t="n">
        <f aca="false">IF(AND($E37&gt;0,J$6=$F37),$E37,0)</f>
        <v>120</v>
      </c>
      <c r="K37" s="46" t="n">
        <f aca="false">IF(AND($E37&gt;0,K$6=$F37),$E37,0)</f>
        <v>0</v>
      </c>
      <c r="L37" s="46" t="n">
        <f aca="false">IF(AND($E37&gt;0,L$6=$F37),$E37,0)</f>
        <v>0</v>
      </c>
      <c r="M37" s="46" t="n">
        <f aca="false">IF(AND($E37&gt;0,M$6=$F37),$E37,0)</f>
        <v>0</v>
      </c>
      <c r="N37" s="46" t="n">
        <f aca="false">IF(AND($E37&gt;0,N$6=$F37),$E37,0)</f>
        <v>0</v>
      </c>
      <c r="O37" s="46" t="n">
        <f aca="false">IF(AND($E37&gt;0,O$6=$F37),$E37,0)</f>
        <v>0</v>
      </c>
      <c r="P37" s="46" t="n">
        <f aca="false">IF(AND($E37&gt;0,P$6=$F37),$E37,0)</f>
        <v>0</v>
      </c>
      <c r="Q37" s="46" t="n">
        <f aca="false">IF(AND($E37&gt;0,Q$6=$F37),$E37,0)</f>
        <v>0</v>
      </c>
      <c r="R37" s="46" t="n">
        <f aca="false">IF(AND($E37&gt;0,R$6=$F37),$E37,0)</f>
        <v>0</v>
      </c>
      <c r="S37" s="46" t="n">
        <f aca="false">IF(AND($E37&gt;0,S$6=$F37),$E37,0)</f>
        <v>0</v>
      </c>
      <c r="T37" s="46" t="n">
        <f aca="false">IF(AND($E37&gt;0,T$6=$F37),$E37,0)</f>
        <v>0</v>
      </c>
      <c r="U37" s="46" t="n">
        <f aca="false">IF(AND($G37&gt;0,U$6=$H37),$G37,0)</f>
        <v>0</v>
      </c>
      <c r="V37" s="46" t="n">
        <f aca="false">IF(AND($G37&gt;0,V$6=$H37),$G37,0)</f>
        <v>0</v>
      </c>
      <c r="W37" s="46" t="n">
        <f aca="false">IF(AND($G37&gt;0,W$6=$H37),$G37,0)</f>
        <v>0</v>
      </c>
      <c r="X37" s="46" t="n">
        <f aca="false">IF(AND($G37&gt;0,X$6=$H37),$G37,0)</f>
        <v>0</v>
      </c>
      <c r="Y37" s="46" t="n">
        <f aca="false">IF(AND($G37&gt;0,Y$6=$H37),$G37,0)</f>
        <v>0</v>
      </c>
      <c r="Z37" s="46" t="n">
        <f aca="false">IF(AND($G37&gt;0,Z$6=$H37),$G37,0)</f>
        <v>0</v>
      </c>
      <c r="AA37" s="46" t="n">
        <f aca="false">IF(AND($G37&gt;0,AA$6=$H37),$G37,0)</f>
        <v>236</v>
      </c>
      <c r="AB37" s="46" t="n">
        <f aca="false">IF(AND($G37&gt;0,AB$6=$H37),$G37,0)</f>
        <v>0</v>
      </c>
      <c r="AC37" s="46" t="n">
        <f aca="false">IF(AND($G37&gt;0,AC$6=$H37),$G37,0)</f>
        <v>0</v>
      </c>
      <c r="AD37" s="46" t="n">
        <f aca="false">IF(AND($G37&gt;0,AD$6=$H37),$G37,0)</f>
        <v>0</v>
      </c>
      <c r="AE37" s="46" t="n">
        <f aca="false">IF(AND($G37&gt;0,AE$6=$H37),$G37,0)</f>
        <v>0</v>
      </c>
      <c r="AF37" s="46" t="n">
        <f aca="false">IF(AND($G37&gt;0,AF$6=$H37),$G37,0)</f>
        <v>0</v>
      </c>
      <c r="AG37" s="33" t="n">
        <f aca="false">$C37</f>
        <v>36.5</v>
      </c>
      <c r="AH37" s="33" t="n">
        <f aca="false">$C37</f>
        <v>36.5</v>
      </c>
      <c r="AI37" s="33" t="n">
        <f aca="false">$C37</f>
        <v>36.5</v>
      </c>
      <c r="AJ37" s="33" t="n">
        <f aca="false">$C37</f>
        <v>36.5</v>
      </c>
      <c r="AK37" s="33" t="n">
        <f aca="false">$C37</f>
        <v>36.5</v>
      </c>
      <c r="AL37" s="33" t="n">
        <f aca="false">$C37</f>
        <v>36.5</v>
      </c>
      <c r="AM37" s="33" t="n">
        <f aca="false">$C37</f>
        <v>36.5</v>
      </c>
      <c r="AN37" s="33" t="n">
        <f aca="false">$C37</f>
        <v>36.5</v>
      </c>
      <c r="AO37" s="33" t="n">
        <f aca="false">$C37</f>
        <v>36.5</v>
      </c>
      <c r="AP37" s="33" t="n">
        <f aca="false">$C37</f>
        <v>36.5</v>
      </c>
      <c r="AQ37" s="33" t="n">
        <f aca="false">$C37</f>
        <v>36.5</v>
      </c>
      <c r="AR37" s="33" t="n">
        <f aca="false">$C37</f>
        <v>36.5</v>
      </c>
      <c r="AS37" s="47" t="n">
        <f aca="false">$D37+I37+U37-AG37</f>
        <v>69.5</v>
      </c>
      <c r="AT37" s="47" t="n">
        <f aca="false">AS37+J37+V37-AH37</f>
        <v>153</v>
      </c>
      <c r="AU37" s="47" t="n">
        <f aca="false">AT37+K37+W37-AI37</f>
        <v>116.5</v>
      </c>
      <c r="AV37" s="47" t="n">
        <f aca="false">AU37+L37+X37-AJ37</f>
        <v>80</v>
      </c>
      <c r="AW37" s="47" t="n">
        <f aca="false">AV37+M37+Y37-AK37</f>
        <v>43.5</v>
      </c>
      <c r="AX37" s="47" t="n">
        <f aca="false">AW37+N37+Z37-AL37</f>
        <v>7</v>
      </c>
      <c r="AY37" s="47" t="n">
        <f aca="false">AX37+O37+AA37-AM37</f>
        <v>206.5</v>
      </c>
      <c r="AZ37" s="47" t="n">
        <f aca="false">AY37+P37+AB37-AN37</f>
        <v>170</v>
      </c>
      <c r="BA37" s="47" t="n">
        <f aca="false">AZ37+Q37+AC37-AO37</f>
        <v>133.5</v>
      </c>
      <c r="BB37" s="47" t="n">
        <f aca="false">BA37+R37+AD37-AP37</f>
        <v>97</v>
      </c>
      <c r="BC37" s="47" t="n">
        <f aca="false">BB37+S37+AE37-AQ37</f>
        <v>60.5</v>
      </c>
      <c r="BD37" s="47" t="n">
        <f aca="false">BC37+T37+AF37-AR37</f>
        <v>24</v>
      </c>
      <c r="BE37" s="46" t="n">
        <f aca="false">IF(AS37&lt;=0,1,0)</f>
        <v>0</v>
      </c>
      <c r="BF37" s="46" t="n">
        <f aca="false">IF(AT37&lt;=0,1,0)</f>
        <v>0</v>
      </c>
      <c r="BG37" s="46" t="n">
        <f aca="false">IF(AU37&lt;=0,1,0)</f>
        <v>0</v>
      </c>
      <c r="BH37" s="46" t="n">
        <f aca="false">IF(AV37&lt;=0,1,0)</f>
        <v>0</v>
      </c>
      <c r="BI37" s="46" t="n">
        <f aca="false">IF(AW37&lt;=0,1,0)</f>
        <v>0</v>
      </c>
      <c r="BJ37" s="46" t="n">
        <f aca="false">IF(AX37&lt;=0,1,0)</f>
        <v>0</v>
      </c>
      <c r="BK37" s="46" t="n">
        <f aca="false">IF(AY37&lt;=0,1,0)</f>
        <v>0</v>
      </c>
      <c r="BL37" s="46" t="n">
        <f aca="false">IF(AZ37&lt;=0,1,0)</f>
        <v>0</v>
      </c>
      <c r="BM37" s="46" t="n">
        <f aca="false">IF(BA37&lt;=0,1,0)</f>
        <v>0</v>
      </c>
      <c r="BN37" s="46" t="n">
        <f aca="false">IF(BB37&lt;=0,1,0)</f>
        <v>0</v>
      </c>
      <c r="BO37" s="46" t="n">
        <f aca="false">IF(BC37&lt;=0,1,0)</f>
        <v>0</v>
      </c>
      <c r="BP37" s="46" t="n">
        <f aca="false">IF(BD37&lt;=0,1,0)</f>
        <v>0</v>
      </c>
      <c r="BQ37" s="41" t="str">
        <f aca="false">IF(COUNTIF(BE37:BP37,1)=0,"None",MATCH(1,BE37:BP37,0))</f>
        <v>None</v>
      </c>
      <c r="BR37" s="12" t="str">
        <f aca="false">IF(COUNTIFS(BE$6:BP$6,"&lt;="&amp;$B37,BE37:BP37,1)&gt;0,"YES","NO")</f>
        <v>NO</v>
      </c>
      <c r="BS37" s="19" t="n">
        <f aca="false">MIN(AS37:BD37)</f>
        <v>7</v>
      </c>
    </row>
    <row r="38" customFormat="false" ht="15" hidden="false" customHeight="false" outlineLevel="0" collapsed="false">
      <c r="A38" s="11" t="str">
        <f aca="false">Replenishment_Plan!A38</f>
        <v>ELE-003</v>
      </c>
      <c r="B38" s="39" t="n">
        <f aca="false">Replenishment_Plan!K38</f>
        <v>6</v>
      </c>
      <c r="C38" s="35" t="n">
        <f aca="false">Replenishment_Plan!E38</f>
        <v>36.5</v>
      </c>
      <c r="D38" s="39" t="n">
        <f aca="false">Replenishment_Plan!O38-Replenishment_Plan!Q38</f>
        <v>58</v>
      </c>
      <c r="E38" s="39" t="n">
        <f aca="false">Replenishment_Plan!P38</f>
        <v>276</v>
      </c>
      <c r="F38" s="39" t="n">
        <f aca="false">Inputs!L71</f>
        <v>6</v>
      </c>
      <c r="G38" s="39" t="n">
        <f aca="false">Replenishment_Plan!AD38</f>
        <v>0</v>
      </c>
      <c r="H38" s="19" t="str">
        <f aca="false">IF(G38&gt;0,B38+1,"none")</f>
        <v>none</v>
      </c>
      <c r="I38" s="46" t="n">
        <f aca="false">IF(AND($E38&gt;0,I$6=$F38),$E38,0)</f>
        <v>0</v>
      </c>
      <c r="J38" s="46" t="n">
        <f aca="false">IF(AND($E38&gt;0,J$6=$F38),$E38,0)</f>
        <v>0</v>
      </c>
      <c r="K38" s="46" t="n">
        <f aca="false">IF(AND($E38&gt;0,K$6=$F38),$E38,0)</f>
        <v>0</v>
      </c>
      <c r="L38" s="46" t="n">
        <f aca="false">IF(AND($E38&gt;0,L$6=$F38),$E38,0)</f>
        <v>0</v>
      </c>
      <c r="M38" s="46" t="n">
        <f aca="false">IF(AND($E38&gt;0,M$6=$F38),$E38,0)</f>
        <v>0</v>
      </c>
      <c r="N38" s="46" t="n">
        <f aca="false">IF(AND($E38&gt;0,N$6=$F38),$E38,0)</f>
        <v>276</v>
      </c>
      <c r="O38" s="46" t="n">
        <f aca="false">IF(AND($E38&gt;0,O$6=$F38),$E38,0)</f>
        <v>0</v>
      </c>
      <c r="P38" s="46" t="n">
        <f aca="false">IF(AND($E38&gt;0,P$6=$F38),$E38,0)</f>
        <v>0</v>
      </c>
      <c r="Q38" s="46" t="n">
        <f aca="false">IF(AND($E38&gt;0,Q$6=$F38),$E38,0)</f>
        <v>0</v>
      </c>
      <c r="R38" s="46" t="n">
        <f aca="false">IF(AND($E38&gt;0,R$6=$F38),$E38,0)</f>
        <v>0</v>
      </c>
      <c r="S38" s="46" t="n">
        <f aca="false">IF(AND($E38&gt;0,S$6=$F38),$E38,0)</f>
        <v>0</v>
      </c>
      <c r="T38" s="46" t="n">
        <f aca="false">IF(AND($E38&gt;0,T$6=$F38),$E38,0)</f>
        <v>0</v>
      </c>
      <c r="U38" s="46" t="n">
        <f aca="false">IF(AND($G38&gt;0,U$6=$H38),$G38,0)</f>
        <v>0</v>
      </c>
      <c r="V38" s="46" t="n">
        <f aca="false">IF(AND($G38&gt;0,V$6=$H38),$G38,0)</f>
        <v>0</v>
      </c>
      <c r="W38" s="46" t="n">
        <f aca="false">IF(AND($G38&gt;0,W$6=$H38),$G38,0)</f>
        <v>0</v>
      </c>
      <c r="X38" s="46" t="n">
        <f aca="false">IF(AND($G38&gt;0,X$6=$H38),$G38,0)</f>
        <v>0</v>
      </c>
      <c r="Y38" s="46" t="n">
        <f aca="false">IF(AND($G38&gt;0,Y$6=$H38),$G38,0)</f>
        <v>0</v>
      </c>
      <c r="Z38" s="46" t="n">
        <f aca="false">IF(AND($G38&gt;0,Z$6=$H38),$G38,0)</f>
        <v>0</v>
      </c>
      <c r="AA38" s="46" t="n">
        <f aca="false">IF(AND($G38&gt;0,AA$6=$H38),$G38,0)</f>
        <v>0</v>
      </c>
      <c r="AB38" s="46" t="n">
        <f aca="false">IF(AND($G38&gt;0,AB$6=$H38),$G38,0)</f>
        <v>0</v>
      </c>
      <c r="AC38" s="46" t="n">
        <f aca="false">IF(AND($G38&gt;0,AC$6=$H38),$G38,0)</f>
        <v>0</v>
      </c>
      <c r="AD38" s="46" t="n">
        <f aca="false">IF(AND($G38&gt;0,AD$6=$H38),$G38,0)</f>
        <v>0</v>
      </c>
      <c r="AE38" s="46" t="n">
        <f aca="false">IF(AND($G38&gt;0,AE$6=$H38),$G38,0)</f>
        <v>0</v>
      </c>
      <c r="AF38" s="46" t="n">
        <f aca="false">IF(AND($G38&gt;0,AF$6=$H38),$G38,0)</f>
        <v>0</v>
      </c>
      <c r="AG38" s="33" t="n">
        <f aca="false">$C38</f>
        <v>36.5</v>
      </c>
      <c r="AH38" s="33" t="n">
        <f aca="false">$C38</f>
        <v>36.5</v>
      </c>
      <c r="AI38" s="33" t="n">
        <f aca="false">$C38</f>
        <v>36.5</v>
      </c>
      <c r="AJ38" s="33" t="n">
        <f aca="false">$C38</f>
        <v>36.5</v>
      </c>
      <c r="AK38" s="33" t="n">
        <f aca="false">$C38</f>
        <v>36.5</v>
      </c>
      <c r="AL38" s="33" t="n">
        <f aca="false">$C38</f>
        <v>36.5</v>
      </c>
      <c r="AM38" s="33" t="n">
        <f aca="false">$C38</f>
        <v>36.5</v>
      </c>
      <c r="AN38" s="33" t="n">
        <f aca="false">$C38</f>
        <v>36.5</v>
      </c>
      <c r="AO38" s="33" t="n">
        <f aca="false">$C38</f>
        <v>36.5</v>
      </c>
      <c r="AP38" s="33" t="n">
        <f aca="false">$C38</f>
        <v>36.5</v>
      </c>
      <c r="AQ38" s="33" t="n">
        <f aca="false">$C38</f>
        <v>36.5</v>
      </c>
      <c r="AR38" s="33" t="n">
        <f aca="false">$C38</f>
        <v>36.5</v>
      </c>
      <c r="AS38" s="47" t="n">
        <f aca="false">$D38+I38+U38-AG38</f>
        <v>21.5</v>
      </c>
      <c r="AT38" s="47" t="n">
        <f aca="false">AS38+J38+V38-AH38</f>
        <v>-15</v>
      </c>
      <c r="AU38" s="47" t="n">
        <f aca="false">AT38+K38+W38-AI38</f>
        <v>-51.5</v>
      </c>
      <c r="AV38" s="47" t="n">
        <f aca="false">AU38+L38+X38-AJ38</f>
        <v>-88</v>
      </c>
      <c r="AW38" s="47" t="n">
        <f aca="false">AV38+M38+Y38-AK38</f>
        <v>-124.5</v>
      </c>
      <c r="AX38" s="47" t="n">
        <f aca="false">AW38+N38+Z38-AL38</f>
        <v>115</v>
      </c>
      <c r="AY38" s="47" t="n">
        <f aca="false">AX38+O38+AA38-AM38</f>
        <v>78.5</v>
      </c>
      <c r="AZ38" s="47" t="n">
        <f aca="false">AY38+P38+AB38-AN38</f>
        <v>42</v>
      </c>
      <c r="BA38" s="47" t="n">
        <f aca="false">AZ38+Q38+AC38-AO38</f>
        <v>5.5</v>
      </c>
      <c r="BB38" s="47" t="n">
        <f aca="false">BA38+R38+AD38-AP38</f>
        <v>-31</v>
      </c>
      <c r="BC38" s="47" t="n">
        <f aca="false">BB38+S38+AE38-AQ38</f>
        <v>-67.5</v>
      </c>
      <c r="BD38" s="47" t="n">
        <f aca="false">BC38+T38+AF38-AR38</f>
        <v>-104</v>
      </c>
      <c r="BE38" s="46" t="n">
        <f aca="false">IF(AS38&lt;=0,1,0)</f>
        <v>0</v>
      </c>
      <c r="BF38" s="46" t="n">
        <f aca="false">IF(AT38&lt;=0,1,0)</f>
        <v>1</v>
      </c>
      <c r="BG38" s="46" t="n">
        <f aca="false">IF(AU38&lt;=0,1,0)</f>
        <v>1</v>
      </c>
      <c r="BH38" s="46" t="n">
        <f aca="false">IF(AV38&lt;=0,1,0)</f>
        <v>1</v>
      </c>
      <c r="BI38" s="46" t="n">
        <f aca="false">IF(AW38&lt;=0,1,0)</f>
        <v>1</v>
      </c>
      <c r="BJ38" s="46" t="n">
        <f aca="false">IF(AX38&lt;=0,1,0)</f>
        <v>0</v>
      </c>
      <c r="BK38" s="46" t="n">
        <f aca="false">IF(AY38&lt;=0,1,0)</f>
        <v>0</v>
      </c>
      <c r="BL38" s="46" t="n">
        <f aca="false">IF(AZ38&lt;=0,1,0)</f>
        <v>0</v>
      </c>
      <c r="BM38" s="46" t="n">
        <f aca="false">IF(BA38&lt;=0,1,0)</f>
        <v>0</v>
      </c>
      <c r="BN38" s="46" t="n">
        <f aca="false">IF(BB38&lt;=0,1,0)</f>
        <v>1</v>
      </c>
      <c r="BO38" s="46" t="n">
        <f aca="false">IF(BC38&lt;=0,1,0)</f>
        <v>1</v>
      </c>
      <c r="BP38" s="46" t="n">
        <f aca="false">IF(BD38&lt;=0,1,0)</f>
        <v>1</v>
      </c>
      <c r="BQ38" s="41" t="n">
        <f aca="false">IF(COUNTIF(BE38:BP38,1)=0,"None",MATCH(1,BE38:BP38,0))</f>
        <v>2</v>
      </c>
      <c r="BR38" s="12" t="str">
        <f aca="false">IF(COUNTIFS(BE$6:BP$6,"&lt;="&amp;$B38,BE38:BP38,1)&gt;0,"YES","NO")</f>
        <v>YES</v>
      </c>
      <c r="BS38" s="19" t="n">
        <f aca="false">MIN(AS38:BD38)</f>
        <v>-124.5</v>
      </c>
    </row>
    <row r="39" customFormat="false" ht="15" hidden="false" customHeight="false" outlineLevel="0" collapsed="false">
      <c r="A39" s="11" t="str">
        <f aca="false">Replenishment_Plan!A39</f>
        <v>ELE-004</v>
      </c>
      <c r="B39" s="39" t="n">
        <f aca="false">Replenishment_Plan!K39</f>
        <v>6</v>
      </c>
      <c r="C39" s="35" t="n">
        <f aca="false">Replenishment_Plan!E39</f>
        <v>121</v>
      </c>
      <c r="D39" s="39" t="n">
        <f aca="false">Replenishment_Plan!O39-Replenishment_Plan!Q39</f>
        <v>1060</v>
      </c>
      <c r="E39" s="39" t="n">
        <f aca="false">Replenishment_Plan!P39</f>
        <v>0</v>
      </c>
      <c r="F39" s="39" t="n">
        <f aca="false">Inputs!L72</f>
        <v>0</v>
      </c>
      <c r="G39" s="39" t="n">
        <f aca="false">Replenishment_Plan!AD39</f>
        <v>0</v>
      </c>
      <c r="H39" s="19" t="str">
        <f aca="false">IF(G39&gt;0,B39+1,"none")</f>
        <v>none</v>
      </c>
      <c r="I39" s="46" t="n">
        <f aca="false">IF(AND($E39&gt;0,I$6=$F39),$E39,0)</f>
        <v>0</v>
      </c>
      <c r="J39" s="46" t="n">
        <f aca="false">IF(AND($E39&gt;0,J$6=$F39),$E39,0)</f>
        <v>0</v>
      </c>
      <c r="K39" s="46" t="n">
        <f aca="false">IF(AND($E39&gt;0,K$6=$F39),$E39,0)</f>
        <v>0</v>
      </c>
      <c r="L39" s="46" t="n">
        <f aca="false">IF(AND($E39&gt;0,L$6=$F39),$E39,0)</f>
        <v>0</v>
      </c>
      <c r="M39" s="46" t="n">
        <f aca="false">IF(AND($E39&gt;0,M$6=$F39),$E39,0)</f>
        <v>0</v>
      </c>
      <c r="N39" s="46" t="n">
        <f aca="false">IF(AND($E39&gt;0,N$6=$F39),$E39,0)</f>
        <v>0</v>
      </c>
      <c r="O39" s="46" t="n">
        <f aca="false">IF(AND($E39&gt;0,O$6=$F39),$E39,0)</f>
        <v>0</v>
      </c>
      <c r="P39" s="46" t="n">
        <f aca="false">IF(AND($E39&gt;0,P$6=$F39),$E39,0)</f>
        <v>0</v>
      </c>
      <c r="Q39" s="46" t="n">
        <f aca="false">IF(AND($E39&gt;0,Q$6=$F39),$E39,0)</f>
        <v>0</v>
      </c>
      <c r="R39" s="46" t="n">
        <f aca="false">IF(AND($E39&gt;0,R$6=$F39),$E39,0)</f>
        <v>0</v>
      </c>
      <c r="S39" s="46" t="n">
        <f aca="false">IF(AND($E39&gt;0,S$6=$F39),$E39,0)</f>
        <v>0</v>
      </c>
      <c r="T39" s="46" t="n">
        <f aca="false">IF(AND($E39&gt;0,T$6=$F39),$E39,0)</f>
        <v>0</v>
      </c>
      <c r="U39" s="46" t="n">
        <f aca="false">IF(AND($G39&gt;0,U$6=$H39),$G39,0)</f>
        <v>0</v>
      </c>
      <c r="V39" s="46" t="n">
        <f aca="false">IF(AND($G39&gt;0,V$6=$H39),$G39,0)</f>
        <v>0</v>
      </c>
      <c r="W39" s="46" t="n">
        <f aca="false">IF(AND($G39&gt;0,W$6=$H39),$G39,0)</f>
        <v>0</v>
      </c>
      <c r="X39" s="46" t="n">
        <f aca="false">IF(AND($G39&gt;0,X$6=$H39),$G39,0)</f>
        <v>0</v>
      </c>
      <c r="Y39" s="46" t="n">
        <f aca="false">IF(AND($G39&gt;0,Y$6=$H39),$G39,0)</f>
        <v>0</v>
      </c>
      <c r="Z39" s="46" t="n">
        <f aca="false">IF(AND($G39&gt;0,Z$6=$H39),$G39,0)</f>
        <v>0</v>
      </c>
      <c r="AA39" s="46" t="n">
        <f aca="false">IF(AND($G39&gt;0,AA$6=$H39),$G39,0)</f>
        <v>0</v>
      </c>
      <c r="AB39" s="46" t="n">
        <f aca="false">IF(AND($G39&gt;0,AB$6=$H39),$G39,0)</f>
        <v>0</v>
      </c>
      <c r="AC39" s="46" t="n">
        <f aca="false">IF(AND($G39&gt;0,AC$6=$H39),$G39,0)</f>
        <v>0</v>
      </c>
      <c r="AD39" s="46" t="n">
        <f aca="false">IF(AND($G39&gt;0,AD$6=$H39),$G39,0)</f>
        <v>0</v>
      </c>
      <c r="AE39" s="46" t="n">
        <f aca="false">IF(AND($G39&gt;0,AE$6=$H39),$G39,0)</f>
        <v>0</v>
      </c>
      <c r="AF39" s="46" t="n">
        <f aca="false">IF(AND($G39&gt;0,AF$6=$H39),$G39,0)</f>
        <v>0</v>
      </c>
      <c r="AG39" s="33" t="n">
        <f aca="false">$C39</f>
        <v>121</v>
      </c>
      <c r="AH39" s="33" t="n">
        <f aca="false">$C39</f>
        <v>121</v>
      </c>
      <c r="AI39" s="33" t="n">
        <f aca="false">$C39</f>
        <v>121</v>
      </c>
      <c r="AJ39" s="33" t="n">
        <f aca="false">$C39</f>
        <v>121</v>
      </c>
      <c r="AK39" s="33" t="n">
        <f aca="false">$C39</f>
        <v>121</v>
      </c>
      <c r="AL39" s="33" t="n">
        <f aca="false">$C39</f>
        <v>121</v>
      </c>
      <c r="AM39" s="33" t="n">
        <f aca="false">$C39</f>
        <v>121</v>
      </c>
      <c r="AN39" s="33" t="n">
        <f aca="false">$C39</f>
        <v>121</v>
      </c>
      <c r="AO39" s="33" t="n">
        <f aca="false">$C39</f>
        <v>121</v>
      </c>
      <c r="AP39" s="33" t="n">
        <f aca="false">$C39</f>
        <v>121</v>
      </c>
      <c r="AQ39" s="33" t="n">
        <f aca="false">$C39</f>
        <v>121</v>
      </c>
      <c r="AR39" s="33" t="n">
        <f aca="false">$C39</f>
        <v>121</v>
      </c>
      <c r="AS39" s="47" t="n">
        <f aca="false">$D39+I39+U39-AG39</f>
        <v>939</v>
      </c>
      <c r="AT39" s="47" t="n">
        <f aca="false">AS39+J39+V39-AH39</f>
        <v>818</v>
      </c>
      <c r="AU39" s="47" t="n">
        <f aca="false">AT39+K39+W39-AI39</f>
        <v>697</v>
      </c>
      <c r="AV39" s="47" t="n">
        <f aca="false">AU39+L39+X39-AJ39</f>
        <v>576</v>
      </c>
      <c r="AW39" s="47" t="n">
        <f aca="false">AV39+M39+Y39-AK39</f>
        <v>455</v>
      </c>
      <c r="AX39" s="47" t="n">
        <f aca="false">AW39+N39+Z39-AL39</f>
        <v>334</v>
      </c>
      <c r="AY39" s="47" t="n">
        <f aca="false">AX39+O39+AA39-AM39</f>
        <v>213</v>
      </c>
      <c r="AZ39" s="47" t="n">
        <f aca="false">AY39+P39+AB39-AN39</f>
        <v>92</v>
      </c>
      <c r="BA39" s="47" t="n">
        <f aca="false">AZ39+Q39+AC39-AO39</f>
        <v>-29</v>
      </c>
      <c r="BB39" s="47" t="n">
        <f aca="false">BA39+R39+AD39-AP39</f>
        <v>-150</v>
      </c>
      <c r="BC39" s="47" t="n">
        <f aca="false">BB39+S39+AE39-AQ39</f>
        <v>-271</v>
      </c>
      <c r="BD39" s="47" t="n">
        <f aca="false">BC39+T39+AF39-AR39</f>
        <v>-392</v>
      </c>
      <c r="BE39" s="46" t="n">
        <f aca="false">IF(AS39&lt;=0,1,0)</f>
        <v>0</v>
      </c>
      <c r="BF39" s="46" t="n">
        <f aca="false">IF(AT39&lt;=0,1,0)</f>
        <v>0</v>
      </c>
      <c r="BG39" s="46" t="n">
        <f aca="false">IF(AU39&lt;=0,1,0)</f>
        <v>0</v>
      </c>
      <c r="BH39" s="46" t="n">
        <f aca="false">IF(AV39&lt;=0,1,0)</f>
        <v>0</v>
      </c>
      <c r="BI39" s="46" t="n">
        <f aca="false">IF(AW39&lt;=0,1,0)</f>
        <v>0</v>
      </c>
      <c r="BJ39" s="46" t="n">
        <f aca="false">IF(AX39&lt;=0,1,0)</f>
        <v>0</v>
      </c>
      <c r="BK39" s="46" t="n">
        <f aca="false">IF(AY39&lt;=0,1,0)</f>
        <v>0</v>
      </c>
      <c r="BL39" s="46" t="n">
        <f aca="false">IF(AZ39&lt;=0,1,0)</f>
        <v>0</v>
      </c>
      <c r="BM39" s="46" t="n">
        <f aca="false">IF(BA39&lt;=0,1,0)</f>
        <v>1</v>
      </c>
      <c r="BN39" s="46" t="n">
        <f aca="false">IF(BB39&lt;=0,1,0)</f>
        <v>1</v>
      </c>
      <c r="BO39" s="46" t="n">
        <f aca="false">IF(BC39&lt;=0,1,0)</f>
        <v>1</v>
      </c>
      <c r="BP39" s="46" t="n">
        <f aca="false">IF(BD39&lt;=0,1,0)</f>
        <v>1</v>
      </c>
      <c r="BQ39" s="41" t="n">
        <f aca="false">IF(COUNTIF(BE39:BP39,1)=0,"None",MATCH(1,BE39:BP39,0))</f>
        <v>9</v>
      </c>
      <c r="BR39" s="12" t="str">
        <f aca="false">IF(COUNTIFS(BE$6:BP$6,"&lt;="&amp;$B39,BE39:BP39,1)&gt;0,"YES","NO")</f>
        <v>NO</v>
      </c>
      <c r="BS39" s="19" t="n">
        <f aca="false">MIN(AS39:BD39)</f>
        <v>-392</v>
      </c>
    </row>
    <row r="40" customFormat="false" ht="15" hidden="false" customHeight="false" outlineLevel="0" collapsed="false">
      <c r="A40" s="11" t="str">
        <f aca="false">Replenishment_Plan!A40</f>
        <v>ELE-005</v>
      </c>
      <c r="B40" s="39" t="n">
        <f aca="false">Replenishment_Plan!K40</f>
        <v>6</v>
      </c>
      <c r="C40" s="35" t="n">
        <f aca="false">Replenishment_Plan!E40</f>
        <v>26.75</v>
      </c>
      <c r="D40" s="39" t="n">
        <f aca="false">Replenishment_Plan!O40-Replenishment_Plan!Q40</f>
        <v>569</v>
      </c>
      <c r="E40" s="39" t="n">
        <f aca="false">Replenishment_Plan!P40</f>
        <v>0</v>
      </c>
      <c r="F40" s="39" t="n">
        <f aca="false">Inputs!L73</f>
        <v>0</v>
      </c>
      <c r="G40" s="39" t="n">
        <f aca="false">Replenishment_Plan!AD40</f>
        <v>0</v>
      </c>
      <c r="H40" s="19" t="str">
        <f aca="false">IF(G40&gt;0,B40+1,"none")</f>
        <v>none</v>
      </c>
      <c r="I40" s="46" t="n">
        <f aca="false">IF(AND($E40&gt;0,I$6=$F40),$E40,0)</f>
        <v>0</v>
      </c>
      <c r="J40" s="46" t="n">
        <f aca="false">IF(AND($E40&gt;0,J$6=$F40),$E40,0)</f>
        <v>0</v>
      </c>
      <c r="K40" s="46" t="n">
        <f aca="false">IF(AND($E40&gt;0,K$6=$F40),$E40,0)</f>
        <v>0</v>
      </c>
      <c r="L40" s="46" t="n">
        <f aca="false">IF(AND($E40&gt;0,L$6=$F40),$E40,0)</f>
        <v>0</v>
      </c>
      <c r="M40" s="46" t="n">
        <f aca="false">IF(AND($E40&gt;0,M$6=$F40),$E40,0)</f>
        <v>0</v>
      </c>
      <c r="N40" s="46" t="n">
        <f aca="false">IF(AND($E40&gt;0,N$6=$F40),$E40,0)</f>
        <v>0</v>
      </c>
      <c r="O40" s="46" t="n">
        <f aca="false">IF(AND($E40&gt;0,O$6=$F40),$E40,0)</f>
        <v>0</v>
      </c>
      <c r="P40" s="46" t="n">
        <f aca="false">IF(AND($E40&gt;0,P$6=$F40),$E40,0)</f>
        <v>0</v>
      </c>
      <c r="Q40" s="46" t="n">
        <f aca="false">IF(AND($E40&gt;0,Q$6=$F40),$E40,0)</f>
        <v>0</v>
      </c>
      <c r="R40" s="46" t="n">
        <f aca="false">IF(AND($E40&gt;0,R$6=$F40),$E40,0)</f>
        <v>0</v>
      </c>
      <c r="S40" s="46" t="n">
        <f aca="false">IF(AND($E40&gt;0,S$6=$F40),$E40,0)</f>
        <v>0</v>
      </c>
      <c r="T40" s="46" t="n">
        <f aca="false">IF(AND($E40&gt;0,T$6=$F40),$E40,0)</f>
        <v>0</v>
      </c>
      <c r="U40" s="46" t="n">
        <f aca="false">IF(AND($G40&gt;0,U$6=$H40),$G40,0)</f>
        <v>0</v>
      </c>
      <c r="V40" s="46" t="n">
        <f aca="false">IF(AND($G40&gt;0,V$6=$H40),$G40,0)</f>
        <v>0</v>
      </c>
      <c r="W40" s="46" t="n">
        <f aca="false">IF(AND($G40&gt;0,W$6=$H40),$G40,0)</f>
        <v>0</v>
      </c>
      <c r="X40" s="46" t="n">
        <f aca="false">IF(AND($G40&gt;0,X$6=$H40),$G40,0)</f>
        <v>0</v>
      </c>
      <c r="Y40" s="46" t="n">
        <f aca="false">IF(AND($G40&gt;0,Y$6=$H40),$G40,0)</f>
        <v>0</v>
      </c>
      <c r="Z40" s="46" t="n">
        <f aca="false">IF(AND($G40&gt;0,Z$6=$H40),$G40,0)</f>
        <v>0</v>
      </c>
      <c r="AA40" s="46" t="n">
        <f aca="false">IF(AND($G40&gt;0,AA$6=$H40),$G40,0)</f>
        <v>0</v>
      </c>
      <c r="AB40" s="46" t="n">
        <f aca="false">IF(AND($G40&gt;0,AB$6=$H40),$G40,0)</f>
        <v>0</v>
      </c>
      <c r="AC40" s="46" t="n">
        <f aca="false">IF(AND($G40&gt;0,AC$6=$H40),$G40,0)</f>
        <v>0</v>
      </c>
      <c r="AD40" s="46" t="n">
        <f aca="false">IF(AND($G40&gt;0,AD$6=$H40),$G40,0)</f>
        <v>0</v>
      </c>
      <c r="AE40" s="46" t="n">
        <f aca="false">IF(AND($G40&gt;0,AE$6=$H40),$G40,0)</f>
        <v>0</v>
      </c>
      <c r="AF40" s="46" t="n">
        <f aca="false">IF(AND($G40&gt;0,AF$6=$H40),$G40,0)</f>
        <v>0</v>
      </c>
      <c r="AG40" s="33" t="n">
        <f aca="false">$C40</f>
        <v>26.75</v>
      </c>
      <c r="AH40" s="33" t="n">
        <f aca="false">$C40</f>
        <v>26.75</v>
      </c>
      <c r="AI40" s="33" t="n">
        <f aca="false">$C40</f>
        <v>26.75</v>
      </c>
      <c r="AJ40" s="33" t="n">
        <f aca="false">$C40</f>
        <v>26.75</v>
      </c>
      <c r="AK40" s="33" t="n">
        <f aca="false">$C40</f>
        <v>26.75</v>
      </c>
      <c r="AL40" s="33" t="n">
        <f aca="false">$C40</f>
        <v>26.75</v>
      </c>
      <c r="AM40" s="33" t="n">
        <f aca="false">$C40</f>
        <v>26.75</v>
      </c>
      <c r="AN40" s="33" t="n">
        <f aca="false">$C40</f>
        <v>26.75</v>
      </c>
      <c r="AO40" s="33" t="n">
        <f aca="false">$C40</f>
        <v>26.75</v>
      </c>
      <c r="AP40" s="33" t="n">
        <f aca="false">$C40</f>
        <v>26.75</v>
      </c>
      <c r="AQ40" s="33" t="n">
        <f aca="false">$C40</f>
        <v>26.75</v>
      </c>
      <c r="AR40" s="33" t="n">
        <f aca="false">$C40</f>
        <v>26.75</v>
      </c>
      <c r="AS40" s="47" t="n">
        <f aca="false">$D40+I40+U40-AG40</f>
        <v>542.25</v>
      </c>
      <c r="AT40" s="47" t="n">
        <f aca="false">AS40+J40+V40-AH40</f>
        <v>515.5</v>
      </c>
      <c r="AU40" s="47" t="n">
        <f aca="false">AT40+K40+W40-AI40</f>
        <v>488.75</v>
      </c>
      <c r="AV40" s="47" t="n">
        <f aca="false">AU40+L40+X40-AJ40</f>
        <v>462</v>
      </c>
      <c r="AW40" s="47" t="n">
        <f aca="false">AV40+M40+Y40-AK40</f>
        <v>435.25</v>
      </c>
      <c r="AX40" s="47" t="n">
        <f aca="false">AW40+N40+Z40-AL40</f>
        <v>408.5</v>
      </c>
      <c r="AY40" s="47" t="n">
        <f aca="false">AX40+O40+AA40-AM40</f>
        <v>381.75</v>
      </c>
      <c r="AZ40" s="47" t="n">
        <f aca="false">AY40+P40+AB40-AN40</f>
        <v>355</v>
      </c>
      <c r="BA40" s="47" t="n">
        <f aca="false">AZ40+Q40+AC40-AO40</f>
        <v>328.25</v>
      </c>
      <c r="BB40" s="47" t="n">
        <f aca="false">BA40+R40+AD40-AP40</f>
        <v>301.5</v>
      </c>
      <c r="BC40" s="47" t="n">
        <f aca="false">BB40+S40+AE40-AQ40</f>
        <v>274.75</v>
      </c>
      <c r="BD40" s="47" t="n">
        <f aca="false">BC40+T40+AF40-AR40</f>
        <v>248</v>
      </c>
      <c r="BE40" s="46" t="n">
        <f aca="false">IF(AS40&lt;=0,1,0)</f>
        <v>0</v>
      </c>
      <c r="BF40" s="46" t="n">
        <f aca="false">IF(AT40&lt;=0,1,0)</f>
        <v>0</v>
      </c>
      <c r="BG40" s="46" t="n">
        <f aca="false">IF(AU40&lt;=0,1,0)</f>
        <v>0</v>
      </c>
      <c r="BH40" s="46" t="n">
        <f aca="false">IF(AV40&lt;=0,1,0)</f>
        <v>0</v>
      </c>
      <c r="BI40" s="46" t="n">
        <f aca="false">IF(AW40&lt;=0,1,0)</f>
        <v>0</v>
      </c>
      <c r="BJ40" s="46" t="n">
        <f aca="false">IF(AX40&lt;=0,1,0)</f>
        <v>0</v>
      </c>
      <c r="BK40" s="46" t="n">
        <f aca="false">IF(AY40&lt;=0,1,0)</f>
        <v>0</v>
      </c>
      <c r="BL40" s="46" t="n">
        <f aca="false">IF(AZ40&lt;=0,1,0)</f>
        <v>0</v>
      </c>
      <c r="BM40" s="46" t="n">
        <f aca="false">IF(BA40&lt;=0,1,0)</f>
        <v>0</v>
      </c>
      <c r="BN40" s="46" t="n">
        <f aca="false">IF(BB40&lt;=0,1,0)</f>
        <v>0</v>
      </c>
      <c r="BO40" s="46" t="n">
        <f aca="false">IF(BC40&lt;=0,1,0)</f>
        <v>0</v>
      </c>
      <c r="BP40" s="46" t="n">
        <f aca="false">IF(BD40&lt;=0,1,0)</f>
        <v>0</v>
      </c>
      <c r="BQ40" s="41" t="str">
        <f aca="false">IF(COUNTIF(BE40:BP40,1)=0,"None",MATCH(1,BE40:BP40,0))</f>
        <v>None</v>
      </c>
      <c r="BR40" s="12" t="str">
        <f aca="false">IF(COUNTIFS(BE$6:BP$6,"&lt;="&amp;$B40,BE40:BP40,1)&gt;0,"YES","NO")</f>
        <v>NO</v>
      </c>
      <c r="BS40" s="19" t="n">
        <f aca="false">MIN(AS40:BD40)</f>
        <v>248</v>
      </c>
    </row>
    <row r="41" customFormat="false" ht="15" hidden="false" customHeight="false" outlineLevel="0" collapsed="false">
      <c r="A41" s="11" t="str">
        <f aca="false">Replenishment_Plan!A41</f>
        <v>ELE-006</v>
      </c>
      <c r="B41" s="39" t="n">
        <f aca="false">Replenishment_Plan!K41</f>
        <v>6</v>
      </c>
      <c r="C41" s="35" t="n">
        <f aca="false">Replenishment_Plan!E41</f>
        <v>60.75</v>
      </c>
      <c r="D41" s="39" t="n">
        <f aca="false">Replenishment_Plan!O41-Replenishment_Plan!Q41</f>
        <v>687</v>
      </c>
      <c r="E41" s="39" t="n">
        <f aca="false">Replenishment_Plan!P41</f>
        <v>0</v>
      </c>
      <c r="F41" s="39" t="n">
        <f aca="false">Inputs!L74</f>
        <v>0</v>
      </c>
      <c r="G41" s="39" t="n">
        <f aca="false">Replenishment_Plan!AD41</f>
        <v>0</v>
      </c>
      <c r="H41" s="19" t="str">
        <f aca="false">IF(G41&gt;0,B41+1,"none")</f>
        <v>none</v>
      </c>
      <c r="I41" s="46" t="n">
        <f aca="false">IF(AND($E41&gt;0,I$6=$F41),$E41,0)</f>
        <v>0</v>
      </c>
      <c r="J41" s="46" t="n">
        <f aca="false">IF(AND($E41&gt;0,J$6=$F41),$E41,0)</f>
        <v>0</v>
      </c>
      <c r="K41" s="46" t="n">
        <f aca="false">IF(AND($E41&gt;0,K$6=$F41),$E41,0)</f>
        <v>0</v>
      </c>
      <c r="L41" s="46" t="n">
        <f aca="false">IF(AND($E41&gt;0,L$6=$F41),$E41,0)</f>
        <v>0</v>
      </c>
      <c r="M41" s="46" t="n">
        <f aca="false">IF(AND($E41&gt;0,M$6=$F41),$E41,0)</f>
        <v>0</v>
      </c>
      <c r="N41" s="46" t="n">
        <f aca="false">IF(AND($E41&gt;0,N$6=$F41),$E41,0)</f>
        <v>0</v>
      </c>
      <c r="O41" s="46" t="n">
        <f aca="false">IF(AND($E41&gt;0,O$6=$F41),$E41,0)</f>
        <v>0</v>
      </c>
      <c r="P41" s="46" t="n">
        <f aca="false">IF(AND($E41&gt;0,P$6=$F41),$E41,0)</f>
        <v>0</v>
      </c>
      <c r="Q41" s="46" t="n">
        <f aca="false">IF(AND($E41&gt;0,Q$6=$F41),$E41,0)</f>
        <v>0</v>
      </c>
      <c r="R41" s="46" t="n">
        <f aca="false">IF(AND($E41&gt;0,R$6=$F41),$E41,0)</f>
        <v>0</v>
      </c>
      <c r="S41" s="46" t="n">
        <f aca="false">IF(AND($E41&gt;0,S$6=$F41),$E41,0)</f>
        <v>0</v>
      </c>
      <c r="T41" s="46" t="n">
        <f aca="false">IF(AND($E41&gt;0,T$6=$F41),$E41,0)</f>
        <v>0</v>
      </c>
      <c r="U41" s="46" t="n">
        <f aca="false">IF(AND($G41&gt;0,U$6=$H41),$G41,0)</f>
        <v>0</v>
      </c>
      <c r="V41" s="46" t="n">
        <f aca="false">IF(AND($G41&gt;0,V$6=$H41),$G41,0)</f>
        <v>0</v>
      </c>
      <c r="W41" s="46" t="n">
        <f aca="false">IF(AND($G41&gt;0,W$6=$H41),$G41,0)</f>
        <v>0</v>
      </c>
      <c r="X41" s="46" t="n">
        <f aca="false">IF(AND($G41&gt;0,X$6=$H41),$G41,0)</f>
        <v>0</v>
      </c>
      <c r="Y41" s="46" t="n">
        <f aca="false">IF(AND($G41&gt;0,Y$6=$H41),$G41,0)</f>
        <v>0</v>
      </c>
      <c r="Z41" s="46" t="n">
        <f aca="false">IF(AND($G41&gt;0,Z$6=$H41),$G41,0)</f>
        <v>0</v>
      </c>
      <c r="AA41" s="46" t="n">
        <f aca="false">IF(AND($G41&gt;0,AA$6=$H41),$G41,0)</f>
        <v>0</v>
      </c>
      <c r="AB41" s="46" t="n">
        <f aca="false">IF(AND($G41&gt;0,AB$6=$H41),$G41,0)</f>
        <v>0</v>
      </c>
      <c r="AC41" s="46" t="n">
        <f aca="false">IF(AND($G41&gt;0,AC$6=$H41),$G41,0)</f>
        <v>0</v>
      </c>
      <c r="AD41" s="46" t="n">
        <f aca="false">IF(AND($G41&gt;0,AD$6=$H41),$G41,0)</f>
        <v>0</v>
      </c>
      <c r="AE41" s="46" t="n">
        <f aca="false">IF(AND($G41&gt;0,AE$6=$H41),$G41,0)</f>
        <v>0</v>
      </c>
      <c r="AF41" s="46" t="n">
        <f aca="false">IF(AND($G41&gt;0,AF$6=$H41),$G41,0)</f>
        <v>0</v>
      </c>
      <c r="AG41" s="33" t="n">
        <f aca="false">$C41</f>
        <v>60.75</v>
      </c>
      <c r="AH41" s="33" t="n">
        <f aca="false">$C41</f>
        <v>60.75</v>
      </c>
      <c r="AI41" s="33" t="n">
        <f aca="false">$C41</f>
        <v>60.75</v>
      </c>
      <c r="AJ41" s="33" t="n">
        <f aca="false">$C41</f>
        <v>60.75</v>
      </c>
      <c r="AK41" s="33" t="n">
        <f aca="false">$C41</f>
        <v>60.75</v>
      </c>
      <c r="AL41" s="33" t="n">
        <f aca="false">$C41</f>
        <v>60.75</v>
      </c>
      <c r="AM41" s="33" t="n">
        <f aca="false">$C41</f>
        <v>60.75</v>
      </c>
      <c r="AN41" s="33" t="n">
        <f aca="false">$C41</f>
        <v>60.75</v>
      </c>
      <c r="AO41" s="33" t="n">
        <f aca="false">$C41</f>
        <v>60.75</v>
      </c>
      <c r="AP41" s="33" t="n">
        <f aca="false">$C41</f>
        <v>60.75</v>
      </c>
      <c r="AQ41" s="33" t="n">
        <f aca="false">$C41</f>
        <v>60.75</v>
      </c>
      <c r="AR41" s="33" t="n">
        <f aca="false">$C41</f>
        <v>60.75</v>
      </c>
      <c r="AS41" s="47" t="n">
        <f aca="false">$D41+I41+U41-AG41</f>
        <v>626.25</v>
      </c>
      <c r="AT41" s="47" t="n">
        <f aca="false">AS41+J41+V41-AH41</f>
        <v>565.5</v>
      </c>
      <c r="AU41" s="47" t="n">
        <f aca="false">AT41+K41+W41-AI41</f>
        <v>504.75</v>
      </c>
      <c r="AV41" s="47" t="n">
        <f aca="false">AU41+L41+X41-AJ41</f>
        <v>444</v>
      </c>
      <c r="AW41" s="47" t="n">
        <f aca="false">AV41+M41+Y41-AK41</f>
        <v>383.25</v>
      </c>
      <c r="AX41" s="47" t="n">
        <f aca="false">AW41+N41+Z41-AL41</f>
        <v>322.5</v>
      </c>
      <c r="AY41" s="47" t="n">
        <f aca="false">AX41+O41+AA41-AM41</f>
        <v>261.75</v>
      </c>
      <c r="AZ41" s="47" t="n">
        <f aca="false">AY41+P41+AB41-AN41</f>
        <v>201</v>
      </c>
      <c r="BA41" s="47" t="n">
        <f aca="false">AZ41+Q41+AC41-AO41</f>
        <v>140.25</v>
      </c>
      <c r="BB41" s="47" t="n">
        <f aca="false">BA41+R41+AD41-AP41</f>
        <v>79.5</v>
      </c>
      <c r="BC41" s="47" t="n">
        <f aca="false">BB41+S41+AE41-AQ41</f>
        <v>18.75</v>
      </c>
      <c r="BD41" s="47" t="n">
        <f aca="false">BC41+T41+AF41-AR41</f>
        <v>-42</v>
      </c>
      <c r="BE41" s="46" t="n">
        <f aca="false">IF(AS41&lt;=0,1,0)</f>
        <v>0</v>
      </c>
      <c r="BF41" s="46" t="n">
        <f aca="false">IF(AT41&lt;=0,1,0)</f>
        <v>0</v>
      </c>
      <c r="BG41" s="46" t="n">
        <f aca="false">IF(AU41&lt;=0,1,0)</f>
        <v>0</v>
      </c>
      <c r="BH41" s="46" t="n">
        <f aca="false">IF(AV41&lt;=0,1,0)</f>
        <v>0</v>
      </c>
      <c r="BI41" s="46" t="n">
        <f aca="false">IF(AW41&lt;=0,1,0)</f>
        <v>0</v>
      </c>
      <c r="BJ41" s="46" t="n">
        <f aca="false">IF(AX41&lt;=0,1,0)</f>
        <v>0</v>
      </c>
      <c r="BK41" s="46" t="n">
        <f aca="false">IF(AY41&lt;=0,1,0)</f>
        <v>0</v>
      </c>
      <c r="BL41" s="46" t="n">
        <f aca="false">IF(AZ41&lt;=0,1,0)</f>
        <v>0</v>
      </c>
      <c r="BM41" s="46" t="n">
        <f aca="false">IF(BA41&lt;=0,1,0)</f>
        <v>0</v>
      </c>
      <c r="BN41" s="46" t="n">
        <f aca="false">IF(BB41&lt;=0,1,0)</f>
        <v>0</v>
      </c>
      <c r="BO41" s="46" t="n">
        <f aca="false">IF(BC41&lt;=0,1,0)</f>
        <v>0</v>
      </c>
      <c r="BP41" s="46" t="n">
        <f aca="false">IF(BD41&lt;=0,1,0)</f>
        <v>1</v>
      </c>
      <c r="BQ41" s="41" t="n">
        <f aca="false">IF(COUNTIF(BE41:BP41,1)=0,"None",MATCH(1,BE41:BP41,0))</f>
        <v>12</v>
      </c>
      <c r="BR41" s="12" t="str">
        <f aca="false">IF(COUNTIFS(BE$6:BP$6,"&lt;="&amp;$B41,BE41:BP41,1)&gt;0,"YES","NO")</f>
        <v>NO</v>
      </c>
      <c r="BS41" s="19" t="n">
        <f aca="false">MIN(AS41:BD41)</f>
        <v>-42</v>
      </c>
    </row>
    <row r="42" customFormat="false" ht="15" hidden="false" customHeight="false" outlineLevel="0" collapsed="false">
      <c r="A42" s="11" t="str">
        <f aca="false">Replenishment_Plan!A42</f>
        <v>ELE-007</v>
      </c>
      <c r="B42" s="39" t="n">
        <f aca="false">Replenishment_Plan!K42</f>
        <v>6</v>
      </c>
      <c r="C42" s="35" t="n">
        <f aca="false">Replenishment_Plan!E42</f>
        <v>7.625</v>
      </c>
      <c r="D42" s="39" t="n">
        <f aca="false">Replenishment_Plan!O42-Replenishment_Plan!Q42</f>
        <v>120</v>
      </c>
      <c r="E42" s="39" t="n">
        <f aca="false">Replenishment_Plan!P42</f>
        <v>0</v>
      </c>
      <c r="F42" s="39" t="n">
        <f aca="false">Inputs!L75</f>
        <v>0</v>
      </c>
      <c r="G42" s="39" t="n">
        <f aca="false">Replenishment_Plan!AD42</f>
        <v>0</v>
      </c>
      <c r="H42" s="19" t="str">
        <f aca="false">IF(G42&gt;0,B42+1,"none")</f>
        <v>none</v>
      </c>
      <c r="I42" s="46" t="n">
        <f aca="false">IF(AND($E42&gt;0,I$6=$F42),$E42,0)</f>
        <v>0</v>
      </c>
      <c r="J42" s="46" t="n">
        <f aca="false">IF(AND($E42&gt;0,J$6=$F42),$E42,0)</f>
        <v>0</v>
      </c>
      <c r="K42" s="46" t="n">
        <f aca="false">IF(AND($E42&gt;0,K$6=$F42),$E42,0)</f>
        <v>0</v>
      </c>
      <c r="L42" s="46" t="n">
        <f aca="false">IF(AND($E42&gt;0,L$6=$F42),$E42,0)</f>
        <v>0</v>
      </c>
      <c r="M42" s="46" t="n">
        <f aca="false">IF(AND($E42&gt;0,M$6=$F42),$E42,0)</f>
        <v>0</v>
      </c>
      <c r="N42" s="46" t="n">
        <f aca="false">IF(AND($E42&gt;0,N$6=$F42),$E42,0)</f>
        <v>0</v>
      </c>
      <c r="O42" s="46" t="n">
        <f aca="false">IF(AND($E42&gt;0,O$6=$F42),$E42,0)</f>
        <v>0</v>
      </c>
      <c r="P42" s="46" t="n">
        <f aca="false">IF(AND($E42&gt;0,P$6=$F42),$E42,0)</f>
        <v>0</v>
      </c>
      <c r="Q42" s="46" t="n">
        <f aca="false">IF(AND($E42&gt;0,Q$6=$F42),$E42,0)</f>
        <v>0</v>
      </c>
      <c r="R42" s="46" t="n">
        <f aca="false">IF(AND($E42&gt;0,R$6=$F42),$E42,0)</f>
        <v>0</v>
      </c>
      <c r="S42" s="46" t="n">
        <f aca="false">IF(AND($E42&gt;0,S$6=$F42),$E42,0)</f>
        <v>0</v>
      </c>
      <c r="T42" s="46" t="n">
        <f aca="false">IF(AND($E42&gt;0,T$6=$F42),$E42,0)</f>
        <v>0</v>
      </c>
      <c r="U42" s="46" t="n">
        <f aca="false">IF(AND($G42&gt;0,U$6=$H42),$G42,0)</f>
        <v>0</v>
      </c>
      <c r="V42" s="46" t="n">
        <f aca="false">IF(AND($G42&gt;0,V$6=$H42),$G42,0)</f>
        <v>0</v>
      </c>
      <c r="W42" s="46" t="n">
        <f aca="false">IF(AND($G42&gt;0,W$6=$H42),$G42,0)</f>
        <v>0</v>
      </c>
      <c r="X42" s="46" t="n">
        <f aca="false">IF(AND($G42&gt;0,X$6=$H42),$G42,0)</f>
        <v>0</v>
      </c>
      <c r="Y42" s="46" t="n">
        <f aca="false">IF(AND($G42&gt;0,Y$6=$H42),$G42,0)</f>
        <v>0</v>
      </c>
      <c r="Z42" s="46" t="n">
        <f aca="false">IF(AND($G42&gt;0,Z$6=$H42),$G42,0)</f>
        <v>0</v>
      </c>
      <c r="AA42" s="46" t="n">
        <f aca="false">IF(AND($G42&gt;0,AA$6=$H42),$G42,0)</f>
        <v>0</v>
      </c>
      <c r="AB42" s="46" t="n">
        <f aca="false">IF(AND($G42&gt;0,AB$6=$H42),$G42,0)</f>
        <v>0</v>
      </c>
      <c r="AC42" s="46" t="n">
        <f aca="false">IF(AND($G42&gt;0,AC$6=$H42),$G42,0)</f>
        <v>0</v>
      </c>
      <c r="AD42" s="46" t="n">
        <f aca="false">IF(AND($G42&gt;0,AD$6=$H42),$G42,0)</f>
        <v>0</v>
      </c>
      <c r="AE42" s="46" t="n">
        <f aca="false">IF(AND($G42&gt;0,AE$6=$H42),$G42,0)</f>
        <v>0</v>
      </c>
      <c r="AF42" s="46" t="n">
        <f aca="false">IF(AND($G42&gt;0,AF$6=$H42),$G42,0)</f>
        <v>0</v>
      </c>
      <c r="AG42" s="33" t="n">
        <f aca="false">$C42</f>
        <v>7.625</v>
      </c>
      <c r="AH42" s="33" t="n">
        <f aca="false">$C42</f>
        <v>7.625</v>
      </c>
      <c r="AI42" s="33" t="n">
        <f aca="false">$C42</f>
        <v>7.625</v>
      </c>
      <c r="AJ42" s="33" t="n">
        <f aca="false">$C42</f>
        <v>7.625</v>
      </c>
      <c r="AK42" s="33" t="n">
        <f aca="false">$C42</f>
        <v>7.625</v>
      </c>
      <c r="AL42" s="33" t="n">
        <f aca="false">$C42</f>
        <v>7.625</v>
      </c>
      <c r="AM42" s="33" t="n">
        <f aca="false">$C42</f>
        <v>7.625</v>
      </c>
      <c r="AN42" s="33" t="n">
        <f aca="false">$C42</f>
        <v>7.625</v>
      </c>
      <c r="AO42" s="33" t="n">
        <f aca="false">$C42</f>
        <v>7.625</v>
      </c>
      <c r="AP42" s="33" t="n">
        <f aca="false">$C42</f>
        <v>7.625</v>
      </c>
      <c r="AQ42" s="33" t="n">
        <f aca="false">$C42</f>
        <v>7.625</v>
      </c>
      <c r="AR42" s="33" t="n">
        <f aca="false">$C42</f>
        <v>7.625</v>
      </c>
      <c r="AS42" s="47" t="n">
        <f aca="false">$D42+I42+U42-AG42</f>
        <v>112.375</v>
      </c>
      <c r="AT42" s="47" t="n">
        <f aca="false">AS42+J42+V42-AH42</f>
        <v>104.75</v>
      </c>
      <c r="AU42" s="47" t="n">
        <f aca="false">AT42+K42+W42-AI42</f>
        <v>97.125</v>
      </c>
      <c r="AV42" s="47" t="n">
        <f aca="false">AU42+L42+X42-AJ42</f>
        <v>89.5</v>
      </c>
      <c r="AW42" s="47" t="n">
        <f aca="false">AV42+M42+Y42-AK42</f>
        <v>81.875</v>
      </c>
      <c r="AX42" s="47" t="n">
        <f aca="false">AW42+N42+Z42-AL42</f>
        <v>74.25</v>
      </c>
      <c r="AY42" s="47" t="n">
        <f aca="false">AX42+O42+AA42-AM42</f>
        <v>66.625</v>
      </c>
      <c r="AZ42" s="47" t="n">
        <f aca="false">AY42+P42+AB42-AN42</f>
        <v>59</v>
      </c>
      <c r="BA42" s="47" t="n">
        <f aca="false">AZ42+Q42+AC42-AO42</f>
        <v>51.375</v>
      </c>
      <c r="BB42" s="47" t="n">
        <f aca="false">BA42+R42+AD42-AP42</f>
        <v>43.75</v>
      </c>
      <c r="BC42" s="47" t="n">
        <f aca="false">BB42+S42+AE42-AQ42</f>
        <v>36.125</v>
      </c>
      <c r="BD42" s="47" t="n">
        <f aca="false">BC42+T42+AF42-AR42</f>
        <v>28.5</v>
      </c>
      <c r="BE42" s="46" t="n">
        <f aca="false">IF(AS42&lt;=0,1,0)</f>
        <v>0</v>
      </c>
      <c r="BF42" s="46" t="n">
        <f aca="false">IF(AT42&lt;=0,1,0)</f>
        <v>0</v>
      </c>
      <c r="BG42" s="46" t="n">
        <f aca="false">IF(AU42&lt;=0,1,0)</f>
        <v>0</v>
      </c>
      <c r="BH42" s="46" t="n">
        <f aca="false">IF(AV42&lt;=0,1,0)</f>
        <v>0</v>
      </c>
      <c r="BI42" s="46" t="n">
        <f aca="false">IF(AW42&lt;=0,1,0)</f>
        <v>0</v>
      </c>
      <c r="BJ42" s="46" t="n">
        <f aca="false">IF(AX42&lt;=0,1,0)</f>
        <v>0</v>
      </c>
      <c r="BK42" s="46" t="n">
        <f aca="false">IF(AY42&lt;=0,1,0)</f>
        <v>0</v>
      </c>
      <c r="BL42" s="46" t="n">
        <f aca="false">IF(AZ42&lt;=0,1,0)</f>
        <v>0</v>
      </c>
      <c r="BM42" s="46" t="n">
        <f aca="false">IF(BA42&lt;=0,1,0)</f>
        <v>0</v>
      </c>
      <c r="BN42" s="46" t="n">
        <f aca="false">IF(BB42&lt;=0,1,0)</f>
        <v>0</v>
      </c>
      <c r="BO42" s="46" t="n">
        <f aca="false">IF(BC42&lt;=0,1,0)</f>
        <v>0</v>
      </c>
      <c r="BP42" s="46" t="n">
        <f aca="false">IF(BD42&lt;=0,1,0)</f>
        <v>0</v>
      </c>
      <c r="BQ42" s="41" t="str">
        <f aca="false">IF(COUNTIF(BE42:BP42,1)=0,"None",MATCH(1,BE42:BP42,0))</f>
        <v>None</v>
      </c>
      <c r="BR42" s="12" t="str">
        <f aca="false">IF(COUNTIFS(BE$6:BP$6,"&lt;="&amp;$B42,BE42:BP42,1)&gt;0,"YES","NO")</f>
        <v>NO</v>
      </c>
      <c r="BS42" s="19" t="n">
        <f aca="false">MIN(AS42:BD42)</f>
        <v>28.5</v>
      </c>
    </row>
    <row r="43" customFormat="false" ht="15" hidden="false" customHeight="false" outlineLevel="0" collapsed="false">
      <c r="A43" s="11" t="str">
        <f aca="false">Replenishment_Plan!A43</f>
        <v>ELE-008</v>
      </c>
      <c r="B43" s="39" t="n">
        <f aca="false">Replenishment_Plan!K43</f>
        <v>6</v>
      </c>
      <c r="C43" s="35" t="n">
        <f aca="false">Replenishment_Plan!E43</f>
        <v>16.25</v>
      </c>
      <c r="D43" s="39" t="n">
        <f aca="false">Replenishment_Plan!O43-Replenishment_Plan!Q43</f>
        <v>29</v>
      </c>
      <c r="E43" s="39" t="n">
        <f aca="false">Replenishment_Plan!P43</f>
        <v>126</v>
      </c>
      <c r="F43" s="39" t="n">
        <f aca="false">Inputs!L76</f>
        <v>2</v>
      </c>
      <c r="G43" s="39" t="n">
        <f aca="false">Replenishment_Plan!AD43</f>
        <v>0</v>
      </c>
      <c r="H43" s="19" t="str">
        <f aca="false">IF(G43&gt;0,B43+1,"none")</f>
        <v>none</v>
      </c>
      <c r="I43" s="46" t="n">
        <f aca="false">IF(AND($E43&gt;0,I$6=$F43),$E43,0)</f>
        <v>0</v>
      </c>
      <c r="J43" s="46" t="n">
        <f aca="false">IF(AND($E43&gt;0,J$6=$F43),$E43,0)</f>
        <v>126</v>
      </c>
      <c r="K43" s="46" t="n">
        <f aca="false">IF(AND($E43&gt;0,K$6=$F43),$E43,0)</f>
        <v>0</v>
      </c>
      <c r="L43" s="46" t="n">
        <f aca="false">IF(AND($E43&gt;0,L$6=$F43),$E43,0)</f>
        <v>0</v>
      </c>
      <c r="M43" s="46" t="n">
        <f aca="false">IF(AND($E43&gt;0,M$6=$F43),$E43,0)</f>
        <v>0</v>
      </c>
      <c r="N43" s="46" t="n">
        <f aca="false">IF(AND($E43&gt;0,N$6=$F43),$E43,0)</f>
        <v>0</v>
      </c>
      <c r="O43" s="46" t="n">
        <f aca="false">IF(AND($E43&gt;0,O$6=$F43),$E43,0)</f>
        <v>0</v>
      </c>
      <c r="P43" s="46" t="n">
        <f aca="false">IF(AND($E43&gt;0,P$6=$F43),$E43,0)</f>
        <v>0</v>
      </c>
      <c r="Q43" s="46" t="n">
        <f aca="false">IF(AND($E43&gt;0,Q$6=$F43),$E43,0)</f>
        <v>0</v>
      </c>
      <c r="R43" s="46" t="n">
        <f aca="false">IF(AND($E43&gt;0,R$6=$F43),$E43,0)</f>
        <v>0</v>
      </c>
      <c r="S43" s="46" t="n">
        <f aca="false">IF(AND($E43&gt;0,S$6=$F43),$E43,0)</f>
        <v>0</v>
      </c>
      <c r="T43" s="46" t="n">
        <f aca="false">IF(AND($E43&gt;0,T$6=$F43),$E43,0)</f>
        <v>0</v>
      </c>
      <c r="U43" s="46" t="n">
        <f aca="false">IF(AND($G43&gt;0,U$6=$H43),$G43,0)</f>
        <v>0</v>
      </c>
      <c r="V43" s="46" t="n">
        <f aca="false">IF(AND($G43&gt;0,V$6=$H43),$G43,0)</f>
        <v>0</v>
      </c>
      <c r="W43" s="46" t="n">
        <f aca="false">IF(AND($G43&gt;0,W$6=$H43),$G43,0)</f>
        <v>0</v>
      </c>
      <c r="X43" s="46" t="n">
        <f aca="false">IF(AND($G43&gt;0,X$6=$H43),$G43,0)</f>
        <v>0</v>
      </c>
      <c r="Y43" s="46" t="n">
        <f aca="false">IF(AND($G43&gt;0,Y$6=$H43),$G43,0)</f>
        <v>0</v>
      </c>
      <c r="Z43" s="46" t="n">
        <f aca="false">IF(AND($G43&gt;0,Z$6=$H43),$G43,0)</f>
        <v>0</v>
      </c>
      <c r="AA43" s="46" t="n">
        <f aca="false">IF(AND($G43&gt;0,AA$6=$H43),$G43,0)</f>
        <v>0</v>
      </c>
      <c r="AB43" s="46" t="n">
        <f aca="false">IF(AND($G43&gt;0,AB$6=$H43),$G43,0)</f>
        <v>0</v>
      </c>
      <c r="AC43" s="46" t="n">
        <f aca="false">IF(AND($G43&gt;0,AC$6=$H43),$G43,0)</f>
        <v>0</v>
      </c>
      <c r="AD43" s="46" t="n">
        <f aca="false">IF(AND($G43&gt;0,AD$6=$H43),$G43,0)</f>
        <v>0</v>
      </c>
      <c r="AE43" s="46" t="n">
        <f aca="false">IF(AND($G43&gt;0,AE$6=$H43),$G43,0)</f>
        <v>0</v>
      </c>
      <c r="AF43" s="46" t="n">
        <f aca="false">IF(AND($G43&gt;0,AF$6=$H43),$G43,0)</f>
        <v>0</v>
      </c>
      <c r="AG43" s="33" t="n">
        <f aca="false">$C43</f>
        <v>16.25</v>
      </c>
      <c r="AH43" s="33" t="n">
        <f aca="false">$C43</f>
        <v>16.25</v>
      </c>
      <c r="AI43" s="33" t="n">
        <f aca="false">$C43</f>
        <v>16.25</v>
      </c>
      <c r="AJ43" s="33" t="n">
        <f aca="false">$C43</f>
        <v>16.25</v>
      </c>
      <c r="AK43" s="33" t="n">
        <f aca="false">$C43</f>
        <v>16.25</v>
      </c>
      <c r="AL43" s="33" t="n">
        <f aca="false">$C43</f>
        <v>16.25</v>
      </c>
      <c r="AM43" s="33" t="n">
        <f aca="false">$C43</f>
        <v>16.25</v>
      </c>
      <c r="AN43" s="33" t="n">
        <f aca="false">$C43</f>
        <v>16.25</v>
      </c>
      <c r="AO43" s="33" t="n">
        <f aca="false">$C43</f>
        <v>16.25</v>
      </c>
      <c r="AP43" s="33" t="n">
        <f aca="false">$C43</f>
        <v>16.25</v>
      </c>
      <c r="AQ43" s="33" t="n">
        <f aca="false">$C43</f>
        <v>16.25</v>
      </c>
      <c r="AR43" s="33" t="n">
        <f aca="false">$C43</f>
        <v>16.25</v>
      </c>
      <c r="AS43" s="47" t="n">
        <f aca="false">$D43+I43+U43-AG43</f>
        <v>12.75</v>
      </c>
      <c r="AT43" s="47" t="n">
        <f aca="false">AS43+J43+V43-AH43</f>
        <v>122.5</v>
      </c>
      <c r="AU43" s="47" t="n">
        <f aca="false">AT43+K43+W43-AI43</f>
        <v>106.25</v>
      </c>
      <c r="AV43" s="47" t="n">
        <f aca="false">AU43+L43+X43-AJ43</f>
        <v>90</v>
      </c>
      <c r="AW43" s="47" t="n">
        <f aca="false">AV43+M43+Y43-AK43</f>
        <v>73.75</v>
      </c>
      <c r="AX43" s="47" t="n">
        <f aca="false">AW43+N43+Z43-AL43</f>
        <v>57.5</v>
      </c>
      <c r="AY43" s="47" t="n">
        <f aca="false">AX43+O43+AA43-AM43</f>
        <v>41.25</v>
      </c>
      <c r="AZ43" s="47" t="n">
        <f aca="false">AY43+P43+AB43-AN43</f>
        <v>25</v>
      </c>
      <c r="BA43" s="47" t="n">
        <f aca="false">AZ43+Q43+AC43-AO43</f>
        <v>8.75</v>
      </c>
      <c r="BB43" s="47" t="n">
        <f aca="false">BA43+R43+AD43-AP43</f>
        <v>-7.5</v>
      </c>
      <c r="BC43" s="47" t="n">
        <f aca="false">BB43+S43+AE43-AQ43</f>
        <v>-23.75</v>
      </c>
      <c r="BD43" s="47" t="n">
        <f aca="false">BC43+T43+AF43-AR43</f>
        <v>-40</v>
      </c>
      <c r="BE43" s="46" t="n">
        <f aca="false">IF(AS43&lt;=0,1,0)</f>
        <v>0</v>
      </c>
      <c r="BF43" s="46" t="n">
        <f aca="false">IF(AT43&lt;=0,1,0)</f>
        <v>0</v>
      </c>
      <c r="BG43" s="46" t="n">
        <f aca="false">IF(AU43&lt;=0,1,0)</f>
        <v>0</v>
      </c>
      <c r="BH43" s="46" t="n">
        <f aca="false">IF(AV43&lt;=0,1,0)</f>
        <v>0</v>
      </c>
      <c r="BI43" s="46" t="n">
        <f aca="false">IF(AW43&lt;=0,1,0)</f>
        <v>0</v>
      </c>
      <c r="BJ43" s="46" t="n">
        <f aca="false">IF(AX43&lt;=0,1,0)</f>
        <v>0</v>
      </c>
      <c r="BK43" s="46" t="n">
        <f aca="false">IF(AY43&lt;=0,1,0)</f>
        <v>0</v>
      </c>
      <c r="BL43" s="46" t="n">
        <f aca="false">IF(AZ43&lt;=0,1,0)</f>
        <v>0</v>
      </c>
      <c r="BM43" s="46" t="n">
        <f aca="false">IF(BA43&lt;=0,1,0)</f>
        <v>0</v>
      </c>
      <c r="BN43" s="46" t="n">
        <f aca="false">IF(BB43&lt;=0,1,0)</f>
        <v>1</v>
      </c>
      <c r="BO43" s="46" t="n">
        <f aca="false">IF(BC43&lt;=0,1,0)</f>
        <v>1</v>
      </c>
      <c r="BP43" s="46" t="n">
        <f aca="false">IF(BD43&lt;=0,1,0)</f>
        <v>1</v>
      </c>
      <c r="BQ43" s="41" t="n">
        <f aca="false">IF(COUNTIF(BE43:BP43,1)=0,"None",MATCH(1,BE43:BP43,0))</f>
        <v>10</v>
      </c>
      <c r="BR43" s="12" t="str">
        <f aca="false">IF(COUNTIFS(BE$6:BP$6,"&lt;="&amp;$B43,BE43:BP43,1)&gt;0,"YES","NO")</f>
        <v>NO</v>
      </c>
      <c r="BS43" s="19" t="n">
        <f aca="false">MIN(AS43:BD43)</f>
        <v>-40</v>
      </c>
    </row>
    <row r="44" customFormat="false" ht="15" hidden="false" customHeight="false" outlineLevel="0" collapsed="false">
      <c r="A44" s="11" t="str">
        <f aca="false">Replenishment_Plan!A44</f>
        <v>CLN-001</v>
      </c>
      <c r="B44" s="39" t="n">
        <f aca="false">Replenishment_Plan!K44</f>
        <v>1</v>
      </c>
      <c r="C44" s="35" t="n">
        <f aca="false">Replenishment_Plan!E44</f>
        <v>216.5</v>
      </c>
      <c r="D44" s="39" t="n">
        <f aca="false">Replenishment_Plan!O44-Replenishment_Plan!Q44</f>
        <v>666</v>
      </c>
      <c r="E44" s="39" t="n">
        <f aca="false">Replenishment_Plan!P44</f>
        <v>0</v>
      </c>
      <c r="F44" s="39" t="n">
        <f aca="false">Inputs!L77</f>
        <v>0</v>
      </c>
      <c r="G44" s="39" t="n">
        <f aca="false">Replenishment_Plan!AD44</f>
        <v>0</v>
      </c>
      <c r="H44" s="19" t="str">
        <f aca="false">IF(G44&gt;0,B44+1,"none")</f>
        <v>none</v>
      </c>
      <c r="I44" s="46" t="n">
        <f aca="false">IF(AND($E44&gt;0,I$6=$F44),$E44,0)</f>
        <v>0</v>
      </c>
      <c r="J44" s="46" t="n">
        <f aca="false">IF(AND($E44&gt;0,J$6=$F44),$E44,0)</f>
        <v>0</v>
      </c>
      <c r="K44" s="46" t="n">
        <f aca="false">IF(AND($E44&gt;0,K$6=$F44),$E44,0)</f>
        <v>0</v>
      </c>
      <c r="L44" s="46" t="n">
        <f aca="false">IF(AND($E44&gt;0,L$6=$F44),$E44,0)</f>
        <v>0</v>
      </c>
      <c r="M44" s="46" t="n">
        <f aca="false">IF(AND($E44&gt;0,M$6=$F44),$E44,0)</f>
        <v>0</v>
      </c>
      <c r="N44" s="46" t="n">
        <f aca="false">IF(AND($E44&gt;0,N$6=$F44),$E44,0)</f>
        <v>0</v>
      </c>
      <c r="O44" s="46" t="n">
        <f aca="false">IF(AND($E44&gt;0,O$6=$F44),$E44,0)</f>
        <v>0</v>
      </c>
      <c r="P44" s="46" t="n">
        <f aca="false">IF(AND($E44&gt;0,P$6=$F44),$E44,0)</f>
        <v>0</v>
      </c>
      <c r="Q44" s="46" t="n">
        <f aca="false">IF(AND($E44&gt;0,Q$6=$F44),$E44,0)</f>
        <v>0</v>
      </c>
      <c r="R44" s="46" t="n">
        <f aca="false">IF(AND($E44&gt;0,R$6=$F44),$E44,0)</f>
        <v>0</v>
      </c>
      <c r="S44" s="46" t="n">
        <f aca="false">IF(AND($E44&gt;0,S$6=$F44),$E44,0)</f>
        <v>0</v>
      </c>
      <c r="T44" s="46" t="n">
        <f aca="false">IF(AND($E44&gt;0,T$6=$F44),$E44,0)</f>
        <v>0</v>
      </c>
      <c r="U44" s="46" t="n">
        <f aca="false">IF(AND($G44&gt;0,U$6=$H44),$G44,0)</f>
        <v>0</v>
      </c>
      <c r="V44" s="46" t="n">
        <f aca="false">IF(AND($G44&gt;0,V$6=$H44),$G44,0)</f>
        <v>0</v>
      </c>
      <c r="W44" s="46" t="n">
        <f aca="false">IF(AND($G44&gt;0,W$6=$H44),$G44,0)</f>
        <v>0</v>
      </c>
      <c r="X44" s="46" t="n">
        <f aca="false">IF(AND($G44&gt;0,X$6=$H44),$G44,0)</f>
        <v>0</v>
      </c>
      <c r="Y44" s="46" t="n">
        <f aca="false">IF(AND($G44&gt;0,Y$6=$H44),$G44,0)</f>
        <v>0</v>
      </c>
      <c r="Z44" s="46" t="n">
        <f aca="false">IF(AND($G44&gt;0,Z$6=$H44),$G44,0)</f>
        <v>0</v>
      </c>
      <c r="AA44" s="46" t="n">
        <f aca="false">IF(AND($G44&gt;0,AA$6=$H44),$G44,0)</f>
        <v>0</v>
      </c>
      <c r="AB44" s="46" t="n">
        <f aca="false">IF(AND($G44&gt;0,AB$6=$H44),$G44,0)</f>
        <v>0</v>
      </c>
      <c r="AC44" s="46" t="n">
        <f aca="false">IF(AND($G44&gt;0,AC$6=$H44),$G44,0)</f>
        <v>0</v>
      </c>
      <c r="AD44" s="46" t="n">
        <f aca="false">IF(AND($G44&gt;0,AD$6=$H44),$G44,0)</f>
        <v>0</v>
      </c>
      <c r="AE44" s="46" t="n">
        <f aca="false">IF(AND($G44&gt;0,AE$6=$H44),$G44,0)</f>
        <v>0</v>
      </c>
      <c r="AF44" s="46" t="n">
        <f aca="false">IF(AND($G44&gt;0,AF$6=$H44),$G44,0)</f>
        <v>0</v>
      </c>
      <c r="AG44" s="33" t="n">
        <f aca="false">$C44</f>
        <v>216.5</v>
      </c>
      <c r="AH44" s="33" t="n">
        <f aca="false">$C44</f>
        <v>216.5</v>
      </c>
      <c r="AI44" s="33" t="n">
        <f aca="false">$C44</f>
        <v>216.5</v>
      </c>
      <c r="AJ44" s="33" t="n">
        <f aca="false">$C44</f>
        <v>216.5</v>
      </c>
      <c r="AK44" s="33" t="n">
        <f aca="false">$C44</f>
        <v>216.5</v>
      </c>
      <c r="AL44" s="33" t="n">
        <f aca="false">$C44</f>
        <v>216.5</v>
      </c>
      <c r="AM44" s="33" t="n">
        <f aca="false">$C44</f>
        <v>216.5</v>
      </c>
      <c r="AN44" s="33" t="n">
        <f aca="false">$C44</f>
        <v>216.5</v>
      </c>
      <c r="AO44" s="33" t="n">
        <f aca="false">$C44</f>
        <v>216.5</v>
      </c>
      <c r="AP44" s="33" t="n">
        <f aca="false">$C44</f>
        <v>216.5</v>
      </c>
      <c r="AQ44" s="33" t="n">
        <f aca="false">$C44</f>
        <v>216.5</v>
      </c>
      <c r="AR44" s="33" t="n">
        <f aca="false">$C44</f>
        <v>216.5</v>
      </c>
      <c r="AS44" s="47" t="n">
        <f aca="false">$D44+I44+U44-AG44</f>
        <v>449.5</v>
      </c>
      <c r="AT44" s="47" t="n">
        <f aca="false">AS44+J44+V44-AH44</f>
        <v>233</v>
      </c>
      <c r="AU44" s="47" t="n">
        <f aca="false">AT44+K44+W44-AI44</f>
        <v>16.5</v>
      </c>
      <c r="AV44" s="47" t="n">
        <f aca="false">AU44+L44+X44-AJ44</f>
        <v>-200</v>
      </c>
      <c r="AW44" s="47" t="n">
        <f aca="false">AV44+M44+Y44-AK44</f>
        <v>-416.5</v>
      </c>
      <c r="AX44" s="47" t="n">
        <f aca="false">AW44+N44+Z44-AL44</f>
        <v>-633</v>
      </c>
      <c r="AY44" s="47" t="n">
        <f aca="false">AX44+O44+AA44-AM44</f>
        <v>-849.5</v>
      </c>
      <c r="AZ44" s="47" t="n">
        <f aca="false">AY44+P44+AB44-AN44</f>
        <v>-1066</v>
      </c>
      <c r="BA44" s="47" t="n">
        <f aca="false">AZ44+Q44+AC44-AO44</f>
        <v>-1282.5</v>
      </c>
      <c r="BB44" s="47" t="n">
        <f aca="false">BA44+R44+AD44-AP44</f>
        <v>-1499</v>
      </c>
      <c r="BC44" s="47" t="n">
        <f aca="false">BB44+S44+AE44-AQ44</f>
        <v>-1715.5</v>
      </c>
      <c r="BD44" s="47" t="n">
        <f aca="false">BC44+T44+AF44-AR44</f>
        <v>-1932</v>
      </c>
      <c r="BE44" s="46" t="n">
        <f aca="false">IF(AS44&lt;=0,1,0)</f>
        <v>0</v>
      </c>
      <c r="BF44" s="46" t="n">
        <f aca="false">IF(AT44&lt;=0,1,0)</f>
        <v>0</v>
      </c>
      <c r="BG44" s="46" t="n">
        <f aca="false">IF(AU44&lt;=0,1,0)</f>
        <v>0</v>
      </c>
      <c r="BH44" s="46" t="n">
        <f aca="false">IF(AV44&lt;=0,1,0)</f>
        <v>1</v>
      </c>
      <c r="BI44" s="46" t="n">
        <f aca="false">IF(AW44&lt;=0,1,0)</f>
        <v>1</v>
      </c>
      <c r="BJ44" s="46" t="n">
        <f aca="false">IF(AX44&lt;=0,1,0)</f>
        <v>1</v>
      </c>
      <c r="BK44" s="46" t="n">
        <f aca="false">IF(AY44&lt;=0,1,0)</f>
        <v>1</v>
      </c>
      <c r="BL44" s="46" t="n">
        <f aca="false">IF(AZ44&lt;=0,1,0)</f>
        <v>1</v>
      </c>
      <c r="BM44" s="46" t="n">
        <f aca="false">IF(BA44&lt;=0,1,0)</f>
        <v>1</v>
      </c>
      <c r="BN44" s="46" t="n">
        <f aca="false">IF(BB44&lt;=0,1,0)</f>
        <v>1</v>
      </c>
      <c r="BO44" s="46" t="n">
        <f aca="false">IF(BC44&lt;=0,1,0)</f>
        <v>1</v>
      </c>
      <c r="BP44" s="46" t="n">
        <f aca="false">IF(BD44&lt;=0,1,0)</f>
        <v>1</v>
      </c>
      <c r="BQ44" s="41" t="n">
        <f aca="false">IF(COUNTIF(BE44:BP44,1)=0,"None",MATCH(1,BE44:BP44,0))</f>
        <v>4</v>
      </c>
      <c r="BR44" s="12" t="str">
        <f aca="false">IF(COUNTIFS(BE$6:BP$6,"&lt;="&amp;$B44,BE44:BP44,1)&gt;0,"YES","NO")</f>
        <v>NO</v>
      </c>
      <c r="BS44" s="19" t="n">
        <f aca="false">MIN(AS44:BD44)</f>
        <v>-1932</v>
      </c>
    </row>
    <row r="45" customFormat="false" ht="15" hidden="false" customHeight="false" outlineLevel="0" collapsed="false">
      <c r="A45" s="11" t="str">
        <f aca="false">Replenishment_Plan!A45</f>
        <v>CLN-002</v>
      </c>
      <c r="B45" s="39" t="n">
        <f aca="false">Replenishment_Plan!K45</f>
        <v>1</v>
      </c>
      <c r="C45" s="35" t="n">
        <f aca="false">Replenishment_Plan!E45</f>
        <v>179.75</v>
      </c>
      <c r="D45" s="39" t="n">
        <f aca="false">Replenishment_Plan!O45-Replenishment_Plan!Q45</f>
        <v>180</v>
      </c>
      <c r="E45" s="39" t="n">
        <f aca="false">Replenishment_Plan!P45</f>
        <v>0</v>
      </c>
      <c r="F45" s="39" t="n">
        <f aca="false">Inputs!L78</f>
        <v>0</v>
      </c>
      <c r="G45" s="39" t="n">
        <f aca="false">Replenishment_Plan!AD45</f>
        <v>820</v>
      </c>
      <c r="H45" s="19" t="n">
        <f aca="false">IF(G45&gt;0,B45+1,"none")</f>
        <v>2</v>
      </c>
      <c r="I45" s="46" t="n">
        <f aca="false">IF(AND($E45&gt;0,I$6=$F45),$E45,0)</f>
        <v>0</v>
      </c>
      <c r="J45" s="46" t="n">
        <f aca="false">IF(AND($E45&gt;0,J$6=$F45),$E45,0)</f>
        <v>0</v>
      </c>
      <c r="K45" s="46" t="n">
        <f aca="false">IF(AND($E45&gt;0,K$6=$F45),$E45,0)</f>
        <v>0</v>
      </c>
      <c r="L45" s="46" t="n">
        <f aca="false">IF(AND($E45&gt;0,L$6=$F45),$E45,0)</f>
        <v>0</v>
      </c>
      <c r="M45" s="46" t="n">
        <f aca="false">IF(AND($E45&gt;0,M$6=$F45),$E45,0)</f>
        <v>0</v>
      </c>
      <c r="N45" s="46" t="n">
        <f aca="false">IF(AND($E45&gt;0,N$6=$F45),$E45,0)</f>
        <v>0</v>
      </c>
      <c r="O45" s="46" t="n">
        <f aca="false">IF(AND($E45&gt;0,O$6=$F45),$E45,0)</f>
        <v>0</v>
      </c>
      <c r="P45" s="46" t="n">
        <f aca="false">IF(AND($E45&gt;0,P$6=$F45),$E45,0)</f>
        <v>0</v>
      </c>
      <c r="Q45" s="46" t="n">
        <f aca="false">IF(AND($E45&gt;0,Q$6=$F45),$E45,0)</f>
        <v>0</v>
      </c>
      <c r="R45" s="46" t="n">
        <f aca="false">IF(AND($E45&gt;0,R$6=$F45),$E45,0)</f>
        <v>0</v>
      </c>
      <c r="S45" s="46" t="n">
        <f aca="false">IF(AND($E45&gt;0,S$6=$F45),$E45,0)</f>
        <v>0</v>
      </c>
      <c r="T45" s="46" t="n">
        <f aca="false">IF(AND($E45&gt;0,T$6=$F45),$E45,0)</f>
        <v>0</v>
      </c>
      <c r="U45" s="46" t="n">
        <f aca="false">IF(AND($G45&gt;0,U$6=$H45),$G45,0)</f>
        <v>0</v>
      </c>
      <c r="V45" s="46" t="n">
        <f aca="false">IF(AND($G45&gt;0,V$6=$H45),$G45,0)</f>
        <v>820</v>
      </c>
      <c r="W45" s="46" t="n">
        <f aca="false">IF(AND($G45&gt;0,W$6=$H45),$G45,0)</f>
        <v>0</v>
      </c>
      <c r="X45" s="46" t="n">
        <f aca="false">IF(AND($G45&gt;0,X$6=$H45),$G45,0)</f>
        <v>0</v>
      </c>
      <c r="Y45" s="46" t="n">
        <f aca="false">IF(AND($G45&gt;0,Y$6=$H45),$G45,0)</f>
        <v>0</v>
      </c>
      <c r="Z45" s="46" t="n">
        <f aca="false">IF(AND($G45&gt;0,Z$6=$H45),$G45,0)</f>
        <v>0</v>
      </c>
      <c r="AA45" s="46" t="n">
        <f aca="false">IF(AND($G45&gt;0,AA$6=$H45),$G45,0)</f>
        <v>0</v>
      </c>
      <c r="AB45" s="46" t="n">
        <f aca="false">IF(AND($G45&gt;0,AB$6=$H45),$G45,0)</f>
        <v>0</v>
      </c>
      <c r="AC45" s="46" t="n">
        <f aca="false">IF(AND($G45&gt;0,AC$6=$H45),$G45,0)</f>
        <v>0</v>
      </c>
      <c r="AD45" s="46" t="n">
        <f aca="false">IF(AND($G45&gt;0,AD$6=$H45),$G45,0)</f>
        <v>0</v>
      </c>
      <c r="AE45" s="46" t="n">
        <f aca="false">IF(AND($G45&gt;0,AE$6=$H45),$G45,0)</f>
        <v>0</v>
      </c>
      <c r="AF45" s="46" t="n">
        <f aca="false">IF(AND($G45&gt;0,AF$6=$H45),$G45,0)</f>
        <v>0</v>
      </c>
      <c r="AG45" s="33" t="n">
        <f aca="false">$C45</f>
        <v>179.75</v>
      </c>
      <c r="AH45" s="33" t="n">
        <f aca="false">$C45</f>
        <v>179.75</v>
      </c>
      <c r="AI45" s="33" t="n">
        <f aca="false">$C45</f>
        <v>179.75</v>
      </c>
      <c r="AJ45" s="33" t="n">
        <f aca="false">$C45</f>
        <v>179.75</v>
      </c>
      <c r="AK45" s="33" t="n">
        <f aca="false">$C45</f>
        <v>179.75</v>
      </c>
      <c r="AL45" s="33" t="n">
        <f aca="false">$C45</f>
        <v>179.75</v>
      </c>
      <c r="AM45" s="33" t="n">
        <f aca="false">$C45</f>
        <v>179.75</v>
      </c>
      <c r="AN45" s="33" t="n">
        <f aca="false">$C45</f>
        <v>179.75</v>
      </c>
      <c r="AO45" s="33" t="n">
        <f aca="false">$C45</f>
        <v>179.75</v>
      </c>
      <c r="AP45" s="33" t="n">
        <f aca="false">$C45</f>
        <v>179.75</v>
      </c>
      <c r="AQ45" s="33" t="n">
        <f aca="false">$C45</f>
        <v>179.75</v>
      </c>
      <c r="AR45" s="33" t="n">
        <f aca="false">$C45</f>
        <v>179.75</v>
      </c>
      <c r="AS45" s="47" t="n">
        <f aca="false">$D45+I45+U45-AG45</f>
        <v>0.25</v>
      </c>
      <c r="AT45" s="47" t="n">
        <f aca="false">AS45+J45+V45-AH45</f>
        <v>640.5</v>
      </c>
      <c r="AU45" s="47" t="n">
        <f aca="false">AT45+K45+W45-AI45</f>
        <v>460.75</v>
      </c>
      <c r="AV45" s="47" t="n">
        <f aca="false">AU45+L45+X45-AJ45</f>
        <v>281</v>
      </c>
      <c r="AW45" s="47" t="n">
        <f aca="false">AV45+M45+Y45-AK45</f>
        <v>101.25</v>
      </c>
      <c r="AX45" s="47" t="n">
        <f aca="false">AW45+N45+Z45-AL45</f>
        <v>-78.5</v>
      </c>
      <c r="AY45" s="47" t="n">
        <f aca="false">AX45+O45+AA45-AM45</f>
        <v>-258.25</v>
      </c>
      <c r="AZ45" s="47" t="n">
        <f aca="false">AY45+P45+AB45-AN45</f>
        <v>-438</v>
      </c>
      <c r="BA45" s="47" t="n">
        <f aca="false">AZ45+Q45+AC45-AO45</f>
        <v>-617.75</v>
      </c>
      <c r="BB45" s="47" t="n">
        <f aca="false">BA45+R45+AD45-AP45</f>
        <v>-797.5</v>
      </c>
      <c r="BC45" s="47" t="n">
        <f aca="false">BB45+S45+AE45-AQ45</f>
        <v>-977.25</v>
      </c>
      <c r="BD45" s="47" t="n">
        <f aca="false">BC45+T45+AF45-AR45</f>
        <v>-1157</v>
      </c>
      <c r="BE45" s="46" t="n">
        <f aca="false">IF(AS45&lt;=0,1,0)</f>
        <v>0</v>
      </c>
      <c r="BF45" s="46" t="n">
        <f aca="false">IF(AT45&lt;=0,1,0)</f>
        <v>0</v>
      </c>
      <c r="BG45" s="46" t="n">
        <f aca="false">IF(AU45&lt;=0,1,0)</f>
        <v>0</v>
      </c>
      <c r="BH45" s="46" t="n">
        <f aca="false">IF(AV45&lt;=0,1,0)</f>
        <v>0</v>
      </c>
      <c r="BI45" s="46" t="n">
        <f aca="false">IF(AW45&lt;=0,1,0)</f>
        <v>0</v>
      </c>
      <c r="BJ45" s="46" t="n">
        <f aca="false">IF(AX45&lt;=0,1,0)</f>
        <v>1</v>
      </c>
      <c r="BK45" s="46" t="n">
        <f aca="false">IF(AY45&lt;=0,1,0)</f>
        <v>1</v>
      </c>
      <c r="BL45" s="46" t="n">
        <f aca="false">IF(AZ45&lt;=0,1,0)</f>
        <v>1</v>
      </c>
      <c r="BM45" s="46" t="n">
        <f aca="false">IF(BA45&lt;=0,1,0)</f>
        <v>1</v>
      </c>
      <c r="BN45" s="46" t="n">
        <f aca="false">IF(BB45&lt;=0,1,0)</f>
        <v>1</v>
      </c>
      <c r="BO45" s="46" t="n">
        <f aca="false">IF(BC45&lt;=0,1,0)</f>
        <v>1</v>
      </c>
      <c r="BP45" s="46" t="n">
        <f aca="false">IF(BD45&lt;=0,1,0)</f>
        <v>1</v>
      </c>
      <c r="BQ45" s="41" t="n">
        <f aca="false">IF(COUNTIF(BE45:BP45,1)=0,"None",MATCH(1,BE45:BP45,0))</f>
        <v>6</v>
      </c>
      <c r="BR45" s="12" t="str">
        <f aca="false">IF(COUNTIFS(BE$6:BP$6,"&lt;="&amp;$B45,BE45:BP45,1)&gt;0,"YES","NO")</f>
        <v>NO</v>
      </c>
      <c r="BS45" s="19" t="n">
        <f aca="false">MIN(AS45:BD45)</f>
        <v>-1157</v>
      </c>
    </row>
    <row r="46" customFormat="false" ht="15" hidden="false" customHeight="false" outlineLevel="0" collapsed="false">
      <c r="A46" s="11" t="str">
        <f aca="false">Replenishment_Plan!A46</f>
        <v>CLN-003</v>
      </c>
      <c r="B46" s="39" t="n">
        <f aca="false">Replenishment_Plan!K46</f>
        <v>1</v>
      </c>
      <c r="C46" s="35" t="n">
        <f aca="false">Replenishment_Plan!E46</f>
        <v>189.25</v>
      </c>
      <c r="D46" s="39" t="n">
        <f aca="false">Replenishment_Plan!O46-Replenishment_Plan!Q46</f>
        <v>-99</v>
      </c>
      <c r="E46" s="39" t="n">
        <f aca="false">Replenishment_Plan!P46</f>
        <v>0</v>
      </c>
      <c r="F46" s="39" t="n">
        <f aca="false">Inputs!L79</f>
        <v>0</v>
      </c>
      <c r="G46" s="39" t="n">
        <f aca="false">Replenishment_Plan!AD46</f>
        <v>624</v>
      </c>
      <c r="H46" s="19" t="n">
        <f aca="false">IF(G46&gt;0,B46+1,"none")</f>
        <v>2</v>
      </c>
      <c r="I46" s="46" t="n">
        <f aca="false">IF(AND($E46&gt;0,I$6=$F46),$E46,0)</f>
        <v>0</v>
      </c>
      <c r="J46" s="46" t="n">
        <f aca="false">IF(AND($E46&gt;0,J$6=$F46),$E46,0)</f>
        <v>0</v>
      </c>
      <c r="K46" s="46" t="n">
        <f aca="false">IF(AND($E46&gt;0,K$6=$F46),$E46,0)</f>
        <v>0</v>
      </c>
      <c r="L46" s="46" t="n">
        <f aca="false">IF(AND($E46&gt;0,L$6=$F46),$E46,0)</f>
        <v>0</v>
      </c>
      <c r="M46" s="46" t="n">
        <f aca="false">IF(AND($E46&gt;0,M$6=$F46),$E46,0)</f>
        <v>0</v>
      </c>
      <c r="N46" s="46" t="n">
        <f aca="false">IF(AND($E46&gt;0,N$6=$F46),$E46,0)</f>
        <v>0</v>
      </c>
      <c r="O46" s="46" t="n">
        <f aca="false">IF(AND($E46&gt;0,O$6=$F46),$E46,0)</f>
        <v>0</v>
      </c>
      <c r="P46" s="46" t="n">
        <f aca="false">IF(AND($E46&gt;0,P$6=$F46),$E46,0)</f>
        <v>0</v>
      </c>
      <c r="Q46" s="46" t="n">
        <f aca="false">IF(AND($E46&gt;0,Q$6=$F46),$E46,0)</f>
        <v>0</v>
      </c>
      <c r="R46" s="46" t="n">
        <f aca="false">IF(AND($E46&gt;0,R$6=$F46),$E46,0)</f>
        <v>0</v>
      </c>
      <c r="S46" s="46" t="n">
        <f aca="false">IF(AND($E46&gt;0,S$6=$F46),$E46,0)</f>
        <v>0</v>
      </c>
      <c r="T46" s="46" t="n">
        <f aca="false">IF(AND($E46&gt;0,T$6=$F46),$E46,0)</f>
        <v>0</v>
      </c>
      <c r="U46" s="46" t="n">
        <f aca="false">IF(AND($G46&gt;0,U$6=$H46),$G46,0)</f>
        <v>0</v>
      </c>
      <c r="V46" s="46" t="n">
        <f aca="false">IF(AND($G46&gt;0,V$6=$H46),$G46,0)</f>
        <v>624</v>
      </c>
      <c r="W46" s="46" t="n">
        <f aca="false">IF(AND($G46&gt;0,W$6=$H46),$G46,0)</f>
        <v>0</v>
      </c>
      <c r="X46" s="46" t="n">
        <f aca="false">IF(AND($G46&gt;0,X$6=$H46),$G46,0)</f>
        <v>0</v>
      </c>
      <c r="Y46" s="46" t="n">
        <f aca="false">IF(AND($G46&gt;0,Y$6=$H46),$G46,0)</f>
        <v>0</v>
      </c>
      <c r="Z46" s="46" t="n">
        <f aca="false">IF(AND($G46&gt;0,Z$6=$H46),$G46,0)</f>
        <v>0</v>
      </c>
      <c r="AA46" s="46" t="n">
        <f aca="false">IF(AND($G46&gt;0,AA$6=$H46),$G46,0)</f>
        <v>0</v>
      </c>
      <c r="AB46" s="46" t="n">
        <f aca="false">IF(AND($G46&gt;0,AB$6=$H46),$G46,0)</f>
        <v>0</v>
      </c>
      <c r="AC46" s="46" t="n">
        <f aca="false">IF(AND($G46&gt;0,AC$6=$H46),$G46,0)</f>
        <v>0</v>
      </c>
      <c r="AD46" s="46" t="n">
        <f aca="false">IF(AND($G46&gt;0,AD$6=$H46),$G46,0)</f>
        <v>0</v>
      </c>
      <c r="AE46" s="46" t="n">
        <f aca="false">IF(AND($G46&gt;0,AE$6=$H46),$G46,0)</f>
        <v>0</v>
      </c>
      <c r="AF46" s="46" t="n">
        <f aca="false">IF(AND($G46&gt;0,AF$6=$H46),$G46,0)</f>
        <v>0</v>
      </c>
      <c r="AG46" s="33" t="n">
        <f aca="false">$C46</f>
        <v>189.25</v>
      </c>
      <c r="AH46" s="33" t="n">
        <f aca="false">$C46</f>
        <v>189.25</v>
      </c>
      <c r="AI46" s="33" t="n">
        <f aca="false">$C46</f>
        <v>189.25</v>
      </c>
      <c r="AJ46" s="33" t="n">
        <f aca="false">$C46</f>
        <v>189.25</v>
      </c>
      <c r="AK46" s="33" t="n">
        <f aca="false">$C46</f>
        <v>189.25</v>
      </c>
      <c r="AL46" s="33" t="n">
        <f aca="false">$C46</f>
        <v>189.25</v>
      </c>
      <c r="AM46" s="33" t="n">
        <f aca="false">$C46</f>
        <v>189.25</v>
      </c>
      <c r="AN46" s="33" t="n">
        <f aca="false">$C46</f>
        <v>189.25</v>
      </c>
      <c r="AO46" s="33" t="n">
        <f aca="false">$C46</f>
        <v>189.25</v>
      </c>
      <c r="AP46" s="33" t="n">
        <f aca="false">$C46</f>
        <v>189.25</v>
      </c>
      <c r="AQ46" s="33" t="n">
        <f aca="false">$C46</f>
        <v>189.25</v>
      </c>
      <c r="AR46" s="33" t="n">
        <f aca="false">$C46</f>
        <v>189.25</v>
      </c>
      <c r="AS46" s="47" t="n">
        <f aca="false">$D46+I46+U46-AG46</f>
        <v>-288.25</v>
      </c>
      <c r="AT46" s="47" t="n">
        <f aca="false">AS46+J46+V46-AH46</f>
        <v>146.5</v>
      </c>
      <c r="AU46" s="47" t="n">
        <f aca="false">AT46+K46+W46-AI46</f>
        <v>-42.75</v>
      </c>
      <c r="AV46" s="47" t="n">
        <f aca="false">AU46+L46+X46-AJ46</f>
        <v>-232</v>
      </c>
      <c r="AW46" s="47" t="n">
        <f aca="false">AV46+M46+Y46-AK46</f>
        <v>-421.25</v>
      </c>
      <c r="AX46" s="47" t="n">
        <f aca="false">AW46+N46+Z46-AL46</f>
        <v>-610.5</v>
      </c>
      <c r="AY46" s="47" t="n">
        <f aca="false">AX46+O46+AA46-AM46</f>
        <v>-799.75</v>
      </c>
      <c r="AZ46" s="47" t="n">
        <f aca="false">AY46+P46+AB46-AN46</f>
        <v>-989</v>
      </c>
      <c r="BA46" s="47" t="n">
        <f aca="false">AZ46+Q46+AC46-AO46</f>
        <v>-1178.25</v>
      </c>
      <c r="BB46" s="47" t="n">
        <f aca="false">BA46+R46+AD46-AP46</f>
        <v>-1367.5</v>
      </c>
      <c r="BC46" s="47" t="n">
        <f aca="false">BB46+S46+AE46-AQ46</f>
        <v>-1556.75</v>
      </c>
      <c r="BD46" s="47" t="n">
        <f aca="false">BC46+T46+AF46-AR46</f>
        <v>-1746</v>
      </c>
      <c r="BE46" s="46" t="n">
        <f aca="false">IF(AS46&lt;=0,1,0)</f>
        <v>1</v>
      </c>
      <c r="BF46" s="46" t="n">
        <f aca="false">IF(AT46&lt;=0,1,0)</f>
        <v>0</v>
      </c>
      <c r="BG46" s="46" t="n">
        <f aca="false">IF(AU46&lt;=0,1,0)</f>
        <v>1</v>
      </c>
      <c r="BH46" s="46" t="n">
        <f aca="false">IF(AV46&lt;=0,1,0)</f>
        <v>1</v>
      </c>
      <c r="BI46" s="46" t="n">
        <f aca="false">IF(AW46&lt;=0,1,0)</f>
        <v>1</v>
      </c>
      <c r="BJ46" s="46" t="n">
        <f aca="false">IF(AX46&lt;=0,1,0)</f>
        <v>1</v>
      </c>
      <c r="BK46" s="46" t="n">
        <f aca="false">IF(AY46&lt;=0,1,0)</f>
        <v>1</v>
      </c>
      <c r="BL46" s="46" t="n">
        <f aca="false">IF(AZ46&lt;=0,1,0)</f>
        <v>1</v>
      </c>
      <c r="BM46" s="46" t="n">
        <f aca="false">IF(BA46&lt;=0,1,0)</f>
        <v>1</v>
      </c>
      <c r="BN46" s="46" t="n">
        <f aca="false">IF(BB46&lt;=0,1,0)</f>
        <v>1</v>
      </c>
      <c r="BO46" s="46" t="n">
        <f aca="false">IF(BC46&lt;=0,1,0)</f>
        <v>1</v>
      </c>
      <c r="BP46" s="46" t="n">
        <f aca="false">IF(BD46&lt;=0,1,0)</f>
        <v>1</v>
      </c>
      <c r="BQ46" s="41" t="n">
        <f aca="false">IF(COUNTIF(BE46:BP46,1)=0,"None",MATCH(1,BE46:BP46,0))</f>
        <v>1</v>
      </c>
      <c r="BR46" s="12" t="str">
        <f aca="false">IF(COUNTIFS(BE$6:BP$6,"&lt;="&amp;$B46,BE46:BP46,1)&gt;0,"YES","NO")</f>
        <v>YES</v>
      </c>
      <c r="BS46" s="19" t="n">
        <f aca="false">MIN(AS46:BD46)</f>
        <v>-1746</v>
      </c>
    </row>
    <row r="47" customFormat="false" ht="15" hidden="false" customHeight="false" outlineLevel="0" collapsed="false">
      <c r="A47" s="11" t="str">
        <f aca="false">Replenishment_Plan!A47</f>
        <v>CLN-004</v>
      </c>
      <c r="B47" s="39" t="n">
        <f aca="false">Replenishment_Plan!K47</f>
        <v>1</v>
      </c>
      <c r="C47" s="35" t="n">
        <f aca="false">Replenishment_Plan!E47</f>
        <v>63</v>
      </c>
      <c r="D47" s="39" t="n">
        <f aca="false">Replenishment_Plan!O47-Replenishment_Plan!Q47</f>
        <v>556</v>
      </c>
      <c r="E47" s="39" t="n">
        <f aca="false">Replenishment_Plan!P47</f>
        <v>0</v>
      </c>
      <c r="F47" s="39" t="n">
        <f aca="false">Inputs!L80</f>
        <v>0</v>
      </c>
      <c r="G47" s="39" t="n">
        <f aca="false">Replenishment_Plan!AD47</f>
        <v>0</v>
      </c>
      <c r="H47" s="19" t="str">
        <f aca="false">IF(G47&gt;0,B47+1,"none")</f>
        <v>none</v>
      </c>
      <c r="I47" s="46" t="n">
        <f aca="false">IF(AND($E47&gt;0,I$6=$F47),$E47,0)</f>
        <v>0</v>
      </c>
      <c r="J47" s="46" t="n">
        <f aca="false">IF(AND($E47&gt;0,J$6=$F47),$E47,0)</f>
        <v>0</v>
      </c>
      <c r="K47" s="46" t="n">
        <f aca="false">IF(AND($E47&gt;0,K$6=$F47),$E47,0)</f>
        <v>0</v>
      </c>
      <c r="L47" s="46" t="n">
        <f aca="false">IF(AND($E47&gt;0,L$6=$F47),$E47,0)</f>
        <v>0</v>
      </c>
      <c r="M47" s="46" t="n">
        <f aca="false">IF(AND($E47&gt;0,M$6=$F47),$E47,0)</f>
        <v>0</v>
      </c>
      <c r="N47" s="46" t="n">
        <f aca="false">IF(AND($E47&gt;0,N$6=$F47),$E47,0)</f>
        <v>0</v>
      </c>
      <c r="O47" s="46" t="n">
        <f aca="false">IF(AND($E47&gt;0,O$6=$F47),$E47,0)</f>
        <v>0</v>
      </c>
      <c r="P47" s="46" t="n">
        <f aca="false">IF(AND($E47&gt;0,P$6=$F47),$E47,0)</f>
        <v>0</v>
      </c>
      <c r="Q47" s="46" t="n">
        <f aca="false">IF(AND($E47&gt;0,Q$6=$F47),$E47,0)</f>
        <v>0</v>
      </c>
      <c r="R47" s="46" t="n">
        <f aca="false">IF(AND($E47&gt;0,R$6=$F47),$E47,0)</f>
        <v>0</v>
      </c>
      <c r="S47" s="46" t="n">
        <f aca="false">IF(AND($E47&gt;0,S$6=$F47),$E47,0)</f>
        <v>0</v>
      </c>
      <c r="T47" s="46" t="n">
        <f aca="false">IF(AND($E47&gt;0,T$6=$F47),$E47,0)</f>
        <v>0</v>
      </c>
      <c r="U47" s="46" t="n">
        <f aca="false">IF(AND($G47&gt;0,U$6=$H47),$G47,0)</f>
        <v>0</v>
      </c>
      <c r="V47" s="46" t="n">
        <f aca="false">IF(AND($G47&gt;0,V$6=$H47),$G47,0)</f>
        <v>0</v>
      </c>
      <c r="W47" s="46" t="n">
        <f aca="false">IF(AND($G47&gt;0,W$6=$H47),$G47,0)</f>
        <v>0</v>
      </c>
      <c r="X47" s="46" t="n">
        <f aca="false">IF(AND($G47&gt;0,X$6=$H47),$G47,0)</f>
        <v>0</v>
      </c>
      <c r="Y47" s="46" t="n">
        <f aca="false">IF(AND($G47&gt;0,Y$6=$H47),$G47,0)</f>
        <v>0</v>
      </c>
      <c r="Z47" s="46" t="n">
        <f aca="false">IF(AND($G47&gt;0,Z$6=$H47),$G47,0)</f>
        <v>0</v>
      </c>
      <c r="AA47" s="46" t="n">
        <f aca="false">IF(AND($G47&gt;0,AA$6=$H47),$G47,0)</f>
        <v>0</v>
      </c>
      <c r="AB47" s="46" t="n">
        <f aca="false">IF(AND($G47&gt;0,AB$6=$H47),$G47,0)</f>
        <v>0</v>
      </c>
      <c r="AC47" s="46" t="n">
        <f aca="false">IF(AND($G47&gt;0,AC$6=$H47),$G47,0)</f>
        <v>0</v>
      </c>
      <c r="AD47" s="46" t="n">
        <f aca="false">IF(AND($G47&gt;0,AD$6=$H47),$G47,0)</f>
        <v>0</v>
      </c>
      <c r="AE47" s="46" t="n">
        <f aca="false">IF(AND($G47&gt;0,AE$6=$H47),$G47,0)</f>
        <v>0</v>
      </c>
      <c r="AF47" s="46" t="n">
        <f aca="false">IF(AND($G47&gt;0,AF$6=$H47),$G47,0)</f>
        <v>0</v>
      </c>
      <c r="AG47" s="33" t="n">
        <f aca="false">$C47</f>
        <v>63</v>
      </c>
      <c r="AH47" s="33" t="n">
        <f aca="false">$C47</f>
        <v>63</v>
      </c>
      <c r="AI47" s="33" t="n">
        <f aca="false">$C47</f>
        <v>63</v>
      </c>
      <c r="AJ47" s="33" t="n">
        <f aca="false">$C47</f>
        <v>63</v>
      </c>
      <c r="AK47" s="33" t="n">
        <f aca="false">$C47</f>
        <v>63</v>
      </c>
      <c r="AL47" s="33" t="n">
        <f aca="false">$C47</f>
        <v>63</v>
      </c>
      <c r="AM47" s="33" t="n">
        <f aca="false">$C47</f>
        <v>63</v>
      </c>
      <c r="AN47" s="33" t="n">
        <f aca="false">$C47</f>
        <v>63</v>
      </c>
      <c r="AO47" s="33" t="n">
        <f aca="false">$C47</f>
        <v>63</v>
      </c>
      <c r="AP47" s="33" t="n">
        <f aca="false">$C47</f>
        <v>63</v>
      </c>
      <c r="AQ47" s="33" t="n">
        <f aca="false">$C47</f>
        <v>63</v>
      </c>
      <c r="AR47" s="33" t="n">
        <f aca="false">$C47</f>
        <v>63</v>
      </c>
      <c r="AS47" s="47" t="n">
        <f aca="false">$D47+I47+U47-AG47</f>
        <v>493</v>
      </c>
      <c r="AT47" s="47" t="n">
        <f aca="false">AS47+J47+V47-AH47</f>
        <v>430</v>
      </c>
      <c r="AU47" s="47" t="n">
        <f aca="false">AT47+K47+W47-AI47</f>
        <v>367</v>
      </c>
      <c r="AV47" s="47" t="n">
        <f aca="false">AU47+L47+X47-AJ47</f>
        <v>304</v>
      </c>
      <c r="AW47" s="47" t="n">
        <f aca="false">AV47+M47+Y47-AK47</f>
        <v>241</v>
      </c>
      <c r="AX47" s="47" t="n">
        <f aca="false">AW47+N47+Z47-AL47</f>
        <v>178</v>
      </c>
      <c r="AY47" s="47" t="n">
        <f aca="false">AX47+O47+AA47-AM47</f>
        <v>115</v>
      </c>
      <c r="AZ47" s="47" t="n">
        <f aca="false">AY47+P47+AB47-AN47</f>
        <v>52</v>
      </c>
      <c r="BA47" s="47" t="n">
        <f aca="false">AZ47+Q47+AC47-AO47</f>
        <v>-11</v>
      </c>
      <c r="BB47" s="47" t="n">
        <f aca="false">BA47+R47+AD47-AP47</f>
        <v>-74</v>
      </c>
      <c r="BC47" s="47" t="n">
        <f aca="false">BB47+S47+AE47-AQ47</f>
        <v>-137</v>
      </c>
      <c r="BD47" s="47" t="n">
        <f aca="false">BC47+T47+AF47-AR47</f>
        <v>-200</v>
      </c>
      <c r="BE47" s="46" t="n">
        <f aca="false">IF(AS47&lt;=0,1,0)</f>
        <v>0</v>
      </c>
      <c r="BF47" s="46" t="n">
        <f aca="false">IF(AT47&lt;=0,1,0)</f>
        <v>0</v>
      </c>
      <c r="BG47" s="46" t="n">
        <f aca="false">IF(AU47&lt;=0,1,0)</f>
        <v>0</v>
      </c>
      <c r="BH47" s="46" t="n">
        <f aca="false">IF(AV47&lt;=0,1,0)</f>
        <v>0</v>
      </c>
      <c r="BI47" s="46" t="n">
        <f aca="false">IF(AW47&lt;=0,1,0)</f>
        <v>0</v>
      </c>
      <c r="BJ47" s="46" t="n">
        <f aca="false">IF(AX47&lt;=0,1,0)</f>
        <v>0</v>
      </c>
      <c r="BK47" s="46" t="n">
        <f aca="false">IF(AY47&lt;=0,1,0)</f>
        <v>0</v>
      </c>
      <c r="BL47" s="46" t="n">
        <f aca="false">IF(AZ47&lt;=0,1,0)</f>
        <v>0</v>
      </c>
      <c r="BM47" s="46" t="n">
        <f aca="false">IF(BA47&lt;=0,1,0)</f>
        <v>1</v>
      </c>
      <c r="BN47" s="46" t="n">
        <f aca="false">IF(BB47&lt;=0,1,0)</f>
        <v>1</v>
      </c>
      <c r="BO47" s="46" t="n">
        <f aca="false">IF(BC47&lt;=0,1,0)</f>
        <v>1</v>
      </c>
      <c r="BP47" s="46" t="n">
        <f aca="false">IF(BD47&lt;=0,1,0)</f>
        <v>1</v>
      </c>
      <c r="BQ47" s="41" t="n">
        <f aca="false">IF(COUNTIF(BE47:BP47,1)=0,"None",MATCH(1,BE47:BP47,0))</f>
        <v>9</v>
      </c>
      <c r="BR47" s="12" t="str">
        <f aca="false">IF(COUNTIFS(BE$6:BP$6,"&lt;="&amp;$B47,BE47:BP47,1)&gt;0,"YES","NO")</f>
        <v>NO</v>
      </c>
      <c r="BS47" s="19" t="n">
        <f aca="false">MIN(AS47:BD47)</f>
        <v>-200</v>
      </c>
    </row>
    <row r="48" customFormat="false" ht="15" hidden="false" customHeight="false" outlineLevel="0" collapsed="false">
      <c r="A48" s="11" t="str">
        <f aca="false">Replenishment_Plan!A48</f>
        <v>CLN-005</v>
      </c>
      <c r="B48" s="39" t="n">
        <f aca="false">Replenishment_Plan!K48</f>
        <v>1</v>
      </c>
      <c r="C48" s="35" t="n">
        <f aca="false">Replenishment_Plan!E48</f>
        <v>53.25</v>
      </c>
      <c r="D48" s="39" t="n">
        <f aca="false">Replenishment_Plan!O48-Replenishment_Plan!Q48</f>
        <v>307</v>
      </c>
      <c r="E48" s="39" t="n">
        <f aca="false">Replenishment_Plan!P48</f>
        <v>0</v>
      </c>
      <c r="F48" s="39" t="n">
        <f aca="false">Inputs!L81</f>
        <v>0</v>
      </c>
      <c r="G48" s="39" t="n">
        <f aca="false">Replenishment_Plan!AD48</f>
        <v>0</v>
      </c>
      <c r="H48" s="19" t="str">
        <f aca="false">IF(G48&gt;0,B48+1,"none")</f>
        <v>none</v>
      </c>
      <c r="I48" s="46" t="n">
        <f aca="false">IF(AND($E48&gt;0,I$6=$F48),$E48,0)</f>
        <v>0</v>
      </c>
      <c r="J48" s="46" t="n">
        <f aca="false">IF(AND($E48&gt;0,J$6=$F48),$E48,0)</f>
        <v>0</v>
      </c>
      <c r="K48" s="46" t="n">
        <f aca="false">IF(AND($E48&gt;0,K$6=$F48),$E48,0)</f>
        <v>0</v>
      </c>
      <c r="L48" s="46" t="n">
        <f aca="false">IF(AND($E48&gt;0,L$6=$F48),$E48,0)</f>
        <v>0</v>
      </c>
      <c r="M48" s="46" t="n">
        <f aca="false">IF(AND($E48&gt;0,M$6=$F48),$E48,0)</f>
        <v>0</v>
      </c>
      <c r="N48" s="46" t="n">
        <f aca="false">IF(AND($E48&gt;0,N$6=$F48),$E48,0)</f>
        <v>0</v>
      </c>
      <c r="O48" s="46" t="n">
        <f aca="false">IF(AND($E48&gt;0,O$6=$F48),$E48,0)</f>
        <v>0</v>
      </c>
      <c r="P48" s="46" t="n">
        <f aca="false">IF(AND($E48&gt;0,P$6=$F48),$E48,0)</f>
        <v>0</v>
      </c>
      <c r="Q48" s="46" t="n">
        <f aca="false">IF(AND($E48&gt;0,Q$6=$F48),$E48,0)</f>
        <v>0</v>
      </c>
      <c r="R48" s="46" t="n">
        <f aca="false">IF(AND($E48&gt;0,R$6=$F48),$E48,0)</f>
        <v>0</v>
      </c>
      <c r="S48" s="46" t="n">
        <f aca="false">IF(AND($E48&gt;0,S$6=$F48),$E48,0)</f>
        <v>0</v>
      </c>
      <c r="T48" s="46" t="n">
        <f aca="false">IF(AND($E48&gt;0,T$6=$F48),$E48,0)</f>
        <v>0</v>
      </c>
      <c r="U48" s="46" t="n">
        <f aca="false">IF(AND($G48&gt;0,U$6=$H48),$G48,0)</f>
        <v>0</v>
      </c>
      <c r="V48" s="46" t="n">
        <f aca="false">IF(AND($G48&gt;0,V$6=$H48),$G48,0)</f>
        <v>0</v>
      </c>
      <c r="W48" s="46" t="n">
        <f aca="false">IF(AND($G48&gt;0,W$6=$H48),$G48,0)</f>
        <v>0</v>
      </c>
      <c r="X48" s="46" t="n">
        <f aca="false">IF(AND($G48&gt;0,X$6=$H48),$G48,0)</f>
        <v>0</v>
      </c>
      <c r="Y48" s="46" t="n">
        <f aca="false">IF(AND($G48&gt;0,Y$6=$H48),$G48,0)</f>
        <v>0</v>
      </c>
      <c r="Z48" s="46" t="n">
        <f aca="false">IF(AND($G48&gt;0,Z$6=$H48),$G48,0)</f>
        <v>0</v>
      </c>
      <c r="AA48" s="46" t="n">
        <f aca="false">IF(AND($G48&gt;0,AA$6=$H48),$G48,0)</f>
        <v>0</v>
      </c>
      <c r="AB48" s="46" t="n">
        <f aca="false">IF(AND($G48&gt;0,AB$6=$H48),$G48,0)</f>
        <v>0</v>
      </c>
      <c r="AC48" s="46" t="n">
        <f aca="false">IF(AND($G48&gt;0,AC$6=$H48),$G48,0)</f>
        <v>0</v>
      </c>
      <c r="AD48" s="46" t="n">
        <f aca="false">IF(AND($G48&gt;0,AD$6=$H48),$G48,0)</f>
        <v>0</v>
      </c>
      <c r="AE48" s="46" t="n">
        <f aca="false">IF(AND($G48&gt;0,AE$6=$H48),$G48,0)</f>
        <v>0</v>
      </c>
      <c r="AF48" s="46" t="n">
        <f aca="false">IF(AND($G48&gt;0,AF$6=$H48),$G48,0)</f>
        <v>0</v>
      </c>
      <c r="AG48" s="33" t="n">
        <f aca="false">$C48</f>
        <v>53.25</v>
      </c>
      <c r="AH48" s="33" t="n">
        <f aca="false">$C48</f>
        <v>53.25</v>
      </c>
      <c r="AI48" s="33" t="n">
        <f aca="false">$C48</f>
        <v>53.25</v>
      </c>
      <c r="AJ48" s="33" t="n">
        <f aca="false">$C48</f>
        <v>53.25</v>
      </c>
      <c r="AK48" s="33" t="n">
        <f aca="false">$C48</f>
        <v>53.25</v>
      </c>
      <c r="AL48" s="33" t="n">
        <f aca="false">$C48</f>
        <v>53.25</v>
      </c>
      <c r="AM48" s="33" t="n">
        <f aca="false">$C48</f>
        <v>53.25</v>
      </c>
      <c r="AN48" s="33" t="n">
        <f aca="false">$C48</f>
        <v>53.25</v>
      </c>
      <c r="AO48" s="33" t="n">
        <f aca="false">$C48</f>
        <v>53.25</v>
      </c>
      <c r="AP48" s="33" t="n">
        <f aca="false">$C48</f>
        <v>53.25</v>
      </c>
      <c r="AQ48" s="33" t="n">
        <f aca="false">$C48</f>
        <v>53.25</v>
      </c>
      <c r="AR48" s="33" t="n">
        <f aca="false">$C48</f>
        <v>53.25</v>
      </c>
      <c r="AS48" s="47" t="n">
        <f aca="false">$D48+I48+U48-AG48</f>
        <v>253.75</v>
      </c>
      <c r="AT48" s="47" t="n">
        <f aca="false">AS48+J48+V48-AH48</f>
        <v>200.5</v>
      </c>
      <c r="AU48" s="47" t="n">
        <f aca="false">AT48+K48+W48-AI48</f>
        <v>147.25</v>
      </c>
      <c r="AV48" s="47" t="n">
        <f aca="false">AU48+L48+X48-AJ48</f>
        <v>94</v>
      </c>
      <c r="AW48" s="47" t="n">
        <f aca="false">AV48+M48+Y48-AK48</f>
        <v>40.75</v>
      </c>
      <c r="AX48" s="47" t="n">
        <f aca="false">AW48+N48+Z48-AL48</f>
        <v>-12.5</v>
      </c>
      <c r="AY48" s="47" t="n">
        <f aca="false">AX48+O48+AA48-AM48</f>
        <v>-65.75</v>
      </c>
      <c r="AZ48" s="47" t="n">
        <f aca="false">AY48+P48+AB48-AN48</f>
        <v>-119</v>
      </c>
      <c r="BA48" s="47" t="n">
        <f aca="false">AZ48+Q48+AC48-AO48</f>
        <v>-172.25</v>
      </c>
      <c r="BB48" s="47" t="n">
        <f aca="false">BA48+R48+AD48-AP48</f>
        <v>-225.5</v>
      </c>
      <c r="BC48" s="47" t="n">
        <f aca="false">BB48+S48+AE48-AQ48</f>
        <v>-278.75</v>
      </c>
      <c r="BD48" s="47" t="n">
        <f aca="false">BC48+T48+AF48-AR48</f>
        <v>-332</v>
      </c>
      <c r="BE48" s="46" t="n">
        <f aca="false">IF(AS48&lt;=0,1,0)</f>
        <v>0</v>
      </c>
      <c r="BF48" s="46" t="n">
        <f aca="false">IF(AT48&lt;=0,1,0)</f>
        <v>0</v>
      </c>
      <c r="BG48" s="46" t="n">
        <f aca="false">IF(AU48&lt;=0,1,0)</f>
        <v>0</v>
      </c>
      <c r="BH48" s="46" t="n">
        <f aca="false">IF(AV48&lt;=0,1,0)</f>
        <v>0</v>
      </c>
      <c r="BI48" s="46" t="n">
        <f aca="false">IF(AW48&lt;=0,1,0)</f>
        <v>0</v>
      </c>
      <c r="BJ48" s="46" t="n">
        <f aca="false">IF(AX48&lt;=0,1,0)</f>
        <v>1</v>
      </c>
      <c r="BK48" s="46" t="n">
        <f aca="false">IF(AY48&lt;=0,1,0)</f>
        <v>1</v>
      </c>
      <c r="BL48" s="46" t="n">
        <f aca="false">IF(AZ48&lt;=0,1,0)</f>
        <v>1</v>
      </c>
      <c r="BM48" s="46" t="n">
        <f aca="false">IF(BA48&lt;=0,1,0)</f>
        <v>1</v>
      </c>
      <c r="BN48" s="46" t="n">
        <f aca="false">IF(BB48&lt;=0,1,0)</f>
        <v>1</v>
      </c>
      <c r="BO48" s="46" t="n">
        <f aca="false">IF(BC48&lt;=0,1,0)</f>
        <v>1</v>
      </c>
      <c r="BP48" s="46" t="n">
        <f aca="false">IF(BD48&lt;=0,1,0)</f>
        <v>1</v>
      </c>
      <c r="BQ48" s="41" t="n">
        <f aca="false">IF(COUNTIF(BE48:BP48,1)=0,"None",MATCH(1,BE48:BP48,0))</f>
        <v>6</v>
      </c>
      <c r="BR48" s="12" t="str">
        <f aca="false">IF(COUNTIFS(BE$6:BP$6,"&lt;="&amp;$B48,BE48:BP48,1)&gt;0,"YES","NO")</f>
        <v>NO</v>
      </c>
      <c r="BS48" s="19" t="n">
        <f aca="false">MIN(AS48:BD48)</f>
        <v>-332</v>
      </c>
    </row>
    <row r="49" customFormat="false" ht="15" hidden="false" customHeight="false" outlineLevel="0" collapsed="false">
      <c r="A49" s="11" t="str">
        <f aca="false">Replenishment_Plan!A49</f>
        <v>CLN-006</v>
      </c>
      <c r="B49" s="39" t="n">
        <f aca="false">Replenishment_Plan!K49</f>
        <v>1</v>
      </c>
      <c r="C49" s="35" t="n">
        <f aca="false">Replenishment_Plan!E49</f>
        <v>47</v>
      </c>
      <c r="D49" s="39" t="n">
        <f aca="false">Replenishment_Plan!O49-Replenishment_Plan!Q49</f>
        <v>930</v>
      </c>
      <c r="E49" s="39" t="n">
        <f aca="false">Replenishment_Plan!P49</f>
        <v>0</v>
      </c>
      <c r="F49" s="39" t="n">
        <f aca="false">Inputs!L82</f>
        <v>0</v>
      </c>
      <c r="G49" s="39" t="n">
        <f aca="false">Replenishment_Plan!AD49</f>
        <v>0</v>
      </c>
      <c r="H49" s="19" t="str">
        <f aca="false">IF(G49&gt;0,B49+1,"none")</f>
        <v>none</v>
      </c>
      <c r="I49" s="46" t="n">
        <f aca="false">IF(AND($E49&gt;0,I$6=$F49),$E49,0)</f>
        <v>0</v>
      </c>
      <c r="J49" s="46" t="n">
        <f aca="false">IF(AND($E49&gt;0,J$6=$F49),$E49,0)</f>
        <v>0</v>
      </c>
      <c r="K49" s="46" t="n">
        <f aca="false">IF(AND($E49&gt;0,K$6=$F49),$E49,0)</f>
        <v>0</v>
      </c>
      <c r="L49" s="46" t="n">
        <f aca="false">IF(AND($E49&gt;0,L$6=$F49),$E49,0)</f>
        <v>0</v>
      </c>
      <c r="M49" s="46" t="n">
        <f aca="false">IF(AND($E49&gt;0,M$6=$F49),$E49,0)</f>
        <v>0</v>
      </c>
      <c r="N49" s="46" t="n">
        <f aca="false">IF(AND($E49&gt;0,N$6=$F49),$E49,0)</f>
        <v>0</v>
      </c>
      <c r="O49" s="46" t="n">
        <f aca="false">IF(AND($E49&gt;0,O$6=$F49),$E49,0)</f>
        <v>0</v>
      </c>
      <c r="P49" s="46" t="n">
        <f aca="false">IF(AND($E49&gt;0,P$6=$F49),$E49,0)</f>
        <v>0</v>
      </c>
      <c r="Q49" s="46" t="n">
        <f aca="false">IF(AND($E49&gt;0,Q$6=$F49),$E49,0)</f>
        <v>0</v>
      </c>
      <c r="R49" s="46" t="n">
        <f aca="false">IF(AND($E49&gt;0,R$6=$F49),$E49,0)</f>
        <v>0</v>
      </c>
      <c r="S49" s="46" t="n">
        <f aca="false">IF(AND($E49&gt;0,S$6=$F49),$E49,0)</f>
        <v>0</v>
      </c>
      <c r="T49" s="46" t="n">
        <f aca="false">IF(AND($E49&gt;0,T$6=$F49),$E49,0)</f>
        <v>0</v>
      </c>
      <c r="U49" s="46" t="n">
        <f aca="false">IF(AND($G49&gt;0,U$6=$H49),$G49,0)</f>
        <v>0</v>
      </c>
      <c r="V49" s="46" t="n">
        <f aca="false">IF(AND($G49&gt;0,V$6=$H49),$G49,0)</f>
        <v>0</v>
      </c>
      <c r="W49" s="46" t="n">
        <f aca="false">IF(AND($G49&gt;0,W$6=$H49),$G49,0)</f>
        <v>0</v>
      </c>
      <c r="X49" s="46" t="n">
        <f aca="false">IF(AND($G49&gt;0,X$6=$H49),$G49,0)</f>
        <v>0</v>
      </c>
      <c r="Y49" s="46" t="n">
        <f aca="false">IF(AND($G49&gt;0,Y$6=$H49),$G49,0)</f>
        <v>0</v>
      </c>
      <c r="Z49" s="46" t="n">
        <f aca="false">IF(AND($G49&gt;0,Z$6=$H49),$G49,0)</f>
        <v>0</v>
      </c>
      <c r="AA49" s="46" t="n">
        <f aca="false">IF(AND($G49&gt;0,AA$6=$H49),$G49,0)</f>
        <v>0</v>
      </c>
      <c r="AB49" s="46" t="n">
        <f aca="false">IF(AND($G49&gt;0,AB$6=$H49),$G49,0)</f>
        <v>0</v>
      </c>
      <c r="AC49" s="46" t="n">
        <f aca="false">IF(AND($G49&gt;0,AC$6=$H49),$G49,0)</f>
        <v>0</v>
      </c>
      <c r="AD49" s="46" t="n">
        <f aca="false">IF(AND($G49&gt;0,AD$6=$H49),$G49,0)</f>
        <v>0</v>
      </c>
      <c r="AE49" s="46" t="n">
        <f aca="false">IF(AND($G49&gt;0,AE$6=$H49),$G49,0)</f>
        <v>0</v>
      </c>
      <c r="AF49" s="46" t="n">
        <f aca="false">IF(AND($G49&gt;0,AF$6=$H49),$G49,0)</f>
        <v>0</v>
      </c>
      <c r="AG49" s="33" t="n">
        <f aca="false">$C49</f>
        <v>47</v>
      </c>
      <c r="AH49" s="33" t="n">
        <f aca="false">$C49</f>
        <v>47</v>
      </c>
      <c r="AI49" s="33" t="n">
        <f aca="false">$C49</f>
        <v>47</v>
      </c>
      <c r="AJ49" s="33" t="n">
        <f aca="false">$C49</f>
        <v>47</v>
      </c>
      <c r="AK49" s="33" t="n">
        <f aca="false">$C49</f>
        <v>47</v>
      </c>
      <c r="AL49" s="33" t="n">
        <f aca="false">$C49</f>
        <v>47</v>
      </c>
      <c r="AM49" s="33" t="n">
        <f aca="false">$C49</f>
        <v>47</v>
      </c>
      <c r="AN49" s="33" t="n">
        <f aca="false">$C49</f>
        <v>47</v>
      </c>
      <c r="AO49" s="33" t="n">
        <f aca="false">$C49</f>
        <v>47</v>
      </c>
      <c r="AP49" s="33" t="n">
        <f aca="false">$C49</f>
        <v>47</v>
      </c>
      <c r="AQ49" s="33" t="n">
        <f aca="false">$C49</f>
        <v>47</v>
      </c>
      <c r="AR49" s="33" t="n">
        <f aca="false">$C49</f>
        <v>47</v>
      </c>
      <c r="AS49" s="47" t="n">
        <f aca="false">$D49+I49+U49-AG49</f>
        <v>883</v>
      </c>
      <c r="AT49" s="47" t="n">
        <f aca="false">AS49+J49+V49-AH49</f>
        <v>836</v>
      </c>
      <c r="AU49" s="47" t="n">
        <f aca="false">AT49+K49+W49-AI49</f>
        <v>789</v>
      </c>
      <c r="AV49" s="47" t="n">
        <f aca="false">AU49+L49+X49-AJ49</f>
        <v>742</v>
      </c>
      <c r="AW49" s="47" t="n">
        <f aca="false">AV49+M49+Y49-AK49</f>
        <v>695</v>
      </c>
      <c r="AX49" s="47" t="n">
        <f aca="false">AW49+N49+Z49-AL49</f>
        <v>648</v>
      </c>
      <c r="AY49" s="47" t="n">
        <f aca="false">AX49+O49+AA49-AM49</f>
        <v>601</v>
      </c>
      <c r="AZ49" s="47" t="n">
        <f aca="false">AY49+P49+AB49-AN49</f>
        <v>554</v>
      </c>
      <c r="BA49" s="47" t="n">
        <f aca="false">AZ49+Q49+AC49-AO49</f>
        <v>507</v>
      </c>
      <c r="BB49" s="47" t="n">
        <f aca="false">BA49+R49+AD49-AP49</f>
        <v>460</v>
      </c>
      <c r="BC49" s="47" t="n">
        <f aca="false">BB49+S49+AE49-AQ49</f>
        <v>413</v>
      </c>
      <c r="BD49" s="47" t="n">
        <f aca="false">BC49+T49+AF49-AR49</f>
        <v>366</v>
      </c>
      <c r="BE49" s="46" t="n">
        <f aca="false">IF(AS49&lt;=0,1,0)</f>
        <v>0</v>
      </c>
      <c r="BF49" s="46" t="n">
        <f aca="false">IF(AT49&lt;=0,1,0)</f>
        <v>0</v>
      </c>
      <c r="BG49" s="46" t="n">
        <f aca="false">IF(AU49&lt;=0,1,0)</f>
        <v>0</v>
      </c>
      <c r="BH49" s="46" t="n">
        <f aca="false">IF(AV49&lt;=0,1,0)</f>
        <v>0</v>
      </c>
      <c r="BI49" s="46" t="n">
        <f aca="false">IF(AW49&lt;=0,1,0)</f>
        <v>0</v>
      </c>
      <c r="BJ49" s="46" t="n">
        <f aca="false">IF(AX49&lt;=0,1,0)</f>
        <v>0</v>
      </c>
      <c r="BK49" s="46" t="n">
        <f aca="false">IF(AY49&lt;=0,1,0)</f>
        <v>0</v>
      </c>
      <c r="BL49" s="46" t="n">
        <f aca="false">IF(AZ49&lt;=0,1,0)</f>
        <v>0</v>
      </c>
      <c r="BM49" s="46" t="n">
        <f aca="false">IF(BA49&lt;=0,1,0)</f>
        <v>0</v>
      </c>
      <c r="BN49" s="46" t="n">
        <f aca="false">IF(BB49&lt;=0,1,0)</f>
        <v>0</v>
      </c>
      <c r="BO49" s="46" t="n">
        <f aca="false">IF(BC49&lt;=0,1,0)</f>
        <v>0</v>
      </c>
      <c r="BP49" s="46" t="n">
        <f aca="false">IF(BD49&lt;=0,1,0)</f>
        <v>0</v>
      </c>
      <c r="BQ49" s="41" t="str">
        <f aca="false">IF(COUNTIF(BE49:BP49,1)=0,"None",MATCH(1,BE49:BP49,0))</f>
        <v>None</v>
      </c>
      <c r="BR49" s="12" t="str">
        <f aca="false">IF(COUNTIFS(BE$6:BP$6,"&lt;="&amp;$B49,BE49:BP49,1)&gt;0,"YES","NO")</f>
        <v>NO</v>
      </c>
      <c r="BS49" s="19" t="n">
        <f aca="false">MIN(AS49:BD49)</f>
        <v>366</v>
      </c>
    </row>
    <row r="50" customFormat="false" ht="15" hidden="false" customHeight="false" outlineLevel="0" collapsed="false">
      <c r="A50" s="11" t="str">
        <f aca="false">Replenishment_Plan!A50</f>
        <v>CLN-007</v>
      </c>
      <c r="B50" s="39" t="n">
        <f aca="false">Replenishment_Plan!K50</f>
        <v>1</v>
      </c>
      <c r="C50" s="35" t="n">
        <f aca="false">Replenishment_Plan!E50</f>
        <v>65.125</v>
      </c>
      <c r="D50" s="39" t="n">
        <f aca="false">Replenishment_Plan!O50-Replenishment_Plan!Q50</f>
        <v>72</v>
      </c>
      <c r="E50" s="39" t="n">
        <f aca="false">Replenishment_Plan!P50</f>
        <v>0</v>
      </c>
      <c r="F50" s="39" t="n">
        <f aca="false">Inputs!L83</f>
        <v>0</v>
      </c>
      <c r="G50" s="39" t="n">
        <f aca="false">Replenishment_Plan!AD50</f>
        <v>396</v>
      </c>
      <c r="H50" s="19" t="n">
        <f aca="false">IF(G50&gt;0,B50+1,"none")</f>
        <v>2</v>
      </c>
      <c r="I50" s="46" t="n">
        <f aca="false">IF(AND($E50&gt;0,I$6=$F50),$E50,0)</f>
        <v>0</v>
      </c>
      <c r="J50" s="46" t="n">
        <f aca="false">IF(AND($E50&gt;0,J$6=$F50),$E50,0)</f>
        <v>0</v>
      </c>
      <c r="K50" s="46" t="n">
        <f aca="false">IF(AND($E50&gt;0,K$6=$F50),$E50,0)</f>
        <v>0</v>
      </c>
      <c r="L50" s="46" t="n">
        <f aca="false">IF(AND($E50&gt;0,L$6=$F50),$E50,0)</f>
        <v>0</v>
      </c>
      <c r="M50" s="46" t="n">
        <f aca="false">IF(AND($E50&gt;0,M$6=$F50),$E50,0)</f>
        <v>0</v>
      </c>
      <c r="N50" s="46" t="n">
        <f aca="false">IF(AND($E50&gt;0,N$6=$F50),$E50,0)</f>
        <v>0</v>
      </c>
      <c r="O50" s="46" t="n">
        <f aca="false">IF(AND($E50&gt;0,O$6=$F50),$E50,0)</f>
        <v>0</v>
      </c>
      <c r="P50" s="46" t="n">
        <f aca="false">IF(AND($E50&gt;0,P$6=$F50),$E50,0)</f>
        <v>0</v>
      </c>
      <c r="Q50" s="46" t="n">
        <f aca="false">IF(AND($E50&gt;0,Q$6=$F50),$E50,0)</f>
        <v>0</v>
      </c>
      <c r="R50" s="46" t="n">
        <f aca="false">IF(AND($E50&gt;0,R$6=$F50),$E50,0)</f>
        <v>0</v>
      </c>
      <c r="S50" s="46" t="n">
        <f aca="false">IF(AND($E50&gt;0,S$6=$F50),$E50,0)</f>
        <v>0</v>
      </c>
      <c r="T50" s="46" t="n">
        <f aca="false">IF(AND($E50&gt;0,T$6=$F50),$E50,0)</f>
        <v>0</v>
      </c>
      <c r="U50" s="46" t="n">
        <f aca="false">IF(AND($G50&gt;0,U$6=$H50),$G50,0)</f>
        <v>0</v>
      </c>
      <c r="V50" s="46" t="n">
        <f aca="false">IF(AND($G50&gt;0,V$6=$H50),$G50,0)</f>
        <v>396</v>
      </c>
      <c r="W50" s="46" t="n">
        <f aca="false">IF(AND($G50&gt;0,W$6=$H50),$G50,0)</f>
        <v>0</v>
      </c>
      <c r="X50" s="46" t="n">
        <f aca="false">IF(AND($G50&gt;0,X$6=$H50),$G50,0)</f>
        <v>0</v>
      </c>
      <c r="Y50" s="46" t="n">
        <f aca="false">IF(AND($G50&gt;0,Y$6=$H50),$G50,0)</f>
        <v>0</v>
      </c>
      <c r="Z50" s="46" t="n">
        <f aca="false">IF(AND($G50&gt;0,Z$6=$H50),$G50,0)</f>
        <v>0</v>
      </c>
      <c r="AA50" s="46" t="n">
        <f aca="false">IF(AND($G50&gt;0,AA$6=$H50),$G50,0)</f>
        <v>0</v>
      </c>
      <c r="AB50" s="46" t="n">
        <f aca="false">IF(AND($G50&gt;0,AB$6=$H50),$G50,0)</f>
        <v>0</v>
      </c>
      <c r="AC50" s="46" t="n">
        <f aca="false">IF(AND($G50&gt;0,AC$6=$H50),$G50,0)</f>
        <v>0</v>
      </c>
      <c r="AD50" s="46" t="n">
        <f aca="false">IF(AND($G50&gt;0,AD$6=$H50),$G50,0)</f>
        <v>0</v>
      </c>
      <c r="AE50" s="46" t="n">
        <f aca="false">IF(AND($G50&gt;0,AE$6=$H50),$G50,0)</f>
        <v>0</v>
      </c>
      <c r="AF50" s="46" t="n">
        <f aca="false">IF(AND($G50&gt;0,AF$6=$H50),$G50,0)</f>
        <v>0</v>
      </c>
      <c r="AG50" s="33" t="n">
        <f aca="false">$C50</f>
        <v>65.125</v>
      </c>
      <c r="AH50" s="33" t="n">
        <f aca="false">$C50</f>
        <v>65.125</v>
      </c>
      <c r="AI50" s="33" t="n">
        <f aca="false">$C50</f>
        <v>65.125</v>
      </c>
      <c r="AJ50" s="33" t="n">
        <f aca="false">$C50</f>
        <v>65.125</v>
      </c>
      <c r="AK50" s="33" t="n">
        <f aca="false">$C50</f>
        <v>65.125</v>
      </c>
      <c r="AL50" s="33" t="n">
        <f aca="false">$C50</f>
        <v>65.125</v>
      </c>
      <c r="AM50" s="33" t="n">
        <f aca="false">$C50</f>
        <v>65.125</v>
      </c>
      <c r="AN50" s="33" t="n">
        <f aca="false">$C50</f>
        <v>65.125</v>
      </c>
      <c r="AO50" s="33" t="n">
        <f aca="false">$C50</f>
        <v>65.125</v>
      </c>
      <c r="AP50" s="33" t="n">
        <f aca="false">$C50</f>
        <v>65.125</v>
      </c>
      <c r="AQ50" s="33" t="n">
        <f aca="false">$C50</f>
        <v>65.125</v>
      </c>
      <c r="AR50" s="33" t="n">
        <f aca="false">$C50</f>
        <v>65.125</v>
      </c>
      <c r="AS50" s="47" t="n">
        <f aca="false">$D50+I50+U50-AG50</f>
        <v>6.875</v>
      </c>
      <c r="AT50" s="47" t="n">
        <f aca="false">AS50+J50+V50-AH50</f>
        <v>337.75</v>
      </c>
      <c r="AU50" s="47" t="n">
        <f aca="false">AT50+K50+W50-AI50</f>
        <v>272.625</v>
      </c>
      <c r="AV50" s="47" t="n">
        <f aca="false">AU50+L50+X50-AJ50</f>
        <v>207.5</v>
      </c>
      <c r="AW50" s="47" t="n">
        <f aca="false">AV50+M50+Y50-AK50</f>
        <v>142.375</v>
      </c>
      <c r="AX50" s="47" t="n">
        <f aca="false">AW50+N50+Z50-AL50</f>
        <v>77.25</v>
      </c>
      <c r="AY50" s="47" t="n">
        <f aca="false">AX50+O50+AA50-AM50</f>
        <v>12.125</v>
      </c>
      <c r="AZ50" s="47" t="n">
        <f aca="false">AY50+P50+AB50-AN50</f>
        <v>-53</v>
      </c>
      <c r="BA50" s="47" t="n">
        <f aca="false">AZ50+Q50+AC50-AO50</f>
        <v>-118.125</v>
      </c>
      <c r="BB50" s="47" t="n">
        <f aca="false">BA50+R50+AD50-AP50</f>
        <v>-183.25</v>
      </c>
      <c r="BC50" s="47" t="n">
        <f aca="false">BB50+S50+AE50-AQ50</f>
        <v>-248.375</v>
      </c>
      <c r="BD50" s="47" t="n">
        <f aca="false">BC50+T50+AF50-AR50</f>
        <v>-313.5</v>
      </c>
      <c r="BE50" s="46" t="n">
        <f aca="false">IF(AS50&lt;=0,1,0)</f>
        <v>0</v>
      </c>
      <c r="BF50" s="46" t="n">
        <f aca="false">IF(AT50&lt;=0,1,0)</f>
        <v>0</v>
      </c>
      <c r="BG50" s="46" t="n">
        <f aca="false">IF(AU50&lt;=0,1,0)</f>
        <v>0</v>
      </c>
      <c r="BH50" s="46" t="n">
        <f aca="false">IF(AV50&lt;=0,1,0)</f>
        <v>0</v>
      </c>
      <c r="BI50" s="46" t="n">
        <f aca="false">IF(AW50&lt;=0,1,0)</f>
        <v>0</v>
      </c>
      <c r="BJ50" s="46" t="n">
        <f aca="false">IF(AX50&lt;=0,1,0)</f>
        <v>0</v>
      </c>
      <c r="BK50" s="46" t="n">
        <f aca="false">IF(AY50&lt;=0,1,0)</f>
        <v>0</v>
      </c>
      <c r="BL50" s="46" t="n">
        <f aca="false">IF(AZ50&lt;=0,1,0)</f>
        <v>1</v>
      </c>
      <c r="BM50" s="46" t="n">
        <f aca="false">IF(BA50&lt;=0,1,0)</f>
        <v>1</v>
      </c>
      <c r="BN50" s="46" t="n">
        <f aca="false">IF(BB50&lt;=0,1,0)</f>
        <v>1</v>
      </c>
      <c r="BO50" s="46" t="n">
        <f aca="false">IF(BC50&lt;=0,1,0)</f>
        <v>1</v>
      </c>
      <c r="BP50" s="46" t="n">
        <f aca="false">IF(BD50&lt;=0,1,0)</f>
        <v>1</v>
      </c>
      <c r="BQ50" s="41" t="n">
        <f aca="false">IF(COUNTIF(BE50:BP50,1)=0,"None",MATCH(1,BE50:BP50,0))</f>
        <v>8</v>
      </c>
      <c r="BR50" s="12" t="str">
        <f aca="false">IF(COUNTIFS(BE$6:BP$6,"&lt;="&amp;$B50,BE50:BP50,1)&gt;0,"YES","NO")</f>
        <v>NO</v>
      </c>
      <c r="BS50" s="19" t="n">
        <f aca="false">MIN(AS50:BD50)</f>
        <v>-313.5</v>
      </c>
    </row>
    <row r="51" customFormat="false" ht="15" hidden="false" customHeight="false" outlineLevel="0" collapsed="false">
      <c r="A51" s="11" t="str">
        <f aca="false">Replenishment_Plan!A51</f>
        <v>CLN-008</v>
      </c>
      <c r="B51" s="39" t="n">
        <f aca="false">Replenishment_Plan!K51</f>
        <v>1</v>
      </c>
      <c r="C51" s="35" t="n">
        <f aca="false">Replenishment_Plan!E51</f>
        <v>83.25</v>
      </c>
      <c r="D51" s="39" t="n">
        <f aca="false">Replenishment_Plan!O51-Replenishment_Plan!Q51</f>
        <v>351</v>
      </c>
      <c r="E51" s="39" t="n">
        <f aca="false">Replenishment_Plan!P51</f>
        <v>0</v>
      </c>
      <c r="F51" s="39" t="n">
        <f aca="false">Inputs!L84</f>
        <v>0</v>
      </c>
      <c r="G51" s="39" t="n">
        <f aca="false">Replenishment_Plan!AD51</f>
        <v>0</v>
      </c>
      <c r="H51" s="19" t="str">
        <f aca="false">IF(G51&gt;0,B51+1,"none")</f>
        <v>none</v>
      </c>
      <c r="I51" s="46" t="n">
        <f aca="false">IF(AND($E51&gt;0,I$6=$F51),$E51,0)</f>
        <v>0</v>
      </c>
      <c r="J51" s="46" t="n">
        <f aca="false">IF(AND($E51&gt;0,J$6=$F51),$E51,0)</f>
        <v>0</v>
      </c>
      <c r="K51" s="46" t="n">
        <f aca="false">IF(AND($E51&gt;0,K$6=$F51),$E51,0)</f>
        <v>0</v>
      </c>
      <c r="L51" s="46" t="n">
        <f aca="false">IF(AND($E51&gt;0,L$6=$F51),$E51,0)</f>
        <v>0</v>
      </c>
      <c r="M51" s="46" t="n">
        <f aca="false">IF(AND($E51&gt;0,M$6=$F51),$E51,0)</f>
        <v>0</v>
      </c>
      <c r="N51" s="46" t="n">
        <f aca="false">IF(AND($E51&gt;0,N$6=$F51),$E51,0)</f>
        <v>0</v>
      </c>
      <c r="O51" s="46" t="n">
        <f aca="false">IF(AND($E51&gt;0,O$6=$F51),$E51,0)</f>
        <v>0</v>
      </c>
      <c r="P51" s="46" t="n">
        <f aca="false">IF(AND($E51&gt;0,P$6=$F51),$E51,0)</f>
        <v>0</v>
      </c>
      <c r="Q51" s="46" t="n">
        <f aca="false">IF(AND($E51&gt;0,Q$6=$F51),$E51,0)</f>
        <v>0</v>
      </c>
      <c r="R51" s="46" t="n">
        <f aca="false">IF(AND($E51&gt;0,R$6=$F51),$E51,0)</f>
        <v>0</v>
      </c>
      <c r="S51" s="46" t="n">
        <f aca="false">IF(AND($E51&gt;0,S$6=$F51),$E51,0)</f>
        <v>0</v>
      </c>
      <c r="T51" s="46" t="n">
        <f aca="false">IF(AND($E51&gt;0,T$6=$F51),$E51,0)</f>
        <v>0</v>
      </c>
      <c r="U51" s="46" t="n">
        <f aca="false">IF(AND($G51&gt;0,U$6=$H51),$G51,0)</f>
        <v>0</v>
      </c>
      <c r="V51" s="46" t="n">
        <f aca="false">IF(AND($G51&gt;0,V$6=$H51),$G51,0)</f>
        <v>0</v>
      </c>
      <c r="W51" s="46" t="n">
        <f aca="false">IF(AND($G51&gt;0,W$6=$H51),$G51,0)</f>
        <v>0</v>
      </c>
      <c r="X51" s="46" t="n">
        <f aca="false">IF(AND($G51&gt;0,X$6=$H51),$G51,0)</f>
        <v>0</v>
      </c>
      <c r="Y51" s="46" t="n">
        <f aca="false">IF(AND($G51&gt;0,Y$6=$H51),$G51,0)</f>
        <v>0</v>
      </c>
      <c r="Z51" s="46" t="n">
        <f aca="false">IF(AND($G51&gt;0,Z$6=$H51),$G51,0)</f>
        <v>0</v>
      </c>
      <c r="AA51" s="46" t="n">
        <f aca="false">IF(AND($G51&gt;0,AA$6=$H51),$G51,0)</f>
        <v>0</v>
      </c>
      <c r="AB51" s="46" t="n">
        <f aca="false">IF(AND($G51&gt;0,AB$6=$H51),$G51,0)</f>
        <v>0</v>
      </c>
      <c r="AC51" s="46" t="n">
        <f aca="false">IF(AND($G51&gt;0,AC$6=$H51),$G51,0)</f>
        <v>0</v>
      </c>
      <c r="AD51" s="46" t="n">
        <f aca="false">IF(AND($G51&gt;0,AD$6=$H51),$G51,0)</f>
        <v>0</v>
      </c>
      <c r="AE51" s="46" t="n">
        <f aca="false">IF(AND($G51&gt;0,AE$6=$H51),$G51,0)</f>
        <v>0</v>
      </c>
      <c r="AF51" s="46" t="n">
        <f aca="false">IF(AND($G51&gt;0,AF$6=$H51),$G51,0)</f>
        <v>0</v>
      </c>
      <c r="AG51" s="33" t="n">
        <f aca="false">$C51</f>
        <v>83.25</v>
      </c>
      <c r="AH51" s="33" t="n">
        <f aca="false">$C51</f>
        <v>83.25</v>
      </c>
      <c r="AI51" s="33" t="n">
        <f aca="false">$C51</f>
        <v>83.25</v>
      </c>
      <c r="AJ51" s="33" t="n">
        <f aca="false">$C51</f>
        <v>83.25</v>
      </c>
      <c r="AK51" s="33" t="n">
        <f aca="false">$C51</f>
        <v>83.25</v>
      </c>
      <c r="AL51" s="33" t="n">
        <f aca="false">$C51</f>
        <v>83.25</v>
      </c>
      <c r="AM51" s="33" t="n">
        <f aca="false">$C51</f>
        <v>83.25</v>
      </c>
      <c r="AN51" s="33" t="n">
        <f aca="false">$C51</f>
        <v>83.25</v>
      </c>
      <c r="AO51" s="33" t="n">
        <f aca="false">$C51</f>
        <v>83.25</v>
      </c>
      <c r="AP51" s="33" t="n">
        <f aca="false">$C51</f>
        <v>83.25</v>
      </c>
      <c r="AQ51" s="33" t="n">
        <f aca="false">$C51</f>
        <v>83.25</v>
      </c>
      <c r="AR51" s="33" t="n">
        <f aca="false">$C51</f>
        <v>83.25</v>
      </c>
      <c r="AS51" s="47" t="n">
        <f aca="false">$D51+I51+U51-AG51</f>
        <v>267.75</v>
      </c>
      <c r="AT51" s="47" t="n">
        <f aca="false">AS51+J51+V51-AH51</f>
        <v>184.5</v>
      </c>
      <c r="AU51" s="47" t="n">
        <f aca="false">AT51+K51+W51-AI51</f>
        <v>101.25</v>
      </c>
      <c r="AV51" s="47" t="n">
        <f aca="false">AU51+L51+X51-AJ51</f>
        <v>18</v>
      </c>
      <c r="AW51" s="47" t="n">
        <f aca="false">AV51+M51+Y51-AK51</f>
        <v>-65.25</v>
      </c>
      <c r="AX51" s="47" t="n">
        <f aca="false">AW51+N51+Z51-AL51</f>
        <v>-148.5</v>
      </c>
      <c r="AY51" s="47" t="n">
        <f aca="false">AX51+O51+AA51-AM51</f>
        <v>-231.75</v>
      </c>
      <c r="AZ51" s="47" t="n">
        <f aca="false">AY51+P51+AB51-AN51</f>
        <v>-315</v>
      </c>
      <c r="BA51" s="47" t="n">
        <f aca="false">AZ51+Q51+AC51-AO51</f>
        <v>-398.25</v>
      </c>
      <c r="BB51" s="47" t="n">
        <f aca="false">BA51+R51+AD51-AP51</f>
        <v>-481.5</v>
      </c>
      <c r="BC51" s="47" t="n">
        <f aca="false">BB51+S51+AE51-AQ51</f>
        <v>-564.75</v>
      </c>
      <c r="BD51" s="47" t="n">
        <f aca="false">BC51+T51+AF51-AR51</f>
        <v>-648</v>
      </c>
      <c r="BE51" s="46" t="n">
        <f aca="false">IF(AS51&lt;=0,1,0)</f>
        <v>0</v>
      </c>
      <c r="BF51" s="46" t="n">
        <f aca="false">IF(AT51&lt;=0,1,0)</f>
        <v>0</v>
      </c>
      <c r="BG51" s="46" t="n">
        <f aca="false">IF(AU51&lt;=0,1,0)</f>
        <v>0</v>
      </c>
      <c r="BH51" s="46" t="n">
        <f aca="false">IF(AV51&lt;=0,1,0)</f>
        <v>0</v>
      </c>
      <c r="BI51" s="46" t="n">
        <f aca="false">IF(AW51&lt;=0,1,0)</f>
        <v>1</v>
      </c>
      <c r="BJ51" s="46" t="n">
        <f aca="false">IF(AX51&lt;=0,1,0)</f>
        <v>1</v>
      </c>
      <c r="BK51" s="46" t="n">
        <f aca="false">IF(AY51&lt;=0,1,0)</f>
        <v>1</v>
      </c>
      <c r="BL51" s="46" t="n">
        <f aca="false">IF(AZ51&lt;=0,1,0)</f>
        <v>1</v>
      </c>
      <c r="BM51" s="46" t="n">
        <f aca="false">IF(BA51&lt;=0,1,0)</f>
        <v>1</v>
      </c>
      <c r="BN51" s="46" t="n">
        <f aca="false">IF(BB51&lt;=0,1,0)</f>
        <v>1</v>
      </c>
      <c r="BO51" s="46" t="n">
        <f aca="false">IF(BC51&lt;=0,1,0)</f>
        <v>1</v>
      </c>
      <c r="BP51" s="46" t="n">
        <f aca="false">IF(BD51&lt;=0,1,0)</f>
        <v>1</v>
      </c>
      <c r="BQ51" s="41" t="n">
        <f aca="false">IF(COUNTIF(BE51:BP51,1)=0,"None",MATCH(1,BE51:BP51,0))</f>
        <v>5</v>
      </c>
      <c r="BR51" s="12" t="str">
        <f aca="false">IF(COUNTIFS(BE$6:BP$6,"&lt;="&amp;$B51,BE51:BP51,1)&gt;0,"YES","NO")</f>
        <v>NO</v>
      </c>
      <c r="BS51" s="19" t="n">
        <f aca="false">MIN(AS51:BD51)</f>
        <v>-648</v>
      </c>
    </row>
    <row r="52" customFormat="false" ht="15" hidden="false" customHeight="false" outlineLevel="0" collapsed="false">
      <c r="A52" s="11" t="str">
        <f aca="false">Replenishment_Plan!A52</f>
        <v>CLN-009</v>
      </c>
      <c r="B52" s="39" t="n">
        <f aca="false">Replenishment_Plan!K52</f>
        <v>1</v>
      </c>
      <c r="C52" s="35" t="n">
        <f aca="false">Replenishment_Plan!E52</f>
        <v>71.75</v>
      </c>
      <c r="D52" s="39" t="n">
        <f aca="false">Replenishment_Plan!O52-Replenishment_Plan!Q52</f>
        <v>416</v>
      </c>
      <c r="E52" s="39" t="n">
        <f aca="false">Replenishment_Plan!P52</f>
        <v>0</v>
      </c>
      <c r="F52" s="39" t="n">
        <f aca="false">Inputs!L85</f>
        <v>0</v>
      </c>
      <c r="G52" s="39" t="n">
        <f aca="false">Replenishment_Plan!AD52</f>
        <v>0</v>
      </c>
      <c r="H52" s="19" t="str">
        <f aca="false">IF(G52&gt;0,B52+1,"none")</f>
        <v>none</v>
      </c>
      <c r="I52" s="46" t="n">
        <f aca="false">IF(AND($E52&gt;0,I$6=$F52),$E52,0)</f>
        <v>0</v>
      </c>
      <c r="J52" s="46" t="n">
        <f aca="false">IF(AND($E52&gt;0,J$6=$F52),$E52,0)</f>
        <v>0</v>
      </c>
      <c r="K52" s="46" t="n">
        <f aca="false">IF(AND($E52&gt;0,K$6=$F52),$E52,0)</f>
        <v>0</v>
      </c>
      <c r="L52" s="46" t="n">
        <f aca="false">IF(AND($E52&gt;0,L$6=$F52),$E52,0)</f>
        <v>0</v>
      </c>
      <c r="M52" s="46" t="n">
        <f aca="false">IF(AND($E52&gt;0,M$6=$F52),$E52,0)</f>
        <v>0</v>
      </c>
      <c r="N52" s="46" t="n">
        <f aca="false">IF(AND($E52&gt;0,N$6=$F52),$E52,0)</f>
        <v>0</v>
      </c>
      <c r="O52" s="46" t="n">
        <f aca="false">IF(AND($E52&gt;0,O$6=$F52),$E52,0)</f>
        <v>0</v>
      </c>
      <c r="P52" s="46" t="n">
        <f aca="false">IF(AND($E52&gt;0,P$6=$F52),$E52,0)</f>
        <v>0</v>
      </c>
      <c r="Q52" s="46" t="n">
        <f aca="false">IF(AND($E52&gt;0,Q$6=$F52),$E52,0)</f>
        <v>0</v>
      </c>
      <c r="R52" s="46" t="n">
        <f aca="false">IF(AND($E52&gt;0,R$6=$F52),$E52,0)</f>
        <v>0</v>
      </c>
      <c r="S52" s="46" t="n">
        <f aca="false">IF(AND($E52&gt;0,S$6=$F52),$E52,0)</f>
        <v>0</v>
      </c>
      <c r="T52" s="46" t="n">
        <f aca="false">IF(AND($E52&gt;0,T$6=$F52),$E52,0)</f>
        <v>0</v>
      </c>
      <c r="U52" s="46" t="n">
        <f aca="false">IF(AND($G52&gt;0,U$6=$H52),$G52,0)</f>
        <v>0</v>
      </c>
      <c r="V52" s="46" t="n">
        <f aca="false">IF(AND($G52&gt;0,V$6=$H52),$G52,0)</f>
        <v>0</v>
      </c>
      <c r="W52" s="46" t="n">
        <f aca="false">IF(AND($G52&gt;0,W$6=$H52),$G52,0)</f>
        <v>0</v>
      </c>
      <c r="X52" s="46" t="n">
        <f aca="false">IF(AND($G52&gt;0,X$6=$H52),$G52,0)</f>
        <v>0</v>
      </c>
      <c r="Y52" s="46" t="n">
        <f aca="false">IF(AND($G52&gt;0,Y$6=$H52),$G52,0)</f>
        <v>0</v>
      </c>
      <c r="Z52" s="46" t="n">
        <f aca="false">IF(AND($G52&gt;0,Z$6=$H52),$G52,0)</f>
        <v>0</v>
      </c>
      <c r="AA52" s="46" t="n">
        <f aca="false">IF(AND($G52&gt;0,AA$6=$H52),$G52,0)</f>
        <v>0</v>
      </c>
      <c r="AB52" s="46" t="n">
        <f aca="false">IF(AND($G52&gt;0,AB$6=$H52),$G52,0)</f>
        <v>0</v>
      </c>
      <c r="AC52" s="46" t="n">
        <f aca="false">IF(AND($G52&gt;0,AC$6=$H52),$G52,0)</f>
        <v>0</v>
      </c>
      <c r="AD52" s="46" t="n">
        <f aca="false">IF(AND($G52&gt;0,AD$6=$H52),$G52,0)</f>
        <v>0</v>
      </c>
      <c r="AE52" s="46" t="n">
        <f aca="false">IF(AND($G52&gt;0,AE$6=$H52),$G52,0)</f>
        <v>0</v>
      </c>
      <c r="AF52" s="46" t="n">
        <f aca="false">IF(AND($G52&gt;0,AF$6=$H52),$G52,0)</f>
        <v>0</v>
      </c>
      <c r="AG52" s="33" t="n">
        <f aca="false">$C52</f>
        <v>71.75</v>
      </c>
      <c r="AH52" s="33" t="n">
        <f aca="false">$C52</f>
        <v>71.75</v>
      </c>
      <c r="AI52" s="33" t="n">
        <f aca="false">$C52</f>
        <v>71.75</v>
      </c>
      <c r="AJ52" s="33" t="n">
        <f aca="false">$C52</f>
        <v>71.75</v>
      </c>
      <c r="AK52" s="33" t="n">
        <f aca="false">$C52</f>
        <v>71.75</v>
      </c>
      <c r="AL52" s="33" t="n">
        <f aca="false">$C52</f>
        <v>71.75</v>
      </c>
      <c r="AM52" s="33" t="n">
        <f aca="false">$C52</f>
        <v>71.75</v>
      </c>
      <c r="AN52" s="33" t="n">
        <f aca="false">$C52</f>
        <v>71.75</v>
      </c>
      <c r="AO52" s="33" t="n">
        <f aca="false">$C52</f>
        <v>71.75</v>
      </c>
      <c r="AP52" s="33" t="n">
        <f aca="false">$C52</f>
        <v>71.75</v>
      </c>
      <c r="AQ52" s="33" t="n">
        <f aca="false">$C52</f>
        <v>71.75</v>
      </c>
      <c r="AR52" s="33" t="n">
        <f aca="false">$C52</f>
        <v>71.75</v>
      </c>
      <c r="AS52" s="47" t="n">
        <f aca="false">$D52+I52+U52-AG52</f>
        <v>344.25</v>
      </c>
      <c r="AT52" s="47" t="n">
        <f aca="false">AS52+J52+V52-AH52</f>
        <v>272.5</v>
      </c>
      <c r="AU52" s="47" t="n">
        <f aca="false">AT52+K52+W52-AI52</f>
        <v>200.75</v>
      </c>
      <c r="AV52" s="47" t="n">
        <f aca="false">AU52+L52+X52-AJ52</f>
        <v>129</v>
      </c>
      <c r="AW52" s="47" t="n">
        <f aca="false">AV52+M52+Y52-AK52</f>
        <v>57.25</v>
      </c>
      <c r="AX52" s="47" t="n">
        <f aca="false">AW52+N52+Z52-AL52</f>
        <v>-14.5</v>
      </c>
      <c r="AY52" s="47" t="n">
        <f aca="false">AX52+O52+AA52-AM52</f>
        <v>-86.25</v>
      </c>
      <c r="AZ52" s="47" t="n">
        <f aca="false">AY52+P52+AB52-AN52</f>
        <v>-158</v>
      </c>
      <c r="BA52" s="47" t="n">
        <f aca="false">AZ52+Q52+AC52-AO52</f>
        <v>-229.75</v>
      </c>
      <c r="BB52" s="47" t="n">
        <f aca="false">BA52+R52+AD52-AP52</f>
        <v>-301.5</v>
      </c>
      <c r="BC52" s="47" t="n">
        <f aca="false">BB52+S52+AE52-AQ52</f>
        <v>-373.25</v>
      </c>
      <c r="BD52" s="47" t="n">
        <f aca="false">BC52+T52+AF52-AR52</f>
        <v>-445</v>
      </c>
      <c r="BE52" s="46" t="n">
        <f aca="false">IF(AS52&lt;=0,1,0)</f>
        <v>0</v>
      </c>
      <c r="BF52" s="46" t="n">
        <f aca="false">IF(AT52&lt;=0,1,0)</f>
        <v>0</v>
      </c>
      <c r="BG52" s="46" t="n">
        <f aca="false">IF(AU52&lt;=0,1,0)</f>
        <v>0</v>
      </c>
      <c r="BH52" s="46" t="n">
        <f aca="false">IF(AV52&lt;=0,1,0)</f>
        <v>0</v>
      </c>
      <c r="BI52" s="46" t="n">
        <f aca="false">IF(AW52&lt;=0,1,0)</f>
        <v>0</v>
      </c>
      <c r="BJ52" s="46" t="n">
        <f aca="false">IF(AX52&lt;=0,1,0)</f>
        <v>1</v>
      </c>
      <c r="BK52" s="46" t="n">
        <f aca="false">IF(AY52&lt;=0,1,0)</f>
        <v>1</v>
      </c>
      <c r="BL52" s="46" t="n">
        <f aca="false">IF(AZ52&lt;=0,1,0)</f>
        <v>1</v>
      </c>
      <c r="BM52" s="46" t="n">
        <f aca="false">IF(BA52&lt;=0,1,0)</f>
        <v>1</v>
      </c>
      <c r="BN52" s="46" t="n">
        <f aca="false">IF(BB52&lt;=0,1,0)</f>
        <v>1</v>
      </c>
      <c r="BO52" s="46" t="n">
        <f aca="false">IF(BC52&lt;=0,1,0)</f>
        <v>1</v>
      </c>
      <c r="BP52" s="46" t="n">
        <f aca="false">IF(BD52&lt;=0,1,0)</f>
        <v>1</v>
      </c>
      <c r="BQ52" s="41" t="n">
        <f aca="false">IF(COUNTIF(BE52:BP52,1)=0,"None",MATCH(1,BE52:BP52,0))</f>
        <v>6</v>
      </c>
      <c r="BR52" s="12" t="str">
        <f aca="false">IF(COUNTIFS(BE$6:BP$6,"&lt;="&amp;$B52,BE52:BP52,1)&gt;0,"YES","NO")</f>
        <v>NO</v>
      </c>
      <c r="BS52" s="19" t="n">
        <f aca="false">MIN(AS52:BD52)</f>
        <v>-445</v>
      </c>
    </row>
    <row r="53" customFormat="false" ht="15" hidden="false" customHeight="false" outlineLevel="0" collapsed="false">
      <c r="A53" s="11" t="str">
        <f aca="false">Replenishment_Plan!A53</f>
        <v>CLN-010</v>
      </c>
      <c r="B53" s="39" t="n">
        <f aca="false">Replenishment_Plan!K53</f>
        <v>1</v>
      </c>
      <c r="C53" s="35" t="n">
        <f aca="false">Replenishment_Plan!E53</f>
        <v>37.75</v>
      </c>
      <c r="D53" s="39" t="n">
        <f aca="false">Replenishment_Plan!O53-Replenishment_Plan!Q53</f>
        <v>50</v>
      </c>
      <c r="E53" s="39" t="n">
        <f aca="false">Replenishment_Plan!P53</f>
        <v>0</v>
      </c>
      <c r="F53" s="39" t="n">
        <f aca="false">Inputs!L86</f>
        <v>0</v>
      </c>
      <c r="G53" s="39" t="n">
        <f aca="false">Replenishment_Plan!AD53</f>
        <v>216</v>
      </c>
      <c r="H53" s="19" t="n">
        <f aca="false">IF(G53&gt;0,B53+1,"none")</f>
        <v>2</v>
      </c>
      <c r="I53" s="46" t="n">
        <f aca="false">IF(AND($E53&gt;0,I$6=$F53),$E53,0)</f>
        <v>0</v>
      </c>
      <c r="J53" s="46" t="n">
        <f aca="false">IF(AND($E53&gt;0,J$6=$F53),$E53,0)</f>
        <v>0</v>
      </c>
      <c r="K53" s="46" t="n">
        <f aca="false">IF(AND($E53&gt;0,K$6=$F53),$E53,0)</f>
        <v>0</v>
      </c>
      <c r="L53" s="46" t="n">
        <f aca="false">IF(AND($E53&gt;0,L$6=$F53),$E53,0)</f>
        <v>0</v>
      </c>
      <c r="M53" s="46" t="n">
        <f aca="false">IF(AND($E53&gt;0,M$6=$F53),$E53,0)</f>
        <v>0</v>
      </c>
      <c r="N53" s="46" t="n">
        <f aca="false">IF(AND($E53&gt;0,N$6=$F53),$E53,0)</f>
        <v>0</v>
      </c>
      <c r="O53" s="46" t="n">
        <f aca="false">IF(AND($E53&gt;0,O$6=$F53),$E53,0)</f>
        <v>0</v>
      </c>
      <c r="P53" s="46" t="n">
        <f aca="false">IF(AND($E53&gt;0,P$6=$F53),$E53,0)</f>
        <v>0</v>
      </c>
      <c r="Q53" s="46" t="n">
        <f aca="false">IF(AND($E53&gt;0,Q$6=$F53),$E53,0)</f>
        <v>0</v>
      </c>
      <c r="R53" s="46" t="n">
        <f aca="false">IF(AND($E53&gt;0,R$6=$F53),$E53,0)</f>
        <v>0</v>
      </c>
      <c r="S53" s="46" t="n">
        <f aca="false">IF(AND($E53&gt;0,S$6=$F53),$E53,0)</f>
        <v>0</v>
      </c>
      <c r="T53" s="46" t="n">
        <f aca="false">IF(AND($E53&gt;0,T$6=$F53),$E53,0)</f>
        <v>0</v>
      </c>
      <c r="U53" s="46" t="n">
        <f aca="false">IF(AND($G53&gt;0,U$6=$H53),$G53,0)</f>
        <v>0</v>
      </c>
      <c r="V53" s="46" t="n">
        <f aca="false">IF(AND($G53&gt;0,V$6=$H53),$G53,0)</f>
        <v>216</v>
      </c>
      <c r="W53" s="46" t="n">
        <f aca="false">IF(AND($G53&gt;0,W$6=$H53),$G53,0)</f>
        <v>0</v>
      </c>
      <c r="X53" s="46" t="n">
        <f aca="false">IF(AND($G53&gt;0,X$6=$H53),$G53,0)</f>
        <v>0</v>
      </c>
      <c r="Y53" s="46" t="n">
        <f aca="false">IF(AND($G53&gt;0,Y$6=$H53),$G53,0)</f>
        <v>0</v>
      </c>
      <c r="Z53" s="46" t="n">
        <f aca="false">IF(AND($G53&gt;0,Z$6=$H53),$G53,0)</f>
        <v>0</v>
      </c>
      <c r="AA53" s="46" t="n">
        <f aca="false">IF(AND($G53&gt;0,AA$6=$H53),$G53,0)</f>
        <v>0</v>
      </c>
      <c r="AB53" s="46" t="n">
        <f aca="false">IF(AND($G53&gt;0,AB$6=$H53),$G53,0)</f>
        <v>0</v>
      </c>
      <c r="AC53" s="46" t="n">
        <f aca="false">IF(AND($G53&gt;0,AC$6=$H53),$G53,0)</f>
        <v>0</v>
      </c>
      <c r="AD53" s="46" t="n">
        <f aca="false">IF(AND($G53&gt;0,AD$6=$H53),$G53,0)</f>
        <v>0</v>
      </c>
      <c r="AE53" s="46" t="n">
        <f aca="false">IF(AND($G53&gt;0,AE$6=$H53),$G53,0)</f>
        <v>0</v>
      </c>
      <c r="AF53" s="46" t="n">
        <f aca="false">IF(AND($G53&gt;0,AF$6=$H53),$G53,0)</f>
        <v>0</v>
      </c>
      <c r="AG53" s="33" t="n">
        <f aca="false">$C53</f>
        <v>37.75</v>
      </c>
      <c r="AH53" s="33" t="n">
        <f aca="false">$C53</f>
        <v>37.75</v>
      </c>
      <c r="AI53" s="33" t="n">
        <f aca="false">$C53</f>
        <v>37.75</v>
      </c>
      <c r="AJ53" s="33" t="n">
        <f aca="false">$C53</f>
        <v>37.75</v>
      </c>
      <c r="AK53" s="33" t="n">
        <f aca="false">$C53</f>
        <v>37.75</v>
      </c>
      <c r="AL53" s="33" t="n">
        <f aca="false">$C53</f>
        <v>37.75</v>
      </c>
      <c r="AM53" s="33" t="n">
        <f aca="false">$C53</f>
        <v>37.75</v>
      </c>
      <c r="AN53" s="33" t="n">
        <f aca="false">$C53</f>
        <v>37.75</v>
      </c>
      <c r="AO53" s="33" t="n">
        <f aca="false">$C53</f>
        <v>37.75</v>
      </c>
      <c r="AP53" s="33" t="n">
        <f aca="false">$C53</f>
        <v>37.75</v>
      </c>
      <c r="AQ53" s="33" t="n">
        <f aca="false">$C53</f>
        <v>37.75</v>
      </c>
      <c r="AR53" s="33" t="n">
        <f aca="false">$C53</f>
        <v>37.75</v>
      </c>
      <c r="AS53" s="47" t="n">
        <f aca="false">$D53+I53+U53-AG53</f>
        <v>12.25</v>
      </c>
      <c r="AT53" s="47" t="n">
        <f aca="false">AS53+J53+V53-AH53</f>
        <v>190.5</v>
      </c>
      <c r="AU53" s="47" t="n">
        <f aca="false">AT53+K53+W53-AI53</f>
        <v>152.75</v>
      </c>
      <c r="AV53" s="47" t="n">
        <f aca="false">AU53+L53+X53-AJ53</f>
        <v>115</v>
      </c>
      <c r="AW53" s="47" t="n">
        <f aca="false">AV53+M53+Y53-AK53</f>
        <v>77.25</v>
      </c>
      <c r="AX53" s="47" t="n">
        <f aca="false">AW53+N53+Z53-AL53</f>
        <v>39.5</v>
      </c>
      <c r="AY53" s="47" t="n">
        <f aca="false">AX53+O53+AA53-AM53</f>
        <v>1.75</v>
      </c>
      <c r="AZ53" s="47" t="n">
        <f aca="false">AY53+P53+AB53-AN53</f>
        <v>-36</v>
      </c>
      <c r="BA53" s="47" t="n">
        <f aca="false">AZ53+Q53+AC53-AO53</f>
        <v>-73.75</v>
      </c>
      <c r="BB53" s="47" t="n">
        <f aca="false">BA53+R53+AD53-AP53</f>
        <v>-111.5</v>
      </c>
      <c r="BC53" s="47" t="n">
        <f aca="false">BB53+S53+AE53-AQ53</f>
        <v>-149.25</v>
      </c>
      <c r="BD53" s="47" t="n">
        <f aca="false">BC53+T53+AF53-AR53</f>
        <v>-187</v>
      </c>
      <c r="BE53" s="46" t="n">
        <f aca="false">IF(AS53&lt;=0,1,0)</f>
        <v>0</v>
      </c>
      <c r="BF53" s="46" t="n">
        <f aca="false">IF(AT53&lt;=0,1,0)</f>
        <v>0</v>
      </c>
      <c r="BG53" s="46" t="n">
        <f aca="false">IF(AU53&lt;=0,1,0)</f>
        <v>0</v>
      </c>
      <c r="BH53" s="46" t="n">
        <f aca="false">IF(AV53&lt;=0,1,0)</f>
        <v>0</v>
      </c>
      <c r="BI53" s="46" t="n">
        <f aca="false">IF(AW53&lt;=0,1,0)</f>
        <v>0</v>
      </c>
      <c r="BJ53" s="46" t="n">
        <f aca="false">IF(AX53&lt;=0,1,0)</f>
        <v>0</v>
      </c>
      <c r="BK53" s="46" t="n">
        <f aca="false">IF(AY53&lt;=0,1,0)</f>
        <v>0</v>
      </c>
      <c r="BL53" s="46" t="n">
        <f aca="false">IF(AZ53&lt;=0,1,0)</f>
        <v>1</v>
      </c>
      <c r="BM53" s="46" t="n">
        <f aca="false">IF(BA53&lt;=0,1,0)</f>
        <v>1</v>
      </c>
      <c r="BN53" s="46" t="n">
        <f aca="false">IF(BB53&lt;=0,1,0)</f>
        <v>1</v>
      </c>
      <c r="BO53" s="46" t="n">
        <f aca="false">IF(BC53&lt;=0,1,0)</f>
        <v>1</v>
      </c>
      <c r="BP53" s="46" t="n">
        <f aca="false">IF(BD53&lt;=0,1,0)</f>
        <v>1</v>
      </c>
      <c r="BQ53" s="41" t="n">
        <f aca="false">IF(COUNTIF(BE53:BP53,1)=0,"None",MATCH(1,BE53:BP53,0))</f>
        <v>8</v>
      </c>
      <c r="BR53" s="12" t="str">
        <f aca="false">IF(COUNTIFS(BE$6:BP$6,"&lt;="&amp;$B53,BE53:BP53,1)&gt;0,"YES","NO")</f>
        <v>NO</v>
      </c>
      <c r="BS53" s="19" t="n">
        <f aca="false">MIN(AS53:BD53)</f>
        <v>-187</v>
      </c>
    </row>
    <row r="54" customFormat="false" ht="15" hidden="false" customHeight="false" outlineLevel="0" collapsed="false">
      <c r="A54" s="11" t="str">
        <f aca="false">Replenishment_Plan!A54</f>
        <v>CLN-011</v>
      </c>
      <c r="B54" s="39" t="n">
        <f aca="false">Replenishment_Plan!K54</f>
        <v>1</v>
      </c>
      <c r="C54" s="35" t="n">
        <f aca="false">Replenishment_Plan!E54</f>
        <v>43.75</v>
      </c>
      <c r="D54" s="39" t="n">
        <f aca="false">Replenishment_Plan!O54-Replenishment_Plan!Q54</f>
        <v>102</v>
      </c>
      <c r="E54" s="39" t="n">
        <f aca="false">Replenishment_Plan!P54</f>
        <v>0</v>
      </c>
      <c r="F54" s="39" t="n">
        <f aca="false">Inputs!L87</f>
        <v>0</v>
      </c>
      <c r="G54" s="39" t="n">
        <f aca="false">Replenishment_Plan!AD54</f>
        <v>0</v>
      </c>
      <c r="H54" s="19" t="str">
        <f aca="false">IF(G54&gt;0,B54+1,"none")</f>
        <v>none</v>
      </c>
      <c r="I54" s="46" t="n">
        <f aca="false">IF(AND($E54&gt;0,I$6=$F54),$E54,0)</f>
        <v>0</v>
      </c>
      <c r="J54" s="46" t="n">
        <f aca="false">IF(AND($E54&gt;0,J$6=$F54),$E54,0)</f>
        <v>0</v>
      </c>
      <c r="K54" s="46" t="n">
        <f aca="false">IF(AND($E54&gt;0,K$6=$F54),$E54,0)</f>
        <v>0</v>
      </c>
      <c r="L54" s="46" t="n">
        <f aca="false">IF(AND($E54&gt;0,L$6=$F54),$E54,0)</f>
        <v>0</v>
      </c>
      <c r="M54" s="46" t="n">
        <f aca="false">IF(AND($E54&gt;0,M$6=$F54),$E54,0)</f>
        <v>0</v>
      </c>
      <c r="N54" s="46" t="n">
        <f aca="false">IF(AND($E54&gt;0,N$6=$F54),$E54,0)</f>
        <v>0</v>
      </c>
      <c r="O54" s="46" t="n">
        <f aca="false">IF(AND($E54&gt;0,O$6=$F54),$E54,0)</f>
        <v>0</v>
      </c>
      <c r="P54" s="46" t="n">
        <f aca="false">IF(AND($E54&gt;0,P$6=$F54),$E54,0)</f>
        <v>0</v>
      </c>
      <c r="Q54" s="46" t="n">
        <f aca="false">IF(AND($E54&gt;0,Q$6=$F54),$E54,0)</f>
        <v>0</v>
      </c>
      <c r="R54" s="46" t="n">
        <f aca="false">IF(AND($E54&gt;0,R$6=$F54),$E54,0)</f>
        <v>0</v>
      </c>
      <c r="S54" s="46" t="n">
        <f aca="false">IF(AND($E54&gt;0,S$6=$F54),$E54,0)</f>
        <v>0</v>
      </c>
      <c r="T54" s="46" t="n">
        <f aca="false">IF(AND($E54&gt;0,T$6=$F54),$E54,0)</f>
        <v>0</v>
      </c>
      <c r="U54" s="46" t="n">
        <f aca="false">IF(AND($G54&gt;0,U$6=$H54),$G54,0)</f>
        <v>0</v>
      </c>
      <c r="V54" s="46" t="n">
        <f aca="false">IF(AND($G54&gt;0,V$6=$H54),$G54,0)</f>
        <v>0</v>
      </c>
      <c r="W54" s="46" t="n">
        <f aca="false">IF(AND($G54&gt;0,W$6=$H54),$G54,0)</f>
        <v>0</v>
      </c>
      <c r="X54" s="46" t="n">
        <f aca="false">IF(AND($G54&gt;0,X$6=$H54),$G54,0)</f>
        <v>0</v>
      </c>
      <c r="Y54" s="46" t="n">
        <f aca="false">IF(AND($G54&gt;0,Y$6=$H54),$G54,0)</f>
        <v>0</v>
      </c>
      <c r="Z54" s="46" t="n">
        <f aca="false">IF(AND($G54&gt;0,Z$6=$H54),$G54,0)</f>
        <v>0</v>
      </c>
      <c r="AA54" s="46" t="n">
        <f aca="false">IF(AND($G54&gt;0,AA$6=$H54),$G54,0)</f>
        <v>0</v>
      </c>
      <c r="AB54" s="46" t="n">
        <f aca="false">IF(AND($G54&gt;0,AB$6=$H54),$G54,0)</f>
        <v>0</v>
      </c>
      <c r="AC54" s="46" t="n">
        <f aca="false">IF(AND($G54&gt;0,AC$6=$H54),$G54,0)</f>
        <v>0</v>
      </c>
      <c r="AD54" s="46" t="n">
        <f aca="false">IF(AND($G54&gt;0,AD$6=$H54),$G54,0)</f>
        <v>0</v>
      </c>
      <c r="AE54" s="46" t="n">
        <f aca="false">IF(AND($G54&gt;0,AE$6=$H54),$G54,0)</f>
        <v>0</v>
      </c>
      <c r="AF54" s="46" t="n">
        <f aca="false">IF(AND($G54&gt;0,AF$6=$H54),$G54,0)</f>
        <v>0</v>
      </c>
      <c r="AG54" s="33" t="n">
        <f aca="false">$C54</f>
        <v>43.75</v>
      </c>
      <c r="AH54" s="33" t="n">
        <f aca="false">$C54</f>
        <v>43.75</v>
      </c>
      <c r="AI54" s="33" t="n">
        <f aca="false">$C54</f>
        <v>43.75</v>
      </c>
      <c r="AJ54" s="33" t="n">
        <f aca="false">$C54</f>
        <v>43.75</v>
      </c>
      <c r="AK54" s="33" t="n">
        <f aca="false">$C54</f>
        <v>43.75</v>
      </c>
      <c r="AL54" s="33" t="n">
        <f aca="false">$C54</f>
        <v>43.75</v>
      </c>
      <c r="AM54" s="33" t="n">
        <f aca="false">$C54</f>
        <v>43.75</v>
      </c>
      <c r="AN54" s="33" t="n">
        <f aca="false">$C54</f>
        <v>43.75</v>
      </c>
      <c r="AO54" s="33" t="n">
        <f aca="false">$C54</f>
        <v>43.75</v>
      </c>
      <c r="AP54" s="33" t="n">
        <f aca="false">$C54</f>
        <v>43.75</v>
      </c>
      <c r="AQ54" s="33" t="n">
        <f aca="false">$C54</f>
        <v>43.75</v>
      </c>
      <c r="AR54" s="33" t="n">
        <f aca="false">$C54</f>
        <v>43.75</v>
      </c>
      <c r="AS54" s="47" t="n">
        <f aca="false">$D54+I54+U54-AG54</f>
        <v>58.25</v>
      </c>
      <c r="AT54" s="47" t="n">
        <f aca="false">AS54+J54+V54-AH54</f>
        <v>14.5</v>
      </c>
      <c r="AU54" s="47" t="n">
        <f aca="false">AT54+K54+W54-AI54</f>
        <v>-29.25</v>
      </c>
      <c r="AV54" s="47" t="n">
        <f aca="false">AU54+L54+X54-AJ54</f>
        <v>-73</v>
      </c>
      <c r="AW54" s="47" t="n">
        <f aca="false">AV54+M54+Y54-AK54</f>
        <v>-116.75</v>
      </c>
      <c r="AX54" s="47" t="n">
        <f aca="false">AW54+N54+Z54-AL54</f>
        <v>-160.5</v>
      </c>
      <c r="AY54" s="47" t="n">
        <f aca="false">AX54+O54+AA54-AM54</f>
        <v>-204.25</v>
      </c>
      <c r="AZ54" s="47" t="n">
        <f aca="false">AY54+P54+AB54-AN54</f>
        <v>-248</v>
      </c>
      <c r="BA54" s="47" t="n">
        <f aca="false">AZ54+Q54+AC54-AO54</f>
        <v>-291.75</v>
      </c>
      <c r="BB54" s="47" t="n">
        <f aca="false">BA54+R54+AD54-AP54</f>
        <v>-335.5</v>
      </c>
      <c r="BC54" s="47" t="n">
        <f aca="false">BB54+S54+AE54-AQ54</f>
        <v>-379.25</v>
      </c>
      <c r="BD54" s="47" t="n">
        <f aca="false">BC54+T54+AF54-AR54</f>
        <v>-423</v>
      </c>
      <c r="BE54" s="46" t="n">
        <f aca="false">IF(AS54&lt;=0,1,0)</f>
        <v>0</v>
      </c>
      <c r="BF54" s="46" t="n">
        <f aca="false">IF(AT54&lt;=0,1,0)</f>
        <v>0</v>
      </c>
      <c r="BG54" s="46" t="n">
        <f aca="false">IF(AU54&lt;=0,1,0)</f>
        <v>1</v>
      </c>
      <c r="BH54" s="46" t="n">
        <f aca="false">IF(AV54&lt;=0,1,0)</f>
        <v>1</v>
      </c>
      <c r="BI54" s="46" t="n">
        <f aca="false">IF(AW54&lt;=0,1,0)</f>
        <v>1</v>
      </c>
      <c r="BJ54" s="46" t="n">
        <f aca="false">IF(AX54&lt;=0,1,0)</f>
        <v>1</v>
      </c>
      <c r="BK54" s="46" t="n">
        <f aca="false">IF(AY54&lt;=0,1,0)</f>
        <v>1</v>
      </c>
      <c r="BL54" s="46" t="n">
        <f aca="false">IF(AZ54&lt;=0,1,0)</f>
        <v>1</v>
      </c>
      <c r="BM54" s="46" t="n">
        <f aca="false">IF(BA54&lt;=0,1,0)</f>
        <v>1</v>
      </c>
      <c r="BN54" s="46" t="n">
        <f aca="false">IF(BB54&lt;=0,1,0)</f>
        <v>1</v>
      </c>
      <c r="BO54" s="46" t="n">
        <f aca="false">IF(BC54&lt;=0,1,0)</f>
        <v>1</v>
      </c>
      <c r="BP54" s="46" t="n">
        <f aca="false">IF(BD54&lt;=0,1,0)</f>
        <v>1</v>
      </c>
      <c r="BQ54" s="41" t="n">
        <f aca="false">IF(COUNTIF(BE54:BP54,1)=0,"None",MATCH(1,BE54:BP54,0))</f>
        <v>3</v>
      </c>
      <c r="BR54" s="12" t="str">
        <f aca="false">IF(COUNTIFS(BE$6:BP$6,"&lt;="&amp;$B54,BE54:BP54,1)&gt;0,"YES","NO")</f>
        <v>NO</v>
      </c>
      <c r="BS54" s="19" t="n">
        <f aca="false">MIN(AS54:BD54)</f>
        <v>-423</v>
      </c>
    </row>
  </sheetData>
  <mergeCells count="7">
    <mergeCell ref="A4:H4"/>
    <mergeCell ref="I4:T4"/>
    <mergeCell ref="U4:AF4"/>
    <mergeCell ref="AG4:AR4"/>
    <mergeCell ref="AS4:BD4"/>
    <mergeCell ref="BE4:BP4"/>
    <mergeCell ref="BQ4:BS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8"/>
    <col collapsed="false" customWidth="true" hidden="false" outlineLevel="0" max="4" min="4" style="0" width="34"/>
    <col collapsed="false" customWidth="true" hidden="false" outlineLevel="0" max="5" min="5" style="0" width="30"/>
    <col collapsed="false" customWidth="true" hidden="false" outlineLevel="0" max="6" min="6" style="0" width="36"/>
    <col collapsed="false" customWidth="true" hidden="false" outlineLevel="0" max="7" min="7" style="0" width="15"/>
    <col collapsed="false" customWidth="true" hidden="false" outlineLevel="0" max="8" min="8" style="0" width="11"/>
    <col collapsed="false" customWidth="true" hidden="false" outlineLevel="0" max="9" min="9" style="0" width="58"/>
    <col collapsed="false" customWidth="true" hidden="false" outlineLevel="0" max="10" min="10" style="0" width="13"/>
    <col collapsed="false" customWidth="true" hidden="false" outlineLevel="0" max="11" min="11" style="0" width="3"/>
    <col collapsed="false" customWidth="true" hidden="false" outlineLevel="0" max="16" min="12" style="0" width="12"/>
  </cols>
  <sheetData>
    <row r="1" customFormat="false" ht="18.55" hidden="false" customHeight="false" outlineLevel="0" collapsed="false">
      <c r="A1" s="1" t="s">
        <v>389</v>
      </c>
    </row>
    <row r="2" customFormat="false" ht="15" hidden="false" customHeight="false" outlineLevel="0" collapsed="false">
      <c r="A2" s="2" t="s">
        <v>390</v>
      </c>
    </row>
    <row r="4" customFormat="false" ht="15" hidden="false" customHeight="false" outlineLevel="0" collapsed="false">
      <c r="C4" s="48" t="s">
        <v>391</v>
      </c>
      <c r="D4" s="49" t="s">
        <v>179</v>
      </c>
    </row>
    <row r="5" customFormat="false" ht="15" hidden="false" customHeight="false" outlineLevel="0" collapsed="false">
      <c r="C5" s="2" t="s">
        <v>392</v>
      </c>
      <c r="D5" s="46" t="n">
        <f aca="false">MATCH($D$4,Replenishment_Plan!$A$7:$A$54,0)</f>
        <v>12</v>
      </c>
    </row>
    <row r="6" customFormat="false" ht="15" hidden="false" customHeight="false" outlineLevel="0" collapsed="false">
      <c r="C6" s="2" t="s">
        <v>393</v>
      </c>
      <c r="D6" s="46" t="n">
        <f aca="false">MATCH($D$4,Demand_History!$C:$C,0)</f>
        <v>1146</v>
      </c>
    </row>
    <row r="7" customFormat="false" ht="15" hidden="false" customHeight="false" outlineLevel="0" collapsed="false">
      <c r="C7" s="2" t="s">
        <v>394</v>
      </c>
      <c r="D7" s="46" t="n">
        <f aca="false">INDEX(Forecast!$AD$7:$AD$54,$D$5)</f>
        <v>2</v>
      </c>
    </row>
    <row r="9" customFormat="false" ht="15" hidden="false" customHeight="false" outlineLevel="0" collapsed="false">
      <c r="B9" s="4" t="s">
        <v>395</v>
      </c>
      <c r="C9" s="4"/>
      <c r="D9" s="4"/>
      <c r="E9" s="4"/>
      <c r="F9" s="4"/>
      <c r="G9" s="4"/>
      <c r="H9" s="4"/>
      <c r="I9" s="4"/>
      <c r="J9" s="4"/>
    </row>
    <row r="10" customFormat="false" ht="15" hidden="false" customHeight="false" outlineLevel="0" collapsed="false">
      <c r="C10" s="12" t="s">
        <v>265</v>
      </c>
      <c r="D10" s="11" t="str">
        <f aca="false">INDEX(Replenishment_Plan!$B$7:$B$54,$D$5)</f>
        <v>Hand Towel 50x100 White</v>
      </c>
      <c r="F10" s="12" t="s">
        <v>396</v>
      </c>
      <c r="G10" s="50" t="str">
        <f aca="false">INDEX(Replenishment_Plan!$AG$7:$AG$54,$D$5)</f>
        <v>REORDER REQUIRED</v>
      </c>
      <c r="H10" s="50"/>
      <c r="I10" s="50"/>
    </row>
    <row r="11" customFormat="false" ht="15" hidden="false" customHeight="false" outlineLevel="0" collapsed="false">
      <c r="C11" s="12" t="s">
        <v>341</v>
      </c>
      <c r="D11" s="11" t="str">
        <f aca="false">INDEX(Inputs!$E$40:$E$87,$D$5)&amp;"  "&amp;INDEX(Inputs!$B$31:$B$35,MATCH(INDEX(Inputs!$E$40:$E$87,$D$5),Inputs!$A$31:$A$35,0))</f>
        <v>SUP-02  Alpina Bath &amp; Textile AG</v>
      </c>
      <c r="F11" s="8" t="s">
        <v>397</v>
      </c>
      <c r="G11" s="51" t="str">
        <f aca="false">INDEX(Replenishment_Plan!$AH$7:$AH$54,$D$5)</f>
        <v>Inventory position of 455 units is 24 units below the reorder point of 479 units. Replenishment is required. EOQ recommends approximately 755 units, rounded to 760 (case pack 20).</v>
      </c>
      <c r="H11" s="51"/>
      <c r="I11" s="51"/>
    </row>
    <row r="12" customFormat="false" ht="15" hidden="false" customHeight="false" outlineLevel="0" collapsed="false">
      <c r="C12" s="12" t="s">
        <v>398</v>
      </c>
      <c r="D12" s="39" t="n">
        <f aca="false">INDEX(Replenishment_Plan!$K$7:$K$54,$D$5)</f>
        <v>3</v>
      </c>
      <c r="G12" s="51"/>
      <c r="H12" s="51"/>
      <c r="I12" s="51"/>
    </row>
    <row r="13" customFormat="false" ht="15" hidden="false" customHeight="false" outlineLevel="0" collapsed="false">
      <c r="C13" s="12" t="s">
        <v>399</v>
      </c>
      <c r="D13" s="40" t="n">
        <f aca="false">INDEX(Replenishment_Plan!$V$7:$V$54,$D$5)</f>
        <v>6</v>
      </c>
      <c r="G13" s="51"/>
      <c r="H13" s="51"/>
      <c r="I13" s="51"/>
    </row>
    <row r="14" customFormat="false" ht="15" hidden="false" customHeight="false" outlineLevel="0" collapsed="false">
      <c r="C14" s="12" t="s">
        <v>400</v>
      </c>
      <c r="D14" s="39" t="n">
        <f aca="false">INDEX(Replenishment_Plan!$AA$7:$AA$54,$D$5)</f>
        <v>20</v>
      </c>
      <c r="G14" s="51"/>
      <c r="H14" s="51"/>
      <c r="I14" s="51"/>
    </row>
    <row r="15" customFormat="false" ht="15" hidden="false" customHeight="false" outlineLevel="0" collapsed="false">
      <c r="C15" s="12" t="s">
        <v>401</v>
      </c>
      <c r="D15" s="11" t="str">
        <f aca="false">INDEX(Inputs!$N$40:$N$87,$D$5)</f>
        <v>stable</v>
      </c>
      <c r="G15" s="51"/>
      <c r="H15" s="51"/>
      <c r="I15" s="51"/>
    </row>
    <row r="17" customFormat="false" ht="15" hidden="false" customHeight="false" outlineLevel="0" collapsed="false">
      <c r="B17" s="4" t="s">
        <v>402</v>
      </c>
      <c r="C17" s="4"/>
      <c r="D17" s="4"/>
      <c r="E17" s="4"/>
      <c r="F17" s="4"/>
      <c r="G17" s="4"/>
      <c r="H17" s="4"/>
      <c r="I17" s="4"/>
      <c r="J17" s="4"/>
    </row>
    <row r="18" customFormat="false" ht="31.5" hidden="false" customHeight="true" outlineLevel="0" collapsed="false">
      <c r="C18" s="6" t="s">
        <v>403</v>
      </c>
      <c r="D18" s="6" t="s">
        <v>344</v>
      </c>
      <c r="E18" s="6" t="s">
        <v>345</v>
      </c>
      <c r="F18" s="6" t="s">
        <v>346</v>
      </c>
      <c r="G18" s="6" t="s">
        <v>404</v>
      </c>
      <c r="H18" s="6" t="s">
        <v>405</v>
      </c>
      <c r="I18" s="6" t="s">
        <v>406</v>
      </c>
    </row>
    <row r="19" customFormat="false" ht="15" hidden="false" customHeight="false" outlineLevel="0" collapsed="false">
      <c r="C19" s="12" t="s">
        <v>407</v>
      </c>
      <c r="D19" s="36" t="n">
        <f aca="false">INDEX(Forecast!$I$7:$I$54,$D$5)</f>
        <v>0.100863821138211</v>
      </c>
      <c r="E19" s="37" t="n">
        <f aca="false">INDEX(Forecast!$M$7:$M$54,$D$5)</f>
        <v>0.00177845528455285</v>
      </c>
      <c r="F19" s="35" t="n">
        <f aca="false">INDEX(Forecast!$Q$7:$Q$54,$D$5)</f>
        <v>19.9814770937401</v>
      </c>
      <c r="G19" s="35" t="n">
        <f aca="false">INDEX(Forecast!$U$7:$U$54,$D$5)</f>
        <v>148</v>
      </c>
      <c r="H19" s="52" t="str">
        <f aca="false">IF(INDEX(Forecast!$Z$7:$Z$54,$D$5),"yes","no")</f>
        <v>no</v>
      </c>
      <c r="I19" s="12" t="str">
        <f aca="false">IF($D$7=1,"&lt;&lt; SELECTED (first within tolerance, simplest first)","")</f>
        <v/>
      </c>
    </row>
    <row r="20" customFormat="false" ht="15" hidden="false" customHeight="false" outlineLevel="0" collapsed="false">
      <c r="C20" s="12" t="s">
        <v>408</v>
      </c>
      <c r="D20" s="36" t="n">
        <f aca="false">INDEX(Forecast!$J$7:$J$54,$D$5)</f>
        <v>0.0709159044715447</v>
      </c>
      <c r="E20" s="37" t="n">
        <f aca="false">INDEX(Forecast!$N$7:$N$54,$D$5)</f>
        <v>0.00390625</v>
      </c>
      <c r="F20" s="35" t="n">
        <f aca="false">INDEX(Forecast!$R$7:$R$54,$D$5)</f>
        <v>14.0634964872344</v>
      </c>
      <c r="G20" s="35" t="n">
        <f aca="false">INDEX(Forecast!$V$7:$V$54,$D$5)</f>
        <v>146.25</v>
      </c>
      <c r="H20" s="52" t="str">
        <f aca="false">IF(INDEX(Forecast!$AA$7:$AA$54,$D$5),"yes","no")</f>
        <v>yes</v>
      </c>
      <c r="I20" s="12" t="str">
        <f aca="false">IF($D$7=2,"&lt;&lt; SELECTED (first within tolerance, simplest first)","")</f>
        <v>&lt;&lt; SELECTED (first within tolerance, simplest first)</v>
      </c>
    </row>
    <row r="21" customFormat="false" ht="15" hidden="false" customHeight="false" outlineLevel="0" collapsed="false">
      <c r="C21" s="12" t="s">
        <v>409</v>
      </c>
      <c r="D21" s="36" t="n">
        <f aca="false">INDEX(Forecast!$K$7:$K$54,$D$5)</f>
        <v>0.0702966209349594</v>
      </c>
      <c r="E21" s="37" t="n">
        <f aca="false">INDEX(Forecast!$O$7:$O$54,$D$5)</f>
        <v>0.00665332825203252</v>
      </c>
      <c r="F21" s="35" t="n">
        <f aca="false">INDEX(Forecast!$S$7:$S$54,$D$5)</f>
        <v>13.8726131461738</v>
      </c>
      <c r="G21" s="35" t="n">
        <f aca="false">INDEX(Forecast!$W$7:$W$54,$D$5)</f>
        <v>148.125</v>
      </c>
      <c r="H21" s="52" t="str">
        <f aca="false">IF(INDEX(Forecast!$AB$7:$AB$54,$D$5),"yes","no")</f>
        <v>yes</v>
      </c>
      <c r="I21" s="12" t="str">
        <f aca="false">IF($D$7=3,"&lt;&lt; SELECTED (first within tolerance, simplest first)","")</f>
        <v/>
      </c>
    </row>
    <row r="22" customFormat="false" ht="15" hidden="false" customHeight="false" outlineLevel="0" collapsed="false">
      <c r="C22" s="12" t="s">
        <v>410</v>
      </c>
      <c r="D22" s="36" t="n">
        <f aca="false">INDEX(Forecast!$L$7:$L$54,$D$5)</f>
        <v>0.0724047023811084</v>
      </c>
      <c r="E22" s="37" t="n">
        <f aca="false">INDEX(Forecast!$P$7:$P$54,$D$5)</f>
        <v>0.00471722702076705</v>
      </c>
      <c r="F22" s="35" t="n">
        <f aca="false">INDEX(Forecast!$T$7:$T$54,$D$5)</f>
        <v>14.3886410438527</v>
      </c>
      <c r="G22" s="35" t="n">
        <f aca="false">INDEX(Forecast!$X$7:$X$54,$D$5)</f>
        <v>145.851581813962</v>
      </c>
      <c r="H22" s="52" t="str">
        <f aca="false">IF(INDEX(Forecast!$AC$7:$AC$54,$D$5),"yes","no")</f>
        <v>yes</v>
      </c>
      <c r="I22" s="12" t="str">
        <f aca="false">IF($D$7=4,"&lt;&lt; SELECTED (first within tolerance, simplest first)","")</f>
        <v/>
      </c>
    </row>
    <row r="23" customFormat="false" ht="15" hidden="false" customHeight="false" outlineLevel="0" collapsed="false">
      <c r="C23" s="12" t="s">
        <v>411</v>
      </c>
      <c r="D23" s="26" t="n">
        <f aca="false">MIN(D19:D22)</f>
        <v>0.0702966209349594</v>
      </c>
      <c r="E23" s="10" t="str">
        <f aca="false">"tolerance "&amp;FIXED(WAPE_Tol*100,1)&amp;" pts"</f>
        <v>tolerance 1.0 pts</v>
      </c>
    </row>
    <row r="24" customFormat="false" ht="15" hidden="false" customHeight="false" outlineLevel="0" collapsed="false">
      <c r="C24" s="12" t="s">
        <v>412</v>
      </c>
      <c r="D24" s="19" t="n">
        <f aca="false">SUM(INDEX(Forecast_Walkforward!$C:$C,$D$6+Eval_Start_Week-1):INDEX(Forecast_Walkforward!$C:$C,$D$6+Weeks_History-1))</f>
        <v>7872</v>
      </c>
    </row>
    <row r="25" customFormat="false" ht="15" hidden="false" customHeight="false" outlineLevel="0" collapsed="false">
      <c r="C25" s="12" t="s">
        <v>413</v>
      </c>
      <c r="D25" s="19" t="n">
        <f aca="false">SUM(INDEX(Forecast_Walkforward!$L:$O,$D$6+Eval_Start_Week-1,$D$7):INDEX(Forecast_Walkforward!$L:$O,$D$6+Weeks_History-1,$D$7))</f>
        <v>558.25</v>
      </c>
    </row>
    <row r="26" customFormat="false" ht="15" hidden="false" customHeight="false" outlineLevel="0" collapsed="false">
      <c r="C26" s="12" t="s">
        <v>414</v>
      </c>
      <c r="D26" s="19" t="n">
        <f aca="false">SUM(INDEX(Forecast_Walkforward!$H:$K,$D$6+Eval_Start_Week-1,$D$7):INDEX(Forecast_Walkforward!$H:$K,$D$6+Weeks_History-1,$D$7))</f>
        <v>30.75</v>
      </c>
    </row>
    <row r="27" customFormat="false" ht="15" hidden="false" customHeight="false" outlineLevel="0" collapsed="false">
      <c r="C27" s="12" t="s">
        <v>415</v>
      </c>
      <c r="D27" s="19" t="n">
        <f aca="false">COUNT(INDEX(Forecast_Walkforward!$H:$K,$D$6+Eval_Start_Week-1,$D$7):INDEX(Forecast_Walkforward!$H:$K,$D$6+Weeks_History-1,$D$7))</f>
        <v>52</v>
      </c>
    </row>
    <row r="29" customFormat="false" ht="15" hidden="false" customHeight="false" outlineLevel="0" collapsed="false">
      <c r="B29" s="4" t="s">
        <v>416</v>
      </c>
      <c r="C29" s="4"/>
      <c r="D29" s="4"/>
      <c r="E29" s="4"/>
      <c r="F29" s="4"/>
      <c r="G29" s="4"/>
      <c r="H29" s="4"/>
      <c r="I29" s="4"/>
      <c r="J29" s="4"/>
    </row>
    <row r="30" customFormat="false" ht="31.5" hidden="false" customHeight="true" outlineLevel="0" collapsed="false">
      <c r="B30" s="6" t="s">
        <v>417</v>
      </c>
      <c r="C30" s="6" t="s">
        <v>418</v>
      </c>
      <c r="D30" s="6" t="s">
        <v>419</v>
      </c>
      <c r="E30" s="6" t="s">
        <v>420</v>
      </c>
      <c r="F30" s="6" t="s">
        <v>421</v>
      </c>
      <c r="G30" s="6" t="s">
        <v>422</v>
      </c>
      <c r="H30" s="6" t="s">
        <v>68</v>
      </c>
      <c r="I30" s="6" t="s">
        <v>423</v>
      </c>
      <c r="J30" s="6" t="s">
        <v>424</v>
      </c>
    </row>
    <row r="31" customFormat="false" ht="43.5" hidden="false" customHeight="true" outlineLevel="0" collapsed="false">
      <c r="B31" s="53" t="n">
        <v>1</v>
      </c>
      <c r="C31" s="8" t="s">
        <v>425</v>
      </c>
      <c r="D31" s="7" t="s">
        <v>426</v>
      </c>
      <c r="E31" s="54" t="s">
        <v>427</v>
      </c>
      <c r="F31" s="7" t="str">
        <f aca="false">"Weeks "&amp;Eval_Start_Week&amp;"-"&amp;Weeks_History&amp;"; average "&amp;FIXED(D24/Eval_Weeks,1)&amp;" units per week"</f>
        <v>Weeks 53-104; average 151.4 units per week</v>
      </c>
      <c r="G31" s="55" t="n">
        <f aca="false">D24</f>
        <v>7872</v>
      </c>
      <c r="H31" s="7" t="s">
        <v>428</v>
      </c>
      <c r="I31" s="7" t="str">
        <f aca="false">"The four methods are scored on these "&amp;Eval_Weeks&amp;" weeks. Each weekly forecast used only earlier weeks (walk-forward), so the scores are out-of-sample."</f>
        <v>The four methods are scored on these 52 weeks. Each weekly forecast used only earlier weeks (walk-forward), so the scores are out-of-sample.</v>
      </c>
      <c r="J31" s="56" t="s">
        <v>429</v>
      </c>
    </row>
    <row r="32" customFormat="false" ht="43.5" hidden="false" customHeight="true" outlineLevel="0" collapsed="false">
      <c r="B32" s="53" t="n">
        <v>2</v>
      </c>
      <c r="C32" s="8" t="s">
        <v>430</v>
      </c>
      <c r="D32" s="7" t="s">
        <v>431</v>
      </c>
      <c r="E32" s="54" t="s">
        <v>432</v>
      </c>
      <c r="F32" s="7" t="str">
        <f aca="false">"Best WAPE "&amp;FIXED(D23*100,1)&amp;"%, tolerance "&amp;FIXED(WAPE_Tol*100,1)&amp;" pts"</f>
        <v>Best WAPE 7.0%, tolerance 1.0 pts</v>
      </c>
      <c r="G32" s="57" t="str">
        <f aca="false">INDEX(C19:C22,$D$7)</f>
        <v>MA4</v>
      </c>
      <c r="H32" s="7"/>
      <c r="I32" s="7" t="str">
        <f aca="false">"The first method in the order Naive, MA4, MA8, SES whose WAPE is within tolerance of the best is used for planning."</f>
        <v>The first method in the order Naive, MA4, MA8, SES whose WAPE is within tolerance of the best is used for planning.</v>
      </c>
      <c r="J32" s="56" t="str">
        <f aca="false">IF(G32=INDEX(Replenishment_Plan!$D$7:$D$54,$D$5),"OK","MISMATCH")</f>
        <v>OK</v>
      </c>
    </row>
    <row r="33" customFormat="false" ht="43.5" hidden="false" customHeight="true" outlineLevel="0" collapsed="false">
      <c r="B33" s="53" t="n">
        <v>3</v>
      </c>
      <c r="C33" s="8" t="s">
        <v>433</v>
      </c>
      <c r="D33" s="7" t="str">
        <f aca="false">CHOOSE($D$7,"Naive: last actual (week 104)","4-week MA: AVERAGE of weeks 101-104","8-week MA: AVERAGE of weeks 97-104","SES: alpha x A(104) + (1-alpha) x F(104)")</f>
        <v>4-week MA: AVERAGE of weeks 101-104</v>
      </c>
      <c r="E33" s="54" t="s">
        <v>434</v>
      </c>
      <c r="F33" s="7" t="str">
        <f aca="false">CHOOSE($D$7,"Actual week 104 = "&amp;FIXED(INDEX(Demand_History!$D:$D,$D$6+104-1),0),"AVERAGE("&amp;FIXED(INDEX(Demand_History!$D:$D,$D$6+101-1),0)&amp;", "&amp;FIXED(INDEX(Demand_History!$D:$D,$D$6+102-1),0)&amp;", "&amp;FIXED(INDEX(Demand_History!$D:$D,$D$6+103-1),0)&amp;", "&amp;FIXED(INDEX(Demand_History!$D:$D,$D$6+104-1),0)&amp;")","AVERAGE("&amp;FIXED(INDEX(Demand_History!$D:$D,$D$6+97-1),0)&amp;", "&amp;FIXED(INDEX(Demand_History!$D:$D,$D$6+98-1),0)&amp;", "&amp;FIXED(INDEX(Demand_History!$D:$D,$D$6+99-1),0)&amp;", "&amp;FIXED(INDEX(Demand_History!$D:$D,$D$6+100-1),0)&amp;", "&amp;FIXED(INDEX(Demand_History!$D:$D,$D$6+101-1),0)&amp;", "&amp;FIXED(INDEX(Demand_History!$D:$D,$D$6+102-1),0)&amp;", "&amp;FIXED(INDEX(Demand_History!$D:$D,$D$6+103-1),0)&amp;", "&amp;FIXED(INDEX(Demand_History!$D:$D,$D$6+104-1),0)&amp;")",FIXED(SES_Alpha,2)&amp;" x "&amp;FIXED(INDEX(Demand_History!$D:$D,$D$6+104-1),0)&amp;" + "&amp;FIXED(1-SES_Alpha,2)&amp;" x "&amp;FIXED(INDEX(Forecast_Walkforward!$G:$G,$D$6+103),1))</f>
        <v>AVERAGE(144, 157, 136, 148)</v>
      </c>
      <c r="G33" s="58" t="n">
        <f aca="false">INDEX(G19:G22,$D$7)</f>
        <v>146.25</v>
      </c>
      <c r="H33" s="7" t="s">
        <v>435</v>
      </c>
      <c r="I33" s="7" t="str">
        <f aca="false">"Expected demand of about "&amp;FIXED(G33,1)&amp;" units in each of the next 12 weeks (all four methods give a flat forecast)."</f>
        <v>Expected demand of about 146.3 units in each of the next 12 weeks (all four methods give a flat forecast).</v>
      </c>
      <c r="J33" s="56" t="str">
        <f aca="false">IF(ABS(G33-INDEX(Replenishment_Plan!$E$7:$E$54,$D$5))&lt;0.0001,"OK","MISMATCH")</f>
        <v>OK</v>
      </c>
    </row>
    <row r="34" customFormat="false" ht="43.5" hidden="false" customHeight="true" outlineLevel="0" collapsed="false">
      <c r="B34" s="53" t="n">
        <v>4</v>
      </c>
      <c r="C34" s="8" t="s">
        <v>344</v>
      </c>
      <c r="D34" s="7" t="s">
        <v>436</v>
      </c>
      <c r="E34" s="54" t="s">
        <v>437</v>
      </c>
      <c r="F34" s="7" t="str">
        <f aca="false">FIXED(D25,0)&amp;" / "&amp;FIXED(D24,0)</f>
        <v>558 / 7,872</v>
      </c>
      <c r="G34" s="59" t="n">
        <f aca="false">D25/D24</f>
        <v>0.0709159044715447</v>
      </c>
      <c r="H34" s="7" t="s">
        <v>81</v>
      </c>
      <c r="I34" s="7" t="str">
        <f aca="false">"On average the forecast misses by "&amp;FIXED(G34*100,1)&amp;"% of actual volume, ignoring direction. Volume-weighted, so zero-demand weeks do not break it (unlike MAPE)."</f>
        <v>On average the forecast misses by 7.1% of actual volume, ignoring direction. Volume-weighted, so zero-demand weeks do not break it (unlike MAPE).</v>
      </c>
      <c r="J34" s="56" t="str">
        <f aca="false">IF(ABS(G34-INDEX(Replenishment_Plan!$F$7:$F$54,$D$5))&lt;0.000001,"OK","MISMATCH")</f>
        <v>OK</v>
      </c>
    </row>
    <row r="35" customFormat="false" ht="43.5" hidden="false" customHeight="true" outlineLevel="0" collapsed="false">
      <c r="B35" s="53" t="n">
        <v>5</v>
      </c>
      <c r="C35" s="8" t="s">
        <v>438</v>
      </c>
      <c r="D35" s="7" t="s">
        <v>439</v>
      </c>
      <c r="E35" s="54" t="s">
        <v>440</v>
      </c>
      <c r="F35" s="7" t="str">
        <f aca="false">FIXED(D26,0)&amp;" / "&amp;FIXED(D24,0)</f>
        <v>31 / 7,872</v>
      </c>
      <c r="G35" s="60" t="n">
        <f aca="false">D26/D24</f>
        <v>0.00390625</v>
      </c>
      <c r="H35" s="7" t="s">
        <v>81</v>
      </c>
      <c r="I35" s="7" t="str">
        <f aca="false">IF(G35&gt;0,"Positive: on balance the method over-forecast by "&amp;FIXED(G35*100,1)&amp;"%.",IF(G35&lt;0,"Negative: on balance the method under-forecast by "&amp;FIXED(-G35*100,1)&amp;"%.","No net bias."))&amp;" WAPE = size of misses, Bias = direction."</f>
        <v>Positive: on balance the method over-forecast by 0.4%. WAPE = size of misses, Bias = direction.</v>
      </c>
      <c r="J35" s="56" t="str">
        <f aca="false">IF(ABS(G35-INDEX(Replenishment_Plan!$G$7:$G$54,$D$5))&lt;0.000001,"OK","MISMATCH")</f>
        <v>OK</v>
      </c>
    </row>
    <row r="36" customFormat="false" ht="43.5" hidden="false" customHeight="true" outlineLevel="0" collapsed="false">
      <c r="B36" s="53" t="n">
        <v>6</v>
      </c>
      <c r="C36" s="8" t="s">
        <v>441</v>
      </c>
      <c r="D36" s="7" t="s">
        <v>442</v>
      </c>
      <c r="E36" s="54" t="s">
        <v>443</v>
      </c>
      <c r="F36" s="7" t="str">
        <f aca="false">"STDEV.S of "&amp;D27&amp;" errors; mean error "&amp;FIXED(D26/D27,1)&amp;" units"</f>
        <v>STDEV.S of 52 errors; mean error 0.6 units</v>
      </c>
      <c r="G36" s="58" t="n">
        <f aca="false">_xlfn.STDEV.S(INDEX(Forecast_Walkforward!$H:$K,$D$6+Eval_Start_Week-1,$D$7):INDEX(Forecast_Walkforward!$H:$K,$D$6+Weeks_History-1,$D$7))</f>
        <v>14.0634964872344</v>
      </c>
      <c r="H36" s="7" t="s">
        <v>428</v>
      </c>
      <c r="I36" s="7" t="str">
        <f aca="false">"A typical weekly forecast miss is about "&amp;FIXED(G36,1)&amp;" units. The bigger the typical miss, the more safety stock is needed."</f>
        <v>A typical weekly forecast miss is about 14.1 units. The bigger the typical miss, the more safety stock is needed.</v>
      </c>
      <c r="J36" s="56" t="str">
        <f aca="false">IF(ABS(G36-INDEX(Replenishment_Plan!$H$7:$H$54,$D$5))&lt;0.0001,"OK","MISMATCH")</f>
        <v>OK</v>
      </c>
    </row>
    <row r="37" customFormat="false" ht="43.5" hidden="false" customHeight="true" outlineLevel="0" collapsed="false">
      <c r="B37" s="53" t="n">
        <v>7</v>
      </c>
      <c r="C37" s="8" t="s">
        <v>80</v>
      </c>
      <c r="D37" s="7" t="s">
        <v>444</v>
      </c>
      <c r="E37" s="54" t="s">
        <v>445</v>
      </c>
      <c r="F37" s="7" t="str">
        <f aca="false">"Input"</f>
        <v>Input</v>
      </c>
      <c r="G37" s="59" t="n">
        <f aca="false">TSL</f>
        <v>0.95</v>
      </c>
      <c r="H37" s="7" t="s">
        <v>81</v>
      </c>
      <c r="I37" s="7" t="str">
        <f aca="false">"Aim: no stockout during lead time in about "&amp;FIXED(G37*100,1)&amp;"% of replenishment cycles."</f>
        <v>Aim: no stockout during lead time in about 95.0% of replenishment cycles.</v>
      </c>
      <c r="J37" s="56" t="s">
        <v>429</v>
      </c>
    </row>
    <row r="38" customFormat="false" ht="43.5" hidden="false" customHeight="true" outlineLevel="0" collapsed="false">
      <c r="B38" s="53" t="n">
        <v>8</v>
      </c>
      <c r="C38" s="8" t="s">
        <v>83</v>
      </c>
      <c r="D38" s="7" t="s">
        <v>446</v>
      </c>
      <c r="E38" s="54" t="s">
        <v>447</v>
      </c>
      <c r="F38" s="7" t="str">
        <f aca="false">"NORM.S.INV("&amp;FIXED(G37,3)&amp;")"</f>
        <v>NORM.S.INV(0.950)</v>
      </c>
      <c r="G38" s="61" t="n">
        <f aca="false">_xlfn.NORM.S.INV(G37)</f>
        <v>1.64485362695147</v>
      </c>
      <c r="H38" s="7"/>
      <c r="I38" s="7" t="str">
        <f aca="false">"Safety stock protects against forecast errors up to "&amp;FIXED(G38,3)&amp;" standard deviations."</f>
        <v>Safety stock protects against forecast errors up to 1.645 standard deviations.</v>
      </c>
      <c r="J38" s="56" t="str">
        <f aca="false">IF(ABS(G38-INDEX(Replenishment_Plan!$J$7:$J$54,$D$5))&lt;0.000001,"OK","MISMATCH")</f>
        <v>OK</v>
      </c>
    </row>
    <row r="39" customFormat="false" ht="43.5" hidden="false" customHeight="true" outlineLevel="0" collapsed="false">
      <c r="B39" s="53" t="n">
        <v>9</v>
      </c>
      <c r="C39" s="8" t="s">
        <v>448</v>
      </c>
      <c r="D39" s="7" t="s">
        <v>449</v>
      </c>
      <c r="E39" s="54" t="s">
        <v>450</v>
      </c>
      <c r="F39" s="7" t="str">
        <f aca="false">"Supplier "&amp;INDEX(Replenishment_Plan!$C$7:$C$54,$D$5)</f>
        <v>Supplier SUP-02</v>
      </c>
      <c r="G39" s="55" t="n">
        <f aca="false">INDEX(Replenishment_Plan!$K$7:$K$54,$D$5)</f>
        <v>3</v>
      </c>
      <c r="H39" s="7" t="s">
        <v>90</v>
      </c>
      <c r="I39" s="7" t="str">
        <f aca="false">"Weeks from placing an order until the goods can be used. Assumed fixed (no lead-time variability in V1)."</f>
        <v>Weeks from placing an order until the goods can be used. Assumed fixed (no lead-time variability in V1).</v>
      </c>
      <c r="J39" s="56" t="s">
        <v>429</v>
      </c>
    </row>
    <row r="40" customFormat="false" ht="43.5" hidden="false" customHeight="true" outlineLevel="0" collapsed="false">
      <c r="B40" s="53" t="n">
        <v>10</v>
      </c>
      <c r="C40" s="8" t="s">
        <v>451</v>
      </c>
      <c r="D40" s="7" t="s">
        <v>452</v>
      </c>
      <c r="E40" s="54" t="s">
        <v>453</v>
      </c>
      <c r="F40" s="7" t="str">
        <f aca="false">FIXED(G38,3)&amp;" x "&amp;FIXED(G36,1)&amp;" x SQRT("&amp;G39&amp;")"</f>
        <v>1.645 x 14.1 x SQRT(3)</v>
      </c>
      <c r="G40" s="58" t="n">
        <f aca="false">G38*G36*SQRT(G39)</f>
        <v>40.0664803311094</v>
      </c>
      <c r="H40" s="7" t="s">
        <v>428</v>
      </c>
      <c r="I40" s="7" t="str">
        <f aca="false">"A buffer of about "&amp;FIXED(G40,0)&amp;" units against forecast error over the "&amp;G39&amp;"-week lead time."</f>
        <v>A buffer of about 40 units against forecast error over the 3-week lead time.</v>
      </c>
      <c r="J40" s="56" t="str">
        <f aca="false">IF(ABS(G40-INDEX(Replenishment_Plan!$L$7:$L$54,$D$5))&lt;0.0001,"OK","MISMATCH")</f>
        <v>OK</v>
      </c>
    </row>
    <row r="41" customFormat="false" ht="43.5" hidden="false" customHeight="true" outlineLevel="0" collapsed="false">
      <c r="B41" s="53" t="n">
        <v>11</v>
      </c>
      <c r="C41" s="8" t="s">
        <v>454</v>
      </c>
      <c r="D41" s="7" t="s">
        <v>455</v>
      </c>
      <c r="E41" s="54" t="s">
        <v>456</v>
      </c>
      <c r="F41" s="7" t="str">
        <f aca="false">FIXED(G33,1)&amp;" x "&amp;G39</f>
        <v>146.3 x 3</v>
      </c>
      <c r="G41" s="58" t="n">
        <f aca="false">G33*G39</f>
        <v>438.75</v>
      </c>
      <c r="H41" s="7" t="s">
        <v>428</v>
      </c>
      <c r="I41" s="7" t="str">
        <f aca="false">"Expected customer demand of about "&amp;FIXED(G41,0)&amp;" units while waiting for a new order to arrive."</f>
        <v>Expected customer demand of about 439 units while waiting for a new order to arrive.</v>
      </c>
      <c r="J41" s="56" t="str">
        <f aca="false">IF(ABS(G41-INDEX(Replenishment_Plan!$M$7:$M$54,$D$5))&lt;0.0001,"OK","MISMATCH")</f>
        <v>OK</v>
      </c>
    </row>
    <row r="42" customFormat="false" ht="43.5" hidden="false" customHeight="true" outlineLevel="0" collapsed="false">
      <c r="B42" s="53" t="n">
        <v>12</v>
      </c>
      <c r="C42" s="8" t="s">
        <v>457</v>
      </c>
      <c r="D42" s="7" t="s">
        <v>458</v>
      </c>
      <c r="E42" s="54" t="s">
        <v>459</v>
      </c>
      <c r="F42" s="7" t="str">
        <f aca="false">FIXED(G41,1)&amp;" + "&amp;FIXED(G40,1)</f>
        <v>438.8 + 40.1</v>
      </c>
      <c r="G42" s="55" t="n">
        <f aca="false">G41+G40</f>
        <v>478.816480331109</v>
      </c>
      <c r="H42" s="7" t="s">
        <v>428</v>
      </c>
      <c r="I42" s="7" t="str">
        <f aca="false">"When inventory position reaches about "&amp;FIXED(G42,0)&amp;" units or less, replenishment should be triggered."</f>
        <v>When inventory position reaches about 479 units or less, replenishment should be triggered.</v>
      </c>
      <c r="J42" s="56" t="str">
        <f aca="false">IF(ABS(G42-INDEX(Replenishment_Plan!$N$7:$N$54,$D$5))&lt;0.0001,"OK","MISMATCH")</f>
        <v>OK</v>
      </c>
    </row>
    <row r="43" customFormat="false" ht="43.5" hidden="false" customHeight="true" outlineLevel="0" collapsed="false">
      <c r="B43" s="53" t="n">
        <v>13</v>
      </c>
      <c r="C43" s="8" t="s">
        <v>460</v>
      </c>
      <c r="D43" s="7" t="s">
        <v>461</v>
      </c>
      <c r="E43" s="54" t="s">
        <v>462</v>
      </c>
      <c r="F43" s="7" t="str">
        <f aca="false">"Input"</f>
        <v>Input</v>
      </c>
      <c r="G43" s="55" t="n">
        <f aca="false">INDEX(Replenishment_Plan!$O$7:$O$54,$D$5)</f>
        <v>75</v>
      </c>
      <c r="H43" s="7" t="s">
        <v>428</v>
      </c>
      <c r="I43" s="7" t="str">
        <f aca="false">"Stock that can ship today."</f>
        <v>Stock that can ship today.</v>
      </c>
      <c r="J43" s="56" t="s">
        <v>429</v>
      </c>
    </row>
    <row r="44" customFormat="false" ht="43.5" hidden="false" customHeight="true" outlineLevel="0" collapsed="false">
      <c r="B44" s="53" t="n">
        <v>14</v>
      </c>
      <c r="C44" s="8" t="s">
        <v>463</v>
      </c>
      <c r="D44" s="7" t="s">
        <v>464</v>
      </c>
      <c r="E44" s="54" t="s">
        <v>465</v>
      </c>
      <c r="F44" s="7" t="str">
        <f aca="false">IF(G44&gt;0,"Open PO due in week "&amp;INDEX(Inputs!$L$40:$L$87,$D$5),"No open PO")</f>
        <v>Open PO due in week 1</v>
      </c>
      <c r="G44" s="55" t="n">
        <f aca="false">INDEX(Replenishment_Plan!$P$7:$P$54,$D$5)</f>
        <v>380</v>
      </c>
      <c r="H44" s="7" t="s">
        <v>428</v>
      </c>
      <c r="I44" s="7" t="str">
        <f aca="false">"Already ordered but not yet received. Counting it prevents a duplicate order just because shelves look low."</f>
        <v>Already ordered but not yet received. Counting it prevents a duplicate order just because shelves look low.</v>
      </c>
      <c r="J44" s="56" t="s">
        <v>429</v>
      </c>
    </row>
    <row r="45" customFormat="false" ht="43.5" hidden="false" customHeight="true" outlineLevel="0" collapsed="false">
      <c r="B45" s="53" t="n">
        <v>15</v>
      </c>
      <c r="C45" s="8" t="s">
        <v>466</v>
      </c>
      <c r="D45" s="7" t="s">
        <v>467</v>
      </c>
      <c r="E45" s="54" t="s">
        <v>468</v>
      </c>
      <c r="F45" s="7" t="str">
        <f aca="false">"Input"</f>
        <v>Input</v>
      </c>
      <c r="G45" s="55" t="n">
        <f aca="false">INDEX(Replenishment_Plan!$Q$7:$Q$54,$D$5)</f>
        <v>0</v>
      </c>
      <c r="H45" s="7" t="s">
        <v>428</v>
      </c>
      <c r="I45" s="7" t="str">
        <f aca="false">"Owed to customers, so it will consume the next stock that arrives."</f>
        <v>Owed to customers, so it will consume the next stock that arrives.</v>
      </c>
      <c r="J45" s="56" t="s">
        <v>429</v>
      </c>
    </row>
    <row r="46" customFormat="false" ht="43.5" hidden="false" customHeight="true" outlineLevel="0" collapsed="false">
      <c r="B46" s="53" t="n">
        <v>16</v>
      </c>
      <c r="C46" s="8" t="s">
        <v>469</v>
      </c>
      <c r="D46" s="7" t="s">
        <v>470</v>
      </c>
      <c r="E46" s="54" t="s">
        <v>471</v>
      </c>
      <c r="F46" s="7" t="str">
        <f aca="false">FIXED(G43,0)&amp;" + "&amp;FIXED(G44,0)&amp;" - "&amp;FIXED(G45,0)</f>
        <v>75 + 380 - 0</v>
      </c>
      <c r="G46" s="55" t="n">
        <f aca="false">G43+G44-G45</f>
        <v>455</v>
      </c>
      <c r="H46" s="7" t="s">
        <v>428</v>
      </c>
      <c r="I46" s="7" t="str">
        <f aca="false">"Stock available or already on its way, net of what is owed: "&amp;FIXED(G46,0)&amp;" units. This, not on-hand stock, is compared with the reorder point."</f>
        <v>Stock available or already on its way, net of what is owed: 455 units. This, not on-hand stock, is compared with the reorder point.</v>
      </c>
      <c r="J46" s="56" t="str">
        <f aca="false">IF(ABS(G46-INDEX(Replenishment_Plan!$R$7:$R$54,$D$5))&lt;0.0001,"OK","MISMATCH")</f>
        <v>OK</v>
      </c>
    </row>
    <row r="47" customFormat="false" ht="43.5" hidden="false" customHeight="true" outlineLevel="0" collapsed="false">
      <c r="B47" s="53" t="n">
        <v>17</v>
      </c>
      <c r="C47" s="8" t="s">
        <v>472</v>
      </c>
      <c r="D47" s="7" t="s">
        <v>473</v>
      </c>
      <c r="E47" s="54" t="s">
        <v>474</v>
      </c>
      <c r="F47" s="7" t="str">
        <f aca="false">FIXED(G46,0)&amp;" &lt;= "&amp;FIXED(G42,1)&amp;" ?"</f>
        <v>455 &lt;= 478.8 ?</v>
      </c>
      <c r="G47" s="57" t="str">
        <f aca="false">IF(G46&lt;=G42,"YES","NO")</f>
        <v>YES</v>
      </c>
      <c r="H47" s="7"/>
      <c r="I47" s="7" t="str">
        <f aca="false">IF(G47="YES","Inventory position is "&amp;FIXED(G42-G46,0)&amp;" units at or below the reorder point: place an order now.","Inventory position is "&amp;FIXED(G46-G42,0)&amp;" units above the reorder point: no order yet.")</f>
        <v>Inventory position is 24 units at or below the reorder point: place an order now.</v>
      </c>
      <c r="J47" s="56" t="str">
        <f aca="false">IF(G47=INDEX(Replenishment_Plan!$AC$7:$AC$54,$D$5),"OK","MISMATCH")</f>
        <v>OK</v>
      </c>
    </row>
    <row r="48" customFormat="false" ht="43.5" hidden="false" customHeight="true" outlineLevel="0" collapsed="false">
      <c r="B48" s="53" t="n">
        <v>18</v>
      </c>
      <c r="C48" s="8" t="s">
        <v>475</v>
      </c>
      <c r="D48" s="7" t="s">
        <v>476</v>
      </c>
      <c r="E48" s="54" t="s">
        <v>477</v>
      </c>
      <c r="F48" s="7" t="str">
        <f aca="false">FIXED(G33,1)&amp;" x "&amp;Weeks_Per_Year</f>
        <v>146.3 x 52</v>
      </c>
      <c r="G48" s="55" t="n">
        <f aca="false">G33*Weeks_Per_Year</f>
        <v>7605</v>
      </c>
      <c r="H48" s="7" t="s">
        <v>478</v>
      </c>
      <c r="I48" s="7" t="str">
        <f aca="false">"Annualised demand needed for the EOQ trade-off (orders per year = annual demand / order size)."</f>
        <v>Annualised demand needed for the EOQ trade-off (orders per year = annual demand / order size).</v>
      </c>
      <c r="J48" s="56" t="str">
        <f aca="false">IF(ABS(G48-INDEX(Replenishment_Plan!$U$7:$U$54,$D$5))&lt;0.0001,"OK","MISMATCH")</f>
        <v>OK</v>
      </c>
    </row>
    <row r="49" customFormat="false" ht="43.5" hidden="false" customHeight="true" outlineLevel="0" collapsed="false">
      <c r="B49" s="53" t="n">
        <v>19</v>
      </c>
      <c r="C49" s="8" t="s">
        <v>479</v>
      </c>
      <c r="D49" s="7" t="s">
        <v>480</v>
      </c>
      <c r="E49" s="54" t="s">
        <v>481</v>
      </c>
      <c r="F49" s="7" t="str">
        <f aca="false">"Input (Suppliers table)"</f>
        <v>Input (Suppliers table)</v>
      </c>
      <c r="G49" s="62" t="n">
        <f aca="false">INDEX(Replenishment_Plan!$W$7:$W$54,$D$5)</f>
        <v>45</v>
      </c>
      <c r="H49" s="7" t="s">
        <v>482</v>
      </c>
      <c r="I49" s="7" t="str">
        <f aca="false">"Fixed cost of placing and receiving one order (admin, freight handling, goods receipt)."</f>
        <v>Fixed cost of placing and receiving one order (admin, freight handling, goods receipt).</v>
      </c>
      <c r="J49" s="56" t="s">
        <v>429</v>
      </c>
    </row>
    <row r="50" customFormat="false" ht="43.5" hidden="false" customHeight="true" outlineLevel="0" collapsed="false">
      <c r="B50" s="53" t="n">
        <v>20</v>
      </c>
      <c r="C50" s="8" t="s">
        <v>483</v>
      </c>
      <c r="D50" s="7" t="s">
        <v>484</v>
      </c>
      <c r="E50" s="54" t="s">
        <v>485</v>
      </c>
      <c r="F50" s="7" t="str">
        <f aca="false">"€"&amp;FIXED(INDEX(Replenishment_Plan!$V$7:$V$54,$D$5),2)&amp;" x "&amp;FIXED(Holding_Rate*100,1)&amp;"%"</f>
        <v>€6.00 x 20.0%</v>
      </c>
      <c r="G50" s="62" t="n">
        <f aca="false">INDEX(Replenishment_Plan!$V$7:$V$54,$D$5)*Holding_Rate</f>
        <v>1.2</v>
      </c>
      <c r="H50" s="7" t="s">
        <v>486</v>
      </c>
      <c r="I50" s="7" t="str">
        <f aca="false">"Keeping one unit in stock for a year costs about €"&amp;FIXED(G50,2)&amp;" (capital, storage, risk)."</f>
        <v>Keeping one unit in stock for a year costs about €1.20 (capital, storage, risk).</v>
      </c>
      <c r="J50" s="56" t="str">
        <f aca="false">IF(ABS(G50-INDEX(Replenishment_Plan!$Y$7:$Y$54,$D$5))&lt;0.0001,"OK","MISMATCH")</f>
        <v>OK</v>
      </c>
    </row>
    <row r="51" customFormat="false" ht="43.5" hidden="false" customHeight="true" outlineLevel="0" collapsed="false">
      <c r="B51" s="53" t="n">
        <v>21</v>
      </c>
      <c r="C51" s="8" t="s">
        <v>487</v>
      </c>
      <c r="D51" s="7" t="s">
        <v>488</v>
      </c>
      <c r="E51" s="54" t="s">
        <v>489</v>
      </c>
      <c r="F51" s="7" t="str">
        <f aca="false">"SQRT((2 x "&amp;FIXED(G48,0)&amp;" x "&amp;FIXED(G49,2)&amp;") / "&amp;FIXED(G50,2)&amp;")"</f>
        <v>SQRT((2 x 7,605 x 45.00) / 1.20)</v>
      </c>
      <c r="G51" s="58" t="n">
        <f aca="false">SQRT((2*G48*G49)/G50)</f>
        <v>755.231752510446</v>
      </c>
      <c r="H51" s="7" t="s">
        <v>428</v>
      </c>
      <c r="I51" s="7" t="str">
        <f aca="false">"EOQ suggests ordering approximately "&amp;FIXED(G51,0)&amp;" units (about "&amp;FIXED(G51/G33,1)&amp;" weeks of demand) when replenishment is triggered, balancing ordering cost against holding cost."</f>
        <v>EOQ suggests ordering approximately 755 units (about 5.2 weeks of demand) when replenishment is triggered, balancing ordering cost against holding cost.</v>
      </c>
      <c r="J51" s="56" t="str">
        <f aca="false">IF(ABS(G51-INDEX(Replenishment_Plan!$Z$7:$Z$54,$D$5))&lt;0.0001,"OK","MISMATCH")</f>
        <v>OK</v>
      </c>
    </row>
    <row r="52" customFormat="false" ht="43.5" hidden="false" customHeight="true" outlineLevel="0" collapsed="false">
      <c r="B52" s="53" t="n">
        <v>22</v>
      </c>
      <c r="C52" s="8" t="s">
        <v>490</v>
      </c>
      <c r="D52" s="7" t="s">
        <v>491</v>
      </c>
      <c r="E52" s="54" t="s">
        <v>492</v>
      </c>
      <c r="F52" s="7" t="str">
        <f aca="false">"ROUNDUP("&amp;FIXED(G51,1)&amp;" / "&amp;INDEX(Replenishment_Plan!$AA$7:$AA$54,$D$5)&amp;") x "&amp;INDEX(Replenishment_Plan!$AA$7:$AA$54,$D$5)</f>
        <v>ROUNDUP(755.2 / 20) x 20</v>
      </c>
      <c r="G52" s="55" t="n">
        <f aca="false">ROUNDUP(G51/INDEX(Replenishment_Plan!$AA$7:$AA$54,$D$5),0)*INDEX(Replenishment_Plan!$AA$7:$AA$54,$D$5)</f>
        <v>760</v>
      </c>
      <c r="H52" s="7" t="s">
        <v>428</v>
      </c>
      <c r="I52" s="7" t="str">
        <f aca="false">"Suppliers ship full cases, so EOQ is rounded up to the next full case."</f>
        <v>Suppliers ship full cases, so EOQ is rounded up to the next full case.</v>
      </c>
      <c r="J52" s="56" t="str">
        <f aca="false">IF(ABS(G52-INDEX(Replenishment_Plan!$AB$7:$AB$54,$D$5))&lt;0.0001,"OK","MISMATCH")</f>
        <v>OK</v>
      </c>
    </row>
    <row r="53" customFormat="false" ht="43.5" hidden="false" customHeight="true" outlineLevel="0" collapsed="false">
      <c r="B53" s="53" t="n">
        <v>23</v>
      </c>
      <c r="C53" s="8" t="s">
        <v>493</v>
      </c>
      <c r="D53" s="7" t="s">
        <v>494</v>
      </c>
      <c r="E53" s="54" t="s">
        <v>495</v>
      </c>
      <c r="F53" s="7" t="str">
        <f aca="false">"Trigger "&amp;G47&amp;" -&gt; "&amp;FIXED(G53,0)</f>
        <v>Trigger YES -&gt; 760</v>
      </c>
      <c r="G53" s="55" t="n">
        <f aca="false">IF(G47="YES",G52,0)</f>
        <v>760</v>
      </c>
      <c r="H53" s="7" t="s">
        <v>428</v>
      </c>
      <c r="I53" s="7" t="str">
        <f aca="false">IF(G53&gt;0,"Order "&amp;FIXED(G53,0)&amp;" units now; with a "&amp;G39&amp;"-week lead time it is received at the start of week "&amp;(G39+1)&amp;".","No order recommended this week.")</f>
        <v>Order 760 units now; with a 3-week lead time it is received at the start of week 4.</v>
      </c>
      <c r="J53" s="56" t="str">
        <f aca="false">IF(ABS(G53-INDEX(Replenishment_Plan!$AD$7:$AD$54,$D$5))&lt;0.0001,"OK","MISMATCH")</f>
        <v>OK</v>
      </c>
    </row>
    <row r="54" customFormat="false" ht="43.5" hidden="false" customHeight="true" outlineLevel="0" collapsed="false">
      <c r="B54" s="53" t="n">
        <v>24</v>
      </c>
      <c r="C54" s="8" t="s">
        <v>496</v>
      </c>
      <c r="D54" s="7" t="s">
        <v>497</v>
      </c>
      <c r="E54" s="54" t="s">
        <v>498</v>
      </c>
      <c r="F54" s="7" t="str">
        <f aca="false">FIXED(G46,0)&amp;" / "&amp;FIXED(G33,1)</f>
        <v>455 / 146.3</v>
      </c>
      <c r="G54" s="58" t="n">
        <f aca="false">IF(G33&gt;0,G46/G33,0)</f>
        <v>3.11111111111111</v>
      </c>
      <c r="H54" s="7" t="s">
        <v>90</v>
      </c>
      <c r="I54" s="7" t="str">
        <f aca="false">"Inventory position lasts about "&amp;FIXED(G54,1)&amp;" weeks at forecast demand (excess threshold "&amp;Excess_WoC&amp;" weeks). On-hand alone covers "&amp;FIXED(G43/G33,1)&amp;" weeks."</f>
        <v>Inventory position lasts about 3.1 weeks at forecast demand (excess threshold 12 weeks). On-hand alone covers 0.5 weeks.</v>
      </c>
      <c r="J54" s="56" t="str">
        <f aca="false">IF(ABS(G54-INDEX(Replenishment_Plan!$S$7:$S$54,$D$5))&lt;0.0001,"OK","MISMATCH")</f>
        <v>OK</v>
      </c>
    </row>
    <row r="55" customFormat="false" ht="43.5" hidden="false" customHeight="true" outlineLevel="0" collapsed="false">
      <c r="B55" s="53" t="n">
        <v>25</v>
      </c>
      <c r="C55" s="8" t="s">
        <v>499</v>
      </c>
      <c r="D55" s="7" t="s">
        <v>500</v>
      </c>
      <c r="E55" s="54" t="s">
        <v>501</v>
      </c>
      <c r="F55" s="7" t="str">
        <f aca="false">"First projected week at or below zero: "&amp;INDEX(Replenishment_Plan!$AE$7:$AE$54,$D$5)</f>
        <v>First projected week at or below zero: 9</v>
      </c>
      <c r="G55" s="55" t="n">
        <f aca="false">J71</f>
        <v>-540</v>
      </c>
      <c r="H55" s="7" t="s">
        <v>428</v>
      </c>
      <c r="I55" s="7" t="str">
        <f aca="false">IF(INDEX(Replenishment_Plan!$AF$7:$AF$54,$D$5)="YES","Stock is projected to run out within the lead time, before a new order could arrive.",IF(ISNUMBER(INDEX(Replenishment_Plan!$AE$7:$AE$54,$D$5)),"Projected zero in week "&amp;INDEX(Replenishment_Plan!$AE$7:$AE$54,$D$5)&amp;", after the lead time: the next weekly review will trigger an order before then.","Projected inventory stays above zero for 12 weeks."))</f>
        <v>Projected zero in week 9, after the lead time: the next weekly review will trigger an order before then.</v>
      </c>
      <c r="J55" s="56" t="str">
        <f aca="false">IF(ABS(G55-INDEX(Projection!$BD$7:$BD$54,$D$5))&lt;0.0001,"OK","MISMATCH")</f>
        <v>OK</v>
      </c>
    </row>
    <row r="56" customFormat="false" ht="43.5" hidden="false" customHeight="true" outlineLevel="0" collapsed="false">
      <c r="B56" s="53" t="n">
        <v>26</v>
      </c>
      <c r="C56" s="8" t="s">
        <v>502</v>
      </c>
      <c r="D56" s="7" t="s">
        <v>503</v>
      </c>
      <c r="E56" s="54" t="s">
        <v>504</v>
      </c>
      <c r="F56" s="7" t="str">
        <f aca="false">"See reason in section A"</f>
        <v>See reason in section A</v>
      </c>
      <c r="G56" s="57" t="str">
        <f aca="false">INDEX(Replenishment_Plan!$AG$7:$AG$54,$D$5)</f>
        <v>REORDER REQUIRED</v>
      </c>
      <c r="H56" s="7"/>
      <c r="I56" s="7" t="str">
        <f aca="false">INDEX(Replenishment_Plan!$AH$7:$AH$54,$D$5)</f>
        <v>Inventory position of 455 units is 24 units below the reorder point of 479 units. Replenishment is required. EOQ recommends approximately 755 units, rounded to 760 (case pack 20).</v>
      </c>
      <c r="J56" s="56" t="s">
        <v>429</v>
      </c>
    </row>
    <row r="58" customFormat="false" ht="15" hidden="false" customHeight="false" outlineLevel="0" collapsed="false">
      <c r="B58" s="4" t="s">
        <v>505</v>
      </c>
      <c r="C58" s="4"/>
      <c r="D58" s="4"/>
      <c r="E58" s="4"/>
      <c r="F58" s="4"/>
      <c r="G58" s="4"/>
      <c r="H58" s="4"/>
      <c r="I58" s="4"/>
      <c r="J58" s="4"/>
    </row>
    <row r="59" customFormat="false" ht="31.5" hidden="false" customHeight="true" outlineLevel="0" collapsed="false">
      <c r="C59" s="6" t="s">
        <v>506</v>
      </c>
      <c r="D59" s="6" t="s">
        <v>507</v>
      </c>
      <c r="E59" s="6" t="s">
        <v>508</v>
      </c>
      <c r="F59" s="6" t="s">
        <v>509</v>
      </c>
      <c r="G59" s="6" t="s">
        <v>510</v>
      </c>
      <c r="H59" s="6" t="s">
        <v>511</v>
      </c>
      <c r="I59" s="6" t="s">
        <v>512</v>
      </c>
      <c r="J59" s="6" t="s">
        <v>513</v>
      </c>
      <c r="K59" s="6" t="s">
        <v>451</v>
      </c>
      <c r="L59" s="6" t="s">
        <v>514</v>
      </c>
    </row>
    <row r="60" customFormat="false" ht="15" hidden="false" customHeight="false" outlineLevel="0" collapsed="false">
      <c r="C60" s="53" t="n">
        <v>1</v>
      </c>
      <c r="D60" s="19" t="n">
        <f aca="false">Weeks_History+C60</f>
        <v>105</v>
      </c>
      <c r="E60" s="63" t="n">
        <f aca="false">Snapshot_Date+7*(C60-1)</f>
        <v>46202</v>
      </c>
      <c r="F60" s="19" t="n">
        <f aca="false">G43-G45</f>
        <v>75</v>
      </c>
      <c r="G60" s="39" t="n">
        <f aca="false">INDEX(Projection!$I$7:$T$54,$D$5,C60)</f>
        <v>380</v>
      </c>
      <c r="H60" s="39" t="n">
        <f aca="false">INDEX(Projection!$U$7:$AF$54,$D$5,C60)</f>
        <v>0</v>
      </c>
      <c r="I60" s="28" t="n">
        <f aca="false">G33</f>
        <v>146.25</v>
      </c>
      <c r="J60" s="41" t="n">
        <f aca="false">F60+G60+H60-I60</f>
        <v>308.75</v>
      </c>
      <c r="K60" s="19" t="n">
        <f aca="false">G40</f>
        <v>40.0664803311094</v>
      </c>
      <c r="L60" s="19" t="n">
        <f aca="false">G42</f>
        <v>478.816480331109</v>
      </c>
    </row>
    <row r="61" customFormat="false" ht="15" hidden="false" customHeight="false" outlineLevel="0" collapsed="false">
      <c r="C61" s="53" t="n">
        <v>2</v>
      </c>
      <c r="D61" s="19" t="n">
        <f aca="false">Weeks_History+C61</f>
        <v>106</v>
      </c>
      <c r="E61" s="63" t="n">
        <f aca="false">Snapshot_Date+7*(C61-1)</f>
        <v>46209</v>
      </c>
      <c r="F61" s="19" t="n">
        <f aca="false">J60</f>
        <v>308.75</v>
      </c>
      <c r="G61" s="39" t="n">
        <f aca="false">INDEX(Projection!$I$7:$T$54,$D$5,C61)</f>
        <v>0</v>
      </c>
      <c r="H61" s="39" t="n">
        <f aca="false">INDEX(Projection!$U$7:$AF$54,$D$5,C61)</f>
        <v>0</v>
      </c>
      <c r="I61" s="28" t="n">
        <f aca="false">G33</f>
        <v>146.25</v>
      </c>
      <c r="J61" s="41" t="n">
        <f aca="false">F61+G61+H61-I61</f>
        <v>162.5</v>
      </c>
      <c r="K61" s="19" t="n">
        <f aca="false">G40</f>
        <v>40.0664803311094</v>
      </c>
      <c r="L61" s="19" t="n">
        <f aca="false">G42</f>
        <v>478.816480331109</v>
      </c>
    </row>
    <row r="62" customFormat="false" ht="15" hidden="false" customHeight="false" outlineLevel="0" collapsed="false">
      <c r="C62" s="53" t="n">
        <v>3</v>
      </c>
      <c r="D62" s="19" t="n">
        <f aca="false">Weeks_History+C62</f>
        <v>107</v>
      </c>
      <c r="E62" s="63" t="n">
        <f aca="false">Snapshot_Date+7*(C62-1)</f>
        <v>46216</v>
      </c>
      <c r="F62" s="19" t="n">
        <f aca="false">J61</f>
        <v>162.5</v>
      </c>
      <c r="G62" s="39" t="n">
        <f aca="false">INDEX(Projection!$I$7:$T$54,$D$5,C62)</f>
        <v>0</v>
      </c>
      <c r="H62" s="39" t="n">
        <f aca="false">INDEX(Projection!$U$7:$AF$54,$D$5,C62)</f>
        <v>0</v>
      </c>
      <c r="I62" s="28" t="n">
        <f aca="false">G33</f>
        <v>146.25</v>
      </c>
      <c r="J62" s="41" t="n">
        <f aca="false">F62+G62+H62-I62</f>
        <v>16.25</v>
      </c>
      <c r="K62" s="19" t="n">
        <f aca="false">G40</f>
        <v>40.0664803311094</v>
      </c>
      <c r="L62" s="19" t="n">
        <f aca="false">G42</f>
        <v>478.816480331109</v>
      </c>
    </row>
    <row r="63" customFormat="false" ht="15" hidden="false" customHeight="false" outlineLevel="0" collapsed="false">
      <c r="C63" s="53" t="n">
        <v>4</v>
      </c>
      <c r="D63" s="19" t="n">
        <f aca="false">Weeks_History+C63</f>
        <v>108</v>
      </c>
      <c r="E63" s="63" t="n">
        <f aca="false">Snapshot_Date+7*(C63-1)</f>
        <v>46223</v>
      </c>
      <c r="F63" s="19" t="n">
        <f aca="false">J62</f>
        <v>16.25</v>
      </c>
      <c r="G63" s="39" t="n">
        <f aca="false">INDEX(Projection!$I$7:$T$54,$D$5,C63)</f>
        <v>0</v>
      </c>
      <c r="H63" s="39" t="n">
        <f aca="false">INDEX(Projection!$U$7:$AF$54,$D$5,C63)</f>
        <v>760</v>
      </c>
      <c r="I63" s="28" t="n">
        <f aca="false">G33</f>
        <v>146.25</v>
      </c>
      <c r="J63" s="41" t="n">
        <f aca="false">F63+G63+H63-I63</f>
        <v>630</v>
      </c>
      <c r="K63" s="19" t="n">
        <f aca="false">G40</f>
        <v>40.0664803311094</v>
      </c>
      <c r="L63" s="19" t="n">
        <f aca="false">G42</f>
        <v>478.816480331109</v>
      </c>
    </row>
    <row r="64" customFormat="false" ht="15" hidden="false" customHeight="false" outlineLevel="0" collapsed="false">
      <c r="C64" s="53" t="n">
        <v>5</v>
      </c>
      <c r="D64" s="19" t="n">
        <f aca="false">Weeks_History+C64</f>
        <v>109</v>
      </c>
      <c r="E64" s="63" t="n">
        <f aca="false">Snapshot_Date+7*(C64-1)</f>
        <v>46230</v>
      </c>
      <c r="F64" s="19" t="n">
        <f aca="false">J63</f>
        <v>630</v>
      </c>
      <c r="G64" s="39" t="n">
        <f aca="false">INDEX(Projection!$I$7:$T$54,$D$5,C64)</f>
        <v>0</v>
      </c>
      <c r="H64" s="39" t="n">
        <f aca="false">INDEX(Projection!$U$7:$AF$54,$D$5,C64)</f>
        <v>0</v>
      </c>
      <c r="I64" s="28" t="n">
        <f aca="false">G33</f>
        <v>146.25</v>
      </c>
      <c r="J64" s="41" t="n">
        <f aca="false">F64+G64+H64-I64</f>
        <v>483.75</v>
      </c>
      <c r="K64" s="19" t="n">
        <f aca="false">G40</f>
        <v>40.0664803311094</v>
      </c>
      <c r="L64" s="19" t="n">
        <f aca="false">G42</f>
        <v>478.816480331109</v>
      </c>
    </row>
    <row r="65" customFormat="false" ht="15" hidden="false" customHeight="false" outlineLevel="0" collapsed="false">
      <c r="C65" s="53" t="n">
        <v>6</v>
      </c>
      <c r="D65" s="19" t="n">
        <f aca="false">Weeks_History+C65</f>
        <v>110</v>
      </c>
      <c r="E65" s="63" t="n">
        <f aca="false">Snapshot_Date+7*(C65-1)</f>
        <v>46237</v>
      </c>
      <c r="F65" s="19" t="n">
        <f aca="false">J64</f>
        <v>483.75</v>
      </c>
      <c r="G65" s="39" t="n">
        <f aca="false">INDEX(Projection!$I$7:$T$54,$D$5,C65)</f>
        <v>0</v>
      </c>
      <c r="H65" s="39" t="n">
        <f aca="false">INDEX(Projection!$U$7:$AF$54,$D$5,C65)</f>
        <v>0</v>
      </c>
      <c r="I65" s="28" t="n">
        <f aca="false">G33</f>
        <v>146.25</v>
      </c>
      <c r="J65" s="41" t="n">
        <f aca="false">F65+G65+H65-I65</f>
        <v>337.5</v>
      </c>
      <c r="K65" s="19" t="n">
        <f aca="false">G40</f>
        <v>40.0664803311094</v>
      </c>
      <c r="L65" s="19" t="n">
        <f aca="false">G42</f>
        <v>478.816480331109</v>
      </c>
    </row>
    <row r="66" customFormat="false" ht="15" hidden="false" customHeight="false" outlineLevel="0" collapsed="false">
      <c r="C66" s="53" t="n">
        <v>7</v>
      </c>
      <c r="D66" s="19" t="n">
        <f aca="false">Weeks_History+C66</f>
        <v>111</v>
      </c>
      <c r="E66" s="63" t="n">
        <f aca="false">Snapshot_Date+7*(C66-1)</f>
        <v>46244</v>
      </c>
      <c r="F66" s="19" t="n">
        <f aca="false">J65</f>
        <v>337.5</v>
      </c>
      <c r="G66" s="39" t="n">
        <f aca="false">INDEX(Projection!$I$7:$T$54,$D$5,C66)</f>
        <v>0</v>
      </c>
      <c r="H66" s="39" t="n">
        <f aca="false">INDEX(Projection!$U$7:$AF$54,$D$5,C66)</f>
        <v>0</v>
      </c>
      <c r="I66" s="28" t="n">
        <f aca="false">G33</f>
        <v>146.25</v>
      </c>
      <c r="J66" s="41" t="n">
        <f aca="false">F66+G66+H66-I66</f>
        <v>191.25</v>
      </c>
      <c r="K66" s="19" t="n">
        <f aca="false">G40</f>
        <v>40.0664803311094</v>
      </c>
      <c r="L66" s="19" t="n">
        <f aca="false">G42</f>
        <v>478.816480331109</v>
      </c>
    </row>
    <row r="67" customFormat="false" ht="15" hidden="false" customHeight="false" outlineLevel="0" collapsed="false">
      <c r="C67" s="53" t="n">
        <v>8</v>
      </c>
      <c r="D67" s="19" t="n">
        <f aca="false">Weeks_History+C67</f>
        <v>112</v>
      </c>
      <c r="E67" s="63" t="n">
        <f aca="false">Snapshot_Date+7*(C67-1)</f>
        <v>46251</v>
      </c>
      <c r="F67" s="19" t="n">
        <f aca="false">J66</f>
        <v>191.25</v>
      </c>
      <c r="G67" s="39" t="n">
        <f aca="false">INDEX(Projection!$I$7:$T$54,$D$5,C67)</f>
        <v>0</v>
      </c>
      <c r="H67" s="39" t="n">
        <f aca="false">INDEX(Projection!$U$7:$AF$54,$D$5,C67)</f>
        <v>0</v>
      </c>
      <c r="I67" s="28" t="n">
        <f aca="false">G33</f>
        <v>146.25</v>
      </c>
      <c r="J67" s="41" t="n">
        <f aca="false">F67+G67+H67-I67</f>
        <v>45</v>
      </c>
      <c r="K67" s="19" t="n">
        <f aca="false">G40</f>
        <v>40.0664803311094</v>
      </c>
      <c r="L67" s="19" t="n">
        <f aca="false">G42</f>
        <v>478.816480331109</v>
      </c>
    </row>
    <row r="68" customFormat="false" ht="15" hidden="false" customHeight="false" outlineLevel="0" collapsed="false">
      <c r="C68" s="53" t="n">
        <v>9</v>
      </c>
      <c r="D68" s="19" t="n">
        <f aca="false">Weeks_History+C68</f>
        <v>113</v>
      </c>
      <c r="E68" s="63" t="n">
        <f aca="false">Snapshot_Date+7*(C68-1)</f>
        <v>46258</v>
      </c>
      <c r="F68" s="19" t="n">
        <f aca="false">J67</f>
        <v>45</v>
      </c>
      <c r="G68" s="39" t="n">
        <f aca="false">INDEX(Projection!$I$7:$T$54,$D$5,C68)</f>
        <v>0</v>
      </c>
      <c r="H68" s="39" t="n">
        <f aca="false">INDEX(Projection!$U$7:$AF$54,$D$5,C68)</f>
        <v>0</v>
      </c>
      <c r="I68" s="28" t="n">
        <f aca="false">G33</f>
        <v>146.25</v>
      </c>
      <c r="J68" s="41" t="n">
        <f aca="false">F68+G68+H68-I68</f>
        <v>-101.25</v>
      </c>
      <c r="K68" s="19" t="n">
        <f aca="false">G40</f>
        <v>40.0664803311094</v>
      </c>
      <c r="L68" s="19" t="n">
        <f aca="false">G42</f>
        <v>478.816480331109</v>
      </c>
    </row>
    <row r="69" customFormat="false" ht="15" hidden="false" customHeight="false" outlineLevel="0" collapsed="false">
      <c r="C69" s="53" t="n">
        <v>10</v>
      </c>
      <c r="D69" s="19" t="n">
        <f aca="false">Weeks_History+C69</f>
        <v>114</v>
      </c>
      <c r="E69" s="63" t="n">
        <f aca="false">Snapshot_Date+7*(C69-1)</f>
        <v>46265</v>
      </c>
      <c r="F69" s="19" t="n">
        <f aca="false">J68</f>
        <v>-101.25</v>
      </c>
      <c r="G69" s="39" t="n">
        <f aca="false">INDEX(Projection!$I$7:$T$54,$D$5,C69)</f>
        <v>0</v>
      </c>
      <c r="H69" s="39" t="n">
        <f aca="false">INDEX(Projection!$U$7:$AF$54,$D$5,C69)</f>
        <v>0</v>
      </c>
      <c r="I69" s="28" t="n">
        <f aca="false">G33</f>
        <v>146.25</v>
      </c>
      <c r="J69" s="41" t="n">
        <f aca="false">F69+G69+H69-I69</f>
        <v>-247.5</v>
      </c>
      <c r="K69" s="19" t="n">
        <f aca="false">G40</f>
        <v>40.0664803311094</v>
      </c>
      <c r="L69" s="19" t="n">
        <f aca="false">G42</f>
        <v>478.816480331109</v>
      </c>
    </row>
    <row r="70" customFormat="false" ht="15" hidden="false" customHeight="false" outlineLevel="0" collapsed="false">
      <c r="C70" s="53" t="n">
        <v>11</v>
      </c>
      <c r="D70" s="19" t="n">
        <f aca="false">Weeks_History+C70</f>
        <v>115</v>
      </c>
      <c r="E70" s="63" t="n">
        <f aca="false">Snapshot_Date+7*(C70-1)</f>
        <v>46272</v>
      </c>
      <c r="F70" s="19" t="n">
        <f aca="false">J69</f>
        <v>-247.5</v>
      </c>
      <c r="G70" s="39" t="n">
        <f aca="false">INDEX(Projection!$I$7:$T$54,$D$5,C70)</f>
        <v>0</v>
      </c>
      <c r="H70" s="39" t="n">
        <f aca="false">INDEX(Projection!$U$7:$AF$54,$D$5,C70)</f>
        <v>0</v>
      </c>
      <c r="I70" s="28" t="n">
        <f aca="false">G33</f>
        <v>146.25</v>
      </c>
      <c r="J70" s="41" t="n">
        <f aca="false">F70+G70+H70-I70</f>
        <v>-393.75</v>
      </c>
      <c r="K70" s="19" t="n">
        <f aca="false">G40</f>
        <v>40.0664803311094</v>
      </c>
      <c r="L70" s="19" t="n">
        <f aca="false">G42</f>
        <v>478.816480331109</v>
      </c>
    </row>
    <row r="71" customFormat="false" ht="15" hidden="false" customHeight="false" outlineLevel="0" collapsed="false">
      <c r="C71" s="53" t="n">
        <v>12</v>
      </c>
      <c r="D71" s="19" t="n">
        <f aca="false">Weeks_History+C71</f>
        <v>116</v>
      </c>
      <c r="E71" s="63" t="n">
        <f aca="false">Snapshot_Date+7*(C71-1)</f>
        <v>46279</v>
      </c>
      <c r="F71" s="19" t="n">
        <f aca="false">J70</f>
        <v>-393.75</v>
      </c>
      <c r="G71" s="39" t="n">
        <f aca="false">INDEX(Projection!$I$7:$T$54,$D$5,C71)</f>
        <v>0</v>
      </c>
      <c r="H71" s="39" t="n">
        <f aca="false">INDEX(Projection!$U$7:$AF$54,$D$5,C71)</f>
        <v>0</v>
      </c>
      <c r="I71" s="28" t="n">
        <f aca="false">G33</f>
        <v>146.25</v>
      </c>
      <c r="J71" s="41" t="n">
        <f aca="false">F71+G71+H71-I71</f>
        <v>-540</v>
      </c>
      <c r="K71" s="19" t="n">
        <f aca="false">G40</f>
        <v>40.0664803311094</v>
      </c>
      <c r="L71" s="19" t="n">
        <f aca="false">G42</f>
        <v>478.816480331109</v>
      </c>
    </row>
    <row r="73" customFormat="false" ht="15" hidden="false" customHeight="false" outlineLevel="0" collapsed="false">
      <c r="B73" s="4" t="s">
        <v>515</v>
      </c>
      <c r="C73" s="4"/>
      <c r="D73" s="4"/>
      <c r="E73" s="4"/>
      <c r="F73" s="4"/>
      <c r="G73" s="4"/>
      <c r="H73" s="4"/>
      <c r="I73" s="4"/>
      <c r="J73" s="4"/>
      <c r="K73" s="4"/>
      <c r="L73" s="4"/>
    </row>
    <row r="100" customFormat="false" ht="15" hidden="false" customHeight="false" outlineLevel="0" collapsed="false">
      <c r="B100" s="4" t="s">
        <v>516</v>
      </c>
      <c r="C100" s="4"/>
      <c r="D100" s="4"/>
      <c r="E100" s="4"/>
      <c r="F100" s="4"/>
      <c r="G100" s="4"/>
      <c r="H100" s="4"/>
      <c r="I100" s="4"/>
      <c r="J100" s="4"/>
    </row>
    <row r="101" customFormat="false" ht="31.5" hidden="false" customHeight="true" outlineLevel="0" collapsed="false">
      <c r="C101" s="6" t="s">
        <v>507</v>
      </c>
      <c r="D101" s="6" t="s">
        <v>508</v>
      </c>
      <c r="E101" s="6" t="s">
        <v>517</v>
      </c>
      <c r="F101" s="6" t="s">
        <v>407</v>
      </c>
      <c r="G101" s="6" t="s">
        <v>408</v>
      </c>
      <c r="H101" s="6" t="s">
        <v>409</v>
      </c>
      <c r="I101" s="6" t="s">
        <v>410</v>
      </c>
      <c r="J101" s="6" t="s">
        <v>518</v>
      </c>
      <c r="K101" s="6" t="s">
        <v>519</v>
      </c>
    </row>
    <row r="102" customFormat="false" ht="15" hidden="false" customHeight="false" outlineLevel="0" collapsed="false">
      <c r="C102" s="53" t="n">
        <v>79</v>
      </c>
      <c r="D102" s="63" t="n">
        <f aca="false">INDEX(Demand_History!$B:$B,$D$6+C102-1)</f>
        <v>46020</v>
      </c>
      <c r="E102" s="39" t="n">
        <f aca="false">INDEX(Demand_History!$D:$D,$D$6+C102-1)</f>
        <v>182</v>
      </c>
      <c r="F102" s="35" t="n">
        <f aca="false">INDEX(Forecast_Walkforward!$D:$D,$D$6+C102-1)</f>
        <v>150</v>
      </c>
      <c r="G102" s="35" t="n">
        <f aca="false">INDEX(Forecast_Walkforward!$E:$E,$D$6+C102-1)</f>
        <v>157.75</v>
      </c>
      <c r="H102" s="35" t="n">
        <f aca="false">INDEX(Forecast_Walkforward!$F:$F,$D$6+C102-1)</f>
        <v>158.375</v>
      </c>
      <c r="I102" s="35" t="n">
        <f aca="false">INDEX(Forecast_Walkforward!$G:$G,$D$6+C102-1)</f>
        <v>157.48729631894</v>
      </c>
      <c r="J102" s="30" t="n">
        <f aca="false">INDEX(F102:I102,$D$7)</f>
        <v>157.75</v>
      </c>
      <c r="K102" s="28" t="n">
        <f aca="false">J102-E102</f>
        <v>-24.25</v>
      </c>
    </row>
    <row r="103" customFormat="false" ht="15" hidden="false" customHeight="false" outlineLevel="0" collapsed="false">
      <c r="C103" s="53" t="n">
        <v>80</v>
      </c>
      <c r="D103" s="63" t="n">
        <f aca="false">INDEX(Demand_History!$B:$B,$D$6+C103-1)</f>
        <v>46027</v>
      </c>
      <c r="E103" s="39" t="n">
        <f aca="false">INDEX(Demand_History!$D:$D,$D$6+C103-1)</f>
        <v>137</v>
      </c>
      <c r="F103" s="35" t="n">
        <f aca="false">INDEX(Forecast_Walkforward!$D:$D,$D$6+C103-1)</f>
        <v>182</v>
      </c>
      <c r="G103" s="35" t="n">
        <f aca="false">INDEX(Forecast_Walkforward!$E:$E,$D$6+C103-1)</f>
        <v>164.5</v>
      </c>
      <c r="H103" s="35" t="n">
        <f aca="false">INDEX(Forecast_Walkforward!$F:$F,$D$6+C103-1)</f>
        <v>162.5</v>
      </c>
      <c r="I103" s="35" t="n">
        <f aca="false">INDEX(Forecast_Walkforward!$G:$G,$D$6+C103-1)</f>
        <v>164.841107423258</v>
      </c>
      <c r="J103" s="30" t="n">
        <f aca="false">INDEX(F103:I103,$D$7)</f>
        <v>164.5</v>
      </c>
      <c r="K103" s="28" t="n">
        <f aca="false">J103-E103</f>
        <v>27.5</v>
      </c>
    </row>
    <row r="104" customFormat="false" ht="15" hidden="false" customHeight="false" outlineLevel="0" collapsed="false">
      <c r="C104" s="53" t="n">
        <v>81</v>
      </c>
      <c r="D104" s="63" t="n">
        <f aca="false">INDEX(Demand_History!$B:$B,$D$6+C104-1)</f>
        <v>46034</v>
      </c>
      <c r="E104" s="39" t="n">
        <f aca="false">INDEX(Demand_History!$D:$D,$D$6+C104-1)</f>
        <v>160</v>
      </c>
      <c r="F104" s="35" t="n">
        <f aca="false">INDEX(Forecast_Walkforward!$D:$D,$D$6+C104-1)</f>
        <v>137</v>
      </c>
      <c r="G104" s="35" t="n">
        <f aca="false">INDEX(Forecast_Walkforward!$E:$E,$D$6+C104-1)</f>
        <v>160</v>
      </c>
      <c r="H104" s="35" t="n">
        <f aca="false">INDEX(Forecast_Walkforward!$F:$F,$D$6+C104-1)</f>
        <v>156.75</v>
      </c>
      <c r="I104" s="35" t="n">
        <f aca="false">INDEX(Forecast_Walkforward!$G:$G,$D$6+C104-1)</f>
        <v>156.48877519628</v>
      </c>
      <c r="J104" s="30" t="n">
        <f aca="false">INDEX(F104:I104,$D$7)</f>
        <v>160</v>
      </c>
      <c r="K104" s="28" t="n">
        <f aca="false">J104-E104</f>
        <v>0</v>
      </c>
    </row>
    <row r="105" customFormat="false" ht="15" hidden="false" customHeight="false" outlineLevel="0" collapsed="false">
      <c r="C105" s="53" t="n">
        <v>82</v>
      </c>
      <c r="D105" s="63" t="n">
        <f aca="false">INDEX(Demand_History!$B:$B,$D$6+C105-1)</f>
        <v>46041</v>
      </c>
      <c r="E105" s="39" t="n">
        <f aca="false">INDEX(Demand_History!$D:$D,$D$6+C105-1)</f>
        <v>135</v>
      </c>
      <c r="F105" s="35" t="n">
        <f aca="false">INDEX(Forecast_Walkforward!$D:$D,$D$6+C105-1)</f>
        <v>160</v>
      </c>
      <c r="G105" s="35" t="n">
        <f aca="false">INDEX(Forecast_Walkforward!$E:$E,$D$6+C105-1)</f>
        <v>157.25</v>
      </c>
      <c r="H105" s="35" t="n">
        <f aca="false">INDEX(Forecast_Walkforward!$F:$F,$D$6+C105-1)</f>
        <v>157.375</v>
      </c>
      <c r="I105" s="35" t="n">
        <f aca="false">INDEX(Forecast_Walkforward!$G:$G,$D$6+C105-1)</f>
        <v>157.542142637396</v>
      </c>
      <c r="J105" s="30" t="n">
        <f aca="false">INDEX(F105:I105,$D$7)</f>
        <v>157.25</v>
      </c>
      <c r="K105" s="28" t="n">
        <f aca="false">J105-E105</f>
        <v>22.25</v>
      </c>
    </row>
    <row r="106" customFormat="false" ht="15" hidden="false" customHeight="false" outlineLevel="0" collapsed="false">
      <c r="C106" s="53" t="n">
        <v>83</v>
      </c>
      <c r="D106" s="63" t="n">
        <f aca="false">INDEX(Demand_History!$B:$B,$D$6+C106-1)</f>
        <v>46048</v>
      </c>
      <c r="E106" s="39" t="n">
        <f aca="false">INDEX(Demand_History!$D:$D,$D$6+C106-1)</f>
        <v>177</v>
      </c>
      <c r="F106" s="35" t="n">
        <f aca="false">INDEX(Forecast_Walkforward!$D:$D,$D$6+C106-1)</f>
        <v>135</v>
      </c>
      <c r="G106" s="35" t="n">
        <f aca="false">INDEX(Forecast_Walkforward!$E:$E,$D$6+C106-1)</f>
        <v>153.5</v>
      </c>
      <c r="H106" s="35" t="n">
        <f aca="false">INDEX(Forecast_Walkforward!$F:$F,$D$6+C106-1)</f>
        <v>155.625</v>
      </c>
      <c r="I106" s="35" t="n">
        <f aca="false">INDEX(Forecast_Walkforward!$G:$G,$D$6+C106-1)</f>
        <v>150.779499846177</v>
      </c>
      <c r="J106" s="30" t="n">
        <f aca="false">INDEX(F106:I106,$D$7)</f>
        <v>153.5</v>
      </c>
      <c r="K106" s="28" t="n">
        <f aca="false">J106-E106</f>
        <v>-23.5</v>
      </c>
    </row>
    <row r="107" customFormat="false" ht="15" hidden="false" customHeight="false" outlineLevel="0" collapsed="false">
      <c r="C107" s="53" t="n">
        <v>84</v>
      </c>
      <c r="D107" s="63" t="n">
        <f aca="false">INDEX(Demand_History!$B:$B,$D$6+C107-1)</f>
        <v>46055</v>
      </c>
      <c r="E107" s="39" t="n">
        <f aca="false">INDEX(Demand_History!$D:$D,$D$6+C107-1)</f>
        <v>145</v>
      </c>
      <c r="F107" s="35" t="n">
        <f aca="false">INDEX(Forecast_Walkforward!$D:$D,$D$6+C107-1)</f>
        <v>177</v>
      </c>
      <c r="G107" s="35" t="n">
        <f aca="false">INDEX(Forecast_Walkforward!$E:$E,$D$6+C107-1)</f>
        <v>152.25</v>
      </c>
      <c r="H107" s="35" t="n">
        <f aca="false">INDEX(Forecast_Walkforward!$F:$F,$D$6+C107-1)</f>
        <v>158.375</v>
      </c>
      <c r="I107" s="35" t="n">
        <f aca="false">INDEX(Forecast_Walkforward!$G:$G,$D$6+C107-1)</f>
        <v>158.645649892324</v>
      </c>
      <c r="J107" s="30" t="n">
        <f aca="false">INDEX(F107:I107,$D$7)</f>
        <v>152.25</v>
      </c>
      <c r="K107" s="28" t="n">
        <f aca="false">J107-E107</f>
        <v>7.25</v>
      </c>
    </row>
    <row r="108" customFormat="false" ht="15" hidden="false" customHeight="false" outlineLevel="0" collapsed="false">
      <c r="C108" s="53" t="n">
        <v>85</v>
      </c>
      <c r="D108" s="63" t="n">
        <f aca="false">INDEX(Demand_History!$B:$B,$D$6+C108-1)</f>
        <v>46062</v>
      </c>
      <c r="E108" s="39" t="n">
        <f aca="false">INDEX(Demand_History!$D:$D,$D$6+C108-1)</f>
        <v>149</v>
      </c>
      <c r="F108" s="35" t="n">
        <f aca="false">INDEX(Forecast_Walkforward!$D:$D,$D$6+C108-1)</f>
        <v>145</v>
      </c>
      <c r="G108" s="35" t="n">
        <f aca="false">INDEX(Forecast_Walkforward!$E:$E,$D$6+C108-1)</f>
        <v>154.25</v>
      </c>
      <c r="H108" s="35" t="n">
        <f aca="false">INDEX(Forecast_Walkforward!$F:$F,$D$6+C108-1)</f>
        <v>157.125</v>
      </c>
      <c r="I108" s="35" t="n">
        <f aca="false">INDEX(Forecast_Walkforward!$G:$G,$D$6+C108-1)</f>
        <v>154.551954924627</v>
      </c>
      <c r="J108" s="30" t="n">
        <f aca="false">INDEX(F108:I108,$D$7)</f>
        <v>154.25</v>
      </c>
      <c r="K108" s="28" t="n">
        <f aca="false">J108-E108</f>
        <v>5.25</v>
      </c>
    </row>
    <row r="109" customFormat="false" ht="15" hidden="false" customHeight="false" outlineLevel="0" collapsed="false">
      <c r="C109" s="53" t="n">
        <v>86</v>
      </c>
      <c r="D109" s="63" t="n">
        <f aca="false">INDEX(Demand_History!$B:$B,$D$6+C109-1)</f>
        <v>46069</v>
      </c>
      <c r="E109" s="39" t="n">
        <f aca="false">INDEX(Demand_History!$D:$D,$D$6+C109-1)</f>
        <v>164</v>
      </c>
      <c r="F109" s="35" t="n">
        <f aca="false">INDEX(Forecast_Walkforward!$D:$D,$D$6+C109-1)</f>
        <v>149</v>
      </c>
      <c r="G109" s="35" t="n">
        <f aca="false">INDEX(Forecast_Walkforward!$E:$E,$D$6+C109-1)</f>
        <v>151.5</v>
      </c>
      <c r="H109" s="35" t="n">
        <f aca="false">INDEX(Forecast_Walkforward!$F:$F,$D$6+C109-1)</f>
        <v>154.375</v>
      </c>
      <c r="I109" s="35" t="n">
        <f aca="false">INDEX(Forecast_Walkforward!$G:$G,$D$6+C109-1)</f>
        <v>152.886368447239</v>
      </c>
      <c r="J109" s="30" t="n">
        <f aca="false">INDEX(F109:I109,$D$7)</f>
        <v>151.5</v>
      </c>
      <c r="K109" s="28" t="n">
        <f aca="false">J109-E109</f>
        <v>-12.5</v>
      </c>
    </row>
    <row r="110" customFormat="false" ht="15" hidden="false" customHeight="false" outlineLevel="0" collapsed="false">
      <c r="C110" s="53" t="n">
        <v>87</v>
      </c>
      <c r="D110" s="63" t="n">
        <f aca="false">INDEX(Demand_History!$B:$B,$D$6+C110-1)</f>
        <v>46076</v>
      </c>
      <c r="E110" s="39" t="n">
        <f aca="false">INDEX(Demand_History!$D:$D,$D$6+C110-1)</f>
        <v>169</v>
      </c>
      <c r="F110" s="35" t="n">
        <f aca="false">INDEX(Forecast_Walkforward!$D:$D,$D$6+C110-1)</f>
        <v>164</v>
      </c>
      <c r="G110" s="35" t="n">
        <f aca="false">INDEX(Forecast_Walkforward!$E:$E,$D$6+C110-1)</f>
        <v>158.75</v>
      </c>
      <c r="H110" s="35" t="n">
        <f aca="false">INDEX(Forecast_Walkforward!$F:$F,$D$6+C110-1)</f>
        <v>156.125</v>
      </c>
      <c r="I110" s="35" t="n">
        <f aca="false">INDEX(Forecast_Walkforward!$G:$G,$D$6+C110-1)</f>
        <v>156.220457913067</v>
      </c>
      <c r="J110" s="30" t="n">
        <f aca="false">INDEX(F110:I110,$D$7)</f>
        <v>158.75</v>
      </c>
      <c r="K110" s="28" t="n">
        <f aca="false">J110-E110</f>
        <v>-10.25</v>
      </c>
    </row>
    <row r="111" customFormat="false" ht="15" hidden="false" customHeight="false" outlineLevel="0" collapsed="false">
      <c r="C111" s="53" t="n">
        <v>88</v>
      </c>
      <c r="D111" s="63" t="n">
        <f aca="false">INDEX(Demand_History!$B:$B,$D$6+C111-1)</f>
        <v>46083</v>
      </c>
      <c r="E111" s="39" t="n">
        <f aca="false">INDEX(Demand_History!$D:$D,$D$6+C111-1)</f>
        <v>133</v>
      </c>
      <c r="F111" s="35" t="n">
        <f aca="false">INDEX(Forecast_Walkforward!$D:$D,$D$6+C111-1)</f>
        <v>169</v>
      </c>
      <c r="G111" s="35" t="n">
        <f aca="false">INDEX(Forecast_Walkforward!$E:$E,$D$6+C111-1)</f>
        <v>156.75</v>
      </c>
      <c r="H111" s="35" t="n">
        <f aca="false">INDEX(Forecast_Walkforward!$F:$F,$D$6+C111-1)</f>
        <v>154.5</v>
      </c>
      <c r="I111" s="35" t="n">
        <f aca="false">INDEX(Forecast_Walkforward!$G:$G,$D$6+C111-1)</f>
        <v>160.054320539147</v>
      </c>
      <c r="J111" s="30" t="n">
        <f aca="false">INDEX(F111:I111,$D$7)</f>
        <v>156.75</v>
      </c>
      <c r="K111" s="28" t="n">
        <f aca="false">J111-E111</f>
        <v>23.75</v>
      </c>
    </row>
    <row r="112" customFormat="false" ht="15" hidden="false" customHeight="false" outlineLevel="0" collapsed="false">
      <c r="C112" s="53" t="n">
        <v>89</v>
      </c>
      <c r="D112" s="63" t="n">
        <f aca="false">INDEX(Demand_History!$B:$B,$D$6+C112-1)</f>
        <v>46090</v>
      </c>
      <c r="E112" s="39" t="n">
        <f aca="false">INDEX(Demand_History!$D:$D,$D$6+C112-1)</f>
        <v>145</v>
      </c>
      <c r="F112" s="35" t="n">
        <f aca="false">INDEX(Forecast_Walkforward!$D:$D,$D$6+C112-1)</f>
        <v>133</v>
      </c>
      <c r="G112" s="35" t="n">
        <f aca="false">INDEX(Forecast_Walkforward!$E:$E,$D$6+C112-1)</f>
        <v>153.75</v>
      </c>
      <c r="H112" s="35" t="n">
        <f aca="false">INDEX(Forecast_Walkforward!$F:$F,$D$6+C112-1)</f>
        <v>154</v>
      </c>
      <c r="I112" s="35" t="n">
        <f aca="false">INDEX(Forecast_Walkforward!$G:$G,$D$6+C112-1)</f>
        <v>151.938024377403</v>
      </c>
      <c r="J112" s="30" t="n">
        <f aca="false">INDEX(F112:I112,$D$7)</f>
        <v>153.75</v>
      </c>
      <c r="K112" s="28" t="n">
        <f aca="false">J112-E112</f>
        <v>8.75</v>
      </c>
    </row>
    <row r="113" customFormat="false" ht="15" hidden="false" customHeight="false" outlineLevel="0" collapsed="false">
      <c r="C113" s="53" t="n">
        <v>90</v>
      </c>
      <c r="D113" s="63" t="n">
        <f aca="false">INDEX(Demand_History!$B:$B,$D$6+C113-1)</f>
        <v>46097</v>
      </c>
      <c r="E113" s="39" t="n">
        <f aca="false">INDEX(Demand_History!$D:$D,$D$6+C113-1)</f>
        <v>129</v>
      </c>
      <c r="F113" s="35" t="n">
        <f aca="false">INDEX(Forecast_Walkforward!$D:$D,$D$6+C113-1)</f>
        <v>145</v>
      </c>
      <c r="G113" s="35" t="n">
        <f aca="false">INDEX(Forecast_Walkforward!$E:$E,$D$6+C113-1)</f>
        <v>152.75</v>
      </c>
      <c r="H113" s="35" t="n">
        <f aca="false">INDEX(Forecast_Walkforward!$F:$F,$D$6+C113-1)</f>
        <v>152.125</v>
      </c>
      <c r="I113" s="35" t="n">
        <f aca="false">INDEX(Forecast_Walkforward!$G:$G,$D$6+C113-1)</f>
        <v>149.856617064182</v>
      </c>
      <c r="J113" s="30" t="n">
        <f aca="false">INDEX(F113:I113,$D$7)</f>
        <v>152.75</v>
      </c>
      <c r="K113" s="28" t="n">
        <f aca="false">J113-E113</f>
        <v>23.75</v>
      </c>
    </row>
    <row r="114" customFormat="false" ht="15" hidden="false" customHeight="false" outlineLevel="0" collapsed="false">
      <c r="C114" s="53" t="n">
        <v>91</v>
      </c>
      <c r="D114" s="63" t="n">
        <f aca="false">INDEX(Demand_History!$B:$B,$D$6+C114-1)</f>
        <v>46104</v>
      </c>
      <c r="E114" s="39" t="n">
        <f aca="false">INDEX(Demand_History!$D:$D,$D$6+C114-1)</f>
        <v>152</v>
      </c>
      <c r="F114" s="35" t="n">
        <f aca="false">INDEX(Forecast_Walkforward!$D:$D,$D$6+C114-1)</f>
        <v>129</v>
      </c>
      <c r="G114" s="35" t="n">
        <f aca="false">INDEX(Forecast_Walkforward!$E:$E,$D$6+C114-1)</f>
        <v>144</v>
      </c>
      <c r="H114" s="35" t="n">
        <f aca="false">INDEX(Forecast_Walkforward!$F:$F,$D$6+C114-1)</f>
        <v>151.375</v>
      </c>
      <c r="I114" s="35" t="n">
        <f aca="false">INDEX(Forecast_Walkforward!$G:$G,$D$6+C114-1)</f>
        <v>143.599631944927</v>
      </c>
      <c r="J114" s="30" t="n">
        <f aca="false">INDEX(F114:I114,$D$7)</f>
        <v>144</v>
      </c>
      <c r="K114" s="28" t="n">
        <f aca="false">J114-E114</f>
        <v>-8</v>
      </c>
    </row>
    <row r="115" customFormat="false" ht="15" hidden="false" customHeight="false" outlineLevel="0" collapsed="false">
      <c r="C115" s="53" t="n">
        <v>92</v>
      </c>
      <c r="D115" s="63" t="n">
        <f aca="false">INDEX(Demand_History!$B:$B,$D$6+C115-1)</f>
        <v>46111</v>
      </c>
      <c r="E115" s="39" t="n">
        <f aca="false">INDEX(Demand_History!$D:$D,$D$6+C115-1)</f>
        <v>148</v>
      </c>
      <c r="F115" s="35" t="n">
        <f aca="false">INDEX(Forecast_Walkforward!$D:$D,$D$6+C115-1)</f>
        <v>152</v>
      </c>
      <c r="G115" s="35" t="n">
        <f aca="false">INDEX(Forecast_Walkforward!$E:$E,$D$6+C115-1)</f>
        <v>139.75</v>
      </c>
      <c r="H115" s="35" t="n">
        <f aca="false">INDEX(Forecast_Walkforward!$F:$F,$D$6+C115-1)</f>
        <v>148.25</v>
      </c>
      <c r="I115" s="35" t="n">
        <f aca="false">INDEX(Forecast_Walkforward!$G:$G,$D$6+C115-1)</f>
        <v>146.119742361449</v>
      </c>
      <c r="J115" s="30" t="n">
        <f aca="false">INDEX(F115:I115,$D$7)</f>
        <v>139.75</v>
      </c>
      <c r="K115" s="28" t="n">
        <f aca="false">J115-E115</f>
        <v>-8.25</v>
      </c>
    </row>
    <row r="116" customFormat="false" ht="15" hidden="false" customHeight="false" outlineLevel="0" collapsed="false">
      <c r="C116" s="53" t="n">
        <v>93</v>
      </c>
      <c r="D116" s="63" t="n">
        <f aca="false">INDEX(Demand_History!$B:$B,$D$6+C116-1)</f>
        <v>46118</v>
      </c>
      <c r="E116" s="39" t="n">
        <f aca="false">INDEX(Demand_History!$D:$D,$D$6+C116-1)</f>
        <v>145</v>
      </c>
      <c r="F116" s="35" t="n">
        <f aca="false">INDEX(Forecast_Walkforward!$D:$D,$D$6+C116-1)</f>
        <v>148</v>
      </c>
      <c r="G116" s="35" t="n">
        <f aca="false">INDEX(Forecast_Walkforward!$E:$E,$D$6+C116-1)</f>
        <v>143.5</v>
      </c>
      <c r="H116" s="35" t="n">
        <f aca="false">INDEX(Forecast_Walkforward!$F:$F,$D$6+C116-1)</f>
        <v>148.625</v>
      </c>
      <c r="I116" s="35" t="n">
        <f aca="false">INDEX(Forecast_Walkforward!$G:$G,$D$6+C116-1)</f>
        <v>146.683819653014</v>
      </c>
      <c r="J116" s="30" t="n">
        <f aca="false">INDEX(F116:I116,$D$7)</f>
        <v>143.5</v>
      </c>
      <c r="K116" s="28" t="n">
        <f aca="false">J116-E116</f>
        <v>-1.5</v>
      </c>
    </row>
    <row r="117" customFormat="false" ht="15" hidden="false" customHeight="false" outlineLevel="0" collapsed="false">
      <c r="C117" s="53" t="n">
        <v>94</v>
      </c>
      <c r="D117" s="63" t="n">
        <f aca="false">INDEX(Demand_History!$B:$B,$D$6+C117-1)</f>
        <v>46125</v>
      </c>
      <c r="E117" s="39" t="n">
        <f aca="false">INDEX(Demand_History!$D:$D,$D$6+C117-1)</f>
        <v>140</v>
      </c>
      <c r="F117" s="35" t="n">
        <f aca="false">INDEX(Forecast_Walkforward!$D:$D,$D$6+C117-1)</f>
        <v>145</v>
      </c>
      <c r="G117" s="35" t="n">
        <f aca="false">INDEX(Forecast_Walkforward!$E:$E,$D$6+C117-1)</f>
        <v>143.5</v>
      </c>
      <c r="H117" s="35" t="n">
        <f aca="false">INDEX(Forecast_Walkforward!$F:$F,$D$6+C117-1)</f>
        <v>148.125</v>
      </c>
      <c r="I117" s="35" t="n">
        <f aca="false">INDEX(Forecast_Walkforward!$G:$G,$D$6+C117-1)</f>
        <v>146.17867375711</v>
      </c>
      <c r="J117" s="30" t="n">
        <f aca="false">INDEX(F117:I117,$D$7)</f>
        <v>143.5</v>
      </c>
      <c r="K117" s="28" t="n">
        <f aca="false">J117-E117</f>
        <v>3.5</v>
      </c>
    </row>
    <row r="118" customFormat="false" ht="15" hidden="false" customHeight="false" outlineLevel="0" collapsed="false">
      <c r="C118" s="53" t="n">
        <v>95</v>
      </c>
      <c r="D118" s="63" t="n">
        <f aca="false">INDEX(Demand_History!$B:$B,$D$6+C118-1)</f>
        <v>46132</v>
      </c>
      <c r="E118" s="39" t="n">
        <f aca="false">INDEX(Demand_History!$D:$D,$D$6+C118-1)</f>
        <v>144</v>
      </c>
      <c r="F118" s="35" t="n">
        <f aca="false">INDEX(Forecast_Walkforward!$D:$D,$D$6+C118-1)</f>
        <v>140</v>
      </c>
      <c r="G118" s="35" t="n">
        <f aca="false">INDEX(Forecast_Walkforward!$E:$E,$D$6+C118-1)</f>
        <v>146.25</v>
      </c>
      <c r="H118" s="35" t="n">
        <f aca="false">INDEX(Forecast_Walkforward!$F:$F,$D$6+C118-1)</f>
        <v>145.125</v>
      </c>
      <c r="I118" s="35" t="n">
        <f aca="false">INDEX(Forecast_Walkforward!$G:$G,$D$6+C118-1)</f>
        <v>144.325071629977</v>
      </c>
      <c r="J118" s="30" t="n">
        <f aca="false">INDEX(F118:I118,$D$7)</f>
        <v>146.25</v>
      </c>
      <c r="K118" s="28" t="n">
        <f aca="false">J118-E118</f>
        <v>2.25</v>
      </c>
    </row>
    <row r="119" customFormat="false" ht="15" hidden="false" customHeight="false" outlineLevel="0" collapsed="false">
      <c r="C119" s="53" t="n">
        <v>96</v>
      </c>
      <c r="D119" s="63" t="n">
        <f aca="false">INDEX(Demand_History!$B:$B,$D$6+C119-1)</f>
        <v>46139</v>
      </c>
      <c r="E119" s="39" t="n">
        <f aca="false">INDEX(Demand_History!$D:$D,$D$6+C119-1)</f>
        <v>139</v>
      </c>
      <c r="F119" s="35" t="n">
        <f aca="false">INDEX(Forecast_Walkforward!$D:$D,$D$6+C119-1)</f>
        <v>144</v>
      </c>
      <c r="G119" s="35" t="n">
        <f aca="false">INDEX(Forecast_Walkforward!$E:$E,$D$6+C119-1)</f>
        <v>144.25</v>
      </c>
      <c r="H119" s="35" t="n">
        <f aca="false">INDEX(Forecast_Walkforward!$F:$F,$D$6+C119-1)</f>
        <v>142</v>
      </c>
      <c r="I119" s="35" t="n">
        <f aca="false">INDEX(Forecast_Walkforward!$G:$G,$D$6+C119-1)</f>
        <v>144.227550140984</v>
      </c>
      <c r="J119" s="30" t="n">
        <f aca="false">INDEX(F119:I119,$D$7)</f>
        <v>144.25</v>
      </c>
      <c r="K119" s="28" t="n">
        <f aca="false">J119-E119</f>
        <v>5.25</v>
      </c>
    </row>
    <row r="120" customFormat="false" ht="15" hidden="false" customHeight="false" outlineLevel="0" collapsed="false">
      <c r="C120" s="53" t="n">
        <v>97</v>
      </c>
      <c r="D120" s="63" t="n">
        <f aca="false">INDEX(Demand_History!$B:$B,$D$6+C120-1)</f>
        <v>46146</v>
      </c>
      <c r="E120" s="39" t="n">
        <f aca="false">INDEX(Demand_History!$D:$D,$D$6+C120-1)</f>
        <v>158</v>
      </c>
      <c r="F120" s="35" t="n">
        <f aca="false">INDEX(Forecast_Walkforward!$D:$D,$D$6+C120-1)</f>
        <v>139</v>
      </c>
      <c r="G120" s="35" t="n">
        <f aca="false">INDEX(Forecast_Walkforward!$E:$E,$D$6+C120-1)</f>
        <v>142</v>
      </c>
      <c r="H120" s="35" t="n">
        <f aca="false">INDEX(Forecast_Walkforward!$F:$F,$D$6+C120-1)</f>
        <v>142.75</v>
      </c>
      <c r="I120" s="35" t="n">
        <f aca="false">INDEX(Forecast_Walkforward!$G:$G,$D$6+C120-1)</f>
        <v>142.659285098689</v>
      </c>
      <c r="J120" s="30" t="n">
        <f aca="false">INDEX(F120:I120,$D$7)</f>
        <v>142</v>
      </c>
      <c r="K120" s="28" t="n">
        <f aca="false">J120-E120</f>
        <v>-16</v>
      </c>
    </row>
    <row r="121" customFormat="false" ht="15" hidden="false" customHeight="false" outlineLevel="0" collapsed="false">
      <c r="C121" s="53" t="n">
        <v>98</v>
      </c>
      <c r="D121" s="63" t="n">
        <f aca="false">INDEX(Demand_History!$B:$B,$D$6+C121-1)</f>
        <v>46153</v>
      </c>
      <c r="E121" s="39" t="n">
        <f aca="false">INDEX(Demand_History!$D:$D,$D$6+C121-1)</f>
        <v>173</v>
      </c>
      <c r="F121" s="35" t="n">
        <f aca="false">INDEX(Forecast_Walkforward!$D:$D,$D$6+C121-1)</f>
        <v>158</v>
      </c>
      <c r="G121" s="35" t="n">
        <f aca="false">INDEX(Forecast_Walkforward!$E:$E,$D$6+C121-1)</f>
        <v>145.25</v>
      </c>
      <c r="H121" s="35" t="n">
        <f aca="false">INDEX(Forecast_Walkforward!$F:$F,$D$6+C121-1)</f>
        <v>144.375</v>
      </c>
      <c r="I121" s="35" t="n">
        <f aca="false">INDEX(Forecast_Walkforward!$G:$G,$D$6+C121-1)</f>
        <v>147.261499569082</v>
      </c>
      <c r="J121" s="30" t="n">
        <f aca="false">INDEX(F121:I121,$D$7)</f>
        <v>145.25</v>
      </c>
      <c r="K121" s="28" t="n">
        <f aca="false">J121-E121</f>
        <v>-27.75</v>
      </c>
    </row>
    <row r="122" customFormat="false" ht="15" hidden="false" customHeight="false" outlineLevel="0" collapsed="false">
      <c r="C122" s="53" t="n">
        <v>99</v>
      </c>
      <c r="D122" s="63" t="n">
        <f aca="false">INDEX(Demand_History!$B:$B,$D$6+C122-1)</f>
        <v>46160</v>
      </c>
      <c r="E122" s="39" t="n">
        <f aca="false">INDEX(Demand_History!$D:$D,$D$6+C122-1)</f>
        <v>121</v>
      </c>
      <c r="F122" s="35" t="n">
        <f aca="false">INDEX(Forecast_Walkforward!$D:$D,$D$6+C122-1)</f>
        <v>173</v>
      </c>
      <c r="G122" s="35" t="n">
        <f aca="false">INDEX(Forecast_Walkforward!$E:$E,$D$6+C122-1)</f>
        <v>153.5</v>
      </c>
      <c r="H122" s="35" t="n">
        <f aca="false">INDEX(Forecast_Walkforward!$F:$F,$D$6+C122-1)</f>
        <v>149.875</v>
      </c>
      <c r="I122" s="35" t="n">
        <f aca="false">INDEX(Forecast_Walkforward!$G:$G,$D$6+C122-1)</f>
        <v>154.983049698357</v>
      </c>
      <c r="J122" s="30" t="n">
        <f aca="false">INDEX(F122:I122,$D$7)</f>
        <v>153.5</v>
      </c>
      <c r="K122" s="28" t="n">
        <f aca="false">J122-E122</f>
        <v>32.5</v>
      </c>
    </row>
    <row r="123" customFormat="false" ht="15" hidden="false" customHeight="false" outlineLevel="0" collapsed="false">
      <c r="C123" s="53" t="n">
        <v>100</v>
      </c>
      <c r="D123" s="63" t="n">
        <f aca="false">INDEX(Demand_History!$B:$B,$D$6+C123-1)</f>
        <v>46167</v>
      </c>
      <c r="E123" s="39" t="n">
        <f aca="false">INDEX(Demand_History!$D:$D,$D$6+C123-1)</f>
        <v>148</v>
      </c>
      <c r="F123" s="35" t="n">
        <f aca="false">INDEX(Forecast_Walkforward!$D:$D,$D$6+C123-1)</f>
        <v>121</v>
      </c>
      <c r="G123" s="35" t="n">
        <f aca="false">INDEX(Forecast_Walkforward!$E:$E,$D$6+C123-1)</f>
        <v>147.75</v>
      </c>
      <c r="H123" s="35" t="n">
        <f aca="false">INDEX(Forecast_Walkforward!$F:$F,$D$6+C123-1)</f>
        <v>146</v>
      </c>
      <c r="I123" s="35" t="n">
        <f aca="false">INDEX(Forecast_Walkforward!$G:$G,$D$6+C123-1)</f>
        <v>144.78813478885</v>
      </c>
      <c r="J123" s="30" t="n">
        <f aca="false">INDEX(F123:I123,$D$7)</f>
        <v>147.75</v>
      </c>
      <c r="K123" s="28" t="n">
        <f aca="false">J123-E123</f>
        <v>-0.25</v>
      </c>
    </row>
    <row r="124" customFormat="false" ht="15" hidden="false" customHeight="false" outlineLevel="0" collapsed="false">
      <c r="C124" s="53" t="n">
        <v>101</v>
      </c>
      <c r="D124" s="63" t="n">
        <f aca="false">INDEX(Demand_History!$B:$B,$D$6+C124-1)</f>
        <v>46174</v>
      </c>
      <c r="E124" s="39" t="n">
        <f aca="false">INDEX(Demand_History!$D:$D,$D$6+C124-1)</f>
        <v>144</v>
      </c>
      <c r="F124" s="35" t="n">
        <f aca="false">INDEX(Forecast_Walkforward!$D:$D,$D$6+C124-1)</f>
        <v>148</v>
      </c>
      <c r="G124" s="35" t="n">
        <f aca="false">INDEX(Forecast_Walkforward!$E:$E,$D$6+C124-1)</f>
        <v>150</v>
      </c>
      <c r="H124" s="35" t="n">
        <f aca="false">INDEX(Forecast_Walkforward!$F:$F,$D$6+C124-1)</f>
        <v>146</v>
      </c>
      <c r="I124" s="35" t="n">
        <f aca="false">INDEX(Forecast_Walkforward!$G:$G,$D$6+C124-1)</f>
        <v>145.751694352195</v>
      </c>
      <c r="J124" s="30" t="n">
        <f aca="false">INDEX(F124:I124,$D$7)</f>
        <v>150</v>
      </c>
      <c r="K124" s="28" t="n">
        <f aca="false">J124-E124</f>
        <v>6</v>
      </c>
    </row>
    <row r="125" customFormat="false" ht="15" hidden="false" customHeight="false" outlineLevel="0" collapsed="false">
      <c r="C125" s="53" t="n">
        <v>102</v>
      </c>
      <c r="D125" s="63" t="n">
        <f aca="false">INDEX(Demand_History!$B:$B,$D$6+C125-1)</f>
        <v>46181</v>
      </c>
      <c r="E125" s="39" t="n">
        <f aca="false">INDEX(Demand_History!$D:$D,$D$6+C125-1)</f>
        <v>157</v>
      </c>
      <c r="F125" s="35" t="n">
        <f aca="false">INDEX(Forecast_Walkforward!$D:$D,$D$6+C125-1)</f>
        <v>144</v>
      </c>
      <c r="G125" s="35" t="n">
        <f aca="false">INDEX(Forecast_Walkforward!$E:$E,$D$6+C125-1)</f>
        <v>146.5</v>
      </c>
      <c r="H125" s="35" t="n">
        <f aca="false">INDEX(Forecast_Walkforward!$F:$F,$D$6+C125-1)</f>
        <v>145.875</v>
      </c>
      <c r="I125" s="35" t="n">
        <f aca="false">INDEX(Forecast_Walkforward!$G:$G,$D$6+C125-1)</f>
        <v>145.226186046537</v>
      </c>
      <c r="J125" s="30" t="n">
        <f aca="false">INDEX(F125:I125,$D$7)</f>
        <v>146.5</v>
      </c>
      <c r="K125" s="28" t="n">
        <f aca="false">J125-E125</f>
        <v>-10.5</v>
      </c>
    </row>
    <row r="126" customFormat="false" ht="15" hidden="false" customHeight="false" outlineLevel="0" collapsed="false">
      <c r="C126" s="53" t="n">
        <v>103</v>
      </c>
      <c r="D126" s="63" t="n">
        <f aca="false">INDEX(Demand_History!$B:$B,$D$6+C126-1)</f>
        <v>46188</v>
      </c>
      <c r="E126" s="39" t="n">
        <f aca="false">INDEX(Demand_History!$D:$D,$D$6+C126-1)</f>
        <v>136</v>
      </c>
      <c r="F126" s="35" t="n">
        <f aca="false">INDEX(Forecast_Walkforward!$D:$D,$D$6+C126-1)</f>
        <v>157</v>
      </c>
      <c r="G126" s="35" t="n">
        <f aca="false">INDEX(Forecast_Walkforward!$E:$E,$D$6+C126-1)</f>
        <v>142.5</v>
      </c>
      <c r="H126" s="35" t="n">
        <f aca="false">INDEX(Forecast_Walkforward!$F:$F,$D$6+C126-1)</f>
        <v>148</v>
      </c>
      <c r="I126" s="35" t="n">
        <f aca="false">INDEX(Forecast_Walkforward!$G:$G,$D$6+C126-1)</f>
        <v>148.758330232576</v>
      </c>
      <c r="J126" s="30" t="n">
        <f aca="false">INDEX(F126:I126,$D$7)</f>
        <v>142.5</v>
      </c>
      <c r="K126" s="28" t="n">
        <f aca="false">J126-E126</f>
        <v>6.5</v>
      </c>
    </row>
    <row r="127" customFormat="false" ht="15" hidden="false" customHeight="false" outlineLevel="0" collapsed="false">
      <c r="C127" s="53" t="n">
        <v>104</v>
      </c>
      <c r="D127" s="63" t="n">
        <f aca="false">INDEX(Demand_History!$B:$B,$D$6+C127-1)</f>
        <v>46195</v>
      </c>
      <c r="E127" s="39" t="n">
        <f aca="false">INDEX(Demand_History!$D:$D,$D$6+C127-1)</f>
        <v>148</v>
      </c>
      <c r="F127" s="35" t="n">
        <f aca="false">INDEX(Forecast_Walkforward!$D:$D,$D$6+C127-1)</f>
        <v>136</v>
      </c>
      <c r="G127" s="35" t="n">
        <f aca="false">INDEX(Forecast_Walkforward!$E:$E,$D$6+C127-1)</f>
        <v>146.25</v>
      </c>
      <c r="H127" s="35" t="n">
        <f aca="false">INDEX(Forecast_Walkforward!$F:$F,$D$6+C127-1)</f>
        <v>147</v>
      </c>
      <c r="I127" s="35" t="n">
        <f aca="false">INDEX(Forecast_Walkforward!$G:$G,$D$6+C127-1)</f>
        <v>144.930831162803</v>
      </c>
      <c r="J127" s="30" t="n">
        <f aca="false">INDEX(F127:I127,$D$7)</f>
        <v>146.25</v>
      </c>
      <c r="K127" s="28" t="n">
        <f aca="false">J127-E127</f>
        <v>-1.75</v>
      </c>
    </row>
    <row r="129" customFormat="false" ht="15" hidden="false" customHeight="false" outlineLevel="0" collapsed="false">
      <c r="B129" s="4" t="s">
        <v>520</v>
      </c>
      <c r="C129" s="4"/>
      <c r="D129" s="4"/>
      <c r="E129" s="4"/>
      <c r="F129" s="4"/>
      <c r="G129" s="4"/>
      <c r="H129" s="4"/>
      <c r="I129" s="4"/>
      <c r="J129" s="4"/>
    </row>
    <row r="130" customFormat="false" ht="31.5" hidden="false" customHeight="true" outlineLevel="0" collapsed="false">
      <c r="C130" s="6" t="s">
        <v>507</v>
      </c>
      <c r="D130" s="6" t="s">
        <v>521</v>
      </c>
      <c r="E130" s="6" t="s">
        <v>451</v>
      </c>
      <c r="F130" s="6" t="s">
        <v>514</v>
      </c>
      <c r="G130" s="6" t="s">
        <v>522</v>
      </c>
    </row>
    <row r="131" customFormat="false" ht="15" hidden="false" customHeight="false" outlineLevel="0" collapsed="false">
      <c r="C131" s="19" t="n">
        <v>104</v>
      </c>
      <c r="D131" s="19" t="n">
        <f aca="false">F60</f>
        <v>75</v>
      </c>
      <c r="E131" s="19" t="n">
        <f aca="false">G40</f>
        <v>40.0664803311094</v>
      </c>
      <c r="F131" s="19" t="n">
        <f aca="false">G42</f>
        <v>478.816480331109</v>
      </c>
      <c r="G131" s="28" t="n">
        <f aca="false">G33</f>
        <v>146.25</v>
      </c>
      <c r="H131" s="2" t="s">
        <v>523</v>
      </c>
    </row>
    <row r="132" customFormat="false" ht="15" hidden="false" customHeight="false" outlineLevel="0" collapsed="false">
      <c r="C132" s="19" t="n">
        <v>105</v>
      </c>
      <c r="D132" s="19" t="n">
        <f aca="false">J60</f>
        <v>308.75</v>
      </c>
      <c r="E132" s="19" t="n">
        <f aca="false">G40</f>
        <v>40.0664803311094</v>
      </c>
      <c r="F132" s="19" t="n">
        <f aca="false">G42</f>
        <v>478.816480331109</v>
      </c>
      <c r="G132" s="28" t="n">
        <f aca="false">G33</f>
        <v>146.25</v>
      </c>
    </row>
    <row r="133" customFormat="false" ht="15" hidden="false" customHeight="false" outlineLevel="0" collapsed="false">
      <c r="C133" s="19" t="n">
        <v>106</v>
      </c>
      <c r="D133" s="19" t="n">
        <f aca="false">J61</f>
        <v>162.5</v>
      </c>
      <c r="E133" s="19" t="n">
        <f aca="false">G40</f>
        <v>40.0664803311094</v>
      </c>
      <c r="F133" s="19" t="n">
        <f aca="false">G42</f>
        <v>478.816480331109</v>
      </c>
      <c r="G133" s="28" t="n">
        <f aca="false">G33</f>
        <v>146.25</v>
      </c>
    </row>
    <row r="134" customFormat="false" ht="15" hidden="false" customHeight="false" outlineLevel="0" collapsed="false">
      <c r="C134" s="19" t="n">
        <v>107</v>
      </c>
      <c r="D134" s="19" t="n">
        <f aca="false">J62</f>
        <v>16.25</v>
      </c>
      <c r="E134" s="19" t="n">
        <f aca="false">G40</f>
        <v>40.0664803311094</v>
      </c>
      <c r="F134" s="19" t="n">
        <f aca="false">G42</f>
        <v>478.816480331109</v>
      </c>
      <c r="G134" s="28" t="n">
        <f aca="false">G33</f>
        <v>146.25</v>
      </c>
    </row>
    <row r="135" customFormat="false" ht="15" hidden="false" customHeight="false" outlineLevel="0" collapsed="false">
      <c r="C135" s="19" t="n">
        <v>108</v>
      </c>
      <c r="D135" s="19" t="n">
        <f aca="false">J63</f>
        <v>630</v>
      </c>
      <c r="E135" s="19" t="n">
        <f aca="false">G40</f>
        <v>40.0664803311094</v>
      </c>
      <c r="F135" s="19" t="n">
        <f aca="false">G42</f>
        <v>478.816480331109</v>
      </c>
      <c r="G135" s="28" t="n">
        <f aca="false">G33</f>
        <v>146.25</v>
      </c>
    </row>
    <row r="136" customFormat="false" ht="15" hidden="false" customHeight="false" outlineLevel="0" collapsed="false">
      <c r="C136" s="19" t="n">
        <v>109</v>
      </c>
      <c r="D136" s="19" t="n">
        <f aca="false">J64</f>
        <v>483.75</v>
      </c>
      <c r="E136" s="19" t="n">
        <f aca="false">G40</f>
        <v>40.0664803311094</v>
      </c>
      <c r="F136" s="19" t="n">
        <f aca="false">G42</f>
        <v>478.816480331109</v>
      </c>
      <c r="G136" s="28" t="n">
        <f aca="false">G33</f>
        <v>146.25</v>
      </c>
    </row>
    <row r="137" customFormat="false" ht="15" hidden="false" customHeight="false" outlineLevel="0" collapsed="false">
      <c r="C137" s="19" t="n">
        <v>110</v>
      </c>
      <c r="D137" s="19" t="n">
        <f aca="false">J65</f>
        <v>337.5</v>
      </c>
      <c r="E137" s="19" t="n">
        <f aca="false">G40</f>
        <v>40.0664803311094</v>
      </c>
      <c r="F137" s="19" t="n">
        <f aca="false">G42</f>
        <v>478.816480331109</v>
      </c>
      <c r="G137" s="28" t="n">
        <f aca="false">G33</f>
        <v>146.25</v>
      </c>
    </row>
    <row r="138" customFormat="false" ht="15" hidden="false" customHeight="false" outlineLevel="0" collapsed="false">
      <c r="C138" s="19" t="n">
        <v>111</v>
      </c>
      <c r="D138" s="19" t="n">
        <f aca="false">J66</f>
        <v>191.25</v>
      </c>
      <c r="E138" s="19" t="n">
        <f aca="false">G40</f>
        <v>40.0664803311094</v>
      </c>
      <c r="F138" s="19" t="n">
        <f aca="false">G42</f>
        <v>478.816480331109</v>
      </c>
      <c r="G138" s="28" t="n">
        <f aca="false">G33</f>
        <v>146.25</v>
      </c>
    </row>
    <row r="139" customFormat="false" ht="15" hidden="false" customHeight="false" outlineLevel="0" collapsed="false">
      <c r="C139" s="19" t="n">
        <v>112</v>
      </c>
      <c r="D139" s="19" t="n">
        <f aca="false">J67</f>
        <v>45</v>
      </c>
      <c r="E139" s="19" t="n">
        <f aca="false">G40</f>
        <v>40.0664803311094</v>
      </c>
      <c r="F139" s="19" t="n">
        <f aca="false">G42</f>
        <v>478.816480331109</v>
      </c>
      <c r="G139" s="28" t="n">
        <f aca="false">G33</f>
        <v>146.25</v>
      </c>
    </row>
    <row r="140" customFormat="false" ht="15" hidden="false" customHeight="false" outlineLevel="0" collapsed="false">
      <c r="C140" s="19" t="n">
        <v>113</v>
      </c>
      <c r="D140" s="19" t="n">
        <f aca="false">J68</f>
        <v>-101.25</v>
      </c>
      <c r="E140" s="19" t="n">
        <f aca="false">G40</f>
        <v>40.0664803311094</v>
      </c>
      <c r="F140" s="19" t="n">
        <f aca="false">G42</f>
        <v>478.816480331109</v>
      </c>
      <c r="G140" s="28" t="n">
        <f aca="false">G33</f>
        <v>146.25</v>
      </c>
    </row>
    <row r="141" customFormat="false" ht="15" hidden="false" customHeight="false" outlineLevel="0" collapsed="false">
      <c r="C141" s="19" t="n">
        <v>114</v>
      </c>
      <c r="D141" s="19" t="n">
        <f aca="false">J69</f>
        <v>-247.5</v>
      </c>
      <c r="E141" s="19" t="n">
        <f aca="false">G40</f>
        <v>40.0664803311094</v>
      </c>
      <c r="F141" s="19" t="n">
        <f aca="false">G42</f>
        <v>478.816480331109</v>
      </c>
      <c r="G141" s="28" t="n">
        <f aca="false">G33</f>
        <v>146.25</v>
      </c>
    </row>
    <row r="142" customFormat="false" ht="15" hidden="false" customHeight="false" outlineLevel="0" collapsed="false">
      <c r="C142" s="19" t="n">
        <v>115</v>
      </c>
      <c r="D142" s="19" t="n">
        <f aca="false">J70</f>
        <v>-393.75</v>
      </c>
      <c r="E142" s="19" t="n">
        <f aca="false">G40</f>
        <v>40.0664803311094</v>
      </c>
      <c r="F142" s="19" t="n">
        <f aca="false">G42</f>
        <v>478.816480331109</v>
      </c>
      <c r="G142" s="28" t="n">
        <f aca="false">G33</f>
        <v>146.25</v>
      </c>
    </row>
    <row r="143" customFormat="false" ht="15" hidden="false" customHeight="false" outlineLevel="0" collapsed="false">
      <c r="C143" s="19" t="n">
        <v>116</v>
      </c>
      <c r="D143" s="19" t="n">
        <f aca="false">J71</f>
        <v>-540</v>
      </c>
      <c r="E143" s="19" t="n">
        <f aca="false">G40</f>
        <v>40.0664803311094</v>
      </c>
      <c r="F143" s="19" t="n">
        <f aca="false">G42</f>
        <v>478.816480331109</v>
      </c>
      <c r="G143" s="28" t="n">
        <f aca="false">G33</f>
        <v>146.25</v>
      </c>
    </row>
    <row r="146" customFormat="false" ht="31.5" hidden="false" customHeight="true" outlineLevel="0" collapsed="false">
      <c r="C146" s="6" t="s">
        <v>524</v>
      </c>
      <c r="D146" s="6" t="s">
        <v>525</v>
      </c>
      <c r="E146" s="6" t="s">
        <v>526</v>
      </c>
    </row>
    <row r="147" customFormat="false" ht="15" hidden="false" customHeight="false" outlineLevel="0" collapsed="false">
      <c r="C147" s="12" t="s">
        <v>527</v>
      </c>
      <c r="D147" s="19" t="n">
        <f aca="false">IF(G44&gt;0,Weeks_History+INDEX(Inputs!$L$40:$L$87,$D$5),Weeks_History)</f>
        <v>105</v>
      </c>
      <c r="E147" s="19" t="n">
        <f aca="false">G44</f>
        <v>380</v>
      </c>
    </row>
    <row r="148" customFormat="false" ht="15" hidden="false" customHeight="false" outlineLevel="0" collapsed="false">
      <c r="C148" s="12" t="s">
        <v>528</v>
      </c>
      <c r="D148" s="19" t="n">
        <f aca="false">Weeks_History+G39+1</f>
        <v>108</v>
      </c>
      <c r="E148" s="19" t="n">
        <f aca="false">G53</f>
        <v>760</v>
      </c>
    </row>
    <row r="149" customFormat="false" ht="15" hidden="false" customHeight="false" outlineLevel="0" collapsed="false">
      <c r="C149" s="2" t="s">
        <v>529</v>
      </c>
    </row>
  </sheetData>
  <mergeCells count="9">
    <mergeCell ref="B9:J9"/>
    <mergeCell ref="G10:I10"/>
    <mergeCell ref="G11:I15"/>
    <mergeCell ref="B17:J17"/>
    <mergeCell ref="B29:J29"/>
    <mergeCell ref="B58:J58"/>
    <mergeCell ref="B73:L73"/>
    <mergeCell ref="B100:J100"/>
    <mergeCell ref="B129:J129"/>
  </mergeCells>
  <conditionalFormatting sqref="G10">
    <cfRule type="expression" priority="2" aboveAverage="0" equalAverage="0" bottom="0" percent="0" rank="0" text="" dxfId="4">
      <formula>G10="STOCKOUT RISK"</formula>
    </cfRule>
    <cfRule type="expression" priority="3" aboveAverage="0" equalAverage="0" bottom="0" percent="0" rank="0" text="" dxfId="5">
      <formula>G10="REORDER REQUIRED"</formula>
    </cfRule>
    <cfRule type="expression" priority="4" aboveAverage="0" equalAverage="0" bottom="0" percent="0" rank="0" text="" dxfId="6">
      <formula>G10="EXCESS STOCK"</formula>
    </cfRule>
  </conditionalFormatting>
  <conditionalFormatting sqref="J31:J56">
    <cfRule type="expression" priority="5" aboveAverage="0" equalAverage="0" bottom="0" percent="0" rank="0" text="" dxfId="7">
      <formula>OR(J31="FAIL",J31="MISMATCH")</formula>
    </cfRule>
  </conditionalFormatting>
  <dataValidations count="1">
    <dataValidation allowBlank="false" error="Pick a SKU from the list" errorStyle="stop" operator="between" showDropDown="false" showErrorMessage="true" showInputMessage="false" sqref="D4" type="list">
      <formula1>Inputs!$B$40:$B$87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6"/>
    <col collapsed="false" customWidth="true" hidden="false" outlineLevel="0" max="3" min="3" style="0" width="26"/>
    <col collapsed="false" customWidth="true" hidden="false" outlineLevel="0" max="4" min="4" style="0" width="19"/>
    <col collapsed="false" customWidth="true" hidden="false" outlineLevel="0" max="7" min="5" style="0" width="17"/>
    <col collapsed="false" customWidth="true" hidden="false" outlineLevel="0" max="8" min="8" style="0" width="10"/>
    <col collapsed="false" customWidth="true" hidden="false" outlineLevel="0" max="9" min="9" style="0" width="12"/>
    <col collapsed="false" customWidth="true" hidden="false" outlineLevel="0" max="10" min="10" style="0" width="80"/>
    <col collapsed="false" customWidth="true" hidden="false" outlineLevel="0" max="11" min="11" style="0" width="3"/>
    <col collapsed="false" customWidth="true" hidden="false" outlineLevel="0" max="12" min="12" style="0" width="16"/>
    <col collapsed="false" customWidth="true" hidden="false" outlineLevel="0" max="13" min="13" style="0" width="8"/>
  </cols>
  <sheetData>
    <row r="1" customFormat="false" ht="18.55" hidden="false" customHeight="false" outlineLevel="0" collapsed="false">
      <c r="A1" s="1" t="s">
        <v>530</v>
      </c>
    </row>
    <row r="2" customFormat="false" ht="15" hidden="false" customHeight="false" outlineLevel="0" collapsed="false">
      <c r="A2" s="2" t="str">
        <f aca="false">"Snapshot week 105  |  Target service level "&amp;FIXED(TSL*100,1)&amp;"%  |  Excess threshold "&amp;Excess_WoC&amp;" weeks of cover  |  Holding rate "&amp;FIXED(Holding_Rate*100,0)&amp;"%"</f>
        <v>Snapshot week 105  |  Target service level 95.0%  |  Excess threshold 12 weeks of cover  |  Holding rate 20%</v>
      </c>
    </row>
    <row r="4" customFormat="false" ht="31.5" hidden="false" customHeight="true" outlineLevel="0" collapsed="false">
      <c r="A4" s="64" t="s">
        <v>531</v>
      </c>
      <c r="B4" s="64" t="s">
        <v>532</v>
      </c>
      <c r="C4" s="64" t="s">
        <v>533</v>
      </c>
      <c r="D4" s="64" t="s">
        <v>534</v>
      </c>
      <c r="E4" s="64" t="s">
        <v>535</v>
      </c>
      <c r="F4" s="64" t="s">
        <v>536</v>
      </c>
      <c r="G4" s="64" t="s">
        <v>537</v>
      </c>
    </row>
    <row r="5" customFormat="false" ht="33.75" hidden="false" customHeight="true" outlineLevel="0" collapsed="false">
      <c r="A5" s="65" t="n">
        <f aca="false">COUNTA(Replenishment_Plan!A7:A54)</f>
        <v>48</v>
      </c>
      <c r="B5" s="65" t="n">
        <f aca="false">COUNTIF(Replenishment_Plan!$AG$7:$AG$54,"STOCKOUT RISK")</f>
        <v>6</v>
      </c>
      <c r="C5" s="65" t="n">
        <f aca="false">COUNTIF(Replenishment_Plan!$AG$7:$AG$54,"REORDER REQUIRED")</f>
        <v>11</v>
      </c>
      <c r="D5" s="65" t="n">
        <f aca="false">COUNTIF(Replenishment_Plan!$AG$7:$AG$54,"EXCESS STOCK")</f>
        <v>8</v>
      </c>
      <c r="E5" s="65" t="n">
        <f aca="false">COUNTIF(Replenishment_Plan!$AG$7:$AG$54,"HEALTHY")</f>
        <v>23</v>
      </c>
      <c r="F5" s="66" t="n">
        <f aca="false">SUM(Replenishment_Plan!AI7:AI54)</f>
        <v>226230</v>
      </c>
      <c r="G5" s="67" t="n">
        <f aca="false">Portfolio_WAPE</f>
        <v>0.142208038034692</v>
      </c>
    </row>
    <row r="7" customFormat="false" ht="15" hidden="false" customHeight="false" outlineLevel="0" collapsed="false">
      <c r="A7" s="4" t="s">
        <v>538</v>
      </c>
      <c r="B7" s="4"/>
      <c r="C7" s="4"/>
      <c r="D7" s="4"/>
      <c r="E7" s="4"/>
    </row>
    <row r="8" customFormat="false" ht="31.5" hidden="false" customHeight="true" outlineLevel="0" collapsed="false">
      <c r="A8" s="6" t="s">
        <v>367</v>
      </c>
      <c r="B8" s="6" t="s">
        <v>539</v>
      </c>
      <c r="C8" s="6" t="s">
        <v>540</v>
      </c>
      <c r="D8" s="6" t="s">
        <v>541</v>
      </c>
      <c r="E8" s="6" t="s">
        <v>542</v>
      </c>
    </row>
    <row r="9" customFormat="false" ht="15" hidden="false" customHeight="false" outlineLevel="0" collapsed="false">
      <c r="A9" s="12" t="s">
        <v>543</v>
      </c>
      <c r="B9" s="19" t="n">
        <f aca="false">COUNTIF(Replenishment_Plan!$AG$7:$AG$54,A9)</f>
        <v>6</v>
      </c>
      <c r="C9" s="42" t="n">
        <f aca="false">SUMIFS(Replenishment_Plan!$AI$7:$AI$54,Replenishment_Plan!$AG$7:$AG$54,A9)</f>
        <v>3425</v>
      </c>
      <c r="D9" s="19" t="n">
        <f aca="false">SUMIFS(Replenishment_Plan!$AD$7:$AD$54,Replenishment_Plan!$AG$7:$AG$54,A9)</f>
        <v>1925</v>
      </c>
      <c r="E9" s="42" t="n">
        <f aca="false">SUMPRODUCT((Replenishment_Plan!$AG$7:$AG$54=A9)*Replenishment_Plan!$AD$7:$AD$54*Replenishment_Plan!$V$7:$V$54)</f>
        <v>25896</v>
      </c>
      <c r="G9" s="13" t="s">
        <v>544</v>
      </c>
      <c r="H9" s="47" t="n">
        <f aca="false">A5-E5</f>
        <v>25</v>
      </c>
    </row>
    <row r="10" customFormat="false" ht="15" hidden="false" customHeight="false" outlineLevel="0" collapsed="false">
      <c r="A10" s="12" t="s">
        <v>545</v>
      </c>
      <c r="B10" s="19" t="n">
        <f aca="false">COUNTIF(Replenishment_Plan!$AG$7:$AG$54,A10)</f>
        <v>11</v>
      </c>
      <c r="C10" s="42" t="n">
        <f aca="false">SUMIFS(Replenishment_Plan!$AI$7:$AI$54,Replenishment_Plan!$AG$7:$AG$54,A10)</f>
        <v>19713</v>
      </c>
      <c r="D10" s="19" t="n">
        <f aca="false">SUMIFS(Replenishment_Plan!$AD$7:$AD$54,Replenishment_Plan!$AG$7:$AG$54,A10)</f>
        <v>3291</v>
      </c>
      <c r="E10" s="42" t="n">
        <f aca="false">SUMPRODUCT((Replenishment_Plan!$AG$7:$AG$54=A10)*Replenishment_Plan!$AD$7:$AD$54*Replenishment_Plan!$V$7:$V$54)</f>
        <v>50703</v>
      </c>
    </row>
    <row r="11" customFormat="false" ht="15" hidden="false" customHeight="false" outlineLevel="0" collapsed="false">
      <c r="A11" s="12" t="s">
        <v>546</v>
      </c>
      <c r="B11" s="19" t="n">
        <f aca="false">COUNTIF(Replenishment_Plan!$AG$7:$AG$54,A11)</f>
        <v>8</v>
      </c>
      <c r="C11" s="42" t="n">
        <f aca="false">SUMIFS(Replenishment_Plan!$AI$7:$AI$54,Replenishment_Plan!$AG$7:$AG$54,A11)</f>
        <v>96196</v>
      </c>
      <c r="D11" s="19" t="n">
        <f aca="false">SUMIFS(Replenishment_Plan!$AD$7:$AD$54,Replenishment_Plan!$AG$7:$AG$54,A11)</f>
        <v>0</v>
      </c>
      <c r="E11" s="42" t="n">
        <f aca="false">SUMPRODUCT((Replenishment_Plan!$AG$7:$AG$54=A11)*Replenishment_Plan!$AD$7:$AD$54*Replenishment_Plan!$V$7:$V$54)</f>
        <v>0</v>
      </c>
    </row>
    <row r="12" customFormat="false" ht="15" hidden="false" customHeight="false" outlineLevel="0" collapsed="false">
      <c r="A12" s="12" t="s">
        <v>547</v>
      </c>
      <c r="B12" s="19" t="n">
        <f aca="false">COUNTIF(Replenishment_Plan!$AG$7:$AG$54,A12)</f>
        <v>23</v>
      </c>
      <c r="C12" s="42" t="n">
        <f aca="false">SUMIFS(Replenishment_Plan!$AI$7:$AI$54,Replenishment_Plan!$AG$7:$AG$54,A12)</f>
        <v>106896</v>
      </c>
      <c r="D12" s="19" t="n">
        <f aca="false">SUMIFS(Replenishment_Plan!$AD$7:$AD$54,Replenishment_Plan!$AG$7:$AG$54,A12)</f>
        <v>0</v>
      </c>
      <c r="E12" s="42" t="n">
        <f aca="false">SUMPRODUCT((Replenishment_Plan!$AG$7:$AG$54=A12)*Replenishment_Plan!$AD$7:$AD$54*Replenishment_Plan!$V$7:$V$54)</f>
        <v>0</v>
      </c>
    </row>
    <row r="13" customFormat="false" ht="15" hidden="false" customHeight="false" outlineLevel="0" collapsed="false">
      <c r="A13" s="12" t="s">
        <v>548</v>
      </c>
      <c r="B13" s="41" t="n">
        <f aca="false">SUM(B9:B12)</f>
        <v>48</v>
      </c>
      <c r="C13" s="68" t="n">
        <f aca="false">SUM(C9:C12)</f>
        <v>226230</v>
      </c>
      <c r="D13" s="41" t="n">
        <f aca="false">SUM(D9:D12)</f>
        <v>5216</v>
      </c>
      <c r="E13" s="68" t="n">
        <f aca="false">SUM(E9:E12)</f>
        <v>76599</v>
      </c>
    </row>
    <row r="32" customFormat="false" ht="15" hidden="false" customHeight="false" outlineLevel="0" collapsed="false">
      <c r="A32" s="4" t="s">
        <v>549</v>
      </c>
      <c r="B32" s="4"/>
      <c r="C32" s="4"/>
      <c r="D32" s="4"/>
      <c r="E32" s="4"/>
      <c r="F32" s="4"/>
      <c r="G32" s="4"/>
      <c r="H32" s="4"/>
      <c r="I32" s="4"/>
      <c r="J32" s="4"/>
    </row>
    <row r="33" customFormat="false" ht="31.5" hidden="false" customHeight="true" outlineLevel="0" collapsed="false">
      <c r="A33" s="6" t="s">
        <v>550</v>
      </c>
      <c r="B33" s="6" t="s">
        <v>139</v>
      </c>
      <c r="C33" s="6" t="s">
        <v>265</v>
      </c>
      <c r="D33" s="6" t="s">
        <v>367</v>
      </c>
      <c r="E33" s="6" t="s">
        <v>551</v>
      </c>
      <c r="F33" s="6" t="s">
        <v>354</v>
      </c>
      <c r="G33" s="6" t="s">
        <v>552</v>
      </c>
      <c r="H33" s="6" t="s">
        <v>553</v>
      </c>
      <c r="I33" s="6" t="s">
        <v>554</v>
      </c>
      <c r="J33" s="6" t="s">
        <v>397</v>
      </c>
    </row>
    <row r="34" customFormat="false" ht="46.25" hidden="false" customHeight="false" outlineLevel="0" collapsed="false">
      <c r="A34" s="69" t="n">
        <v>1</v>
      </c>
      <c r="B34" s="10" t="str">
        <f aca="false">IF($A34&gt;$H$9,"",INDEX(Replenishment_Plan!$A$7:$A$54,MATCH($A34,Replenishment_Plan!$AK$7:$AK$54,0)))</f>
        <v>CLN-003</v>
      </c>
      <c r="C34" s="10" t="str">
        <f aca="false">IF($A34&gt;$H$9,"",INDEX(Replenishment_Plan!$B$7:$B$54,MATCH($A34,Replenishment_Plan!$AK$7:$AK$54,0)))</f>
        <v>Eco Laundry Detergent 2L</v>
      </c>
      <c r="D34" s="12" t="str">
        <f aca="false">IF($A34&gt;$H$9,"",INDEX(Replenishment_Plan!$AG$7:$AG$54,MATCH($A34,Replenishment_Plan!$AK$7:$AK$54,0)))</f>
        <v>STOCKOUT RISK</v>
      </c>
      <c r="E34" s="28" t="n">
        <f aca="false">IF($A34&gt;$H$9,"",INDEX(Replenishment_Plan!$S$7:$S$54,MATCH($A34,Replenishment_Plan!$AK$7:$AK$54,0)))</f>
        <v>-0.523117569352708</v>
      </c>
      <c r="F34" s="19" t="n">
        <f aca="false">IF($A34&gt;$H$9,"",INDEX(Replenishment_Plan!$R$7:$R$54,MATCH($A34,Replenishment_Plan!$AK$7:$AK$54,0)))</f>
        <v>-99</v>
      </c>
      <c r="G34" s="19" t="n">
        <f aca="false">IF($A34&gt;$H$9,"",INDEX(Replenishment_Plan!$N$7:$N$54,MATCH($A34,Replenishment_Plan!$AK$7:$AK$54,0)))</f>
        <v>236.554867096711</v>
      </c>
      <c r="H34" s="19" t="n">
        <f aca="false">IF($A34&gt;$H$9,"",INDEX(Replenishment_Plan!$Z$7:$Z$54,MATCH($A34,Replenishment_Plan!$AK$7:$AK$54,0)))</f>
        <v>618.632003339268</v>
      </c>
      <c r="I34" s="41" t="n">
        <f aca="false">IF($A34&gt;$H$9,"",INDEX(Replenishment_Plan!$AD$7:$AD$54,MATCH($A34,Replenishment_Plan!$AK$7:$AK$54,0)))</f>
        <v>624</v>
      </c>
      <c r="J34" s="7" t="str">
        <f aca="false">IF($A34&gt;$H$9,"",INDEX(Replenishment_Plan!$AH$7:$AH$54,MATCH($A34,Replenishment_Plan!$AK$7:$AK$54,0)))</f>
        <v>Projected inventory reaches zero in week 1, before a new order placed now could arrive (week 2). Inventory position of -99 units is at or below the reorder point of 237, so an order of 624 units is recommended (EOQ 619, case pack 6), but it cannot arrive in time: expedite supply or manage the shortfall.</v>
      </c>
    </row>
    <row r="35" customFormat="false" ht="46.25" hidden="false" customHeight="false" outlineLevel="0" collapsed="false">
      <c r="A35" s="69" t="n">
        <v>2</v>
      </c>
      <c r="B35" s="10" t="str">
        <f aca="false">IF($A35&gt;$H$9,"",INDEX(Replenishment_Plan!$A$7:$A$54,MATCH($A35,Replenishment_Plan!$AK$7:$AK$54,0)))</f>
        <v>BED-004</v>
      </c>
      <c r="C35" s="10" t="str">
        <f aca="false">IF($A35&gt;$H$9,"",INDEX(Replenishment_Plan!$B$7:$B$54,MATCH($A35,Replenishment_Plan!$AK$7:$AK$54,0)))</f>
        <v>Fitted Sheet 180x200</v>
      </c>
      <c r="D35" s="12" t="str">
        <f aca="false">IF($A35&gt;$H$9,"",INDEX(Replenishment_Plan!$AG$7:$AG$54,MATCH($A35,Replenishment_Plan!$AK$7:$AK$54,0)))</f>
        <v>STOCKOUT RISK</v>
      </c>
      <c r="E35" s="28" t="n">
        <f aca="false">IF($A35&gt;$H$9,"",INDEX(Replenishment_Plan!$S$7:$S$54,MATCH($A35,Replenishment_Plan!$AK$7:$AK$54,0)))</f>
        <v>-0.430769230769231</v>
      </c>
      <c r="F35" s="19" t="n">
        <f aca="false">IF($A35&gt;$H$9,"",INDEX(Replenishment_Plan!$R$7:$R$54,MATCH($A35,Replenishment_Plan!$AK$7:$AK$54,0)))</f>
        <v>-35</v>
      </c>
      <c r="G35" s="19" t="n">
        <f aca="false">IF($A35&gt;$H$9,"",INDEX(Replenishment_Plan!$N$7:$N$54,MATCH($A35,Replenishment_Plan!$AK$7:$AK$54,0)))</f>
        <v>359.801430096849</v>
      </c>
      <c r="H35" s="19" t="n">
        <f aca="false">IF($A35&gt;$H$9,"",INDEX(Replenishment_Plan!$Z$7:$Z$54,MATCH($A35,Replenishment_Plan!$AK$7:$AK$54,0)))</f>
        <v>349.717931451831</v>
      </c>
      <c r="I35" s="41" t="n">
        <f aca="false">IF($A35&gt;$H$9,"",INDEX(Replenishment_Plan!$AD$7:$AD$54,MATCH($A35,Replenishment_Plan!$AK$7:$AK$54,0)))</f>
        <v>350</v>
      </c>
      <c r="J35" s="7" t="str">
        <f aca="false">IF($A35&gt;$H$9,"",INDEX(Replenishment_Plan!$AH$7:$AH$54,MATCH($A35,Replenishment_Plan!$AK$7:$AK$54,0)))</f>
        <v>Projected inventory reaches zero in week 1, before a new order placed now could arrive (week 5). Inventory position of -35 units is at or below the reorder point of 360, so an order of 350 units is recommended (EOQ 350, case pack 10), but it cannot arrive in time: expedite supply or manage the shortfall.</v>
      </c>
    </row>
    <row r="36" customFormat="false" ht="46.25" hidden="false" customHeight="false" outlineLevel="0" collapsed="false">
      <c r="A36" s="69" t="n">
        <v>3</v>
      </c>
      <c r="B36" s="10" t="str">
        <f aca="false">IF($A36&gt;$H$9,"",INDEX(Replenishment_Plan!$A$7:$A$54,MATCH($A36,Replenishment_Plan!$AK$7:$AK$54,0)))</f>
        <v>KIT-003</v>
      </c>
      <c r="C36" s="10" t="str">
        <f aca="false">IF($A36&gt;$H$9,"",INDEX(Replenishment_Plan!$B$7:$B$54,MATCH($A36,Replenishment_Plan!$AK$7:$AK$54,0)))</f>
        <v>Glass Food Storage Set 5pc</v>
      </c>
      <c r="D36" s="12" t="str">
        <f aca="false">IF($A36&gt;$H$9,"",INDEX(Replenishment_Plan!$AG$7:$AG$54,MATCH($A36,Replenishment_Plan!$AK$7:$AK$54,0)))</f>
        <v>STOCKOUT RISK</v>
      </c>
      <c r="E36" s="28" t="n">
        <f aca="false">IF($A36&gt;$H$9,"",INDEX(Replenishment_Plan!$S$7:$S$54,MATCH($A36,Replenishment_Plan!$AK$7:$AK$54,0)))</f>
        <v>-0.378449408672799</v>
      </c>
      <c r="F36" s="19" t="n">
        <f aca="false">IF($A36&gt;$H$9,"",INDEX(Replenishment_Plan!$R$7:$R$54,MATCH($A36,Replenishment_Plan!$AK$7:$AK$54,0)))</f>
        <v>-36</v>
      </c>
      <c r="G36" s="19" t="n">
        <f aca="false">IF($A36&gt;$H$9,"",INDEX(Replenishment_Plan!$N$7:$N$54,MATCH($A36,Replenishment_Plan!$AK$7:$AK$54,0)))</f>
        <v>216.662607470847</v>
      </c>
      <c r="H36" s="19" t="n">
        <f aca="false">IF($A36&gt;$H$9,"",INDEX(Replenishment_Plan!$Z$7:$Z$54,MATCH($A36,Replenishment_Plan!$AK$7:$AK$54,0)))</f>
        <v>363.18957400601</v>
      </c>
      <c r="I36" s="41" t="n">
        <f aca="false">IF($A36&gt;$H$9,"",INDEX(Replenishment_Plan!$AD$7:$AD$54,MATCH($A36,Replenishment_Plan!$AK$7:$AK$54,0)))</f>
        <v>366</v>
      </c>
      <c r="J36" s="7" t="str">
        <f aca="false">IF($A36&gt;$H$9,"",INDEX(Replenishment_Plan!$AH$7:$AH$54,MATCH($A36,Replenishment_Plan!$AK$7:$AK$54,0)))</f>
        <v>Projected inventory reaches zero in week 1, before a new order placed now could arrive (week 3). Inventory position of -36 units is at or below the reorder point of 217, so an order of 366 units is recommended (EOQ 363, case pack 6), but it cannot arrive in time: expedite supply or manage the shortfall.</v>
      </c>
    </row>
    <row r="37" customFormat="false" ht="46.25" hidden="false" customHeight="false" outlineLevel="0" collapsed="false">
      <c r="A37" s="69" t="n">
        <v>4</v>
      </c>
      <c r="B37" s="10" t="str">
        <f aca="false">IF($A37&gt;$H$9,"",INDEX(Replenishment_Plan!$A$7:$A$54,MATCH($A37,Replenishment_Plan!$AK$7:$AK$54,0)))</f>
        <v>BTH-005</v>
      </c>
      <c r="C37" s="10" t="str">
        <f aca="false">IF($A37&gt;$H$9,"",INDEX(Replenishment_Plan!$B$7:$B$54,MATCH($A37,Replenishment_Plan!$AK$7:$AK$54,0)))</f>
        <v>Waffle Bathrobe M</v>
      </c>
      <c r="D37" s="12" t="str">
        <f aca="false">IF($A37&gt;$H$9,"",INDEX(Replenishment_Plan!$AG$7:$AG$54,MATCH($A37,Replenishment_Plan!$AK$7:$AK$54,0)))</f>
        <v>STOCKOUT RISK</v>
      </c>
      <c r="E37" s="28" t="n">
        <f aca="false">IF($A37&gt;$H$9,"",INDEX(Replenishment_Plan!$S$7:$S$54,MATCH($A37,Replenishment_Plan!$AK$7:$AK$54,0)))</f>
        <v>2.22784810126582</v>
      </c>
      <c r="F37" s="19" t="n">
        <f aca="false">IF($A37&gt;$H$9,"",INDEX(Replenishment_Plan!$R$7:$R$54,MATCH($A37,Replenishment_Plan!$AK$7:$AK$54,0)))</f>
        <v>44</v>
      </c>
      <c r="G37" s="19" t="n">
        <f aca="false">IF($A37&gt;$H$9,"",INDEX(Replenishment_Plan!$N$7:$N$54,MATCH($A37,Replenishment_Plan!$AK$7:$AK$54,0)))</f>
        <v>79.1044323681439</v>
      </c>
      <c r="H37" s="19" t="n">
        <f aca="false">IF($A37&gt;$H$9,"",INDEX(Replenishment_Plan!$Z$7:$Z$54,MATCH($A37,Replenishment_Plan!$AK$7:$AK$54,0)))</f>
        <v>120.175652692216</v>
      </c>
      <c r="I37" s="41" t="n">
        <f aca="false">IF($A37&gt;$H$9,"",INDEX(Replenishment_Plan!$AD$7:$AD$54,MATCH($A37,Replenishment_Plan!$AK$7:$AK$54,0)))</f>
        <v>125</v>
      </c>
      <c r="J37" s="7" t="str">
        <f aca="false">IF($A37&gt;$H$9,"",INDEX(Replenishment_Plan!$AH$7:$AH$54,MATCH($A37,Replenishment_Plan!$AK$7:$AK$54,0)))</f>
        <v>Projected inventory reaches zero in week 1, before a new order placed now could arrive (week 4). Inventory position of 44 units is at or below the reorder point of 79, so an order of 125 units is recommended (EOQ 120, case pack 5), but it cannot arrive in time: expedite supply or manage the shortfall.</v>
      </c>
    </row>
    <row r="38" customFormat="false" ht="46.25" hidden="false" customHeight="false" outlineLevel="0" collapsed="false">
      <c r="A38" s="69" t="n">
        <v>5</v>
      </c>
      <c r="B38" s="10" t="str">
        <f aca="false">IF($A38&gt;$H$9,"",INDEX(Replenishment_Plan!$A$7:$A$54,MATCH($A38,Replenishment_Plan!$AK$7:$AK$54,0)))</f>
        <v>BTH-010</v>
      </c>
      <c r="C38" s="10" t="str">
        <f aca="false">IF($A38&gt;$H$9,"",INDEX(Replenishment_Plan!$B$7:$B$54,MATCH($A38,Replenishment_Plan!$AK$7:$AK$54,0)))</f>
        <v>Microfibre Hair Towel</v>
      </c>
      <c r="D38" s="12" t="str">
        <f aca="false">IF($A38&gt;$H$9,"",INDEX(Replenishment_Plan!$AG$7:$AG$54,MATCH($A38,Replenishment_Plan!$AK$7:$AK$54,0)))</f>
        <v>STOCKOUT RISK</v>
      </c>
      <c r="E38" s="28" t="n">
        <f aca="false">IF($A38&gt;$H$9,"",INDEX(Replenishment_Plan!$S$7:$S$54,MATCH($A38,Replenishment_Plan!$AK$7:$AK$54,0)))</f>
        <v>2.33548387096774</v>
      </c>
      <c r="F38" s="19" t="n">
        <f aca="false">IF($A38&gt;$H$9,"",INDEX(Replenishment_Plan!$R$7:$R$54,MATCH($A38,Replenishment_Plan!$AK$7:$AK$54,0)))</f>
        <v>181</v>
      </c>
      <c r="G38" s="19" t="n">
        <f aca="false">IF($A38&gt;$H$9,"",INDEX(Replenishment_Plan!$N$7:$N$54,MATCH($A38,Replenishment_Plan!$AK$7:$AK$54,0)))</f>
        <v>261.203217739589</v>
      </c>
      <c r="H38" s="19" t="n">
        <f aca="false">IF($A38&gt;$H$9,"",INDEX(Replenishment_Plan!$Z$7:$Z$54,MATCH($A38,Replenishment_Plan!$AK$7:$AK$54,0)))</f>
        <v>448.887513749269</v>
      </c>
      <c r="I38" s="41" t="n">
        <f aca="false">IF($A38&gt;$H$9,"",INDEX(Replenishment_Plan!$AD$7:$AD$54,MATCH($A38,Replenishment_Plan!$AK$7:$AK$54,0)))</f>
        <v>460</v>
      </c>
      <c r="J38" s="7" t="str">
        <f aca="false">IF($A38&gt;$H$9,"",INDEX(Replenishment_Plan!$AH$7:$AH$54,MATCH($A38,Replenishment_Plan!$AK$7:$AK$54,0)))</f>
        <v>Projected inventory reaches zero in week 2, before a new order placed now could arrive (week 4). Inventory position of 181 units is at or below the reorder point of 261, so an order of 460 units is recommended (EOQ 449, case pack 20), but it cannot arrive in time: expedite supply or manage the shortfall.</v>
      </c>
    </row>
    <row r="39" customFormat="false" ht="35.05" hidden="false" customHeight="false" outlineLevel="0" collapsed="false">
      <c r="A39" s="69" t="n">
        <v>6</v>
      </c>
      <c r="B39" s="10" t="str">
        <f aca="false">IF($A39&gt;$H$9,"",INDEX(Replenishment_Plan!$A$7:$A$54,MATCH($A39,Replenishment_Plan!$AK$7:$AK$54,0)))</f>
        <v>ELE-003</v>
      </c>
      <c r="C39" s="10" t="str">
        <f aca="false">IF($A39&gt;$H$9,"",INDEX(Replenishment_Plan!$B$7:$B$54,MATCH($A39,Replenishment_Plan!$AK$7:$AK$54,0)))</f>
        <v>Hand Blender 800W</v>
      </c>
      <c r="D39" s="12" t="str">
        <f aca="false">IF($A39&gt;$H$9,"",INDEX(Replenishment_Plan!$AG$7:$AG$54,MATCH($A39,Replenishment_Plan!$AK$7:$AK$54,0)))</f>
        <v>STOCKOUT RISK</v>
      </c>
      <c r="E39" s="28" t="n">
        <f aca="false">IF($A39&gt;$H$9,"",INDEX(Replenishment_Plan!$S$7:$S$54,MATCH($A39,Replenishment_Plan!$AK$7:$AK$54,0)))</f>
        <v>9.15068493150685</v>
      </c>
      <c r="F39" s="19" t="n">
        <f aca="false">IF($A39&gt;$H$9,"",INDEX(Replenishment_Plan!$R$7:$R$54,MATCH($A39,Replenishment_Plan!$AK$7:$AK$54,0)))</f>
        <v>334</v>
      </c>
      <c r="G39" s="19" t="n">
        <f aca="false">IF($A39&gt;$H$9,"",INDEX(Replenishment_Plan!$N$7:$N$54,MATCH($A39,Replenishment_Plan!$AK$7:$AK$54,0)))</f>
        <v>242.195897300722</v>
      </c>
      <c r="H39" s="19" t="n">
        <f aca="false">IF($A39&gt;$H$9,"",INDEX(Replenishment_Plan!$Z$7:$Z$54,MATCH($A39,Replenishment_Plan!$AK$7:$AK$54,0)))</f>
        <v>217.83020910792</v>
      </c>
      <c r="I39" s="41" t="n">
        <f aca="false">IF($A39&gt;$H$9,"",INDEX(Replenishment_Plan!$AD$7:$AD$54,MATCH($A39,Replenishment_Plan!$AK$7:$AK$54,0)))</f>
        <v>0</v>
      </c>
      <c r="J39" s="7" t="str">
        <f aca="false">IF($A39&gt;$H$9,"",INDEX(Replenishment_Plan!$AH$7:$AH$54,MATCH($A39,Replenishment_Plan!$AK$7:$AK$54,0)))</f>
        <v>Projected inventory reaches zero in week 2, before a new order placed now could arrive (week 7). No new order is triggered because inventory position of 334 units is above the reorder point of 242, but the open PO of 276 units is due in week 6, which is too late: expedite the open PO.</v>
      </c>
    </row>
    <row r="40" customFormat="false" ht="23.85" hidden="false" customHeight="false" outlineLevel="0" collapsed="false">
      <c r="A40" s="69" t="n">
        <v>7</v>
      </c>
      <c r="B40" s="10" t="str">
        <f aca="false">IF($A40&gt;$H$9,"",INDEX(Replenishment_Plan!$A$7:$A$54,MATCH($A40,Replenishment_Plan!$AK$7:$AK$54,0)))</f>
        <v>CLN-002</v>
      </c>
      <c r="C40" s="10" t="str">
        <f aca="false">IF($A40&gt;$H$9,"",INDEX(Replenishment_Plan!$B$7:$B$54,MATCH($A40,Replenishment_Plan!$AK$7:$AK$54,0)))</f>
        <v>Microfibre Cloths 10-Pack</v>
      </c>
      <c r="D40" s="12" t="str">
        <f aca="false">IF($A40&gt;$H$9,"",INDEX(Replenishment_Plan!$AG$7:$AG$54,MATCH($A40,Replenishment_Plan!$AK$7:$AK$54,0)))</f>
        <v>REORDER REQUIRED</v>
      </c>
      <c r="E40" s="28" t="n">
        <f aca="false">IF($A40&gt;$H$9,"",INDEX(Replenishment_Plan!$S$7:$S$54,MATCH($A40,Replenishment_Plan!$AK$7:$AK$54,0)))</f>
        <v>1.00139082058414</v>
      </c>
      <c r="F40" s="19" t="n">
        <f aca="false">IF($A40&gt;$H$9,"",INDEX(Replenishment_Plan!$R$7:$R$54,MATCH($A40,Replenishment_Plan!$AK$7:$AK$54,0)))</f>
        <v>180</v>
      </c>
      <c r="G40" s="19" t="n">
        <f aca="false">IF($A40&gt;$H$9,"",INDEX(Replenishment_Plan!$N$7:$N$54,MATCH($A40,Replenishment_Plan!$AK$7:$AK$54,0)))</f>
        <v>225.147372088117</v>
      </c>
      <c r="H40" s="19" t="n">
        <f aca="false">IF($A40&gt;$H$9,"",INDEX(Replenishment_Plan!$Z$7:$Z$54,MATCH($A40,Replenishment_Plan!$AK$7:$AK$54,0)))</f>
        <v>808.881944414635</v>
      </c>
      <c r="I40" s="41" t="n">
        <f aca="false">IF($A40&gt;$H$9,"",INDEX(Replenishment_Plan!$AD$7:$AD$54,MATCH($A40,Replenishment_Plan!$AK$7:$AK$54,0)))</f>
        <v>820</v>
      </c>
      <c r="J40" s="7" t="str">
        <f aca="false">IF($A40&gt;$H$9,"",INDEX(Replenishment_Plan!$AH$7:$AH$54,MATCH($A40,Replenishment_Plan!$AK$7:$AK$54,0)))</f>
        <v>Inventory position of 180 units is 45 units below the reorder point of 225 units. Replenishment is required. EOQ recommends approximately 809 units, rounded to 820 (case pack 20).</v>
      </c>
    </row>
    <row r="41" customFormat="false" ht="23.85" hidden="false" customHeight="false" outlineLevel="0" collapsed="false">
      <c r="A41" s="69" t="n">
        <v>8</v>
      </c>
      <c r="B41" s="10" t="str">
        <f aca="false">IF($A41&gt;$H$9,"",INDEX(Replenishment_Plan!$A$7:$A$54,MATCH($A41,Replenishment_Plan!$AK$7:$AK$54,0)))</f>
        <v>CLN-007</v>
      </c>
      <c r="C41" s="10" t="str">
        <f aca="false">IF($A41&gt;$H$9,"",INDEX(Replenishment_Plan!$B$7:$B$54,MATCH($A41,Replenishment_Plan!$AK$7:$AK$54,0)))</f>
        <v>Kettle Descaler 500ml</v>
      </c>
      <c r="D41" s="12" t="str">
        <f aca="false">IF($A41&gt;$H$9,"",INDEX(Replenishment_Plan!$AG$7:$AG$54,MATCH($A41,Replenishment_Plan!$AK$7:$AK$54,0)))</f>
        <v>REORDER REQUIRED</v>
      </c>
      <c r="E41" s="28" t="n">
        <f aca="false">IF($A41&gt;$H$9,"",INDEX(Replenishment_Plan!$S$7:$S$54,MATCH($A41,Replenishment_Plan!$AK$7:$AK$54,0)))</f>
        <v>1.10556621880998</v>
      </c>
      <c r="F41" s="19" t="n">
        <f aca="false">IF($A41&gt;$H$9,"",INDEX(Replenishment_Plan!$R$7:$R$54,MATCH($A41,Replenishment_Plan!$AK$7:$AK$54,0)))</f>
        <v>72</v>
      </c>
      <c r="G41" s="19" t="n">
        <f aca="false">IF($A41&gt;$H$9,"",INDEX(Replenishment_Plan!$N$7:$N$54,MATCH($A41,Replenishment_Plan!$AK$7:$AK$54,0)))</f>
        <v>92.7641301451939</v>
      </c>
      <c r="H41" s="19" t="n">
        <f aca="false">IF($A41&gt;$H$9,"",INDEX(Replenishment_Plan!$Z$7:$Z$54,MATCH($A41,Replenishment_Plan!$AK$7:$AK$54,0)))</f>
        <v>384.914763291823</v>
      </c>
      <c r="I41" s="41" t="n">
        <f aca="false">IF($A41&gt;$H$9,"",INDEX(Replenishment_Plan!$AD$7:$AD$54,MATCH($A41,Replenishment_Plan!$AK$7:$AK$54,0)))</f>
        <v>396</v>
      </c>
      <c r="J41" s="7" t="str">
        <f aca="false">IF($A41&gt;$H$9,"",INDEX(Replenishment_Plan!$AH$7:$AH$54,MATCH($A41,Replenishment_Plan!$AK$7:$AK$54,0)))</f>
        <v>Inventory position of 72 units is 21 units below the reorder point of 93 units. Replenishment is required. EOQ recommends approximately 385 units, rounded to 396 (case pack 12).</v>
      </c>
    </row>
    <row r="42" customFormat="false" ht="23.85" hidden="false" customHeight="false" outlineLevel="0" collapsed="false">
      <c r="A42" s="69" t="n">
        <v>9</v>
      </c>
      <c r="B42" s="10" t="str">
        <f aca="false">IF($A42&gt;$H$9,"",INDEX(Replenishment_Plan!$A$7:$A$54,MATCH($A42,Replenishment_Plan!$AK$7:$AK$54,0)))</f>
        <v>CLN-010</v>
      </c>
      <c r="C42" s="10" t="str">
        <f aca="false">IF($A42&gt;$H$9,"",INDEX(Replenishment_Plan!$B$7:$B$54,MATCH($A42,Replenishment_Plan!$AK$7:$AK$54,0)))</f>
        <v>Scrub Brush Set</v>
      </c>
      <c r="D42" s="12" t="str">
        <f aca="false">IF($A42&gt;$H$9,"",INDEX(Replenishment_Plan!$AG$7:$AG$54,MATCH($A42,Replenishment_Plan!$AK$7:$AK$54,0)))</f>
        <v>REORDER REQUIRED</v>
      </c>
      <c r="E42" s="28" t="n">
        <f aca="false">IF($A42&gt;$H$9,"",INDEX(Replenishment_Plan!$S$7:$S$54,MATCH($A42,Replenishment_Plan!$AK$7:$AK$54,0)))</f>
        <v>1.32450331125828</v>
      </c>
      <c r="F42" s="19" t="n">
        <f aca="false">IF($A42&gt;$H$9,"",INDEX(Replenishment_Plan!$R$7:$R$54,MATCH($A42,Replenishment_Plan!$AK$7:$AK$54,0)))</f>
        <v>50</v>
      </c>
      <c r="G42" s="19" t="n">
        <f aca="false">IF($A42&gt;$H$9,"",INDEX(Replenishment_Plan!$N$7:$N$54,MATCH($A42,Replenishment_Plan!$AK$7:$AK$54,0)))</f>
        <v>59.7340024966738</v>
      </c>
      <c r="H42" s="19" t="n">
        <f aca="false">IF($A42&gt;$H$9,"",INDEX(Replenishment_Plan!$Z$7:$Z$54,MATCH($A42,Replenishment_Plan!$AK$7:$AK$54,0)))</f>
        <v>207.221198239948</v>
      </c>
      <c r="I42" s="41" t="n">
        <f aca="false">IF($A42&gt;$H$9,"",INDEX(Replenishment_Plan!$AD$7:$AD$54,MATCH($A42,Replenishment_Plan!$AK$7:$AK$54,0)))</f>
        <v>216</v>
      </c>
      <c r="J42" s="7" t="str">
        <f aca="false">IF($A42&gt;$H$9,"",INDEX(Replenishment_Plan!$AH$7:$AH$54,MATCH($A42,Replenishment_Plan!$AK$7:$AK$54,0)))</f>
        <v>Inventory position of 50 units is 10 units below the reorder point of 60 units. Replenishment is required. EOQ recommends approximately 207 units, rounded to 216 (case pack 12).</v>
      </c>
    </row>
    <row r="43" customFormat="false" ht="23.85" hidden="false" customHeight="false" outlineLevel="0" collapsed="false">
      <c r="A43" s="69" t="n">
        <v>10</v>
      </c>
      <c r="B43" s="10" t="str">
        <f aca="false">IF($A43&gt;$H$9,"",INDEX(Replenishment_Plan!$A$7:$A$54,MATCH($A43,Replenishment_Plan!$AK$7:$AK$54,0)))</f>
        <v>KIT-009</v>
      </c>
      <c r="C43" s="10" t="str">
        <f aca="false">IF($A43&gt;$H$9,"",INDEX(Replenishment_Plan!$B$7:$B$54,MATCH($A43,Replenishment_Plan!$AK$7:$AK$54,0)))</f>
        <v>Digital Kitchen Scale</v>
      </c>
      <c r="D43" s="12" t="str">
        <f aca="false">IF($A43&gt;$H$9,"",INDEX(Replenishment_Plan!$AG$7:$AG$54,MATCH($A43,Replenishment_Plan!$AK$7:$AK$54,0)))</f>
        <v>REORDER REQUIRED</v>
      </c>
      <c r="E43" s="28" t="n">
        <f aca="false">IF($A43&gt;$H$9,"",INDEX(Replenishment_Plan!$S$7:$S$54,MATCH($A43,Replenishment_Plan!$AK$7:$AK$54,0)))</f>
        <v>2.0253164556962</v>
      </c>
      <c r="F43" s="19" t="n">
        <f aca="false">IF($A43&gt;$H$9,"",INDEX(Replenishment_Plan!$R$7:$R$54,MATCH($A43,Replenishment_Plan!$AK$7:$AK$54,0)))</f>
        <v>80</v>
      </c>
      <c r="G43" s="19" t="n">
        <f aca="false">IF($A43&gt;$H$9,"",INDEX(Replenishment_Plan!$N$7:$N$54,MATCH($A43,Replenishment_Plan!$AK$7:$AK$54,0)))</f>
        <v>90.2901332759726</v>
      </c>
      <c r="H43" s="19" t="n">
        <f aca="false">IF($A43&gt;$H$9,"",INDEX(Replenishment_Plan!$Z$7:$Z$54,MATCH($A43,Replenishment_Plan!$AK$7:$AK$54,0)))</f>
        <v>185.022521151706</v>
      </c>
      <c r="I43" s="41" t="n">
        <f aca="false">IF($A43&gt;$H$9,"",INDEX(Replenishment_Plan!$AD$7:$AD$54,MATCH($A43,Replenishment_Plan!$AK$7:$AK$54,0)))</f>
        <v>190</v>
      </c>
      <c r="J43" s="7" t="str">
        <f aca="false">IF($A43&gt;$H$9,"",INDEX(Replenishment_Plan!$AH$7:$AH$54,MATCH($A43,Replenishment_Plan!$AK$7:$AK$54,0)))</f>
        <v>Inventory position of 80 units is 10 units below the reorder point of 90 units. Replenishment is required. EOQ recommends approximately 185 units, rounded to 190 (case pack 5).</v>
      </c>
    </row>
    <row r="44" customFormat="false" ht="23.85" hidden="false" customHeight="false" outlineLevel="0" collapsed="false">
      <c r="A44" s="69" t="n">
        <v>11</v>
      </c>
      <c r="B44" s="10" t="str">
        <f aca="false">IF($A44&gt;$H$9,"",INDEX(Replenishment_Plan!$A$7:$A$54,MATCH($A44,Replenishment_Plan!$AK$7:$AK$54,0)))</f>
        <v>KIT-007</v>
      </c>
      <c r="C44" s="10" t="str">
        <f aca="false">IF($A44&gt;$H$9,"",INDEX(Replenishment_Plan!$B$7:$B$54,MATCH($A44,Replenishment_Plan!$AK$7:$AK$54,0)))</f>
        <v>Cast Iron Casserole 5L</v>
      </c>
      <c r="D44" s="12" t="str">
        <f aca="false">IF($A44&gt;$H$9,"",INDEX(Replenishment_Plan!$AG$7:$AG$54,MATCH($A44,Replenishment_Plan!$AK$7:$AK$54,0)))</f>
        <v>REORDER REQUIRED</v>
      </c>
      <c r="E44" s="28" t="n">
        <f aca="false">IF($A44&gt;$H$9,"",INDEX(Replenishment_Plan!$S$7:$S$54,MATCH($A44,Replenishment_Plan!$AK$7:$AK$54,0)))</f>
        <v>2.36619718309859</v>
      </c>
      <c r="F44" s="19" t="n">
        <f aca="false">IF($A44&gt;$H$9,"",INDEX(Replenishment_Plan!$R$7:$R$54,MATCH($A44,Replenishment_Plan!$AK$7:$AK$54,0)))</f>
        <v>21</v>
      </c>
      <c r="G44" s="19" t="n">
        <f aca="false">IF($A44&gt;$H$9,"",INDEX(Replenishment_Plan!$N$7:$N$54,MATCH($A44,Replenishment_Plan!$AK$7:$AK$54,0)))</f>
        <v>24.3220330055563</v>
      </c>
      <c r="H44" s="19" t="n">
        <f aca="false">IF($A44&gt;$H$9,"",INDEX(Replenishment_Plan!$Z$7:$Z$54,MATCH($A44,Replenishment_Plan!$AK$7:$AK$54,0)))</f>
        <v>46.6021963632869</v>
      </c>
      <c r="I44" s="41" t="n">
        <f aca="false">IF($A44&gt;$H$9,"",INDEX(Replenishment_Plan!$AD$7:$AD$54,MATCH($A44,Replenishment_Plan!$AK$7:$AK$54,0)))</f>
        <v>47</v>
      </c>
      <c r="J44" s="7" t="str">
        <f aca="false">IF($A44&gt;$H$9,"",INDEX(Replenishment_Plan!$AH$7:$AH$54,MATCH($A44,Replenishment_Plan!$AK$7:$AK$54,0)))</f>
        <v>Inventory position of 21 units is 3 units below the reorder point of 24 units. Replenishment is required. EOQ recommends approximately 47 units, rounded to 47 (case pack 1).</v>
      </c>
    </row>
    <row r="45" customFormat="false" ht="23.85" hidden="false" customHeight="false" outlineLevel="0" collapsed="false">
      <c r="A45" s="69" t="n">
        <v>12</v>
      </c>
      <c r="B45" s="10" t="str">
        <f aca="false">IF($A45&gt;$H$9,"",INDEX(Replenishment_Plan!$A$7:$A$54,MATCH($A45,Replenishment_Plan!$AK$7:$AK$54,0)))</f>
        <v>KIT-002</v>
      </c>
      <c r="C45" s="10" t="str">
        <f aca="false">IF($A45&gt;$H$9,"",INDEX(Replenishment_Plan!$B$7:$B$54,MATCH($A45,Replenishment_Plan!$AK$7:$AK$54,0)))</f>
        <v>Non-Stick Frying Pan 28cm</v>
      </c>
      <c r="D45" s="12" t="str">
        <f aca="false">IF($A45&gt;$H$9,"",INDEX(Replenishment_Plan!$AG$7:$AG$54,MATCH($A45,Replenishment_Plan!$AK$7:$AK$54,0)))</f>
        <v>REORDER REQUIRED</v>
      </c>
      <c r="E45" s="28" t="n">
        <f aca="false">IF($A45&gt;$H$9,"",INDEX(Replenishment_Plan!$S$7:$S$54,MATCH($A45,Replenishment_Plan!$AK$7:$AK$54,0)))</f>
        <v>2.92537313432836</v>
      </c>
      <c r="F45" s="19" t="n">
        <f aca="false">IF($A45&gt;$H$9,"",INDEX(Replenishment_Plan!$R$7:$R$54,MATCH($A45,Replenishment_Plan!$AK$7:$AK$54,0)))</f>
        <v>98</v>
      </c>
      <c r="G45" s="19" t="n">
        <f aca="false">IF($A45&gt;$H$9,"",INDEX(Replenishment_Plan!$N$7:$N$54,MATCH($A45,Replenishment_Plan!$AK$7:$AK$54,0)))</f>
        <v>104.512656065317</v>
      </c>
      <c r="H45" s="19" t="n">
        <f aca="false">IF($A45&gt;$H$9,"",INDEX(Replenishment_Plan!$Z$7:$Z$54,MATCH($A45,Replenishment_Plan!$AK$7:$AK$54,0)))</f>
        <v>177.968332218761</v>
      </c>
      <c r="I45" s="41" t="n">
        <f aca="false">IF($A45&gt;$H$9,"",INDEX(Replenishment_Plan!$AD$7:$AD$54,MATCH($A45,Replenishment_Plan!$AK$7:$AK$54,0)))</f>
        <v>180</v>
      </c>
      <c r="J45" s="7" t="str">
        <f aca="false">IF($A45&gt;$H$9,"",INDEX(Replenishment_Plan!$AH$7:$AH$54,MATCH($A45,Replenishment_Plan!$AK$7:$AK$54,0)))</f>
        <v>Inventory position of 98 units is 7 units below the reorder point of 105 units. Replenishment is required. EOQ recommends approximately 178 units, rounded to 180 (case pack 4).</v>
      </c>
    </row>
    <row r="46" customFormat="false" ht="23.85" hidden="false" customHeight="false" outlineLevel="0" collapsed="false">
      <c r="A46" s="69" t="n">
        <v>13</v>
      </c>
      <c r="B46" s="10" t="str">
        <f aca="false">IF($A46&gt;$H$9,"",INDEX(Replenishment_Plan!$A$7:$A$54,MATCH($A46,Replenishment_Plan!$AK$7:$AK$54,0)))</f>
        <v>BTH-002</v>
      </c>
      <c r="C46" s="10" t="str">
        <f aca="false">IF($A46&gt;$H$9,"",INDEX(Replenishment_Plan!$B$7:$B$54,MATCH($A46,Replenishment_Plan!$AK$7:$AK$54,0)))</f>
        <v>Hand Towel 50x100 White</v>
      </c>
      <c r="D46" s="12" t="str">
        <f aca="false">IF($A46&gt;$H$9,"",INDEX(Replenishment_Plan!$AG$7:$AG$54,MATCH($A46,Replenishment_Plan!$AK$7:$AK$54,0)))</f>
        <v>REORDER REQUIRED</v>
      </c>
      <c r="E46" s="28" t="n">
        <f aca="false">IF($A46&gt;$H$9,"",INDEX(Replenishment_Plan!$S$7:$S$54,MATCH($A46,Replenishment_Plan!$AK$7:$AK$54,0)))</f>
        <v>3.11111111111111</v>
      </c>
      <c r="F46" s="19" t="n">
        <f aca="false">IF($A46&gt;$H$9,"",INDEX(Replenishment_Plan!$R$7:$R$54,MATCH($A46,Replenishment_Plan!$AK$7:$AK$54,0)))</f>
        <v>455</v>
      </c>
      <c r="G46" s="19" t="n">
        <f aca="false">IF($A46&gt;$H$9,"",INDEX(Replenishment_Plan!$N$7:$N$54,MATCH($A46,Replenishment_Plan!$AK$7:$AK$54,0)))</f>
        <v>478.816480331109</v>
      </c>
      <c r="H46" s="19" t="n">
        <f aca="false">IF($A46&gt;$H$9,"",INDEX(Replenishment_Plan!$Z$7:$Z$54,MATCH($A46,Replenishment_Plan!$AK$7:$AK$54,0)))</f>
        <v>755.231752510446</v>
      </c>
      <c r="I46" s="41" t="n">
        <f aca="false">IF($A46&gt;$H$9,"",INDEX(Replenishment_Plan!$AD$7:$AD$54,MATCH($A46,Replenishment_Plan!$AK$7:$AK$54,0)))</f>
        <v>760</v>
      </c>
      <c r="J46" s="7" t="str">
        <f aca="false">IF($A46&gt;$H$9,"",INDEX(Replenishment_Plan!$AH$7:$AH$54,MATCH($A46,Replenishment_Plan!$AK$7:$AK$54,0)))</f>
        <v>Inventory position of 455 units is 24 units below the reorder point of 479 units. Replenishment is required. EOQ recommends approximately 755 units, rounded to 760 (case pack 20).</v>
      </c>
    </row>
    <row r="47" customFormat="false" ht="23.85" hidden="false" customHeight="false" outlineLevel="0" collapsed="false">
      <c r="A47" s="69" t="n">
        <v>14</v>
      </c>
      <c r="B47" s="10" t="str">
        <f aca="false">IF($A47&gt;$H$9,"",INDEX(Replenishment_Plan!$A$7:$A$54,MATCH($A47,Replenishment_Plan!$AK$7:$AK$54,0)))</f>
        <v>BTH-009</v>
      </c>
      <c r="C47" s="10" t="str">
        <f aca="false">IF($A47&gt;$H$9,"",INDEX(Replenishment_Plan!$B$7:$B$54,MATCH($A47,Replenishment_Plan!$AK$7:$AK$54,0)))</f>
        <v>Woven Laundry Basket</v>
      </c>
      <c r="D47" s="12" t="str">
        <f aca="false">IF($A47&gt;$H$9,"",INDEX(Replenishment_Plan!$AG$7:$AG$54,MATCH($A47,Replenishment_Plan!$AK$7:$AK$54,0)))</f>
        <v>REORDER REQUIRED</v>
      </c>
      <c r="E47" s="28" t="n">
        <f aca="false">IF($A47&gt;$H$9,"",INDEX(Replenishment_Plan!$S$7:$S$54,MATCH($A47,Replenishment_Plan!$AK$7:$AK$54,0)))</f>
        <v>3.43347639484979</v>
      </c>
      <c r="F47" s="19" t="n">
        <f aca="false">IF($A47&gt;$H$9,"",INDEX(Replenishment_Plan!$R$7:$R$54,MATCH($A47,Replenishment_Plan!$AK$7:$AK$54,0)))</f>
        <v>100</v>
      </c>
      <c r="G47" s="19" t="n">
        <f aca="false">IF($A47&gt;$H$9,"",INDEX(Replenishment_Plan!$N$7:$N$54,MATCH($A47,Replenishment_Plan!$AK$7:$AK$54,0)))</f>
        <v>118.106746609531</v>
      </c>
      <c r="H47" s="19" t="n">
        <f aca="false">IF($A47&gt;$H$9,"",INDEX(Replenishment_Plan!$Z$7:$Z$54,MATCH($A47,Replenishment_Plan!$AK$7:$AK$54,0)))</f>
        <v>180.148748062737</v>
      </c>
      <c r="I47" s="41" t="n">
        <f aca="false">IF($A47&gt;$H$9,"",INDEX(Replenishment_Plan!$AD$7:$AD$54,MATCH($A47,Replenishment_Plan!$AK$7:$AK$54,0)))</f>
        <v>184</v>
      </c>
      <c r="J47" s="7" t="str">
        <f aca="false">IF($A47&gt;$H$9,"",INDEX(Replenishment_Plan!$AH$7:$AH$54,MATCH($A47,Replenishment_Plan!$AK$7:$AK$54,0)))</f>
        <v>Inventory position of 100 units is 18 units below the reorder point of 118 units. Replenishment is required. EOQ recommends approximately 180 units, rounded to 184 (case pack 4).</v>
      </c>
    </row>
    <row r="48" customFormat="false" ht="23.85" hidden="false" customHeight="false" outlineLevel="0" collapsed="false">
      <c r="A48" s="69" t="n">
        <v>15</v>
      </c>
      <c r="B48" s="10" t="str">
        <f aca="false">IF($A48&gt;$H$9,"",INDEX(Replenishment_Plan!$A$7:$A$54,MATCH($A48,Replenishment_Plan!$AK$7:$AK$54,0)))</f>
        <v>BED-003</v>
      </c>
      <c r="C48" s="10" t="str">
        <f aca="false">IF($A48&gt;$H$9,"",INDEX(Replenishment_Plan!$B$7:$B$54,MATCH($A48,Replenishment_Plan!$AK$7:$AK$54,0)))</f>
        <v>Cotton Bed Linen Set Grey</v>
      </c>
      <c r="D48" s="12" t="str">
        <f aca="false">IF($A48&gt;$H$9,"",INDEX(Replenishment_Plan!$AG$7:$AG$54,MATCH($A48,Replenishment_Plan!$AK$7:$AK$54,0)))</f>
        <v>REORDER REQUIRED</v>
      </c>
      <c r="E48" s="28" t="n">
        <f aca="false">IF($A48&gt;$H$9,"",INDEX(Replenishment_Plan!$S$7:$S$54,MATCH($A48,Replenishment_Plan!$AK$7:$AK$54,0)))</f>
        <v>4.21691973969631</v>
      </c>
      <c r="F48" s="19" t="n">
        <f aca="false">IF($A48&gt;$H$9,"",INDEX(Replenishment_Plan!$R$7:$R$54,MATCH($A48,Replenishment_Plan!$AK$7:$AK$54,0)))</f>
        <v>243</v>
      </c>
      <c r="G48" s="19" t="n">
        <f aca="false">IF($A48&gt;$H$9,"",INDEX(Replenishment_Plan!$N$7:$N$54,MATCH($A48,Replenishment_Plan!$AK$7:$AK$54,0)))</f>
        <v>303.142470806895</v>
      </c>
      <c r="H48" s="19" t="n">
        <f aca="false">IF($A48&gt;$H$9,"",INDEX(Replenishment_Plan!$Z$7:$Z$54,MATCH($A48,Replenishment_Plan!$AK$7:$AK$54,0)))</f>
        <v>208.255599532983</v>
      </c>
      <c r="I48" s="41" t="n">
        <f aca="false">IF($A48&gt;$H$9,"",INDEX(Replenishment_Plan!$AD$7:$AD$54,MATCH($A48,Replenishment_Plan!$AK$7:$AK$54,0)))</f>
        <v>210</v>
      </c>
      <c r="J48" s="7" t="str">
        <f aca="false">IF($A48&gt;$H$9,"",INDEX(Replenishment_Plan!$AH$7:$AH$54,MATCH($A48,Replenishment_Plan!$AK$7:$AK$54,0)))</f>
        <v>Inventory position of 243 units is 60 units below the reorder point of 303 units. Replenishment is required. EOQ recommends approximately 208 units, rounded to 210 (case pack 5).</v>
      </c>
    </row>
    <row r="49" customFormat="false" ht="23.85" hidden="false" customHeight="false" outlineLevel="0" collapsed="false">
      <c r="A49" s="69" t="n">
        <v>16</v>
      </c>
      <c r="B49" s="10" t="str">
        <f aca="false">IF($A49&gt;$H$9,"",INDEX(Replenishment_Plan!$A$7:$A$54,MATCH($A49,Replenishment_Plan!$AK$7:$AK$54,0)))</f>
        <v>BED-008</v>
      </c>
      <c r="C49" s="10" t="str">
        <f aca="false">IF($A49&gt;$H$9,"",INDEX(Replenishment_Plan!$B$7:$B$54,MATCH($A49,Replenishment_Plan!$AK$7:$AK$54,0)))</f>
        <v>Silk Pillowcase</v>
      </c>
      <c r="D49" s="12" t="str">
        <f aca="false">IF($A49&gt;$H$9,"",INDEX(Replenishment_Plan!$AG$7:$AG$54,MATCH($A49,Replenishment_Plan!$AK$7:$AK$54,0)))</f>
        <v>REORDER REQUIRED</v>
      </c>
      <c r="E49" s="28" t="n">
        <f aca="false">IF($A49&gt;$H$9,"",INDEX(Replenishment_Plan!$S$7:$S$54,MATCH($A49,Replenishment_Plan!$AK$7:$AK$54,0)))</f>
        <v>5.18518518518519</v>
      </c>
      <c r="F49" s="19" t="n">
        <f aca="false">IF($A49&gt;$H$9,"",INDEX(Replenishment_Plan!$R$7:$R$54,MATCH($A49,Replenishment_Plan!$AK$7:$AK$54,0)))</f>
        <v>35</v>
      </c>
      <c r="G49" s="19" t="n">
        <f aca="false">IF($A49&gt;$H$9,"",INDEX(Replenishment_Plan!$N$7:$N$54,MATCH($A49,Replenishment_Plan!$AK$7:$AK$54,0)))</f>
        <v>36.92792027336</v>
      </c>
      <c r="H49" s="19" t="n">
        <f aca="false">IF($A49&gt;$H$9,"",INDEX(Replenishment_Plan!$Z$7:$Z$54,MATCH($A49,Replenishment_Plan!$AK$7:$AK$54,0)))</f>
        <v>51.7807879430199</v>
      </c>
      <c r="I49" s="41" t="n">
        <f aca="false">IF($A49&gt;$H$9,"",INDEX(Replenishment_Plan!$AD$7:$AD$54,MATCH($A49,Replenishment_Plan!$AK$7:$AK$54,0)))</f>
        <v>52</v>
      </c>
      <c r="J49" s="7" t="str">
        <f aca="false">IF($A49&gt;$H$9,"",INDEX(Replenishment_Plan!$AH$7:$AH$54,MATCH($A49,Replenishment_Plan!$AK$7:$AK$54,0)))</f>
        <v>Inventory position of 35 units is 2 units below the reorder point of 37 units. Replenishment is required. EOQ recommends approximately 52 units, rounded to 52 (case pack 2).</v>
      </c>
    </row>
    <row r="50" customFormat="false" ht="23.85" hidden="false" customHeight="false" outlineLevel="0" collapsed="false">
      <c r="A50" s="69" t="n">
        <v>17</v>
      </c>
      <c r="B50" s="10" t="str">
        <f aca="false">IF($A50&gt;$H$9,"",INDEX(Replenishment_Plan!$A$7:$A$54,MATCH($A50,Replenishment_Plan!$AK$7:$AK$54,0)))</f>
        <v>ELE-002</v>
      </c>
      <c r="C50" s="10" t="str">
        <f aca="false">IF($A50&gt;$H$9,"",INDEX(Replenishment_Plan!$B$7:$B$54,MATCH($A50,Replenishment_Plan!$AK$7:$AK$54,0)))</f>
        <v>Electric Kettle 1.7L</v>
      </c>
      <c r="D50" s="12" t="str">
        <f aca="false">IF($A50&gt;$H$9,"",INDEX(Replenishment_Plan!$AG$7:$AG$54,MATCH($A50,Replenishment_Plan!$AK$7:$AK$54,0)))</f>
        <v>REORDER REQUIRED</v>
      </c>
      <c r="E50" s="28" t="n">
        <f aca="false">IF($A50&gt;$H$9,"",INDEX(Replenishment_Plan!$S$7:$S$54,MATCH($A50,Replenishment_Plan!$AK$7:$AK$54,0)))</f>
        <v>6.19178082191781</v>
      </c>
      <c r="F50" s="19" t="n">
        <f aca="false">IF($A50&gt;$H$9,"",INDEX(Replenishment_Plan!$R$7:$R$54,MATCH($A50,Replenishment_Plan!$AK$7:$AK$54,0)))</f>
        <v>226</v>
      </c>
      <c r="G50" s="19" t="n">
        <f aca="false">IF($A50&gt;$H$9,"",INDEX(Replenishment_Plan!$N$7:$N$54,MATCH($A50,Replenishment_Plan!$AK$7:$AK$54,0)))</f>
        <v>272.207721416353</v>
      </c>
      <c r="H50" s="19" t="n">
        <f aca="false">IF($A50&gt;$H$9,"",INDEX(Replenishment_Plan!$Z$7:$Z$54,MATCH($A50,Replenishment_Plan!$AK$7:$AK$54,0)))</f>
        <v>234.740762984301</v>
      </c>
      <c r="I50" s="41" t="n">
        <f aca="false">IF($A50&gt;$H$9,"",INDEX(Replenishment_Plan!$AD$7:$AD$54,MATCH($A50,Replenishment_Plan!$AK$7:$AK$54,0)))</f>
        <v>236</v>
      </c>
      <c r="J50" s="7" t="str">
        <f aca="false">IF($A50&gt;$H$9,"",INDEX(Replenishment_Plan!$AH$7:$AH$54,MATCH($A50,Replenishment_Plan!$AK$7:$AK$54,0)))</f>
        <v>Inventory position of 226 units is 46 units below the reorder point of 272 units. Replenishment is required. EOQ recommends approximately 235 units, rounded to 236 (case pack 4).</v>
      </c>
    </row>
    <row r="51" customFormat="false" ht="23.85" hidden="false" customHeight="false" outlineLevel="0" collapsed="false">
      <c r="A51" s="69" t="n">
        <v>18</v>
      </c>
      <c r="B51" s="10" t="str">
        <f aca="false">IF($A51&gt;$H$9,"",INDEX(Replenishment_Plan!$A$7:$A$54,MATCH($A51,Replenishment_Plan!$AK$7:$AK$54,0)))</f>
        <v>BED-005</v>
      </c>
      <c r="C51" s="10" t="str">
        <f aca="false">IF($A51&gt;$H$9,"",INDEX(Replenishment_Plan!$B$7:$B$54,MATCH($A51,Replenishment_Plan!$AK$7:$AK$54,0)))</f>
        <v>Weighted Blanket 7kg</v>
      </c>
      <c r="D51" s="12" t="str">
        <f aca="false">IF($A51&gt;$H$9,"",INDEX(Replenishment_Plan!$AG$7:$AG$54,MATCH($A51,Replenishment_Plan!$AK$7:$AK$54,0)))</f>
        <v>EXCESS STOCK</v>
      </c>
      <c r="E51" s="28" t="n">
        <f aca="false">IF($A51&gt;$H$9,"",INDEX(Replenishment_Plan!$S$7:$S$54,MATCH($A51,Replenishment_Plan!$AK$7:$AK$54,0)))</f>
        <v>21.531914893617</v>
      </c>
      <c r="F51" s="19" t="n">
        <f aca="false">IF($A51&gt;$H$9,"",INDEX(Replenishment_Plan!$R$7:$R$54,MATCH($A51,Replenishment_Plan!$AK$7:$AK$54,0)))</f>
        <v>253</v>
      </c>
      <c r="G51" s="19" t="n">
        <f aca="false">IF($A51&gt;$H$9,"",INDEX(Replenishment_Plan!$N$7:$N$54,MATCH($A51,Replenishment_Plan!$AK$7:$AK$54,0)))</f>
        <v>54.889653224552</v>
      </c>
      <c r="H51" s="19" t="n">
        <f aca="false">IF($A51&gt;$H$9,"",INDEX(Replenishment_Plan!$Z$7:$Z$54,MATCH($A51,Replenishment_Plan!$AK$7:$AK$54,0)))</f>
        <v>71.9027120489902</v>
      </c>
      <c r="I51" s="41" t="n">
        <f aca="false">IF($A51&gt;$H$9,"",INDEX(Replenishment_Plan!$AD$7:$AD$54,MATCH($A51,Replenishment_Plan!$AK$7:$AK$54,0)))</f>
        <v>0</v>
      </c>
      <c r="J51" s="7" t="str">
        <f aca="false">IF($A51&gt;$H$9,"",INDEX(Replenishment_Plan!$AH$7:$AH$54,MATCH($A51,Replenishment_Plan!$AK$7:$AK$54,0)))</f>
        <v>Inventory position represents 21.5 weeks of expected demand, above the 12-week excess-stock threshold. No replenishment is triggered.</v>
      </c>
    </row>
    <row r="52" customFormat="false" ht="23.85" hidden="false" customHeight="false" outlineLevel="0" collapsed="false">
      <c r="A52" s="69" t="n">
        <v>19</v>
      </c>
      <c r="B52" s="10" t="str">
        <f aca="false">IF($A52&gt;$H$9,"",INDEX(Replenishment_Plan!$A$7:$A$54,MATCH($A52,Replenishment_Plan!$AK$7:$AK$54,0)))</f>
        <v>ELE-005</v>
      </c>
      <c r="C52" s="10" t="str">
        <f aca="false">IF($A52&gt;$H$9,"",INDEX(Replenishment_Plan!$B$7:$B$54,MATCH($A52,Replenishment_Plan!$AK$7:$AK$54,0)))</f>
        <v>Mini Bluetooth Speaker</v>
      </c>
      <c r="D52" s="12" t="str">
        <f aca="false">IF($A52&gt;$H$9,"",INDEX(Replenishment_Plan!$AG$7:$AG$54,MATCH($A52,Replenishment_Plan!$AK$7:$AK$54,0)))</f>
        <v>EXCESS STOCK</v>
      </c>
      <c r="E52" s="28" t="n">
        <f aca="false">IF($A52&gt;$H$9,"",INDEX(Replenishment_Plan!$S$7:$S$54,MATCH($A52,Replenishment_Plan!$AK$7:$AK$54,0)))</f>
        <v>21.2710280373832</v>
      </c>
      <c r="F52" s="19" t="n">
        <f aca="false">IF($A52&gt;$H$9,"",INDEX(Replenishment_Plan!$R$7:$R$54,MATCH($A52,Replenishment_Plan!$AK$7:$AK$54,0)))</f>
        <v>569</v>
      </c>
      <c r="G52" s="19" t="n">
        <f aca="false">IF($A52&gt;$H$9,"",INDEX(Replenishment_Plan!$N$7:$N$54,MATCH($A52,Replenishment_Plan!$AK$7:$AK$54,0)))</f>
        <v>180.558428552796</v>
      </c>
      <c r="H52" s="19" t="n">
        <f aca="false">IF($A52&gt;$H$9,"",INDEX(Replenishment_Plan!$Z$7:$Z$54,MATCH($A52,Replenishment_Plan!$AK$7:$AK$54,0)))</f>
        <v>233.303310697917</v>
      </c>
      <c r="I52" s="41" t="n">
        <f aca="false">IF($A52&gt;$H$9,"",INDEX(Replenishment_Plan!$AD$7:$AD$54,MATCH($A52,Replenishment_Plan!$AK$7:$AK$54,0)))</f>
        <v>0</v>
      </c>
      <c r="J52" s="7" t="str">
        <f aca="false">IF($A52&gt;$H$9,"",INDEX(Replenishment_Plan!$AH$7:$AH$54,MATCH($A52,Replenishment_Plan!$AK$7:$AK$54,0)))</f>
        <v>Inventory position represents 21.3 weeks of expected demand, above the 12-week excess-stock threshold. No replenishment is triggered.</v>
      </c>
    </row>
    <row r="53" customFormat="false" ht="23.85" hidden="false" customHeight="false" outlineLevel="0" collapsed="false">
      <c r="A53" s="69" t="n">
        <v>20</v>
      </c>
      <c r="B53" s="10" t="str">
        <f aca="false">IF($A53&gt;$H$9,"",INDEX(Replenishment_Plan!$A$7:$A$54,MATCH($A53,Replenishment_Plan!$AK$7:$AK$54,0)))</f>
        <v>CLN-006</v>
      </c>
      <c r="C53" s="10" t="str">
        <f aca="false">IF($A53&gt;$H$9,"",INDEX(Replenishment_Plan!$B$7:$B$54,MATCH($A53,Replenishment_Plan!$AK$7:$AK$54,0)))</f>
        <v>Reusable Mop Pads 3-Pack</v>
      </c>
      <c r="D53" s="12" t="str">
        <f aca="false">IF($A53&gt;$H$9,"",INDEX(Replenishment_Plan!$AG$7:$AG$54,MATCH($A53,Replenishment_Plan!$AK$7:$AK$54,0)))</f>
        <v>EXCESS STOCK</v>
      </c>
      <c r="E53" s="28" t="n">
        <f aca="false">IF($A53&gt;$H$9,"",INDEX(Replenishment_Plan!$S$7:$S$54,MATCH($A53,Replenishment_Plan!$AK$7:$AK$54,0)))</f>
        <v>19.7872340425532</v>
      </c>
      <c r="F53" s="19" t="n">
        <f aca="false">IF($A53&gt;$H$9,"",INDEX(Replenishment_Plan!$R$7:$R$54,MATCH($A53,Replenishment_Plan!$AK$7:$AK$54,0)))</f>
        <v>930</v>
      </c>
      <c r="G53" s="19" t="n">
        <f aca="false">IF($A53&gt;$H$9,"",INDEX(Replenishment_Plan!$N$7:$N$54,MATCH($A53,Replenishment_Plan!$AK$7:$AK$54,0)))</f>
        <v>59.1747863285754</v>
      </c>
      <c r="H53" s="19" t="n">
        <f aca="false">IF($A53&gt;$H$9,"",INDEX(Replenishment_Plan!$Z$7:$Z$54,MATCH($A53,Replenishment_Plan!$AK$7:$AK$54,0)))</f>
        <v>292.472220903114</v>
      </c>
      <c r="I53" s="41" t="n">
        <f aca="false">IF($A53&gt;$H$9,"",INDEX(Replenishment_Plan!$AD$7:$AD$54,MATCH($A53,Replenishment_Plan!$AK$7:$AK$54,0)))</f>
        <v>0</v>
      </c>
      <c r="J53" s="7" t="str">
        <f aca="false">IF($A53&gt;$H$9,"",INDEX(Replenishment_Plan!$AH$7:$AH$54,MATCH($A53,Replenishment_Plan!$AK$7:$AK$54,0)))</f>
        <v>Inventory position represents 19.8 weeks of expected demand, above the 12-week excess-stock threshold. No replenishment is triggered.</v>
      </c>
    </row>
    <row r="54" customFormat="false" ht="23.85" hidden="false" customHeight="false" outlineLevel="0" collapsed="false">
      <c r="A54" s="69" t="n">
        <v>21</v>
      </c>
      <c r="B54" s="10" t="str">
        <f aca="false">IF($A54&gt;$H$9,"",INDEX(Replenishment_Plan!$A$7:$A$54,MATCH($A54,Replenishment_Plan!$AK$7:$AK$54,0)))</f>
        <v>BTH-008</v>
      </c>
      <c r="C54" s="10" t="str">
        <f aca="false">IF($A54&gt;$H$9,"",INDEX(Replenishment_Plan!$B$7:$B$54,MATCH($A54,Replenishment_Plan!$AK$7:$AK$54,0)))</f>
        <v>Chrome Towel Rail</v>
      </c>
      <c r="D54" s="12" t="str">
        <f aca="false">IF($A54&gt;$H$9,"",INDEX(Replenishment_Plan!$AG$7:$AG$54,MATCH($A54,Replenishment_Plan!$AK$7:$AK$54,0)))</f>
        <v>EXCESS STOCK</v>
      </c>
      <c r="E54" s="28" t="n">
        <f aca="false">IF($A54&gt;$H$9,"",INDEX(Replenishment_Plan!$S$7:$S$54,MATCH($A54,Replenishment_Plan!$AK$7:$AK$54,0)))</f>
        <v>19.3846153846154</v>
      </c>
      <c r="F54" s="19" t="n">
        <f aca="false">IF($A54&gt;$H$9,"",INDEX(Replenishment_Plan!$R$7:$R$54,MATCH($A54,Replenishment_Plan!$AK$7:$AK$54,0)))</f>
        <v>126</v>
      </c>
      <c r="G54" s="19" t="n">
        <f aca="false">IF($A54&gt;$H$9,"",INDEX(Replenishment_Plan!$N$7:$N$54,MATCH($A54,Replenishment_Plan!$AK$7:$AK$54,0)))</f>
        <v>25.7307252802462</v>
      </c>
      <c r="H54" s="19" t="n">
        <f aca="false">IF($A54&gt;$H$9,"",INDEX(Replenishment_Plan!$Z$7:$Z$54,MATCH($A54,Replenishment_Plan!$AK$7:$AK$54,0)))</f>
        <v>40.013155731321</v>
      </c>
      <c r="I54" s="41" t="n">
        <f aca="false">IF($A54&gt;$H$9,"",INDEX(Replenishment_Plan!$AD$7:$AD$54,MATCH($A54,Replenishment_Plan!$AK$7:$AK$54,0)))</f>
        <v>0</v>
      </c>
      <c r="J54" s="7" t="str">
        <f aca="false">IF($A54&gt;$H$9,"",INDEX(Replenishment_Plan!$AH$7:$AH$54,MATCH($A54,Replenishment_Plan!$AK$7:$AK$54,0)))</f>
        <v>Inventory position represents 19.4 weeks of expected demand, above the 12-week excess-stock threshold. No replenishment is triggered.</v>
      </c>
    </row>
    <row r="55" customFormat="false" ht="23.85" hidden="false" customHeight="false" outlineLevel="0" collapsed="false">
      <c r="A55" s="69" t="n">
        <v>22</v>
      </c>
      <c r="B55" s="10" t="str">
        <f aca="false">IF($A55&gt;$H$9,"",INDEX(Replenishment_Plan!$A$7:$A$54,MATCH($A55,Replenishment_Plan!$AK$7:$AK$54,0)))</f>
        <v>KIT-008</v>
      </c>
      <c r="C55" s="10" t="str">
        <f aca="false">IF($A55&gt;$H$9,"",INDEX(Replenishment_Plan!$B$7:$B$54,MATCH($A55,Replenishment_Plan!$AK$7:$AK$54,0)))</f>
        <v>Espresso Cup Set 6pc</v>
      </c>
      <c r="D55" s="12" t="str">
        <f aca="false">IF($A55&gt;$H$9,"",INDEX(Replenishment_Plan!$AG$7:$AG$54,MATCH($A55,Replenishment_Plan!$AK$7:$AK$54,0)))</f>
        <v>EXCESS STOCK</v>
      </c>
      <c r="E55" s="28" t="n">
        <f aca="false">IF($A55&gt;$H$9,"",INDEX(Replenishment_Plan!$S$7:$S$54,MATCH($A55,Replenishment_Plan!$AK$7:$AK$54,0)))</f>
        <v>18.4578313253012</v>
      </c>
      <c r="F55" s="19" t="n">
        <f aca="false">IF($A55&gt;$H$9,"",INDEX(Replenishment_Plan!$R$7:$R$54,MATCH($A55,Replenishment_Plan!$AK$7:$AK$54,0)))</f>
        <v>766</v>
      </c>
      <c r="G55" s="19" t="n">
        <f aca="false">IF($A55&gt;$H$9,"",INDEX(Replenishment_Plan!$N$7:$N$54,MATCH($A55,Replenishment_Plan!$AK$7:$AK$54,0)))</f>
        <v>93.7290010122327</v>
      </c>
      <c r="H55" s="19" t="n">
        <f aca="false">IF($A55&gt;$H$9,"",INDEX(Replenishment_Plan!$Z$7:$Z$54,MATCH($A55,Replenishment_Plan!$AK$7:$AK$54,0)))</f>
        <v>213.146848316761</v>
      </c>
      <c r="I55" s="41" t="n">
        <f aca="false">IF($A55&gt;$H$9,"",INDEX(Replenishment_Plan!$AD$7:$AD$54,MATCH($A55,Replenishment_Plan!$AK$7:$AK$54,0)))</f>
        <v>0</v>
      </c>
      <c r="J55" s="7" t="str">
        <f aca="false">IF($A55&gt;$H$9,"",INDEX(Replenishment_Plan!$AH$7:$AH$54,MATCH($A55,Replenishment_Plan!$AK$7:$AK$54,0)))</f>
        <v>Inventory position represents 18.5 weeks of expected demand, above the 12-week excess-stock threshold. No replenishment is triggered.</v>
      </c>
    </row>
    <row r="56" customFormat="false" ht="23.85" hidden="false" customHeight="false" outlineLevel="0" collapsed="false">
      <c r="A56" s="69" t="n">
        <v>23</v>
      </c>
      <c r="B56" s="10" t="str">
        <f aca="false">IF($A56&gt;$H$9,"",INDEX(Replenishment_Plan!$A$7:$A$54,MATCH($A56,Replenishment_Plan!$AK$7:$AK$54,0)))</f>
        <v>ELE-007</v>
      </c>
      <c r="C56" s="10" t="str">
        <f aca="false">IF($A56&gt;$H$9,"",INDEX(Replenishment_Plan!$B$7:$B$54,MATCH($A56,Replenishment_Plan!$AK$7:$AK$54,0)))</f>
        <v>Compact Air Purifier</v>
      </c>
      <c r="D56" s="12" t="str">
        <f aca="false">IF($A56&gt;$H$9,"",INDEX(Replenishment_Plan!$AG$7:$AG$54,MATCH($A56,Replenishment_Plan!$AK$7:$AK$54,0)))</f>
        <v>EXCESS STOCK</v>
      </c>
      <c r="E56" s="28" t="n">
        <f aca="false">IF($A56&gt;$H$9,"",INDEX(Replenishment_Plan!$S$7:$S$54,MATCH($A56,Replenishment_Plan!$AK$7:$AK$54,0)))</f>
        <v>15.7377049180328</v>
      </c>
      <c r="F56" s="19" t="n">
        <f aca="false">IF($A56&gt;$H$9,"",INDEX(Replenishment_Plan!$R$7:$R$54,MATCH($A56,Replenishment_Plan!$AK$7:$AK$54,0)))</f>
        <v>120</v>
      </c>
      <c r="G56" s="19" t="n">
        <f aca="false">IF($A56&gt;$H$9,"",INDEX(Replenishment_Plan!$N$7:$N$54,MATCH($A56,Replenishment_Plan!$AK$7:$AK$54,0)))</f>
        <v>56.4334004605924</v>
      </c>
      <c r="H56" s="19" t="n">
        <f aca="false">IF($A56&gt;$H$9,"",INDEX(Replenishment_Plan!$Z$7:$Z$54,MATCH($A56,Replenishment_Plan!$AK$7:$AK$54,0)))</f>
        <v>54.5321006380646</v>
      </c>
      <c r="I56" s="41" t="n">
        <f aca="false">IF($A56&gt;$H$9,"",INDEX(Replenishment_Plan!$AD$7:$AD$54,MATCH($A56,Replenishment_Plan!$AK$7:$AK$54,0)))</f>
        <v>0</v>
      </c>
      <c r="J56" s="7" t="str">
        <f aca="false">IF($A56&gt;$H$9,"",INDEX(Replenishment_Plan!$AH$7:$AH$54,MATCH($A56,Replenishment_Plan!$AK$7:$AK$54,0)))</f>
        <v>Inventory position represents 15.7 weeks of expected demand, above the 12-week excess-stock threshold. No replenishment is triggered.</v>
      </c>
    </row>
    <row r="57" customFormat="false" ht="23.85" hidden="false" customHeight="false" outlineLevel="0" collapsed="false">
      <c r="A57" s="69" t="n">
        <v>24</v>
      </c>
      <c r="B57" s="10" t="str">
        <f aca="false">IF($A57&gt;$H$9,"",INDEX(Replenishment_Plan!$A$7:$A$54,MATCH($A57,Replenishment_Plan!$AK$7:$AK$54,0)))</f>
        <v>BTH-004</v>
      </c>
      <c r="C57" s="10" t="str">
        <f aca="false">IF($A57&gt;$H$9,"",INDEX(Replenishment_Plan!$B$7:$B$54,MATCH($A57,Replenishment_Plan!$AK$7:$AK$54,0)))</f>
        <v>Waterproof Shower Curtain</v>
      </c>
      <c r="D57" s="12" t="str">
        <f aca="false">IF($A57&gt;$H$9,"",INDEX(Replenishment_Plan!$AG$7:$AG$54,MATCH($A57,Replenishment_Plan!$AK$7:$AK$54,0)))</f>
        <v>EXCESS STOCK</v>
      </c>
      <c r="E57" s="28" t="n">
        <f aca="false">IF($A57&gt;$H$9,"",INDEX(Replenishment_Plan!$S$7:$S$54,MATCH($A57,Replenishment_Plan!$AK$7:$AK$54,0)))</f>
        <v>15.4759825327511</v>
      </c>
      <c r="F57" s="19" t="n">
        <f aca="false">IF($A57&gt;$H$9,"",INDEX(Replenishment_Plan!$R$7:$R$54,MATCH($A57,Replenishment_Plan!$AK$7:$AK$54,0)))</f>
        <v>443</v>
      </c>
      <c r="G57" s="19" t="n">
        <f aca="false">IF($A57&gt;$H$9,"",INDEX(Replenishment_Plan!$N$7:$N$54,MATCH($A57,Replenishment_Plan!$AK$7:$AK$54,0)))</f>
        <v>99.3043575968949</v>
      </c>
      <c r="H57" s="19" t="n">
        <f aca="false">IF($A57&gt;$H$9,"",INDEX(Replenishment_Plan!$Z$7:$Z$54,MATCH($A57,Replenishment_Plan!$AK$7:$AK$54,0)))</f>
        <v>204.607092985556</v>
      </c>
      <c r="I57" s="41" t="n">
        <f aca="false">IF($A57&gt;$H$9,"",INDEX(Replenishment_Plan!$AD$7:$AD$54,MATCH($A57,Replenishment_Plan!$AK$7:$AK$54,0)))</f>
        <v>0</v>
      </c>
      <c r="J57" s="7" t="str">
        <f aca="false">IF($A57&gt;$H$9,"",INDEX(Replenishment_Plan!$AH$7:$AH$54,MATCH($A57,Replenishment_Plan!$AK$7:$AK$54,0)))</f>
        <v>Inventory position represents 15.5 weeks of expected demand, above the 12-week excess-stock threshold. No replenishment is triggered.</v>
      </c>
    </row>
    <row r="58" customFormat="false" ht="23.85" hidden="false" customHeight="false" outlineLevel="0" collapsed="false">
      <c r="A58" s="69" t="n">
        <v>25</v>
      </c>
      <c r="B58" s="10" t="str">
        <f aca="false">IF($A58&gt;$H$9,"",INDEX(Replenishment_Plan!$A$7:$A$54,MATCH($A58,Replenishment_Plan!$AK$7:$AK$54,0)))</f>
        <v>KIT-005</v>
      </c>
      <c r="C58" s="10" t="str">
        <f aca="false">IF($A58&gt;$H$9,"",INDEX(Replenishment_Plan!$B$7:$B$54,MATCH($A58,Replenishment_Plan!$AK$7:$AK$54,0)))</f>
        <v>Stainless Saucepan 2L</v>
      </c>
      <c r="D58" s="12" t="str">
        <f aca="false">IF($A58&gt;$H$9,"",INDEX(Replenishment_Plan!$AG$7:$AG$54,MATCH($A58,Replenishment_Plan!$AK$7:$AK$54,0)))</f>
        <v>EXCESS STOCK</v>
      </c>
      <c r="E58" s="28" t="n">
        <f aca="false">IF($A58&gt;$H$9,"",INDEX(Replenishment_Plan!$S$7:$S$54,MATCH($A58,Replenishment_Plan!$AK$7:$AK$54,0)))</f>
        <v>13.9895287958115</v>
      </c>
      <c r="F58" s="19" t="n">
        <f aca="false">IF($A58&gt;$H$9,"",INDEX(Replenishment_Plan!$R$7:$R$54,MATCH($A58,Replenishment_Plan!$AK$7:$AK$54,0)))</f>
        <v>334</v>
      </c>
      <c r="G58" s="19" t="n">
        <f aca="false">IF($A58&gt;$H$9,"",INDEX(Replenishment_Plan!$N$7:$N$54,MATCH($A58,Replenishment_Plan!$AK$7:$AK$54,0)))</f>
        <v>58.6261788752383</v>
      </c>
      <c r="H58" s="19" t="n">
        <f aca="false">IF($A58&gt;$H$9,"",INDEX(Replenishment_Plan!$Z$7:$Z$54,MATCH($A58,Replenishment_Plan!$AK$7:$AK$54,0)))</f>
        <v>133.175501822649</v>
      </c>
      <c r="I58" s="41" t="n">
        <f aca="false">IF($A58&gt;$H$9,"",INDEX(Replenishment_Plan!$AD$7:$AD$54,MATCH($A58,Replenishment_Plan!$AK$7:$AK$54,0)))</f>
        <v>0</v>
      </c>
      <c r="J58" s="7" t="str">
        <f aca="false">IF($A58&gt;$H$9,"",INDEX(Replenishment_Plan!$AH$7:$AH$54,MATCH($A58,Replenishment_Plan!$AK$7:$AK$54,0)))</f>
        <v>Inventory position represents 14.0 weeks of expected demand, above the 12-week excess-stock threshold. No replenishment is triggered.</v>
      </c>
    </row>
    <row r="59" customFormat="false" ht="15" hidden="false" customHeight="false" outlineLevel="0" collapsed="false">
      <c r="A59" s="69" t="n">
        <v>26</v>
      </c>
      <c r="B59" s="10" t="str">
        <f aca="false">IF($A59&gt;$H$9,"",INDEX(Replenishment_Plan!$A$7:$A$54,MATCH($A59,Replenishment_Plan!$AK$7:$AK$54,0)))</f>
        <v/>
      </c>
      <c r="C59" s="10" t="str">
        <f aca="false">IF($A59&gt;$H$9,"",INDEX(Replenishment_Plan!$B$7:$B$54,MATCH($A59,Replenishment_Plan!$AK$7:$AK$54,0)))</f>
        <v/>
      </c>
      <c r="D59" s="12" t="str">
        <f aca="false">IF($A59&gt;$H$9,"",INDEX(Replenishment_Plan!$AG$7:$AG$54,MATCH($A59,Replenishment_Plan!$AK$7:$AK$54,0)))</f>
        <v/>
      </c>
      <c r="E59" s="28" t="str">
        <f aca="false">IF($A59&gt;$H$9,"",INDEX(Replenishment_Plan!$S$7:$S$54,MATCH($A59,Replenishment_Plan!$AK$7:$AK$54,0)))</f>
        <v/>
      </c>
      <c r="F59" s="19" t="str">
        <f aca="false">IF($A59&gt;$H$9,"",INDEX(Replenishment_Plan!$R$7:$R$54,MATCH($A59,Replenishment_Plan!$AK$7:$AK$54,0)))</f>
        <v/>
      </c>
      <c r="G59" s="19" t="str">
        <f aca="false">IF($A59&gt;$H$9,"",INDEX(Replenishment_Plan!$N$7:$N$54,MATCH($A59,Replenishment_Plan!$AK$7:$AK$54,0)))</f>
        <v/>
      </c>
      <c r="H59" s="19" t="str">
        <f aca="false">IF($A59&gt;$H$9,"",INDEX(Replenishment_Plan!$Z$7:$Z$54,MATCH($A59,Replenishment_Plan!$AK$7:$AK$54,0)))</f>
        <v/>
      </c>
      <c r="I59" s="41" t="str">
        <f aca="false">IF($A59&gt;$H$9,"",INDEX(Replenishment_Plan!$AD$7:$AD$54,MATCH($A59,Replenishment_Plan!$AK$7:$AK$54,0)))</f>
        <v/>
      </c>
      <c r="J59" s="7" t="str">
        <f aca="false">IF($A59&gt;$H$9,"",INDEX(Replenishment_Plan!$AH$7:$AH$54,MATCH($A59,Replenishment_Plan!$AK$7:$AK$54,0)))</f>
        <v/>
      </c>
    </row>
    <row r="60" customFormat="false" ht="15" hidden="false" customHeight="false" outlineLevel="0" collapsed="false">
      <c r="A60" s="69" t="n">
        <v>27</v>
      </c>
      <c r="B60" s="10" t="str">
        <f aca="false">IF($A60&gt;$H$9,"",INDEX(Replenishment_Plan!$A$7:$A$54,MATCH($A60,Replenishment_Plan!$AK$7:$AK$54,0)))</f>
        <v/>
      </c>
      <c r="C60" s="10" t="str">
        <f aca="false">IF($A60&gt;$H$9,"",INDEX(Replenishment_Plan!$B$7:$B$54,MATCH($A60,Replenishment_Plan!$AK$7:$AK$54,0)))</f>
        <v/>
      </c>
      <c r="D60" s="12" t="str">
        <f aca="false">IF($A60&gt;$H$9,"",INDEX(Replenishment_Plan!$AG$7:$AG$54,MATCH($A60,Replenishment_Plan!$AK$7:$AK$54,0)))</f>
        <v/>
      </c>
      <c r="E60" s="28" t="str">
        <f aca="false">IF($A60&gt;$H$9,"",INDEX(Replenishment_Plan!$S$7:$S$54,MATCH($A60,Replenishment_Plan!$AK$7:$AK$54,0)))</f>
        <v/>
      </c>
      <c r="F60" s="19" t="str">
        <f aca="false">IF($A60&gt;$H$9,"",INDEX(Replenishment_Plan!$R$7:$R$54,MATCH($A60,Replenishment_Plan!$AK$7:$AK$54,0)))</f>
        <v/>
      </c>
      <c r="G60" s="19" t="str">
        <f aca="false">IF($A60&gt;$H$9,"",INDEX(Replenishment_Plan!$N$7:$N$54,MATCH($A60,Replenishment_Plan!$AK$7:$AK$54,0)))</f>
        <v/>
      </c>
      <c r="H60" s="19" t="str">
        <f aca="false">IF($A60&gt;$H$9,"",INDEX(Replenishment_Plan!$Z$7:$Z$54,MATCH($A60,Replenishment_Plan!$AK$7:$AK$54,0)))</f>
        <v/>
      </c>
      <c r="I60" s="41" t="str">
        <f aca="false">IF($A60&gt;$H$9,"",INDEX(Replenishment_Plan!$AD$7:$AD$54,MATCH($A60,Replenishment_Plan!$AK$7:$AK$54,0)))</f>
        <v/>
      </c>
      <c r="J60" s="7" t="str">
        <f aca="false">IF($A60&gt;$H$9,"",INDEX(Replenishment_Plan!$AH$7:$AH$54,MATCH($A60,Replenishment_Plan!$AK$7:$AK$54,0)))</f>
        <v/>
      </c>
    </row>
    <row r="61" customFormat="false" ht="15" hidden="false" customHeight="false" outlineLevel="0" collapsed="false">
      <c r="A61" s="69" t="n">
        <v>28</v>
      </c>
      <c r="B61" s="10" t="str">
        <f aca="false">IF($A61&gt;$H$9,"",INDEX(Replenishment_Plan!$A$7:$A$54,MATCH($A61,Replenishment_Plan!$AK$7:$AK$54,0)))</f>
        <v/>
      </c>
      <c r="C61" s="10" t="str">
        <f aca="false">IF($A61&gt;$H$9,"",INDEX(Replenishment_Plan!$B$7:$B$54,MATCH($A61,Replenishment_Plan!$AK$7:$AK$54,0)))</f>
        <v/>
      </c>
      <c r="D61" s="12" t="str">
        <f aca="false">IF($A61&gt;$H$9,"",INDEX(Replenishment_Plan!$AG$7:$AG$54,MATCH($A61,Replenishment_Plan!$AK$7:$AK$54,0)))</f>
        <v/>
      </c>
      <c r="E61" s="28" t="str">
        <f aca="false">IF($A61&gt;$H$9,"",INDEX(Replenishment_Plan!$S$7:$S$54,MATCH($A61,Replenishment_Plan!$AK$7:$AK$54,0)))</f>
        <v/>
      </c>
      <c r="F61" s="19" t="str">
        <f aca="false">IF($A61&gt;$H$9,"",INDEX(Replenishment_Plan!$R$7:$R$54,MATCH($A61,Replenishment_Plan!$AK$7:$AK$54,0)))</f>
        <v/>
      </c>
      <c r="G61" s="19" t="str">
        <f aca="false">IF($A61&gt;$H$9,"",INDEX(Replenishment_Plan!$N$7:$N$54,MATCH($A61,Replenishment_Plan!$AK$7:$AK$54,0)))</f>
        <v/>
      </c>
      <c r="H61" s="19" t="str">
        <f aca="false">IF($A61&gt;$H$9,"",INDEX(Replenishment_Plan!$Z$7:$Z$54,MATCH($A61,Replenishment_Plan!$AK$7:$AK$54,0)))</f>
        <v/>
      </c>
      <c r="I61" s="41" t="str">
        <f aca="false">IF($A61&gt;$H$9,"",INDEX(Replenishment_Plan!$AD$7:$AD$54,MATCH($A61,Replenishment_Plan!$AK$7:$AK$54,0)))</f>
        <v/>
      </c>
      <c r="J61" s="7" t="str">
        <f aca="false">IF($A61&gt;$H$9,"",INDEX(Replenishment_Plan!$AH$7:$AH$54,MATCH($A61,Replenishment_Plan!$AK$7:$AK$54,0)))</f>
        <v/>
      </c>
    </row>
    <row r="62" customFormat="false" ht="15" hidden="false" customHeight="false" outlineLevel="0" collapsed="false">
      <c r="A62" s="69" t="n">
        <v>29</v>
      </c>
      <c r="B62" s="10" t="str">
        <f aca="false">IF($A62&gt;$H$9,"",INDEX(Replenishment_Plan!$A$7:$A$54,MATCH($A62,Replenishment_Plan!$AK$7:$AK$54,0)))</f>
        <v/>
      </c>
      <c r="C62" s="10" t="str">
        <f aca="false">IF($A62&gt;$H$9,"",INDEX(Replenishment_Plan!$B$7:$B$54,MATCH($A62,Replenishment_Plan!$AK$7:$AK$54,0)))</f>
        <v/>
      </c>
      <c r="D62" s="12" t="str">
        <f aca="false">IF($A62&gt;$H$9,"",INDEX(Replenishment_Plan!$AG$7:$AG$54,MATCH($A62,Replenishment_Plan!$AK$7:$AK$54,0)))</f>
        <v/>
      </c>
      <c r="E62" s="28" t="str">
        <f aca="false">IF($A62&gt;$H$9,"",INDEX(Replenishment_Plan!$S$7:$S$54,MATCH($A62,Replenishment_Plan!$AK$7:$AK$54,0)))</f>
        <v/>
      </c>
      <c r="F62" s="19" t="str">
        <f aca="false">IF($A62&gt;$H$9,"",INDEX(Replenishment_Plan!$R$7:$R$54,MATCH($A62,Replenishment_Plan!$AK$7:$AK$54,0)))</f>
        <v/>
      </c>
      <c r="G62" s="19" t="str">
        <f aca="false">IF($A62&gt;$H$9,"",INDEX(Replenishment_Plan!$N$7:$N$54,MATCH($A62,Replenishment_Plan!$AK$7:$AK$54,0)))</f>
        <v/>
      </c>
      <c r="H62" s="19" t="str">
        <f aca="false">IF($A62&gt;$H$9,"",INDEX(Replenishment_Plan!$Z$7:$Z$54,MATCH($A62,Replenishment_Plan!$AK$7:$AK$54,0)))</f>
        <v/>
      </c>
      <c r="I62" s="41" t="str">
        <f aca="false">IF($A62&gt;$H$9,"",INDEX(Replenishment_Plan!$AD$7:$AD$54,MATCH($A62,Replenishment_Plan!$AK$7:$AK$54,0)))</f>
        <v/>
      </c>
      <c r="J62" s="7" t="str">
        <f aca="false">IF($A62&gt;$H$9,"",INDEX(Replenishment_Plan!$AH$7:$AH$54,MATCH($A62,Replenishment_Plan!$AK$7:$AK$54,0)))</f>
        <v/>
      </c>
    </row>
    <row r="63" customFormat="false" ht="15" hidden="false" customHeight="false" outlineLevel="0" collapsed="false">
      <c r="A63" s="69" t="n">
        <v>30</v>
      </c>
      <c r="B63" s="10" t="str">
        <f aca="false">IF($A63&gt;$H$9,"",INDEX(Replenishment_Plan!$A$7:$A$54,MATCH($A63,Replenishment_Plan!$AK$7:$AK$54,0)))</f>
        <v/>
      </c>
      <c r="C63" s="10" t="str">
        <f aca="false">IF($A63&gt;$H$9,"",INDEX(Replenishment_Plan!$B$7:$B$54,MATCH($A63,Replenishment_Plan!$AK$7:$AK$54,0)))</f>
        <v/>
      </c>
      <c r="D63" s="12" t="str">
        <f aca="false">IF($A63&gt;$H$9,"",INDEX(Replenishment_Plan!$AG$7:$AG$54,MATCH($A63,Replenishment_Plan!$AK$7:$AK$54,0)))</f>
        <v/>
      </c>
      <c r="E63" s="28" t="str">
        <f aca="false">IF($A63&gt;$H$9,"",INDEX(Replenishment_Plan!$S$7:$S$54,MATCH($A63,Replenishment_Plan!$AK$7:$AK$54,0)))</f>
        <v/>
      </c>
      <c r="F63" s="19" t="str">
        <f aca="false">IF($A63&gt;$H$9,"",INDEX(Replenishment_Plan!$R$7:$R$54,MATCH($A63,Replenishment_Plan!$AK$7:$AK$54,0)))</f>
        <v/>
      </c>
      <c r="G63" s="19" t="str">
        <f aca="false">IF($A63&gt;$H$9,"",INDEX(Replenishment_Plan!$N$7:$N$54,MATCH($A63,Replenishment_Plan!$AK$7:$AK$54,0)))</f>
        <v/>
      </c>
      <c r="H63" s="19" t="str">
        <f aca="false">IF($A63&gt;$H$9,"",INDEX(Replenishment_Plan!$Z$7:$Z$54,MATCH($A63,Replenishment_Plan!$AK$7:$AK$54,0)))</f>
        <v/>
      </c>
      <c r="I63" s="41" t="str">
        <f aca="false">IF($A63&gt;$H$9,"",INDEX(Replenishment_Plan!$AD$7:$AD$54,MATCH($A63,Replenishment_Plan!$AK$7:$AK$54,0)))</f>
        <v/>
      </c>
      <c r="J63" s="7" t="str">
        <f aca="false">IF($A63&gt;$H$9,"",INDEX(Replenishment_Plan!$AH$7:$AH$54,MATCH($A63,Replenishment_Plan!$AK$7:$AK$54,0)))</f>
        <v/>
      </c>
    </row>
    <row r="64" customFormat="false" ht="15" hidden="false" customHeight="false" outlineLevel="0" collapsed="false">
      <c r="A64" s="69" t="n">
        <v>31</v>
      </c>
      <c r="B64" s="10" t="str">
        <f aca="false">IF($A64&gt;$H$9,"",INDEX(Replenishment_Plan!$A$7:$A$54,MATCH($A64,Replenishment_Plan!$AK$7:$AK$54,0)))</f>
        <v/>
      </c>
      <c r="C64" s="10" t="str">
        <f aca="false">IF($A64&gt;$H$9,"",INDEX(Replenishment_Plan!$B$7:$B$54,MATCH($A64,Replenishment_Plan!$AK$7:$AK$54,0)))</f>
        <v/>
      </c>
      <c r="D64" s="12" t="str">
        <f aca="false">IF($A64&gt;$H$9,"",INDEX(Replenishment_Plan!$AG$7:$AG$54,MATCH($A64,Replenishment_Plan!$AK$7:$AK$54,0)))</f>
        <v/>
      </c>
      <c r="E64" s="28" t="str">
        <f aca="false">IF($A64&gt;$H$9,"",INDEX(Replenishment_Plan!$S$7:$S$54,MATCH($A64,Replenishment_Plan!$AK$7:$AK$54,0)))</f>
        <v/>
      </c>
      <c r="F64" s="19" t="str">
        <f aca="false">IF($A64&gt;$H$9,"",INDEX(Replenishment_Plan!$R$7:$R$54,MATCH($A64,Replenishment_Plan!$AK$7:$AK$54,0)))</f>
        <v/>
      </c>
      <c r="G64" s="19" t="str">
        <f aca="false">IF($A64&gt;$H$9,"",INDEX(Replenishment_Plan!$N$7:$N$54,MATCH($A64,Replenishment_Plan!$AK$7:$AK$54,0)))</f>
        <v/>
      </c>
      <c r="H64" s="19" t="str">
        <f aca="false">IF($A64&gt;$H$9,"",INDEX(Replenishment_Plan!$Z$7:$Z$54,MATCH($A64,Replenishment_Plan!$AK$7:$AK$54,0)))</f>
        <v/>
      </c>
      <c r="I64" s="41" t="str">
        <f aca="false">IF($A64&gt;$H$9,"",INDEX(Replenishment_Plan!$AD$7:$AD$54,MATCH($A64,Replenishment_Plan!$AK$7:$AK$54,0)))</f>
        <v/>
      </c>
      <c r="J64" s="7" t="str">
        <f aca="false">IF($A64&gt;$H$9,"",INDEX(Replenishment_Plan!$AH$7:$AH$54,MATCH($A64,Replenishment_Plan!$AK$7:$AK$54,0)))</f>
        <v/>
      </c>
    </row>
    <row r="65" customFormat="false" ht="15" hidden="false" customHeight="false" outlineLevel="0" collapsed="false">
      <c r="A65" s="69" t="n">
        <v>32</v>
      </c>
      <c r="B65" s="10" t="str">
        <f aca="false">IF($A65&gt;$H$9,"",INDEX(Replenishment_Plan!$A$7:$A$54,MATCH($A65,Replenishment_Plan!$AK$7:$AK$54,0)))</f>
        <v/>
      </c>
      <c r="C65" s="10" t="str">
        <f aca="false">IF($A65&gt;$H$9,"",INDEX(Replenishment_Plan!$B$7:$B$54,MATCH($A65,Replenishment_Plan!$AK$7:$AK$54,0)))</f>
        <v/>
      </c>
      <c r="D65" s="12" t="str">
        <f aca="false">IF($A65&gt;$H$9,"",INDEX(Replenishment_Plan!$AG$7:$AG$54,MATCH($A65,Replenishment_Plan!$AK$7:$AK$54,0)))</f>
        <v/>
      </c>
      <c r="E65" s="28" t="str">
        <f aca="false">IF($A65&gt;$H$9,"",INDEX(Replenishment_Plan!$S$7:$S$54,MATCH($A65,Replenishment_Plan!$AK$7:$AK$54,0)))</f>
        <v/>
      </c>
      <c r="F65" s="19" t="str">
        <f aca="false">IF($A65&gt;$H$9,"",INDEX(Replenishment_Plan!$R$7:$R$54,MATCH($A65,Replenishment_Plan!$AK$7:$AK$54,0)))</f>
        <v/>
      </c>
      <c r="G65" s="19" t="str">
        <f aca="false">IF($A65&gt;$H$9,"",INDEX(Replenishment_Plan!$N$7:$N$54,MATCH($A65,Replenishment_Plan!$AK$7:$AK$54,0)))</f>
        <v/>
      </c>
      <c r="H65" s="19" t="str">
        <f aca="false">IF($A65&gt;$H$9,"",INDEX(Replenishment_Plan!$Z$7:$Z$54,MATCH($A65,Replenishment_Plan!$AK$7:$AK$54,0)))</f>
        <v/>
      </c>
      <c r="I65" s="41" t="str">
        <f aca="false">IF($A65&gt;$H$9,"",INDEX(Replenishment_Plan!$AD$7:$AD$54,MATCH($A65,Replenishment_Plan!$AK$7:$AK$54,0)))</f>
        <v/>
      </c>
      <c r="J65" s="7" t="str">
        <f aca="false">IF($A65&gt;$H$9,"",INDEX(Replenishment_Plan!$AH$7:$AH$54,MATCH($A65,Replenishment_Plan!$AK$7:$AK$54,0)))</f>
        <v/>
      </c>
    </row>
    <row r="66" customFormat="false" ht="15" hidden="false" customHeight="false" outlineLevel="0" collapsed="false">
      <c r="A66" s="69" t="n">
        <v>33</v>
      </c>
      <c r="B66" s="10" t="str">
        <f aca="false">IF($A66&gt;$H$9,"",INDEX(Replenishment_Plan!$A$7:$A$54,MATCH($A66,Replenishment_Plan!$AK$7:$AK$54,0)))</f>
        <v/>
      </c>
      <c r="C66" s="10" t="str">
        <f aca="false">IF($A66&gt;$H$9,"",INDEX(Replenishment_Plan!$B$7:$B$54,MATCH($A66,Replenishment_Plan!$AK$7:$AK$54,0)))</f>
        <v/>
      </c>
      <c r="D66" s="12" t="str">
        <f aca="false">IF($A66&gt;$H$9,"",INDEX(Replenishment_Plan!$AG$7:$AG$54,MATCH($A66,Replenishment_Plan!$AK$7:$AK$54,0)))</f>
        <v/>
      </c>
      <c r="E66" s="28" t="str">
        <f aca="false">IF($A66&gt;$H$9,"",INDEX(Replenishment_Plan!$S$7:$S$54,MATCH($A66,Replenishment_Plan!$AK$7:$AK$54,0)))</f>
        <v/>
      </c>
      <c r="F66" s="19" t="str">
        <f aca="false">IF($A66&gt;$H$9,"",INDEX(Replenishment_Plan!$R$7:$R$54,MATCH($A66,Replenishment_Plan!$AK$7:$AK$54,0)))</f>
        <v/>
      </c>
      <c r="G66" s="19" t="str">
        <f aca="false">IF($A66&gt;$H$9,"",INDEX(Replenishment_Plan!$N$7:$N$54,MATCH($A66,Replenishment_Plan!$AK$7:$AK$54,0)))</f>
        <v/>
      </c>
      <c r="H66" s="19" t="str">
        <f aca="false">IF($A66&gt;$H$9,"",INDEX(Replenishment_Plan!$Z$7:$Z$54,MATCH($A66,Replenishment_Plan!$AK$7:$AK$54,0)))</f>
        <v/>
      </c>
      <c r="I66" s="41" t="str">
        <f aca="false">IF($A66&gt;$H$9,"",INDEX(Replenishment_Plan!$AD$7:$AD$54,MATCH($A66,Replenishment_Plan!$AK$7:$AK$54,0)))</f>
        <v/>
      </c>
      <c r="J66" s="7" t="str">
        <f aca="false">IF($A66&gt;$H$9,"",INDEX(Replenishment_Plan!$AH$7:$AH$54,MATCH($A66,Replenishment_Plan!$AK$7:$AK$54,0)))</f>
        <v/>
      </c>
    </row>
    <row r="67" customFormat="false" ht="15" hidden="false" customHeight="false" outlineLevel="0" collapsed="false">
      <c r="A67" s="69" t="n">
        <v>34</v>
      </c>
      <c r="B67" s="10" t="str">
        <f aca="false">IF($A67&gt;$H$9,"",INDEX(Replenishment_Plan!$A$7:$A$54,MATCH($A67,Replenishment_Plan!$AK$7:$AK$54,0)))</f>
        <v/>
      </c>
      <c r="C67" s="10" t="str">
        <f aca="false">IF($A67&gt;$H$9,"",INDEX(Replenishment_Plan!$B$7:$B$54,MATCH($A67,Replenishment_Plan!$AK$7:$AK$54,0)))</f>
        <v/>
      </c>
      <c r="D67" s="12" t="str">
        <f aca="false">IF($A67&gt;$H$9,"",INDEX(Replenishment_Plan!$AG$7:$AG$54,MATCH($A67,Replenishment_Plan!$AK$7:$AK$54,0)))</f>
        <v/>
      </c>
      <c r="E67" s="28" t="str">
        <f aca="false">IF($A67&gt;$H$9,"",INDEX(Replenishment_Plan!$S$7:$S$54,MATCH($A67,Replenishment_Plan!$AK$7:$AK$54,0)))</f>
        <v/>
      </c>
      <c r="F67" s="19" t="str">
        <f aca="false">IF($A67&gt;$H$9,"",INDEX(Replenishment_Plan!$R$7:$R$54,MATCH($A67,Replenishment_Plan!$AK$7:$AK$54,0)))</f>
        <v/>
      </c>
      <c r="G67" s="19" t="str">
        <f aca="false">IF($A67&gt;$H$9,"",INDEX(Replenishment_Plan!$N$7:$N$54,MATCH($A67,Replenishment_Plan!$AK$7:$AK$54,0)))</f>
        <v/>
      </c>
      <c r="H67" s="19" t="str">
        <f aca="false">IF($A67&gt;$H$9,"",INDEX(Replenishment_Plan!$Z$7:$Z$54,MATCH($A67,Replenishment_Plan!$AK$7:$AK$54,0)))</f>
        <v/>
      </c>
      <c r="I67" s="41" t="str">
        <f aca="false">IF($A67&gt;$H$9,"",INDEX(Replenishment_Plan!$AD$7:$AD$54,MATCH($A67,Replenishment_Plan!$AK$7:$AK$54,0)))</f>
        <v/>
      </c>
      <c r="J67" s="7" t="str">
        <f aca="false">IF($A67&gt;$H$9,"",INDEX(Replenishment_Plan!$AH$7:$AH$54,MATCH($A67,Replenishment_Plan!$AK$7:$AK$54,0)))</f>
        <v/>
      </c>
    </row>
    <row r="68" customFormat="false" ht="15" hidden="false" customHeight="false" outlineLevel="0" collapsed="false">
      <c r="A68" s="69" t="n">
        <v>35</v>
      </c>
      <c r="B68" s="10" t="str">
        <f aca="false">IF($A68&gt;$H$9,"",INDEX(Replenishment_Plan!$A$7:$A$54,MATCH($A68,Replenishment_Plan!$AK$7:$AK$54,0)))</f>
        <v/>
      </c>
      <c r="C68" s="10" t="str">
        <f aca="false">IF($A68&gt;$H$9,"",INDEX(Replenishment_Plan!$B$7:$B$54,MATCH($A68,Replenishment_Plan!$AK$7:$AK$54,0)))</f>
        <v/>
      </c>
      <c r="D68" s="12" t="str">
        <f aca="false">IF($A68&gt;$H$9,"",INDEX(Replenishment_Plan!$AG$7:$AG$54,MATCH($A68,Replenishment_Plan!$AK$7:$AK$54,0)))</f>
        <v/>
      </c>
      <c r="E68" s="28" t="str">
        <f aca="false">IF($A68&gt;$H$9,"",INDEX(Replenishment_Plan!$S$7:$S$54,MATCH($A68,Replenishment_Plan!$AK$7:$AK$54,0)))</f>
        <v/>
      </c>
      <c r="F68" s="19" t="str">
        <f aca="false">IF($A68&gt;$H$9,"",INDEX(Replenishment_Plan!$R$7:$R$54,MATCH($A68,Replenishment_Plan!$AK$7:$AK$54,0)))</f>
        <v/>
      </c>
      <c r="G68" s="19" t="str">
        <f aca="false">IF($A68&gt;$H$9,"",INDEX(Replenishment_Plan!$N$7:$N$54,MATCH($A68,Replenishment_Plan!$AK$7:$AK$54,0)))</f>
        <v/>
      </c>
      <c r="H68" s="19" t="str">
        <f aca="false">IF($A68&gt;$H$9,"",INDEX(Replenishment_Plan!$Z$7:$Z$54,MATCH($A68,Replenishment_Plan!$AK$7:$AK$54,0)))</f>
        <v/>
      </c>
      <c r="I68" s="41" t="str">
        <f aca="false">IF($A68&gt;$H$9,"",INDEX(Replenishment_Plan!$AD$7:$AD$54,MATCH($A68,Replenishment_Plan!$AK$7:$AK$54,0)))</f>
        <v/>
      </c>
      <c r="J68" s="7" t="str">
        <f aca="false">IF($A68&gt;$H$9,"",INDEX(Replenishment_Plan!$AH$7:$AH$54,MATCH($A68,Replenishment_Plan!$AK$7:$AK$54,0)))</f>
        <v/>
      </c>
    </row>
    <row r="69" customFormat="false" ht="15" hidden="false" customHeight="false" outlineLevel="0" collapsed="false">
      <c r="A69" s="69" t="n">
        <v>36</v>
      </c>
      <c r="B69" s="10" t="str">
        <f aca="false">IF($A69&gt;$H$9,"",INDEX(Replenishment_Plan!$A$7:$A$54,MATCH($A69,Replenishment_Plan!$AK$7:$AK$54,0)))</f>
        <v/>
      </c>
      <c r="C69" s="10" t="str">
        <f aca="false">IF($A69&gt;$H$9,"",INDEX(Replenishment_Plan!$B$7:$B$54,MATCH($A69,Replenishment_Plan!$AK$7:$AK$54,0)))</f>
        <v/>
      </c>
      <c r="D69" s="12" t="str">
        <f aca="false">IF($A69&gt;$H$9,"",INDEX(Replenishment_Plan!$AG$7:$AG$54,MATCH($A69,Replenishment_Plan!$AK$7:$AK$54,0)))</f>
        <v/>
      </c>
      <c r="E69" s="28" t="str">
        <f aca="false">IF($A69&gt;$H$9,"",INDEX(Replenishment_Plan!$S$7:$S$54,MATCH($A69,Replenishment_Plan!$AK$7:$AK$54,0)))</f>
        <v/>
      </c>
      <c r="F69" s="19" t="str">
        <f aca="false">IF($A69&gt;$H$9,"",INDEX(Replenishment_Plan!$R$7:$R$54,MATCH($A69,Replenishment_Plan!$AK$7:$AK$54,0)))</f>
        <v/>
      </c>
      <c r="G69" s="19" t="str">
        <f aca="false">IF($A69&gt;$H$9,"",INDEX(Replenishment_Plan!$N$7:$N$54,MATCH($A69,Replenishment_Plan!$AK$7:$AK$54,0)))</f>
        <v/>
      </c>
      <c r="H69" s="19" t="str">
        <f aca="false">IF($A69&gt;$H$9,"",INDEX(Replenishment_Plan!$Z$7:$Z$54,MATCH($A69,Replenishment_Plan!$AK$7:$AK$54,0)))</f>
        <v/>
      </c>
      <c r="I69" s="41" t="str">
        <f aca="false">IF($A69&gt;$H$9,"",INDEX(Replenishment_Plan!$AD$7:$AD$54,MATCH($A69,Replenishment_Plan!$AK$7:$AK$54,0)))</f>
        <v/>
      </c>
      <c r="J69" s="7" t="str">
        <f aca="false">IF($A69&gt;$H$9,"",INDEX(Replenishment_Plan!$AH$7:$AH$54,MATCH($A69,Replenishment_Plan!$AK$7:$AK$54,0)))</f>
        <v/>
      </c>
    </row>
    <row r="70" customFormat="false" ht="15" hidden="false" customHeight="false" outlineLevel="0" collapsed="false">
      <c r="A70" s="69" t="n">
        <v>37</v>
      </c>
      <c r="B70" s="10" t="str">
        <f aca="false">IF($A70&gt;$H$9,"",INDEX(Replenishment_Plan!$A$7:$A$54,MATCH($A70,Replenishment_Plan!$AK$7:$AK$54,0)))</f>
        <v/>
      </c>
      <c r="C70" s="10" t="str">
        <f aca="false">IF($A70&gt;$H$9,"",INDEX(Replenishment_Plan!$B$7:$B$54,MATCH($A70,Replenishment_Plan!$AK$7:$AK$54,0)))</f>
        <v/>
      </c>
      <c r="D70" s="12" t="str">
        <f aca="false">IF($A70&gt;$H$9,"",INDEX(Replenishment_Plan!$AG$7:$AG$54,MATCH($A70,Replenishment_Plan!$AK$7:$AK$54,0)))</f>
        <v/>
      </c>
      <c r="E70" s="28" t="str">
        <f aca="false">IF($A70&gt;$H$9,"",INDEX(Replenishment_Plan!$S$7:$S$54,MATCH($A70,Replenishment_Plan!$AK$7:$AK$54,0)))</f>
        <v/>
      </c>
      <c r="F70" s="19" t="str">
        <f aca="false">IF($A70&gt;$H$9,"",INDEX(Replenishment_Plan!$R$7:$R$54,MATCH($A70,Replenishment_Plan!$AK$7:$AK$54,0)))</f>
        <v/>
      </c>
      <c r="G70" s="19" t="str">
        <f aca="false">IF($A70&gt;$H$9,"",INDEX(Replenishment_Plan!$N$7:$N$54,MATCH($A70,Replenishment_Plan!$AK$7:$AK$54,0)))</f>
        <v/>
      </c>
      <c r="H70" s="19" t="str">
        <f aca="false">IF($A70&gt;$H$9,"",INDEX(Replenishment_Plan!$Z$7:$Z$54,MATCH($A70,Replenishment_Plan!$AK$7:$AK$54,0)))</f>
        <v/>
      </c>
      <c r="I70" s="41" t="str">
        <f aca="false">IF($A70&gt;$H$9,"",INDEX(Replenishment_Plan!$AD$7:$AD$54,MATCH($A70,Replenishment_Plan!$AK$7:$AK$54,0)))</f>
        <v/>
      </c>
      <c r="J70" s="7" t="str">
        <f aca="false">IF($A70&gt;$H$9,"",INDEX(Replenishment_Plan!$AH$7:$AH$54,MATCH($A70,Replenishment_Plan!$AK$7:$AK$54,0)))</f>
        <v/>
      </c>
    </row>
    <row r="71" customFormat="false" ht="15" hidden="false" customHeight="false" outlineLevel="0" collapsed="false">
      <c r="A71" s="69" t="n">
        <v>38</v>
      </c>
      <c r="B71" s="10" t="str">
        <f aca="false">IF($A71&gt;$H$9,"",INDEX(Replenishment_Plan!$A$7:$A$54,MATCH($A71,Replenishment_Plan!$AK$7:$AK$54,0)))</f>
        <v/>
      </c>
      <c r="C71" s="10" t="str">
        <f aca="false">IF($A71&gt;$H$9,"",INDEX(Replenishment_Plan!$B$7:$B$54,MATCH($A71,Replenishment_Plan!$AK$7:$AK$54,0)))</f>
        <v/>
      </c>
      <c r="D71" s="12" t="str">
        <f aca="false">IF($A71&gt;$H$9,"",INDEX(Replenishment_Plan!$AG$7:$AG$54,MATCH($A71,Replenishment_Plan!$AK$7:$AK$54,0)))</f>
        <v/>
      </c>
      <c r="E71" s="28" t="str">
        <f aca="false">IF($A71&gt;$H$9,"",INDEX(Replenishment_Plan!$S$7:$S$54,MATCH($A71,Replenishment_Plan!$AK$7:$AK$54,0)))</f>
        <v/>
      </c>
      <c r="F71" s="19" t="str">
        <f aca="false">IF($A71&gt;$H$9,"",INDEX(Replenishment_Plan!$R$7:$R$54,MATCH($A71,Replenishment_Plan!$AK$7:$AK$54,0)))</f>
        <v/>
      </c>
      <c r="G71" s="19" t="str">
        <f aca="false">IF($A71&gt;$H$9,"",INDEX(Replenishment_Plan!$N$7:$N$54,MATCH($A71,Replenishment_Plan!$AK$7:$AK$54,0)))</f>
        <v/>
      </c>
      <c r="H71" s="19" t="str">
        <f aca="false">IF($A71&gt;$H$9,"",INDEX(Replenishment_Plan!$Z$7:$Z$54,MATCH($A71,Replenishment_Plan!$AK$7:$AK$54,0)))</f>
        <v/>
      </c>
      <c r="I71" s="41" t="str">
        <f aca="false">IF($A71&gt;$H$9,"",INDEX(Replenishment_Plan!$AD$7:$AD$54,MATCH($A71,Replenishment_Plan!$AK$7:$AK$54,0)))</f>
        <v/>
      </c>
      <c r="J71" s="7" t="str">
        <f aca="false">IF($A71&gt;$H$9,"",INDEX(Replenishment_Plan!$AH$7:$AH$54,MATCH($A71,Replenishment_Plan!$AK$7:$AK$54,0)))</f>
        <v/>
      </c>
    </row>
    <row r="72" customFormat="false" ht="15" hidden="false" customHeight="false" outlineLevel="0" collapsed="false">
      <c r="A72" s="69" t="n">
        <v>39</v>
      </c>
      <c r="B72" s="10" t="str">
        <f aca="false">IF($A72&gt;$H$9,"",INDEX(Replenishment_Plan!$A$7:$A$54,MATCH($A72,Replenishment_Plan!$AK$7:$AK$54,0)))</f>
        <v/>
      </c>
      <c r="C72" s="10" t="str">
        <f aca="false">IF($A72&gt;$H$9,"",INDEX(Replenishment_Plan!$B$7:$B$54,MATCH($A72,Replenishment_Plan!$AK$7:$AK$54,0)))</f>
        <v/>
      </c>
      <c r="D72" s="12" t="str">
        <f aca="false">IF($A72&gt;$H$9,"",INDEX(Replenishment_Plan!$AG$7:$AG$54,MATCH($A72,Replenishment_Plan!$AK$7:$AK$54,0)))</f>
        <v/>
      </c>
      <c r="E72" s="28" t="str">
        <f aca="false">IF($A72&gt;$H$9,"",INDEX(Replenishment_Plan!$S$7:$S$54,MATCH($A72,Replenishment_Plan!$AK$7:$AK$54,0)))</f>
        <v/>
      </c>
      <c r="F72" s="19" t="str">
        <f aca="false">IF($A72&gt;$H$9,"",INDEX(Replenishment_Plan!$R$7:$R$54,MATCH($A72,Replenishment_Plan!$AK$7:$AK$54,0)))</f>
        <v/>
      </c>
      <c r="G72" s="19" t="str">
        <f aca="false">IF($A72&gt;$H$9,"",INDEX(Replenishment_Plan!$N$7:$N$54,MATCH($A72,Replenishment_Plan!$AK$7:$AK$54,0)))</f>
        <v/>
      </c>
      <c r="H72" s="19" t="str">
        <f aca="false">IF($A72&gt;$H$9,"",INDEX(Replenishment_Plan!$Z$7:$Z$54,MATCH($A72,Replenishment_Plan!$AK$7:$AK$54,0)))</f>
        <v/>
      </c>
      <c r="I72" s="41" t="str">
        <f aca="false">IF($A72&gt;$H$9,"",INDEX(Replenishment_Plan!$AD$7:$AD$54,MATCH($A72,Replenishment_Plan!$AK$7:$AK$54,0)))</f>
        <v/>
      </c>
      <c r="J72" s="7" t="str">
        <f aca="false">IF($A72&gt;$H$9,"",INDEX(Replenishment_Plan!$AH$7:$AH$54,MATCH($A72,Replenishment_Plan!$AK$7:$AK$54,0)))</f>
        <v/>
      </c>
    </row>
    <row r="73" customFormat="false" ht="15" hidden="false" customHeight="false" outlineLevel="0" collapsed="false">
      <c r="A73" s="69" t="n">
        <v>40</v>
      </c>
      <c r="B73" s="10" t="str">
        <f aca="false">IF($A73&gt;$H$9,"",INDEX(Replenishment_Plan!$A$7:$A$54,MATCH($A73,Replenishment_Plan!$AK$7:$AK$54,0)))</f>
        <v/>
      </c>
      <c r="C73" s="10" t="str">
        <f aca="false">IF($A73&gt;$H$9,"",INDEX(Replenishment_Plan!$B$7:$B$54,MATCH($A73,Replenishment_Plan!$AK$7:$AK$54,0)))</f>
        <v/>
      </c>
      <c r="D73" s="12" t="str">
        <f aca="false">IF($A73&gt;$H$9,"",INDEX(Replenishment_Plan!$AG$7:$AG$54,MATCH($A73,Replenishment_Plan!$AK$7:$AK$54,0)))</f>
        <v/>
      </c>
      <c r="E73" s="28" t="str">
        <f aca="false">IF($A73&gt;$H$9,"",INDEX(Replenishment_Plan!$S$7:$S$54,MATCH($A73,Replenishment_Plan!$AK$7:$AK$54,0)))</f>
        <v/>
      </c>
      <c r="F73" s="19" t="str">
        <f aca="false">IF($A73&gt;$H$9,"",INDEX(Replenishment_Plan!$R$7:$R$54,MATCH($A73,Replenishment_Plan!$AK$7:$AK$54,0)))</f>
        <v/>
      </c>
      <c r="G73" s="19" t="str">
        <f aca="false">IF($A73&gt;$H$9,"",INDEX(Replenishment_Plan!$N$7:$N$54,MATCH($A73,Replenishment_Plan!$AK$7:$AK$54,0)))</f>
        <v/>
      </c>
      <c r="H73" s="19" t="str">
        <f aca="false">IF($A73&gt;$H$9,"",INDEX(Replenishment_Plan!$Z$7:$Z$54,MATCH($A73,Replenishment_Plan!$AK$7:$AK$54,0)))</f>
        <v/>
      </c>
      <c r="I73" s="41" t="str">
        <f aca="false">IF($A73&gt;$H$9,"",INDEX(Replenishment_Plan!$AD$7:$AD$54,MATCH($A73,Replenishment_Plan!$AK$7:$AK$54,0)))</f>
        <v/>
      </c>
      <c r="J73" s="7" t="str">
        <f aca="false">IF($A73&gt;$H$9,"",INDEX(Replenishment_Plan!$AH$7:$AH$54,MATCH($A73,Replenishment_Plan!$AK$7:$AK$54,0)))</f>
        <v/>
      </c>
    </row>
    <row r="74" customFormat="false" ht="15" hidden="false" customHeight="false" outlineLevel="0" collapsed="false">
      <c r="A74" s="69" t="n">
        <v>41</v>
      </c>
      <c r="B74" s="10" t="str">
        <f aca="false">IF($A74&gt;$H$9,"",INDEX(Replenishment_Plan!$A$7:$A$54,MATCH($A74,Replenishment_Plan!$AK$7:$AK$54,0)))</f>
        <v/>
      </c>
      <c r="C74" s="10" t="str">
        <f aca="false">IF($A74&gt;$H$9,"",INDEX(Replenishment_Plan!$B$7:$B$54,MATCH($A74,Replenishment_Plan!$AK$7:$AK$54,0)))</f>
        <v/>
      </c>
      <c r="D74" s="12" t="str">
        <f aca="false">IF($A74&gt;$H$9,"",INDEX(Replenishment_Plan!$AG$7:$AG$54,MATCH($A74,Replenishment_Plan!$AK$7:$AK$54,0)))</f>
        <v/>
      </c>
      <c r="E74" s="28" t="str">
        <f aca="false">IF($A74&gt;$H$9,"",INDEX(Replenishment_Plan!$S$7:$S$54,MATCH($A74,Replenishment_Plan!$AK$7:$AK$54,0)))</f>
        <v/>
      </c>
      <c r="F74" s="19" t="str">
        <f aca="false">IF($A74&gt;$H$9,"",INDEX(Replenishment_Plan!$R$7:$R$54,MATCH($A74,Replenishment_Plan!$AK$7:$AK$54,0)))</f>
        <v/>
      </c>
      <c r="G74" s="19" t="str">
        <f aca="false">IF($A74&gt;$H$9,"",INDEX(Replenishment_Plan!$N$7:$N$54,MATCH($A74,Replenishment_Plan!$AK$7:$AK$54,0)))</f>
        <v/>
      </c>
      <c r="H74" s="19" t="str">
        <f aca="false">IF($A74&gt;$H$9,"",INDEX(Replenishment_Plan!$Z$7:$Z$54,MATCH($A74,Replenishment_Plan!$AK$7:$AK$54,0)))</f>
        <v/>
      </c>
      <c r="I74" s="41" t="str">
        <f aca="false">IF($A74&gt;$H$9,"",INDEX(Replenishment_Plan!$AD$7:$AD$54,MATCH($A74,Replenishment_Plan!$AK$7:$AK$54,0)))</f>
        <v/>
      </c>
      <c r="J74" s="7" t="str">
        <f aca="false">IF($A74&gt;$H$9,"",INDEX(Replenishment_Plan!$AH$7:$AH$54,MATCH($A74,Replenishment_Plan!$AK$7:$AK$54,0)))</f>
        <v/>
      </c>
    </row>
    <row r="75" customFormat="false" ht="15" hidden="false" customHeight="false" outlineLevel="0" collapsed="false">
      <c r="A75" s="69" t="n">
        <v>42</v>
      </c>
      <c r="B75" s="10" t="str">
        <f aca="false">IF($A75&gt;$H$9,"",INDEX(Replenishment_Plan!$A$7:$A$54,MATCH($A75,Replenishment_Plan!$AK$7:$AK$54,0)))</f>
        <v/>
      </c>
      <c r="C75" s="10" t="str">
        <f aca="false">IF($A75&gt;$H$9,"",INDEX(Replenishment_Plan!$B$7:$B$54,MATCH($A75,Replenishment_Plan!$AK$7:$AK$54,0)))</f>
        <v/>
      </c>
      <c r="D75" s="12" t="str">
        <f aca="false">IF($A75&gt;$H$9,"",INDEX(Replenishment_Plan!$AG$7:$AG$54,MATCH($A75,Replenishment_Plan!$AK$7:$AK$54,0)))</f>
        <v/>
      </c>
      <c r="E75" s="28" t="str">
        <f aca="false">IF($A75&gt;$H$9,"",INDEX(Replenishment_Plan!$S$7:$S$54,MATCH($A75,Replenishment_Plan!$AK$7:$AK$54,0)))</f>
        <v/>
      </c>
      <c r="F75" s="19" t="str">
        <f aca="false">IF($A75&gt;$H$9,"",INDEX(Replenishment_Plan!$R$7:$R$54,MATCH($A75,Replenishment_Plan!$AK$7:$AK$54,0)))</f>
        <v/>
      </c>
      <c r="G75" s="19" t="str">
        <f aca="false">IF($A75&gt;$H$9,"",INDEX(Replenishment_Plan!$N$7:$N$54,MATCH($A75,Replenishment_Plan!$AK$7:$AK$54,0)))</f>
        <v/>
      </c>
      <c r="H75" s="19" t="str">
        <f aca="false">IF($A75&gt;$H$9,"",INDEX(Replenishment_Plan!$Z$7:$Z$54,MATCH($A75,Replenishment_Plan!$AK$7:$AK$54,0)))</f>
        <v/>
      </c>
      <c r="I75" s="41" t="str">
        <f aca="false">IF($A75&gt;$H$9,"",INDEX(Replenishment_Plan!$AD$7:$AD$54,MATCH($A75,Replenishment_Plan!$AK$7:$AK$54,0)))</f>
        <v/>
      </c>
      <c r="J75" s="7" t="str">
        <f aca="false">IF($A75&gt;$H$9,"",INDEX(Replenishment_Plan!$AH$7:$AH$54,MATCH($A75,Replenishment_Plan!$AK$7:$AK$54,0)))</f>
        <v/>
      </c>
    </row>
    <row r="76" customFormat="false" ht="15" hidden="false" customHeight="false" outlineLevel="0" collapsed="false">
      <c r="A76" s="69" t="n">
        <v>43</v>
      </c>
      <c r="B76" s="10" t="str">
        <f aca="false">IF($A76&gt;$H$9,"",INDEX(Replenishment_Plan!$A$7:$A$54,MATCH($A76,Replenishment_Plan!$AK$7:$AK$54,0)))</f>
        <v/>
      </c>
      <c r="C76" s="10" t="str">
        <f aca="false">IF($A76&gt;$H$9,"",INDEX(Replenishment_Plan!$B$7:$B$54,MATCH($A76,Replenishment_Plan!$AK$7:$AK$54,0)))</f>
        <v/>
      </c>
      <c r="D76" s="12" t="str">
        <f aca="false">IF($A76&gt;$H$9,"",INDEX(Replenishment_Plan!$AG$7:$AG$54,MATCH($A76,Replenishment_Plan!$AK$7:$AK$54,0)))</f>
        <v/>
      </c>
      <c r="E76" s="28" t="str">
        <f aca="false">IF($A76&gt;$H$9,"",INDEX(Replenishment_Plan!$S$7:$S$54,MATCH($A76,Replenishment_Plan!$AK$7:$AK$54,0)))</f>
        <v/>
      </c>
      <c r="F76" s="19" t="str">
        <f aca="false">IF($A76&gt;$H$9,"",INDEX(Replenishment_Plan!$R$7:$R$54,MATCH($A76,Replenishment_Plan!$AK$7:$AK$54,0)))</f>
        <v/>
      </c>
      <c r="G76" s="19" t="str">
        <f aca="false">IF($A76&gt;$H$9,"",INDEX(Replenishment_Plan!$N$7:$N$54,MATCH($A76,Replenishment_Plan!$AK$7:$AK$54,0)))</f>
        <v/>
      </c>
      <c r="H76" s="19" t="str">
        <f aca="false">IF($A76&gt;$H$9,"",INDEX(Replenishment_Plan!$Z$7:$Z$54,MATCH($A76,Replenishment_Plan!$AK$7:$AK$54,0)))</f>
        <v/>
      </c>
      <c r="I76" s="41" t="str">
        <f aca="false">IF($A76&gt;$H$9,"",INDEX(Replenishment_Plan!$AD$7:$AD$54,MATCH($A76,Replenishment_Plan!$AK$7:$AK$54,0)))</f>
        <v/>
      </c>
      <c r="J76" s="7" t="str">
        <f aca="false">IF($A76&gt;$H$9,"",INDEX(Replenishment_Plan!$AH$7:$AH$54,MATCH($A76,Replenishment_Plan!$AK$7:$AK$54,0)))</f>
        <v/>
      </c>
    </row>
    <row r="77" customFormat="false" ht="15" hidden="false" customHeight="false" outlineLevel="0" collapsed="false">
      <c r="A77" s="69" t="n">
        <v>44</v>
      </c>
      <c r="B77" s="10" t="str">
        <f aca="false">IF($A77&gt;$H$9,"",INDEX(Replenishment_Plan!$A$7:$A$54,MATCH($A77,Replenishment_Plan!$AK$7:$AK$54,0)))</f>
        <v/>
      </c>
      <c r="C77" s="10" t="str">
        <f aca="false">IF($A77&gt;$H$9,"",INDEX(Replenishment_Plan!$B$7:$B$54,MATCH($A77,Replenishment_Plan!$AK$7:$AK$54,0)))</f>
        <v/>
      </c>
      <c r="D77" s="12" t="str">
        <f aca="false">IF($A77&gt;$H$9,"",INDEX(Replenishment_Plan!$AG$7:$AG$54,MATCH($A77,Replenishment_Plan!$AK$7:$AK$54,0)))</f>
        <v/>
      </c>
      <c r="E77" s="28" t="str">
        <f aca="false">IF($A77&gt;$H$9,"",INDEX(Replenishment_Plan!$S$7:$S$54,MATCH($A77,Replenishment_Plan!$AK$7:$AK$54,0)))</f>
        <v/>
      </c>
      <c r="F77" s="19" t="str">
        <f aca="false">IF($A77&gt;$H$9,"",INDEX(Replenishment_Plan!$R$7:$R$54,MATCH($A77,Replenishment_Plan!$AK$7:$AK$54,0)))</f>
        <v/>
      </c>
      <c r="G77" s="19" t="str">
        <f aca="false">IF($A77&gt;$H$9,"",INDEX(Replenishment_Plan!$N$7:$N$54,MATCH($A77,Replenishment_Plan!$AK$7:$AK$54,0)))</f>
        <v/>
      </c>
      <c r="H77" s="19" t="str">
        <f aca="false">IF($A77&gt;$H$9,"",INDEX(Replenishment_Plan!$Z$7:$Z$54,MATCH($A77,Replenishment_Plan!$AK$7:$AK$54,0)))</f>
        <v/>
      </c>
      <c r="I77" s="41" t="str">
        <f aca="false">IF($A77&gt;$H$9,"",INDEX(Replenishment_Plan!$AD$7:$AD$54,MATCH($A77,Replenishment_Plan!$AK$7:$AK$54,0)))</f>
        <v/>
      </c>
      <c r="J77" s="7" t="str">
        <f aca="false">IF($A77&gt;$H$9,"",INDEX(Replenishment_Plan!$AH$7:$AH$54,MATCH($A77,Replenishment_Plan!$AK$7:$AK$54,0)))</f>
        <v/>
      </c>
    </row>
    <row r="78" customFormat="false" ht="15" hidden="false" customHeight="false" outlineLevel="0" collapsed="false">
      <c r="A78" s="69" t="n">
        <v>45</v>
      </c>
      <c r="B78" s="10" t="str">
        <f aca="false">IF($A78&gt;$H$9,"",INDEX(Replenishment_Plan!$A$7:$A$54,MATCH($A78,Replenishment_Plan!$AK$7:$AK$54,0)))</f>
        <v/>
      </c>
      <c r="C78" s="10" t="str">
        <f aca="false">IF($A78&gt;$H$9,"",INDEX(Replenishment_Plan!$B$7:$B$54,MATCH($A78,Replenishment_Plan!$AK$7:$AK$54,0)))</f>
        <v/>
      </c>
      <c r="D78" s="12" t="str">
        <f aca="false">IF($A78&gt;$H$9,"",INDEX(Replenishment_Plan!$AG$7:$AG$54,MATCH($A78,Replenishment_Plan!$AK$7:$AK$54,0)))</f>
        <v/>
      </c>
      <c r="E78" s="28" t="str">
        <f aca="false">IF($A78&gt;$H$9,"",INDEX(Replenishment_Plan!$S$7:$S$54,MATCH($A78,Replenishment_Plan!$AK$7:$AK$54,0)))</f>
        <v/>
      </c>
      <c r="F78" s="19" t="str">
        <f aca="false">IF($A78&gt;$H$9,"",INDEX(Replenishment_Plan!$R$7:$R$54,MATCH($A78,Replenishment_Plan!$AK$7:$AK$54,0)))</f>
        <v/>
      </c>
      <c r="G78" s="19" t="str">
        <f aca="false">IF($A78&gt;$H$9,"",INDEX(Replenishment_Plan!$N$7:$N$54,MATCH($A78,Replenishment_Plan!$AK$7:$AK$54,0)))</f>
        <v/>
      </c>
      <c r="H78" s="19" t="str">
        <f aca="false">IF($A78&gt;$H$9,"",INDEX(Replenishment_Plan!$Z$7:$Z$54,MATCH($A78,Replenishment_Plan!$AK$7:$AK$54,0)))</f>
        <v/>
      </c>
      <c r="I78" s="41" t="str">
        <f aca="false">IF($A78&gt;$H$9,"",INDEX(Replenishment_Plan!$AD$7:$AD$54,MATCH($A78,Replenishment_Plan!$AK$7:$AK$54,0)))</f>
        <v/>
      </c>
      <c r="J78" s="7" t="str">
        <f aca="false">IF($A78&gt;$H$9,"",INDEX(Replenishment_Plan!$AH$7:$AH$54,MATCH($A78,Replenishment_Plan!$AK$7:$AK$54,0)))</f>
        <v/>
      </c>
    </row>
    <row r="79" customFormat="false" ht="15" hidden="false" customHeight="false" outlineLevel="0" collapsed="false">
      <c r="A79" s="69" t="n">
        <v>46</v>
      </c>
      <c r="B79" s="10" t="str">
        <f aca="false">IF($A79&gt;$H$9,"",INDEX(Replenishment_Plan!$A$7:$A$54,MATCH($A79,Replenishment_Plan!$AK$7:$AK$54,0)))</f>
        <v/>
      </c>
      <c r="C79" s="10" t="str">
        <f aca="false">IF($A79&gt;$H$9,"",INDEX(Replenishment_Plan!$B$7:$B$54,MATCH($A79,Replenishment_Plan!$AK$7:$AK$54,0)))</f>
        <v/>
      </c>
      <c r="D79" s="12" t="str">
        <f aca="false">IF($A79&gt;$H$9,"",INDEX(Replenishment_Plan!$AG$7:$AG$54,MATCH($A79,Replenishment_Plan!$AK$7:$AK$54,0)))</f>
        <v/>
      </c>
      <c r="E79" s="28" t="str">
        <f aca="false">IF($A79&gt;$H$9,"",INDEX(Replenishment_Plan!$S$7:$S$54,MATCH($A79,Replenishment_Plan!$AK$7:$AK$54,0)))</f>
        <v/>
      </c>
      <c r="F79" s="19" t="str">
        <f aca="false">IF($A79&gt;$H$9,"",INDEX(Replenishment_Plan!$R$7:$R$54,MATCH($A79,Replenishment_Plan!$AK$7:$AK$54,0)))</f>
        <v/>
      </c>
      <c r="G79" s="19" t="str">
        <f aca="false">IF($A79&gt;$H$9,"",INDEX(Replenishment_Plan!$N$7:$N$54,MATCH($A79,Replenishment_Plan!$AK$7:$AK$54,0)))</f>
        <v/>
      </c>
      <c r="H79" s="19" t="str">
        <f aca="false">IF($A79&gt;$H$9,"",INDEX(Replenishment_Plan!$Z$7:$Z$54,MATCH($A79,Replenishment_Plan!$AK$7:$AK$54,0)))</f>
        <v/>
      </c>
      <c r="I79" s="41" t="str">
        <f aca="false">IF($A79&gt;$H$9,"",INDEX(Replenishment_Plan!$AD$7:$AD$54,MATCH($A79,Replenishment_Plan!$AK$7:$AK$54,0)))</f>
        <v/>
      </c>
      <c r="J79" s="7" t="str">
        <f aca="false">IF($A79&gt;$H$9,"",INDEX(Replenishment_Plan!$AH$7:$AH$54,MATCH($A79,Replenishment_Plan!$AK$7:$AK$54,0)))</f>
        <v/>
      </c>
    </row>
    <row r="80" customFormat="false" ht="15" hidden="false" customHeight="false" outlineLevel="0" collapsed="false">
      <c r="A80" s="69" t="n">
        <v>47</v>
      </c>
      <c r="B80" s="10" t="str">
        <f aca="false">IF($A80&gt;$H$9,"",INDEX(Replenishment_Plan!$A$7:$A$54,MATCH($A80,Replenishment_Plan!$AK$7:$AK$54,0)))</f>
        <v/>
      </c>
      <c r="C80" s="10" t="str">
        <f aca="false">IF($A80&gt;$H$9,"",INDEX(Replenishment_Plan!$B$7:$B$54,MATCH($A80,Replenishment_Plan!$AK$7:$AK$54,0)))</f>
        <v/>
      </c>
      <c r="D80" s="12" t="str">
        <f aca="false">IF($A80&gt;$H$9,"",INDEX(Replenishment_Plan!$AG$7:$AG$54,MATCH($A80,Replenishment_Plan!$AK$7:$AK$54,0)))</f>
        <v/>
      </c>
      <c r="E80" s="28" t="str">
        <f aca="false">IF($A80&gt;$H$9,"",INDEX(Replenishment_Plan!$S$7:$S$54,MATCH($A80,Replenishment_Plan!$AK$7:$AK$54,0)))</f>
        <v/>
      </c>
      <c r="F80" s="19" t="str">
        <f aca="false">IF($A80&gt;$H$9,"",INDEX(Replenishment_Plan!$R$7:$R$54,MATCH($A80,Replenishment_Plan!$AK$7:$AK$54,0)))</f>
        <v/>
      </c>
      <c r="G80" s="19" t="str">
        <f aca="false">IF($A80&gt;$H$9,"",INDEX(Replenishment_Plan!$N$7:$N$54,MATCH($A80,Replenishment_Plan!$AK$7:$AK$54,0)))</f>
        <v/>
      </c>
      <c r="H80" s="19" t="str">
        <f aca="false">IF($A80&gt;$H$9,"",INDEX(Replenishment_Plan!$Z$7:$Z$54,MATCH($A80,Replenishment_Plan!$AK$7:$AK$54,0)))</f>
        <v/>
      </c>
      <c r="I80" s="41" t="str">
        <f aca="false">IF($A80&gt;$H$9,"",INDEX(Replenishment_Plan!$AD$7:$AD$54,MATCH($A80,Replenishment_Plan!$AK$7:$AK$54,0)))</f>
        <v/>
      </c>
      <c r="J80" s="7" t="str">
        <f aca="false">IF($A80&gt;$H$9,"",INDEX(Replenishment_Plan!$AH$7:$AH$54,MATCH($A80,Replenishment_Plan!$AK$7:$AK$54,0)))</f>
        <v/>
      </c>
    </row>
    <row r="81" customFormat="false" ht="15" hidden="false" customHeight="false" outlineLevel="0" collapsed="false">
      <c r="A81" s="69" t="n">
        <v>48</v>
      </c>
      <c r="B81" s="10" t="str">
        <f aca="false">IF($A81&gt;$H$9,"",INDEX(Replenishment_Plan!$A$7:$A$54,MATCH($A81,Replenishment_Plan!$AK$7:$AK$54,0)))</f>
        <v/>
      </c>
      <c r="C81" s="10" t="str">
        <f aca="false">IF($A81&gt;$H$9,"",INDEX(Replenishment_Plan!$B$7:$B$54,MATCH($A81,Replenishment_Plan!$AK$7:$AK$54,0)))</f>
        <v/>
      </c>
      <c r="D81" s="12" t="str">
        <f aca="false">IF($A81&gt;$H$9,"",INDEX(Replenishment_Plan!$AG$7:$AG$54,MATCH($A81,Replenishment_Plan!$AK$7:$AK$54,0)))</f>
        <v/>
      </c>
      <c r="E81" s="28" t="str">
        <f aca="false">IF($A81&gt;$H$9,"",INDEX(Replenishment_Plan!$S$7:$S$54,MATCH($A81,Replenishment_Plan!$AK$7:$AK$54,0)))</f>
        <v/>
      </c>
      <c r="F81" s="19" t="str">
        <f aca="false">IF($A81&gt;$H$9,"",INDEX(Replenishment_Plan!$R$7:$R$54,MATCH($A81,Replenishment_Plan!$AK$7:$AK$54,0)))</f>
        <v/>
      </c>
      <c r="G81" s="19" t="str">
        <f aca="false">IF($A81&gt;$H$9,"",INDEX(Replenishment_Plan!$N$7:$N$54,MATCH($A81,Replenishment_Plan!$AK$7:$AK$54,0)))</f>
        <v/>
      </c>
      <c r="H81" s="19" t="str">
        <f aca="false">IF($A81&gt;$H$9,"",INDEX(Replenishment_Plan!$Z$7:$Z$54,MATCH($A81,Replenishment_Plan!$AK$7:$AK$54,0)))</f>
        <v/>
      </c>
      <c r="I81" s="41" t="str">
        <f aca="false">IF($A81&gt;$H$9,"",INDEX(Replenishment_Plan!$AD$7:$AD$54,MATCH($A81,Replenishment_Plan!$AK$7:$AK$54,0)))</f>
        <v/>
      </c>
      <c r="J81" s="7" t="str">
        <f aca="false">IF($A81&gt;$H$9,"",INDEX(Replenishment_Plan!$AH$7:$AH$54,MATCH($A81,Replenishment_Plan!$AK$7:$AK$54,0)))</f>
        <v/>
      </c>
    </row>
  </sheetData>
  <mergeCells count="2">
    <mergeCell ref="A7:E7"/>
    <mergeCell ref="A32:J32"/>
  </mergeCells>
  <conditionalFormatting sqref="D34:D81">
    <cfRule type="expression" priority="2" aboveAverage="0" equalAverage="0" bottom="0" percent="0" rank="0" text="" dxfId="4">
      <formula>D34="STOCKOUT RISK"</formula>
    </cfRule>
    <cfRule type="expression" priority="3" aboveAverage="0" equalAverage="0" bottom="0" percent="0" rank="0" text="" dxfId="5">
      <formula>D34="REORDER REQUIRED"</formula>
    </cfRule>
    <cfRule type="expression" priority="4" aboveAverage="0" equalAverage="0" bottom="0" percent="0" rank="0" text="" dxfId="6">
      <formula>D34="EXCESS STOCK"</formula>
    </cfRule>
  </conditionalFormatting>
  <conditionalFormatting sqref="A9:A12">
    <cfRule type="expression" priority="5" aboveAverage="0" equalAverage="0" bottom="0" percent="0" rank="0" text="" dxfId="4">
      <formula>A9="STOCKOUT RISK"</formula>
    </cfRule>
    <cfRule type="expression" priority="6" aboveAverage="0" equalAverage="0" bottom="0" percent="0" rank="0" text="" dxfId="5">
      <formula>A9="REORDER REQUIRED"</formula>
    </cfRule>
    <cfRule type="expression" priority="7" aboveAverage="0" equalAverage="0" bottom="0" percent="0" rank="0" text="" dxfId="6">
      <formula>A9="EXCESS STOCK"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J8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6"/>
    <col collapsed="false" customWidth="true" hidden="false" outlineLevel="0" max="6" min="4" style="0" width="17"/>
    <col collapsed="false" customWidth="true" hidden="false" outlineLevel="0" max="9" min="7" style="0" width="12"/>
    <col collapsed="false" customWidth="true" hidden="false" outlineLevel="0" max="36" min="10" style="0" width="11"/>
  </cols>
  <sheetData>
    <row r="1" customFormat="false" ht="18.55" hidden="false" customHeight="false" outlineLevel="0" collapsed="false">
      <c r="A1" s="1" t="s">
        <v>555</v>
      </c>
    </row>
    <row r="2" customFormat="false" ht="15" hidden="false" customHeight="false" outlineLevel="0" collapsed="false">
      <c r="A2" s="2" t="s">
        <v>556</v>
      </c>
    </row>
    <row r="4" customFormat="false" ht="15" hidden="false" customHeight="false" outlineLevel="0" collapsed="false">
      <c r="A4" s="4" t="s">
        <v>557</v>
      </c>
      <c r="B4" s="4"/>
      <c r="C4" s="4"/>
      <c r="D4" s="4"/>
      <c r="E4" s="4"/>
      <c r="F4" s="4"/>
    </row>
    <row r="5" customFormat="false" ht="30" hidden="false" customHeight="true" outlineLevel="0" collapsed="false">
      <c r="A5" s="8" t="s">
        <v>558</v>
      </c>
      <c r="B5" s="70" t="str">
        <f aca="false">"Weeks "&amp;BT_Start_Week&amp;" to "&amp;Weeks_History&amp;" ("&amp;BT_Weeks&amp;" weeks), all 48 SKUs"</f>
        <v>Weeks 89 to 104 (16 weeks), all 48 SKUs</v>
      </c>
      <c r="C5" s="70"/>
      <c r="D5" s="70"/>
      <c r="E5" s="70"/>
      <c r="F5" s="70"/>
    </row>
    <row r="6" customFormat="false" ht="30" hidden="false" customHeight="true" outlineLevel="0" collapsed="false">
      <c r="A6" s="8" t="s">
        <v>559</v>
      </c>
      <c r="B6" s="70" t="s">
        <v>560</v>
      </c>
      <c r="C6" s="70"/>
      <c r="D6" s="70"/>
      <c r="E6" s="70"/>
      <c r="F6" s="70"/>
    </row>
    <row r="7" customFormat="false" ht="30" hidden="false" customHeight="true" outlineLevel="0" collapsed="false">
      <c r="A7" s="8" t="s">
        <v>561</v>
      </c>
      <c r="B7" s="70" t="str">
        <f aca="false">"Week "&amp;BT_Start_Week&amp;" starts with "&amp;BT_Open_Cover&amp;" weeks of the trailing 8-week average demand on hand (same for both policies), nothing on order."</f>
        <v>Week 89 starts with 6 weeks of the trailing 8-week average demand on hand (same for both policies), nothing on order.</v>
      </c>
      <c r="C7" s="70"/>
      <c r="D7" s="70"/>
      <c r="E7" s="70"/>
      <c r="F7" s="70"/>
    </row>
    <row r="8" customFormat="false" ht="30" hidden="false" customHeight="true" outlineLevel="0" collapsed="false">
      <c r="A8" s="8" t="s">
        <v>562</v>
      </c>
      <c r="B8" s="70" t="str">
        <f aca="false">"If inventory position &lt; "&amp;Baseline_Weeks&amp;" x trailing 4-week average demand, order up to that level (rounded up to case pack). The trailing average only uses weeks before t."</f>
        <v>If inventory position &lt; 4 x trailing 4-week average demand, order up to that level (rounded up to case pack). The trailing average only uses weeks before t.</v>
      </c>
      <c r="C8" s="70"/>
      <c r="D8" s="70"/>
      <c r="E8" s="70"/>
      <c r="F8" s="70"/>
    </row>
    <row r="9" customFormat="false" ht="30" hidden="false" customHeight="true" outlineLevel="0" collapsed="false">
      <c r="A9" s="8" t="s">
        <v>563</v>
      </c>
      <c r="B9" s="70" t="s">
        <v>564</v>
      </c>
      <c r="C9" s="70"/>
      <c r="D9" s="70"/>
      <c r="E9" s="70"/>
      <c r="F9" s="70"/>
    </row>
    <row r="10" customFormat="false" ht="30" hidden="false" customHeight="true" outlineLevel="0" collapsed="false">
      <c r="A10" s="8" t="s">
        <v>565</v>
      </c>
      <c r="B10" s="70" t="str">
        <f aca="false">"Method choice and Error SD for Policy B are estimated on weeks "&amp;Cal_Start_Week&amp;"-"&amp;Cal_End_Week&amp;" only. Each weekly forecast uses only earlier actuals. Actual demand of week t is revealed only after the order decision."</f>
        <v>Method choice and Error SD for Policy B are estimated on weeks 37-88 only. Each weekly forecast uses only earlier actuals. Actual demand of week t is revealed only after the order decision.</v>
      </c>
      <c r="C10" s="70"/>
      <c r="D10" s="70"/>
      <c r="E10" s="70"/>
      <c r="F10" s="70"/>
    </row>
    <row r="12" customFormat="false" ht="15" hidden="false" customHeight="false" outlineLevel="0" collapsed="false">
      <c r="A12" s="4" t="s">
        <v>566</v>
      </c>
      <c r="B12" s="4"/>
      <c r="C12" s="4"/>
      <c r="D12" s="4"/>
      <c r="E12" s="4"/>
      <c r="F12" s="4"/>
    </row>
    <row r="13" customFormat="false" ht="31.5" hidden="false" customHeight="true" outlineLevel="0" collapsed="false">
      <c r="A13" s="6" t="s">
        <v>567</v>
      </c>
      <c r="B13" s="6" t="s">
        <v>568</v>
      </c>
      <c r="C13" s="6" t="s">
        <v>569</v>
      </c>
      <c r="D13" s="6" t="s">
        <v>570</v>
      </c>
      <c r="E13" s="6" t="s">
        <v>571</v>
      </c>
      <c r="F13" s="6"/>
    </row>
    <row r="14" customFormat="false" ht="30" hidden="false" customHeight="true" outlineLevel="0" collapsed="false">
      <c r="A14" s="8" t="s">
        <v>572</v>
      </c>
      <c r="B14" s="71" t="n">
        <f aca="false">SUM(Q53:Q820)/SUM(I53:I820)</f>
        <v>0.927781064440501</v>
      </c>
      <c r="C14" s="71" t="n">
        <f aca="false">SUM(AG53:AG820)/SUM(I53:I820)</f>
        <v>0.958149827997984</v>
      </c>
      <c r="D14" s="72" t="n">
        <f aca="false">C14-B14</f>
        <v>0.0303687635574837</v>
      </c>
      <c r="E14" s="70" t="s">
        <v>573</v>
      </c>
      <c r="F14" s="70"/>
    </row>
    <row r="15" customFormat="false" ht="30" hidden="false" customHeight="true" outlineLevel="0" collapsed="false">
      <c r="A15" s="8" t="s">
        <v>574</v>
      </c>
      <c r="B15" s="73" t="n">
        <f aca="false">SUM(T53:T820)</f>
        <v>145</v>
      </c>
      <c r="C15" s="73" t="n">
        <f aca="false">SUM(AJ53:AJ820)</f>
        <v>71</v>
      </c>
      <c r="D15" s="74" t="n">
        <f aca="false">C15-B15</f>
        <v>-74</v>
      </c>
      <c r="E15" s="70" t="s">
        <v>575</v>
      </c>
      <c r="F15" s="70"/>
    </row>
    <row r="16" customFormat="false" ht="30" hidden="false" customHeight="true" outlineLevel="0" collapsed="false">
      <c r="A16" s="8" t="s">
        <v>576</v>
      </c>
      <c r="B16" s="73" t="n">
        <f aca="false">SUM(S53:S820)/BT_Weeks</f>
        <v>4780.9375</v>
      </c>
      <c r="C16" s="73" t="n">
        <f aca="false">SUM(AI53:AI820)/BT_Weeks</f>
        <v>6907.6875</v>
      </c>
      <c r="D16" s="74" t="n">
        <f aca="false">C16-B16</f>
        <v>2126.75</v>
      </c>
      <c r="E16" s="70" t="s">
        <v>577</v>
      </c>
      <c r="F16" s="70"/>
    </row>
    <row r="17" customFormat="false" ht="30" hidden="false" customHeight="true" outlineLevel="0" collapsed="false">
      <c r="A17" s="8" t="s">
        <v>578</v>
      </c>
      <c r="B17" s="73" t="n">
        <f aca="false">COUNTIF(P53:P820,"&gt;0")</f>
        <v>592</v>
      </c>
      <c r="C17" s="73" t="n">
        <f aca="false">COUNTIF(AF53:AF820,"&gt;0")</f>
        <v>129</v>
      </c>
      <c r="D17" s="74" t="n">
        <f aca="false">C17-B17</f>
        <v>-463</v>
      </c>
      <c r="E17" s="70" t="s">
        <v>579</v>
      </c>
      <c r="F17" s="70"/>
    </row>
    <row r="18" customFormat="false" ht="30" hidden="false" customHeight="true" outlineLevel="0" collapsed="false">
      <c r="A18" s="8" t="s">
        <v>580</v>
      </c>
      <c r="B18" s="75" t="n">
        <f aca="false">SUMPRODUCT(S53:S820,E53:E820)/BT_Weeks</f>
        <v>63090.9375</v>
      </c>
      <c r="C18" s="75" t="n">
        <f aca="false">SUMPRODUCT(AI53:AI820,E53:E820)/BT_Weeks</f>
        <v>110962.75</v>
      </c>
      <c r="D18" s="76" t="n">
        <f aca="false">C18-B18</f>
        <v>47871.8125</v>
      </c>
      <c r="E18" s="70" t="s">
        <v>581</v>
      </c>
      <c r="F18" s="70"/>
    </row>
    <row r="20" customFormat="false" ht="30" hidden="false" customHeight="true" outlineLevel="0" collapsed="false">
      <c r="A20" s="77" t="str">
        <f aca="false">"Reading: the proposed policy reached a fill rate of "&amp;FIXED(C14*100,1)&amp;"% vs "&amp;FIXED(B14*100,1)&amp;"% for the baseline, with "&amp;C15&amp;" vs "&amp;B15&amp;" stockout SKU-weeks and "&amp;C17&amp;" vs "&amp;B17&amp;" orders, while average inventory value was "&amp;FIXED(ABS(C18/B18-1)*100,0)&amp;"% "&amp;IF(C18&gt;=B18,"higher","lower")&amp;". "&amp;IF(AND(D14&gt;0,D18&gt;0),"Better service came with more inventory: a trade-off, not a free win.",IF(AND(D14&gt;=0,D18&lt;=0),"Service improved without extra inventory.",IF(AND(D14&lt;0,D18&lt;0),"Less inventory, but lower service.","Lower service with more inventory: review parameters.")))&amp;" Results come from one synthetic scenario and a short window; they are not proof of general superiority."</f>
        <v>Reading: the proposed policy reached a fill rate of 95.8% vs 92.8% for the baseline, with 71 vs 145 stockout SKU-weeks and 129 vs 592 orders, while average inventory value was 76% higher. Better service came with more inventory: a trade-off, not a free win. Results come from one synthetic scenario and a short window; they are not proof of general superiority.</v>
      </c>
      <c r="B20" s="77"/>
      <c r="C20" s="77"/>
      <c r="D20" s="77"/>
      <c r="E20" s="77"/>
      <c r="F20" s="77"/>
    </row>
    <row r="21" customFormat="false" ht="30" hidden="false" customHeight="true" outlineLevel="0" collapsed="false">
      <c r="A21" s="77"/>
      <c r="B21" s="77"/>
      <c r="C21" s="77"/>
      <c r="D21" s="77"/>
      <c r="E21" s="77"/>
      <c r="F21" s="77"/>
    </row>
    <row r="23" customFormat="false" ht="15" hidden="false" customHeight="false" outlineLevel="0" collapsed="false">
      <c r="A23" s="4" t="s">
        <v>582</v>
      </c>
      <c r="B23" s="4"/>
      <c r="C23" s="4"/>
      <c r="D23" s="4"/>
      <c r="E23" s="4"/>
      <c r="F23" s="4"/>
      <c r="G23" s="4"/>
      <c r="H23" s="4"/>
      <c r="I23" s="4"/>
    </row>
    <row r="24" customFormat="false" ht="15" hidden="false" customHeight="false" outlineLevel="0" collapsed="false">
      <c r="A24" s="48" t="s">
        <v>391</v>
      </c>
      <c r="B24" s="49" t="s">
        <v>165</v>
      </c>
      <c r="C24" s="31" t="str">
        <f aca="false">INDEX(Inputs!$C$40:$C$87,MATCH(B24,Inputs!$B$40:$B$87,0))&amp;"  |  LT "&amp;INDEX(Inputs!$F$40:$F$87,MATCH(B24,Inputs!$B$40:$B$87,0))&amp;" wks  |  Policy B method: "&amp;INDEX(Forecast!$AZ$7:$AZ$54,MATCH(B24,Forecast!$A$7:$A$54,0))</f>
        <v>Silicone Utensil Set  |  LT 2 wks  |  Policy B method: MA8</v>
      </c>
    </row>
    <row r="25" customFormat="false" ht="30" hidden="false" customHeight="true" outlineLevel="0" collapsed="false">
      <c r="A25" s="6" t="s">
        <v>583</v>
      </c>
      <c r="B25" s="6" t="s">
        <v>568</v>
      </c>
      <c r="C25" s="6" t="s">
        <v>569</v>
      </c>
    </row>
    <row r="26" customFormat="false" ht="15" hidden="false" customHeight="false" outlineLevel="0" collapsed="false">
      <c r="A26" s="12" t="s">
        <v>572</v>
      </c>
      <c r="B26" s="26" t="n">
        <f aca="false">SUMIFS($Q$53:$Q$820,$A$53:$A$820,$B$24)/SUMIFS($I$53:$I$820,$A$53:$A$820,$B$24)</f>
        <v>0.957011258955988</v>
      </c>
      <c r="C26" s="26" t="n">
        <f aca="false">SUMIFS($AG$53:$AG$820,$A$53:$A$820,$B$24)/SUMIFS($I$53:$I$820,$A$53:$A$820,$B$24)</f>
        <v>0.976458546571136</v>
      </c>
    </row>
    <row r="27" customFormat="false" ht="15" hidden="false" customHeight="false" outlineLevel="0" collapsed="false">
      <c r="A27" s="12" t="s">
        <v>584</v>
      </c>
      <c r="B27" s="19" t="n">
        <f aca="false">SUMIFS($T$53:$T$820,$A$53:$A$820,$B$24)</f>
        <v>2</v>
      </c>
      <c r="C27" s="19" t="n">
        <f aca="false">SUMIFS($AJ$53:$AJ$820,$A$53:$A$820,$B$24)</f>
        <v>1</v>
      </c>
    </row>
    <row r="28" customFormat="false" ht="15" hidden="false" customHeight="false" outlineLevel="0" collapsed="false">
      <c r="A28" s="12" t="s">
        <v>585</v>
      </c>
      <c r="B28" s="28" t="n">
        <f aca="false">SUMIFS($S$53:$S$820,$A$53:$A$820,$B$24)/BT_Weeks</f>
        <v>88.4375</v>
      </c>
      <c r="C28" s="28" t="n">
        <f aca="false">SUMIFS($AI$53:$AI$820,$A$53:$A$820,$B$24)/BT_Weeks</f>
        <v>137.1875</v>
      </c>
    </row>
    <row r="29" customFormat="false" ht="15" hidden="false" customHeight="false" outlineLevel="0" collapsed="false">
      <c r="A29" s="12" t="s">
        <v>578</v>
      </c>
      <c r="B29" s="19" t="n">
        <f aca="false">COUNTIFS($A$53:$A$820,$B$24,$P$53:$P$820,"&gt;0")</f>
        <v>14</v>
      </c>
      <c r="C29" s="19" t="n">
        <f aca="false">COUNTIFS($A$53:$A$820,$B$24,$AF$53:$AF$820,"&gt;0")</f>
        <v>3</v>
      </c>
    </row>
    <row r="30" customFormat="false" ht="15" hidden="false" customHeight="false" outlineLevel="0" collapsed="false">
      <c r="A30" s="12" t="s">
        <v>580</v>
      </c>
      <c r="B30" s="42" t="n">
        <f aca="false">B28*INDEX(Inputs!$H$40:$H$87,MATCH($B$24,Inputs!$B$40:$B$87,0))</f>
        <v>1061.25</v>
      </c>
      <c r="C30" s="42" t="n">
        <f aca="false">C28*INDEX(Inputs!$H$40:$H$87,MATCH($B$24,Inputs!$B$40:$B$87,0))</f>
        <v>1646.25</v>
      </c>
    </row>
    <row r="32" customFormat="false" ht="31.5" hidden="false" customHeight="true" outlineLevel="0" collapsed="false">
      <c r="A32" s="6" t="s">
        <v>256</v>
      </c>
      <c r="B32" s="6" t="s">
        <v>517</v>
      </c>
      <c r="C32" s="6" t="s">
        <v>586</v>
      </c>
      <c r="D32" s="6" t="s">
        <v>587</v>
      </c>
      <c r="E32" s="6" t="s">
        <v>588</v>
      </c>
      <c r="F32" s="6" t="s">
        <v>589</v>
      </c>
      <c r="G32" s="6" t="s">
        <v>590</v>
      </c>
      <c r="H32" s="6" t="s">
        <v>591</v>
      </c>
      <c r="I32" s="6" t="s">
        <v>592</v>
      </c>
    </row>
    <row r="33" customFormat="false" ht="15" hidden="false" customHeight="false" outlineLevel="0" collapsed="false">
      <c r="A33" s="41" t="n">
        <f aca="false">BT_Start_Week+0</f>
        <v>89</v>
      </c>
      <c r="B33" s="19" t="n">
        <f aca="false">SUMIFS($I$53:$I$820,$A$53:$A$820,$B$24,$B$53:$B$820,$A33)</f>
        <v>43</v>
      </c>
      <c r="C33" s="19" t="n">
        <f aca="false">SUMIFS($S$53:$S$820,$A$53:$A$820,$B$24,$B$53:$B$820,$A33)</f>
        <v>216</v>
      </c>
      <c r="D33" s="19" t="n">
        <f aca="false">SUMIFS($AI$53:$AI$820,$A$53:$A$820,$B$24,$B$53:$B$820,$A33)</f>
        <v>216</v>
      </c>
      <c r="E33" s="19" t="n">
        <f aca="false">SUMIFS($P$53:$P$820,$A$53:$A$820,$B$24,$B$53:$B$820,$A33)</f>
        <v>0</v>
      </c>
      <c r="F33" s="19" t="n">
        <f aca="false">SUMIFS($AF$53:$AF$820,$A$53:$A$820,$B$24,$B$53:$B$820,$A33)</f>
        <v>0</v>
      </c>
      <c r="G33" s="19" t="n">
        <f aca="false">SUMIFS($R$53:$R$820,$A$53:$A$820,$B$24,$B$53:$B$820,$A33)</f>
        <v>0</v>
      </c>
      <c r="H33" s="19" t="n">
        <f aca="false">SUMIFS($AH$53:$AH$820,$A$53:$A$820,$B$24,$B$53:$B$820,$A33)</f>
        <v>0</v>
      </c>
      <c r="I33" s="19" t="n">
        <f aca="false">SUMIFS($Y$53:$Y$820,$A$53:$A$820,$B$24,$B$53:$B$820,$A33)</f>
        <v>133.540539527858</v>
      </c>
    </row>
    <row r="34" customFormat="false" ht="15" hidden="false" customHeight="false" outlineLevel="0" collapsed="false">
      <c r="A34" s="41" t="n">
        <f aca="false">BT_Start_Week+1</f>
        <v>90</v>
      </c>
      <c r="B34" s="19" t="n">
        <f aca="false">SUMIFS($I$53:$I$820,$A$53:$A$820,$B$24,$B$53:$B$820,$A34)</f>
        <v>55</v>
      </c>
      <c r="C34" s="19" t="n">
        <f aca="false">SUMIFS($S$53:$S$820,$A$53:$A$820,$B$24,$B$53:$B$820,$A34)</f>
        <v>161</v>
      </c>
      <c r="D34" s="19" t="n">
        <f aca="false">SUMIFS($AI$53:$AI$820,$A$53:$A$820,$B$24,$B$53:$B$820,$A34)</f>
        <v>161</v>
      </c>
      <c r="E34" s="19" t="n">
        <f aca="false">SUMIFS($P$53:$P$820,$A$53:$A$820,$B$24,$B$53:$B$820,$A34)</f>
        <v>10</v>
      </c>
      <c r="F34" s="19" t="n">
        <f aca="false">SUMIFS($AF$53:$AF$820,$A$53:$A$820,$B$24,$B$53:$B$820,$A34)</f>
        <v>0</v>
      </c>
      <c r="G34" s="19" t="n">
        <f aca="false">SUMIFS($R$53:$R$820,$A$53:$A$820,$B$24,$B$53:$B$820,$A34)</f>
        <v>0</v>
      </c>
      <c r="H34" s="19" t="n">
        <f aca="false">SUMIFS($AH$53:$AH$820,$A$53:$A$820,$B$24,$B$53:$B$820,$A34)</f>
        <v>0</v>
      </c>
      <c r="I34" s="19" t="n">
        <f aca="false">SUMIFS($Y$53:$Y$820,$A$53:$A$820,$B$24,$B$53:$B$820,$A34)</f>
        <v>138.790539527858</v>
      </c>
    </row>
    <row r="35" customFormat="false" ht="15" hidden="false" customHeight="false" outlineLevel="0" collapsed="false">
      <c r="A35" s="41" t="n">
        <f aca="false">BT_Start_Week+2</f>
        <v>91</v>
      </c>
      <c r="B35" s="19" t="n">
        <f aca="false">SUMIFS($I$53:$I$820,$A$53:$A$820,$B$24,$B$53:$B$820,$A35)</f>
        <v>70</v>
      </c>
      <c r="C35" s="19" t="n">
        <f aca="false">SUMIFS($S$53:$S$820,$A$53:$A$820,$B$24,$B$53:$B$820,$A35)</f>
        <v>91</v>
      </c>
      <c r="D35" s="19" t="n">
        <f aca="false">SUMIFS($AI$53:$AI$820,$A$53:$A$820,$B$24,$B$53:$B$820,$A35)</f>
        <v>91</v>
      </c>
      <c r="E35" s="19" t="n">
        <f aca="false">SUMIFS($P$53:$P$820,$A$53:$A$820,$B$24,$B$53:$B$820,$A35)</f>
        <v>70</v>
      </c>
      <c r="F35" s="19" t="n">
        <f aca="false">SUMIFS($AF$53:$AF$820,$A$53:$A$820,$B$24,$B$53:$B$820,$A35)</f>
        <v>0</v>
      </c>
      <c r="G35" s="19" t="n">
        <f aca="false">SUMIFS($R$53:$R$820,$A$53:$A$820,$B$24,$B$53:$B$820,$A35)</f>
        <v>0</v>
      </c>
      <c r="H35" s="19" t="n">
        <f aca="false">SUMIFS($AH$53:$AH$820,$A$53:$A$820,$B$24,$B$53:$B$820,$A35)</f>
        <v>0</v>
      </c>
      <c r="I35" s="19" t="n">
        <f aca="false">SUMIFS($Y$53:$Y$820,$A$53:$A$820,$B$24,$B$53:$B$820,$A35)</f>
        <v>140.540539527858</v>
      </c>
    </row>
    <row r="36" customFormat="false" ht="15" hidden="false" customHeight="false" outlineLevel="0" collapsed="false">
      <c r="A36" s="41" t="n">
        <f aca="false">BT_Start_Week+3</f>
        <v>92</v>
      </c>
      <c r="B36" s="19" t="n">
        <f aca="false">SUMIFS($I$53:$I$820,$A$53:$A$820,$B$24,$B$53:$B$820,$A36)</f>
        <v>2</v>
      </c>
      <c r="C36" s="19" t="n">
        <f aca="false">SUMIFS($S$53:$S$820,$A$53:$A$820,$B$24,$B$53:$B$820,$A36)</f>
        <v>99</v>
      </c>
      <c r="D36" s="19" t="n">
        <f aca="false">SUMIFS($AI$53:$AI$820,$A$53:$A$820,$B$24,$B$53:$B$820,$A36)</f>
        <v>89</v>
      </c>
      <c r="E36" s="19" t="n">
        <f aca="false">SUMIFS($P$53:$P$820,$A$53:$A$820,$B$24,$B$53:$B$820,$A36)</f>
        <v>60</v>
      </c>
      <c r="F36" s="19" t="n">
        <f aca="false">SUMIFS($AF$53:$AF$820,$A$53:$A$820,$B$24,$B$53:$B$820,$A36)</f>
        <v>300</v>
      </c>
      <c r="G36" s="19" t="n">
        <f aca="false">SUMIFS($R$53:$R$820,$A$53:$A$820,$B$24,$B$53:$B$820,$A36)</f>
        <v>0</v>
      </c>
      <c r="H36" s="19" t="n">
        <f aca="false">SUMIFS($AH$53:$AH$820,$A$53:$A$820,$B$24,$B$53:$B$820,$A36)</f>
        <v>0</v>
      </c>
      <c r="I36" s="19" t="n">
        <f aca="false">SUMIFS($Y$53:$Y$820,$A$53:$A$820,$B$24,$B$53:$B$820,$A36)</f>
        <v>147.290539527858</v>
      </c>
    </row>
    <row r="37" customFormat="false" ht="15" hidden="false" customHeight="false" outlineLevel="0" collapsed="false">
      <c r="A37" s="41" t="n">
        <f aca="false">BT_Start_Week+4</f>
        <v>93</v>
      </c>
      <c r="B37" s="19" t="n">
        <f aca="false">SUMIFS($I$53:$I$820,$A$53:$A$820,$B$24,$B$53:$B$820,$A37)</f>
        <v>53</v>
      </c>
      <c r="C37" s="19" t="n">
        <f aca="false">SUMIFS($S$53:$S$820,$A$53:$A$820,$B$24,$B$53:$B$820,$A37)</f>
        <v>116</v>
      </c>
      <c r="D37" s="19" t="n">
        <f aca="false">SUMIFS($AI$53:$AI$820,$A$53:$A$820,$B$24,$B$53:$B$820,$A37)</f>
        <v>36</v>
      </c>
      <c r="E37" s="19" t="n">
        <f aca="false">SUMIFS($P$53:$P$820,$A$53:$A$820,$B$24,$B$53:$B$820,$A37)</f>
        <v>0</v>
      </c>
      <c r="F37" s="19" t="n">
        <f aca="false">SUMIFS($AF$53:$AF$820,$A$53:$A$820,$B$24,$B$53:$B$820,$A37)</f>
        <v>0</v>
      </c>
      <c r="G37" s="19" t="n">
        <f aca="false">SUMIFS($R$53:$R$820,$A$53:$A$820,$B$24,$B$53:$B$820,$A37)</f>
        <v>0</v>
      </c>
      <c r="H37" s="19" t="n">
        <f aca="false">SUMIFS($AH$53:$AH$820,$A$53:$A$820,$B$24,$B$53:$B$820,$A37)</f>
        <v>0</v>
      </c>
      <c r="I37" s="19" t="n">
        <f aca="false">SUMIFS($Y$53:$Y$820,$A$53:$A$820,$B$24,$B$53:$B$820,$A37)</f>
        <v>138.290539527858</v>
      </c>
    </row>
    <row r="38" customFormat="false" ht="15" hidden="false" customHeight="false" outlineLevel="0" collapsed="false">
      <c r="A38" s="41" t="n">
        <f aca="false">BT_Start_Week+5</f>
        <v>94</v>
      </c>
      <c r="B38" s="19" t="n">
        <f aca="false">SUMIFS($I$53:$I$820,$A$53:$A$820,$B$24,$B$53:$B$820,$A38)</f>
        <v>65</v>
      </c>
      <c r="C38" s="19" t="n">
        <f aca="false">SUMIFS($S$53:$S$820,$A$53:$A$820,$B$24,$B$53:$B$820,$A38)</f>
        <v>111</v>
      </c>
      <c r="D38" s="19" t="n">
        <f aca="false">SUMIFS($AI$53:$AI$820,$A$53:$A$820,$B$24,$B$53:$B$820,$A38)</f>
        <v>271</v>
      </c>
      <c r="E38" s="19" t="n">
        <f aca="false">SUMIFS($P$53:$P$820,$A$53:$A$820,$B$24,$B$53:$B$820,$A38)</f>
        <v>10</v>
      </c>
      <c r="F38" s="19" t="n">
        <f aca="false">SUMIFS($AF$53:$AF$820,$A$53:$A$820,$B$24,$B$53:$B$820,$A38)</f>
        <v>0</v>
      </c>
      <c r="G38" s="19" t="n">
        <f aca="false">SUMIFS($R$53:$R$820,$A$53:$A$820,$B$24,$B$53:$B$820,$A38)</f>
        <v>0</v>
      </c>
      <c r="H38" s="19" t="n">
        <f aca="false">SUMIFS($AH$53:$AH$820,$A$53:$A$820,$B$24,$B$53:$B$820,$A38)</f>
        <v>0</v>
      </c>
      <c r="I38" s="19" t="n">
        <f aca="false">SUMIFS($Y$53:$Y$820,$A$53:$A$820,$B$24,$B$53:$B$820,$A38)</f>
        <v>148.790539527858</v>
      </c>
    </row>
    <row r="39" customFormat="false" ht="15" hidden="false" customHeight="false" outlineLevel="0" collapsed="false">
      <c r="A39" s="41" t="n">
        <f aca="false">BT_Start_Week+6</f>
        <v>95</v>
      </c>
      <c r="B39" s="19" t="n">
        <f aca="false">SUMIFS($I$53:$I$820,$A$53:$A$820,$B$24,$B$53:$B$820,$A39)</f>
        <v>68</v>
      </c>
      <c r="C39" s="19" t="n">
        <f aca="false">SUMIFS($S$53:$S$820,$A$53:$A$820,$B$24,$B$53:$B$820,$A39)</f>
        <v>43</v>
      </c>
      <c r="D39" s="19" t="n">
        <f aca="false">SUMIFS($AI$53:$AI$820,$A$53:$A$820,$B$24,$B$53:$B$820,$A39)</f>
        <v>203</v>
      </c>
      <c r="E39" s="19" t="n">
        <f aca="false">SUMIFS($P$53:$P$820,$A$53:$A$820,$B$24,$B$53:$B$820,$A39)</f>
        <v>70</v>
      </c>
      <c r="F39" s="19" t="n">
        <f aca="false">SUMIFS($AF$53:$AF$820,$A$53:$A$820,$B$24,$B$53:$B$820,$A39)</f>
        <v>0</v>
      </c>
      <c r="G39" s="19" t="n">
        <f aca="false">SUMIFS($R$53:$R$820,$A$53:$A$820,$B$24,$B$53:$B$820,$A39)</f>
        <v>0</v>
      </c>
      <c r="H39" s="19" t="n">
        <f aca="false">SUMIFS($AH$53:$AH$820,$A$53:$A$820,$B$24,$B$53:$B$820,$A39)</f>
        <v>0</v>
      </c>
      <c r="I39" s="19" t="n">
        <f aca="false">SUMIFS($Y$53:$Y$820,$A$53:$A$820,$B$24,$B$53:$B$820,$A39)</f>
        <v>152.790539527858</v>
      </c>
    </row>
    <row r="40" customFormat="false" ht="15" hidden="false" customHeight="false" outlineLevel="0" collapsed="false">
      <c r="A40" s="41" t="n">
        <f aca="false">BT_Start_Week+7</f>
        <v>96</v>
      </c>
      <c r="B40" s="19" t="n">
        <f aca="false">SUMIFS($I$53:$I$820,$A$53:$A$820,$B$24,$B$53:$B$820,$A40)</f>
        <v>88</v>
      </c>
      <c r="C40" s="19" t="n">
        <f aca="false">SUMIFS($S$53:$S$820,$A$53:$A$820,$B$24,$B$53:$B$820,$A40)</f>
        <v>0</v>
      </c>
      <c r="D40" s="19" t="n">
        <f aca="false">SUMIFS($AI$53:$AI$820,$A$53:$A$820,$B$24,$B$53:$B$820,$A40)</f>
        <v>115</v>
      </c>
      <c r="E40" s="19" t="n">
        <f aca="false">SUMIFS($P$53:$P$820,$A$53:$A$820,$B$24,$B$53:$B$820,$A40)</f>
        <v>70</v>
      </c>
      <c r="F40" s="19" t="n">
        <f aca="false">SUMIFS($AF$53:$AF$820,$A$53:$A$820,$B$24,$B$53:$B$820,$A40)</f>
        <v>0</v>
      </c>
      <c r="G40" s="19" t="n">
        <f aca="false">SUMIFS($R$53:$R$820,$A$53:$A$820,$B$24,$B$53:$B$820,$A40)</f>
        <v>35</v>
      </c>
      <c r="H40" s="19" t="n">
        <f aca="false">SUMIFS($AH$53:$AH$820,$A$53:$A$820,$B$24,$B$53:$B$820,$A40)</f>
        <v>0</v>
      </c>
      <c r="I40" s="19" t="n">
        <f aca="false">SUMIFS($Y$53:$Y$820,$A$53:$A$820,$B$24,$B$53:$B$820,$A40)</f>
        <v>151.790539527858</v>
      </c>
    </row>
    <row r="41" customFormat="false" ht="15" hidden="false" customHeight="false" outlineLevel="0" collapsed="false">
      <c r="A41" s="41" t="n">
        <f aca="false">BT_Start_Week+8</f>
        <v>97</v>
      </c>
      <c r="B41" s="19" t="n">
        <f aca="false">SUMIFS($I$53:$I$820,$A$53:$A$820,$B$24,$B$53:$B$820,$A41)</f>
        <v>77</v>
      </c>
      <c r="C41" s="19" t="n">
        <f aca="false">SUMIFS($S$53:$S$820,$A$53:$A$820,$B$24,$B$53:$B$820,$A41)</f>
        <v>0</v>
      </c>
      <c r="D41" s="19" t="n">
        <f aca="false">SUMIFS($AI$53:$AI$820,$A$53:$A$820,$B$24,$B$53:$B$820,$A41)</f>
        <v>38</v>
      </c>
      <c r="E41" s="19" t="n">
        <f aca="false">SUMIFS($P$53:$P$820,$A$53:$A$820,$B$24,$B$53:$B$820,$A41)</f>
        <v>140</v>
      </c>
      <c r="F41" s="19" t="n">
        <f aca="false">SUMIFS($AF$53:$AF$820,$A$53:$A$820,$B$24,$B$53:$B$820,$A41)</f>
        <v>320</v>
      </c>
      <c r="G41" s="19" t="n">
        <f aca="false">SUMIFS($R$53:$R$820,$A$53:$A$820,$B$24,$B$53:$B$820,$A41)</f>
        <v>7</v>
      </c>
      <c r="H41" s="19" t="n">
        <f aca="false">SUMIFS($AH$53:$AH$820,$A$53:$A$820,$B$24,$B$53:$B$820,$A41)</f>
        <v>0</v>
      </c>
      <c r="I41" s="19" t="n">
        <f aca="false">SUMIFS($Y$53:$Y$820,$A$53:$A$820,$B$24,$B$53:$B$820,$A41)</f>
        <v>158.290539527858</v>
      </c>
    </row>
    <row r="42" customFormat="false" ht="15" hidden="false" customHeight="false" outlineLevel="0" collapsed="false">
      <c r="A42" s="41" t="n">
        <f aca="false">BT_Start_Week+9</f>
        <v>98</v>
      </c>
      <c r="B42" s="19" t="n">
        <f aca="false">SUMIFS($I$53:$I$820,$A$53:$A$820,$B$24,$B$53:$B$820,$A42)</f>
        <v>61</v>
      </c>
      <c r="C42" s="19" t="n">
        <f aca="false">SUMIFS($S$53:$S$820,$A$53:$A$820,$B$24,$B$53:$B$820,$A42)</f>
        <v>9</v>
      </c>
      <c r="D42" s="19" t="n">
        <f aca="false">SUMIFS($AI$53:$AI$820,$A$53:$A$820,$B$24,$B$53:$B$820,$A42)</f>
        <v>0</v>
      </c>
      <c r="E42" s="19" t="n">
        <f aca="false">SUMIFS($P$53:$P$820,$A$53:$A$820,$B$24,$B$53:$B$820,$A42)</f>
        <v>90</v>
      </c>
      <c r="F42" s="19" t="n">
        <f aca="false">SUMIFS($AF$53:$AF$820,$A$53:$A$820,$B$24,$B$53:$B$820,$A42)</f>
        <v>0</v>
      </c>
      <c r="G42" s="19" t="n">
        <f aca="false">SUMIFS($R$53:$R$820,$A$53:$A$820,$B$24,$B$53:$B$820,$A42)</f>
        <v>0</v>
      </c>
      <c r="H42" s="19" t="n">
        <f aca="false">SUMIFS($AH$53:$AH$820,$A$53:$A$820,$B$24,$B$53:$B$820,$A42)</f>
        <v>23</v>
      </c>
      <c r="I42" s="19" t="n">
        <f aca="false">SUMIFS($Y$53:$Y$820,$A$53:$A$820,$B$24,$B$53:$B$820,$A42)</f>
        <v>166.790539527858</v>
      </c>
    </row>
    <row r="43" customFormat="false" ht="15" hidden="false" customHeight="false" outlineLevel="0" collapsed="false">
      <c r="A43" s="41" t="n">
        <f aca="false">BT_Start_Week+10</f>
        <v>99</v>
      </c>
      <c r="B43" s="19" t="n">
        <f aca="false">SUMIFS($I$53:$I$820,$A$53:$A$820,$B$24,$B$53:$B$820,$A43)</f>
        <v>61</v>
      </c>
      <c r="C43" s="19" t="n">
        <f aca="false">SUMIFS($S$53:$S$820,$A$53:$A$820,$B$24,$B$53:$B$820,$A43)</f>
        <v>88</v>
      </c>
      <c r="D43" s="19" t="n">
        <f aca="false">SUMIFS($AI$53:$AI$820,$A$53:$A$820,$B$24,$B$53:$B$820,$A43)</f>
        <v>259</v>
      </c>
      <c r="E43" s="19" t="n">
        <f aca="false">SUMIFS($P$53:$P$820,$A$53:$A$820,$B$24,$B$53:$B$820,$A43)</f>
        <v>60</v>
      </c>
      <c r="F43" s="19" t="n">
        <f aca="false">SUMIFS($AF$53:$AF$820,$A$53:$A$820,$B$24,$B$53:$B$820,$A43)</f>
        <v>0</v>
      </c>
      <c r="G43" s="19" t="n">
        <f aca="false">SUMIFS($R$53:$R$820,$A$53:$A$820,$B$24,$B$53:$B$820,$A43)</f>
        <v>0</v>
      </c>
      <c r="H43" s="19" t="n">
        <f aca="false">SUMIFS($AH$53:$AH$820,$A$53:$A$820,$B$24,$B$53:$B$820,$A43)</f>
        <v>0</v>
      </c>
      <c r="I43" s="19" t="n">
        <f aca="false">SUMIFS($Y$53:$Y$820,$A$53:$A$820,$B$24,$B$53:$B$820,$A43)</f>
        <v>168.290539527858</v>
      </c>
    </row>
    <row r="44" customFormat="false" ht="15" hidden="false" customHeight="false" outlineLevel="0" collapsed="false">
      <c r="A44" s="41" t="n">
        <f aca="false">BT_Start_Week+11</f>
        <v>100</v>
      </c>
      <c r="B44" s="19" t="n">
        <f aca="false">SUMIFS($I$53:$I$820,$A$53:$A$820,$B$24,$B$53:$B$820,$A44)</f>
        <v>70</v>
      </c>
      <c r="C44" s="19" t="n">
        <f aca="false">SUMIFS($S$53:$S$820,$A$53:$A$820,$B$24,$B$53:$B$820,$A44)</f>
        <v>108</v>
      </c>
      <c r="D44" s="19" t="n">
        <f aca="false">SUMIFS($AI$53:$AI$820,$A$53:$A$820,$B$24,$B$53:$B$820,$A44)</f>
        <v>189</v>
      </c>
      <c r="E44" s="19" t="n">
        <f aca="false">SUMIFS($P$53:$P$820,$A$53:$A$820,$B$24,$B$53:$B$820,$A44)</f>
        <v>50</v>
      </c>
      <c r="F44" s="19" t="n">
        <f aca="false">SUMIFS($AF$53:$AF$820,$A$53:$A$820,$B$24,$B$53:$B$820,$A44)</f>
        <v>0</v>
      </c>
      <c r="G44" s="19" t="n">
        <f aca="false">SUMIFS($R$53:$R$820,$A$53:$A$820,$B$24,$B$53:$B$820,$A44)</f>
        <v>0</v>
      </c>
      <c r="H44" s="19" t="n">
        <f aca="false">SUMIFS($AH$53:$AH$820,$A$53:$A$820,$B$24,$B$53:$B$820,$A44)</f>
        <v>0</v>
      </c>
      <c r="I44" s="19" t="n">
        <f aca="false">SUMIFS($Y$53:$Y$820,$A$53:$A$820,$B$24,$B$53:$B$820,$A44)</f>
        <v>166.040539527858</v>
      </c>
    </row>
    <row r="45" customFormat="false" ht="15" hidden="false" customHeight="false" outlineLevel="0" collapsed="false">
      <c r="A45" s="41" t="n">
        <f aca="false">BT_Start_Week+12</f>
        <v>101</v>
      </c>
      <c r="B45" s="19" t="n">
        <f aca="false">SUMIFS($I$53:$I$820,$A$53:$A$820,$B$24,$B$53:$B$820,$A45)</f>
        <v>45</v>
      </c>
      <c r="C45" s="19" t="n">
        <f aca="false">SUMIFS($S$53:$S$820,$A$53:$A$820,$B$24,$B$53:$B$820,$A45)</f>
        <v>123</v>
      </c>
      <c r="D45" s="19" t="n">
        <f aca="false">SUMIFS($AI$53:$AI$820,$A$53:$A$820,$B$24,$B$53:$B$820,$A45)</f>
        <v>144</v>
      </c>
      <c r="E45" s="19" t="n">
        <f aca="false">SUMIFS($P$53:$P$820,$A$53:$A$820,$B$24,$B$53:$B$820,$A45)</f>
        <v>60</v>
      </c>
      <c r="F45" s="19" t="n">
        <f aca="false">SUMIFS($AF$53:$AF$820,$A$53:$A$820,$B$24,$B$53:$B$820,$A45)</f>
        <v>0</v>
      </c>
      <c r="G45" s="19" t="n">
        <f aca="false">SUMIFS($R$53:$R$820,$A$53:$A$820,$B$24,$B$53:$B$820,$A45)</f>
        <v>0</v>
      </c>
      <c r="H45" s="19" t="n">
        <f aca="false">SUMIFS($AH$53:$AH$820,$A$53:$A$820,$B$24,$B$53:$B$820,$A45)</f>
        <v>0</v>
      </c>
      <c r="I45" s="19" t="n">
        <f aca="false">SUMIFS($Y$53:$Y$820,$A$53:$A$820,$B$24,$B$53:$B$820,$A45)</f>
        <v>183.040539527858</v>
      </c>
    </row>
    <row r="46" customFormat="false" ht="15" hidden="false" customHeight="false" outlineLevel="0" collapsed="false">
      <c r="A46" s="41" t="n">
        <f aca="false">BT_Start_Week+13</f>
        <v>102</v>
      </c>
      <c r="B46" s="19" t="n">
        <f aca="false">SUMIFS($I$53:$I$820,$A$53:$A$820,$B$24,$B$53:$B$820,$A46)</f>
        <v>54</v>
      </c>
      <c r="C46" s="19" t="n">
        <f aca="false">SUMIFS($S$53:$S$820,$A$53:$A$820,$B$24,$B$53:$B$820,$A46)</f>
        <v>119</v>
      </c>
      <c r="D46" s="19" t="n">
        <f aca="false">SUMIFS($AI$53:$AI$820,$A$53:$A$820,$B$24,$B$53:$B$820,$A46)</f>
        <v>90</v>
      </c>
      <c r="E46" s="19" t="n">
        <f aca="false">SUMIFS($P$53:$P$820,$A$53:$A$820,$B$24,$B$53:$B$820,$A46)</f>
        <v>10</v>
      </c>
      <c r="F46" s="19" t="n">
        <f aca="false">SUMIFS($AF$53:$AF$820,$A$53:$A$820,$B$24,$B$53:$B$820,$A46)</f>
        <v>350</v>
      </c>
      <c r="G46" s="19" t="n">
        <f aca="false">SUMIFS($R$53:$R$820,$A$53:$A$820,$B$24,$B$53:$B$820,$A46)</f>
        <v>0</v>
      </c>
      <c r="H46" s="19" t="n">
        <f aca="false">SUMIFS($AH$53:$AH$820,$A$53:$A$820,$B$24,$B$53:$B$820,$A46)</f>
        <v>0</v>
      </c>
      <c r="I46" s="19" t="n">
        <f aca="false">SUMIFS($Y$53:$Y$820,$A$53:$A$820,$B$24,$B$53:$B$820,$A46)</f>
        <v>181.040539527858</v>
      </c>
    </row>
    <row r="47" customFormat="false" ht="15" hidden="false" customHeight="false" outlineLevel="0" collapsed="false">
      <c r="A47" s="41" t="n">
        <f aca="false">BT_Start_Week+14</f>
        <v>103</v>
      </c>
      <c r="B47" s="19" t="n">
        <f aca="false">SUMIFS($I$53:$I$820,$A$53:$A$820,$B$24,$B$53:$B$820,$A47)</f>
        <v>72</v>
      </c>
      <c r="C47" s="19" t="n">
        <f aca="false">SUMIFS($S$53:$S$820,$A$53:$A$820,$B$24,$B$53:$B$820,$A47)</f>
        <v>107</v>
      </c>
      <c r="D47" s="19" t="n">
        <f aca="false">SUMIFS($AI$53:$AI$820,$A$53:$A$820,$B$24,$B$53:$B$820,$A47)</f>
        <v>18</v>
      </c>
      <c r="E47" s="19" t="n">
        <f aca="false">SUMIFS($P$53:$P$820,$A$53:$A$820,$B$24,$B$53:$B$820,$A47)</f>
        <v>50</v>
      </c>
      <c r="F47" s="19" t="n">
        <f aca="false">SUMIFS($AF$53:$AF$820,$A$53:$A$820,$B$24,$B$53:$B$820,$A47)</f>
        <v>0</v>
      </c>
      <c r="G47" s="19" t="n">
        <f aca="false">SUMIFS($R$53:$R$820,$A$53:$A$820,$B$24,$B$53:$B$820,$A47)</f>
        <v>0</v>
      </c>
      <c r="H47" s="19" t="n">
        <f aca="false">SUMIFS($AH$53:$AH$820,$A$53:$A$820,$B$24,$B$53:$B$820,$A47)</f>
        <v>0</v>
      </c>
      <c r="I47" s="19" t="n">
        <f aca="false">SUMIFS($Y$53:$Y$820,$A$53:$A$820,$B$24,$B$53:$B$820,$A47)</f>
        <v>178.290539527858</v>
      </c>
    </row>
    <row r="48" customFormat="false" ht="15" hidden="false" customHeight="false" outlineLevel="0" collapsed="false">
      <c r="A48" s="41" t="n">
        <f aca="false">BT_Start_Week+15</f>
        <v>104</v>
      </c>
      <c r="B48" s="19" t="n">
        <f aca="false">SUMIFS($I$53:$I$820,$A$53:$A$820,$B$24,$B$53:$B$820,$A48)</f>
        <v>93</v>
      </c>
      <c r="C48" s="19" t="n">
        <f aca="false">SUMIFS($S$53:$S$820,$A$53:$A$820,$B$24,$B$53:$B$820,$A48)</f>
        <v>24</v>
      </c>
      <c r="D48" s="19" t="n">
        <f aca="false">SUMIFS($AI$53:$AI$820,$A$53:$A$820,$B$24,$B$53:$B$820,$A48)</f>
        <v>275</v>
      </c>
      <c r="E48" s="19" t="n">
        <f aca="false">SUMIFS($P$53:$P$820,$A$53:$A$820,$B$24,$B$53:$B$820,$A48)</f>
        <v>80</v>
      </c>
      <c r="F48" s="19" t="n">
        <f aca="false">SUMIFS($AF$53:$AF$820,$A$53:$A$820,$B$24,$B$53:$B$820,$A48)</f>
        <v>0</v>
      </c>
      <c r="G48" s="19" t="n">
        <f aca="false">SUMIFS($R$53:$R$820,$A$53:$A$820,$B$24,$B$53:$B$820,$A48)</f>
        <v>0</v>
      </c>
      <c r="H48" s="19" t="n">
        <f aca="false">SUMIFS($AH$53:$AH$820,$A$53:$A$820,$B$24,$B$53:$B$820,$A48)</f>
        <v>0</v>
      </c>
      <c r="I48" s="19" t="n">
        <f aca="false">SUMIFS($Y$53:$Y$820,$A$53:$A$820,$B$24,$B$53:$B$820,$A48)</f>
        <v>179.290539527858</v>
      </c>
    </row>
    <row r="51" customFormat="false" ht="15" hidden="false" customHeight="false" outlineLevel="0" collapsed="false">
      <c r="A51" s="4" t="s">
        <v>593</v>
      </c>
      <c r="B51" s="4"/>
      <c r="C51" s="4"/>
      <c r="D51" s="4"/>
      <c r="E51" s="4"/>
      <c r="F51" s="4"/>
      <c r="G51" s="4"/>
      <c r="H51" s="4"/>
      <c r="I51" s="4"/>
      <c r="J51" s="4" t="s">
        <v>594</v>
      </c>
      <c r="K51" s="4"/>
      <c r="L51" s="4"/>
      <c r="M51" s="4"/>
      <c r="N51" s="4"/>
      <c r="O51" s="4"/>
      <c r="P51" s="4"/>
      <c r="Q51" s="4"/>
      <c r="R51" s="4"/>
      <c r="S51" s="4"/>
      <c r="T51" s="4"/>
      <c r="U51" s="4" t="s">
        <v>595</v>
      </c>
      <c r="V51" s="4"/>
      <c r="W51" s="4"/>
      <c r="X51" s="4"/>
      <c r="Y51" s="4"/>
      <c r="Z51" s="4"/>
      <c r="AA51" s="4"/>
      <c r="AB51" s="4"/>
      <c r="AC51" s="4"/>
      <c r="AD51" s="4"/>
      <c r="AE51" s="4"/>
      <c r="AF51" s="4"/>
      <c r="AG51" s="4"/>
      <c r="AH51" s="4"/>
      <c r="AI51" s="4"/>
      <c r="AJ51" s="4"/>
    </row>
    <row r="52" customFormat="false" ht="45" hidden="false" customHeight="true" outlineLevel="0" collapsed="false">
      <c r="A52" s="6" t="s">
        <v>139</v>
      </c>
      <c r="B52" s="6" t="s">
        <v>256</v>
      </c>
      <c r="C52" s="6" t="s">
        <v>596</v>
      </c>
      <c r="D52" s="6" t="s">
        <v>597</v>
      </c>
      <c r="E52" s="6" t="s">
        <v>143</v>
      </c>
      <c r="F52" s="6" t="s">
        <v>598</v>
      </c>
      <c r="G52" s="6" t="s">
        <v>361</v>
      </c>
      <c r="H52" s="6" t="s">
        <v>599</v>
      </c>
      <c r="I52" s="6" t="s">
        <v>317</v>
      </c>
      <c r="J52" s="6" t="s">
        <v>600</v>
      </c>
      <c r="K52" s="6" t="s">
        <v>601</v>
      </c>
      <c r="L52" s="6" t="s">
        <v>602</v>
      </c>
      <c r="M52" s="6" t="s">
        <v>603</v>
      </c>
      <c r="N52" s="6" t="s">
        <v>604</v>
      </c>
      <c r="O52" s="6" t="s">
        <v>605</v>
      </c>
      <c r="P52" s="6" t="s">
        <v>606</v>
      </c>
      <c r="Q52" s="6" t="s">
        <v>607</v>
      </c>
      <c r="R52" s="6" t="s">
        <v>608</v>
      </c>
      <c r="S52" s="6" t="s">
        <v>609</v>
      </c>
      <c r="T52" s="6" t="s">
        <v>610</v>
      </c>
      <c r="U52" s="6" t="s">
        <v>611</v>
      </c>
      <c r="V52" s="6" t="s">
        <v>612</v>
      </c>
      <c r="W52" s="6" t="s">
        <v>613</v>
      </c>
      <c r="X52" s="6" t="s">
        <v>614</v>
      </c>
      <c r="Y52" s="6" t="s">
        <v>615</v>
      </c>
      <c r="Z52" s="6" t="s">
        <v>616</v>
      </c>
      <c r="AA52" s="6" t="s">
        <v>617</v>
      </c>
      <c r="AB52" s="6" t="s">
        <v>618</v>
      </c>
      <c r="AC52" s="6" t="s">
        <v>619</v>
      </c>
      <c r="AD52" s="6" t="s">
        <v>620</v>
      </c>
      <c r="AE52" s="6" t="s">
        <v>621</v>
      </c>
      <c r="AF52" s="6" t="s">
        <v>622</v>
      </c>
      <c r="AG52" s="6" t="s">
        <v>623</v>
      </c>
      <c r="AH52" s="6" t="s">
        <v>624</v>
      </c>
      <c r="AI52" s="6" t="s">
        <v>625</v>
      </c>
      <c r="AJ52" s="6" t="s">
        <v>626</v>
      </c>
    </row>
    <row r="53" customFormat="false" ht="15" hidden="false" customHeight="false" outlineLevel="0" collapsed="false">
      <c r="A53" s="31" t="str">
        <f aca="false">Inputs!$B$40</f>
        <v>KIT-001</v>
      </c>
      <c r="B53" s="46" t="n">
        <f aca="false">BT_Start_Week</f>
        <v>89</v>
      </c>
      <c r="C53" s="46" t="n">
        <f aca="false">MATCH(A53,Inputs!$B$40:$B$87,0)</f>
        <v>1</v>
      </c>
      <c r="D53" s="32" t="n">
        <f aca="false">INDEX(Inputs!$F$40:$F$87,C53)</f>
        <v>2</v>
      </c>
      <c r="E53" s="78" t="n">
        <f aca="false">INDEX(Inputs!$H$40:$H$87,C53)</f>
        <v>18</v>
      </c>
      <c r="F53" s="78" t="n">
        <f aca="false">INDEX(Inputs!$G$40:$G$87,C53)</f>
        <v>40</v>
      </c>
      <c r="G53" s="32" t="n">
        <f aca="false">INDEX(Inputs!$I$40:$I$87,C53)</f>
        <v>6</v>
      </c>
      <c r="H53" s="46" t="n">
        <f aca="false">MATCH(A53,Demand_History!$C:$C,0)+B53-1</f>
        <v>90</v>
      </c>
      <c r="I53" s="32" t="n">
        <f aca="false">INDEX(Forecast_Walkforward!$C:$C,H53)</f>
        <v>65</v>
      </c>
      <c r="J53" s="79" t="n">
        <f aca="false">INDEX(Forecast_Walkforward!$E:$E,H53)</f>
        <v>59.25</v>
      </c>
      <c r="K53" s="33" t="n">
        <f aca="false">Baseline_Weeks*J53</f>
        <v>237</v>
      </c>
      <c r="L53" s="46" t="n">
        <f aca="false">0</f>
        <v>0</v>
      </c>
      <c r="M53" s="46" t="n">
        <f aca="false">ROUND(BT_Open_Cover*INDEX(Forecast_Walkforward!$F:$F,H53),0)+L53</f>
        <v>356</v>
      </c>
      <c r="N53" s="46" t="n">
        <f aca="false">0</f>
        <v>0</v>
      </c>
      <c r="O53" s="46" t="n">
        <f aca="false">M53+N53</f>
        <v>356</v>
      </c>
      <c r="P53" s="47" t="n">
        <f aca="false">IF(O53&lt;K53,ROUNDUP((K53-O53)/G53,0)*G53,0)</f>
        <v>0</v>
      </c>
      <c r="Q53" s="46" t="n">
        <f aca="false">MIN(M53,I53)</f>
        <v>65</v>
      </c>
      <c r="R53" s="46" t="n">
        <f aca="false">I53-Q53</f>
        <v>0</v>
      </c>
      <c r="S53" s="46" t="n">
        <f aca="false">M53-Q53</f>
        <v>291</v>
      </c>
      <c r="T53" s="46" t="n">
        <f aca="false">IF(R53&gt;0,1,0)</f>
        <v>0</v>
      </c>
      <c r="U53" s="32" t="n">
        <f aca="false">INDEX(Forecast!$AY$7:$AY$54,C53)</f>
        <v>2</v>
      </c>
      <c r="V53" s="33" t="n">
        <f aca="false">CHOOSE(U53,INDEX(Forecast_Walkforward!$D:$D,H53),INDEX(Forecast_Walkforward!$E:$E,H53),INDEX(Forecast_Walkforward!$F:$F,H53),INDEX(Forecast_Walkforward!$G:$G,H53))</f>
        <v>59.25</v>
      </c>
      <c r="W53" s="79" t="n">
        <f aca="false">INDEX(Forecast!$BA$7:$BA$54,C53)</f>
        <v>7.74462178977558</v>
      </c>
      <c r="X53" s="33" t="n">
        <f aca="false">Z_Value*W53*SQRT(D53)</f>
        <v>18.0153402275448</v>
      </c>
      <c r="Y53" s="33" t="n">
        <f aca="false">V53*D53+X53</f>
        <v>136.515340227545</v>
      </c>
      <c r="Z53" s="33" t="n">
        <f aca="false">SQRT((2*V53*Weeks_Per_Year*F53)/(E53*Holding_Rate))</f>
        <v>261.661358757205</v>
      </c>
      <c r="AA53" s="46" t="n">
        <f aca="false">ROUNDUP(Z53/G53,0)*G53</f>
        <v>264</v>
      </c>
      <c r="AB53" s="46" t="n">
        <f aca="false">0</f>
        <v>0</v>
      </c>
      <c r="AC53" s="46" t="n">
        <f aca="false">ROUND(BT_Open_Cover*INDEX(Forecast_Walkforward!$F:$F,H53),0)+AB53</f>
        <v>356</v>
      </c>
      <c r="AD53" s="46" t="n">
        <f aca="false">0</f>
        <v>0</v>
      </c>
      <c r="AE53" s="46" t="n">
        <f aca="false">AC53+AD53</f>
        <v>356</v>
      </c>
      <c r="AF53" s="47" t="n">
        <f aca="false">IF(AE53&lt;=Y53,AA53,0)</f>
        <v>0</v>
      </c>
      <c r="AG53" s="46" t="n">
        <f aca="false">MIN(AC53,I53)</f>
        <v>65</v>
      </c>
      <c r="AH53" s="46" t="n">
        <f aca="false">I53-AG53</f>
        <v>0</v>
      </c>
      <c r="AI53" s="46" t="n">
        <f aca="false">AC53-AG53</f>
        <v>291</v>
      </c>
      <c r="AJ53" s="46" t="n">
        <f aca="false">IF(AH53&gt;0,1,0)</f>
        <v>0</v>
      </c>
    </row>
    <row r="54" customFormat="false" ht="15" hidden="false" customHeight="false" outlineLevel="0" collapsed="false">
      <c r="A54" s="31" t="str">
        <f aca="false">Inputs!$B$40</f>
        <v>KIT-001</v>
      </c>
      <c r="B54" s="46" t="n">
        <f aca="false">B53+1</f>
        <v>90</v>
      </c>
      <c r="C54" s="46" t="n">
        <f aca="false">MATCH(A54,Inputs!$B$40:$B$87,0)</f>
        <v>1</v>
      </c>
      <c r="D54" s="32" t="n">
        <f aca="false">INDEX(Inputs!$F$40:$F$87,C54)</f>
        <v>2</v>
      </c>
      <c r="E54" s="78" t="n">
        <f aca="false">INDEX(Inputs!$H$40:$H$87,C54)</f>
        <v>18</v>
      </c>
      <c r="F54" s="78" t="n">
        <f aca="false">INDEX(Inputs!$G$40:$G$87,C54)</f>
        <v>40</v>
      </c>
      <c r="G54" s="32" t="n">
        <f aca="false">INDEX(Inputs!$I$40:$I$87,C54)</f>
        <v>6</v>
      </c>
      <c r="H54" s="46" t="n">
        <f aca="false">MATCH(A54,Demand_History!$C:$C,0)+B54-1</f>
        <v>91</v>
      </c>
      <c r="I54" s="32" t="n">
        <f aca="false">INDEX(Forecast_Walkforward!$C:$C,H54)</f>
        <v>60</v>
      </c>
      <c r="J54" s="79" t="n">
        <f aca="false">INDEX(Forecast_Walkforward!$E:$E,H54)</f>
        <v>62.75</v>
      </c>
      <c r="K54" s="33" t="n">
        <f aca="false">Baseline_Weeks*J54</f>
        <v>251</v>
      </c>
      <c r="L54" s="46" t="n">
        <f aca="false">SUMIFS(P$53:P53,$B$53:$B53,$B54-$D54)</f>
        <v>0</v>
      </c>
      <c r="M54" s="46" t="n">
        <f aca="false">S53+L54</f>
        <v>291</v>
      </c>
      <c r="N54" s="46" t="n">
        <f aca="false">SUMIFS(P$53:P53,$B$53:$B53,"&gt;"&amp;($B54-$D54))</f>
        <v>0</v>
      </c>
      <c r="O54" s="46" t="n">
        <f aca="false">M54+N54</f>
        <v>291</v>
      </c>
      <c r="P54" s="47" t="n">
        <f aca="false">IF(O54&lt;K54,ROUNDUP((K54-O54)/G54,0)*G54,0)</f>
        <v>0</v>
      </c>
      <c r="Q54" s="46" t="n">
        <f aca="false">MIN(M54,I54)</f>
        <v>60</v>
      </c>
      <c r="R54" s="46" t="n">
        <f aca="false">I54-Q54</f>
        <v>0</v>
      </c>
      <c r="S54" s="46" t="n">
        <f aca="false">M54-Q54</f>
        <v>231</v>
      </c>
      <c r="T54" s="46" t="n">
        <f aca="false">IF(R54&gt;0,1,0)</f>
        <v>0</v>
      </c>
      <c r="U54" s="32" t="n">
        <f aca="false">INDEX(Forecast!$AY$7:$AY$54,C54)</f>
        <v>2</v>
      </c>
      <c r="V54" s="33" t="n">
        <f aca="false">CHOOSE(U54,INDEX(Forecast_Walkforward!$D:$D,H54),INDEX(Forecast_Walkforward!$E:$E,H54),INDEX(Forecast_Walkforward!$F:$F,H54),INDEX(Forecast_Walkforward!$G:$G,H54))</f>
        <v>62.75</v>
      </c>
      <c r="W54" s="79" t="n">
        <f aca="false">INDEX(Forecast!$BA$7:$BA$54,C54)</f>
        <v>7.74462178977558</v>
      </c>
      <c r="X54" s="33" t="n">
        <f aca="false">Z_Value*W54*SQRT(D54)</f>
        <v>18.0153402275448</v>
      </c>
      <c r="Y54" s="33" t="n">
        <f aca="false">V54*D54+X54</f>
        <v>143.515340227545</v>
      </c>
      <c r="Z54" s="33" t="n">
        <f aca="false">SQRT((2*V54*Weeks_Per_Year*F54)/(E54*Holding_Rate))</f>
        <v>269.278872381609</v>
      </c>
      <c r="AA54" s="46" t="n">
        <f aca="false">ROUNDUP(Z54/G54,0)*G54</f>
        <v>270</v>
      </c>
      <c r="AB54" s="46" t="n">
        <f aca="false">SUMIFS(AF$53:AF53,$B$53:$B53,$B54-$D54)</f>
        <v>0</v>
      </c>
      <c r="AC54" s="46" t="n">
        <f aca="false">AI53+AB54</f>
        <v>291</v>
      </c>
      <c r="AD54" s="46" t="n">
        <f aca="false">SUMIFS(AF$53:AF53,$B$53:$B53,"&gt;"&amp;($B54-$D54))</f>
        <v>0</v>
      </c>
      <c r="AE54" s="46" t="n">
        <f aca="false">AC54+AD54</f>
        <v>291</v>
      </c>
      <c r="AF54" s="47" t="n">
        <f aca="false">IF(AE54&lt;=Y54,AA54,0)</f>
        <v>0</v>
      </c>
      <c r="AG54" s="46" t="n">
        <f aca="false">MIN(AC54,I54)</f>
        <v>60</v>
      </c>
      <c r="AH54" s="46" t="n">
        <f aca="false">I54-AG54</f>
        <v>0</v>
      </c>
      <c r="AI54" s="46" t="n">
        <f aca="false">AC54-AG54</f>
        <v>231</v>
      </c>
      <c r="AJ54" s="46" t="n">
        <f aca="false">IF(AH54&gt;0,1,0)</f>
        <v>0</v>
      </c>
    </row>
    <row r="55" customFormat="false" ht="15" hidden="false" customHeight="false" outlineLevel="0" collapsed="false">
      <c r="A55" s="31" t="str">
        <f aca="false">Inputs!$B$40</f>
        <v>KIT-001</v>
      </c>
      <c r="B55" s="46" t="n">
        <f aca="false">B54+1</f>
        <v>91</v>
      </c>
      <c r="C55" s="46" t="n">
        <f aca="false">MATCH(A55,Inputs!$B$40:$B$87,0)</f>
        <v>1</v>
      </c>
      <c r="D55" s="32" t="n">
        <f aca="false">INDEX(Inputs!$F$40:$F$87,C55)</f>
        <v>2</v>
      </c>
      <c r="E55" s="78" t="n">
        <f aca="false">INDEX(Inputs!$H$40:$H$87,C55)</f>
        <v>18</v>
      </c>
      <c r="F55" s="78" t="n">
        <f aca="false">INDEX(Inputs!$G$40:$G$87,C55)</f>
        <v>40</v>
      </c>
      <c r="G55" s="32" t="n">
        <f aca="false">INDEX(Inputs!$I$40:$I$87,C55)</f>
        <v>6</v>
      </c>
      <c r="H55" s="46" t="n">
        <f aca="false">MATCH(A55,Demand_History!$C:$C,0)+B55-1</f>
        <v>92</v>
      </c>
      <c r="I55" s="32" t="n">
        <f aca="false">INDEX(Forecast_Walkforward!$C:$C,H55)</f>
        <v>65</v>
      </c>
      <c r="J55" s="79" t="n">
        <f aca="false">INDEX(Forecast_Walkforward!$E:$E,H55)</f>
        <v>62.75</v>
      </c>
      <c r="K55" s="33" t="n">
        <f aca="false">Baseline_Weeks*J55</f>
        <v>251</v>
      </c>
      <c r="L55" s="46" t="n">
        <f aca="false">SUMIFS(P$53:P54,$B$53:$B54,$B55-$D55)</f>
        <v>0</v>
      </c>
      <c r="M55" s="46" t="n">
        <f aca="false">S54+L55</f>
        <v>231</v>
      </c>
      <c r="N55" s="46" t="n">
        <f aca="false">SUMIFS(P$53:P54,$B$53:$B54,"&gt;"&amp;($B55-$D55))</f>
        <v>0</v>
      </c>
      <c r="O55" s="46" t="n">
        <f aca="false">M55+N55</f>
        <v>231</v>
      </c>
      <c r="P55" s="47" t="n">
        <f aca="false">IF(O55&lt;K55,ROUNDUP((K55-O55)/G55,0)*G55,0)</f>
        <v>24</v>
      </c>
      <c r="Q55" s="46" t="n">
        <f aca="false">MIN(M55,I55)</f>
        <v>65</v>
      </c>
      <c r="R55" s="46" t="n">
        <f aca="false">I55-Q55</f>
        <v>0</v>
      </c>
      <c r="S55" s="46" t="n">
        <f aca="false">M55-Q55</f>
        <v>166</v>
      </c>
      <c r="T55" s="46" t="n">
        <f aca="false">IF(R55&gt;0,1,0)</f>
        <v>0</v>
      </c>
      <c r="U55" s="32" t="n">
        <f aca="false">INDEX(Forecast!$AY$7:$AY$54,C55)</f>
        <v>2</v>
      </c>
      <c r="V55" s="33" t="n">
        <f aca="false">CHOOSE(U55,INDEX(Forecast_Walkforward!$D:$D,H55),INDEX(Forecast_Walkforward!$E:$E,H55),INDEX(Forecast_Walkforward!$F:$F,H55),INDEX(Forecast_Walkforward!$G:$G,H55))</f>
        <v>62.75</v>
      </c>
      <c r="W55" s="79" t="n">
        <f aca="false">INDEX(Forecast!$BA$7:$BA$54,C55)</f>
        <v>7.74462178977558</v>
      </c>
      <c r="X55" s="33" t="n">
        <f aca="false">Z_Value*W55*SQRT(D55)</f>
        <v>18.0153402275448</v>
      </c>
      <c r="Y55" s="33" t="n">
        <f aca="false">V55*D55+X55</f>
        <v>143.515340227545</v>
      </c>
      <c r="Z55" s="33" t="n">
        <f aca="false">SQRT((2*V55*Weeks_Per_Year*F55)/(E55*Holding_Rate))</f>
        <v>269.278872381609</v>
      </c>
      <c r="AA55" s="46" t="n">
        <f aca="false">ROUNDUP(Z55/G55,0)*G55</f>
        <v>270</v>
      </c>
      <c r="AB55" s="46" t="n">
        <f aca="false">SUMIFS(AF$53:AF54,$B$53:$B54,$B55-$D55)</f>
        <v>0</v>
      </c>
      <c r="AC55" s="46" t="n">
        <f aca="false">AI54+AB55</f>
        <v>231</v>
      </c>
      <c r="AD55" s="46" t="n">
        <f aca="false">SUMIFS(AF$53:AF54,$B$53:$B54,"&gt;"&amp;($B55-$D55))</f>
        <v>0</v>
      </c>
      <c r="AE55" s="46" t="n">
        <f aca="false">AC55+AD55</f>
        <v>231</v>
      </c>
      <c r="AF55" s="47" t="n">
        <f aca="false">IF(AE55&lt;=Y55,AA55,0)</f>
        <v>0</v>
      </c>
      <c r="AG55" s="46" t="n">
        <f aca="false">MIN(AC55,I55)</f>
        <v>65</v>
      </c>
      <c r="AH55" s="46" t="n">
        <f aca="false">I55-AG55</f>
        <v>0</v>
      </c>
      <c r="AI55" s="46" t="n">
        <f aca="false">AC55-AG55</f>
        <v>166</v>
      </c>
      <c r="AJ55" s="46" t="n">
        <f aca="false">IF(AH55&gt;0,1,0)</f>
        <v>0</v>
      </c>
    </row>
    <row r="56" customFormat="false" ht="15" hidden="false" customHeight="false" outlineLevel="0" collapsed="false">
      <c r="A56" s="31" t="str">
        <f aca="false">Inputs!$B$40</f>
        <v>KIT-001</v>
      </c>
      <c r="B56" s="46" t="n">
        <f aca="false">B55+1</f>
        <v>92</v>
      </c>
      <c r="C56" s="46" t="n">
        <f aca="false">MATCH(A56,Inputs!$B$40:$B$87,0)</f>
        <v>1</v>
      </c>
      <c r="D56" s="32" t="n">
        <f aca="false">INDEX(Inputs!$F$40:$F$87,C56)</f>
        <v>2</v>
      </c>
      <c r="E56" s="78" t="n">
        <f aca="false">INDEX(Inputs!$H$40:$H$87,C56)</f>
        <v>18</v>
      </c>
      <c r="F56" s="78" t="n">
        <f aca="false">INDEX(Inputs!$G$40:$G$87,C56)</f>
        <v>40</v>
      </c>
      <c r="G56" s="32" t="n">
        <f aca="false">INDEX(Inputs!$I$40:$I$87,C56)</f>
        <v>6</v>
      </c>
      <c r="H56" s="46" t="n">
        <f aca="false">MATCH(A56,Demand_History!$C:$C,0)+B56-1</f>
        <v>93</v>
      </c>
      <c r="I56" s="32" t="n">
        <f aca="false">INDEX(Forecast_Walkforward!$C:$C,H56)</f>
        <v>57</v>
      </c>
      <c r="J56" s="79" t="n">
        <f aca="false">INDEX(Forecast_Walkforward!$E:$E,H56)</f>
        <v>64.75</v>
      </c>
      <c r="K56" s="33" t="n">
        <f aca="false">Baseline_Weeks*J56</f>
        <v>259</v>
      </c>
      <c r="L56" s="46" t="n">
        <f aca="false">SUMIFS(P$53:P55,$B$53:$B55,$B56-$D56)</f>
        <v>0</v>
      </c>
      <c r="M56" s="46" t="n">
        <f aca="false">S55+L56</f>
        <v>166</v>
      </c>
      <c r="N56" s="46" t="n">
        <f aca="false">SUMIFS(P$53:P55,$B$53:$B55,"&gt;"&amp;($B56-$D56))</f>
        <v>24</v>
      </c>
      <c r="O56" s="46" t="n">
        <f aca="false">M56+N56</f>
        <v>190</v>
      </c>
      <c r="P56" s="47" t="n">
        <f aca="false">IF(O56&lt;K56,ROUNDUP((K56-O56)/G56,0)*G56,0)</f>
        <v>72</v>
      </c>
      <c r="Q56" s="46" t="n">
        <f aca="false">MIN(M56,I56)</f>
        <v>57</v>
      </c>
      <c r="R56" s="46" t="n">
        <f aca="false">I56-Q56</f>
        <v>0</v>
      </c>
      <c r="S56" s="46" t="n">
        <f aca="false">M56-Q56</f>
        <v>109</v>
      </c>
      <c r="T56" s="46" t="n">
        <f aca="false">IF(R56&gt;0,1,0)</f>
        <v>0</v>
      </c>
      <c r="U56" s="32" t="n">
        <f aca="false">INDEX(Forecast!$AY$7:$AY$54,C56)</f>
        <v>2</v>
      </c>
      <c r="V56" s="33" t="n">
        <f aca="false">CHOOSE(U56,INDEX(Forecast_Walkforward!$D:$D,H56),INDEX(Forecast_Walkforward!$E:$E,H56),INDEX(Forecast_Walkforward!$F:$F,H56),INDEX(Forecast_Walkforward!$G:$G,H56))</f>
        <v>64.75</v>
      </c>
      <c r="W56" s="79" t="n">
        <f aca="false">INDEX(Forecast!$BA$7:$BA$54,C56)</f>
        <v>7.74462178977558</v>
      </c>
      <c r="X56" s="33" t="n">
        <f aca="false">Z_Value*W56*SQRT(D56)</f>
        <v>18.0153402275448</v>
      </c>
      <c r="Y56" s="33" t="n">
        <f aca="false">V56*D56+X56</f>
        <v>147.515340227545</v>
      </c>
      <c r="Z56" s="33" t="n">
        <f aca="false">SQRT((2*V56*Weeks_Per_Year*F56)/(E56*Holding_Rate))</f>
        <v>273.536509852382</v>
      </c>
      <c r="AA56" s="46" t="n">
        <f aca="false">ROUNDUP(Z56/G56,0)*G56</f>
        <v>276</v>
      </c>
      <c r="AB56" s="46" t="n">
        <f aca="false">SUMIFS(AF$53:AF55,$B$53:$B55,$B56-$D56)</f>
        <v>0</v>
      </c>
      <c r="AC56" s="46" t="n">
        <f aca="false">AI55+AB56</f>
        <v>166</v>
      </c>
      <c r="AD56" s="46" t="n">
        <f aca="false">SUMIFS(AF$53:AF55,$B$53:$B55,"&gt;"&amp;($B56-$D56))</f>
        <v>0</v>
      </c>
      <c r="AE56" s="46" t="n">
        <f aca="false">AC56+AD56</f>
        <v>166</v>
      </c>
      <c r="AF56" s="47" t="n">
        <f aca="false">IF(AE56&lt;=Y56,AA56,0)</f>
        <v>0</v>
      </c>
      <c r="AG56" s="46" t="n">
        <f aca="false">MIN(AC56,I56)</f>
        <v>57</v>
      </c>
      <c r="AH56" s="46" t="n">
        <f aca="false">I56-AG56</f>
        <v>0</v>
      </c>
      <c r="AI56" s="46" t="n">
        <f aca="false">AC56-AG56</f>
        <v>109</v>
      </c>
      <c r="AJ56" s="46" t="n">
        <f aca="false">IF(AH56&gt;0,1,0)</f>
        <v>0</v>
      </c>
    </row>
    <row r="57" customFormat="false" ht="15" hidden="false" customHeight="false" outlineLevel="0" collapsed="false">
      <c r="A57" s="31" t="str">
        <f aca="false">Inputs!$B$40</f>
        <v>KIT-001</v>
      </c>
      <c r="B57" s="46" t="n">
        <f aca="false">B56+1</f>
        <v>93</v>
      </c>
      <c r="C57" s="46" t="n">
        <f aca="false">MATCH(A57,Inputs!$B$40:$B$87,0)</f>
        <v>1</v>
      </c>
      <c r="D57" s="32" t="n">
        <f aca="false">INDEX(Inputs!$F$40:$F$87,C57)</f>
        <v>2</v>
      </c>
      <c r="E57" s="78" t="n">
        <f aca="false">INDEX(Inputs!$H$40:$H$87,C57)</f>
        <v>18</v>
      </c>
      <c r="F57" s="78" t="n">
        <f aca="false">INDEX(Inputs!$G$40:$G$87,C57)</f>
        <v>40</v>
      </c>
      <c r="G57" s="32" t="n">
        <f aca="false">INDEX(Inputs!$I$40:$I$87,C57)</f>
        <v>6</v>
      </c>
      <c r="H57" s="46" t="n">
        <f aca="false">MATCH(A57,Demand_History!$C:$C,0)+B57-1</f>
        <v>94</v>
      </c>
      <c r="I57" s="32" t="n">
        <f aca="false">INDEX(Forecast_Walkforward!$C:$C,H57)</f>
        <v>68</v>
      </c>
      <c r="J57" s="79" t="n">
        <f aca="false">INDEX(Forecast_Walkforward!$E:$E,H57)</f>
        <v>61.75</v>
      </c>
      <c r="K57" s="33" t="n">
        <f aca="false">Baseline_Weeks*J57</f>
        <v>247</v>
      </c>
      <c r="L57" s="46" t="n">
        <f aca="false">SUMIFS(P$53:P56,$B$53:$B56,$B57-$D57)</f>
        <v>24</v>
      </c>
      <c r="M57" s="46" t="n">
        <f aca="false">S56+L57</f>
        <v>133</v>
      </c>
      <c r="N57" s="46" t="n">
        <f aca="false">SUMIFS(P$53:P56,$B$53:$B56,"&gt;"&amp;($B57-$D57))</f>
        <v>72</v>
      </c>
      <c r="O57" s="46" t="n">
        <f aca="false">M57+N57</f>
        <v>205</v>
      </c>
      <c r="P57" s="47" t="n">
        <f aca="false">IF(O57&lt;K57,ROUNDUP((K57-O57)/G57,0)*G57,0)</f>
        <v>42</v>
      </c>
      <c r="Q57" s="46" t="n">
        <f aca="false">MIN(M57,I57)</f>
        <v>68</v>
      </c>
      <c r="R57" s="46" t="n">
        <f aca="false">I57-Q57</f>
        <v>0</v>
      </c>
      <c r="S57" s="46" t="n">
        <f aca="false">M57-Q57</f>
        <v>65</v>
      </c>
      <c r="T57" s="46" t="n">
        <f aca="false">IF(R57&gt;0,1,0)</f>
        <v>0</v>
      </c>
      <c r="U57" s="32" t="n">
        <f aca="false">INDEX(Forecast!$AY$7:$AY$54,C57)</f>
        <v>2</v>
      </c>
      <c r="V57" s="33" t="n">
        <f aca="false">CHOOSE(U57,INDEX(Forecast_Walkforward!$D:$D,H57),INDEX(Forecast_Walkforward!$E:$E,H57),INDEX(Forecast_Walkforward!$F:$F,H57),INDEX(Forecast_Walkforward!$G:$G,H57))</f>
        <v>61.75</v>
      </c>
      <c r="W57" s="79" t="n">
        <f aca="false">INDEX(Forecast!$BA$7:$BA$54,C57)</f>
        <v>7.74462178977558</v>
      </c>
      <c r="X57" s="33" t="n">
        <f aca="false">Z_Value*W57*SQRT(D57)</f>
        <v>18.0153402275448</v>
      </c>
      <c r="Y57" s="33" t="n">
        <f aca="false">V57*D57+X57</f>
        <v>141.515340227545</v>
      </c>
      <c r="Z57" s="33" t="n">
        <f aca="false">SQRT((2*V57*Weeks_Per_Year*F57)/(E57*Holding_Rate))</f>
        <v>267.124606795322</v>
      </c>
      <c r="AA57" s="46" t="n">
        <f aca="false">ROUNDUP(Z57/G57,0)*G57</f>
        <v>270</v>
      </c>
      <c r="AB57" s="46" t="n">
        <f aca="false">SUMIFS(AF$53:AF56,$B$53:$B56,$B57-$D57)</f>
        <v>0</v>
      </c>
      <c r="AC57" s="46" t="n">
        <f aca="false">AI56+AB57</f>
        <v>109</v>
      </c>
      <c r="AD57" s="46" t="n">
        <f aca="false">SUMIFS(AF$53:AF56,$B$53:$B56,"&gt;"&amp;($B57-$D57))</f>
        <v>0</v>
      </c>
      <c r="AE57" s="46" t="n">
        <f aca="false">AC57+AD57</f>
        <v>109</v>
      </c>
      <c r="AF57" s="47" t="n">
        <f aca="false">IF(AE57&lt;=Y57,AA57,0)</f>
        <v>270</v>
      </c>
      <c r="AG57" s="46" t="n">
        <f aca="false">MIN(AC57,I57)</f>
        <v>68</v>
      </c>
      <c r="AH57" s="46" t="n">
        <f aca="false">I57-AG57</f>
        <v>0</v>
      </c>
      <c r="AI57" s="46" t="n">
        <f aca="false">AC57-AG57</f>
        <v>41</v>
      </c>
      <c r="AJ57" s="46" t="n">
        <f aca="false">IF(AH57&gt;0,1,0)</f>
        <v>0</v>
      </c>
    </row>
    <row r="58" customFormat="false" ht="15" hidden="false" customHeight="false" outlineLevel="0" collapsed="false">
      <c r="A58" s="31" t="str">
        <f aca="false">Inputs!$B$40</f>
        <v>KIT-001</v>
      </c>
      <c r="B58" s="46" t="n">
        <f aca="false">B57+1</f>
        <v>94</v>
      </c>
      <c r="C58" s="46" t="n">
        <f aca="false">MATCH(A58,Inputs!$B$40:$B$87,0)</f>
        <v>1</v>
      </c>
      <c r="D58" s="32" t="n">
        <f aca="false">INDEX(Inputs!$F$40:$F$87,C58)</f>
        <v>2</v>
      </c>
      <c r="E58" s="78" t="n">
        <f aca="false">INDEX(Inputs!$H$40:$H$87,C58)</f>
        <v>18</v>
      </c>
      <c r="F58" s="78" t="n">
        <f aca="false">INDEX(Inputs!$G$40:$G$87,C58)</f>
        <v>40</v>
      </c>
      <c r="G58" s="32" t="n">
        <f aca="false">INDEX(Inputs!$I$40:$I$87,C58)</f>
        <v>6</v>
      </c>
      <c r="H58" s="46" t="n">
        <f aca="false">MATCH(A58,Demand_History!$C:$C,0)+B58-1</f>
        <v>95</v>
      </c>
      <c r="I58" s="32" t="n">
        <f aca="false">INDEX(Forecast_Walkforward!$C:$C,H58)</f>
        <v>60</v>
      </c>
      <c r="J58" s="79" t="n">
        <f aca="false">INDEX(Forecast_Walkforward!$E:$E,H58)</f>
        <v>62.5</v>
      </c>
      <c r="K58" s="33" t="n">
        <f aca="false">Baseline_Weeks*J58</f>
        <v>250</v>
      </c>
      <c r="L58" s="46" t="n">
        <f aca="false">SUMIFS(P$53:P57,$B$53:$B57,$B58-$D58)</f>
        <v>72</v>
      </c>
      <c r="M58" s="46" t="n">
        <f aca="false">S57+L58</f>
        <v>137</v>
      </c>
      <c r="N58" s="46" t="n">
        <f aca="false">SUMIFS(P$53:P57,$B$53:$B57,"&gt;"&amp;($B58-$D58))</f>
        <v>42</v>
      </c>
      <c r="O58" s="46" t="n">
        <f aca="false">M58+N58</f>
        <v>179</v>
      </c>
      <c r="P58" s="47" t="n">
        <f aca="false">IF(O58&lt;K58,ROUNDUP((K58-O58)/G58,0)*G58,0)</f>
        <v>72</v>
      </c>
      <c r="Q58" s="46" t="n">
        <f aca="false">MIN(M58,I58)</f>
        <v>60</v>
      </c>
      <c r="R58" s="46" t="n">
        <f aca="false">I58-Q58</f>
        <v>0</v>
      </c>
      <c r="S58" s="46" t="n">
        <f aca="false">M58-Q58</f>
        <v>77</v>
      </c>
      <c r="T58" s="46" t="n">
        <f aca="false">IF(R58&gt;0,1,0)</f>
        <v>0</v>
      </c>
      <c r="U58" s="32" t="n">
        <f aca="false">INDEX(Forecast!$AY$7:$AY$54,C58)</f>
        <v>2</v>
      </c>
      <c r="V58" s="33" t="n">
        <f aca="false">CHOOSE(U58,INDEX(Forecast_Walkforward!$D:$D,H58),INDEX(Forecast_Walkforward!$E:$E,H58),INDEX(Forecast_Walkforward!$F:$F,H58),INDEX(Forecast_Walkforward!$G:$G,H58))</f>
        <v>62.5</v>
      </c>
      <c r="W58" s="79" t="n">
        <f aca="false">INDEX(Forecast!$BA$7:$BA$54,C58)</f>
        <v>7.74462178977558</v>
      </c>
      <c r="X58" s="33" t="n">
        <f aca="false">Z_Value*W58*SQRT(D58)</f>
        <v>18.0153402275448</v>
      </c>
      <c r="Y58" s="33" t="n">
        <f aca="false">V58*D58+X58</f>
        <v>143.015340227545</v>
      </c>
      <c r="Z58" s="33" t="n">
        <f aca="false">SQRT((2*V58*Weeks_Per_Year*F58)/(E58*Holding_Rate))</f>
        <v>268.741924943285</v>
      </c>
      <c r="AA58" s="46" t="n">
        <f aca="false">ROUNDUP(Z58/G58,0)*G58</f>
        <v>270</v>
      </c>
      <c r="AB58" s="46" t="n">
        <f aca="false">SUMIFS(AF$53:AF57,$B$53:$B57,$B58-$D58)</f>
        <v>0</v>
      </c>
      <c r="AC58" s="46" t="n">
        <f aca="false">AI57+AB58</f>
        <v>41</v>
      </c>
      <c r="AD58" s="46" t="n">
        <f aca="false">SUMIFS(AF$53:AF57,$B$53:$B57,"&gt;"&amp;($B58-$D58))</f>
        <v>270</v>
      </c>
      <c r="AE58" s="46" t="n">
        <f aca="false">AC58+AD58</f>
        <v>311</v>
      </c>
      <c r="AF58" s="47" t="n">
        <f aca="false">IF(AE58&lt;=Y58,AA58,0)</f>
        <v>0</v>
      </c>
      <c r="AG58" s="46" t="n">
        <f aca="false">MIN(AC58,I58)</f>
        <v>41</v>
      </c>
      <c r="AH58" s="46" t="n">
        <f aca="false">I58-AG58</f>
        <v>19</v>
      </c>
      <c r="AI58" s="46" t="n">
        <f aca="false">AC58-AG58</f>
        <v>0</v>
      </c>
      <c r="AJ58" s="46" t="n">
        <f aca="false">IF(AH58&gt;0,1,0)</f>
        <v>1</v>
      </c>
    </row>
    <row r="59" customFormat="false" ht="15" hidden="false" customHeight="false" outlineLevel="0" collapsed="false">
      <c r="A59" s="31" t="str">
        <f aca="false">Inputs!$B$40</f>
        <v>KIT-001</v>
      </c>
      <c r="B59" s="46" t="n">
        <f aca="false">B58+1</f>
        <v>95</v>
      </c>
      <c r="C59" s="46" t="n">
        <f aca="false">MATCH(A59,Inputs!$B$40:$B$87,0)</f>
        <v>1</v>
      </c>
      <c r="D59" s="32" t="n">
        <f aca="false">INDEX(Inputs!$F$40:$F$87,C59)</f>
        <v>2</v>
      </c>
      <c r="E59" s="78" t="n">
        <f aca="false">INDEX(Inputs!$H$40:$H$87,C59)</f>
        <v>18</v>
      </c>
      <c r="F59" s="78" t="n">
        <f aca="false">INDEX(Inputs!$G$40:$G$87,C59)</f>
        <v>40</v>
      </c>
      <c r="G59" s="32" t="n">
        <f aca="false">INDEX(Inputs!$I$40:$I$87,C59)</f>
        <v>6</v>
      </c>
      <c r="H59" s="46" t="n">
        <f aca="false">MATCH(A59,Demand_History!$C:$C,0)+B59-1</f>
        <v>96</v>
      </c>
      <c r="I59" s="32" t="n">
        <f aca="false">INDEX(Forecast_Walkforward!$C:$C,H59)</f>
        <v>65</v>
      </c>
      <c r="J59" s="79" t="n">
        <f aca="false">INDEX(Forecast_Walkforward!$E:$E,H59)</f>
        <v>62.5</v>
      </c>
      <c r="K59" s="33" t="n">
        <f aca="false">Baseline_Weeks*J59</f>
        <v>250</v>
      </c>
      <c r="L59" s="46" t="n">
        <f aca="false">SUMIFS(P$53:P58,$B$53:$B58,$B59-$D59)</f>
        <v>42</v>
      </c>
      <c r="M59" s="46" t="n">
        <f aca="false">S58+L59</f>
        <v>119</v>
      </c>
      <c r="N59" s="46" t="n">
        <f aca="false">SUMIFS(P$53:P58,$B$53:$B58,"&gt;"&amp;($B59-$D59))</f>
        <v>72</v>
      </c>
      <c r="O59" s="46" t="n">
        <f aca="false">M59+N59</f>
        <v>191</v>
      </c>
      <c r="P59" s="47" t="n">
        <f aca="false">IF(O59&lt;K59,ROUNDUP((K59-O59)/G59,0)*G59,0)</f>
        <v>60</v>
      </c>
      <c r="Q59" s="46" t="n">
        <f aca="false">MIN(M59,I59)</f>
        <v>65</v>
      </c>
      <c r="R59" s="46" t="n">
        <f aca="false">I59-Q59</f>
        <v>0</v>
      </c>
      <c r="S59" s="46" t="n">
        <f aca="false">M59-Q59</f>
        <v>54</v>
      </c>
      <c r="T59" s="46" t="n">
        <f aca="false">IF(R59&gt;0,1,0)</f>
        <v>0</v>
      </c>
      <c r="U59" s="32" t="n">
        <f aca="false">INDEX(Forecast!$AY$7:$AY$54,C59)</f>
        <v>2</v>
      </c>
      <c r="V59" s="33" t="n">
        <f aca="false">CHOOSE(U59,INDEX(Forecast_Walkforward!$D:$D,H59),INDEX(Forecast_Walkforward!$E:$E,H59),INDEX(Forecast_Walkforward!$F:$F,H59),INDEX(Forecast_Walkforward!$G:$G,H59))</f>
        <v>62.5</v>
      </c>
      <c r="W59" s="79" t="n">
        <f aca="false">INDEX(Forecast!$BA$7:$BA$54,C59)</f>
        <v>7.74462178977558</v>
      </c>
      <c r="X59" s="33" t="n">
        <f aca="false">Z_Value*W59*SQRT(D59)</f>
        <v>18.0153402275448</v>
      </c>
      <c r="Y59" s="33" t="n">
        <f aca="false">V59*D59+X59</f>
        <v>143.015340227545</v>
      </c>
      <c r="Z59" s="33" t="n">
        <f aca="false">SQRT((2*V59*Weeks_Per_Year*F59)/(E59*Holding_Rate))</f>
        <v>268.741924943285</v>
      </c>
      <c r="AA59" s="46" t="n">
        <f aca="false">ROUNDUP(Z59/G59,0)*G59</f>
        <v>270</v>
      </c>
      <c r="AB59" s="46" t="n">
        <f aca="false">SUMIFS(AF$53:AF58,$B$53:$B58,$B59-$D59)</f>
        <v>270</v>
      </c>
      <c r="AC59" s="46" t="n">
        <f aca="false">AI58+AB59</f>
        <v>270</v>
      </c>
      <c r="AD59" s="46" t="n">
        <f aca="false">SUMIFS(AF$53:AF58,$B$53:$B58,"&gt;"&amp;($B59-$D59))</f>
        <v>0</v>
      </c>
      <c r="AE59" s="46" t="n">
        <f aca="false">AC59+AD59</f>
        <v>270</v>
      </c>
      <c r="AF59" s="47" t="n">
        <f aca="false">IF(AE59&lt;=Y59,AA59,0)</f>
        <v>0</v>
      </c>
      <c r="AG59" s="46" t="n">
        <f aca="false">MIN(AC59,I59)</f>
        <v>65</v>
      </c>
      <c r="AH59" s="46" t="n">
        <f aca="false">I59-AG59</f>
        <v>0</v>
      </c>
      <c r="AI59" s="46" t="n">
        <f aca="false">AC59-AG59</f>
        <v>205</v>
      </c>
      <c r="AJ59" s="46" t="n">
        <f aca="false">IF(AH59&gt;0,1,0)</f>
        <v>0</v>
      </c>
    </row>
    <row r="60" customFormat="false" ht="15" hidden="false" customHeight="false" outlineLevel="0" collapsed="false">
      <c r="A60" s="31" t="str">
        <f aca="false">Inputs!$B$40</f>
        <v>KIT-001</v>
      </c>
      <c r="B60" s="46" t="n">
        <f aca="false">B59+1</f>
        <v>96</v>
      </c>
      <c r="C60" s="46" t="n">
        <f aca="false">MATCH(A60,Inputs!$B$40:$B$87,0)</f>
        <v>1</v>
      </c>
      <c r="D60" s="32" t="n">
        <f aca="false">INDEX(Inputs!$F$40:$F$87,C60)</f>
        <v>2</v>
      </c>
      <c r="E60" s="78" t="n">
        <f aca="false">INDEX(Inputs!$H$40:$H$87,C60)</f>
        <v>18</v>
      </c>
      <c r="F60" s="78" t="n">
        <f aca="false">INDEX(Inputs!$G$40:$G$87,C60)</f>
        <v>40</v>
      </c>
      <c r="G60" s="32" t="n">
        <f aca="false">INDEX(Inputs!$I$40:$I$87,C60)</f>
        <v>6</v>
      </c>
      <c r="H60" s="46" t="n">
        <f aca="false">MATCH(A60,Demand_History!$C:$C,0)+B60-1</f>
        <v>97</v>
      </c>
      <c r="I60" s="32" t="n">
        <f aca="false">INDEX(Forecast_Walkforward!$C:$C,H60)</f>
        <v>50</v>
      </c>
      <c r="J60" s="79" t="n">
        <f aca="false">INDEX(Forecast_Walkforward!$E:$E,H60)</f>
        <v>62.5</v>
      </c>
      <c r="K60" s="33" t="n">
        <f aca="false">Baseline_Weeks*J60</f>
        <v>250</v>
      </c>
      <c r="L60" s="46" t="n">
        <f aca="false">SUMIFS(P$53:P59,$B$53:$B59,$B60-$D60)</f>
        <v>72</v>
      </c>
      <c r="M60" s="46" t="n">
        <f aca="false">S59+L60</f>
        <v>126</v>
      </c>
      <c r="N60" s="46" t="n">
        <f aca="false">SUMIFS(P$53:P59,$B$53:$B59,"&gt;"&amp;($B60-$D60))</f>
        <v>60</v>
      </c>
      <c r="O60" s="46" t="n">
        <f aca="false">M60+N60</f>
        <v>186</v>
      </c>
      <c r="P60" s="47" t="n">
        <f aca="false">IF(O60&lt;K60,ROUNDUP((K60-O60)/G60,0)*G60,0)</f>
        <v>66</v>
      </c>
      <c r="Q60" s="46" t="n">
        <f aca="false">MIN(M60,I60)</f>
        <v>50</v>
      </c>
      <c r="R60" s="46" t="n">
        <f aca="false">I60-Q60</f>
        <v>0</v>
      </c>
      <c r="S60" s="46" t="n">
        <f aca="false">M60-Q60</f>
        <v>76</v>
      </c>
      <c r="T60" s="46" t="n">
        <f aca="false">IF(R60&gt;0,1,0)</f>
        <v>0</v>
      </c>
      <c r="U60" s="32" t="n">
        <f aca="false">INDEX(Forecast!$AY$7:$AY$54,C60)</f>
        <v>2</v>
      </c>
      <c r="V60" s="33" t="n">
        <f aca="false">CHOOSE(U60,INDEX(Forecast_Walkforward!$D:$D,H60),INDEX(Forecast_Walkforward!$E:$E,H60),INDEX(Forecast_Walkforward!$F:$F,H60),INDEX(Forecast_Walkforward!$G:$G,H60))</f>
        <v>62.5</v>
      </c>
      <c r="W60" s="79" t="n">
        <f aca="false">INDEX(Forecast!$BA$7:$BA$54,C60)</f>
        <v>7.74462178977558</v>
      </c>
      <c r="X60" s="33" t="n">
        <f aca="false">Z_Value*W60*SQRT(D60)</f>
        <v>18.0153402275448</v>
      </c>
      <c r="Y60" s="33" t="n">
        <f aca="false">V60*D60+X60</f>
        <v>143.015340227545</v>
      </c>
      <c r="Z60" s="33" t="n">
        <f aca="false">SQRT((2*V60*Weeks_Per_Year*F60)/(E60*Holding_Rate))</f>
        <v>268.741924943285</v>
      </c>
      <c r="AA60" s="46" t="n">
        <f aca="false">ROUNDUP(Z60/G60,0)*G60</f>
        <v>270</v>
      </c>
      <c r="AB60" s="46" t="n">
        <f aca="false">SUMIFS(AF$53:AF59,$B$53:$B59,$B60-$D60)</f>
        <v>0</v>
      </c>
      <c r="AC60" s="46" t="n">
        <f aca="false">AI59+AB60</f>
        <v>205</v>
      </c>
      <c r="AD60" s="46" t="n">
        <f aca="false">SUMIFS(AF$53:AF59,$B$53:$B59,"&gt;"&amp;($B60-$D60))</f>
        <v>0</v>
      </c>
      <c r="AE60" s="46" t="n">
        <f aca="false">AC60+AD60</f>
        <v>205</v>
      </c>
      <c r="AF60" s="47" t="n">
        <f aca="false">IF(AE60&lt;=Y60,AA60,0)</f>
        <v>0</v>
      </c>
      <c r="AG60" s="46" t="n">
        <f aca="false">MIN(AC60,I60)</f>
        <v>50</v>
      </c>
      <c r="AH60" s="46" t="n">
        <f aca="false">I60-AG60</f>
        <v>0</v>
      </c>
      <c r="AI60" s="46" t="n">
        <f aca="false">AC60-AG60</f>
        <v>155</v>
      </c>
      <c r="AJ60" s="46" t="n">
        <f aca="false">IF(AH60&gt;0,1,0)</f>
        <v>0</v>
      </c>
    </row>
    <row r="61" customFormat="false" ht="15" hidden="false" customHeight="false" outlineLevel="0" collapsed="false">
      <c r="A61" s="31" t="str">
        <f aca="false">Inputs!$B$40</f>
        <v>KIT-001</v>
      </c>
      <c r="B61" s="46" t="n">
        <f aca="false">B60+1</f>
        <v>97</v>
      </c>
      <c r="C61" s="46" t="n">
        <f aca="false">MATCH(A61,Inputs!$B$40:$B$87,0)</f>
        <v>1</v>
      </c>
      <c r="D61" s="32" t="n">
        <f aca="false">INDEX(Inputs!$F$40:$F$87,C61)</f>
        <v>2</v>
      </c>
      <c r="E61" s="78" t="n">
        <f aca="false">INDEX(Inputs!$H$40:$H$87,C61)</f>
        <v>18</v>
      </c>
      <c r="F61" s="78" t="n">
        <f aca="false">INDEX(Inputs!$G$40:$G$87,C61)</f>
        <v>40</v>
      </c>
      <c r="G61" s="32" t="n">
        <f aca="false">INDEX(Inputs!$I$40:$I$87,C61)</f>
        <v>6</v>
      </c>
      <c r="H61" s="46" t="n">
        <f aca="false">MATCH(A61,Demand_History!$C:$C,0)+B61-1</f>
        <v>98</v>
      </c>
      <c r="I61" s="32" t="n">
        <f aca="false">INDEX(Forecast_Walkforward!$C:$C,H61)</f>
        <v>63</v>
      </c>
      <c r="J61" s="79" t="n">
        <f aca="false">INDEX(Forecast_Walkforward!$E:$E,H61)</f>
        <v>60.75</v>
      </c>
      <c r="K61" s="33" t="n">
        <f aca="false">Baseline_Weeks*J61</f>
        <v>243</v>
      </c>
      <c r="L61" s="46" t="n">
        <f aca="false">SUMIFS(P$53:P60,$B$53:$B60,$B61-$D61)</f>
        <v>60</v>
      </c>
      <c r="M61" s="46" t="n">
        <f aca="false">S60+L61</f>
        <v>136</v>
      </c>
      <c r="N61" s="46" t="n">
        <f aca="false">SUMIFS(P$53:P60,$B$53:$B60,"&gt;"&amp;($B61-$D61))</f>
        <v>66</v>
      </c>
      <c r="O61" s="46" t="n">
        <f aca="false">M61+N61</f>
        <v>202</v>
      </c>
      <c r="P61" s="47" t="n">
        <f aca="false">IF(O61&lt;K61,ROUNDUP((K61-O61)/G61,0)*G61,0)</f>
        <v>42</v>
      </c>
      <c r="Q61" s="46" t="n">
        <f aca="false">MIN(M61,I61)</f>
        <v>63</v>
      </c>
      <c r="R61" s="46" t="n">
        <f aca="false">I61-Q61</f>
        <v>0</v>
      </c>
      <c r="S61" s="46" t="n">
        <f aca="false">M61-Q61</f>
        <v>73</v>
      </c>
      <c r="T61" s="46" t="n">
        <f aca="false">IF(R61&gt;0,1,0)</f>
        <v>0</v>
      </c>
      <c r="U61" s="32" t="n">
        <f aca="false">INDEX(Forecast!$AY$7:$AY$54,C61)</f>
        <v>2</v>
      </c>
      <c r="V61" s="33" t="n">
        <f aca="false">CHOOSE(U61,INDEX(Forecast_Walkforward!$D:$D,H61),INDEX(Forecast_Walkforward!$E:$E,H61),INDEX(Forecast_Walkforward!$F:$F,H61),INDEX(Forecast_Walkforward!$G:$G,H61))</f>
        <v>60.75</v>
      </c>
      <c r="W61" s="79" t="n">
        <f aca="false">INDEX(Forecast!$BA$7:$BA$54,C61)</f>
        <v>7.74462178977558</v>
      </c>
      <c r="X61" s="33" t="n">
        <f aca="false">Z_Value*W61*SQRT(D61)</f>
        <v>18.0153402275448</v>
      </c>
      <c r="Y61" s="33" t="n">
        <f aca="false">V61*D61+X61</f>
        <v>139.515340227545</v>
      </c>
      <c r="Z61" s="33" t="n">
        <f aca="false">SQRT((2*V61*Weeks_Per_Year*F61)/(E61*Holding_Rate))</f>
        <v>264.952825989835</v>
      </c>
      <c r="AA61" s="46" t="n">
        <f aca="false">ROUNDUP(Z61/G61,0)*G61</f>
        <v>270</v>
      </c>
      <c r="AB61" s="46" t="n">
        <f aca="false">SUMIFS(AF$53:AF60,$B$53:$B60,$B61-$D61)</f>
        <v>0</v>
      </c>
      <c r="AC61" s="46" t="n">
        <f aca="false">AI60+AB61</f>
        <v>155</v>
      </c>
      <c r="AD61" s="46" t="n">
        <f aca="false">SUMIFS(AF$53:AF60,$B$53:$B60,"&gt;"&amp;($B61-$D61))</f>
        <v>0</v>
      </c>
      <c r="AE61" s="46" t="n">
        <f aca="false">AC61+AD61</f>
        <v>155</v>
      </c>
      <c r="AF61" s="47" t="n">
        <f aca="false">IF(AE61&lt;=Y61,AA61,0)</f>
        <v>0</v>
      </c>
      <c r="AG61" s="46" t="n">
        <f aca="false">MIN(AC61,I61)</f>
        <v>63</v>
      </c>
      <c r="AH61" s="46" t="n">
        <f aca="false">I61-AG61</f>
        <v>0</v>
      </c>
      <c r="AI61" s="46" t="n">
        <f aca="false">AC61-AG61</f>
        <v>92</v>
      </c>
      <c r="AJ61" s="46" t="n">
        <f aca="false">IF(AH61&gt;0,1,0)</f>
        <v>0</v>
      </c>
    </row>
    <row r="62" customFormat="false" ht="15" hidden="false" customHeight="false" outlineLevel="0" collapsed="false">
      <c r="A62" s="31" t="str">
        <f aca="false">Inputs!$B$40</f>
        <v>KIT-001</v>
      </c>
      <c r="B62" s="46" t="n">
        <f aca="false">B61+1</f>
        <v>98</v>
      </c>
      <c r="C62" s="46" t="n">
        <f aca="false">MATCH(A62,Inputs!$B$40:$B$87,0)</f>
        <v>1</v>
      </c>
      <c r="D62" s="32" t="n">
        <f aca="false">INDEX(Inputs!$F$40:$F$87,C62)</f>
        <v>2</v>
      </c>
      <c r="E62" s="78" t="n">
        <f aca="false">INDEX(Inputs!$H$40:$H$87,C62)</f>
        <v>18</v>
      </c>
      <c r="F62" s="78" t="n">
        <f aca="false">INDEX(Inputs!$G$40:$G$87,C62)</f>
        <v>40</v>
      </c>
      <c r="G62" s="32" t="n">
        <f aca="false">INDEX(Inputs!$I$40:$I$87,C62)</f>
        <v>6</v>
      </c>
      <c r="H62" s="46" t="n">
        <f aca="false">MATCH(A62,Demand_History!$C:$C,0)+B62-1</f>
        <v>99</v>
      </c>
      <c r="I62" s="32" t="n">
        <f aca="false">INDEX(Forecast_Walkforward!$C:$C,H62)</f>
        <v>47</v>
      </c>
      <c r="J62" s="79" t="n">
        <f aca="false">INDEX(Forecast_Walkforward!$E:$E,H62)</f>
        <v>59.5</v>
      </c>
      <c r="K62" s="33" t="n">
        <f aca="false">Baseline_Weeks*J62</f>
        <v>238</v>
      </c>
      <c r="L62" s="46" t="n">
        <f aca="false">SUMIFS(P$53:P61,$B$53:$B61,$B62-$D62)</f>
        <v>66</v>
      </c>
      <c r="M62" s="46" t="n">
        <f aca="false">S61+L62</f>
        <v>139</v>
      </c>
      <c r="N62" s="46" t="n">
        <f aca="false">SUMIFS(P$53:P61,$B$53:$B61,"&gt;"&amp;($B62-$D62))</f>
        <v>42</v>
      </c>
      <c r="O62" s="46" t="n">
        <f aca="false">M62+N62</f>
        <v>181</v>
      </c>
      <c r="P62" s="47" t="n">
        <f aca="false">IF(O62&lt;K62,ROUNDUP((K62-O62)/G62,0)*G62,0)</f>
        <v>60</v>
      </c>
      <c r="Q62" s="46" t="n">
        <f aca="false">MIN(M62,I62)</f>
        <v>47</v>
      </c>
      <c r="R62" s="46" t="n">
        <f aca="false">I62-Q62</f>
        <v>0</v>
      </c>
      <c r="S62" s="46" t="n">
        <f aca="false">M62-Q62</f>
        <v>92</v>
      </c>
      <c r="T62" s="46" t="n">
        <f aca="false">IF(R62&gt;0,1,0)</f>
        <v>0</v>
      </c>
      <c r="U62" s="32" t="n">
        <f aca="false">INDEX(Forecast!$AY$7:$AY$54,C62)</f>
        <v>2</v>
      </c>
      <c r="V62" s="33" t="n">
        <f aca="false">CHOOSE(U62,INDEX(Forecast_Walkforward!$D:$D,H62),INDEX(Forecast_Walkforward!$E:$E,H62),INDEX(Forecast_Walkforward!$F:$F,H62),INDEX(Forecast_Walkforward!$G:$G,H62))</f>
        <v>59.5</v>
      </c>
      <c r="W62" s="79" t="n">
        <f aca="false">INDEX(Forecast!$BA$7:$BA$54,C62)</f>
        <v>7.74462178977558</v>
      </c>
      <c r="X62" s="33" t="n">
        <f aca="false">Z_Value*W62*SQRT(D62)</f>
        <v>18.0153402275448</v>
      </c>
      <c r="Y62" s="33" t="n">
        <f aca="false">V62*D62+X62</f>
        <v>137.015340227545</v>
      </c>
      <c r="Z62" s="33" t="n">
        <f aca="false">SQRT((2*V62*Weeks_Per_Year*F62)/(E62*Holding_Rate))</f>
        <v>262.212805857295</v>
      </c>
      <c r="AA62" s="46" t="n">
        <f aca="false">ROUNDUP(Z62/G62,0)*G62</f>
        <v>264</v>
      </c>
      <c r="AB62" s="46" t="n">
        <f aca="false">SUMIFS(AF$53:AF61,$B$53:$B61,$B62-$D62)</f>
        <v>0</v>
      </c>
      <c r="AC62" s="46" t="n">
        <f aca="false">AI61+AB62</f>
        <v>92</v>
      </c>
      <c r="AD62" s="46" t="n">
        <f aca="false">SUMIFS(AF$53:AF61,$B$53:$B61,"&gt;"&amp;($B62-$D62))</f>
        <v>0</v>
      </c>
      <c r="AE62" s="46" t="n">
        <f aca="false">AC62+AD62</f>
        <v>92</v>
      </c>
      <c r="AF62" s="47" t="n">
        <f aca="false">IF(AE62&lt;=Y62,AA62,0)</f>
        <v>264</v>
      </c>
      <c r="AG62" s="46" t="n">
        <f aca="false">MIN(AC62,I62)</f>
        <v>47</v>
      </c>
      <c r="AH62" s="46" t="n">
        <f aca="false">I62-AG62</f>
        <v>0</v>
      </c>
      <c r="AI62" s="46" t="n">
        <f aca="false">AC62-AG62</f>
        <v>45</v>
      </c>
      <c r="AJ62" s="46" t="n">
        <f aca="false">IF(AH62&gt;0,1,0)</f>
        <v>0</v>
      </c>
    </row>
    <row r="63" customFormat="false" ht="15" hidden="false" customHeight="false" outlineLevel="0" collapsed="false">
      <c r="A63" s="31" t="str">
        <f aca="false">Inputs!$B$40</f>
        <v>KIT-001</v>
      </c>
      <c r="B63" s="46" t="n">
        <f aca="false">B62+1</f>
        <v>99</v>
      </c>
      <c r="C63" s="46" t="n">
        <f aca="false">MATCH(A63,Inputs!$B$40:$B$87,0)</f>
        <v>1</v>
      </c>
      <c r="D63" s="32" t="n">
        <f aca="false">INDEX(Inputs!$F$40:$F$87,C63)</f>
        <v>2</v>
      </c>
      <c r="E63" s="78" t="n">
        <f aca="false">INDEX(Inputs!$H$40:$H$87,C63)</f>
        <v>18</v>
      </c>
      <c r="F63" s="78" t="n">
        <f aca="false">INDEX(Inputs!$G$40:$G$87,C63)</f>
        <v>40</v>
      </c>
      <c r="G63" s="32" t="n">
        <f aca="false">INDEX(Inputs!$I$40:$I$87,C63)</f>
        <v>6</v>
      </c>
      <c r="H63" s="46" t="n">
        <f aca="false">MATCH(A63,Demand_History!$C:$C,0)+B63-1</f>
        <v>100</v>
      </c>
      <c r="I63" s="32" t="n">
        <f aca="false">INDEX(Forecast_Walkforward!$C:$C,H63)</f>
        <v>44</v>
      </c>
      <c r="J63" s="79" t="n">
        <f aca="false">INDEX(Forecast_Walkforward!$E:$E,H63)</f>
        <v>56.25</v>
      </c>
      <c r="K63" s="33" t="n">
        <f aca="false">Baseline_Weeks*J63</f>
        <v>225</v>
      </c>
      <c r="L63" s="46" t="n">
        <f aca="false">SUMIFS(P$53:P62,$B$53:$B62,$B63-$D63)</f>
        <v>42</v>
      </c>
      <c r="M63" s="46" t="n">
        <f aca="false">S62+L63</f>
        <v>134</v>
      </c>
      <c r="N63" s="46" t="n">
        <f aca="false">SUMIFS(P$53:P62,$B$53:$B62,"&gt;"&amp;($B63-$D63))</f>
        <v>60</v>
      </c>
      <c r="O63" s="46" t="n">
        <f aca="false">M63+N63</f>
        <v>194</v>
      </c>
      <c r="P63" s="47" t="n">
        <f aca="false">IF(O63&lt;K63,ROUNDUP((K63-O63)/G63,0)*G63,0)</f>
        <v>36</v>
      </c>
      <c r="Q63" s="46" t="n">
        <f aca="false">MIN(M63,I63)</f>
        <v>44</v>
      </c>
      <c r="R63" s="46" t="n">
        <f aca="false">I63-Q63</f>
        <v>0</v>
      </c>
      <c r="S63" s="46" t="n">
        <f aca="false">M63-Q63</f>
        <v>90</v>
      </c>
      <c r="T63" s="46" t="n">
        <f aca="false">IF(R63&gt;0,1,0)</f>
        <v>0</v>
      </c>
      <c r="U63" s="32" t="n">
        <f aca="false">INDEX(Forecast!$AY$7:$AY$54,C63)</f>
        <v>2</v>
      </c>
      <c r="V63" s="33" t="n">
        <f aca="false">CHOOSE(U63,INDEX(Forecast_Walkforward!$D:$D,H63),INDEX(Forecast_Walkforward!$E:$E,H63),INDEX(Forecast_Walkforward!$F:$F,H63),INDEX(Forecast_Walkforward!$G:$G,H63))</f>
        <v>56.25</v>
      </c>
      <c r="W63" s="79" t="n">
        <f aca="false">INDEX(Forecast!$BA$7:$BA$54,C63)</f>
        <v>7.74462178977558</v>
      </c>
      <c r="X63" s="33" t="n">
        <f aca="false">Z_Value*W63*SQRT(D63)</f>
        <v>18.0153402275448</v>
      </c>
      <c r="Y63" s="33" t="n">
        <f aca="false">V63*D63+X63</f>
        <v>130.515340227545</v>
      </c>
      <c r="Z63" s="33" t="n">
        <f aca="false">SQRT((2*V63*Weeks_Per_Year*F63)/(E63*Holding_Rate))</f>
        <v>254.950975679639</v>
      </c>
      <c r="AA63" s="46" t="n">
        <f aca="false">ROUNDUP(Z63/G63,0)*G63</f>
        <v>258</v>
      </c>
      <c r="AB63" s="46" t="n">
        <f aca="false">SUMIFS(AF$53:AF62,$B$53:$B62,$B63-$D63)</f>
        <v>0</v>
      </c>
      <c r="AC63" s="46" t="n">
        <f aca="false">AI62+AB63</f>
        <v>45</v>
      </c>
      <c r="AD63" s="46" t="n">
        <f aca="false">SUMIFS(AF$53:AF62,$B$53:$B62,"&gt;"&amp;($B63-$D63))</f>
        <v>264</v>
      </c>
      <c r="AE63" s="46" t="n">
        <f aca="false">AC63+AD63</f>
        <v>309</v>
      </c>
      <c r="AF63" s="47" t="n">
        <f aca="false">IF(AE63&lt;=Y63,AA63,0)</f>
        <v>0</v>
      </c>
      <c r="AG63" s="46" t="n">
        <f aca="false">MIN(AC63,I63)</f>
        <v>44</v>
      </c>
      <c r="AH63" s="46" t="n">
        <f aca="false">I63-AG63</f>
        <v>0</v>
      </c>
      <c r="AI63" s="46" t="n">
        <f aca="false">AC63-AG63</f>
        <v>1</v>
      </c>
      <c r="AJ63" s="46" t="n">
        <f aca="false">IF(AH63&gt;0,1,0)</f>
        <v>0</v>
      </c>
    </row>
    <row r="64" customFormat="false" ht="15" hidden="false" customHeight="false" outlineLevel="0" collapsed="false">
      <c r="A64" s="31" t="str">
        <f aca="false">Inputs!$B$40</f>
        <v>KIT-001</v>
      </c>
      <c r="B64" s="46" t="n">
        <f aca="false">B63+1</f>
        <v>100</v>
      </c>
      <c r="C64" s="46" t="n">
        <f aca="false">MATCH(A64,Inputs!$B$40:$B$87,0)</f>
        <v>1</v>
      </c>
      <c r="D64" s="32" t="n">
        <f aca="false">INDEX(Inputs!$F$40:$F$87,C64)</f>
        <v>2</v>
      </c>
      <c r="E64" s="78" t="n">
        <f aca="false">INDEX(Inputs!$H$40:$H$87,C64)</f>
        <v>18</v>
      </c>
      <c r="F64" s="78" t="n">
        <f aca="false">INDEX(Inputs!$G$40:$G$87,C64)</f>
        <v>40</v>
      </c>
      <c r="G64" s="32" t="n">
        <f aca="false">INDEX(Inputs!$I$40:$I$87,C64)</f>
        <v>6</v>
      </c>
      <c r="H64" s="46" t="n">
        <f aca="false">MATCH(A64,Demand_History!$C:$C,0)+B64-1</f>
        <v>101</v>
      </c>
      <c r="I64" s="32" t="n">
        <f aca="false">INDEX(Forecast_Walkforward!$C:$C,H64)</f>
        <v>58</v>
      </c>
      <c r="J64" s="79" t="n">
        <f aca="false">INDEX(Forecast_Walkforward!$E:$E,H64)</f>
        <v>51</v>
      </c>
      <c r="K64" s="33" t="n">
        <f aca="false">Baseline_Weeks*J64</f>
        <v>204</v>
      </c>
      <c r="L64" s="46" t="n">
        <f aca="false">SUMIFS(P$53:P63,$B$53:$B63,$B64-$D64)</f>
        <v>60</v>
      </c>
      <c r="M64" s="46" t="n">
        <f aca="false">S63+L64</f>
        <v>150</v>
      </c>
      <c r="N64" s="46" t="n">
        <f aca="false">SUMIFS(P$53:P63,$B$53:$B63,"&gt;"&amp;($B64-$D64))</f>
        <v>36</v>
      </c>
      <c r="O64" s="46" t="n">
        <f aca="false">M64+N64</f>
        <v>186</v>
      </c>
      <c r="P64" s="47" t="n">
        <f aca="false">IF(O64&lt;K64,ROUNDUP((K64-O64)/G64,0)*G64,0)</f>
        <v>18</v>
      </c>
      <c r="Q64" s="46" t="n">
        <f aca="false">MIN(M64,I64)</f>
        <v>58</v>
      </c>
      <c r="R64" s="46" t="n">
        <f aca="false">I64-Q64</f>
        <v>0</v>
      </c>
      <c r="S64" s="46" t="n">
        <f aca="false">M64-Q64</f>
        <v>92</v>
      </c>
      <c r="T64" s="46" t="n">
        <f aca="false">IF(R64&gt;0,1,0)</f>
        <v>0</v>
      </c>
      <c r="U64" s="32" t="n">
        <f aca="false">INDEX(Forecast!$AY$7:$AY$54,C64)</f>
        <v>2</v>
      </c>
      <c r="V64" s="33" t="n">
        <f aca="false">CHOOSE(U64,INDEX(Forecast_Walkforward!$D:$D,H64),INDEX(Forecast_Walkforward!$E:$E,H64),INDEX(Forecast_Walkforward!$F:$F,H64),INDEX(Forecast_Walkforward!$G:$G,H64))</f>
        <v>51</v>
      </c>
      <c r="W64" s="79" t="n">
        <f aca="false">INDEX(Forecast!$BA$7:$BA$54,C64)</f>
        <v>7.74462178977558</v>
      </c>
      <c r="X64" s="33" t="n">
        <f aca="false">Z_Value*W64*SQRT(D64)</f>
        <v>18.0153402275448</v>
      </c>
      <c r="Y64" s="33" t="n">
        <f aca="false">V64*D64+X64</f>
        <v>120.015340227545</v>
      </c>
      <c r="Z64" s="33" t="n">
        <f aca="false">SQRT((2*V64*Weeks_Per_Year*F64)/(E64*Holding_Rate))</f>
        <v>242.761886080442</v>
      </c>
      <c r="AA64" s="46" t="n">
        <f aca="false">ROUNDUP(Z64/G64,0)*G64</f>
        <v>246</v>
      </c>
      <c r="AB64" s="46" t="n">
        <f aca="false">SUMIFS(AF$53:AF63,$B$53:$B63,$B64-$D64)</f>
        <v>264</v>
      </c>
      <c r="AC64" s="46" t="n">
        <f aca="false">AI63+AB64</f>
        <v>265</v>
      </c>
      <c r="AD64" s="46" t="n">
        <f aca="false">SUMIFS(AF$53:AF63,$B$53:$B63,"&gt;"&amp;($B64-$D64))</f>
        <v>0</v>
      </c>
      <c r="AE64" s="46" t="n">
        <f aca="false">AC64+AD64</f>
        <v>265</v>
      </c>
      <c r="AF64" s="47" t="n">
        <f aca="false">IF(AE64&lt;=Y64,AA64,0)</f>
        <v>0</v>
      </c>
      <c r="AG64" s="46" t="n">
        <f aca="false">MIN(AC64,I64)</f>
        <v>58</v>
      </c>
      <c r="AH64" s="46" t="n">
        <f aca="false">I64-AG64</f>
        <v>0</v>
      </c>
      <c r="AI64" s="46" t="n">
        <f aca="false">AC64-AG64</f>
        <v>207</v>
      </c>
      <c r="AJ64" s="46" t="n">
        <f aca="false">IF(AH64&gt;0,1,0)</f>
        <v>0</v>
      </c>
    </row>
    <row r="65" customFormat="false" ht="15" hidden="false" customHeight="false" outlineLevel="0" collapsed="false">
      <c r="A65" s="31" t="str">
        <f aca="false">Inputs!$B$40</f>
        <v>KIT-001</v>
      </c>
      <c r="B65" s="46" t="n">
        <f aca="false">B64+1</f>
        <v>101</v>
      </c>
      <c r="C65" s="46" t="n">
        <f aca="false">MATCH(A65,Inputs!$B$40:$B$87,0)</f>
        <v>1</v>
      </c>
      <c r="D65" s="32" t="n">
        <f aca="false">INDEX(Inputs!$F$40:$F$87,C65)</f>
        <v>2</v>
      </c>
      <c r="E65" s="78" t="n">
        <f aca="false">INDEX(Inputs!$H$40:$H$87,C65)</f>
        <v>18</v>
      </c>
      <c r="F65" s="78" t="n">
        <f aca="false">INDEX(Inputs!$G$40:$G$87,C65)</f>
        <v>40</v>
      </c>
      <c r="G65" s="32" t="n">
        <f aca="false">INDEX(Inputs!$I$40:$I$87,C65)</f>
        <v>6</v>
      </c>
      <c r="H65" s="46" t="n">
        <f aca="false">MATCH(A65,Demand_History!$C:$C,0)+B65-1</f>
        <v>102</v>
      </c>
      <c r="I65" s="32" t="n">
        <f aca="false">INDEX(Forecast_Walkforward!$C:$C,H65)</f>
        <v>53</v>
      </c>
      <c r="J65" s="79" t="n">
        <f aca="false">INDEX(Forecast_Walkforward!$E:$E,H65)</f>
        <v>53</v>
      </c>
      <c r="K65" s="33" t="n">
        <f aca="false">Baseline_Weeks*J65</f>
        <v>212</v>
      </c>
      <c r="L65" s="46" t="n">
        <f aca="false">SUMIFS(P$53:P64,$B$53:$B64,$B65-$D65)</f>
        <v>36</v>
      </c>
      <c r="M65" s="46" t="n">
        <f aca="false">S64+L65</f>
        <v>128</v>
      </c>
      <c r="N65" s="46" t="n">
        <f aca="false">SUMIFS(P$53:P64,$B$53:$B64,"&gt;"&amp;($B65-$D65))</f>
        <v>18</v>
      </c>
      <c r="O65" s="46" t="n">
        <f aca="false">M65+N65</f>
        <v>146</v>
      </c>
      <c r="P65" s="47" t="n">
        <f aca="false">IF(O65&lt;K65,ROUNDUP((K65-O65)/G65,0)*G65,0)</f>
        <v>66</v>
      </c>
      <c r="Q65" s="46" t="n">
        <f aca="false">MIN(M65,I65)</f>
        <v>53</v>
      </c>
      <c r="R65" s="46" t="n">
        <f aca="false">I65-Q65</f>
        <v>0</v>
      </c>
      <c r="S65" s="46" t="n">
        <f aca="false">M65-Q65</f>
        <v>75</v>
      </c>
      <c r="T65" s="46" t="n">
        <f aca="false">IF(R65&gt;0,1,0)</f>
        <v>0</v>
      </c>
      <c r="U65" s="32" t="n">
        <f aca="false">INDEX(Forecast!$AY$7:$AY$54,C65)</f>
        <v>2</v>
      </c>
      <c r="V65" s="33" t="n">
        <f aca="false">CHOOSE(U65,INDEX(Forecast_Walkforward!$D:$D,H65),INDEX(Forecast_Walkforward!$E:$E,H65),INDEX(Forecast_Walkforward!$F:$F,H65),INDEX(Forecast_Walkforward!$G:$G,H65))</f>
        <v>53</v>
      </c>
      <c r="W65" s="79" t="n">
        <f aca="false">INDEX(Forecast!$BA$7:$BA$54,C65)</f>
        <v>7.74462178977558</v>
      </c>
      <c r="X65" s="33" t="n">
        <f aca="false">Z_Value*W65*SQRT(D65)</f>
        <v>18.0153402275448</v>
      </c>
      <c r="Y65" s="33" t="n">
        <f aca="false">V65*D65+X65</f>
        <v>124.015340227545</v>
      </c>
      <c r="Z65" s="33" t="n">
        <f aca="false">SQRT((2*V65*Weeks_Per_Year*F65)/(E65*Holding_Rate))</f>
        <v>247.476149243608</v>
      </c>
      <c r="AA65" s="46" t="n">
        <f aca="false">ROUNDUP(Z65/G65,0)*G65</f>
        <v>252</v>
      </c>
      <c r="AB65" s="46" t="n">
        <f aca="false">SUMIFS(AF$53:AF64,$B$53:$B64,$B65-$D65)</f>
        <v>0</v>
      </c>
      <c r="AC65" s="46" t="n">
        <f aca="false">AI64+AB65</f>
        <v>207</v>
      </c>
      <c r="AD65" s="46" t="n">
        <f aca="false">SUMIFS(AF$53:AF64,$B$53:$B64,"&gt;"&amp;($B65-$D65))</f>
        <v>0</v>
      </c>
      <c r="AE65" s="46" t="n">
        <f aca="false">AC65+AD65</f>
        <v>207</v>
      </c>
      <c r="AF65" s="47" t="n">
        <f aca="false">IF(AE65&lt;=Y65,AA65,0)</f>
        <v>0</v>
      </c>
      <c r="AG65" s="46" t="n">
        <f aca="false">MIN(AC65,I65)</f>
        <v>53</v>
      </c>
      <c r="AH65" s="46" t="n">
        <f aca="false">I65-AG65</f>
        <v>0</v>
      </c>
      <c r="AI65" s="46" t="n">
        <f aca="false">AC65-AG65</f>
        <v>154</v>
      </c>
      <c r="AJ65" s="46" t="n">
        <f aca="false">IF(AH65&gt;0,1,0)</f>
        <v>0</v>
      </c>
    </row>
    <row r="66" customFormat="false" ht="15" hidden="false" customHeight="false" outlineLevel="0" collapsed="false">
      <c r="A66" s="31" t="str">
        <f aca="false">Inputs!$B$40</f>
        <v>KIT-001</v>
      </c>
      <c r="B66" s="46" t="n">
        <f aca="false">B65+1</f>
        <v>102</v>
      </c>
      <c r="C66" s="46" t="n">
        <f aca="false">MATCH(A66,Inputs!$B$40:$B$87,0)</f>
        <v>1</v>
      </c>
      <c r="D66" s="32" t="n">
        <f aca="false">INDEX(Inputs!$F$40:$F$87,C66)</f>
        <v>2</v>
      </c>
      <c r="E66" s="78" t="n">
        <f aca="false">INDEX(Inputs!$H$40:$H$87,C66)</f>
        <v>18</v>
      </c>
      <c r="F66" s="78" t="n">
        <f aca="false">INDEX(Inputs!$G$40:$G$87,C66)</f>
        <v>40</v>
      </c>
      <c r="G66" s="32" t="n">
        <f aca="false">INDEX(Inputs!$I$40:$I$87,C66)</f>
        <v>6</v>
      </c>
      <c r="H66" s="46" t="n">
        <f aca="false">MATCH(A66,Demand_History!$C:$C,0)+B66-1</f>
        <v>103</v>
      </c>
      <c r="I66" s="32" t="n">
        <f aca="false">INDEX(Forecast_Walkforward!$C:$C,H66)</f>
        <v>61</v>
      </c>
      <c r="J66" s="79" t="n">
        <f aca="false">INDEX(Forecast_Walkforward!$E:$E,H66)</f>
        <v>50.5</v>
      </c>
      <c r="K66" s="33" t="n">
        <f aca="false">Baseline_Weeks*J66</f>
        <v>202</v>
      </c>
      <c r="L66" s="46" t="n">
        <f aca="false">SUMIFS(P$53:P65,$B$53:$B65,$B66-$D66)</f>
        <v>18</v>
      </c>
      <c r="M66" s="46" t="n">
        <f aca="false">S65+L66</f>
        <v>93</v>
      </c>
      <c r="N66" s="46" t="n">
        <f aca="false">SUMIFS(P$53:P65,$B$53:$B65,"&gt;"&amp;($B66-$D66))</f>
        <v>66</v>
      </c>
      <c r="O66" s="46" t="n">
        <f aca="false">M66+N66</f>
        <v>159</v>
      </c>
      <c r="P66" s="47" t="n">
        <f aca="false">IF(O66&lt;K66,ROUNDUP((K66-O66)/G66,0)*G66,0)</f>
        <v>48</v>
      </c>
      <c r="Q66" s="46" t="n">
        <f aca="false">MIN(M66,I66)</f>
        <v>61</v>
      </c>
      <c r="R66" s="46" t="n">
        <f aca="false">I66-Q66</f>
        <v>0</v>
      </c>
      <c r="S66" s="46" t="n">
        <f aca="false">M66-Q66</f>
        <v>32</v>
      </c>
      <c r="T66" s="46" t="n">
        <f aca="false">IF(R66&gt;0,1,0)</f>
        <v>0</v>
      </c>
      <c r="U66" s="32" t="n">
        <f aca="false">INDEX(Forecast!$AY$7:$AY$54,C66)</f>
        <v>2</v>
      </c>
      <c r="V66" s="33" t="n">
        <f aca="false">CHOOSE(U66,INDEX(Forecast_Walkforward!$D:$D,H66),INDEX(Forecast_Walkforward!$E:$E,H66),INDEX(Forecast_Walkforward!$F:$F,H66),INDEX(Forecast_Walkforward!$G:$G,H66))</f>
        <v>50.5</v>
      </c>
      <c r="W66" s="79" t="n">
        <f aca="false">INDEX(Forecast!$BA$7:$BA$54,C66)</f>
        <v>7.74462178977558</v>
      </c>
      <c r="X66" s="33" t="n">
        <f aca="false">Z_Value*W66*SQRT(D66)</f>
        <v>18.0153402275448</v>
      </c>
      <c r="Y66" s="33" t="n">
        <f aca="false">V66*D66+X66</f>
        <v>119.015340227545</v>
      </c>
      <c r="Z66" s="33" t="n">
        <f aca="false">SQRT((2*V66*Weeks_Per_Year*F66)/(E66*Holding_Rate))</f>
        <v>241.568945759913</v>
      </c>
      <c r="AA66" s="46" t="n">
        <f aca="false">ROUNDUP(Z66/G66,0)*G66</f>
        <v>246</v>
      </c>
      <c r="AB66" s="46" t="n">
        <f aca="false">SUMIFS(AF$53:AF65,$B$53:$B65,$B66-$D66)</f>
        <v>0</v>
      </c>
      <c r="AC66" s="46" t="n">
        <f aca="false">AI65+AB66</f>
        <v>154</v>
      </c>
      <c r="AD66" s="46" t="n">
        <f aca="false">SUMIFS(AF$53:AF65,$B$53:$B65,"&gt;"&amp;($B66-$D66))</f>
        <v>0</v>
      </c>
      <c r="AE66" s="46" t="n">
        <f aca="false">AC66+AD66</f>
        <v>154</v>
      </c>
      <c r="AF66" s="47" t="n">
        <f aca="false">IF(AE66&lt;=Y66,AA66,0)</f>
        <v>0</v>
      </c>
      <c r="AG66" s="46" t="n">
        <f aca="false">MIN(AC66,I66)</f>
        <v>61</v>
      </c>
      <c r="AH66" s="46" t="n">
        <f aca="false">I66-AG66</f>
        <v>0</v>
      </c>
      <c r="AI66" s="46" t="n">
        <f aca="false">AC66-AG66</f>
        <v>93</v>
      </c>
      <c r="AJ66" s="46" t="n">
        <f aca="false">IF(AH66&gt;0,1,0)</f>
        <v>0</v>
      </c>
    </row>
    <row r="67" customFormat="false" ht="15" hidden="false" customHeight="false" outlineLevel="0" collapsed="false">
      <c r="A67" s="31" t="str">
        <f aca="false">Inputs!$B$40</f>
        <v>KIT-001</v>
      </c>
      <c r="B67" s="46" t="n">
        <f aca="false">B66+1</f>
        <v>103</v>
      </c>
      <c r="C67" s="46" t="n">
        <f aca="false">MATCH(A67,Inputs!$B$40:$B$87,0)</f>
        <v>1</v>
      </c>
      <c r="D67" s="32" t="n">
        <f aca="false">INDEX(Inputs!$F$40:$F$87,C67)</f>
        <v>2</v>
      </c>
      <c r="E67" s="78" t="n">
        <f aca="false">INDEX(Inputs!$H$40:$H$87,C67)</f>
        <v>18</v>
      </c>
      <c r="F67" s="78" t="n">
        <f aca="false">INDEX(Inputs!$G$40:$G$87,C67)</f>
        <v>40</v>
      </c>
      <c r="G67" s="32" t="n">
        <f aca="false">INDEX(Inputs!$I$40:$I$87,C67)</f>
        <v>6</v>
      </c>
      <c r="H67" s="46" t="n">
        <f aca="false">MATCH(A67,Demand_History!$C:$C,0)+B67-1</f>
        <v>104</v>
      </c>
      <c r="I67" s="32" t="n">
        <f aca="false">INDEX(Forecast_Walkforward!$C:$C,H67)</f>
        <v>78</v>
      </c>
      <c r="J67" s="79" t="n">
        <f aca="false">INDEX(Forecast_Walkforward!$E:$E,H67)</f>
        <v>54</v>
      </c>
      <c r="K67" s="33" t="n">
        <f aca="false">Baseline_Weeks*J67</f>
        <v>216</v>
      </c>
      <c r="L67" s="46" t="n">
        <f aca="false">SUMIFS(P$53:P66,$B$53:$B66,$B67-$D67)</f>
        <v>66</v>
      </c>
      <c r="M67" s="46" t="n">
        <f aca="false">S66+L67</f>
        <v>98</v>
      </c>
      <c r="N67" s="46" t="n">
        <f aca="false">SUMIFS(P$53:P66,$B$53:$B66,"&gt;"&amp;($B67-$D67))</f>
        <v>48</v>
      </c>
      <c r="O67" s="46" t="n">
        <f aca="false">M67+N67</f>
        <v>146</v>
      </c>
      <c r="P67" s="47" t="n">
        <f aca="false">IF(O67&lt;K67,ROUNDUP((K67-O67)/G67,0)*G67,0)</f>
        <v>72</v>
      </c>
      <c r="Q67" s="46" t="n">
        <f aca="false">MIN(M67,I67)</f>
        <v>78</v>
      </c>
      <c r="R67" s="46" t="n">
        <f aca="false">I67-Q67</f>
        <v>0</v>
      </c>
      <c r="S67" s="46" t="n">
        <f aca="false">M67-Q67</f>
        <v>20</v>
      </c>
      <c r="T67" s="46" t="n">
        <f aca="false">IF(R67&gt;0,1,0)</f>
        <v>0</v>
      </c>
      <c r="U67" s="32" t="n">
        <f aca="false">INDEX(Forecast!$AY$7:$AY$54,C67)</f>
        <v>2</v>
      </c>
      <c r="V67" s="33" t="n">
        <f aca="false">CHOOSE(U67,INDEX(Forecast_Walkforward!$D:$D,H67),INDEX(Forecast_Walkforward!$E:$E,H67),INDEX(Forecast_Walkforward!$F:$F,H67),INDEX(Forecast_Walkforward!$G:$G,H67))</f>
        <v>54</v>
      </c>
      <c r="W67" s="79" t="n">
        <f aca="false">INDEX(Forecast!$BA$7:$BA$54,C67)</f>
        <v>7.74462178977558</v>
      </c>
      <c r="X67" s="33" t="n">
        <f aca="false">Z_Value*W67*SQRT(D67)</f>
        <v>18.0153402275448</v>
      </c>
      <c r="Y67" s="33" t="n">
        <f aca="false">V67*D67+X67</f>
        <v>126.015340227545</v>
      </c>
      <c r="Z67" s="33" t="n">
        <f aca="false">SQRT((2*V67*Weeks_Per_Year*F67)/(E67*Holding_Rate))</f>
        <v>249.799919935936</v>
      </c>
      <c r="AA67" s="46" t="n">
        <f aca="false">ROUNDUP(Z67/G67,0)*G67</f>
        <v>252</v>
      </c>
      <c r="AB67" s="46" t="n">
        <f aca="false">SUMIFS(AF$53:AF66,$B$53:$B66,$B67-$D67)</f>
        <v>0</v>
      </c>
      <c r="AC67" s="46" t="n">
        <f aca="false">AI66+AB67</f>
        <v>93</v>
      </c>
      <c r="AD67" s="46" t="n">
        <f aca="false">SUMIFS(AF$53:AF66,$B$53:$B66,"&gt;"&amp;($B67-$D67))</f>
        <v>0</v>
      </c>
      <c r="AE67" s="46" t="n">
        <f aca="false">AC67+AD67</f>
        <v>93</v>
      </c>
      <c r="AF67" s="47" t="n">
        <f aca="false">IF(AE67&lt;=Y67,AA67,0)</f>
        <v>252</v>
      </c>
      <c r="AG67" s="46" t="n">
        <f aca="false">MIN(AC67,I67)</f>
        <v>78</v>
      </c>
      <c r="AH67" s="46" t="n">
        <f aca="false">I67-AG67</f>
        <v>0</v>
      </c>
      <c r="AI67" s="46" t="n">
        <f aca="false">AC67-AG67</f>
        <v>15</v>
      </c>
      <c r="AJ67" s="46" t="n">
        <f aca="false">IF(AH67&gt;0,1,0)</f>
        <v>0</v>
      </c>
    </row>
    <row r="68" customFormat="false" ht="15" hidden="false" customHeight="false" outlineLevel="0" collapsed="false">
      <c r="A68" s="80" t="str">
        <f aca="false">Inputs!$B$40</f>
        <v>KIT-001</v>
      </c>
      <c r="B68" s="81" t="n">
        <f aca="false">B67+1</f>
        <v>104</v>
      </c>
      <c r="C68" s="81" t="n">
        <f aca="false">MATCH(A68,Inputs!$B$40:$B$87,0)</f>
        <v>1</v>
      </c>
      <c r="D68" s="82" t="n">
        <f aca="false">INDEX(Inputs!$F$40:$F$87,C68)</f>
        <v>2</v>
      </c>
      <c r="E68" s="83" t="n">
        <f aca="false">INDEX(Inputs!$H$40:$H$87,C68)</f>
        <v>18</v>
      </c>
      <c r="F68" s="83" t="n">
        <f aca="false">INDEX(Inputs!$G$40:$G$87,C68)</f>
        <v>40</v>
      </c>
      <c r="G68" s="82" t="n">
        <f aca="false">INDEX(Inputs!$I$40:$I$87,C68)</f>
        <v>6</v>
      </c>
      <c r="H68" s="81" t="n">
        <f aca="false">MATCH(A68,Demand_History!$C:$C,0)+B68-1</f>
        <v>105</v>
      </c>
      <c r="I68" s="82" t="n">
        <f aca="false">INDEX(Forecast_Walkforward!$C:$C,H68)</f>
        <v>53</v>
      </c>
      <c r="J68" s="84" t="n">
        <f aca="false">INDEX(Forecast_Walkforward!$E:$E,H68)</f>
        <v>62.5</v>
      </c>
      <c r="K68" s="85" t="n">
        <f aca="false">Baseline_Weeks*J68</f>
        <v>250</v>
      </c>
      <c r="L68" s="81" t="n">
        <f aca="false">SUMIFS(P$53:P67,$B$53:$B67,$B68-$D68)</f>
        <v>48</v>
      </c>
      <c r="M68" s="81" t="n">
        <f aca="false">S67+L68</f>
        <v>68</v>
      </c>
      <c r="N68" s="81" t="n">
        <f aca="false">SUMIFS(P$53:P67,$B$53:$B67,"&gt;"&amp;($B68-$D68))</f>
        <v>72</v>
      </c>
      <c r="O68" s="81" t="n">
        <f aca="false">M68+N68</f>
        <v>140</v>
      </c>
      <c r="P68" s="86" t="n">
        <f aca="false">IF(O68&lt;K68,ROUNDUP((K68-O68)/G68,0)*G68,0)</f>
        <v>114</v>
      </c>
      <c r="Q68" s="81" t="n">
        <f aca="false">MIN(M68,I68)</f>
        <v>53</v>
      </c>
      <c r="R68" s="81" t="n">
        <f aca="false">I68-Q68</f>
        <v>0</v>
      </c>
      <c r="S68" s="81" t="n">
        <f aca="false">M68-Q68</f>
        <v>15</v>
      </c>
      <c r="T68" s="81" t="n">
        <f aca="false">IF(R68&gt;0,1,0)</f>
        <v>0</v>
      </c>
      <c r="U68" s="82" t="n">
        <f aca="false">INDEX(Forecast!$AY$7:$AY$54,C68)</f>
        <v>2</v>
      </c>
      <c r="V68" s="85" t="n">
        <f aca="false">CHOOSE(U68,INDEX(Forecast_Walkforward!$D:$D,H68),INDEX(Forecast_Walkforward!$E:$E,H68),INDEX(Forecast_Walkforward!$F:$F,H68),INDEX(Forecast_Walkforward!$G:$G,H68))</f>
        <v>62.5</v>
      </c>
      <c r="W68" s="84" t="n">
        <f aca="false">INDEX(Forecast!$BA$7:$BA$54,C68)</f>
        <v>7.74462178977558</v>
      </c>
      <c r="X68" s="85" t="n">
        <f aca="false">Z_Value*W68*SQRT(D68)</f>
        <v>18.0153402275448</v>
      </c>
      <c r="Y68" s="85" t="n">
        <f aca="false">V68*D68+X68</f>
        <v>143.015340227545</v>
      </c>
      <c r="Z68" s="85" t="n">
        <f aca="false">SQRT((2*V68*Weeks_Per_Year*F68)/(E68*Holding_Rate))</f>
        <v>268.741924943285</v>
      </c>
      <c r="AA68" s="81" t="n">
        <f aca="false">ROUNDUP(Z68/G68,0)*G68</f>
        <v>270</v>
      </c>
      <c r="AB68" s="81" t="n">
        <f aca="false">SUMIFS(AF$53:AF67,$B$53:$B67,$B68-$D68)</f>
        <v>0</v>
      </c>
      <c r="AC68" s="81" t="n">
        <f aca="false">AI67+AB68</f>
        <v>15</v>
      </c>
      <c r="AD68" s="81" t="n">
        <f aca="false">SUMIFS(AF$53:AF67,$B$53:$B67,"&gt;"&amp;($B68-$D68))</f>
        <v>252</v>
      </c>
      <c r="AE68" s="81" t="n">
        <f aca="false">AC68+AD68</f>
        <v>267</v>
      </c>
      <c r="AF68" s="86" t="n">
        <f aca="false">IF(AE68&lt;=Y68,AA68,0)</f>
        <v>0</v>
      </c>
      <c r="AG68" s="81" t="n">
        <f aca="false">MIN(AC68,I68)</f>
        <v>15</v>
      </c>
      <c r="AH68" s="81" t="n">
        <f aca="false">I68-AG68</f>
        <v>38</v>
      </c>
      <c r="AI68" s="81" t="n">
        <f aca="false">AC68-AG68</f>
        <v>0</v>
      </c>
      <c r="AJ68" s="81" t="n">
        <f aca="false">IF(AH68&gt;0,1,0)</f>
        <v>1</v>
      </c>
    </row>
    <row r="69" customFormat="false" ht="15" hidden="false" customHeight="false" outlineLevel="0" collapsed="false">
      <c r="A69" s="31" t="str">
        <f aca="false">Inputs!$B$41</f>
        <v>KIT-002</v>
      </c>
      <c r="B69" s="46" t="n">
        <f aca="false">BT_Start_Week</f>
        <v>89</v>
      </c>
      <c r="C69" s="46" t="n">
        <f aca="false">MATCH(A69,Inputs!$B$40:$B$87,0)</f>
        <v>2</v>
      </c>
      <c r="D69" s="32" t="n">
        <f aca="false">INDEX(Inputs!$F$40:$F$87,C69)</f>
        <v>2</v>
      </c>
      <c r="E69" s="78" t="n">
        <f aca="false">INDEX(Inputs!$H$40:$H$87,C69)</f>
        <v>22</v>
      </c>
      <c r="F69" s="78" t="n">
        <f aca="false">INDEX(Inputs!$G$40:$G$87,C69)</f>
        <v>40</v>
      </c>
      <c r="G69" s="32" t="n">
        <f aca="false">INDEX(Inputs!$I$40:$I$87,C69)</f>
        <v>4</v>
      </c>
      <c r="H69" s="46" t="n">
        <f aca="false">MATCH(A69,Demand_History!$C:$C,0)+B69-1</f>
        <v>194</v>
      </c>
      <c r="I69" s="32" t="n">
        <f aca="false">INDEX(Forecast_Walkforward!$C:$C,H69)</f>
        <v>53</v>
      </c>
      <c r="J69" s="79" t="n">
        <f aca="false">INDEX(Forecast_Walkforward!$E:$E,H69)</f>
        <v>46.5</v>
      </c>
      <c r="K69" s="33" t="n">
        <f aca="false">Baseline_Weeks*J69</f>
        <v>186</v>
      </c>
      <c r="L69" s="46" t="n">
        <f aca="false">0</f>
        <v>0</v>
      </c>
      <c r="M69" s="46" t="n">
        <f aca="false">ROUND(BT_Open_Cover*INDEX(Forecast_Walkforward!$F:$F,H69),0)+L69</f>
        <v>293</v>
      </c>
      <c r="N69" s="46" t="n">
        <f aca="false">0</f>
        <v>0</v>
      </c>
      <c r="O69" s="46" t="n">
        <f aca="false">M69+N69</f>
        <v>293</v>
      </c>
      <c r="P69" s="47" t="n">
        <f aca="false">IF(O69&lt;K69,ROUNDUP((K69-O69)/G69,0)*G69,0)</f>
        <v>0</v>
      </c>
      <c r="Q69" s="46" t="n">
        <f aca="false">MIN(M69,I69)</f>
        <v>53</v>
      </c>
      <c r="R69" s="46" t="n">
        <f aca="false">I69-Q69</f>
        <v>0</v>
      </c>
      <c r="S69" s="46" t="n">
        <f aca="false">M69-Q69</f>
        <v>240</v>
      </c>
      <c r="T69" s="46" t="n">
        <f aca="false">IF(R69&gt;0,1,0)</f>
        <v>0</v>
      </c>
      <c r="U69" s="32" t="n">
        <f aca="false">INDEX(Forecast!$AY$7:$AY$54,C69)</f>
        <v>2</v>
      </c>
      <c r="V69" s="33" t="n">
        <f aca="false">CHOOSE(U69,INDEX(Forecast_Walkforward!$D:$D,H69),INDEX(Forecast_Walkforward!$E:$E,H69),INDEX(Forecast_Walkforward!$F:$F,H69),INDEX(Forecast_Walkforward!$G:$G,H69))</f>
        <v>46.5</v>
      </c>
      <c r="W69" s="79" t="n">
        <f aca="false">INDEX(Forecast!$BA$7:$BA$54,C69)</f>
        <v>14.1229943583346</v>
      </c>
      <c r="X69" s="33" t="n">
        <f aca="false">Z_Value*W69*SQRT(D69)</f>
        <v>32.8525466192542</v>
      </c>
      <c r="Y69" s="33" t="n">
        <f aca="false">V69*D69+X69</f>
        <v>125.852546619254</v>
      </c>
      <c r="Z69" s="33" t="n">
        <f aca="false">SQRT((2*V69*Weeks_Per_Year*F69)/(E69*Holding_Rate))</f>
        <v>209.675073300658</v>
      </c>
      <c r="AA69" s="46" t="n">
        <f aca="false">ROUNDUP(Z69/G69,0)*G69</f>
        <v>212</v>
      </c>
      <c r="AB69" s="46" t="n">
        <f aca="false">0</f>
        <v>0</v>
      </c>
      <c r="AC69" s="46" t="n">
        <f aca="false">ROUND(BT_Open_Cover*INDEX(Forecast_Walkforward!$F:$F,H69),0)+AB69</f>
        <v>293</v>
      </c>
      <c r="AD69" s="46" t="n">
        <f aca="false">0</f>
        <v>0</v>
      </c>
      <c r="AE69" s="46" t="n">
        <f aca="false">AC69+AD69</f>
        <v>293</v>
      </c>
      <c r="AF69" s="47" t="n">
        <f aca="false">IF(AE69&lt;=Y69,AA69,0)</f>
        <v>0</v>
      </c>
      <c r="AG69" s="46" t="n">
        <f aca="false">MIN(AC69,I69)</f>
        <v>53</v>
      </c>
      <c r="AH69" s="46" t="n">
        <f aca="false">I69-AG69</f>
        <v>0</v>
      </c>
      <c r="AI69" s="46" t="n">
        <f aca="false">AC69-AG69</f>
        <v>240</v>
      </c>
      <c r="AJ69" s="46" t="n">
        <f aca="false">IF(AH69&gt;0,1,0)</f>
        <v>0</v>
      </c>
    </row>
    <row r="70" customFormat="false" ht="15" hidden="false" customHeight="false" outlineLevel="0" collapsed="false">
      <c r="A70" s="31" t="str">
        <f aca="false">Inputs!$B$41</f>
        <v>KIT-002</v>
      </c>
      <c r="B70" s="46" t="n">
        <f aca="false">B69+1</f>
        <v>90</v>
      </c>
      <c r="C70" s="46" t="n">
        <f aca="false">MATCH(A70,Inputs!$B$40:$B$87,0)</f>
        <v>2</v>
      </c>
      <c r="D70" s="32" t="n">
        <f aca="false">INDEX(Inputs!$F$40:$F$87,C70)</f>
        <v>2</v>
      </c>
      <c r="E70" s="78" t="n">
        <f aca="false">INDEX(Inputs!$H$40:$H$87,C70)</f>
        <v>22</v>
      </c>
      <c r="F70" s="78" t="n">
        <f aca="false">INDEX(Inputs!$G$40:$G$87,C70)</f>
        <v>40</v>
      </c>
      <c r="G70" s="32" t="n">
        <f aca="false">INDEX(Inputs!$I$40:$I$87,C70)</f>
        <v>4</v>
      </c>
      <c r="H70" s="46" t="n">
        <f aca="false">MATCH(A70,Demand_History!$C:$C,0)+B70-1</f>
        <v>195</v>
      </c>
      <c r="I70" s="32" t="n">
        <f aca="false">INDEX(Forecast_Walkforward!$C:$C,H70)</f>
        <v>57</v>
      </c>
      <c r="J70" s="79" t="n">
        <f aca="false">INDEX(Forecast_Walkforward!$E:$E,H70)</f>
        <v>53.75</v>
      </c>
      <c r="K70" s="33" t="n">
        <f aca="false">Baseline_Weeks*J70</f>
        <v>215</v>
      </c>
      <c r="L70" s="46" t="n">
        <f aca="false">SUMIFS(P$69:P69,$B$69:$B69,$B70-$D70)</f>
        <v>0</v>
      </c>
      <c r="M70" s="46" t="n">
        <f aca="false">S69+L70</f>
        <v>240</v>
      </c>
      <c r="N70" s="46" t="n">
        <f aca="false">SUMIFS(P$69:P69,$B$69:$B69,"&gt;"&amp;($B70-$D70))</f>
        <v>0</v>
      </c>
      <c r="O70" s="46" t="n">
        <f aca="false">M70+N70</f>
        <v>240</v>
      </c>
      <c r="P70" s="47" t="n">
        <f aca="false">IF(O70&lt;K70,ROUNDUP((K70-O70)/G70,0)*G70,0)</f>
        <v>0</v>
      </c>
      <c r="Q70" s="46" t="n">
        <f aca="false">MIN(M70,I70)</f>
        <v>57</v>
      </c>
      <c r="R70" s="46" t="n">
        <f aca="false">I70-Q70</f>
        <v>0</v>
      </c>
      <c r="S70" s="46" t="n">
        <f aca="false">M70-Q70</f>
        <v>183</v>
      </c>
      <c r="T70" s="46" t="n">
        <f aca="false">IF(R70&gt;0,1,0)</f>
        <v>0</v>
      </c>
      <c r="U70" s="32" t="n">
        <f aca="false">INDEX(Forecast!$AY$7:$AY$54,C70)</f>
        <v>2</v>
      </c>
      <c r="V70" s="33" t="n">
        <f aca="false">CHOOSE(U70,INDEX(Forecast_Walkforward!$D:$D,H70),INDEX(Forecast_Walkforward!$E:$E,H70),INDEX(Forecast_Walkforward!$F:$F,H70),INDEX(Forecast_Walkforward!$G:$G,H70))</f>
        <v>53.75</v>
      </c>
      <c r="W70" s="79" t="n">
        <f aca="false">INDEX(Forecast!$BA$7:$BA$54,C70)</f>
        <v>14.1229943583346</v>
      </c>
      <c r="X70" s="33" t="n">
        <f aca="false">Z_Value*W70*SQRT(D70)</f>
        <v>32.8525466192542</v>
      </c>
      <c r="Y70" s="33" t="n">
        <f aca="false">V70*D70+X70</f>
        <v>140.352546619254</v>
      </c>
      <c r="Z70" s="33" t="n">
        <f aca="false">SQRT((2*V70*Weeks_Per_Year*F70)/(E70*Holding_Rate))</f>
        <v>225.428884170112</v>
      </c>
      <c r="AA70" s="46" t="n">
        <f aca="false">ROUNDUP(Z70/G70,0)*G70</f>
        <v>228</v>
      </c>
      <c r="AB70" s="46" t="n">
        <f aca="false">SUMIFS(AF$69:AF69,$B$69:$B69,$B70-$D70)</f>
        <v>0</v>
      </c>
      <c r="AC70" s="46" t="n">
        <f aca="false">AI69+AB70</f>
        <v>240</v>
      </c>
      <c r="AD70" s="46" t="n">
        <f aca="false">SUMIFS(AF$69:AF69,$B$69:$B69,"&gt;"&amp;($B70-$D70))</f>
        <v>0</v>
      </c>
      <c r="AE70" s="46" t="n">
        <f aca="false">AC70+AD70</f>
        <v>240</v>
      </c>
      <c r="AF70" s="47" t="n">
        <f aca="false">IF(AE70&lt;=Y70,AA70,0)</f>
        <v>0</v>
      </c>
      <c r="AG70" s="46" t="n">
        <f aca="false">MIN(AC70,I70)</f>
        <v>57</v>
      </c>
      <c r="AH70" s="46" t="n">
        <f aca="false">I70-AG70</f>
        <v>0</v>
      </c>
      <c r="AI70" s="46" t="n">
        <f aca="false">AC70-AG70</f>
        <v>183</v>
      </c>
      <c r="AJ70" s="46" t="n">
        <f aca="false">IF(AH70&gt;0,1,0)</f>
        <v>0</v>
      </c>
    </row>
    <row r="71" customFormat="false" ht="15" hidden="false" customHeight="false" outlineLevel="0" collapsed="false">
      <c r="A71" s="31" t="str">
        <f aca="false">Inputs!$B$41</f>
        <v>KIT-002</v>
      </c>
      <c r="B71" s="46" t="n">
        <f aca="false">B70+1</f>
        <v>91</v>
      </c>
      <c r="C71" s="46" t="n">
        <f aca="false">MATCH(A71,Inputs!$B$40:$B$87,0)</f>
        <v>2</v>
      </c>
      <c r="D71" s="32" t="n">
        <f aca="false">INDEX(Inputs!$F$40:$F$87,C71)</f>
        <v>2</v>
      </c>
      <c r="E71" s="78" t="n">
        <f aca="false">INDEX(Inputs!$H$40:$H$87,C71)</f>
        <v>22</v>
      </c>
      <c r="F71" s="78" t="n">
        <f aca="false">INDEX(Inputs!$G$40:$G$87,C71)</f>
        <v>40</v>
      </c>
      <c r="G71" s="32" t="n">
        <f aca="false">INDEX(Inputs!$I$40:$I$87,C71)</f>
        <v>4</v>
      </c>
      <c r="H71" s="46" t="n">
        <f aca="false">MATCH(A71,Demand_History!$C:$C,0)+B71-1</f>
        <v>196</v>
      </c>
      <c r="I71" s="32" t="n">
        <f aca="false">INDEX(Forecast_Walkforward!$C:$C,H71)</f>
        <v>58</v>
      </c>
      <c r="J71" s="79" t="n">
        <f aca="false">INDEX(Forecast_Walkforward!$E:$E,H71)</f>
        <v>53.25</v>
      </c>
      <c r="K71" s="33" t="n">
        <f aca="false">Baseline_Weeks*J71</f>
        <v>213</v>
      </c>
      <c r="L71" s="46" t="n">
        <f aca="false">SUMIFS(P$69:P70,$B$69:$B70,$B71-$D71)</f>
        <v>0</v>
      </c>
      <c r="M71" s="46" t="n">
        <f aca="false">S70+L71</f>
        <v>183</v>
      </c>
      <c r="N71" s="46" t="n">
        <f aca="false">SUMIFS(P$69:P70,$B$69:$B70,"&gt;"&amp;($B71-$D71))</f>
        <v>0</v>
      </c>
      <c r="O71" s="46" t="n">
        <f aca="false">M71+N71</f>
        <v>183</v>
      </c>
      <c r="P71" s="47" t="n">
        <f aca="false">IF(O71&lt;K71,ROUNDUP((K71-O71)/G71,0)*G71,0)</f>
        <v>32</v>
      </c>
      <c r="Q71" s="46" t="n">
        <f aca="false">MIN(M71,I71)</f>
        <v>58</v>
      </c>
      <c r="R71" s="46" t="n">
        <f aca="false">I71-Q71</f>
        <v>0</v>
      </c>
      <c r="S71" s="46" t="n">
        <f aca="false">M71-Q71</f>
        <v>125</v>
      </c>
      <c r="T71" s="46" t="n">
        <f aca="false">IF(R71&gt;0,1,0)</f>
        <v>0</v>
      </c>
      <c r="U71" s="32" t="n">
        <f aca="false">INDEX(Forecast!$AY$7:$AY$54,C71)</f>
        <v>2</v>
      </c>
      <c r="V71" s="33" t="n">
        <f aca="false">CHOOSE(U71,INDEX(Forecast_Walkforward!$D:$D,H71),INDEX(Forecast_Walkforward!$E:$E,H71),INDEX(Forecast_Walkforward!$F:$F,H71),INDEX(Forecast_Walkforward!$G:$G,H71))</f>
        <v>53.25</v>
      </c>
      <c r="W71" s="79" t="n">
        <f aca="false">INDEX(Forecast!$BA$7:$BA$54,C71)</f>
        <v>14.1229943583346</v>
      </c>
      <c r="X71" s="33" t="n">
        <f aca="false">Z_Value*W71*SQRT(D71)</f>
        <v>32.8525466192542</v>
      </c>
      <c r="Y71" s="33" t="n">
        <f aca="false">V71*D71+X71</f>
        <v>139.352546619254</v>
      </c>
      <c r="Z71" s="33" t="n">
        <f aca="false">SQRT((2*V71*Weeks_Per_Year*F71)/(E71*Holding_Rate))</f>
        <v>224.377927937341</v>
      </c>
      <c r="AA71" s="46" t="n">
        <f aca="false">ROUNDUP(Z71/G71,0)*G71</f>
        <v>228</v>
      </c>
      <c r="AB71" s="46" t="n">
        <f aca="false">SUMIFS(AF$69:AF70,$B$69:$B70,$B71-$D71)</f>
        <v>0</v>
      </c>
      <c r="AC71" s="46" t="n">
        <f aca="false">AI70+AB71</f>
        <v>183</v>
      </c>
      <c r="AD71" s="46" t="n">
        <f aca="false">SUMIFS(AF$69:AF70,$B$69:$B70,"&gt;"&amp;($B71-$D71))</f>
        <v>0</v>
      </c>
      <c r="AE71" s="46" t="n">
        <f aca="false">AC71+AD71</f>
        <v>183</v>
      </c>
      <c r="AF71" s="47" t="n">
        <f aca="false">IF(AE71&lt;=Y71,AA71,0)</f>
        <v>0</v>
      </c>
      <c r="AG71" s="46" t="n">
        <f aca="false">MIN(AC71,I71)</f>
        <v>58</v>
      </c>
      <c r="AH71" s="46" t="n">
        <f aca="false">I71-AG71</f>
        <v>0</v>
      </c>
      <c r="AI71" s="46" t="n">
        <f aca="false">AC71-AG71</f>
        <v>125</v>
      </c>
      <c r="AJ71" s="46" t="n">
        <f aca="false">IF(AH71&gt;0,1,0)</f>
        <v>0</v>
      </c>
    </row>
    <row r="72" customFormat="false" ht="15" hidden="false" customHeight="false" outlineLevel="0" collapsed="false">
      <c r="A72" s="31" t="str">
        <f aca="false">Inputs!$B$41</f>
        <v>KIT-002</v>
      </c>
      <c r="B72" s="46" t="n">
        <f aca="false">B71+1</f>
        <v>92</v>
      </c>
      <c r="C72" s="46" t="n">
        <f aca="false">MATCH(A72,Inputs!$B$40:$B$87,0)</f>
        <v>2</v>
      </c>
      <c r="D72" s="32" t="n">
        <f aca="false">INDEX(Inputs!$F$40:$F$87,C72)</f>
        <v>2</v>
      </c>
      <c r="E72" s="78" t="n">
        <f aca="false">INDEX(Inputs!$H$40:$H$87,C72)</f>
        <v>22</v>
      </c>
      <c r="F72" s="78" t="n">
        <f aca="false">INDEX(Inputs!$G$40:$G$87,C72)</f>
        <v>40</v>
      </c>
      <c r="G72" s="32" t="n">
        <f aca="false">INDEX(Inputs!$I$40:$I$87,C72)</f>
        <v>4</v>
      </c>
      <c r="H72" s="46" t="n">
        <f aca="false">MATCH(A72,Demand_History!$C:$C,0)+B72-1</f>
        <v>197</v>
      </c>
      <c r="I72" s="32" t="n">
        <f aca="false">INDEX(Forecast_Walkforward!$C:$C,H72)</f>
        <v>59</v>
      </c>
      <c r="J72" s="79" t="n">
        <f aca="false">INDEX(Forecast_Walkforward!$E:$E,H72)</f>
        <v>52.75</v>
      </c>
      <c r="K72" s="33" t="n">
        <f aca="false">Baseline_Weeks*J72</f>
        <v>211</v>
      </c>
      <c r="L72" s="46" t="n">
        <f aca="false">SUMIFS(P$69:P71,$B$69:$B71,$B72-$D72)</f>
        <v>0</v>
      </c>
      <c r="M72" s="46" t="n">
        <f aca="false">S71+L72</f>
        <v>125</v>
      </c>
      <c r="N72" s="46" t="n">
        <f aca="false">SUMIFS(P$69:P71,$B$69:$B71,"&gt;"&amp;($B72-$D72))</f>
        <v>32</v>
      </c>
      <c r="O72" s="46" t="n">
        <f aca="false">M72+N72</f>
        <v>157</v>
      </c>
      <c r="P72" s="47" t="n">
        <f aca="false">IF(O72&lt;K72,ROUNDUP((K72-O72)/G72,0)*G72,0)</f>
        <v>56</v>
      </c>
      <c r="Q72" s="46" t="n">
        <f aca="false">MIN(M72,I72)</f>
        <v>59</v>
      </c>
      <c r="R72" s="46" t="n">
        <f aca="false">I72-Q72</f>
        <v>0</v>
      </c>
      <c r="S72" s="46" t="n">
        <f aca="false">M72-Q72</f>
        <v>66</v>
      </c>
      <c r="T72" s="46" t="n">
        <f aca="false">IF(R72&gt;0,1,0)</f>
        <v>0</v>
      </c>
      <c r="U72" s="32" t="n">
        <f aca="false">INDEX(Forecast!$AY$7:$AY$54,C72)</f>
        <v>2</v>
      </c>
      <c r="V72" s="33" t="n">
        <f aca="false">CHOOSE(U72,INDEX(Forecast_Walkforward!$D:$D,H72),INDEX(Forecast_Walkforward!$E:$E,H72),INDEX(Forecast_Walkforward!$F:$F,H72),INDEX(Forecast_Walkforward!$G:$G,H72))</f>
        <v>52.75</v>
      </c>
      <c r="W72" s="79" t="n">
        <f aca="false">INDEX(Forecast!$BA$7:$BA$54,C72)</f>
        <v>14.1229943583346</v>
      </c>
      <c r="X72" s="33" t="n">
        <f aca="false">Z_Value*W72*SQRT(D72)</f>
        <v>32.8525466192542</v>
      </c>
      <c r="Y72" s="33" t="n">
        <f aca="false">V72*D72+X72</f>
        <v>138.352546619254</v>
      </c>
      <c r="Z72" s="33" t="n">
        <f aca="false">SQRT((2*V72*Weeks_Per_Year*F72)/(E72*Holding_Rate))</f>
        <v>223.322025946227</v>
      </c>
      <c r="AA72" s="46" t="n">
        <f aca="false">ROUNDUP(Z72/G72,0)*G72</f>
        <v>224</v>
      </c>
      <c r="AB72" s="46" t="n">
        <f aca="false">SUMIFS(AF$69:AF71,$B$69:$B71,$B72-$D72)</f>
        <v>0</v>
      </c>
      <c r="AC72" s="46" t="n">
        <f aca="false">AI71+AB72</f>
        <v>125</v>
      </c>
      <c r="AD72" s="46" t="n">
        <f aca="false">SUMIFS(AF$69:AF71,$B$69:$B71,"&gt;"&amp;($B72-$D72))</f>
        <v>0</v>
      </c>
      <c r="AE72" s="46" t="n">
        <f aca="false">AC72+AD72</f>
        <v>125</v>
      </c>
      <c r="AF72" s="47" t="n">
        <f aca="false">IF(AE72&lt;=Y72,AA72,0)</f>
        <v>224</v>
      </c>
      <c r="AG72" s="46" t="n">
        <f aca="false">MIN(AC72,I72)</f>
        <v>59</v>
      </c>
      <c r="AH72" s="46" t="n">
        <f aca="false">I72-AG72</f>
        <v>0</v>
      </c>
      <c r="AI72" s="46" t="n">
        <f aca="false">AC72-AG72</f>
        <v>66</v>
      </c>
      <c r="AJ72" s="46" t="n">
        <f aca="false">IF(AH72&gt;0,1,0)</f>
        <v>0</v>
      </c>
    </row>
    <row r="73" customFormat="false" ht="15" hidden="false" customHeight="false" outlineLevel="0" collapsed="false">
      <c r="A73" s="31" t="str">
        <f aca="false">Inputs!$B$41</f>
        <v>KIT-002</v>
      </c>
      <c r="B73" s="46" t="n">
        <f aca="false">B72+1</f>
        <v>93</v>
      </c>
      <c r="C73" s="46" t="n">
        <f aca="false">MATCH(A73,Inputs!$B$40:$B$87,0)</f>
        <v>2</v>
      </c>
      <c r="D73" s="32" t="n">
        <f aca="false">INDEX(Inputs!$F$40:$F$87,C73)</f>
        <v>2</v>
      </c>
      <c r="E73" s="78" t="n">
        <f aca="false">INDEX(Inputs!$H$40:$H$87,C73)</f>
        <v>22</v>
      </c>
      <c r="F73" s="78" t="n">
        <f aca="false">INDEX(Inputs!$G$40:$G$87,C73)</f>
        <v>40</v>
      </c>
      <c r="G73" s="32" t="n">
        <f aca="false">INDEX(Inputs!$I$40:$I$87,C73)</f>
        <v>4</v>
      </c>
      <c r="H73" s="46" t="n">
        <f aca="false">MATCH(A73,Demand_History!$C:$C,0)+B73-1</f>
        <v>198</v>
      </c>
      <c r="I73" s="32" t="n">
        <f aca="false">INDEX(Forecast_Walkforward!$C:$C,H73)</f>
        <v>38</v>
      </c>
      <c r="J73" s="79" t="n">
        <f aca="false">INDEX(Forecast_Walkforward!$E:$E,H73)</f>
        <v>56.75</v>
      </c>
      <c r="K73" s="33" t="n">
        <f aca="false">Baseline_Weeks*J73</f>
        <v>227</v>
      </c>
      <c r="L73" s="46" t="n">
        <f aca="false">SUMIFS(P$69:P72,$B$69:$B72,$B73-$D73)</f>
        <v>32</v>
      </c>
      <c r="M73" s="46" t="n">
        <f aca="false">S72+L73</f>
        <v>98</v>
      </c>
      <c r="N73" s="46" t="n">
        <f aca="false">SUMIFS(P$69:P72,$B$69:$B72,"&gt;"&amp;($B73-$D73))</f>
        <v>56</v>
      </c>
      <c r="O73" s="46" t="n">
        <f aca="false">M73+N73</f>
        <v>154</v>
      </c>
      <c r="P73" s="47" t="n">
        <f aca="false">IF(O73&lt;K73,ROUNDUP((K73-O73)/G73,0)*G73,0)</f>
        <v>76</v>
      </c>
      <c r="Q73" s="46" t="n">
        <f aca="false">MIN(M73,I73)</f>
        <v>38</v>
      </c>
      <c r="R73" s="46" t="n">
        <f aca="false">I73-Q73</f>
        <v>0</v>
      </c>
      <c r="S73" s="46" t="n">
        <f aca="false">M73-Q73</f>
        <v>60</v>
      </c>
      <c r="T73" s="46" t="n">
        <f aca="false">IF(R73&gt;0,1,0)</f>
        <v>0</v>
      </c>
      <c r="U73" s="32" t="n">
        <f aca="false">INDEX(Forecast!$AY$7:$AY$54,C73)</f>
        <v>2</v>
      </c>
      <c r="V73" s="33" t="n">
        <f aca="false">CHOOSE(U73,INDEX(Forecast_Walkforward!$D:$D,H73),INDEX(Forecast_Walkforward!$E:$E,H73),INDEX(Forecast_Walkforward!$F:$F,H73),INDEX(Forecast_Walkforward!$G:$G,H73))</f>
        <v>56.75</v>
      </c>
      <c r="W73" s="79" t="n">
        <f aca="false">INDEX(Forecast!$BA$7:$BA$54,C73)</f>
        <v>14.1229943583346</v>
      </c>
      <c r="X73" s="33" t="n">
        <f aca="false">Z_Value*W73*SQRT(D73)</f>
        <v>32.8525466192542</v>
      </c>
      <c r="Y73" s="33" t="n">
        <f aca="false">V73*D73+X73</f>
        <v>146.352546619254</v>
      </c>
      <c r="Z73" s="33" t="n">
        <f aca="false">SQRT((2*V73*Weeks_Per_Year*F73)/(E73*Holding_Rate))</f>
        <v>231.634508341364</v>
      </c>
      <c r="AA73" s="46" t="n">
        <f aca="false">ROUNDUP(Z73/G73,0)*G73</f>
        <v>232</v>
      </c>
      <c r="AB73" s="46" t="n">
        <f aca="false">SUMIFS(AF$69:AF72,$B$69:$B72,$B73-$D73)</f>
        <v>0</v>
      </c>
      <c r="AC73" s="46" t="n">
        <f aca="false">AI72+AB73</f>
        <v>66</v>
      </c>
      <c r="AD73" s="46" t="n">
        <f aca="false">SUMIFS(AF$69:AF72,$B$69:$B72,"&gt;"&amp;($B73-$D73))</f>
        <v>224</v>
      </c>
      <c r="AE73" s="46" t="n">
        <f aca="false">AC73+AD73</f>
        <v>290</v>
      </c>
      <c r="AF73" s="47" t="n">
        <f aca="false">IF(AE73&lt;=Y73,AA73,0)</f>
        <v>0</v>
      </c>
      <c r="AG73" s="46" t="n">
        <f aca="false">MIN(AC73,I73)</f>
        <v>38</v>
      </c>
      <c r="AH73" s="46" t="n">
        <f aca="false">I73-AG73</f>
        <v>0</v>
      </c>
      <c r="AI73" s="46" t="n">
        <f aca="false">AC73-AG73</f>
        <v>28</v>
      </c>
      <c r="AJ73" s="46" t="n">
        <f aca="false">IF(AH73&gt;0,1,0)</f>
        <v>0</v>
      </c>
    </row>
    <row r="74" customFormat="false" ht="15" hidden="false" customHeight="false" outlineLevel="0" collapsed="false">
      <c r="A74" s="31" t="str">
        <f aca="false">Inputs!$B$41</f>
        <v>KIT-002</v>
      </c>
      <c r="B74" s="46" t="n">
        <f aca="false">B73+1</f>
        <v>94</v>
      </c>
      <c r="C74" s="46" t="n">
        <f aca="false">MATCH(A74,Inputs!$B$40:$B$87,0)</f>
        <v>2</v>
      </c>
      <c r="D74" s="32" t="n">
        <f aca="false">INDEX(Inputs!$F$40:$F$87,C74)</f>
        <v>2</v>
      </c>
      <c r="E74" s="78" t="n">
        <f aca="false">INDEX(Inputs!$H$40:$H$87,C74)</f>
        <v>22</v>
      </c>
      <c r="F74" s="78" t="n">
        <f aca="false">INDEX(Inputs!$G$40:$G$87,C74)</f>
        <v>40</v>
      </c>
      <c r="G74" s="32" t="n">
        <f aca="false">INDEX(Inputs!$I$40:$I$87,C74)</f>
        <v>4</v>
      </c>
      <c r="H74" s="46" t="n">
        <f aca="false">MATCH(A74,Demand_History!$C:$C,0)+B74-1</f>
        <v>199</v>
      </c>
      <c r="I74" s="32" t="n">
        <f aca="false">INDEX(Forecast_Walkforward!$C:$C,H74)</f>
        <v>68</v>
      </c>
      <c r="J74" s="79" t="n">
        <f aca="false">INDEX(Forecast_Walkforward!$E:$E,H74)</f>
        <v>53</v>
      </c>
      <c r="K74" s="33" t="n">
        <f aca="false">Baseline_Weeks*J74</f>
        <v>212</v>
      </c>
      <c r="L74" s="46" t="n">
        <f aca="false">SUMIFS(P$69:P73,$B$69:$B73,$B74-$D74)</f>
        <v>56</v>
      </c>
      <c r="M74" s="46" t="n">
        <f aca="false">S73+L74</f>
        <v>116</v>
      </c>
      <c r="N74" s="46" t="n">
        <f aca="false">SUMIFS(P$69:P73,$B$69:$B73,"&gt;"&amp;($B74-$D74))</f>
        <v>76</v>
      </c>
      <c r="O74" s="46" t="n">
        <f aca="false">M74+N74</f>
        <v>192</v>
      </c>
      <c r="P74" s="47" t="n">
        <f aca="false">IF(O74&lt;K74,ROUNDUP((K74-O74)/G74,0)*G74,0)</f>
        <v>20</v>
      </c>
      <c r="Q74" s="46" t="n">
        <f aca="false">MIN(M74,I74)</f>
        <v>68</v>
      </c>
      <c r="R74" s="46" t="n">
        <f aca="false">I74-Q74</f>
        <v>0</v>
      </c>
      <c r="S74" s="46" t="n">
        <f aca="false">M74-Q74</f>
        <v>48</v>
      </c>
      <c r="T74" s="46" t="n">
        <f aca="false">IF(R74&gt;0,1,0)</f>
        <v>0</v>
      </c>
      <c r="U74" s="32" t="n">
        <f aca="false">INDEX(Forecast!$AY$7:$AY$54,C74)</f>
        <v>2</v>
      </c>
      <c r="V74" s="33" t="n">
        <f aca="false">CHOOSE(U74,INDEX(Forecast_Walkforward!$D:$D,H74),INDEX(Forecast_Walkforward!$E:$E,H74),INDEX(Forecast_Walkforward!$F:$F,H74),INDEX(Forecast_Walkforward!$G:$G,H74))</f>
        <v>53</v>
      </c>
      <c r="W74" s="79" t="n">
        <f aca="false">INDEX(Forecast!$BA$7:$BA$54,C74)</f>
        <v>14.1229943583346</v>
      </c>
      <c r="X74" s="33" t="n">
        <f aca="false">Z_Value*W74*SQRT(D74)</f>
        <v>32.8525466192542</v>
      </c>
      <c r="Y74" s="33" t="n">
        <f aca="false">V74*D74+X74</f>
        <v>138.852546619254</v>
      </c>
      <c r="Z74" s="33" t="n">
        <f aca="false">SQRT((2*V74*Weeks_Per_Year*F74)/(E74*Holding_Rate))</f>
        <v>223.850599528102</v>
      </c>
      <c r="AA74" s="46" t="n">
        <f aca="false">ROUNDUP(Z74/G74,0)*G74</f>
        <v>224</v>
      </c>
      <c r="AB74" s="46" t="n">
        <f aca="false">SUMIFS(AF$69:AF73,$B$69:$B73,$B74-$D74)</f>
        <v>224</v>
      </c>
      <c r="AC74" s="46" t="n">
        <f aca="false">AI73+AB74</f>
        <v>252</v>
      </c>
      <c r="AD74" s="46" t="n">
        <f aca="false">SUMIFS(AF$69:AF73,$B$69:$B73,"&gt;"&amp;($B74-$D74))</f>
        <v>0</v>
      </c>
      <c r="AE74" s="46" t="n">
        <f aca="false">AC74+AD74</f>
        <v>252</v>
      </c>
      <c r="AF74" s="47" t="n">
        <f aca="false">IF(AE74&lt;=Y74,AA74,0)</f>
        <v>0</v>
      </c>
      <c r="AG74" s="46" t="n">
        <f aca="false">MIN(AC74,I74)</f>
        <v>68</v>
      </c>
      <c r="AH74" s="46" t="n">
        <f aca="false">I74-AG74</f>
        <v>0</v>
      </c>
      <c r="AI74" s="46" t="n">
        <f aca="false">AC74-AG74</f>
        <v>184</v>
      </c>
      <c r="AJ74" s="46" t="n">
        <f aca="false">IF(AH74&gt;0,1,0)</f>
        <v>0</v>
      </c>
    </row>
    <row r="75" customFormat="false" ht="15" hidden="false" customHeight="false" outlineLevel="0" collapsed="false">
      <c r="A75" s="31" t="str">
        <f aca="false">Inputs!$B$41</f>
        <v>KIT-002</v>
      </c>
      <c r="B75" s="46" t="n">
        <f aca="false">B74+1</f>
        <v>95</v>
      </c>
      <c r="C75" s="46" t="n">
        <f aca="false">MATCH(A75,Inputs!$B$40:$B$87,0)</f>
        <v>2</v>
      </c>
      <c r="D75" s="32" t="n">
        <f aca="false">INDEX(Inputs!$F$40:$F$87,C75)</f>
        <v>2</v>
      </c>
      <c r="E75" s="78" t="n">
        <f aca="false">INDEX(Inputs!$H$40:$H$87,C75)</f>
        <v>22</v>
      </c>
      <c r="F75" s="78" t="n">
        <f aca="false">INDEX(Inputs!$G$40:$G$87,C75)</f>
        <v>40</v>
      </c>
      <c r="G75" s="32" t="n">
        <f aca="false">INDEX(Inputs!$I$40:$I$87,C75)</f>
        <v>4</v>
      </c>
      <c r="H75" s="46" t="n">
        <f aca="false">MATCH(A75,Demand_History!$C:$C,0)+B75-1</f>
        <v>200</v>
      </c>
      <c r="I75" s="32" t="n">
        <f aca="false">INDEX(Forecast_Walkforward!$C:$C,H75)</f>
        <v>26</v>
      </c>
      <c r="J75" s="79" t="n">
        <f aca="false">INDEX(Forecast_Walkforward!$E:$E,H75)</f>
        <v>55.75</v>
      </c>
      <c r="K75" s="33" t="n">
        <f aca="false">Baseline_Weeks*J75</f>
        <v>223</v>
      </c>
      <c r="L75" s="46" t="n">
        <f aca="false">SUMIFS(P$69:P74,$B$69:$B74,$B75-$D75)</f>
        <v>76</v>
      </c>
      <c r="M75" s="46" t="n">
        <f aca="false">S74+L75</f>
        <v>124</v>
      </c>
      <c r="N75" s="46" t="n">
        <f aca="false">SUMIFS(P$69:P74,$B$69:$B74,"&gt;"&amp;($B75-$D75))</f>
        <v>20</v>
      </c>
      <c r="O75" s="46" t="n">
        <f aca="false">M75+N75</f>
        <v>144</v>
      </c>
      <c r="P75" s="47" t="n">
        <f aca="false">IF(O75&lt;K75,ROUNDUP((K75-O75)/G75,0)*G75,0)</f>
        <v>80</v>
      </c>
      <c r="Q75" s="46" t="n">
        <f aca="false">MIN(M75,I75)</f>
        <v>26</v>
      </c>
      <c r="R75" s="46" t="n">
        <f aca="false">I75-Q75</f>
        <v>0</v>
      </c>
      <c r="S75" s="46" t="n">
        <f aca="false">M75-Q75</f>
        <v>98</v>
      </c>
      <c r="T75" s="46" t="n">
        <f aca="false">IF(R75&gt;0,1,0)</f>
        <v>0</v>
      </c>
      <c r="U75" s="32" t="n">
        <f aca="false">INDEX(Forecast!$AY$7:$AY$54,C75)</f>
        <v>2</v>
      </c>
      <c r="V75" s="33" t="n">
        <f aca="false">CHOOSE(U75,INDEX(Forecast_Walkforward!$D:$D,H75),INDEX(Forecast_Walkforward!$E:$E,H75),INDEX(Forecast_Walkforward!$F:$F,H75),INDEX(Forecast_Walkforward!$G:$G,H75))</f>
        <v>55.75</v>
      </c>
      <c r="W75" s="79" t="n">
        <f aca="false">INDEX(Forecast!$BA$7:$BA$54,C75)</f>
        <v>14.1229943583346</v>
      </c>
      <c r="X75" s="33" t="n">
        <f aca="false">Z_Value*W75*SQRT(D75)</f>
        <v>32.8525466192542</v>
      </c>
      <c r="Y75" s="33" t="n">
        <f aca="false">V75*D75+X75</f>
        <v>144.352546619254</v>
      </c>
      <c r="Z75" s="33" t="n">
        <f aca="false">SQRT((2*V75*Weeks_Per_Year*F75)/(E75*Holding_Rate))</f>
        <v>229.584605122144</v>
      </c>
      <c r="AA75" s="46" t="n">
        <f aca="false">ROUNDUP(Z75/G75,0)*G75</f>
        <v>232</v>
      </c>
      <c r="AB75" s="46" t="n">
        <f aca="false">SUMIFS(AF$69:AF74,$B$69:$B74,$B75-$D75)</f>
        <v>0</v>
      </c>
      <c r="AC75" s="46" t="n">
        <f aca="false">AI74+AB75</f>
        <v>184</v>
      </c>
      <c r="AD75" s="46" t="n">
        <f aca="false">SUMIFS(AF$69:AF74,$B$69:$B74,"&gt;"&amp;($B75-$D75))</f>
        <v>0</v>
      </c>
      <c r="AE75" s="46" t="n">
        <f aca="false">AC75+AD75</f>
        <v>184</v>
      </c>
      <c r="AF75" s="47" t="n">
        <f aca="false">IF(AE75&lt;=Y75,AA75,0)</f>
        <v>0</v>
      </c>
      <c r="AG75" s="46" t="n">
        <f aca="false">MIN(AC75,I75)</f>
        <v>26</v>
      </c>
      <c r="AH75" s="46" t="n">
        <f aca="false">I75-AG75</f>
        <v>0</v>
      </c>
      <c r="AI75" s="46" t="n">
        <f aca="false">AC75-AG75</f>
        <v>158</v>
      </c>
      <c r="AJ75" s="46" t="n">
        <f aca="false">IF(AH75&gt;0,1,0)</f>
        <v>0</v>
      </c>
    </row>
    <row r="76" customFormat="false" ht="15" hidden="false" customHeight="false" outlineLevel="0" collapsed="false">
      <c r="A76" s="31" t="str">
        <f aca="false">Inputs!$B$41</f>
        <v>KIT-002</v>
      </c>
      <c r="B76" s="46" t="n">
        <f aca="false">B75+1</f>
        <v>96</v>
      </c>
      <c r="C76" s="46" t="n">
        <f aca="false">MATCH(A76,Inputs!$B$40:$B$87,0)</f>
        <v>2</v>
      </c>
      <c r="D76" s="32" t="n">
        <f aca="false">INDEX(Inputs!$F$40:$F$87,C76)</f>
        <v>2</v>
      </c>
      <c r="E76" s="78" t="n">
        <f aca="false">INDEX(Inputs!$H$40:$H$87,C76)</f>
        <v>22</v>
      </c>
      <c r="F76" s="78" t="n">
        <f aca="false">INDEX(Inputs!$G$40:$G$87,C76)</f>
        <v>40</v>
      </c>
      <c r="G76" s="32" t="n">
        <f aca="false">INDEX(Inputs!$I$40:$I$87,C76)</f>
        <v>4</v>
      </c>
      <c r="H76" s="46" t="n">
        <f aca="false">MATCH(A76,Demand_History!$C:$C,0)+B76-1</f>
        <v>201</v>
      </c>
      <c r="I76" s="32" t="n">
        <f aca="false">INDEX(Forecast_Walkforward!$C:$C,H76)</f>
        <v>58</v>
      </c>
      <c r="J76" s="79" t="n">
        <f aca="false">INDEX(Forecast_Walkforward!$E:$E,H76)</f>
        <v>47.75</v>
      </c>
      <c r="K76" s="33" t="n">
        <f aca="false">Baseline_Weeks*J76</f>
        <v>191</v>
      </c>
      <c r="L76" s="46" t="n">
        <f aca="false">SUMIFS(P$69:P75,$B$69:$B75,$B76-$D76)</f>
        <v>20</v>
      </c>
      <c r="M76" s="46" t="n">
        <f aca="false">S75+L76</f>
        <v>118</v>
      </c>
      <c r="N76" s="46" t="n">
        <f aca="false">SUMIFS(P$69:P75,$B$69:$B75,"&gt;"&amp;($B76-$D76))</f>
        <v>80</v>
      </c>
      <c r="O76" s="46" t="n">
        <f aca="false">M76+N76</f>
        <v>198</v>
      </c>
      <c r="P76" s="47" t="n">
        <f aca="false">IF(O76&lt;K76,ROUNDUP((K76-O76)/G76,0)*G76,0)</f>
        <v>0</v>
      </c>
      <c r="Q76" s="46" t="n">
        <f aca="false">MIN(M76,I76)</f>
        <v>58</v>
      </c>
      <c r="R76" s="46" t="n">
        <f aca="false">I76-Q76</f>
        <v>0</v>
      </c>
      <c r="S76" s="46" t="n">
        <f aca="false">M76-Q76</f>
        <v>60</v>
      </c>
      <c r="T76" s="46" t="n">
        <f aca="false">IF(R76&gt;0,1,0)</f>
        <v>0</v>
      </c>
      <c r="U76" s="32" t="n">
        <f aca="false">INDEX(Forecast!$AY$7:$AY$54,C76)</f>
        <v>2</v>
      </c>
      <c r="V76" s="33" t="n">
        <f aca="false">CHOOSE(U76,INDEX(Forecast_Walkforward!$D:$D,H76),INDEX(Forecast_Walkforward!$E:$E,H76),INDEX(Forecast_Walkforward!$F:$F,H76),INDEX(Forecast_Walkforward!$G:$G,H76))</f>
        <v>47.75</v>
      </c>
      <c r="W76" s="79" t="n">
        <f aca="false">INDEX(Forecast!$BA$7:$BA$54,C76)</f>
        <v>14.1229943583346</v>
      </c>
      <c r="X76" s="33" t="n">
        <f aca="false">Z_Value*W76*SQRT(D76)</f>
        <v>32.8525466192542</v>
      </c>
      <c r="Y76" s="33" t="n">
        <f aca="false">V76*D76+X76</f>
        <v>128.352546619254</v>
      </c>
      <c r="Z76" s="33" t="n">
        <f aca="false">SQRT((2*V76*Weeks_Per_Year*F76)/(E76*Holding_Rate))</f>
        <v>212.474597412148</v>
      </c>
      <c r="AA76" s="46" t="n">
        <f aca="false">ROUNDUP(Z76/G76,0)*G76</f>
        <v>216</v>
      </c>
      <c r="AB76" s="46" t="n">
        <f aca="false">SUMIFS(AF$69:AF75,$B$69:$B75,$B76-$D76)</f>
        <v>0</v>
      </c>
      <c r="AC76" s="46" t="n">
        <f aca="false">AI75+AB76</f>
        <v>158</v>
      </c>
      <c r="AD76" s="46" t="n">
        <f aca="false">SUMIFS(AF$69:AF75,$B$69:$B75,"&gt;"&amp;($B76-$D76))</f>
        <v>0</v>
      </c>
      <c r="AE76" s="46" t="n">
        <f aca="false">AC76+AD76</f>
        <v>158</v>
      </c>
      <c r="AF76" s="47" t="n">
        <f aca="false">IF(AE76&lt;=Y76,AA76,0)</f>
        <v>0</v>
      </c>
      <c r="AG76" s="46" t="n">
        <f aca="false">MIN(AC76,I76)</f>
        <v>58</v>
      </c>
      <c r="AH76" s="46" t="n">
        <f aca="false">I76-AG76</f>
        <v>0</v>
      </c>
      <c r="AI76" s="46" t="n">
        <f aca="false">AC76-AG76</f>
        <v>100</v>
      </c>
      <c r="AJ76" s="46" t="n">
        <f aca="false">IF(AH76&gt;0,1,0)</f>
        <v>0</v>
      </c>
    </row>
    <row r="77" customFormat="false" ht="15" hidden="false" customHeight="false" outlineLevel="0" collapsed="false">
      <c r="A77" s="31" t="str">
        <f aca="false">Inputs!$B$41</f>
        <v>KIT-002</v>
      </c>
      <c r="B77" s="46" t="n">
        <f aca="false">B76+1</f>
        <v>97</v>
      </c>
      <c r="C77" s="46" t="n">
        <f aca="false">MATCH(A77,Inputs!$B$40:$B$87,0)</f>
        <v>2</v>
      </c>
      <c r="D77" s="32" t="n">
        <f aca="false">INDEX(Inputs!$F$40:$F$87,C77)</f>
        <v>2</v>
      </c>
      <c r="E77" s="78" t="n">
        <f aca="false">INDEX(Inputs!$H$40:$H$87,C77)</f>
        <v>22</v>
      </c>
      <c r="F77" s="78" t="n">
        <f aca="false">INDEX(Inputs!$G$40:$G$87,C77)</f>
        <v>40</v>
      </c>
      <c r="G77" s="32" t="n">
        <f aca="false">INDEX(Inputs!$I$40:$I$87,C77)</f>
        <v>4</v>
      </c>
      <c r="H77" s="46" t="n">
        <f aca="false">MATCH(A77,Demand_History!$C:$C,0)+B77-1</f>
        <v>202</v>
      </c>
      <c r="I77" s="32" t="n">
        <f aca="false">INDEX(Forecast_Walkforward!$C:$C,H77)</f>
        <v>53</v>
      </c>
      <c r="J77" s="79" t="n">
        <f aca="false">INDEX(Forecast_Walkforward!$E:$E,H77)</f>
        <v>47.5</v>
      </c>
      <c r="K77" s="33" t="n">
        <f aca="false">Baseline_Weeks*J77</f>
        <v>190</v>
      </c>
      <c r="L77" s="46" t="n">
        <f aca="false">SUMIFS(P$69:P76,$B$69:$B76,$B77-$D77)</f>
        <v>80</v>
      </c>
      <c r="M77" s="46" t="n">
        <f aca="false">S76+L77</f>
        <v>140</v>
      </c>
      <c r="N77" s="46" t="n">
        <f aca="false">SUMIFS(P$69:P76,$B$69:$B76,"&gt;"&amp;($B77-$D77))</f>
        <v>0</v>
      </c>
      <c r="O77" s="46" t="n">
        <f aca="false">M77+N77</f>
        <v>140</v>
      </c>
      <c r="P77" s="47" t="n">
        <f aca="false">IF(O77&lt;K77,ROUNDUP((K77-O77)/G77,0)*G77,0)</f>
        <v>52</v>
      </c>
      <c r="Q77" s="46" t="n">
        <f aca="false">MIN(M77,I77)</f>
        <v>53</v>
      </c>
      <c r="R77" s="46" t="n">
        <f aca="false">I77-Q77</f>
        <v>0</v>
      </c>
      <c r="S77" s="46" t="n">
        <f aca="false">M77-Q77</f>
        <v>87</v>
      </c>
      <c r="T77" s="46" t="n">
        <f aca="false">IF(R77&gt;0,1,0)</f>
        <v>0</v>
      </c>
      <c r="U77" s="32" t="n">
        <f aca="false">INDEX(Forecast!$AY$7:$AY$54,C77)</f>
        <v>2</v>
      </c>
      <c r="V77" s="33" t="n">
        <f aca="false">CHOOSE(U77,INDEX(Forecast_Walkforward!$D:$D,H77),INDEX(Forecast_Walkforward!$E:$E,H77),INDEX(Forecast_Walkforward!$F:$F,H77),INDEX(Forecast_Walkforward!$G:$G,H77))</f>
        <v>47.5</v>
      </c>
      <c r="W77" s="79" t="n">
        <f aca="false">INDEX(Forecast!$BA$7:$BA$54,C77)</f>
        <v>14.1229943583346</v>
      </c>
      <c r="X77" s="33" t="n">
        <f aca="false">Z_Value*W77*SQRT(D77)</f>
        <v>32.8525466192542</v>
      </c>
      <c r="Y77" s="33" t="n">
        <f aca="false">V77*D77+X77</f>
        <v>127.852546619254</v>
      </c>
      <c r="Z77" s="33" t="n">
        <f aca="false">SQRT((2*V77*Weeks_Per_Year*F77)/(E77*Holding_Rate))</f>
        <v>211.917651244749</v>
      </c>
      <c r="AA77" s="46" t="n">
        <f aca="false">ROUNDUP(Z77/G77,0)*G77</f>
        <v>212</v>
      </c>
      <c r="AB77" s="46" t="n">
        <f aca="false">SUMIFS(AF$69:AF76,$B$69:$B76,$B77-$D77)</f>
        <v>0</v>
      </c>
      <c r="AC77" s="46" t="n">
        <f aca="false">AI76+AB77</f>
        <v>100</v>
      </c>
      <c r="AD77" s="46" t="n">
        <f aca="false">SUMIFS(AF$69:AF76,$B$69:$B76,"&gt;"&amp;($B77-$D77))</f>
        <v>0</v>
      </c>
      <c r="AE77" s="46" t="n">
        <f aca="false">AC77+AD77</f>
        <v>100</v>
      </c>
      <c r="AF77" s="47" t="n">
        <f aca="false">IF(AE77&lt;=Y77,AA77,0)</f>
        <v>212</v>
      </c>
      <c r="AG77" s="46" t="n">
        <f aca="false">MIN(AC77,I77)</f>
        <v>53</v>
      </c>
      <c r="AH77" s="46" t="n">
        <f aca="false">I77-AG77</f>
        <v>0</v>
      </c>
      <c r="AI77" s="46" t="n">
        <f aca="false">AC77-AG77</f>
        <v>47</v>
      </c>
      <c r="AJ77" s="46" t="n">
        <f aca="false">IF(AH77&gt;0,1,0)</f>
        <v>0</v>
      </c>
    </row>
    <row r="78" customFormat="false" ht="15" hidden="false" customHeight="false" outlineLevel="0" collapsed="false">
      <c r="A78" s="31" t="str">
        <f aca="false">Inputs!$B$41</f>
        <v>KIT-002</v>
      </c>
      <c r="B78" s="46" t="n">
        <f aca="false">B77+1</f>
        <v>98</v>
      </c>
      <c r="C78" s="46" t="n">
        <f aca="false">MATCH(A78,Inputs!$B$40:$B$87,0)</f>
        <v>2</v>
      </c>
      <c r="D78" s="32" t="n">
        <f aca="false">INDEX(Inputs!$F$40:$F$87,C78)</f>
        <v>2</v>
      </c>
      <c r="E78" s="78" t="n">
        <f aca="false">INDEX(Inputs!$H$40:$H$87,C78)</f>
        <v>22</v>
      </c>
      <c r="F78" s="78" t="n">
        <f aca="false">INDEX(Inputs!$G$40:$G$87,C78)</f>
        <v>40</v>
      </c>
      <c r="G78" s="32" t="n">
        <f aca="false">INDEX(Inputs!$I$40:$I$87,C78)</f>
        <v>4</v>
      </c>
      <c r="H78" s="46" t="n">
        <f aca="false">MATCH(A78,Demand_History!$C:$C,0)+B78-1</f>
        <v>203</v>
      </c>
      <c r="I78" s="32" t="n">
        <f aca="false">INDEX(Forecast_Walkforward!$C:$C,H78)</f>
        <v>58</v>
      </c>
      <c r="J78" s="79" t="n">
        <f aca="false">INDEX(Forecast_Walkforward!$E:$E,H78)</f>
        <v>51.25</v>
      </c>
      <c r="K78" s="33" t="n">
        <f aca="false">Baseline_Weeks*J78</f>
        <v>205</v>
      </c>
      <c r="L78" s="46" t="n">
        <f aca="false">SUMIFS(P$69:P77,$B$69:$B77,$B78-$D78)</f>
        <v>0</v>
      </c>
      <c r="M78" s="46" t="n">
        <f aca="false">S77+L78</f>
        <v>87</v>
      </c>
      <c r="N78" s="46" t="n">
        <f aca="false">SUMIFS(P$69:P77,$B$69:$B77,"&gt;"&amp;($B78-$D78))</f>
        <v>52</v>
      </c>
      <c r="O78" s="46" t="n">
        <f aca="false">M78+N78</f>
        <v>139</v>
      </c>
      <c r="P78" s="47" t="n">
        <f aca="false">IF(O78&lt;K78,ROUNDUP((K78-O78)/G78,0)*G78,0)</f>
        <v>68</v>
      </c>
      <c r="Q78" s="46" t="n">
        <f aca="false">MIN(M78,I78)</f>
        <v>58</v>
      </c>
      <c r="R78" s="46" t="n">
        <f aca="false">I78-Q78</f>
        <v>0</v>
      </c>
      <c r="S78" s="46" t="n">
        <f aca="false">M78-Q78</f>
        <v>29</v>
      </c>
      <c r="T78" s="46" t="n">
        <f aca="false">IF(R78&gt;0,1,0)</f>
        <v>0</v>
      </c>
      <c r="U78" s="32" t="n">
        <f aca="false">INDEX(Forecast!$AY$7:$AY$54,C78)</f>
        <v>2</v>
      </c>
      <c r="V78" s="33" t="n">
        <f aca="false">CHOOSE(U78,INDEX(Forecast_Walkforward!$D:$D,H78),INDEX(Forecast_Walkforward!$E:$E,H78),INDEX(Forecast_Walkforward!$F:$F,H78),INDEX(Forecast_Walkforward!$G:$G,H78))</f>
        <v>51.25</v>
      </c>
      <c r="W78" s="79" t="n">
        <f aca="false">INDEX(Forecast!$BA$7:$BA$54,C78)</f>
        <v>14.1229943583346</v>
      </c>
      <c r="X78" s="33" t="n">
        <f aca="false">Z_Value*W78*SQRT(D78)</f>
        <v>32.8525466192542</v>
      </c>
      <c r="Y78" s="33" t="n">
        <f aca="false">V78*D78+X78</f>
        <v>135.352546619254</v>
      </c>
      <c r="Z78" s="33" t="n">
        <f aca="false">SQRT((2*V78*Weeks_Per_Year*F78)/(E78*Holding_Rate))</f>
        <v>220.123932034991</v>
      </c>
      <c r="AA78" s="46" t="n">
        <f aca="false">ROUNDUP(Z78/G78,0)*G78</f>
        <v>224</v>
      </c>
      <c r="AB78" s="46" t="n">
        <f aca="false">SUMIFS(AF$69:AF77,$B$69:$B77,$B78-$D78)</f>
        <v>0</v>
      </c>
      <c r="AC78" s="46" t="n">
        <f aca="false">AI77+AB78</f>
        <v>47</v>
      </c>
      <c r="AD78" s="46" t="n">
        <f aca="false">SUMIFS(AF$69:AF77,$B$69:$B77,"&gt;"&amp;($B78-$D78))</f>
        <v>212</v>
      </c>
      <c r="AE78" s="46" t="n">
        <f aca="false">AC78+AD78</f>
        <v>259</v>
      </c>
      <c r="AF78" s="47" t="n">
        <f aca="false">IF(AE78&lt;=Y78,AA78,0)</f>
        <v>0</v>
      </c>
      <c r="AG78" s="46" t="n">
        <f aca="false">MIN(AC78,I78)</f>
        <v>47</v>
      </c>
      <c r="AH78" s="46" t="n">
        <f aca="false">I78-AG78</f>
        <v>11</v>
      </c>
      <c r="AI78" s="46" t="n">
        <f aca="false">AC78-AG78</f>
        <v>0</v>
      </c>
      <c r="AJ78" s="46" t="n">
        <f aca="false">IF(AH78&gt;0,1,0)</f>
        <v>1</v>
      </c>
    </row>
    <row r="79" customFormat="false" ht="15" hidden="false" customHeight="false" outlineLevel="0" collapsed="false">
      <c r="A79" s="31" t="str">
        <f aca="false">Inputs!$B$41</f>
        <v>KIT-002</v>
      </c>
      <c r="B79" s="46" t="n">
        <f aca="false">B78+1</f>
        <v>99</v>
      </c>
      <c r="C79" s="46" t="n">
        <f aca="false">MATCH(A79,Inputs!$B$40:$B$87,0)</f>
        <v>2</v>
      </c>
      <c r="D79" s="32" t="n">
        <f aca="false">INDEX(Inputs!$F$40:$F$87,C79)</f>
        <v>2</v>
      </c>
      <c r="E79" s="78" t="n">
        <f aca="false">INDEX(Inputs!$H$40:$H$87,C79)</f>
        <v>22</v>
      </c>
      <c r="F79" s="78" t="n">
        <f aca="false">INDEX(Inputs!$G$40:$G$87,C79)</f>
        <v>40</v>
      </c>
      <c r="G79" s="32" t="n">
        <f aca="false">INDEX(Inputs!$I$40:$I$87,C79)</f>
        <v>4</v>
      </c>
      <c r="H79" s="46" t="n">
        <f aca="false">MATCH(A79,Demand_History!$C:$C,0)+B79-1</f>
        <v>204</v>
      </c>
      <c r="I79" s="32" t="n">
        <f aca="false">INDEX(Forecast_Walkforward!$C:$C,H79)</f>
        <v>74</v>
      </c>
      <c r="J79" s="79" t="n">
        <f aca="false">INDEX(Forecast_Walkforward!$E:$E,H79)</f>
        <v>48.75</v>
      </c>
      <c r="K79" s="33" t="n">
        <f aca="false">Baseline_Weeks*J79</f>
        <v>195</v>
      </c>
      <c r="L79" s="46" t="n">
        <f aca="false">SUMIFS(P$69:P78,$B$69:$B78,$B79-$D79)</f>
        <v>52</v>
      </c>
      <c r="M79" s="46" t="n">
        <f aca="false">S78+L79</f>
        <v>81</v>
      </c>
      <c r="N79" s="46" t="n">
        <f aca="false">SUMIFS(P$69:P78,$B$69:$B78,"&gt;"&amp;($B79-$D79))</f>
        <v>68</v>
      </c>
      <c r="O79" s="46" t="n">
        <f aca="false">M79+N79</f>
        <v>149</v>
      </c>
      <c r="P79" s="47" t="n">
        <f aca="false">IF(O79&lt;K79,ROUNDUP((K79-O79)/G79,0)*G79,0)</f>
        <v>48</v>
      </c>
      <c r="Q79" s="46" t="n">
        <f aca="false">MIN(M79,I79)</f>
        <v>74</v>
      </c>
      <c r="R79" s="46" t="n">
        <f aca="false">I79-Q79</f>
        <v>0</v>
      </c>
      <c r="S79" s="46" t="n">
        <f aca="false">M79-Q79</f>
        <v>7</v>
      </c>
      <c r="T79" s="46" t="n">
        <f aca="false">IF(R79&gt;0,1,0)</f>
        <v>0</v>
      </c>
      <c r="U79" s="32" t="n">
        <f aca="false">INDEX(Forecast!$AY$7:$AY$54,C79)</f>
        <v>2</v>
      </c>
      <c r="V79" s="33" t="n">
        <f aca="false">CHOOSE(U79,INDEX(Forecast_Walkforward!$D:$D,H79),INDEX(Forecast_Walkforward!$E:$E,H79),INDEX(Forecast_Walkforward!$F:$F,H79),INDEX(Forecast_Walkforward!$G:$G,H79))</f>
        <v>48.75</v>
      </c>
      <c r="W79" s="79" t="n">
        <f aca="false">INDEX(Forecast!$BA$7:$BA$54,C79)</f>
        <v>14.1229943583346</v>
      </c>
      <c r="X79" s="33" t="n">
        <f aca="false">Z_Value*W79*SQRT(D79)</f>
        <v>32.8525466192542</v>
      </c>
      <c r="Y79" s="33" t="n">
        <f aca="false">V79*D79+X79</f>
        <v>130.352546619254</v>
      </c>
      <c r="Z79" s="33" t="n">
        <f aca="false">SQRT((2*V79*Weeks_Per_Year*F79)/(E79*Holding_Rate))</f>
        <v>214.68793419964</v>
      </c>
      <c r="AA79" s="46" t="n">
        <f aca="false">ROUNDUP(Z79/G79,0)*G79</f>
        <v>216</v>
      </c>
      <c r="AB79" s="46" t="n">
        <f aca="false">SUMIFS(AF$69:AF78,$B$69:$B78,$B79-$D79)</f>
        <v>212</v>
      </c>
      <c r="AC79" s="46" t="n">
        <f aca="false">AI78+AB79</f>
        <v>212</v>
      </c>
      <c r="AD79" s="46" t="n">
        <f aca="false">SUMIFS(AF$69:AF78,$B$69:$B78,"&gt;"&amp;($B79-$D79))</f>
        <v>0</v>
      </c>
      <c r="AE79" s="46" t="n">
        <f aca="false">AC79+AD79</f>
        <v>212</v>
      </c>
      <c r="AF79" s="47" t="n">
        <f aca="false">IF(AE79&lt;=Y79,AA79,0)</f>
        <v>0</v>
      </c>
      <c r="AG79" s="46" t="n">
        <f aca="false">MIN(AC79,I79)</f>
        <v>74</v>
      </c>
      <c r="AH79" s="46" t="n">
        <f aca="false">I79-AG79</f>
        <v>0</v>
      </c>
      <c r="AI79" s="46" t="n">
        <f aca="false">AC79-AG79</f>
        <v>138</v>
      </c>
      <c r="AJ79" s="46" t="n">
        <f aca="false">IF(AH79&gt;0,1,0)</f>
        <v>0</v>
      </c>
    </row>
    <row r="80" customFormat="false" ht="15" hidden="false" customHeight="false" outlineLevel="0" collapsed="false">
      <c r="A80" s="31" t="str">
        <f aca="false">Inputs!$B$41</f>
        <v>KIT-002</v>
      </c>
      <c r="B80" s="46" t="n">
        <f aca="false">B79+1</f>
        <v>100</v>
      </c>
      <c r="C80" s="46" t="n">
        <f aca="false">MATCH(A80,Inputs!$B$40:$B$87,0)</f>
        <v>2</v>
      </c>
      <c r="D80" s="32" t="n">
        <f aca="false">INDEX(Inputs!$F$40:$F$87,C80)</f>
        <v>2</v>
      </c>
      <c r="E80" s="78" t="n">
        <f aca="false">INDEX(Inputs!$H$40:$H$87,C80)</f>
        <v>22</v>
      </c>
      <c r="F80" s="78" t="n">
        <f aca="false">INDEX(Inputs!$G$40:$G$87,C80)</f>
        <v>40</v>
      </c>
      <c r="G80" s="32" t="n">
        <f aca="false">INDEX(Inputs!$I$40:$I$87,C80)</f>
        <v>4</v>
      </c>
      <c r="H80" s="46" t="n">
        <f aca="false">MATCH(A80,Demand_History!$C:$C,0)+B80-1</f>
        <v>205</v>
      </c>
      <c r="I80" s="32" t="n">
        <f aca="false">INDEX(Forecast_Walkforward!$C:$C,H80)</f>
        <v>68</v>
      </c>
      <c r="J80" s="79" t="n">
        <f aca="false">INDEX(Forecast_Walkforward!$E:$E,H80)</f>
        <v>60.75</v>
      </c>
      <c r="K80" s="33" t="n">
        <f aca="false">Baseline_Weeks*J80</f>
        <v>243</v>
      </c>
      <c r="L80" s="46" t="n">
        <f aca="false">SUMIFS(P$69:P79,$B$69:$B79,$B80-$D80)</f>
        <v>68</v>
      </c>
      <c r="M80" s="46" t="n">
        <f aca="false">S79+L80</f>
        <v>75</v>
      </c>
      <c r="N80" s="46" t="n">
        <f aca="false">SUMIFS(P$69:P79,$B$69:$B79,"&gt;"&amp;($B80-$D80))</f>
        <v>48</v>
      </c>
      <c r="O80" s="46" t="n">
        <f aca="false">M80+N80</f>
        <v>123</v>
      </c>
      <c r="P80" s="47" t="n">
        <f aca="false">IF(O80&lt;K80,ROUNDUP((K80-O80)/G80,0)*G80,0)</f>
        <v>120</v>
      </c>
      <c r="Q80" s="46" t="n">
        <f aca="false">MIN(M80,I80)</f>
        <v>68</v>
      </c>
      <c r="R80" s="46" t="n">
        <f aca="false">I80-Q80</f>
        <v>0</v>
      </c>
      <c r="S80" s="46" t="n">
        <f aca="false">M80-Q80</f>
        <v>7</v>
      </c>
      <c r="T80" s="46" t="n">
        <f aca="false">IF(R80&gt;0,1,0)</f>
        <v>0</v>
      </c>
      <c r="U80" s="32" t="n">
        <f aca="false">INDEX(Forecast!$AY$7:$AY$54,C80)</f>
        <v>2</v>
      </c>
      <c r="V80" s="33" t="n">
        <f aca="false">CHOOSE(U80,INDEX(Forecast_Walkforward!$D:$D,H80),INDEX(Forecast_Walkforward!$E:$E,H80),INDEX(Forecast_Walkforward!$F:$F,H80),INDEX(Forecast_Walkforward!$G:$G,H80))</f>
        <v>60.75</v>
      </c>
      <c r="W80" s="79" t="n">
        <f aca="false">INDEX(Forecast!$BA$7:$BA$54,C80)</f>
        <v>14.1229943583346</v>
      </c>
      <c r="X80" s="33" t="n">
        <f aca="false">Z_Value*W80*SQRT(D80)</f>
        <v>32.8525466192542</v>
      </c>
      <c r="Y80" s="33" t="n">
        <f aca="false">V80*D80+X80</f>
        <v>154.352546619254</v>
      </c>
      <c r="Z80" s="33" t="n">
        <f aca="false">SQRT((2*V80*Weeks_Per_Year*F80)/(E80*Holding_Rate))</f>
        <v>239.658848441621</v>
      </c>
      <c r="AA80" s="46" t="n">
        <f aca="false">ROUNDUP(Z80/G80,0)*G80</f>
        <v>240</v>
      </c>
      <c r="AB80" s="46" t="n">
        <f aca="false">SUMIFS(AF$69:AF79,$B$69:$B79,$B80-$D80)</f>
        <v>0</v>
      </c>
      <c r="AC80" s="46" t="n">
        <f aca="false">AI79+AB80</f>
        <v>138</v>
      </c>
      <c r="AD80" s="46" t="n">
        <f aca="false">SUMIFS(AF$69:AF79,$B$69:$B79,"&gt;"&amp;($B80-$D80))</f>
        <v>0</v>
      </c>
      <c r="AE80" s="46" t="n">
        <f aca="false">AC80+AD80</f>
        <v>138</v>
      </c>
      <c r="AF80" s="47" t="n">
        <f aca="false">IF(AE80&lt;=Y80,AA80,0)</f>
        <v>240</v>
      </c>
      <c r="AG80" s="46" t="n">
        <f aca="false">MIN(AC80,I80)</f>
        <v>68</v>
      </c>
      <c r="AH80" s="46" t="n">
        <f aca="false">I80-AG80</f>
        <v>0</v>
      </c>
      <c r="AI80" s="46" t="n">
        <f aca="false">AC80-AG80</f>
        <v>70</v>
      </c>
      <c r="AJ80" s="46" t="n">
        <f aca="false">IF(AH80&gt;0,1,0)</f>
        <v>0</v>
      </c>
    </row>
    <row r="81" customFormat="false" ht="15" hidden="false" customHeight="false" outlineLevel="0" collapsed="false">
      <c r="A81" s="31" t="str">
        <f aca="false">Inputs!$B$41</f>
        <v>KIT-002</v>
      </c>
      <c r="B81" s="46" t="n">
        <f aca="false">B80+1</f>
        <v>101</v>
      </c>
      <c r="C81" s="46" t="n">
        <f aca="false">MATCH(A81,Inputs!$B$40:$B$87,0)</f>
        <v>2</v>
      </c>
      <c r="D81" s="32" t="n">
        <f aca="false">INDEX(Inputs!$F$40:$F$87,C81)</f>
        <v>2</v>
      </c>
      <c r="E81" s="78" t="n">
        <f aca="false">INDEX(Inputs!$H$40:$H$87,C81)</f>
        <v>22</v>
      </c>
      <c r="F81" s="78" t="n">
        <f aca="false">INDEX(Inputs!$G$40:$G$87,C81)</f>
        <v>40</v>
      </c>
      <c r="G81" s="32" t="n">
        <f aca="false">INDEX(Inputs!$I$40:$I$87,C81)</f>
        <v>4</v>
      </c>
      <c r="H81" s="46" t="n">
        <f aca="false">MATCH(A81,Demand_History!$C:$C,0)+B81-1</f>
        <v>206</v>
      </c>
      <c r="I81" s="32" t="n">
        <f aca="false">INDEX(Forecast_Walkforward!$C:$C,H81)</f>
        <v>28</v>
      </c>
      <c r="J81" s="79" t="n">
        <f aca="false">INDEX(Forecast_Walkforward!$E:$E,H81)</f>
        <v>63.25</v>
      </c>
      <c r="K81" s="33" t="n">
        <f aca="false">Baseline_Weeks*J81</f>
        <v>253</v>
      </c>
      <c r="L81" s="46" t="n">
        <f aca="false">SUMIFS(P$69:P80,$B$69:$B80,$B81-$D81)</f>
        <v>48</v>
      </c>
      <c r="M81" s="46" t="n">
        <f aca="false">S80+L81</f>
        <v>55</v>
      </c>
      <c r="N81" s="46" t="n">
        <f aca="false">SUMIFS(P$69:P80,$B$69:$B80,"&gt;"&amp;($B81-$D81))</f>
        <v>120</v>
      </c>
      <c r="O81" s="46" t="n">
        <f aca="false">M81+N81</f>
        <v>175</v>
      </c>
      <c r="P81" s="47" t="n">
        <f aca="false">IF(O81&lt;K81,ROUNDUP((K81-O81)/G81,0)*G81,0)</f>
        <v>80</v>
      </c>
      <c r="Q81" s="46" t="n">
        <f aca="false">MIN(M81,I81)</f>
        <v>28</v>
      </c>
      <c r="R81" s="46" t="n">
        <f aca="false">I81-Q81</f>
        <v>0</v>
      </c>
      <c r="S81" s="46" t="n">
        <f aca="false">M81-Q81</f>
        <v>27</v>
      </c>
      <c r="T81" s="46" t="n">
        <f aca="false">IF(R81&gt;0,1,0)</f>
        <v>0</v>
      </c>
      <c r="U81" s="32" t="n">
        <f aca="false">INDEX(Forecast!$AY$7:$AY$54,C81)</f>
        <v>2</v>
      </c>
      <c r="V81" s="33" t="n">
        <f aca="false">CHOOSE(U81,INDEX(Forecast_Walkforward!$D:$D,H81),INDEX(Forecast_Walkforward!$E:$E,H81),INDEX(Forecast_Walkforward!$F:$F,H81),INDEX(Forecast_Walkforward!$G:$G,H81))</f>
        <v>63.25</v>
      </c>
      <c r="W81" s="79" t="n">
        <f aca="false">INDEX(Forecast!$BA$7:$BA$54,C81)</f>
        <v>14.1229943583346</v>
      </c>
      <c r="X81" s="33" t="n">
        <f aca="false">Z_Value*W81*SQRT(D81)</f>
        <v>32.8525466192542</v>
      </c>
      <c r="Y81" s="33" t="n">
        <f aca="false">V81*D81+X81</f>
        <v>159.352546619254</v>
      </c>
      <c r="Z81" s="33" t="n">
        <f aca="false">SQRT((2*V81*Weeks_Per_Year*F81)/(E81*Holding_Rate))</f>
        <v>244.54038521275</v>
      </c>
      <c r="AA81" s="46" t="n">
        <f aca="false">ROUNDUP(Z81/G81,0)*G81</f>
        <v>248</v>
      </c>
      <c r="AB81" s="46" t="n">
        <f aca="false">SUMIFS(AF$69:AF80,$B$69:$B80,$B81-$D81)</f>
        <v>0</v>
      </c>
      <c r="AC81" s="46" t="n">
        <f aca="false">AI80+AB81</f>
        <v>70</v>
      </c>
      <c r="AD81" s="46" t="n">
        <f aca="false">SUMIFS(AF$69:AF80,$B$69:$B80,"&gt;"&amp;($B81-$D81))</f>
        <v>240</v>
      </c>
      <c r="AE81" s="46" t="n">
        <f aca="false">AC81+AD81</f>
        <v>310</v>
      </c>
      <c r="AF81" s="47" t="n">
        <f aca="false">IF(AE81&lt;=Y81,AA81,0)</f>
        <v>0</v>
      </c>
      <c r="AG81" s="46" t="n">
        <f aca="false">MIN(AC81,I81)</f>
        <v>28</v>
      </c>
      <c r="AH81" s="46" t="n">
        <f aca="false">I81-AG81</f>
        <v>0</v>
      </c>
      <c r="AI81" s="46" t="n">
        <f aca="false">AC81-AG81</f>
        <v>42</v>
      </c>
      <c r="AJ81" s="46" t="n">
        <f aca="false">IF(AH81&gt;0,1,0)</f>
        <v>0</v>
      </c>
    </row>
    <row r="82" customFormat="false" ht="15" hidden="false" customHeight="false" outlineLevel="0" collapsed="false">
      <c r="A82" s="31" t="str">
        <f aca="false">Inputs!$B$41</f>
        <v>KIT-002</v>
      </c>
      <c r="B82" s="46" t="n">
        <f aca="false">B81+1</f>
        <v>102</v>
      </c>
      <c r="C82" s="46" t="n">
        <f aca="false">MATCH(A82,Inputs!$B$40:$B$87,0)</f>
        <v>2</v>
      </c>
      <c r="D82" s="32" t="n">
        <f aca="false">INDEX(Inputs!$F$40:$F$87,C82)</f>
        <v>2</v>
      </c>
      <c r="E82" s="78" t="n">
        <f aca="false">INDEX(Inputs!$H$40:$H$87,C82)</f>
        <v>22</v>
      </c>
      <c r="F82" s="78" t="n">
        <f aca="false">INDEX(Inputs!$G$40:$G$87,C82)</f>
        <v>40</v>
      </c>
      <c r="G82" s="32" t="n">
        <f aca="false">INDEX(Inputs!$I$40:$I$87,C82)</f>
        <v>4</v>
      </c>
      <c r="H82" s="46" t="n">
        <f aca="false">MATCH(A82,Demand_History!$C:$C,0)+B82-1</f>
        <v>207</v>
      </c>
      <c r="I82" s="32" t="n">
        <f aca="false">INDEX(Forecast_Walkforward!$C:$C,H82)</f>
        <v>19</v>
      </c>
      <c r="J82" s="79" t="n">
        <f aca="false">INDEX(Forecast_Walkforward!$E:$E,H82)</f>
        <v>57</v>
      </c>
      <c r="K82" s="33" t="n">
        <f aca="false">Baseline_Weeks*J82</f>
        <v>228</v>
      </c>
      <c r="L82" s="46" t="n">
        <f aca="false">SUMIFS(P$69:P81,$B$69:$B81,$B82-$D82)</f>
        <v>120</v>
      </c>
      <c r="M82" s="46" t="n">
        <f aca="false">S81+L82</f>
        <v>147</v>
      </c>
      <c r="N82" s="46" t="n">
        <f aca="false">SUMIFS(P$69:P81,$B$69:$B81,"&gt;"&amp;($B82-$D82))</f>
        <v>80</v>
      </c>
      <c r="O82" s="46" t="n">
        <f aca="false">M82+N82</f>
        <v>227</v>
      </c>
      <c r="P82" s="47" t="n">
        <f aca="false">IF(O82&lt;K82,ROUNDUP((K82-O82)/G82,0)*G82,0)</f>
        <v>4</v>
      </c>
      <c r="Q82" s="46" t="n">
        <f aca="false">MIN(M82,I82)</f>
        <v>19</v>
      </c>
      <c r="R82" s="46" t="n">
        <f aca="false">I82-Q82</f>
        <v>0</v>
      </c>
      <c r="S82" s="46" t="n">
        <f aca="false">M82-Q82</f>
        <v>128</v>
      </c>
      <c r="T82" s="46" t="n">
        <f aca="false">IF(R82&gt;0,1,0)</f>
        <v>0</v>
      </c>
      <c r="U82" s="32" t="n">
        <f aca="false">INDEX(Forecast!$AY$7:$AY$54,C82)</f>
        <v>2</v>
      </c>
      <c r="V82" s="33" t="n">
        <f aca="false">CHOOSE(U82,INDEX(Forecast_Walkforward!$D:$D,H82),INDEX(Forecast_Walkforward!$E:$E,H82),INDEX(Forecast_Walkforward!$F:$F,H82),INDEX(Forecast_Walkforward!$G:$G,H82))</f>
        <v>57</v>
      </c>
      <c r="W82" s="79" t="n">
        <f aca="false">INDEX(Forecast!$BA$7:$BA$54,C82)</f>
        <v>14.1229943583346</v>
      </c>
      <c r="X82" s="33" t="n">
        <f aca="false">Z_Value*W82*SQRT(D82)</f>
        <v>32.8525466192542</v>
      </c>
      <c r="Y82" s="33" t="n">
        <f aca="false">V82*D82+X82</f>
        <v>146.852546619254</v>
      </c>
      <c r="Z82" s="33" t="n">
        <f aca="false">SQRT((2*V82*Weeks_Per_Year*F82)/(E82*Holding_Rate))</f>
        <v>232.144155840523</v>
      </c>
      <c r="AA82" s="46" t="n">
        <f aca="false">ROUNDUP(Z82/G82,0)*G82</f>
        <v>236</v>
      </c>
      <c r="AB82" s="46" t="n">
        <f aca="false">SUMIFS(AF$69:AF81,$B$69:$B81,$B82-$D82)</f>
        <v>240</v>
      </c>
      <c r="AC82" s="46" t="n">
        <f aca="false">AI81+AB82</f>
        <v>282</v>
      </c>
      <c r="AD82" s="46" t="n">
        <f aca="false">SUMIFS(AF$69:AF81,$B$69:$B81,"&gt;"&amp;($B82-$D82))</f>
        <v>0</v>
      </c>
      <c r="AE82" s="46" t="n">
        <f aca="false">AC82+AD82</f>
        <v>282</v>
      </c>
      <c r="AF82" s="47" t="n">
        <f aca="false">IF(AE82&lt;=Y82,AA82,0)</f>
        <v>0</v>
      </c>
      <c r="AG82" s="46" t="n">
        <f aca="false">MIN(AC82,I82)</f>
        <v>19</v>
      </c>
      <c r="AH82" s="46" t="n">
        <f aca="false">I82-AG82</f>
        <v>0</v>
      </c>
      <c r="AI82" s="46" t="n">
        <f aca="false">AC82-AG82</f>
        <v>263</v>
      </c>
      <c r="AJ82" s="46" t="n">
        <f aca="false">IF(AH82&gt;0,1,0)</f>
        <v>0</v>
      </c>
    </row>
    <row r="83" customFormat="false" ht="15" hidden="false" customHeight="false" outlineLevel="0" collapsed="false">
      <c r="A83" s="31" t="str">
        <f aca="false">Inputs!$B$41</f>
        <v>KIT-002</v>
      </c>
      <c r="B83" s="46" t="n">
        <f aca="false">B82+1</f>
        <v>103</v>
      </c>
      <c r="C83" s="46" t="n">
        <f aca="false">MATCH(A83,Inputs!$B$40:$B$87,0)</f>
        <v>2</v>
      </c>
      <c r="D83" s="32" t="n">
        <f aca="false">INDEX(Inputs!$F$40:$F$87,C83)</f>
        <v>2</v>
      </c>
      <c r="E83" s="78" t="n">
        <f aca="false">INDEX(Inputs!$H$40:$H$87,C83)</f>
        <v>22</v>
      </c>
      <c r="F83" s="78" t="n">
        <f aca="false">INDEX(Inputs!$G$40:$G$87,C83)</f>
        <v>40</v>
      </c>
      <c r="G83" s="32" t="n">
        <f aca="false">INDEX(Inputs!$I$40:$I$87,C83)</f>
        <v>4</v>
      </c>
      <c r="H83" s="46" t="n">
        <f aca="false">MATCH(A83,Demand_History!$C:$C,0)+B83-1</f>
        <v>208</v>
      </c>
      <c r="I83" s="32" t="n">
        <f aca="false">INDEX(Forecast_Walkforward!$C:$C,H83)</f>
        <v>57</v>
      </c>
      <c r="J83" s="79" t="n">
        <f aca="false">INDEX(Forecast_Walkforward!$E:$E,H83)</f>
        <v>47.25</v>
      </c>
      <c r="K83" s="33" t="n">
        <f aca="false">Baseline_Weeks*J83</f>
        <v>189</v>
      </c>
      <c r="L83" s="46" t="n">
        <f aca="false">SUMIFS(P$69:P82,$B$69:$B82,$B83-$D83)</f>
        <v>80</v>
      </c>
      <c r="M83" s="46" t="n">
        <f aca="false">S82+L83</f>
        <v>208</v>
      </c>
      <c r="N83" s="46" t="n">
        <f aca="false">SUMIFS(P$69:P82,$B$69:$B82,"&gt;"&amp;($B83-$D83))</f>
        <v>4</v>
      </c>
      <c r="O83" s="46" t="n">
        <f aca="false">M83+N83</f>
        <v>212</v>
      </c>
      <c r="P83" s="47" t="n">
        <f aca="false">IF(O83&lt;K83,ROUNDUP((K83-O83)/G83,0)*G83,0)</f>
        <v>0</v>
      </c>
      <c r="Q83" s="46" t="n">
        <f aca="false">MIN(M83,I83)</f>
        <v>57</v>
      </c>
      <c r="R83" s="46" t="n">
        <f aca="false">I83-Q83</f>
        <v>0</v>
      </c>
      <c r="S83" s="46" t="n">
        <f aca="false">M83-Q83</f>
        <v>151</v>
      </c>
      <c r="T83" s="46" t="n">
        <f aca="false">IF(R83&gt;0,1,0)</f>
        <v>0</v>
      </c>
      <c r="U83" s="32" t="n">
        <f aca="false">INDEX(Forecast!$AY$7:$AY$54,C83)</f>
        <v>2</v>
      </c>
      <c r="V83" s="33" t="n">
        <f aca="false">CHOOSE(U83,INDEX(Forecast_Walkforward!$D:$D,H83),INDEX(Forecast_Walkforward!$E:$E,H83),INDEX(Forecast_Walkforward!$F:$F,H83),INDEX(Forecast_Walkforward!$G:$G,H83))</f>
        <v>47.25</v>
      </c>
      <c r="W83" s="79" t="n">
        <f aca="false">INDEX(Forecast!$BA$7:$BA$54,C83)</f>
        <v>14.1229943583346</v>
      </c>
      <c r="X83" s="33" t="n">
        <f aca="false">Z_Value*W83*SQRT(D83)</f>
        <v>32.8525466192542</v>
      </c>
      <c r="Y83" s="33" t="n">
        <f aca="false">V83*D83+X83</f>
        <v>127.352546619254</v>
      </c>
      <c r="Z83" s="33" t="n">
        <f aca="false">SQRT((2*V83*Weeks_Per_Year*F83)/(E83*Holding_Rate))</f>
        <v>211.359237490883</v>
      </c>
      <c r="AA83" s="46" t="n">
        <f aca="false">ROUNDUP(Z83/G83,0)*G83</f>
        <v>212</v>
      </c>
      <c r="AB83" s="46" t="n">
        <f aca="false">SUMIFS(AF$69:AF82,$B$69:$B82,$B83-$D83)</f>
        <v>0</v>
      </c>
      <c r="AC83" s="46" t="n">
        <f aca="false">AI82+AB83</f>
        <v>263</v>
      </c>
      <c r="AD83" s="46" t="n">
        <f aca="false">SUMIFS(AF$69:AF82,$B$69:$B82,"&gt;"&amp;($B83-$D83))</f>
        <v>0</v>
      </c>
      <c r="AE83" s="46" t="n">
        <f aca="false">AC83+AD83</f>
        <v>263</v>
      </c>
      <c r="AF83" s="47" t="n">
        <f aca="false">IF(AE83&lt;=Y83,AA83,0)</f>
        <v>0</v>
      </c>
      <c r="AG83" s="46" t="n">
        <f aca="false">MIN(AC83,I83)</f>
        <v>57</v>
      </c>
      <c r="AH83" s="46" t="n">
        <f aca="false">I83-AG83</f>
        <v>0</v>
      </c>
      <c r="AI83" s="46" t="n">
        <f aca="false">AC83-AG83</f>
        <v>206</v>
      </c>
      <c r="AJ83" s="46" t="n">
        <f aca="false">IF(AH83&gt;0,1,0)</f>
        <v>0</v>
      </c>
    </row>
    <row r="84" customFormat="false" ht="15" hidden="false" customHeight="false" outlineLevel="0" collapsed="false">
      <c r="A84" s="80" t="str">
        <f aca="false">Inputs!$B$41</f>
        <v>KIT-002</v>
      </c>
      <c r="B84" s="81" t="n">
        <f aca="false">B83+1</f>
        <v>104</v>
      </c>
      <c r="C84" s="81" t="n">
        <f aca="false">MATCH(A84,Inputs!$B$40:$B$87,0)</f>
        <v>2</v>
      </c>
      <c r="D84" s="82" t="n">
        <f aca="false">INDEX(Inputs!$F$40:$F$87,C84)</f>
        <v>2</v>
      </c>
      <c r="E84" s="83" t="n">
        <f aca="false">INDEX(Inputs!$H$40:$H$87,C84)</f>
        <v>22</v>
      </c>
      <c r="F84" s="83" t="n">
        <f aca="false">INDEX(Inputs!$G$40:$G$87,C84)</f>
        <v>40</v>
      </c>
      <c r="G84" s="82" t="n">
        <f aca="false">INDEX(Inputs!$I$40:$I$87,C84)</f>
        <v>4</v>
      </c>
      <c r="H84" s="81" t="n">
        <f aca="false">MATCH(A84,Demand_History!$C:$C,0)+B84-1</f>
        <v>209</v>
      </c>
      <c r="I84" s="82" t="n">
        <f aca="false">INDEX(Forecast_Walkforward!$C:$C,H84)</f>
        <v>30</v>
      </c>
      <c r="J84" s="84" t="n">
        <f aca="false">INDEX(Forecast_Walkforward!$E:$E,H84)</f>
        <v>43</v>
      </c>
      <c r="K84" s="85" t="n">
        <f aca="false">Baseline_Weeks*J84</f>
        <v>172</v>
      </c>
      <c r="L84" s="81" t="n">
        <f aca="false">SUMIFS(P$69:P83,$B$69:$B83,$B84-$D84)</f>
        <v>4</v>
      </c>
      <c r="M84" s="81" t="n">
        <f aca="false">S83+L84</f>
        <v>155</v>
      </c>
      <c r="N84" s="81" t="n">
        <f aca="false">SUMIFS(P$69:P83,$B$69:$B83,"&gt;"&amp;($B84-$D84))</f>
        <v>0</v>
      </c>
      <c r="O84" s="81" t="n">
        <f aca="false">M84+N84</f>
        <v>155</v>
      </c>
      <c r="P84" s="86" t="n">
        <f aca="false">IF(O84&lt;K84,ROUNDUP((K84-O84)/G84,0)*G84,0)</f>
        <v>20</v>
      </c>
      <c r="Q84" s="81" t="n">
        <f aca="false">MIN(M84,I84)</f>
        <v>30</v>
      </c>
      <c r="R84" s="81" t="n">
        <f aca="false">I84-Q84</f>
        <v>0</v>
      </c>
      <c r="S84" s="81" t="n">
        <f aca="false">M84-Q84</f>
        <v>125</v>
      </c>
      <c r="T84" s="81" t="n">
        <f aca="false">IF(R84&gt;0,1,0)</f>
        <v>0</v>
      </c>
      <c r="U84" s="82" t="n">
        <f aca="false">INDEX(Forecast!$AY$7:$AY$54,C84)</f>
        <v>2</v>
      </c>
      <c r="V84" s="85" t="n">
        <f aca="false">CHOOSE(U84,INDEX(Forecast_Walkforward!$D:$D,H84),INDEX(Forecast_Walkforward!$E:$E,H84),INDEX(Forecast_Walkforward!$F:$F,H84),INDEX(Forecast_Walkforward!$G:$G,H84))</f>
        <v>43</v>
      </c>
      <c r="W84" s="84" t="n">
        <f aca="false">INDEX(Forecast!$BA$7:$BA$54,C84)</f>
        <v>14.1229943583346</v>
      </c>
      <c r="X84" s="85" t="n">
        <f aca="false">Z_Value*W84*SQRT(D84)</f>
        <v>32.8525466192542</v>
      </c>
      <c r="Y84" s="85" t="n">
        <f aca="false">V84*D84+X84</f>
        <v>118.852546619254</v>
      </c>
      <c r="Z84" s="85" t="n">
        <f aca="false">SQRT((2*V84*Weeks_Per_Year*F84)/(E84*Holding_Rate))</f>
        <v>201.629723638519</v>
      </c>
      <c r="AA84" s="81" t="n">
        <f aca="false">ROUNDUP(Z84/G84,0)*G84</f>
        <v>204</v>
      </c>
      <c r="AB84" s="81" t="n">
        <f aca="false">SUMIFS(AF$69:AF83,$B$69:$B83,$B84-$D84)</f>
        <v>0</v>
      </c>
      <c r="AC84" s="81" t="n">
        <f aca="false">AI83+AB84</f>
        <v>206</v>
      </c>
      <c r="AD84" s="81" t="n">
        <f aca="false">SUMIFS(AF$69:AF83,$B$69:$B83,"&gt;"&amp;($B84-$D84))</f>
        <v>0</v>
      </c>
      <c r="AE84" s="81" t="n">
        <f aca="false">AC84+AD84</f>
        <v>206</v>
      </c>
      <c r="AF84" s="86" t="n">
        <f aca="false">IF(AE84&lt;=Y84,AA84,0)</f>
        <v>0</v>
      </c>
      <c r="AG84" s="81" t="n">
        <f aca="false">MIN(AC84,I84)</f>
        <v>30</v>
      </c>
      <c r="AH84" s="81" t="n">
        <f aca="false">I84-AG84</f>
        <v>0</v>
      </c>
      <c r="AI84" s="81" t="n">
        <f aca="false">AC84-AG84</f>
        <v>176</v>
      </c>
      <c r="AJ84" s="81" t="n">
        <f aca="false">IF(AH84&gt;0,1,0)</f>
        <v>0</v>
      </c>
    </row>
    <row r="85" customFormat="false" ht="15" hidden="false" customHeight="false" outlineLevel="0" collapsed="false">
      <c r="A85" s="31" t="str">
        <f aca="false">Inputs!$B$42</f>
        <v>KIT-003</v>
      </c>
      <c r="B85" s="46" t="n">
        <f aca="false">BT_Start_Week</f>
        <v>89</v>
      </c>
      <c r="C85" s="46" t="n">
        <f aca="false">MATCH(A85,Inputs!$B$40:$B$87,0)</f>
        <v>3</v>
      </c>
      <c r="D85" s="32" t="n">
        <f aca="false">INDEX(Inputs!$F$40:$F$87,C85)</f>
        <v>2</v>
      </c>
      <c r="E85" s="78" t="n">
        <f aca="false">INDEX(Inputs!$H$40:$H$87,C85)</f>
        <v>15</v>
      </c>
      <c r="F85" s="78" t="n">
        <f aca="false">INDEX(Inputs!$G$40:$G$87,C85)</f>
        <v>40</v>
      </c>
      <c r="G85" s="32" t="n">
        <f aca="false">INDEX(Inputs!$I$40:$I$87,C85)</f>
        <v>6</v>
      </c>
      <c r="H85" s="46" t="n">
        <f aca="false">MATCH(A85,Demand_History!$C:$C,0)+B85-1</f>
        <v>298</v>
      </c>
      <c r="I85" s="32" t="n">
        <f aca="false">INDEX(Forecast_Walkforward!$C:$C,H85)</f>
        <v>88</v>
      </c>
      <c r="J85" s="79" t="n">
        <f aca="false">INDEX(Forecast_Walkforward!$E:$E,H85)</f>
        <v>91.5</v>
      </c>
      <c r="K85" s="33" t="n">
        <f aca="false">Baseline_Weeks*J85</f>
        <v>366</v>
      </c>
      <c r="L85" s="46" t="n">
        <f aca="false">0</f>
        <v>0</v>
      </c>
      <c r="M85" s="46" t="n">
        <f aca="false">ROUND(BT_Open_Cover*INDEX(Forecast_Walkforward!$F:$F,H85),0)+L85</f>
        <v>551</v>
      </c>
      <c r="N85" s="46" t="n">
        <f aca="false">0</f>
        <v>0</v>
      </c>
      <c r="O85" s="46" t="n">
        <f aca="false">M85+N85</f>
        <v>551</v>
      </c>
      <c r="P85" s="47" t="n">
        <f aca="false">IF(O85&lt;K85,ROUNDUP((K85-O85)/G85,0)*G85,0)</f>
        <v>0</v>
      </c>
      <c r="Q85" s="46" t="n">
        <f aca="false">MIN(M85,I85)</f>
        <v>88</v>
      </c>
      <c r="R85" s="46" t="n">
        <f aca="false">I85-Q85</f>
        <v>0</v>
      </c>
      <c r="S85" s="46" t="n">
        <f aca="false">M85-Q85</f>
        <v>463</v>
      </c>
      <c r="T85" s="46" t="n">
        <f aca="false">IF(R85&gt;0,1,0)</f>
        <v>0</v>
      </c>
      <c r="U85" s="32" t="n">
        <f aca="false">INDEX(Forecast!$AY$7:$AY$54,C85)</f>
        <v>2</v>
      </c>
      <c r="V85" s="33" t="n">
        <f aca="false">CHOOSE(U85,INDEX(Forecast_Walkforward!$D:$D,H85),INDEX(Forecast_Walkforward!$E:$E,H85),INDEX(Forecast_Walkforward!$F:$F,H85),INDEX(Forecast_Walkforward!$G:$G,H85))</f>
        <v>91.5</v>
      </c>
      <c r="W85" s="79" t="n">
        <f aca="false">INDEX(Forecast!$BA$7:$BA$54,C85)</f>
        <v>12.7446015247293</v>
      </c>
      <c r="X85" s="33" t="n">
        <f aca="false">Z_Value*W85*SQRT(D85)</f>
        <v>29.6461646242816</v>
      </c>
      <c r="Y85" s="33" t="n">
        <f aca="false">V85*D85+X85</f>
        <v>212.646164624282</v>
      </c>
      <c r="Z85" s="33" t="n">
        <f aca="false">SQRT((2*V85*Weeks_Per_Year*F85)/(E85*Holding_Rate))</f>
        <v>356.202189774291</v>
      </c>
      <c r="AA85" s="46" t="n">
        <f aca="false">ROUNDUP(Z85/G85,0)*G85</f>
        <v>360</v>
      </c>
      <c r="AB85" s="46" t="n">
        <f aca="false">0</f>
        <v>0</v>
      </c>
      <c r="AC85" s="46" t="n">
        <f aca="false">ROUND(BT_Open_Cover*INDEX(Forecast_Walkforward!$F:$F,H85),0)+AB85</f>
        <v>551</v>
      </c>
      <c r="AD85" s="46" t="n">
        <f aca="false">0</f>
        <v>0</v>
      </c>
      <c r="AE85" s="46" t="n">
        <f aca="false">AC85+AD85</f>
        <v>551</v>
      </c>
      <c r="AF85" s="47" t="n">
        <f aca="false">IF(AE85&lt;=Y85,AA85,0)</f>
        <v>0</v>
      </c>
      <c r="AG85" s="46" t="n">
        <f aca="false">MIN(AC85,I85)</f>
        <v>88</v>
      </c>
      <c r="AH85" s="46" t="n">
        <f aca="false">I85-AG85</f>
        <v>0</v>
      </c>
      <c r="AI85" s="46" t="n">
        <f aca="false">AC85-AG85</f>
        <v>463</v>
      </c>
      <c r="AJ85" s="46" t="n">
        <f aca="false">IF(AH85&gt;0,1,0)</f>
        <v>0</v>
      </c>
    </row>
    <row r="86" customFormat="false" ht="15" hidden="false" customHeight="false" outlineLevel="0" collapsed="false">
      <c r="A86" s="31" t="str">
        <f aca="false">Inputs!$B$42</f>
        <v>KIT-003</v>
      </c>
      <c r="B86" s="46" t="n">
        <f aca="false">B85+1</f>
        <v>90</v>
      </c>
      <c r="C86" s="46" t="n">
        <f aca="false">MATCH(A86,Inputs!$B$40:$B$87,0)</f>
        <v>3</v>
      </c>
      <c r="D86" s="32" t="n">
        <f aca="false">INDEX(Inputs!$F$40:$F$87,C86)</f>
        <v>2</v>
      </c>
      <c r="E86" s="78" t="n">
        <f aca="false">INDEX(Inputs!$H$40:$H$87,C86)</f>
        <v>15</v>
      </c>
      <c r="F86" s="78" t="n">
        <f aca="false">INDEX(Inputs!$G$40:$G$87,C86)</f>
        <v>40</v>
      </c>
      <c r="G86" s="32" t="n">
        <f aca="false">INDEX(Inputs!$I$40:$I$87,C86)</f>
        <v>6</v>
      </c>
      <c r="H86" s="46" t="n">
        <f aca="false">MATCH(A86,Demand_History!$C:$C,0)+B86-1</f>
        <v>299</v>
      </c>
      <c r="I86" s="32" t="n">
        <f aca="false">INDEX(Forecast_Walkforward!$C:$C,H86)</f>
        <v>92</v>
      </c>
      <c r="J86" s="79" t="n">
        <f aca="false">INDEX(Forecast_Walkforward!$E:$E,H86)</f>
        <v>89.25</v>
      </c>
      <c r="K86" s="33" t="n">
        <f aca="false">Baseline_Weeks*J86</f>
        <v>357</v>
      </c>
      <c r="L86" s="46" t="n">
        <f aca="false">SUMIFS(P$85:P85,$B$85:$B85,$B86-$D86)</f>
        <v>0</v>
      </c>
      <c r="M86" s="46" t="n">
        <f aca="false">S85+L86</f>
        <v>463</v>
      </c>
      <c r="N86" s="46" t="n">
        <f aca="false">SUMIFS(P$85:P85,$B$85:$B85,"&gt;"&amp;($B86-$D86))</f>
        <v>0</v>
      </c>
      <c r="O86" s="46" t="n">
        <f aca="false">M86+N86</f>
        <v>463</v>
      </c>
      <c r="P86" s="47" t="n">
        <f aca="false">IF(O86&lt;K86,ROUNDUP((K86-O86)/G86,0)*G86,0)</f>
        <v>0</v>
      </c>
      <c r="Q86" s="46" t="n">
        <f aca="false">MIN(M86,I86)</f>
        <v>92</v>
      </c>
      <c r="R86" s="46" t="n">
        <f aca="false">I86-Q86</f>
        <v>0</v>
      </c>
      <c r="S86" s="46" t="n">
        <f aca="false">M86-Q86</f>
        <v>371</v>
      </c>
      <c r="T86" s="46" t="n">
        <f aca="false">IF(R86&gt;0,1,0)</f>
        <v>0</v>
      </c>
      <c r="U86" s="32" t="n">
        <f aca="false">INDEX(Forecast!$AY$7:$AY$54,C86)</f>
        <v>2</v>
      </c>
      <c r="V86" s="33" t="n">
        <f aca="false">CHOOSE(U86,INDEX(Forecast_Walkforward!$D:$D,H86),INDEX(Forecast_Walkforward!$E:$E,H86),INDEX(Forecast_Walkforward!$F:$F,H86),INDEX(Forecast_Walkforward!$G:$G,H86))</f>
        <v>89.25</v>
      </c>
      <c r="W86" s="79" t="n">
        <f aca="false">INDEX(Forecast!$BA$7:$BA$54,C86)</f>
        <v>12.7446015247293</v>
      </c>
      <c r="X86" s="33" t="n">
        <f aca="false">Z_Value*W86*SQRT(D86)</f>
        <v>29.6461646242816</v>
      </c>
      <c r="Y86" s="33" t="n">
        <f aca="false">V86*D86+X86</f>
        <v>208.146164624282</v>
      </c>
      <c r="Z86" s="33" t="n">
        <f aca="false">SQRT((2*V86*Weeks_Per_Year*F86)/(E86*Holding_Rate))</f>
        <v>351.79539508072</v>
      </c>
      <c r="AA86" s="46" t="n">
        <f aca="false">ROUNDUP(Z86/G86,0)*G86</f>
        <v>354</v>
      </c>
      <c r="AB86" s="46" t="n">
        <f aca="false">SUMIFS(AF$85:AF85,$B$85:$B85,$B86-$D86)</f>
        <v>0</v>
      </c>
      <c r="AC86" s="46" t="n">
        <f aca="false">AI85+AB86</f>
        <v>463</v>
      </c>
      <c r="AD86" s="46" t="n">
        <f aca="false">SUMIFS(AF$85:AF85,$B$85:$B85,"&gt;"&amp;($B86-$D86))</f>
        <v>0</v>
      </c>
      <c r="AE86" s="46" t="n">
        <f aca="false">AC86+AD86</f>
        <v>463</v>
      </c>
      <c r="AF86" s="47" t="n">
        <f aca="false">IF(AE86&lt;=Y86,AA86,0)</f>
        <v>0</v>
      </c>
      <c r="AG86" s="46" t="n">
        <f aca="false">MIN(AC86,I86)</f>
        <v>92</v>
      </c>
      <c r="AH86" s="46" t="n">
        <f aca="false">I86-AG86</f>
        <v>0</v>
      </c>
      <c r="AI86" s="46" t="n">
        <f aca="false">AC86-AG86</f>
        <v>371</v>
      </c>
      <c r="AJ86" s="46" t="n">
        <f aca="false">IF(AH86&gt;0,1,0)</f>
        <v>0</v>
      </c>
    </row>
    <row r="87" customFormat="false" ht="15" hidden="false" customHeight="false" outlineLevel="0" collapsed="false">
      <c r="A87" s="31" t="str">
        <f aca="false">Inputs!$B$42</f>
        <v>KIT-003</v>
      </c>
      <c r="B87" s="46" t="n">
        <f aca="false">B86+1</f>
        <v>91</v>
      </c>
      <c r="C87" s="46" t="n">
        <f aca="false">MATCH(A87,Inputs!$B$40:$B$87,0)</f>
        <v>3</v>
      </c>
      <c r="D87" s="32" t="n">
        <f aca="false">INDEX(Inputs!$F$40:$F$87,C87)</f>
        <v>2</v>
      </c>
      <c r="E87" s="78" t="n">
        <f aca="false">INDEX(Inputs!$H$40:$H$87,C87)</f>
        <v>15</v>
      </c>
      <c r="F87" s="78" t="n">
        <f aca="false">INDEX(Inputs!$G$40:$G$87,C87)</f>
        <v>40</v>
      </c>
      <c r="G87" s="32" t="n">
        <f aca="false">INDEX(Inputs!$I$40:$I$87,C87)</f>
        <v>6</v>
      </c>
      <c r="H87" s="46" t="n">
        <f aca="false">MATCH(A87,Demand_History!$C:$C,0)+B87-1</f>
        <v>300</v>
      </c>
      <c r="I87" s="32" t="n">
        <f aca="false">INDEX(Forecast_Walkforward!$C:$C,H87)</f>
        <v>111</v>
      </c>
      <c r="J87" s="79" t="n">
        <f aca="false">INDEX(Forecast_Walkforward!$E:$E,H87)</f>
        <v>89.75</v>
      </c>
      <c r="K87" s="33" t="n">
        <f aca="false">Baseline_Weeks*J87</f>
        <v>359</v>
      </c>
      <c r="L87" s="46" t="n">
        <f aca="false">SUMIFS(P$85:P86,$B$85:$B86,$B87-$D87)</f>
        <v>0</v>
      </c>
      <c r="M87" s="46" t="n">
        <f aca="false">S86+L87</f>
        <v>371</v>
      </c>
      <c r="N87" s="46" t="n">
        <f aca="false">SUMIFS(P$85:P86,$B$85:$B86,"&gt;"&amp;($B87-$D87))</f>
        <v>0</v>
      </c>
      <c r="O87" s="46" t="n">
        <f aca="false">M87+N87</f>
        <v>371</v>
      </c>
      <c r="P87" s="47" t="n">
        <f aca="false">IF(O87&lt;K87,ROUNDUP((K87-O87)/G87,0)*G87,0)</f>
        <v>0</v>
      </c>
      <c r="Q87" s="46" t="n">
        <f aca="false">MIN(M87,I87)</f>
        <v>111</v>
      </c>
      <c r="R87" s="46" t="n">
        <f aca="false">I87-Q87</f>
        <v>0</v>
      </c>
      <c r="S87" s="46" t="n">
        <f aca="false">M87-Q87</f>
        <v>260</v>
      </c>
      <c r="T87" s="46" t="n">
        <f aca="false">IF(R87&gt;0,1,0)</f>
        <v>0</v>
      </c>
      <c r="U87" s="32" t="n">
        <f aca="false">INDEX(Forecast!$AY$7:$AY$54,C87)</f>
        <v>2</v>
      </c>
      <c r="V87" s="33" t="n">
        <f aca="false">CHOOSE(U87,INDEX(Forecast_Walkforward!$D:$D,H87),INDEX(Forecast_Walkforward!$E:$E,H87),INDEX(Forecast_Walkforward!$F:$F,H87),INDEX(Forecast_Walkforward!$G:$G,H87))</f>
        <v>89.75</v>
      </c>
      <c r="W87" s="79" t="n">
        <f aca="false">INDEX(Forecast!$BA$7:$BA$54,C87)</f>
        <v>12.7446015247293</v>
      </c>
      <c r="X87" s="33" t="n">
        <f aca="false">Z_Value*W87*SQRT(D87)</f>
        <v>29.6461646242816</v>
      </c>
      <c r="Y87" s="33" t="n">
        <f aca="false">V87*D87+X87</f>
        <v>209.146164624282</v>
      </c>
      <c r="Z87" s="33" t="n">
        <f aca="false">SQRT((2*V87*Weeks_Per_Year*F87)/(E87*Holding_Rate))</f>
        <v>352.779440066075</v>
      </c>
      <c r="AA87" s="46" t="n">
        <f aca="false">ROUNDUP(Z87/G87,0)*G87</f>
        <v>354</v>
      </c>
      <c r="AB87" s="46" t="n">
        <f aca="false">SUMIFS(AF$85:AF86,$B$85:$B86,$B87-$D87)</f>
        <v>0</v>
      </c>
      <c r="AC87" s="46" t="n">
        <f aca="false">AI86+AB87</f>
        <v>371</v>
      </c>
      <c r="AD87" s="46" t="n">
        <f aca="false">SUMIFS(AF$85:AF86,$B$85:$B86,"&gt;"&amp;($B87-$D87))</f>
        <v>0</v>
      </c>
      <c r="AE87" s="46" t="n">
        <f aca="false">AC87+AD87</f>
        <v>371</v>
      </c>
      <c r="AF87" s="47" t="n">
        <f aca="false">IF(AE87&lt;=Y87,AA87,0)</f>
        <v>0</v>
      </c>
      <c r="AG87" s="46" t="n">
        <f aca="false">MIN(AC87,I87)</f>
        <v>111</v>
      </c>
      <c r="AH87" s="46" t="n">
        <f aca="false">I87-AG87</f>
        <v>0</v>
      </c>
      <c r="AI87" s="46" t="n">
        <f aca="false">AC87-AG87</f>
        <v>260</v>
      </c>
      <c r="AJ87" s="46" t="n">
        <f aca="false">IF(AH87&gt;0,1,0)</f>
        <v>0</v>
      </c>
    </row>
    <row r="88" customFormat="false" ht="15" hidden="false" customHeight="false" outlineLevel="0" collapsed="false">
      <c r="A88" s="31" t="str">
        <f aca="false">Inputs!$B$42</f>
        <v>KIT-003</v>
      </c>
      <c r="B88" s="46" t="n">
        <f aca="false">B87+1</f>
        <v>92</v>
      </c>
      <c r="C88" s="46" t="n">
        <f aca="false">MATCH(A88,Inputs!$B$40:$B$87,0)</f>
        <v>3</v>
      </c>
      <c r="D88" s="32" t="n">
        <f aca="false">INDEX(Inputs!$F$40:$F$87,C88)</f>
        <v>2</v>
      </c>
      <c r="E88" s="78" t="n">
        <f aca="false">INDEX(Inputs!$H$40:$H$87,C88)</f>
        <v>15</v>
      </c>
      <c r="F88" s="78" t="n">
        <f aca="false">INDEX(Inputs!$G$40:$G$87,C88)</f>
        <v>40</v>
      </c>
      <c r="G88" s="32" t="n">
        <f aca="false">INDEX(Inputs!$I$40:$I$87,C88)</f>
        <v>6</v>
      </c>
      <c r="H88" s="46" t="n">
        <f aca="false">MATCH(A88,Demand_History!$C:$C,0)+B88-1</f>
        <v>301</v>
      </c>
      <c r="I88" s="32" t="n">
        <f aca="false">INDEX(Forecast_Walkforward!$C:$C,H88)</f>
        <v>99</v>
      </c>
      <c r="J88" s="79" t="n">
        <f aca="false">INDEX(Forecast_Walkforward!$E:$E,H88)</f>
        <v>94.5</v>
      </c>
      <c r="K88" s="33" t="n">
        <f aca="false">Baseline_Weeks*J88</f>
        <v>378</v>
      </c>
      <c r="L88" s="46" t="n">
        <f aca="false">SUMIFS(P$85:P87,$B$85:$B87,$B88-$D88)</f>
        <v>0</v>
      </c>
      <c r="M88" s="46" t="n">
        <f aca="false">S87+L88</f>
        <v>260</v>
      </c>
      <c r="N88" s="46" t="n">
        <f aca="false">SUMIFS(P$85:P87,$B$85:$B87,"&gt;"&amp;($B88-$D88))</f>
        <v>0</v>
      </c>
      <c r="O88" s="46" t="n">
        <f aca="false">M88+N88</f>
        <v>260</v>
      </c>
      <c r="P88" s="47" t="n">
        <f aca="false">IF(O88&lt;K88,ROUNDUP((K88-O88)/G88,0)*G88,0)</f>
        <v>120</v>
      </c>
      <c r="Q88" s="46" t="n">
        <f aca="false">MIN(M88,I88)</f>
        <v>99</v>
      </c>
      <c r="R88" s="46" t="n">
        <f aca="false">I88-Q88</f>
        <v>0</v>
      </c>
      <c r="S88" s="46" t="n">
        <f aca="false">M88-Q88</f>
        <v>161</v>
      </c>
      <c r="T88" s="46" t="n">
        <f aca="false">IF(R88&gt;0,1,0)</f>
        <v>0</v>
      </c>
      <c r="U88" s="32" t="n">
        <f aca="false">INDEX(Forecast!$AY$7:$AY$54,C88)</f>
        <v>2</v>
      </c>
      <c r="V88" s="33" t="n">
        <f aca="false">CHOOSE(U88,INDEX(Forecast_Walkforward!$D:$D,H88),INDEX(Forecast_Walkforward!$E:$E,H88),INDEX(Forecast_Walkforward!$F:$F,H88),INDEX(Forecast_Walkforward!$G:$G,H88))</f>
        <v>94.5</v>
      </c>
      <c r="W88" s="79" t="n">
        <f aca="false">INDEX(Forecast!$BA$7:$BA$54,C88)</f>
        <v>12.7446015247293</v>
      </c>
      <c r="X88" s="33" t="n">
        <f aca="false">Z_Value*W88*SQRT(D88)</f>
        <v>29.6461646242816</v>
      </c>
      <c r="Y88" s="33" t="n">
        <f aca="false">V88*D88+X88</f>
        <v>218.646164624282</v>
      </c>
      <c r="Z88" s="33" t="n">
        <f aca="false">SQRT((2*V88*Weeks_Per_Year*F88)/(E88*Holding_Rate))</f>
        <v>361.994475095961</v>
      </c>
      <c r="AA88" s="46" t="n">
        <f aca="false">ROUNDUP(Z88/G88,0)*G88</f>
        <v>366</v>
      </c>
      <c r="AB88" s="46" t="n">
        <f aca="false">SUMIFS(AF$85:AF87,$B$85:$B87,$B88-$D88)</f>
        <v>0</v>
      </c>
      <c r="AC88" s="46" t="n">
        <f aca="false">AI87+AB88</f>
        <v>260</v>
      </c>
      <c r="AD88" s="46" t="n">
        <f aca="false">SUMIFS(AF$85:AF87,$B$85:$B87,"&gt;"&amp;($B88-$D88))</f>
        <v>0</v>
      </c>
      <c r="AE88" s="46" t="n">
        <f aca="false">AC88+AD88</f>
        <v>260</v>
      </c>
      <c r="AF88" s="47" t="n">
        <f aca="false">IF(AE88&lt;=Y88,AA88,0)</f>
        <v>0</v>
      </c>
      <c r="AG88" s="46" t="n">
        <f aca="false">MIN(AC88,I88)</f>
        <v>99</v>
      </c>
      <c r="AH88" s="46" t="n">
        <f aca="false">I88-AG88</f>
        <v>0</v>
      </c>
      <c r="AI88" s="46" t="n">
        <f aca="false">AC88-AG88</f>
        <v>161</v>
      </c>
      <c r="AJ88" s="46" t="n">
        <f aca="false">IF(AH88&gt;0,1,0)</f>
        <v>0</v>
      </c>
    </row>
    <row r="89" customFormat="false" ht="15" hidden="false" customHeight="false" outlineLevel="0" collapsed="false">
      <c r="A89" s="31" t="str">
        <f aca="false">Inputs!$B$42</f>
        <v>KIT-003</v>
      </c>
      <c r="B89" s="46" t="n">
        <f aca="false">B88+1</f>
        <v>93</v>
      </c>
      <c r="C89" s="46" t="n">
        <f aca="false">MATCH(A89,Inputs!$B$40:$B$87,0)</f>
        <v>3</v>
      </c>
      <c r="D89" s="32" t="n">
        <f aca="false">INDEX(Inputs!$F$40:$F$87,C89)</f>
        <v>2</v>
      </c>
      <c r="E89" s="78" t="n">
        <f aca="false">INDEX(Inputs!$H$40:$H$87,C89)</f>
        <v>15</v>
      </c>
      <c r="F89" s="78" t="n">
        <f aca="false">INDEX(Inputs!$G$40:$G$87,C89)</f>
        <v>40</v>
      </c>
      <c r="G89" s="32" t="n">
        <f aca="false">INDEX(Inputs!$I$40:$I$87,C89)</f>
        <v>6</v>
      </c>
      <c r="H89" s="46" t="n">
        <f aca="false">MATCH(A89,Demand_History!$C:$C,0)+B89-1</f>
        <v>302</v>
      </c>
      <c r="I89" s="32" t="n">
        <f aca="false">INDEX(Forecast_Walkforward!$C:$C,H89)</f>
        <v>92</v>
      </c>
      <c r="J89" s="79" t="n">
        <f aca="false">INDEX(Forecast_Walkforward!$E:$E,H89)</f>
        <v>97.5</v>
      </c>
      <c r="K89" s="33" t="n">
        <f aca="false">Baseline_Weeks*J89</f>
        <v>390</v>
      </c>
      <c r="L89" s="46" t="n">
        <f aca="false">SUMIFS(P$85:P88,$B$85:$B88,$B89-$D89)</f>
        <v>0</v>
      </c>
      <c r="M89" s="46" t="n">
        <f aca="false">S88+L89</f>
        <v>161</v>
      </c>
      <c r="N89" s="46" t="n">
        <f aca="false">SUMIFS(P$85:P88,$B$85:$B88,"&gt;"&amp;($B89-$D89))</f>
        <v>120</v>
      </c>
      <c r="O89" s="46" t="n">
        <f aca="false">M89+N89</f>
        <v>281</v>
      </c>
      <c r="P89" s="47" t="n">
        <f aca="false">IF(O89&lt;K89,ROUNDUP((K89-O89)/G89,0)*G89,0)</f>
        <v>114</v>
      </c>
      <c r="Q89" s="46" t="n">
        <f aca="false">MIN(M89,I89)</f>
        <v>92</v>
      </c>
      <c r="R89" s="46" t="n">
        <f aca="false">I89-Q89</f>
        <v>0</v>
      </c>
      <c r="S89" s="46" t="n">
        <f aca="false">M89-Q89</f>
        <v>69</v>
      </c>
      <c r="T89" s="46" t="n">
        <f aca="false">IF(R89&gt;0,1,0)</f>
        <v>0</v>
      </c>
      <c r="U89" s="32" t="n">
        <f aca="false">INDEX(Forecast!$AY$7:$AY$54,C89)</f>
        <v>2</v>
      </c>
      <c r="V89" s="33" t="n">
        <f aca="false">CHOOSE(U89,INDEX(Forecast_Walkforward!$D:$D,H89),INDEX(Forecast_Walkforward!$E:$E,H89),INDEX(Forecast_Walkforward!$F:$F,H89),INDEX(Forecast_Walkforward!$G:$G,H89))</f>
        <v>97.5</v>
      </c>
      <c r="W89" s="79" t="n">
        <f aca="false">INDEX(Forecast!$BA$7:$BA$54,C89)</f>
        <v>12.7446015247293</v>
      </c>
      <c r="X89" s="33" t="n">
        <f aca="false">Z_Value*W89*SQRT(D89)</f>
        <v>29.6461646242816</v>
      </c>
      <c r="Y89" s="33" t="n">
        <f aca="false">V89*D89+X89</f>
        <v>224.646164624282</v>
      </c>
      <c r="Z89" s="33" t="n">
        <f aca="false">SQRT((2*V89*Weeks_Per_Year*F89)/(E89*Holding_Rate))</f>
        <v>367.695526217005</v>
      </c>
      <c r="AA89" s="46" t="n">
        <f aca="false">ROUNDUP(Z89/G89,0)*G89</f>
        <v>372</v>
      </c>
      <c r="AB89" s="46" t="n">
        <f aca="false">SUMIFS(AF$85:AF88,$B$85:$B88,$B89-$D89)</f>
        <v>0</v>
      </c>
      <c r="AC89" s="46" t="n">
        <f aca="false">AI88+AB89</f>
        <v>161</v>
      </c>
      <c r="AD89" s="46" t="n">
        <f aca="false">SUMIFS(AF$85:AF88,$B$85:$B88,"&gt;"&amp;($B89-$D89))</f>
        <v>0</v>
      </c>
      <c r="AE89" s="46" t="n">
        <f aca="false">AC89+AD89</f>
        <v>161</v>
      </c>
      <c r="AF89" s="47" t="n">
        <f aca="false">IF(AE89&lt;=Y89,AA89,0)</f>
        <v>372</v>
      </c>
      <c r="AG89" s="46" t="n">
        <f aca="false">MIN(AC89,I89)</f>
        <v>92</v>
      </c>
      <c r="AH89" s="46" t="n">
        <f aca="false">I89-AG89</f>
        <v>0</v>
      </c>
      <c r="AI89" s="46" t="n">
        <f aca="false">AC89-AG89</f>
        <v>69</v>
      </c>
      <c r="AJ89" s="46" t="n">
        <f aca="false">IF(AH89&gt;0,1,0)</f>
        <v>0</v>
      </c>
    </row>
    <row r="90" customFormat="false" ht="15" hidden="false" customHeight="false" outlineLevel="0" collapsed="false">
      <c r="A90" s="31" t="str">
        <f aca="false">Inputs!$B$42</f>
        <v>KIT-003</v>
      </c>
      <c r="B90" s="46" t="n">
        <f aca="false">B89+1</f>
        <v>94</v>
      </c>
      <c r="C90" s="46" t="n">
        <f aca="false">MATCH(A90,Inputs!$B$40:$B$87,0)</f>
        <v>3</v>
      </c>
      <c r="D90" s="32" t="n">
        <f aca="false">INDEX(Inputs!$F$40:$F$87,C90)</f>
        <v>2</v>
      </c>
      <c r="E90" s="78" t="n">
        <f aca="false">INDEX(Inputs!$H$40:$H$87,C90)</f>
        <v>15</v>
      </c>
      <c r="F90" s="78" t="n">
        <f aca="false">INDEX(Inputs!$G$40:$G$87,C90)</f>
        <v>40</v>
      </c>
      <c r="G90" s="32" t="n">
        <f aca="false">INDEX(Inputs!$I$40:$I$87,C90)</f>
        <v>6</v>
      </c>
      <c r="H90" s="46" t="n">
        <f aca="false">MATCH(A90,Demand_History!$C:$C,0)+B90-1</f>
        <v>303</v>
      </c>
      <c r="I90" s="32" t="n">
        <f aca="false">INDEX(Forecast_Walkforward!$C:$C,H90)</f>
        <v>85</v>
      </c>
      <c r="J90" s="79" t="n">
        <f aca="false">INDEX(Forecast_Walkforward!$E:$E,H90)</f>
        <v>98.5</v>
      </c>
      <c r="K90" s="33" t="n">
        <f aca="false">Baseline_Weeks*J90</f>
        <v>394</v>
      </c>
      <c r="L90" s="46" t="n">
        <f aca="false">SUMIFS(P$85:P89,$B$85:$B89,$B90-$D90)</f>
        <v>120</v>
      </c>
      <c r="M90" s="46" t="n">
        <f aca="false">S89+L90</f>
        <v>189</v>
      </c>
      <c r="N90" s="46" t="n">
        <f aca="false">SUMIFS(P$85:P89,$B$85:$B89,"&gt;"&amp;($B90-$D90))</f>
        <v>114</v>
      </c>
      <c r="O90" s="46" t="n">
        <f aca="false">M90+N90</f>
        <v>303</v>
      </c>
      <c r="P90" s="47" t="n">
        <f aca="false">IF(O90&lt;K90,ROUNDUP((K90-O90)/G90,0)*G90,0)</f>
        <v>96</v>
      </c>
      <c r="Q90" s="46" t="n">
        <f aca="false">MIN(M90,I90)</f>
        <v>85</v>
      </c>
      <c r="R90" s="46" t="n">
        <f aca="false">I90-Q90</f>
        <v>0</v>
      </c>
      <c r="S90" s="46" t="n">
        <f aca="false">M90-Q90</f>
        <v>104</v>
      </c>
      <c r="T90" s="46" t="n">
        <f aca="false">IF(R90&gt;0,1,0)</f>
        <v>0</v>
      </c>
      <c r="U90" s="32" t="n">
        <f aca="false">INDEX(Forecast!$AY$7:$AY$54,C90)</f>
        <v>2</v>
      </c>
      <c r="V90" s="33" t="n">
        <f aca="false">CHOOSE(U90,INDEX(Forecast_Walkforward!$D:$D,H90),INDEX(Forecast_Walkforward!$E:$E,H90),INDEX(Forecast_Walkforward!$F:$F,H90),INDEX(Forecast_Walkforward!$G:$G,H90))</f>
        <v>98.5</v>
      </c>
      <c r="W90" s="79" t="n">
        <f aca="false">INDEX(Forecast!$BA$7:$BA$54,C90)</f>
        <v>12.7446015247293</v>
      </c>
      <c r="X90" s="33" t="n">
        <f aca="false">Z_Value*W90*SQRT(D90)</f>
        <v>29.6461646242816</v>
      </c>
      <c r="Y90" s="33" t="n">
        <f aca="false">V90*D90+X90</f>
        <v>226.646164624282</v>
      </c>
      <c r="Z90" s="33" t="n">
        <f aca="false">SQRT((2*V90*Weeks_Per_Year*F90)/(E90*Holding_Rate))</f>
        <v>369.576334018653</v>
      </c>
      <c r="AA90" s="46" t="n">
        <f aca="false">ROUNDUP(Z90/G90,0)*G90</f>
        <v>372</v>
      </c>
      <c r="AB90" s="46" t="n">
        <f aca="false">SUMIFS(AF$85:AF89,$B$85:$B89,$B90-$D90)</f>
        <v>0</v>
      </c>
      <c r="AC90" s="46" t="n">
        <f aca="false">AI89+AB90</f>
        <v>69</v>
      </c>
      <c r="AD90" s="46" t="n">
        <f aca="false">SUMIFS(AF$85:AF89,$B$85:$B89,"&gt;"&amp;($B90-$D90))</f>
        <v>372</v>
      </c>
      <c r="AE90" s="46" t="n">
        <f aca="false">AC90+AD90</f>
        <v>441</v>
      </c>
      <c r="AF90" s="47" t="n">
        <f aca="false">IF(AE90&lt;=Y90,AA90,0)</f>
        <v>0</v>
      </c>
      <c r="AG90" s="46" t="n">
        <f aca="false">MIN(AC90,I90)</f>
        <v>69</v>
      </c>
      <c r="AH90" s="46" t="n">
        <f aca="false">I90-AG90</f>
        <v>16</v>
      </c>
      <c r="AI90" s="46" t="n">
        <f aca="false">AC90-AG90</f>
        <v>0</v>
      </c>
      <c r="AJ90" s="46" t="n">
        <f aca="false">IF(AH90&gt;0,1,0)</f>
        <v>1</v>
      </c>
    </row>
    <row r="91" customFormat="false" ht="15" hidden="false" customHeight="false" outlineLevel="0" collapsed="false">
      <c r="A91" s="31" t="str">
        <f aca="false">Inputs!$B$42</f>
        <v>KIT-003</v>
      </c>
      <c r="B91" s="46" t="n">
        <f aca="false">B90+1</f>
        <v>95</v>
      </c>
      <c r="C91" s="46" t="n">
        <f aca="false">MATCH(A91,Inputs!$B$40:$B$87,0)</f>
        <v>3</v>
      </c>
      <c r="D91" s="32" t="n">
        <f aca="false">INDEX(Inputs!$F$40:$F$87,C91)</f>
        <v>2</v>
      </c>
      <c r="E91" s="78" t="n">
        <f aca="false">INDEX(Inputs!$H$40:$H$87,C91)</f>
        <v>15</v>
      </c>
      <c r="F91" s="78" t="n">
        <f aca="false">INDEX(Inputs!$G$40:$G$87,C91)</f>
        <v>40</v>
      </c>
      <c r="G91" s="32" t="n">
        <f aca="false">INDEX(Inputs!$I$40:$I$87,C91)</f>
        <v>6</v>
      </c>
      <c r="H91" s="46" t="n">
        <f aca="false">MATCH(A91,Demand_History!$C:$C,0)+B91-1</f>
        <v>304</v>
      </c>
      <c r="I91" s="32" t="n">
        <f aca="false">INDEX(Forecast_Walkforward!$C:$C,H91)</f>
        <v>85</v>
      </c>
      <c r="J91" s="79" t="n">
        <f aca="false">INDEX(Forecast_Walkforward!$E:$E,H91)</f>
        <v>96.75</v>
      </c>
      <c r="K91" s="33" t="n">
        <f aca="false">Baseline_Weeks*J91</f>
        <v>387</v>
      </c>
      <c r="L91" s="46" t="n">
        <f aca="false">SUMIFS(P$85:P90,$B$85:$B90,$B91-$D91)</f>
        <v>114</v>
      </c>
      <c r="M91" s="46" t="n">
        <f aca="false">S90+L91</f>
        <v>218</v>
      </c>
      <c r="N91" s="46" t="n">
        <f aca="false">SUMIFS(P$85:P90,$B$85:$B90,"&gt;"&amp;($B91-$D91))</f>
        <v>96</v>
      </c>
      <c r="O91" s="46" t="n">
        <f aca="false">M91+N91</f>
        <v>314</v>
      </c>
      <c r="P91" s="47" t="n">
        <f aca="false">IF(O91&lt;K91,ROUNDUP((K91-O91)/G91,0)*G91,0)</f>
        <v>78</v>
      </c>
      <c r="Q91" s="46" t="n">
        <f aca="false">MIN(M91,I91)</f>
        <v>85</v>
      </c>
      <c r="R91" s="46" t="n">
        <f aca="false">I91-Q91</f>
        <v>0</v>
      </c>
      <c r="S91" s="46" t="n">
        <f aca="false">M91-Q91</f>
        <v>133</v>
      </c>
      <c r="T91" s="46" t="n">
        <f aca="false">IF(R91&gt;0,1,0)</f>
        <v>0</v>
      </c>
      <c r="U91" s="32" t="n">
        <f aca="false">INDEX(Forecast!$AY$7:$AY$54,C91)</f>
        <v>2</v>
      </c>
      <c r="V91" s="33" t="n">
        <f aca="false">CHOOSE(U91,INDEX(Forecast_Walkforward!$D:$D,H91),INDEX(Forecast_Walkforward!$E:$E,H91),INDEX(Forecast_Walkforward!$F:$F,H91),INDEX(Forecast_Walkforward!$G:$G,H91))</f>
        <v>96.75</v>
      </c>
      <c r="W91" s="79" t="n">
        <f aca="false">INDEX(Forecast!$BA$7:$BA$54,C91)</f>
        <v>12.7446015247293</v>
      </c>
      <c r="X91" s="33" t="n">
        <f aca="false">Z_Value*W91*SQRT(D91)</f>
        <v>29.6461646242816</v>
      </c>
      <c r="Y91" s="33" t="n">
        <f aca="false">V91*D91+X91</f>
        <v>223.146164624282</v>
      </c>
      <c r="Z91" s="33" t="n">
        <f aca="false">SQRT((2*V91*Weeks_Per_Year*F91)/(E91*Holding_Rate))</f>
        <v>366.278582502444</v>
      </c>
      <c r="AA91" s="46" t="n">
        <f aca="false">ROUNDUP(Z91/G91,0)*G91</f>
        <v>372</v>
      </c>
      <c r="AB91" s="46" t="n">
        <f aca="false">SUMIFS(AF$85:AF90,$B$85:$B90,$B91-$D91)</f>
        <v>372</v>
      </c>
      <c r="AC91" s="46" t="n">
        <f aca="false">AI90+AB91</f>
        <v>372</v>
      </c>
      <c r="AD91" s="46" t="n">
        <f aca="false">SUMIFS(AF$85:AF90,$B$85:$B90,"&gt;"&amp;($B91-$D91))</f>
        <v>0</v>
      </c>
      <c r="AE91" s="46" t="n">
        <f aca="false">AC91+AD91</f>
        <v>372</v>
      </c>
      <c r="AF91" s="47" t="n">
        <f aca="false">IF(AE91&lt;=Y91,AA91,0)</f>
        <v>0</v>
      </c>
      <c r="AG91" s="46" t="n">
        <f aca="false">MIN(AC91,I91)</f>
        <v>85</v>
      </c>
      <c r="AH91" s="46" t="n">
        <f aca="false">I91-AG91</f>
        <v>0</v>
      </c>
      <c r="AI91" s="46" t="n">
        <f aca="false">AC91-AG91</f>
        <v>287</v>
      </c>
      <c r="AJ91" s="46" t="n">
        <f aca="false">IF(AH91&gt;0,1,0)</f>
        <v>0</v>
      </c>
    </row>
    <row r="92" customFormat="false" ht="15" hidden="false" customHeight="false" outlineLevel="0" collapsed="false">
      <c r="A92" s="31" t="str">
        <f aca="false">Inputs!$B$42</f>
        <v>KIT-003</v>
      </c>
      <c r="B92" s="46" t="n">
        <f aca="false">B91+1</f>
        <v>96</v>
      </c>
      <c r="C92" s="46" t="n">
        <f aca="false">MATCH(A92,Inputs!$B$40:$B$87,0)</f>
        <v>3</v>
      </c>
      <c r="D92" s="32" t="n">
        <f aca="false">INDEX(Inputs!$F$40:$F$87,C92)</f>
        <v>2</v>
      </c>
      <c r="E92" s="78" t="n">
        <f aca="false">INDEX(Inputs!$H$40:$H$87,C92)</f>
        <v>15</v>
      </c>
      <c r="F92" s="78" t="n">
        <f aca="false">INDEX(Inputs!$G$40:$G$87,C92)</f>
        <v>40</v>
      </c>
      <c r="G92" s="32" t="n">
        <f aca="false">INDEX(Inputs!$I$40:$I$87,C92)</f>
        <v>6</v>
      </c>
      <c r="H92" s="46" t="n">
        <f aca="false">MATCH(A92,Demand_History!$C:$C,0)+B92-1</f>
        <v>305</v>
      </c>
      <c r="I92" s="32" t="n">
        <f aca="false">INDEX(Forecast_Walkforward!$C:$C,H92)</f>
        <v>115</v>
      </c>
      <c r="J92" s="79" t="n">
        <f aca="false">INDEX(Forecast_Walkforward!$E:$E,H92)</f>
        <v>90.25</v>
      </c>
      <c r="K92" s="33" t="n">
        <f aca="false">Baseline_Weeks*J92</f>
        <v>361</v>
      </c>
      <c r="L92" s="46" t="n">
        <f aca="false">SUMIFS(P$85:P91,$B$85:$B91,$B92-$D92)</f>
        <v>96</v>
      </c>
      <c r="M92" s="46" t="n">
        <f aca="false">S91+L92</f>
        <v>229</v>
      </c>
      <c r="N92" s="46" t="n">
        <f aca="false">SUMIFS(P$85:P91,$B$85:$B91,"&gt;"&amp;($B92-$D92))</f>
        <v>78</v>
      </c>
      <c r="O92" s="46" t="n">
        <f aca="false">M92+N92</f>
        <v>307</v>
      </c>
      <c r="P92" s="47" t="n">
        <f aca="false">IF(O92&lt;K92,ROUNDUP((K92-O92)/G92,0)*G92,0)</f>
        <v>54</v>
      </c>
      <c r="Q92" s="46" t="n">
        <f aca="false">MIN(M92,I92)</f>
        <v>115</v>
      </c>
      <c r="R92" s="46" t="n">
        <f aca="false">I92-Q92</f>
        <v>0</v>
      </c>
      <c r="S92" s="46" t="n">
        <f aca="false">M92-Q92</f>
        <v>114</v>
      </c>
      <c r="T92" s="46" t="n">
        <f aca="false">IF(R92&gt;0,1,0)</f>
        <v>0</v>
      </c>
      <c r="U92" s="32" t="n">
        <f aca="false">INDEX(Forecast!$AY$7:$AY$54,C92)</f>
        <v>2</v>
      </c>
      <c r="V92" s="33" t="n">
        <f aca="false">CHOOSE(U92,INDEX(Forecast_Walkforward!$D:$D,H92),INDEX(Forecast_Walkforward!$E:$E,H92),INDEX(Forecast_Walkforward!$F:$F,H92),INDEX(Forecast_Walkforward!$G:$G,H92))</f>
        <v>90.25</v>
      </c>
      <c r="W92" s="79" t="n">
        <f aca="false">INDEX(Forecast!$BA$7:$BA$54,C92)</f>
        <v>12.7446015247293</v>
      </c>
      <c r="X92" s="33" t="n">
        <f aca="false">Z_Value*W92*SQRT(D92)</f>
        <v>29.6461646242816</v>
      </c>
      <c r="Y92" s="33" t="n">
        <f aca="false">V92*D92+X92</f>
        <v>210.146164624282</v>
      </c>
      <c r="Z92" s="33" t="n">
        <f aca="false">SQRT((2*V92*Weeks_Per_Year*F92)/(E92*Holding_Rate))</f>
        <v>353.76074777548</v>
      </c>
      <c r="AA92" s="46" t="n">
        <f aca="false">ROUNDUP(Z92/G92,0)*G92</f>
        <v>354</v>
      </c>
      <c r="AB92" s="46" t="n">
        <f aca="false">SUMIFS(AF$85:AF91,$B$85:$B91,$B92-$D92)</f>
        <v>0</v>
      </c>
      <c r="AC92" s="46" t="n">
        <f aca="false">AI91+AB92</f>
        <v>287</v>
      </c>
      <c r="AD92" s="46" t="n">
        <f aca="false">SUMIFS(AF$85:AF91,$B$85:$B91,"&gt;"&amp;($B92-$D92))</f>
        <v>0</v>
      </c>
      <c r="AE92" s="46" t="n">
        <f aca="false">AC92+AD92</f>
        <v>287</v>
      </c>
      <c r="AF92" s="47" t="n">
        <f aca="false">IF(AE92&lt;=Y92,AA92,0)</f>
        <v>0</v>
      </c>
      <c r="AG92" s="46" t="n">
        <f aca="false">MIN(AC92,I92)</f>
        <v>115</v>
      </c>
      <c r="AH92" s="46" t="n">
        <f aca="false">I92-AG92</f>
        <v>0</v>
      </c>
      <c r="AI92" s="46" t="n">
        <f aca="false">AC92-AG92</f>
        <v>172</v>
      </c>
      <c r="AJ92" s="46" t="n">
        <f aca="false">IF(AH92&gt;0,1,0)</f>
        <v>0</v>
      </c>
    </row>
    <row r="93" customFormat="false" ht="15" hidden="false" customHeight="false" outlineLevel="0" collapsed="false">
      <c r="A93" s="31" t="str">
        <f aca="false">Inputs!$B$42</f>
        <v>KIT-003</v>
      </c>
      <c r="B93" s="46" t="n">
        <f aca="false">B92+1</f>
        <v>97</v>
      </c>
      <c r="C93" s="46" t="n">
        <f aca="false">MATCH(A93,Inputs!$B$40:$B$87,0)</f>
        <v>3</v>
      </c>
      <c r="D93" s="32" t="n">
        <f aca="false">INDEX(Inputs!$F$40:$F$87,C93)</f>
        <v>2</v>
      </c>
      <c r="E93" s="78" t="n">
        <f aca="false">INDEX(Inputs!$H$40:$H$87,C93)</f>
        <v>15</v>
      </c>
      <c r="F93" s="78" t="n">
        <f aca="false">INDEX(Inputs!$G$40:$G$87,C93)</f>
        <v>40</v>
      </c>
      <c r="G93" s="32" t="n">
        <f aca="false">INDEX(Inputs!$I$40:$I$87,C93)</f>
        <v>6</v>
      </c>
      <c r="H93" s="46" t="n">
        <f aca="false">MATCH(A93,Demand_History!$C:$C,0)+B93-1</f>
        <v>306</v>
      </c>
      <c r="I93" s="32" t="n">
        <f aca="false">INDEX(Forecast_Walkforward!$C:$C,H93)</f>
        <v>101</v>
      </c>
      <c r="J93" s="79" t="n">
        <f aca="false">INDEX(Forecast_Walkforward!$E:$E,H93)</f>
        <v>94.25</v>
      </c>
      <c r="K93" s="33" t="n">
        <f aca="false">Baseline_Weeks*J93</f>
        <v>377</v>
      </c>
      <c r="L93" s="46" t="n">
        <f aca="false">SUMIFS(P$85:P92,$B$85:$B92,$B93-$D93)</f>
        <v>78</v>
      </c>
      <c r="M93" s="46" t="n">
        <f aca="false">S92+L93</f>
        <v>192</v>
      </c>
      <c r="N93" s="46" t="n">
        <f aca="false">SUMIFS(P$85:P92,$B$85:$B92,"&gt;"&amp;($B93-$D93))</f>
        <v>54</v>
      </c>
      <c r="O93" s="46" t="n">
        <f aca="false">M93+N93</f>
        <v>246</v>
      </c>
      <c r="P93" s="47" t="n">
        <f aca="false">IF(O93&lt;K93,ROUNDUP((K93-O93)/G93,0)*G93,0)</f>
        <v>132</v>
      </c>
      <c r="Q93" s="46" t="n">
        <f aca="false">MIN(M93,I93)</f>
        <v>101</v>
      </c>
      <c r="R93" s="46" t="n">
        <f aca="false">I93-Q93</f>
        <v>0</v>
      </c>
      <c r="S93" s="46" t="n">
        <f aca="false">M93-Q93</f>
        <v>91</v>
      </c>
      <c r="T93" s="46" t="n">
        <f aca="false">IF(R93&gt;0,1,0)</f>
        <v>0</v>
      </c>
      <c r="U93" s="32" t="n">
        <f aca="false">INDEX(Forecast!$AY$7:$AY$54,C93)</f>
        <v>2</v>
      </c>
      <c r="V93" s="33" t="n">
        <f aca="false">CHOOSE(U93,INDEX(Forecast_Walkforward!$D:$D,H93),INDEX(Forecast_Walkforward!$E:$E,H93),INDEX(Forecast_Walkforward!$F:$F,H93),INDEX(Forecast_Walkforward!$G:$G,H93))</f>
        <v>94.25</v>
      </c>
      <c r="W93" s="79" t="n">
        <f aca="false">INDEX(Forecast!$BA$7:$BA$54,C93)</f>
        <v>12.7446015247293</v>
      </c>
      <c r="X93" s="33" t="n">
        <f aca="false">Z_Value*W93*SQRT(D93)</f>
        <v>29.6461646242816</v>
      </c>
      <c r="Y93" s="33" t="n">
        <f aca="false">V93*D93+X93</f>
        <v>218.146164624282</v>
      </c>
      <c r="Z93" s="33" t="n">
        <f aca="false">SQRT((2*V93*Weeks_Per_Year*F93)/(E93*Holding_Rate))</f>
        <v>361.51532931998</v>
      </c>
      <c r="AA93" s="46" t="n">
        <f aca="false">ROUNDUP(Z93/G93,0)*G93</f>
        <v>366</v>
      </c>
      <c r="AB93" s="46" t="n">
        <f aca="false">SUMIFS(AF$85:AF92,$B$85:$B92,$B93-$D93)</f>
        <v>0</v>
      </c>
      <c r="AC93" s="46" t="n">
        <f aca="false">AI92+AB93</f>
        <v>172</v>
      </c>
      <c r="AD93" s="46" t="n">
        <f aca="false">SUMIFS(AF$85:AF92,$B$85:$B92,"&gt;"&amp;($B93-$D93))</f>
        <v>0</v>
      </c>
      <c r="AE93" s="46" t="n">
        <f aca="false">AC93+AD93</f>
        <v>172</v>
      </c>
      <c r="AF93" s="47" t="n">
        <f aca="false">IF(AE93&lt;=Y93,AA93,0)</f>
        <v>366</v>
      </c>
      <c r="AG93" s="46" t="n">
        <f aca="false">MIN(AC93,I93)</f>
        <v>101</v>
      </c>
      <c r="AH93" s="46" t="n">
        <f aca="false">I93-AG93</f>
        <v>0</v>
      </c>
      <c r="AI93" s="46" t="n">
        <f aca="false">AC93-AG93</f>
        <v>71</v>
      </c>
      <c r="AJ93" s="46" t="n">
        <f aca="false">IF(AH93&gt;0,1,0)</f>
        <v>0</v>
      </c>
    </row>
    <row r="94" customFormat="false" ht="15" hidden="false" customHeight="false" outlineLevel="0" collapsed="false">
      <c r="A94" s="31" t="str">
        <f aca="false">Inputs!$B$42</f>
        <v>KIT-003</v>
      </c>
      <c r="B94" s="46" t="n">
        <f aca="false">B93+1</f>
        <v>98</v>
      </c>
      <c r="C94" s="46" t="n">
        <f aca="false">MATCH(A94,Inputs!$B$40:$B$87,0)</f>
        <v>3</v>
      </c>
      <c r="D94" s="32" t="n">
        <f aca="false">INDEX(Inputs!$F$40:$F$87,C94)</f>
        <v>2</v>
      </c>
      <c r="E94" s="78" t="n">
        <f aca="false">INDEX(Inputs!$H$40:$H$87,C94)</f>
        <v>15</v>
      </c>
      <c r="F94" s="78" t="n">
        <f aca="false">INDEX(Inputs!$G$40:$G$87,C94)</f>
        <v>40</v>
      </c>
      <c r="G94" s="32" t="n">
        <f aca="false">INDEX(Inputs!$I$40:$I$87,C94)</f>
        <v>6</v>
      </c>
      <c r="H94" s="46" t="n">
        <f aca="false">MATCH(A94,Demand_History!$C:$C,0)+B94-1</f>
        <v>307</v>
      </c>
      <c r="I94" s="32" t="n">
        <f aca="false">INDEX(Forecast_Walkforward!$C:$C,H94)</f>
        <v>96</v>
      </c>
      <c r="J94" s="79" t="n">
        <f aca="false">INDEX(Forecast_Walkforward!$E:$E,H94)</f>
        <v>96.5</v>
      </c>
      <c r="K94" s="33" t="n">
        <f aca="false">Baseline_Weeks*J94</f>
        <v>386</v>
      </c>
      <c r="L94" s="46" t="n">
        <f aca="false">SUMIFS(P$85:P93,$B$85:$B93,$B94-$D94)</f>
        <v>54</v>
      </c>
      <c r="M94" s="46" t="n">
        <f aca="false">S93+L94</f>
        <v>145</v>
      </c>
      <c r="N94" s="46" t="n">
        <f aca="false">SUMIFS(P$85:P93,$B$85:$B93,"&gt;"&amp;($B94-$D94))</f>
        <v>132</v>
      </c>
      <c r="O94" s="46" t="n">
        <f aca="false">M94+N94</f>
        <v>277</v>
      </c>
      <c r="P94" s="47" t="n">
        <f aca="false">IF(O94&lt;K94,ROUNDUP((K94-O94)/G94,0)*G94,0)</f>
        <v>114</v>
      </c>
      <c r="Q94" s="46" t="n">
        <f aca="false">MIN(M94,I94)</f>
        <v>96</v>
      </c>
      <c r="R94" s="46" t="n">
        <f aca="false">I94-Q94</f>
        <v>0</v>
      </c>
      <c r="S94" s="46" t="n">
        <f aca="false">M94-Q94</f>
        <v>49</v>
      </c>
      <c r="T94" s="46" t="n">
        <f aca="false">IF(R94&gt;0,1,0)</f>
        <v>0</v>
      </c>
      <c r="U94" s="32" t="n">
        <f aca="false">INDEX(Forecast!$AY$7:$AY$54,C94)</f>
        <v>2</v>
      </c>
      <c r="V94" s="33" t="n">
        <f aca="false">CHOOSE(U94,INDEX(Forecast_Walkforward!$D:$D,H94),INDEX(Forecast_Walkforward!$E:$E,H94),INDEX(Forecast_Walkforward!$F:$F,H94),INDEX(Forecast_Walkforward!$G:$G,H94))</f>
        <v>96.5</v>
      </c>
      <c r="W94" s="79" t="n">
        <f aca="false">INDEX(Forecast!$BA$7:$BA$54,C94)</f>
        <v>12.7446015247293</v>
      </c>
      <c r="X94" s="33" t="n">
        <f aca="false">Z_Value*W94*SQRT(D94)</f>
        <v>29.6461646242816</v>
      </c>
      <c r="Y94" s="33" t="n">
        <f aca="false">V94*D94+X94</f>
        <v>222.646164624282</v>
      </c>
      <c r="Z94" s="33" t="n">
        <f aca="false">SQRT((2*V94*Weeks_Per_Year*F94)/(E94*Holding_Rate))</f>
        <v>365.805048261138</v>
      </c>
      <c r="AA94" s="46" t="n">
        <f aca="false">ROUNDUP(Z94/G94,0)*G94</f>
        <v>366</v>
      </c>
      <c r="AB94" s="46" t="n">
        <f aca="false">SUMIFS(AF$85:AF93,$B$85:$B93,$B94-$D94)</f>
        <v>0</v>
      </c>
      <c r="AC94" s="46" t="n">
        <f aca="false">AI93+AB94</f>
        <v>71</v>
      </c>
      <c r="AD94" s="46" t="n">
        <f aca="false">SUMIFS(AF$85:AF93,$B$85:$B93,"&gt;"&amp;($B94-$D94))</f>
        <v>366</v>
      </c>
      <c r="AE94" s="46" t="n">
        <f aca="false">AC94+AD94</f>
        <v>437</v>
      </c>
      <c r="AF94" s="47" t="n">
        <f aca="false">IF(AE94&lt;=Y94,AA94,0)</f>
        <v>0</v>
      </c>
      <c r="AG94" s="46" t="n">
        <f aca="false">MIN(AC94,I94)</f>
        <v>71</v>
      </c>
      <c r="AH94" s="46" t="n">
        <f aca="false">I94-AG94</f>
        <v>25</v>
      </c>
      <c r="AI94" s="46" t="n">
        <f aca="false">AC94-AG94</f>
        <v>0</v>
      </c>
      <c r="AJ94" s="46" t="n">
        <f aca="false">IF(AH94&gt;0,1,0)</f>
        <v>1</v>
      </c>
    </row>
    <row r="95" customFormat="false" ht="15" hidden="false" customHeight="false" outlineLevel="0" collapsed="false">
      <c r="A95" s="31" t="str">
        <f aca="false">Inputs!$B$42</f>
        <v>KIT-003</v>
      </c>
      <c r="B95" s="46" t="n">
        <f aca="false">B94+1</f>
        <v>99</v>
      </c>
      <c r="C95" s="46" t="n">
        <f aca="false">MATCH(A95,Inputs!$B$40:$B$87,0)</f>
        <v>3</v>
      </c>
      <c r="D95" s="32" t="n">
        <f aca="false">INDEX(Inputs!$F$40:$F$87,C95)</f>
        <v>2</v>
      </c>
      <c r="E95" s="78" t="n">
        <f aca="false">INDEX(Inputs!$H$40:$H$87,C95)</f>
        <v>15</v>
      </c>
      <c r="F95" s="78" t="n">
        <f aca="false">INDEX(Inputs!$G$40:$G$87,C95)</f>
        <v>40</v>
      </c>
      <c r="G95" s="32" t="n">
        <f aca="false">INDEX(Inputs!$I$40:$I$87,C95)</f>
        <v>6</v>
      </c>
      <c r="H95" s="46" t="n">
        <f aca="false">MATCH(A95,Demand_History!$C:$C,0)+B95-1</f>
        <v>308</v>
      </c>
      <c r="I95" s="32" t="n">
        <f aca="false">INDEX(Forecast_Walkforward!$C:$C,H95)</f>
        <v>91</v>
      </c>
      <c r="J95" s="79" t="n">
        <f aca="false">INDEX(Forecast_Walkforward!$E:$E,H95)</f>
        <v>99.25</v>
      </c>
      <c r="K95" s="33" t="n">
        <f aca="false">Baseline_Weeks*J95</f>
        <v>397</v>
      </c>
      <c r="L95" s="46" t="n">
        <f aca="false">SUMIFS(P$85:P94,$B$85:$B94,$B95-$D95)</f>
        <v>132</v>
      </c>
      <c r="M95" s="46" t="n">
        <f aca="false">S94+L95</f>
        <v>181</v>
      </c>
      <c r="N95" s="46" t="n">
        <f aca="false">SUMIFS(P$85:P94,$B$85:$B94,"&gt;"&amp;($B95-$D95))</f>
        <v>114</v>
      </c>
      <c r="O95" s="46" t="n">
        <f aca="false">M95+N95</f>
        <v>295</v>
      </c>
      <c r="P95" s="47" t="n">
        <f aca="false">IF(O95&lt;K95,ROUNDUP((K95-O95)/G95,0)*G95,0)</f>
        <v>102</v>
      </c>
      <c r="Q95" s="46" t="n">
        <f aca="false">MIN(M95,I95)</f>
        <v>91</v>
      </c>
      <c r="R95" s="46" t="n">
        <f aca="false">I95-Q95</f>
        <v>0</v>
      </c>
      <c r="S95" s="46" t="n">
        <f aca="false">M95-Q95</f>
        <v>90</v>
      </c>
      <c r="T95" s="46" t="n">
        <f aca="false">IF(R95&gt;0,1,0)</f>
        <v>0</v>
      </c>
      <c r="U95" s="32" t="n">
        <f aca="false">INDEX(Forecast!$AY$7:$AY$54,C95)</f>
        <v>2</v>
      </c>
      <c r="V95" s="33" t="n">
        <f aca="false">CHOOSE(U95,INDEX(Forecast_Walkforward!$D:$D,H95),INDEX(Forecast_Walkforward!$E:$E,H95),INDEX(Forecast_Walkforward!$F:$F,H95),INDEX(Forecast_Walkforward!$G:$G,H95))</f>
        <v>99.25</v>
      </c>
      <c r="W95" s="79" t="n">
        <f aca="false">INDEX(Forecast!$BA$7:$BA$54,C95)</f>
        <v>12.7446015247293</v>
      </c>
      <c r="X95" s="33" t="n">
        <f aca="false">Z_Value*W95*SQRT(D95)</f>
        <v>29.6461646242816</v>
      </c>
      <c r="Y95" s="33" t="n">
        <f aca="false">V95*D95+X95</f>
        <v>228.146164624282</v>
      </c>
      <c r="Z95" s="33" t="n">
        <f aca="false">SQRT((2*V95*Weeks_Per_Year*F95)/(E95*Holding_Rate))</f>
        <v>370.980682336246</v>
      </c>
      <c r="AA95" s="46" t="n">
        <f aca="false">ROUNDUP(Z95/G95,0)*G95</f>
        <v>372</v>
      </c>
      <c r="AB95" s="46" t="n">
        <f aca="false">SUMIFS(AF$85:AF94,$B$85:$B94,$B95-$D95)</f>
        <v>366</v>
      </c>
      <c r="AC95" s="46" t="n">
        <f aca="false">AI94+AB95</f>
        <v>366</v>
      </c>
      <c r="AD95" s="46" t="n">
        <f aca="false">SUMIFS(AF$85:AF94,$B$85:$B94,"&gt;"&amp;($B95-$D95))</f>
        <v>0</v>
      </c>
      <c r="AE95" s="46" t="n">
        <f aca="false">AC95+AD95</f>
        <v>366</v>
      </c>
      <c r="AF95" s="47" t="n">
        <f aca="false">IF(AE95&lt;=Y95,AA95,0)</f>
        <v>0</v>
      </c>
      <c r="AG95" s="46" t="n">
        <f aca="false">MIN(AC95,I95)</f>
        <v>91</v>
      </c>
      <c r="AH95" s="46" t="n">
        <f aca="false">I95-AG95</f>
        <v>0</v>
      </c>
      <c r="AI95" s="46" t="n">
        <f aca="false">AC95-AG95</f>
        <v>275</v>
      </c>
      <c r="AJ95" s="46" t="n">
        <f aca="false">IF(AH95&gt;0,1,0)</f>
        <v>0</v>
      </c>
    </row>
    <row r="96" customFormat="false" ht="15" hidden="false" customHeight="false" outlineLevel="0" collapsed="false">
      <c r="A96" s="31" t="str">
        <f aca="false">Inputs!$B$42</f>
        <v>KIT-003</v>
      </c>
      <c r="B96" s="46" t="n">
        <f aca="false">B95+1</f>
        <v>100</v>
      </c>
      <c r="C96" s="46" t="n">
        <f aca="false">MATCH(A96,Inputs!$B$40:$B$87,0)</f>
        <v>3</v>
      </c>
      <c r="D96" s="32" t="n">
        <f aca="false">INDEX(Inputs!$F$40:$F$87,C96)</f>
        <v>2</v>
      </c>
      <c r="E96" s="78" t="n">
        <f aca="false">INDEX(Inputs!$H$40:$H$87,C96)</f>
        <v>15</v>
      </c>
      <c r="F96" s="78" t="n">
        <f aca="false">INDEX(Inputs!$G$40:$G$87,C96)</f>
        <v>40</v>
      </c>
      <c r="G96" s="32" t="n">
        <f aca="false">INDEX(Inputs!$I$40:$I$87,C96)</f>
        <v>6</v>
      </c>
      <c r="H96" s="46" t="n">
        <f aca="false">MATCH(A96,Demand_History!$C:$C,0)+B96-1</f>
        <v>309</v>
      </c>
      <c r="I96" s="32" t="n">
        <f aca="false">INDEX(Forecast_Walkforward!$C:$C,H96)</f>
        <v>81</v>
      </c>
      <c r="J96" s="79" t="n">
        <f aca="false">INDEX(Forecast_Walkforward!$E:$E,H96)</f>
        <v>100.75</v>
      </c>
      <c r="K96" s="33" t="n">
        <f aca="false">Baseline_Weeks*J96</f>
        <v>403</v>
      </c>
      <c r="L96" s="46" t="n">
        <f aca="false">SUMIFS(P$85:P95,$B$85:$B95,$B96-$D96)</f>
        <v>114</v>
      </c>
      <c r="M96" s="46" t="n">
        <f aca="false">S95+L96</f>
        <v>204</v>
      </c>
      <c r="N96" s="46" t="n">
        <f aca="false">SUMIFS(P$85:P95,$B$85:$B95,"&gt;"&amp;($B96-$D96))</f>
        <v>102</v>
      </c>
      <c r="O96" s="46" t="n">
        <f aca="false">M96+N96</f>
        <v>306</v>
      </c>
      <c r="P96" s="47" t="n">
        <f aca="false">IF(O96&lt;K96,ROUNDUP((K96-O96)/G96,0)*G96,0)</f>
        <v>102</v>
      </c>
      <c r="Q96" s="46" t="n">
        <f aca="false">MIN(M96,I96)</f>
        <v>81</v>
      </c>
      <c r="R96" s="46" t="n">
        <f aca="false">I96-Q96</f>
        <v>0</v>
      </c>
      <c r="S96" s="46" t="n">
        <f aca="false">M96-Q96</f>
        <v>123</v>
      </c>
      <c r="T96" s="46" t="n">
        <f aca="false">IF(R96&gt;0,1,0)</f>
        <v>0</v>
      </c>
      <c r="U96" s="32" t="n">
        <f aca="false">INDEX(Forecast!$AY$7:$AY$54,C96)</f>
        <v>2</v>
      </c>
      <c r="V96" s="33" t="n">
        <f aca="false">CHOOSE(U96,INDEX(Forecast_Walkforward!$D:$D,H96),INDEX(Forecast_Walkforward!$E:$E,H96),INDEX(Forecast_Walkforward!$F:$F,H96),INDEX(Forecast_Walkforward!$G:$G,H96))</f>
        <v>100.75</v>
      </c>
      <c r="W96" s="79" t="n">
        <f aca="false">INDEX(Forecast!$BA$7:$BA$54,C96)</f>
        <v>12.7446015247293</v>
      </c>
      <c r="X96" s="33" t="n">
        <f aca="false">Z_Value*W96*SQRT(D96)</f>
        <v>29.6461646242816</v>
      </c>
      <c r="Y96" s="33" t="n">
        <f aca="false">V96*D96+X96</f>
        <v>231.146164624282</v>
      </c>
      <c r="Z96" s="33" t="n">
        <f aca="false">SQRT((2*V96*Weeks_Per_Year*F96)/(E96*Holding_Rate))</f>
        <v>373.773549982696</v>
      </c>
      <c r="AA96" s="46" t="n">
        <f aca="false">ROUNDUP(Z96/G96,0)*G96</f>
        <v>378</v>
      </c>
      <c r="AB96" s="46" t="n">
        <f aca="false">SUMIFS(AF$85:AF95,$B$85:$B95,$B96-$D96)</f>
        <v>0</v>
      </c>
      <c r="AC96" s="46" t="n">
        <f aca="false">AI95+AB96</f>
        <v>275</v>
      </c>
      <c r="AD96" s="46" t="n">
        <f aca="false">SUMIFS(AF$85:AF95,$B$85:$B95,"&gt;"&amp;($B96-$D96))</f>
        <v>0</v>
      </c>
      <c r="AE96" s="46" t="n">
        <f aca="false">AC96+AD96</f>
        <v>275</v>
      </c>
      <c r="AF96" s="47" t="n">
        <f aca="false">IF(AE96&lt;=Y96,AA96,0)</f>
        <v>0</v>
      </c>
      <c r="AG96" s="46" t="n">
        <f aca="false">MIN(AC96,I96)</f>
        <v>81</v>
      </c>
      <c r="AH96" s="46" t="n">
        <f aca="false">I96-AG96</f>
        <v>0</v>
      </c>
      <c r="AI96" s="46" t="n">
        <f aca="false">AC96-AG96</f>
        <v>194</v>
      </c>
      <c r="AJ96" s="46" t="n">
        <f aca="false">IF(AH96&gt;0,1,0)</f>
        <v>0</v>
      </c>
    </row>
    <row r="97" customFormat="false" ht="15" hidden="false" customHeight="false" outlineLevel="0" collapsed="false">
      <c r="A97" s="31" t="str">
        <f aca="false">Inputs!$B$42</f>
        <v>KIT-003</v>
      </c>
      <c r="B97" s="46" t="n">
        <f aca="false">B96+1</f>
        <v>101</v>
      </c>
      <c r="C97" s="46" t="n">
        <f aca="false">MATCH(A97,Inputs!$B$40:$B$87,0)</f>
        <v>3</v>
      </c>
      <c r="D97" s="32" t="n">
        <f aca="false">INDEX(Inputs!$F$40:$F$87,C97)</f>
        <v>2</v>
      </c>
      <c r="E97" s="78" t="n">
        <f aca="false">INDEX(Inputs!$H$40:$H$87,C97)</f>
        <v>15</v>
      </c>
      <c r="F97" s="78" t="n">
        <f aca="false">INDEX(Inputs!$G$40:$G$87,C97)</f>
        <v>40</v>
      </c>
      <c r="G97" s="32" t="n">
        <f aca="false">INDEX(Inputs!$I$40:$I$87,C97)</f>
        <v>6</v>
      </c>
      <c r="H97" s="46" t="n">
        <f aca="false">MATCH(A97,Demand_History!$C:$C,0)+B97-1</f>
        <v>310</v>
      </c>
      <c r="I97" s="32" t="n">
        <f aca="false">INDEX(Forecast_Walkforward!$C:$C,H97)</f>
        <v>96</v>
      </c>
      <c r="J97" s="79" t="n">
        <f aca="false">INDEX(Forecast_Walkforward!$E:$E,H97)</f>
        <v>92.25</v>
      </c>
      <c r="K97" s="33" t="n">
        <f aca="false">Baseline_Weeks*J97</f>
        <v>369</v>
      </c>
      <c r="L97" s="46" t="n">
        <f aca="false">SUMIFS(P$85:P96,$B$85:$B96,$B97-$D97)</f>
        <v>102</v>
      </c>
      <c r="M97" s="46" t="n">
        <f aca="false">S96+L97</f>
        <v>225</v>
      </c>
      <c r="N97" s="46" t="n">
        <f aca="false">SUMIFS(P$85:P96,$B$85:$B96,"&gt;"&amp;($B97-$D97))</f>
        <v>102</v>
      </c>
      <c r="O97" s="46" t="n">
        <f aca="false">M97+N97</f>
        <v>327</v>
      </c>
      <c r="P97" s="47" t="n">
        <f aca="false">IF(O97&lt;K97,ROUNDUP((K97-O97)/G97,0)*G97,0)</f>
        <v>42</v>
      </c>
      <c r="Q97" s="46" t="n">
        <f aca="false">MIN(M97,I97)</f>
        <v>96</v>
      </c>
      <c r="R97" s="46" t="n">
        <f aca="false">I97-Q97</f>
        <v>0</v>
      </c>
      <c r="S97" s="46" t="n">
        <f aca="false">M97-Q97</f>
        <v>129</v>
      </c>
      <c r="T97" s="46" t="n">
        <f aca="false">IF(R97&gt;0,1,0)</f>
        <v>0</v>
      </c>
      <c r="U97" s="32" t="n">
        <f aca="false">INDEX(Forecast!$AY$7:$AY$54,C97)</f>
        <v>2</v>
      </c>
      <c r="V97" s="33" t="n">
        <f aca="false">CHOOSE(U97,INDEX(Forecast_Walkforward!$D:$D,H97),INDEX(Forecast_Walkforward!$E:$E,H97),INDEX(Forecast_Walkforward!$F:$F,H97),INDEX(Forecast_Walkforward!$G:$G,H97))</f>
        <v>92.25</v>
      </c>
      <c r="W97" s="79" t="n">
        <f aca="false">INDEX(Forecast!$BA$7:$BA$54,C97)</f>
        <v>12.7446015247293</v>
      </c>
      <c r="X97" s="33" t="n">
        <f aca="false">Z_Value*W97*SQRT(D97)</f>
        <v>29.6461646242816</v>
      </c>
      <c r="Y97" s="33" t="n">
        <f aca="false">V97*D97+X97</f>
        <v>214.146164624282</v>
      </c>
      <c r="Z97" s="33" t="n">
        <f aca="false">SQRT((2*V97*Weeks_Per_Year*F97)/(E97*Holding_Rate))</f>
        <v>357.659055526349</v>
      </c>
      <c r="AA97" s="46" t="n">
        <f aca="false">ROUNDUP(Z97/G97,0)*G97</f>
        <v>360</v>
      </c>
      <c r="AB97" s="46" t="n">
        <f aca="false">SUMIFS(AF$85:AF96,$B$85:$B96,$B97-$D97)</f>
        <v>0</v>
      </c>
      <c r="AC97" s="46" t="n">
        <f aca="false">AI96+AB97</f>
        <v>194</v>
      </c>
      <c r="AD97" s="46" t="n">
        <f aca="false">SUMIFS(AF$85:AF96,$B$85:$B96,"&gt;"&amp;($B97-$D97))</f>
        <v>0</v>
      </c>
      <c r="AE97" s="46" t="n">
        <f aca="false">AC97+AD97</f>
        <v>194</v>
      </c>
      <c r="AF97" s="47" t="n">
        <f aca="false">IF(AE97&lt;=Y97,AA97,0)</f>
        <v>360</v>
      </c>
      <c r="AG97" s="46" t="n">
        <f aca="false">MIN(AC97,I97)</f>
        <v>96</v>
      </c>
      <c r="AH97" s="46" t="n">
        <f aca="false">I97-AG97</f>
        <v>0</v>
      </c>
      <c r="AI97" s="46" t="n">
        <f aca="false">AC97-AG97</f>
        <v>98</v>
      </c>
      <c r="AJ97" s="46" t="n">
        <f aca="false">IF(AH97&gt;0,1,0)</f>
        <v>0</v>
      </c>
    </row>
    <row r="98" customFormat="false" ht="15" hidden="false" customHeight="false" outlineLevel="0" collapsed="false">
      <c r="A98" s="31" t="str">
        <f aca="false">Inputs!$B$42</f>
        <v>KIT-003</v>
      </c>
      <c r="B98" s="46" t="n">
        <f aca="false">B97+1</f>
        <v>102</v>
      </c>
      <c r="C98" s="46" t="n">
        <f aca="false">MATCH(A98,Inputs!$B$40:$B$87,0)</f>
        <v>3</v>
      </c>
      <c r="D98" s="32" t="n">
        <f aca="false">INDEX(Inputs!$F$40:$F$87,C98)</f>
        <v>2</v>
      </c>
      <c r="E98" s="78" t="n">
        <f aca="false">INDEX(Inputs!$H$40:$H$87,C98)</f>
        <v>15</v>
      </c>
      <c r="F98" s="78" t="n">
        <f aca="false">INDEX(Inputs!$G$40:$G$87,C98)</f>
        <v>40</v>
      </c>
      <c r="G98" s="32" t="n">
        <f aca="false">INDEX(Inputs!$I$40:$I$87,C98)</f>
        <v>6</v>
      </c>
      <c r="H98" s="46" t="n">
        <f aca="false">MATCH(A98,Demand_History!$C:$C,0)+B98-1</f>
        <v>311</v>
      </c>
      <c r="I98" s="32" t="n">
        <f aca="false">INDEX(Forecast_Walkforward!$C:$C,H98)</f>
        <v>109</v>
      </c>
      <c r="J98" s="79" t="n">
        <f aca="false">INDEX(Forecast_Walkforward!$E:$E,H98)</f>
        <v>91</v>
      </c>
      <c r="K98" s="33" t="n">
        <f aca="false">Baseline_Weeks*J98</f>
        <v>364</v>
      </c>
      <c r="L98" s="46" t="n">
        <f aca="false">SUMIFS(P$85:P97,$B$85:$B97,$B98-$D98)</f>
        <v>102</v>
      </c>
      <c r="M98" s="46" t="n">
        <f aca="false">S97+L98</f>
        <v>231</v>
      </c>
      <c r="N98" s="46" t="n">
        <f aca="false">SUMIFS(P$85:P97,$B$85:$B97,"&gt;"&amp;($B98-$D98))</f>
        <v>42</v>
      </c>
      <c r="O98" s="46" t="n">
        <f aca="false">M98+N98</f>
        <v>273</v>
      </c>
      <c r="P98" s="47" t="n">
        <f aca="false">IF(O98&lt;K98,ROUNDUP((K98-O98)/G98,0)*G98,0)</f>
        <v>96</v>
      </c>
      <c r="Q98" s="46" t="n">
        <f aca="false">MIN(M98,I98)</f>
        <v>109</v>
      </c>
      <c r="R98" s="46" t="n">
        <f aca="false">I98-Q98</f>
        <v>0</v>
      </c>
      <c r="S98" s="46" t="n">
        <f aca="false">M98-Q98</f>
        <v>122</v>
      </c>
      <c r="T98" s="46" t="n">
        <f aca="false">IF(R98&gt;0,1,0)</f>
        <v>0</v>
      </c>
      <c r="U98" s="32" t="n">
        <f aca="false">INDEX(Forecast!$AY$7:$AY$54,C98)</f>
        <v>2</v>
      </c>
      <c r="V98" s="33" t="n">
        <f aca="false">CHOOSE(U98,INDEX(Forecast_Walkforward!$D:$D,H98),INDEX(Forecast_Walkforward!$E:$E,H98),INDEX(Forecast_Walkforward!$F:$F,H98),INDEX(Forecast_Walkforward!$G:$G,H98))</f>
        <v>91</v>
      </c>
      <c r="W98" s="79" t="n">
        <f aca="false">INDEX(Forecast!$BA$7:$BA$54,C98)</f>
        <v>12.7446015247293</v>
      </c>
      <c r="X98" s="33" t="n">
        <f aca="false">Z_Value*W98*SQRT(D98)</f>
        <v>29.6461646242816</v>
      </c>
      <c r="Y98" s="33" t="n">
        <f aca="false">V98*D98+X98</f>
        <v>211.646164624282</v>
      </c>
      <c r="Z98" s="33" t="n">
        <f aca="false">SQRT((2*V98*Weeks_Per_Year*F98)/(E98*Holding_Rate))</f>
        <v>355.227626553266</v>
      </c>
      <c r="AA98" s="46" t="n">
        <f aca="false">ROUNDUP(Z98/G98,0)*G98</f>
        <v>360</v>
      </c>
      <c r="AB98" s="46" t="n">
        <f aca="false">SUMIFS(AF$85:AF97,$B$85:$B97,$B98-$D98)</f>
        <v>0</v>
      </c>
      <c r="AC98" s="46" t="n">
        <f aca="false">AI97+AB98</f>
        <v>98</v>
      </c>
      <c r="AD98" s="46" t="n">
        <f aca="false">SUMIFS(AF$85:AF97,$B$85:$B97,"&gt;"&amp;($B98-$D98))</f>
        <v>360</v>
      </c>
      <c r="AE98" s="46" t="n">
        <f aca="false">AC98+AD98</f>
        <v>458</v>
      </c>
      <c r="AF98" s="47" t="n">
        <f aca="false">IF(AE98&lt;=Y98,AA98,0)</f>
        <v>0</v>
      </c>
      <c r="AG98" s="46" t="n">
        <f aca="false">MIN(AC98,I98)</f>
        <v>98</v>
      </c>
      <c r="AH98" s="46" t="n">
        <f aca="false">I98-AG98</f>
        <v>11</v>
      </c>
      <c r="AI98" s="46" t="n">
        <f aca="false">AC98-AG98</f>
        <v>0</v>
      </c>
      <c r="AJ98" s="46" t="n">
        <f aca="false">IF(AH98&gt;0,1,0)</f>
        <v>1</v>
      </c>
    </row>
    <row r="99" customFormat="false" ht="15" hidden="false" customHeight="false" outlineLevel="0" collapsed="false">
      <c r="A99" s="31" t="str">
        <f aca="false">Inputs!$B$42</f>
        <v>KIT-003</v>
      </c>
      <c r="B99" s="46" t="n">
        <f aca="false">B98+1</f>
        <v>103</v>
      </c>
      <c r="C99" s="46" t="n">
        <f aca="false">MATCH(A99,Inputs!$B$40:$B$87,0)</f>
        <v>3</v>
      </c>
      <c r="D99" s="32" t="n">
        <f aca="false">INDEX(Inputs!$F$40:$F$87,C99)</f>
        <v>2</v>
      </c>
      <c r="E99" s="78" t="n">
        <f aca="false">INDEX(Inputs!$H$40:$H$87,C99)</f>
        <v>15</v>
      </c>
      <c r="F99" s="78" t="n">
        <f aca="false">INDEX(Inputs!$G$40:$G$87,C99)</f>
        <v>40</v>
      </c>
      <c r="G99" s="32" t="n">
        <f aca="false">INDEX(Inputs!$I$40:$I$87,C99)</f>
        <v>6</v>
      </c>
      <c r="H99" s="46" t="n">
        <f aca="false">MATCH(A99,Demand_History!$C:$C,0)+B99-1</f>
        <v>312</v>
      </c>
      <c r="I99" s="32" t="n">
        <f aca="false">INDEX(Forecast_Walkforward!$C:$C,H99)</f>
        <v>92</v>
      </c>
      <c r="J99" s="79" t="n">
        <f aca="false">INDEX(Forecast_Walkforward!$E:$E,H99)</f>
        <v>94.25</v>
      </c>
      <c r="K99" s="33" t="n">
        <f aca="false">Baseline_Weeks*J99</f>
        <v>377</v>
      </c>
      <c r="L99" s="46" t="n">
        <f aca="false">SUMIFS(P$85:P98,$B$85:$B98,$B99-$D99)</f>
        <v>42</v>
      </c>
      <c r="M99" s="46" t="n">
        <f aca="false">S98+L99</f>
        <v>164</v>
      </c>
      <c r="N99" s="46" t="n">
        <f aca="false">SUMIFS(P$85:P98,$B$85:$B98,"&gt;"&amp;($B99-$D99))</f>
        <v>96</v>
      </c>
      <c r="O99" s="46" t="n">
        <f aca="false">M99+N99</f>
        <v>260</v>
      </c>
      <c r="P99" s="47" t="n">
        <f aca="false">IF(O99&lt;K99,ROUNDUP((K99-O99)/G99,0)*G99,0)</f>
        <v>120</v>
      </c>
      <c r="Q99" s="46" t="n">
        <f aca="false">MIN(M99,I99)</f>
        <v>92</v>
      </c>
      <c r="R99" s="46" t="n">
        <f aca="false">I99-Q99</f>
        <v>0</v>
      </c>
      <c r="S99" s="46" t="n">
        <f aca="false">M99-Q99</f>
        <v>72</v>
      </c>
      <c r="T99" s="46" t="n">
        <f aca="false">IF(R99&gt;0,1,0)</f>
        <v>0</v>
      </c>
      <c r="U99" s="32" t="n">
        <f aca="false">INDEX(Forecast!$AY$7:$AY$54,C99)</f>
        <v>2</v>
      </c>
      <c r="V99" s="33" t="n">
        <f aca="false">CHOOSE(U99,INDEX(Forecast_Walkforward!$D:$D,H99),INDEX(Forecast_Walkforward!$E:$E,H99),INDEX(Forecast_Walkforward!$F:$F,H99),INDEX(Forecast_Walkforward!$G:$G,H99))</f>
        <v>94.25</v>
      </c>
      <c r="W99" s="79" t="n">
        <f aca="false">INDEX(Forecast!$BA$7:$BA$54,C99)</f>
        <v>12.7446015247293</v>
      </c>
      <c r="X99" s="33" t="n">
        <f aca="false">Z_Value*W99*SQRT(D99)</f>
        <v>29.6461646242816</v>
      </c>
      <c r="Y99" s="33" t="n">
        <f aca="false">V99*D99+X99</f>
        <v>218.146164624282</v>
      </c>
      <c r="Z99" s="33" t="n">
        <f aca="false">SQRT((2*V99*Weeks_Per_Year*F99)/(E99*Holding_Rate))</f>
        <v>361.51532931998</v>
      </c>
      <c r="AA99" s="46" t="n">
        <f aca="false">ROUNDUP(Z99/G99,0)*G99</f>
        <v>366</v>
      </c>
      <c r="AB99" s="46" t="n">
        <f aca="false">SUMIFS(AF$85:AF98,$B$85:$B98,$B99-$D99)</f>
        <v>360</v>
      </c>
      <c r="AC99" s="46" t="n">
        <f aca="false">AI98+AB99</f>
        <v>360</v>
      </c>
      <c r="AD99" s="46" t="n">
        <f aca="false">SUMIFS(AF$85:AF98,$B$85:$B98,"&gt;"&amp;($B99-$D99))</f>
        <v>0</v>
      </c>
      <c r="AE99" s="46" t="n">
        <f aca="false">AC99+AD99</f>
        <v>360</v>
      </c>
      <c r="AF99" s="47" t="n">
        <f aca="false">IF(AE99&lt;=Y99,AA99,0)</f>
        <v>0</v>
      </c>
      <c r="AG99" s="46" t="n">
        <f aca="false">MIN(AC99,I99)</f>
        <v>92</v>
      </c>
      <c r="AH99" s="46" t="n">
        <f aca="false">I99-AG99</f>
        <v>0</v>
      </c>
      <c r="AI99" s="46" t="n">
        <f aca="false">AC99-AG99</f>
        <v>268</v>
      </c>
      <c r="AJ99" s="46" t="n">
        <f aca="false">IF(AH99&gt;0,1,0)</f>
        <v>0</v>
      </c>
    </row>
    <row r="100" customFormat="false" ht="15" hidden="false" customHeight="false" outlineLevel="0" collapsed="false">
      <c r="A100" s="80" t="str">
        <f aca="false">Inputs!$B$42</f>
        <v>KIT-003</v>
      </c>
      <c r="B100" s="81" t="n">
        <f aca="false">B99+1</f>
        <v>104</v>
      </c>
      <c r="C100" s="81" t="n">
        <f aca="false">MATCH(A100,Inputs!$B$40:$B$87,0)</f>
        <v>3</v>
      </c>
      <c r="D100" s="82" t="n">
        <f aca="false">INDEX(Inputs!$F$40:$F$87,C100)</f>
        <v>2</v>
      </c>
      <c r="E100" s="83" t="n">
        <f aca="false">INDEX(Inputs!$H$40:$H$87,C100)</f>
        <v>15</v>
      </c>
      <c r="F100" s="83" t="n">
        <f aca="false">INDEX(Inputs!$G$40:$G$87,C100)</f>
        <v>40</v>
      </c>
      <c r="G100" s="82" t="n">
        <f aca="false">INDEX(Inputs!$I$40:$I$87,C100)</f>
        <v>6</v>
      </c>
      <c r="H100" s="81" t="n">
        <f aca="false">MATCH(A100,Demand_History!$C:$C,0)+B100-1</f>
        <v>313</v>
      </c>
      <c r="I100" s="82" t="n">
        <f aca="false">INDEX(Forecast_Walkforward!$C:$C,H100)</f>
        <v>95</v>
      </c>
      <c r="J100" s="84" t="n">
        <f aca="false">INDEX(Forecast_Walkforward!$E:$E,H100)</f>
        <v>94.5</v>
      </c>
      <c r="K100" s="85" t="n">
        <f aca="false">Baseline_Weeks*J100</f>
        <v>378</v>
      </c>
      <c r="L100" s="81" t="n">
        <f aca="false">SUMIFS(P$85:P99,$B$85:$B99,$B100-$D100)</f>
        <v>96</v>
      </c>
      <c r="M100" s="81" t="n">
        <f aca="false">S99+L100</f>
        <v>168</v>
      </c>
      <c r="N100" s="81" t="n">
        <f aca="false">SUMIFS(P$85:P99,$B$85:$B99,"&gt;"&amp;($B100-$D100))</f>
        <v>120</v>
      </c>
      <c r="O100" s="81" t="n">
        <f aca="false">M100+N100</f>
        <v>288</v>
      </c>
      <c r="P100" s="86" t="n">
        <f aca="false">IF(O100&lt;K100,ROUNDUP((K100-O100)/G100,0)*G100,0)</f>
        <v>90</v>
      </c>
      <c r="Q100" s="81" t="n">
        <f aca="false">MIN(M100,I100)</f>
        <v>95</v>
      </c>
      <c r="R100" s="81" t="n">
        <f aca="false">I100-Q100</f>
        <v>0</v>
      </c>
      <c r="S100" s="81" t="n">
        <f aca="false">M100-Q100</f>
        <v>73</v>
      </c>
      <c r="T100" s="81" t="n">
        <f aca="false">IF(R100&gt;0,1,0)</f>
        <v>0</v>
      </c>
      <c r="U100" s="82" t="n">
        <f aca="false">INDEX(Forecast!$AY$7:$AY$54,C100)</f>
        <v>2</v>
      </c>
      <c r="V100" s="85" t="n">
        <f aca="false">CHOOSE(U100,INDEX(Forecast_Walkforward!$D:$D,H100),INDEX(Forecast_Walkforward!$E:$E,H100),INDEX(Forecast_Walkforward!$F:$F,H100),INDEX(Forecast_Walkforward!$G:$G,H100))</f>
        <v>94.5</v>
      </c>
      <c r="W100" s="84" t="n">
        <f aca="false">INDEX(Forecast!$BA$7:$BA$54,C100)</f>
        <v>12.7446015247293</v>
      </c>
      <c r="X100" s="85" t="n">
        <f aca="false">Z_Value*W100*SQRT(D100)</f>
        <v>29.6461646242816</v>
      </c>
      <c r="Y100" s="85" t="n">
        <f aca="false">V100*D100+X100</f>
        <v>218.646164624282</v>
      </c>
      <c r="Z100" s="85" t="n">
        <f aca="false">SQRT((2*V100*Weeks_Per_Year*F100)/(E100*Holding_Rate))</f>
        <v>361.994475095961</v>
      </c>
      <c r="AA100" s="81" t="n">
        <f aca="false">ROUNDUP(Z100/G100,0)*G100</f>
        <v>366</v>
      </c>
      <c r="AB100" s="81" t="n">
        <f aca="false">SUMIFS(AF$85:AF99,$B$85:$B99,$B100-$D100)</f>
        <v>0</v>
      </c>
      <c r="AC100" s="81" t="n">
        <f aca="false">AI99+AB100</f>
        <v>268</v>
      </c>
      <c r="AD100" s="81" t="n">
        <f aca="false">SUMIFS(AF$85:AF99,$B$85:$B99,"&gt;"&amp;($B100-$D100))</f>
        <v>0</v>
      </c>
      <c r="AE100" s="81" t="n">
        <f aca="false">AC100+AD100</f>
        <v>268</v>
      </c>
      <c r="AF100" s="86" t="n">
        <f aca="false">IF(AE100&lt;=Y100,AA100,0)</f>
        <v>0</v>
      </c>
      <c r="AG100" s="81" t="n">
        <f aca="false">MIN(AC100,I100)</f>
        <v>95</v>
      </c>
      <c r="AH100" s="81" t="n">
        <f aca="false">I100-AG100</f>
        <v>0</v>
      </c>
      <c r="AI100" s="81" t="n">
        <f aca="false">AC100-AG100</f>
        <v>173</v>
      </c>
      <c r="AJ100" s="81" t="n">
        <f aca="false">IF(AH100&gt;0,1,0)</f>
        <v>0</v>
      </c>
    </row>
    <row r="101" customFormat="false" ht="15" hidden="false" customHeight="false" outlineLevel="0" collapsed="false">
      <c r="A101" s="31" t="str">
        <f aca="false">Inputs!$B$43</f>
        <v>KIT-004</v>
      </c>
      <c r="B101" s="46" t="n">
        <f aca="false">BT_Start_Week</f>
        <v>89</v>
      </c>
      <c r="C101" s="46" t="n">
        <f aca="false">MATCH(A101,Inputs!$B$40:$B$87,0)</f>
        <v>4</v>
      </c>
      <c r="D101" s="32" t="n">
        <f aca="false">INDEX(Inputs!$F$40:$F$87,C101)</f>
        <v>2</v>
      </c>
      <c r="E101" s="78" t="n">
        <f aca="false">INDEX(Inputs!$H$40:$H$87,C101)</f>
        <v>9</v>
      </c>
      <c r="F101" s="78" t="n">
        <f aca="false">INDEX(Inputs!$G$40:$G$87,C101)</f>
        <v>40</v>
      </c>
      <c r="G101" s="32" t="n">
        <f aca="false">INDEX(Inputs!$I$40:$I$87,C101)</f>
        <v>12</v>
      </c>
      <c r="H101" s="46" t="n">
        <f aca="false">MATCH(A101,Demand_History!$C:$C,0)+B101-1</f>
        <v>402</v>
      </c>
      <c r="I101" s="32" t="n">
        <f aca="false">INDEX(Forecast_Walkforward!$C:$C,H101)</f>
        <v>100</v>
      </c>
      <c r="J101" s="79" t="n">
        <f aca="false">INDEX(Forecast_Walkforward!$E:$E,H101)</f>
        <v>88.5</v>
      </c>
      <c r="K101" s="33" t="n">
        <f aca="false">Baseline_Weeks*J101</f>
        <v>354</v>
      </c>
      <c r="L101" s="46" t="n">
        <f aca="false">0</f>
        <v>0</v>
      </c>
      <c r="M101" s="46" t="n">
        <f aca="false">ROUND(BT_Open_Cover*INDEX(Forecast_Walkforward!$F:$F,H101),0)+L101</f>
        <v>530</v>
      </c>
      <c r="N101" s="46" t="n">
        <f aca="false">0</f>
        <v>0</v>
      </c>
      <c r="O101" s="46" t="n">
        <f aca="false">M101+N101</f>
        <v>530</v>
      </c>
      <c r="P101" s="47" t="n">
        <f aca="false">IF(O101&lt;K101,ROUNDUP((K101-O101)/G101,0)*G101,0)</f>
        <v>0</v>
      </c>
      <c r="Q101" s="46" t="n">
        <f aca="false">MIN(M101,I101)</f>
        <v>100</v>
      </c>
      <c r="R101" s="46" t="n">
        <f aca="false">I101-Q101</f>
        <v>0</v>
      </c>
      <c r="S101" s="46" t="n">
        <f aca="false">M101-Q101</f>
        <v>430</v>
      </c>
      <c r="T101" s="46" t="n">
        <f aca="false">IF(R101&gt;0,1,0)</f>
        <v>0</v>
      </c>
      <c r="U101" s="32" t="n">
        <f aca="false">INDEX(Forecast!$AY$7:$AY$54,C101)</f>
        <v>2</v>
      </c>
      <c r="V101" s="33" t="n">
        <f aca="false">CHOOSE(U101,INDEX(Forecast_Walkforward!$D:$D,H101),INDEX(Forecast_Walkforward!$E:$E,H101),INDEX(Forecast_Walkforward!$F:$F,H101),INDEX(Forecast_Walkforward!$G:$G,H101))</f>
        <v>88.5</v>
      </c>
      <c r="W101" s="79" t="n">
        <f aca="false">INDEX(Forecast!$BA$7:$BA$54,C101)</f>
        <v>10.55274205214</v>
      </c>
      <c r="X101" s="33" t="n">
        <f aca="false">Z_Value*W101*SQRT(D101)</f>
        <v>24.5475174338154</v>
      </c>
      <c r="Y101" s="33" t="n">
        <f aca="false">V101*D101+X101</f>
        <v>201.547517433815</v>
      </c>
      <c r="Z101" s="33" t="n">
        <f aca="false">SQRT((2*V101*Weeks_Per_Year*F101)/(E101*Holding_Rate))</f>
        <v>452.25361616391</v>
      </c>
      <c r="AA101" s="46" t="n">
        <f aca="false">ROUNDUP(Z101/G101,0)*G101</f>
        <v>456</v>
      </c>
      <c r="AB101" s="46" t="n">
        <f aca="false">0</f>
        <v>0</v>
      </c>
      <c r="AC101" s="46" t="n">
        <f aca="false">ROUND(BT_Open_Cover*INDEX(Forecast_Walkforward!$F:$F,H101),0)+AB101</f>
        <v>530</v>
      </c>
      <c r="AD101" s="46" t="n">
        <f aca="false">0</f>
        <v>0</v>
      </c>
      <c r="AE101" s="46" t="n">
        <f aca="false">AC101+AD101</f>
        <v>530</v>
      </c>
      <c r="AF101" s="47" t="n">
        <f aca="false">IF(AE101&lt;=Y101,AA101,0)</f>
        <v>0</v>
      </c>
      <c r="AG101" s="46" t="n">
        <f aca="false">MIN(AC101,I101)</f>
        <v>100</v>
      </c>
      <c r="AH101" s="46" t="n">
        <f aca="false">I101-AG101</f>
        <v>0</v>
      </c>
      <c r="AI101" s="46" t="n">
        <f aca="false">AC101-AG101</f>
        <v>430</v>
      </c>
      <c r="AJ101" s="46" t="n">
        <f aca="false">IF(AH101&gt;0,1,0)</f>
        <v>0</v>
      </c>
    </row>
    <row r="102" customFormat="false" ht="15" hidden="false" customHeight="false" outlineLevel="0" collapsed="false">
      <c r="A102" s="31" t="str">
        <f aca="false">Inputs!$B$43</f>
        <v>KIT-004</v>
      </c>
      <c r="B102" s="46" t="n">
        <f aca="false">B101+1</f>
        <v>90</v>
      </c>
      <c r="C102" s="46" t="n">
        <f aca="false">MATCH(A102,Inputs!$B$40:$B$87,0)</f>
        <v>4</v>
      </c>
      <c r="D102" s="32" t="n">
        <f aca="false">INDEX(Inputs!$F$40:$F$87,C102)</f>
        <v>2</v>
      </c>
      <c r="E102" s="78" t="n">
        <f aca="false">INDEX(Inputs!$H$40:$H$87,C102)</f>
        <v>9</v>
      </c>
      <c r="F102" s="78" t="n">
        <f aca="false">INDEX(Inputs!$G$40:$G$87,C102)</f>
        <v>40</v>
      </c>
      <c r="G102" s="32" t="n">
        <f aca="false">INDEX(Inputs!$I$40:$I$87,C102)</f>
        <v>12</v>
      </c>
      <c r="H102" s="46" t="n">
        <f aca="false">MATCH(A102,Demand_History!$C:$C,0)+B102-1</f>
        <v>403</v>
      </c>
      <c r="I102" s="32" t="n">
        <f aca="false">INDEX(Forecast_Walkforward!$C:$C,H102)</f>
        <v>92</v>
      </c>
      <c r="J102" s="79" t="n">
        <f aca="false">INDEX(Forecast_Walkforward!$E:$E,H102)</f>
        <v>93</v>
      </c>
      <c r="K102" s="33" t="n">
        <f aca="false">Baseline_Weeks*J102</f>
        <v>372</v>
      </c>
      <c r="L102" s="46" t="n">
        <f aca="false">SUMIFS(P$101:P101,$B$101:$B101,$B102-$D102)</f>
        <v>0</v>
      </c>
      <c r="M102" s="46" t="n">
        <f aca="false">S101+L102</f>
        <v>430</v>
      </c>
      <c r="N102" s="46" t="n">
        <f aca="false">SUMIFS(P$101:P101,$B$101:$B101,"&gt;"&amp;($B102-$D102))</f>
        <v>0</v>
      </c>
      <c r="O102" s="46" t="n">
        <f aca="false">M102+N102</f>
        <v>430</v>
      </c>
      <c r="P102" s="47" t="n">
        <f aca="false">IF(O102&lt;K102,ROUNDUP((K102-O102)/G102,0)*G102,0)</f>
        <v>0</v>
      </c>
      <c r="Q102" s="46" t="n">
        <f aca="false">MIN(M102,I102)</f>
        <v>92</v>
      </c>
      <c r="R102" s="46" t="n">
        <f aca="false">I102-Q102</f>
        <v>0</v>
      </c>
      <c r="S102" s="46" t="n">
        <f aca="false">M102-Q102</f>
        <v>338</v>
      </c>
      <c r="T102" s="46" t="n">
        <f aca="false">IF(R102&gt;0,1,0)</f>
        <v>0</v>
      </c>
      <c r="U102" s="32" t="n">
        <f aca="false">INDEX(Forecast!$AY$7:$AY$54,C102)</f>
        <v>2</v>
      </c>
      <c r="V102" s="33" t="n">
        <f aca="false">CHOOSE(U102,INDEX(Forecast_Walkforward!$D:$D,H102),INDEX(Forecast_Walkforward!$E:$E,H102),INDEX(Forecast_Walkforward!$F:$F,H102),INDEX(Forecast_Walkforward!$G:$G,H102))</f>
        <v>93</v>
      </c>
      <c r="W102" s="79" t="n">
        <f aca="false">INDEX(Forecast!$BA$7:$BA$54,C102)</f>
        <v>10.55274205214</v>
      </c>
      <c r="X102" s="33" t="n">
        <f aca="false">Z_Value*W102*SQRT(D102)</f>
        <v>24.5475174338154</v>
      </c>
      <c r="Y102" s="33" t="n">
        <f aca="false">V102*D102+X102</f>
        <v>210.547517433815</v>
      </c>
      <c r="Z102" s="33" t="n">
        <f aca="false">SQRT((2*V102*Weeks_Per_Year*F102)/(E102*Holding_Rate))</f>
        <v>463.609030685699</v>
      </c>
      <c r="AA102" s="46" t="n">
        <f aca="false">ROUNDUP(Z102/G102,0)*G102</f>
        <v>468</v>
      </c>
      <c r="AB102" s="46" t="n">
        <f aca="false">SUMIFS(AF$101:AF101,$B$101:$B101,$B102-$D102)</f>
        <v>0</v>
      </c>
      <c r="AC102" s="46" t="n">
        <f aca="false">AI101+AB102</f>
        <v>430</v>
      </c>
      <c r="AD102" s="46" t="n">
        <f aca="false">SUMIFS(AF$101:AF101,$B$101:$B101,"&gt;"&amp;($B102-$D102))</f>
        <v>0</v>
      </c>
      <c r="AE102" s="46" t="n">
        <f aca="false">AC102+AD102</f>
        <v>430</v>
      </c>
      <c r="AF102" s="47" t="n">
        <f aca="false">IF(AE102&lt;=Y102,AA102,0)</f>
        <v>0</v>
      </c>
      <c r="AG102" s="46" t="n">
        <f aca="false">MIN(AC102,I102)</f>
        <v>92</v>
      </c>
      <c r="AH102" s="46" t="n">
        <f aca="false">I102-AG102</f>
        <v>0</v>
      </c>
      <c r="AI102" s="46" t="n">
        <f aca="false">AC102-AG102</f>
        <v>338</v>
      </c>
      <c r="AJ102" s="46" t="n">
        <f aca="false">IF(AH102&gt;0,1,0)</f>
        <v>0</v>
      </c>
    </row>
    <row r="103" customFormat="false" ht="15" hidden="false" customHeight="false" outlineLevel="0" collapsed="false">
      <c r="A103" s="31" t="str">
        <f aca="false">Inputs!$B$43</f>
        <v>KIT-004</v>
      </c>
      <c r="B103" s="46" t="n">
        <f aca="false">B102+1</f>
        <v>91</v>
      </c>
      <c r="C103" s="46" t="n">
        <f aca="false">MATCH(A103,Inputs!$B$40:$B$87,0)</f>
        <v>4</v>
      </c>
      <c r="D103" s="32" t="n">
        <f aca="false">INDEX(Inputs!$F$40:$F$87,C103)</f>
        <v>2</v>
      </c>
      <c r="E103" s="78" t="n">
        <f aca="false">INDEX(Inputs!$H$40:$H$87,C103)</f>
        <v>9</v>
      </c>
      <c r="F103" s="78" t="n">
        <f aca="false">INDEX(Inputs!$G$40:$G$87,C103)</f>
        <v>40</v>
      </c>
      <c r="G103" s="32" t="n">
        <f aca="false">INDEX(Inputs!$I$40:$I$87,C103)</f>
        <v>12</v>
      </c>
      <c r="H103" s="46" t="n">
        <f aca="false">MATCH(A103,Demand_History!$C:$C,0)+B103-1</f>
        <v>404</v>
      </c>
      <c r="I103" s="32" t="n">
        <f aca="false">INDEX(Forecast_Walkforward!$C:$C,H103)</f>
        <v>78</v>
      </c>
      <c r="J103" s="79" t="n">
        <f aca="false">INDEX(Forecast_Walkforward!$E:$E,H103)</f>
        <v>93</v>
      </c>
      <c r="K103" s="33" t="n">
        <f aca="false">Baseline_Weeks*J103</f>
        <v>372</v>
      </c>
      <c r="L103" s="46" t="n">
        <f aca="false">SUMIFS(P$101:P102,$B$101:$B102,$B103-$D103)</f>
        <v>0</v>
      </c>
      <c r="M103" s="46" t="n">
        <f aca="false">S102+L103</f>
        <v>338</v>
      </c>
      <c r="N103" s="46" t="n">
        <f aca="false">SUMIFS(P$101:P102,$B$101:$B102,"&gt;"&amp;($B103-$D103))</f>
        <v>0</v>
      </c>
      <c r="O103" s="46" t="n">
        <f aca="false">M103+N103</f>
        <v>338</v>
      </c>
      <c r="P103" s="47" t="n">
        <f aca="false">IF(O103&lt;K103,ROUNDUP((K103-O103)/G103,0)*G103,0)</f>
        <v>36</v>
      </c>
      <c r="Q103" s="46" t="n">
        <f aca="false">MIN(M103,I103)</f>
        <v>78</v>
      </c>
      <c r="R103" s="46" t="n">
        <f aca="false">I103-Q103</f>
        <v>0</v>
      </c>
      <c r="S103" s="46" t="n">
        <f aca="false">M103-Q103</f>
        <v>260</v>
      </c>
      <c r="T103" s="46" t="n">
        <f aca="false">IF(R103&gt;0,1,0)</f>
        <v>0</v>
      </c>
      <c r="U103" s="32" t="n">
        <f aca="false">INDEX(Forecast!$AY$7:$AY$54,C103)</f>
        <v>2</v>
      </c>
      <c r="V103" s="33" t="n">
        <f aca="false">CHOOSE(U103,INDEX(Forecast_Walkforward!$D:$D,H103),INDEX(Forecast_Walkforward!$E:$E,H103),INDEX(Forecast_Walkforward!$F:$F,H103),INDEX(Forecast_Walkforward!$G:$G,H103))</f>
        <v>93</v>
      </c>
      <c r="W103" s="79" t="n">
        <f aca="false">INDEX(Forecast!$BA$7:$BA$54,C103)</f>
        <v>10.55274205214</v>
      </c>
      <c r="X103" s="33" t="n">
        <f aca="false">Z_Value*W103*SQRT(D103)</f>
        <v>24.5475174338154</v>
      </c>
      <c r="Y103" s="33" t="n">
        <f aca="false">V103*D103+X103</f>
        <v>210.547517433815</v>
      </c>
      <c r="Z103" s="33" t="n">
        <f aca="false">SQRT((2*V103*Weeks_Per_Year*F103)/(E103*Holding_Rate))</f>
        <v>463.609030685699</v>
      </c>
      <c r="AA103" s="46" t="n">
        <f aca="false">ROUNDUP(Z103/G103,0)*G103</f>
        <v>468</v>
      </c>
      <c r="AB103" s="46" t="n">
        <f aca="false">SUMIFS(AF$101:AF102,$B$101:$B102,$B103-$D103)</f>
        <v>0</v>
      </c>
      <c r="AC103" s="46" t="n">
        <f aca="false">AI102+AB103</f>
        <v>338</v>
      </c>
      <c r="AD103" s="46" t="n">
        <f aca="false">SUMIFS(AF$101:AF102,$B$101:$B102,"&gt;"&amp;($B103-$D103))</f>
        <v>0</v>
      </c>
      <c r="AE103" s="46" t="n">
        <f aca="false">AC103+AD103</f>
        <v>338</v>
      </c>
      <c r="AF103" s="47" t="n">
        <f aca="false">IF(AE103&lt;=Y103,AA103,0)</f>
        <v>0</v>
      </c>
      <c r="AG103" s="46" t="n">
        <f aca="false">MIN(AC103,I103)</f>
        <v>78</v>
      </c>
      <c r="AH103" s="46" t="n">
        <f aca="false">I103-AG103</f>
        <v>0</v>
      </c>
      <c r="AI103" s="46" t="n">
        <f aca="false">AC103-AG103</f>
        <v>260</v>
      </c>
      <c r="AJ103" s="46" t="n">
        <f aca="false">IF(AH103&gt;0,1,0)</f>
        <v>0</v>
      </c>
    </row>
    <row r="104" customFormat="false" ht="15" hidden="false" customHeight="false" outlineLevel="0" collapsed="false">
      <c r="A104" s="31" t="str">
        <f aca="false">Inputs!$B$43</f>
        <v>KIT-004</v>
      </c>
      <c r="B104" s="46" t="n">
        <f aca="false">B103+1</f>
        <v>92</v>
      </c>
      <c r="C104" s="46" t="n">
        <f aca="false">MATCH(A104,Inputs!$B$40:$B$87,0)</f>
        <v>4</v>
      </c>
      <c r="D104" s="32" t="n">
        <f aca="false">INDEX(Inputs!$F$40:$F$87,C104)</f>
        <v>2</v>
      </c>
      <c r="E104" s="78" t="n">
        <f aca="false">INDEX(Inputs!$H$40:$H$87,C104)</f>
        <v>9</v>
      </c>
      <c r="F104" s="78" t="n">
        <f aca="false">INDEX(Inputs!$G$40:$G$87,C104)</f>
        <v>40</v>
      </c>
      <c r="G104" s="32" t="n">
        <f aca="false">INDEX(Inputs!$I$40:$I$87,C104)</f>
        <v>12</v>
      </c>
      <c r="H104" s="46" t="n">
        <f aca="false">MATCH(A104,Demand_History!$C:$C,0)+B104-1</f>
        <v>405</v>
      </c>
      <c r="I104" s="32" t="n">
        <f aca="false">INDEX(Forecast_Walkforward!$C:$C,H104)</f>
        <v>81</v>
      </c>
      <c r="J104" s="79" t="n">
        <f aca="false">INDEX(Forecast_Walkforward!$E:$E,H104)</f>
        <v>89</v>
      </c>
      <c r="K104" s="33" t="n">
        <f aca="false">Baseline_Weeks*J104</f>
        <v>356</v>
      </c>
      <c r="L104" s="46" t="n">
        <f aca="false">SUMIFS(P$101:P103,$B$101:$B103,$B104-$D104)</f>
        <v>0</v>
      </c>
      <c r="M104" s="46" t="n">
        <f aca="false">S103+L104</f>
        <v>260</v>
      </c>
      <c r="N104" s="46" t="n">
        <f aca="false">SUMIFS(P$101:P103,$B$101:$B103,"&gt;"&amp;($B104-$D104))</f>
        <v>36</v>
      </c>
      <c r="O104" s="46" t="n">
        <f aca="false">M104+N104</f>
        <v>296</v>
      </c>
      <c r="P104" s="47" t="n">
        <f aca="false">IF(O104&lt;K104,ROUNDUP((K104-O104)/G104,0)*G104,0)</f>
        <v>60</v>
      </c>
      <c r="Q104" s="46" t="n">
        <f aca="false">MIN(M104,I104)</f>
        <v>81</v>
      </c>
      <c r="R104" s="46" t="n">
        <f aca="false">I104-Q104</f>
        <v>0</v>
      </c>
      <c r="S104" s="46" t="n">
        <f aca="false">M104-Q104</f>
        <v>179</v>
      </c>
      <c r="T104" s="46" t="n">
        <f aca="false">IF(R104&gt;0,1,0)</f>
        <v>0</v>
      </c>
      <c r="U104" s="32" t="n">
        <f aca="false">INDEX(Forecast!$AY$7:$AY$54,C104)</f>
        <v>2</v>
      </c>
      <c r="V104" s="33" t="n">
        <f aca="false">CHOOSE(U104,INDEX(Forecast_Walkforward!$D:$D,H104),INDEX(Forecast_Walkforward!$E:$E,H104),INDEX(Forecast_Walkforward!$F:$F,H104),INDEX(Forecast_Walkforward!$G:$G,H104))</f>
        <v>89</v>
      </c>
      <c r="W104" s="79" t="n">
        <f aca="false">INDEX(Forecast!$BA$7:$BA$54,C104)</f>
        <v>10.55274205214</v>
      </c>
      <c r="X104" s="33" t="n">
        <f aca="false">Z_Value*W104*SQRT(D104)</f>
        <v>24.5475174338154</v>
      </c>
      <c r="Y104" s="33" t="n">
        <f aca="false">V104*D104+X104</f>
        <v>202.547517433815</v>
      </c>
      <c r="Z104" s="33" t="n">
        <f aca="false">SQRT((2*V104*Weeks_Per_Year*F104)/(E104*Holding_Rate))</f>
        <v>453.529369378532</v>
      </c>
      <c r="AA104" s="46" t="n">
        <f aca="false">ROUNDUP(Z104/G104,0)*G104</f>
        <v>456</v>
      </c>
      <c r="AB104" s="46" t="n">
        <f aca="false">SUMIFS(AF$101:AF103,$B$101:$B103,$B104-$D104)</f>
        <v>0</v>
      </c>
      <c r="AC104" s="46" t="n">
        <f aca="false">AI103+AB104</f>
        <v>260</v>
      </c>
      <c r="AD104" s="46" t="n">
        <f aca="false">SUMIFS(AF$101:AF103,$B$101:$B103,"&gt;"&amp;($B104-$D104))</f>
        <v>0</v>
      </c>
      <c r="AE104" s="46" t="n">
        <f aca="false">AC104+AD104</f>
        <v>260</v>
      </c>
      <c r="AF104" s="47" t="n">
        <f aca="false">IF(AE104&lt;=Y104,AA104,0)</f>
        <v>0</v>
      </c>
      <c r="AG104" s="46" t="n">
        <f aca="false">MIN(AC104,I104)</f>
        <v>81</v>
      </c>
      <c r="AH104" s="46" t="n">
        <f aca="false">I104-AG104</f>
        <v>0</v>
      </c>
      <c r="AI104" s="46" t="n">
        <f aca="false">AC104-AG104</f>
        <v>179</v>
      </c>
      <c r="AJ104" s="46" t="n">
        <f aca="false">IF(AH104&gt;0,1,0)</f>
        <v>0</v>
      </c>
    </row>
    <row r="105" customFormat="false" ht="15" hidden="false" customHeight="false" outlineLevel="0" collapsed="false">
      <c r="A105" s="31" t="str">
        <f aca="false">Inputs!$B$43</f>
        <v>KIT-004</v>
      </c>
      <c r="B105" s="46" t="n">
        <f aca="false">B104+1</f>
        <v>93</v>
      </c>
      <c r="C105" s="46" t="n">
        <f aca="false">MATCH(A105,Inputs!$B$40:$B$87,0)</f>
        <v>4</v>
      </c>
      <c r="D105" s="32" t="n">
        <f aca="false">INDEX(Inputs!$F$40:$F$87,C105)</f>
        <v>2</v>
      </c>
      <c r="E105" s="78" t="n">
        <f aca="false">INDEX(Inputs!$H$40:$H$87,C105)</f>
        <v>9</v>
      </c>
      <c r="F105" s="78" t="n">
        <f aca="false">INDEX(Inputs!$G$40:$G$87,C105)</f>
        <v>40</v>
      </c>
      <c r="G105" s="32" t="n">
        <f aca="false">INDEX(Inputs!$I$40:$I$87,C105)</f>
        <v>12</v>
      </c>
      <c r="H105" s="46" t="n">
        <f aca="false">MATCH(A105,Demand_History!$C:$C,0)+B105-1</f>
        <v>406</v>
      </c>
      <c r="I105" s="32" t="n">
        <f aca="false">INDEX(Forecast_Walkforward!$C:$C,H105)</f>
        <v>98</v>
      </c>
      <c r="J105" s="79" t="n">
        <f aca="false">INDEX(Forecast_Walkforward!$E:$E,H105)</f>
        <v>87.75</v>
      </c>
      <c r="K105" s="33" t="n">
        <f aca="false">Baseline_Weeks*J105</f>
        <v>351</v>
      </c>
      <c r="L105" s="46" t="n">
        <f aca="false">SUMIFS(P$101:P104,$B$101:$B104,$B105-$D105)</f>
        <v>36</v>
      </c>
      <c r="M105" s="46" t="n">
        <f aca="false">S104+L105</f>
        <v>215</v>
      </c>
      <c r="N105" s="46" t="n">
        <f aca="false">SUMIFS(P$101:P104,$B$101:$B104,"&gt;"&amp;($B105-$D105))</f>
        <v>60</v>
      </c>
      <c r="O105" s="46" t="n">
        <f aca="false">M105+N105</f>
        <v>275</v>
      </c>
      <c r="P105" s="47" t="n">
        <f aca="false">IF(O105&lt;K105,ROUNDUP((K105-O105)/G105,0)*G105,0)</f>
        <v>84</v>
      </c>
      <c r="Q105" s="46" t="n">
        <f aca="false">MIN(M105,I105)</f>
        <v>98</v>
      </c>
      <c r="R105" s="46" t="n">
        <f aca="false">I105-Q105</f>
        <v>0</v>
      </c>
      <c r="S105" s="46" t="n">
        <f aca="false">M105-Q105</f>
        <v>117</v>
      </c>
      <c r="T105" s="46" t="n">
        <f aca="false">IF(R105&gt;0,1,0)</f>
        <v>0</v>
      </c>
      <c r="U105" s="32" t="n">
        <f aca="false">INDEX(Forecast!$AY$7:$AY$54,C105)</f>
        <v>2</v>
      </c>
      <c r="V105" s="33" t="n">
        <f aca="false">CHOOSE(U105,INDEX(Forecast_Walkforward!$D:$D,H105),INDEX(Forecast_Walkforward!$E:$E,H105),INDEX(Forecast_Walkforward!$F:$F,H105),INDEX(Forecast_Walkforward!$G:$G,H105))</f>
        <v>87.75</v>
      </c>
      <c r="W105" s="79" t="n">
        <f aca="false">INDEX(Forecast!$BA$7:$BA$54,C105)</f>
        <v>10.55274205214</v>
      </c>
      <c r="X105" s="33" t="n">
        <f aca="false">Z_Value*W105*SQRT(D105)</f>
        <v>24.5475174338154</v>
      </c>
      <c r="Y105" s="33" t="n">
        <f aca="false">V105*D105+X105</f>
        <v>200.047517433815</v>
      </c>
      <c r="Z105" s="33" t="n">
        <f aca="false">SQRT((2*V105*Weeks_Per_Year*F105)/(E105*Holding_Rate))</f>
        <v>450.333209967908</v>
      </c>
      <c r="AA105" s="46" t="n">
        <f aca="false">ROUNDUP(Z105/G105,0)*G105</f>
        <v>456</v>
      </c>
      <c r="AB105" s="46" t="n">
        <f aca="false">SUMIFS(AF$101:AF104,$B$101:$B104,$B105-$D105)</f>
        <v>0</v>
      </c>
      <c r="AC105" s="46" t="n">
        <f aca="false">AI104+AB105</f>
        <v>179</v>
      </c>
      <c r="AD105" s="46" t="n">
        <f aca="false">SUMIFS(AF$101:AF104,$B$101:$B104,"&gt;"&amp;($B105-$D105))</f>
        <v>0</v>
      </c>
      <c r="AE105" s="46" t="n">
        <f aca="false">AC105+AD105</f>
        <v>179</v>
      </c>
      <c r="AF105" s="47" t="n">
        <f aca="false">IF(AE105&lt;=Y105,AA105,0)</f>
        <v>456</v>
      </c>
      <c r="AG105" s="46" t="n">
        <f aca="false">MIN(AC105,I105)</f>
        <v>98</v>
      </c>
      <c r="AH105" s="46" t="n">
        <f aca="false">I105-AG105</f>
        <v>0</v>
      </c>
      <c r="AI105" s="46" t="n">
        <f aca="false">AC105-AG105</f>
        <v>81</v>
      </c>
      <c r="AJ105" s="46" t="n">
        <f aca="false">IF(AH105&gt;0,1,0)</f>
        <v>0</v>
      </c>
    </row>
    <row r="106" customFormat="false" ht="15" hidden="false" customHeight="false" outlineLevel="0" collapsed="false">
      <c r="A106" s="31" t="str">
        <f aca="false">Inputs!$B$43</f>
        <v>KIT-004</v>
      </c>
      <c r="B106" s="46" t="n">
        <f aca="false">B105+1</f>
        <v>94</v>
      </c>
      <c r="C106" s="46" t="n">
        <f aca="false">MATCH(A106,Inputs!$B$40:$B$87,0)</f>
        <v>4</v>
      </c>
      <c r="D106" s="32" t="n">
        <f aca="false">INDEX(Inputs!$F$40:$F$87,C106)</f>
        <v>2</v>
      </c>
      <c r="E106" s="78" t="n">
        <f aca="false">INDEX(Inputs!$H$40:$H$87,C106)</f>
        <v>9</v>
      </c>
      <c r="F106" s="78" t="n">
        <f aca="false">INDEX(Inputs!$G$40:$G$87,C106)</f>
        <v>40</v>
      </c>
      <c r="G106" s="32" t="n">
        <f aca="false">INDEX(Inputs!$I$40:$I$87,C106)</f>
        <v>12</v>
      </c>
      <c r="H106" s="46" t="n">
        <f aca="false">MATCH(A106,Demand_History!$C:$C,0)+B106-1</f>
        <v>407</v>
      </c>
      <c r="I106" s="32" t="n">
        <f aca="false">INDEX(Forecast_Walkforward!$C:$C,H106)</f>
        <v>94</v>
      </c>
      <c r="J106" s="79" t="n">
        <f aca="false">INDEX(Forecast_Walkforward!$E:$E,H106)</f>
        <v>87.25</v>
      </c>
      <c r="K106" s="33" t="n">
        <f aca="false">Baseline_Weeks*J106</f>
        <v>349</v>
      </c>
      <c r="L106" s="46" t="n">
        <f aca="false">SUMIFS(P$101:P105,$B$101:$B105,$B106-$D106)</f>
        <v>60</v>
      </c>
      <c r="M106" s="46" t="n">
        <f aca="false">S105+L106</f>
        <v>177</v>
      </c>
      <c r="N106" s="46" t="n">
        <f aca="false">SUMIFS(P$101:P105,$B$101:$B105,"&gt;"&amp;($B106-$D106))</f>
        <v>84</v>
      </c>
      <c r="O106" s="46" t="n">
        <f aca="false">M106+N106</f>
        <v>261</v>
      </c>
      <c r="P106" s="47" t="n">
        <f aca="false">IF(O106&lt;K106,ROUNDUP((K106-O106)/G106,0)*G106,0)</f>
        <v>96</v>
      </c>
      <c r="Q106" s="46" t="n">
        <f aca="false">MIN(M106,I106)</f>
        <v>94</v>
      </c>
      <c r="R106" s="46" t="n">
        <f aca="false">I106-Q106</f>
        <v>0</v>
      </c>
      <c r="S106" s="46" t="n">
        <f aca="false">M106-Q106</f>
        <v>83</v>
      </c>
      <c r="T106" s="46" t="n">
        <f aca="false">IF(R106&gt;0,1,0)</f>
        <v>0</v>
      </c>
      <c r="U106" s="32" t="n">
        <f aca="false">INDEX(Forecast!$AY$7:$AY$54,C106)</f>
        <v>2</v>
      </c>
      <c r="V106" s="33" t="n">
        <f aca="false">CHOOSE(U106,INDEX(Forecast_Walkforward!$D:$D,H106),INDEX(Forecast_Walkforward!$E:$E,H106),INDEX(Forecast_Walkforward!$F:$F,H106),INDEX(Forecast_Walkforward!$G:$G,H106))</f>
        <v>87.25</v>
      </c>
      <c r="W106" s="79" t="n">
        <f aca="false">INDEX(Forecast!$BA$7:$BA$54,C106)</f>
        <v>10.55274205214</v>
      </c>
      <c r="X106" s="33" t="n">
        <f aca="false">Z_Value*W106*SQRT(D106)</f>
        <v>24.5475174338154</v>
      </c>
      <c r="Y106" s="33" t="n">
        <f aca="false">V106*D106+X106</f>
        <v>199.047517433815</v>
      </c>
      <c r="Z106" s="33" t="n">
        <f aca="false">SQRT((2*V106*Weeks_Per_Year*F106)/(E106*Holding_Rate))</f>
        <v>449.048376507971</v>
      </c>
      <c r="AA106" s="46" t="n">
        <f aca="false">ROUNDUP(Z106/G106,0)*G106</f>
        <v>456</v>
      </c>
      <c r="AB106" s="46" t="n">
        <f aca="false">SUMIFS(AF$101:AF105,$B$101:$B105,$B106-$D106)</f>
        <v>0</v>
      </c>
      <c r="AC106" s="46" t="n">
        <f aca="false">AI105+AB106</f>
        <v>81</v>
      </c>
      <c r="AD106" s="46" t="n">
        <f aca="false">SUMIFS(AF$101:AF105,$B$101:$B105,"&gt;"&amp;($B106-$D106))</f>
        <v>456</v>
      </c>
      <c r="AE106" s="46" t="n">
        <f aca="false">AC106+AD106</f>
        <v>537</v>
      </c>
      <c r="AF106" s="47" t="n">
        <f aca="false">IF(AE106&lt;=Y106,AA106,0)</f>
        <v>0</v>
      </c>
      <c r="AG106" s="46" t="n">
        <f aca="false">MIN(AC106,I106)</f>
        <v>81</v>
      </c>
      <c r="AH106" s="46" t="n">
        <f aca="false">I106-AG106</f>
        <v>13</v>
      </c>
      <c r="AI106" s="46" t="n">
        <f aca="false">AC106-AG106</f>
        <v>0</v>
      </c>
      <c r="AJ106" s="46" t="n">
        <f aca="false">IF(AH106&gt;0,1,0)</f>
        <v>1</v>
      </c>
    </row>
    <row r="107" customFormat="false" ht="15" hidden="false" customHeight="false" outlineLevel="0" collapsed="false">
      <c r="A107" s="31" t="str">
        <f aca="false">Inputs!$B$43</f>
        <v>KIT-004</v>
      </c>
      <c r="B107" s="46" t="n">
        <f aca="false">B106+1</f>
        <v>95</v>
      </c>
      <c r="C107" s="46" t="n">
        <f aca="false">MATCH(A107,Inputs!$B$40:$B$87,0)</f>
        <v>4</v>
      </c>
      <c r="D107" s="32" t="n">
        <f aca="false">INDEX(Inputs!$F$40:$F$87,C107)</f>
        <v>2</v>
      </c>
      <c r="E107" s="78" t="n">
        <f aca="false">INDEX(Inputs!$H$40:$H$87,C107)</f>
        <v>9</v>
      </c>
      <c r="F107" s="78" t="n">
        <f aca="false">INDEX(Inputs!$G$40:$G$87,C107)</f>
        <v>40</v>
      </c>
      <c r="G107" s="32" t="n">
        <f aca="false">INDEX(Inputs!$I$40:$I$87,C107)</f>
        <v>12</v>
      </c>
      <c r="H107" s="46" t="n">
        <f aca="false">MATCH(A107,Demand_History!$C:$C,0)+B107-1</f>
        <v>408</v>
      </c>
      <c r="I107" s="32" t="n">
        <f aca="false">INDEX(Forecast_Walkforward!$C:$C,H107)</f>
        <v>72</v>
      </c>
      <c r="J107" s="79" t="n">
        <f aca="false">INDEX(Forecast_Walkforward!$E:$E,H107)</f>
        <v>87.75</v>
      </c>
      <c r="K107" s="33" t="n">
        <f aca="false">Baseline_Weeks*J107</f>
        <v>351</v>
      </c>
      <c r="L107" s="46" t="n">
        <f aca="false">SUMIFS(P$101:P106,$B$101:$B106,$B107-$D107)</f>
        <v>84</v>
      </c>
      <c r="M107" s="46" t="n">
        <f aca="false">S106+L107</f>
        <v>167</v>
      </c>
      <c r="N107" s="46" t="n">
        <f aca="false">SUMIFS(P$101:P106,$B$101:$B106,"&gt;"&amp;($B107-$D107))</f>
        <v>96</v>
      </c>
      <c r="O107" s="46" t="n">
        <f aca="false">M107+N107</f>
        <v>263</v>
      </c>
      <c r="P107" s="47" t="n">
        <f aca="false">IF(O107&lt;K107,ROUNDUP((K107-O107)/G107,0)*G107,0)</f>
        <v>96</v>
      </c>
      <c r="Q107" s="46" t="n">
        <f aca="false">MIN(M107,I107)</f>
        <v>72</v>
      </c>
      <c r="R107" s="46" t="n">
        <f aca="false">I107-Q107</f>
        <v>0</v>
      </c>
      <c r="S107" s="46" t="n">
        <f aca="false">M107-Q107</f>
        <v>95</v>
      </c>
      <c r="T107" s="46" t="n">
        <f aca="false">IF(R107&gt;0,1,0)</f>
        <v>0</v>
      </c>
      <c r="U107" s="32" t="n">
        <f aca="false">INDEX(Forecast!$AY$7:$AY$54,C107)</f>
        <v>2</v>
      </c>
      <c r="V107" s="33" t="n">
        <f aca="false">CHOOSE(U107,INDEX(Forecast_Walkforward!$D:$D,H107),INDEX(Forecast_Walkforward!$E:$E,H107),INDEX(Forecast_Walkforward!$F:$F,H107),INDEX(Forecast_Walkforward!$G:$G,H107))</f>
        <v>87.75</v>
      </c>
      <c r="W107" s="79" t="n">
        <f aca="false">INDEX(Forecast!$BA$7:$BA$54,C107)</f>
        <v>10.55274205214</v>
      </c>
      <c r="X107" s="33" t="n">
        <f aca="false">Z_Value*W107*SQRT(D107)</f>
        <v>24.5475174338154</v>
      </c>
      <c r="Y107" s="33" t="n">
        <f aca="false">V107*D107+X107</f>
        <v>200.047517433815</v>
      </c>
      <c r="Z107" s="33" t="n">
        <f aca="false">SQRT((2*V107*Weeks_Per_Year*F107)/(E107*Holding_Rate))</f>
        <v>450.333209967908</v>
      </c>
      <c r="AA107" s="46" t="n">
        <f aca="false">ROUNDUP(Z107/G107,0)*G107</f>
        <v>456</v>
      </c>
      <c r="AB107" s="46" t="n">
        <f aca="false">SUMIFS(AF$101:AF106,$B$101:$B106,$B107-$D107)</f>
        <v>456</v>
      </c>
      <c r="AC107" s="46" t="n">
        <f aca="false">AI106+AB107</f>
        <v>456</v>
      </c>
      <c r="AD107" s="46" t="n">
        <f aca="false">SUMIFS(AF$101:AF106,$B$101:$B106,"&gt;"&amp;($B107-$D107))</f>
        <v>0</v>
      </c>
      <c r="AE107" s="46" t="n">
        <f aca="false">AC107+AD107</f>
        <v>456</v>
      </c>
      <c r="AF107" s="47" t="n">
        <f aca="false">IF(AE107&lt;=Y107,AA107,0)</f>
        <v>0</v>
      </c>
      <c r="AG107" s="46" t="n">
        <f aca="false">MIN(AC107,I107)</f>
        <v>72</v>
      </c>
      <c r="AH107" s="46" t="n">
        <f aca="false">I107-AG107</f>
        <v>0</v>
      </c>
      <c r="AI107" s="46" t="n">
        <f aca="false">AC107-AG107</f>
        <v>384</v>
      </c>
      <c r="AJ107" s="46" t="n">
        <f aca="false">IF(AH107&gt;0,1,0)</f>
        <v>0</v>
      </c>
    </row>
    <row r="108" customFormat="false" ht="15" hidden="false" customHeight="false" outlineLevel="0" collapsed="false">
      <c r="A108" s="31" t="str">
        <f aca="false">Inputs!$B$43</f>
        <v>KIT-004</v>
      </c>
      <c r="B108" s="46" t="n">
        <f aca="false">B107+1</f>
        <v>96</v>
      </c>
      <c r="C108" s="46" t="n">
        <f aca="false">MATCH(A108,Inputs!$B$40:$B$87,0)</f>
        <v>4</v>
      </c>
      <c r="D108" s="32" t="n">
        <f aca="false">INDEX(Inputs!$F$40:$F$87,C108)</f>
        <v>2</v>
      </c>
      <c r="E108" s="78" t="n">
        <f aca="false">INDEX(Inputs!$H$40:$H$87,C108)</f>
        <v>9</v>
      </c>
      <c r="F108" s="78" t="n">
        <f aca="false">INDEX(Inputs!$G$40:$G$87,C108)</f>
        <v>40</v>
      </c>
      <c r="G108" s="32" t="n">
        <f aca="false">INDEX(Inputs!$I$40:$I$87,C108)</f>
        <v>12</v>
      </c>
      <c r="H108" s="46" t="n">
        <f aca="false">MATCH(A108,Demand_History!$C:$C,0)+B108-1</f>
        <v>409</v>
      </c>
      <c r="I108" s="32" t="n">
        <f aca="false">INDEX(Forecast_Walkforward!$C:$C,H108)</f>
        <v>103</v>
      </c>
      <c r="J108" s="79" t="n">
        <f aca="false">INDEX(Forecast_Walkforward!$E:$E,H108)</f>
        <v>86.25</v>
      </c>
      <c r="K108" s="33" t="n">
        <f aca="false">Baseline_Weeks*J108</f>
        <v>345</v>
      </c>
      <c r="L108" s="46" t="n">
        <f aca="false">SUMIFS(P$101:P107,$B$101:$B107,$B108-$D108)</f>
        <v>96</v>
      </c>
      <c r="M108" s="46" t="n">
        <f aca="false">S107+L108</f>
        <v>191</v>
      </c>
      <c r="N108" s="46" t="n">
        <f aca="false">SUMIFS(P$101:P107,$B$101:$B107,"&gt;"&amp;($B108-$D108))</f>
        <v>96</v>
      </c>
      <c r="O108" s="46" t="n">
        <f aca="false">M108+N108</f>
        <v>287</v>
      </c>
      <c r="P108" s="47" t="n">
        <f aca="false">IF(O108&lt;K108,ROUNDUP((K108-O108)/G108,0)*G108,0)</f>
        <v>60</v>
      </c>
      <c r="Q108" s="46" t="n">
        <f aca="false">MIN(M108,I108)</f>
        <v>103</v>
      </c>
      <c r="R108" s="46" t="n">
        <f aca="false">I108-Q108</f>
        <v>0</v>
      </c>
      <c r="S108" s="46" t="n">
        <f aca="false">M108-Q108</f>
        <v>88</v>
      </c>
      <c r="T108" s="46" t="n">
        <f aca="false">IF(R108&gt;0,1,0)</f>
        <v>0</v>
      </c>
      <c r="U108" s="32" t="n">
        <f aca="false">INDEX(Forecast!$AY$7:$AY$54,C108)</f>
        <v>2</v>
      </c>
      <c r="V108" s="33" t="n">
        <f aca="false">CHOOSE(U108,INDEX(Forecast_Walkforward!$D:$D,H108),INDEX(Forecast_Walkforward!$E:$E,H108),INDEX(Forecast_Walkforward!$F:$F,H108),INDEX(Forecast_Walkforward!$G:$G,H108))</f>
        <v>86.25</v>
      </c>
      <c r="W108" s="79" t="n">
        <f aca="false">INDEX(Forecast!$BA$7:$BA$54,C108)</f>
        <v>10.55274205214</v>
      </c>
      <c r="X108" s="33" t="n">
        <f aca="false">Z_Value*W108*SQRT(D108)</f>
        <v>24.5475174338154</v>
      </c>
      <c r="Y108" s="33" t="n">
        <f aca="false">V108*D108+X108</f>
        <v>197.047517433815</v>
      </c>
      <c r="Z108" s="33" t="n">
        <f aca="false">SQRT((2*V108*Weeks_Per_Year*F108)/(E108*Holding_Rate))</f>
        <v>446.467617340086</v>
      </c>
      <c r="AA108" s="46" t="n">
        <f aca="false">ROUNDUP(Z108/G108,0)*G108</f>
        <v>456</v>
      </c>
      <c r="AB108" s="46" t="n">
        <f aca="false">SUMIFS(AF$101:AF107,$B$101:$B107,$B108-$D108)</f>
        <v>0</v>
      </c>
      <c r="AC108" s="46" t="n">
        <f aca="false">AI107+AB108</f>
        <v>384</v>
      </c>
      <c r="AD108" s="46" t="n">
        <f aca="false">SUMIFS(AF$101:AF107,$B$101:$B107,"&gt;"&amp;($B108-$D108))</f>
        <v>0</v>
      </c>
      <c r="AE108" s="46" t="n">
        <f aca="false">AC108+AD108</f>
        <v>384</v>
      </c>
      <c r="AF108" s="47" t="n">
        <f aca="false">IF(AE108&lt;=Y108,AA108,0)</f>
        <v>0</v>
      </c>
      <c r="AG108" s="46" t="n">
        <f aca="false">MIN(AC108,I108)</f>
        <v>103</v>
      </c>
      <c r="AH108" s="46" t="n">
        <f aca="false">I108-AG108</f>
        <v>0</v>
      </c>
      <c r="AI108" s="46" t="n">
        <f aca="false">AC108-AG108</f>
        <v>281</v>
      </c>
      <c r="AJ108" s="46" t="n">
        <f aca="false">IF(AH108&gt;0,1,0)</f>
        <v>0</v>
      </c>
    </row>
    <row r="109" customFormat="false" ht="15" hidden="false" customHeight="false" outlineLevel="0" collapsed="false">
      <c r="A109" s="31" t="str">
        <f aca="false">Inputs!$B$43</f>
        <v>KIT-004</v>
      </c>
      <c r="B109" s="46" t="n">
        <f aca="false">B108+1</f>
        <v>97</v>
      </c>
      <c r="C109" s="46" t="n">
        <f aca="false">MATCH(A109,Inputs!$B$40:$B$87,0)</f>
        <v>4</v>
      </c>
      <c r="D109" s="32" t="n">
        <f aca="false">INDEX(Inputs!$F$40:$F$87,C109)</f>
        <v>2</v>
      </c>
      <c r="E109" s="78" t="n">
        <f aca="false">INDEX(Inputs!$H$40:$H$87,C109)</f>
        <v>9</v>
      </c>
      <c r="F109" s="78" t="n">
        <f aca="false">INDEX(Inputs!$G$40:$G$87,C109)</f>
        <v>40</v>
      </c>
      <c r="G109" s="32" t="n">
        <f aca="false">INDEX(Inputs!$I$40:$I$87,C109)</f>
        <v>12</v>
      </c>
      <c r="H109" s="46" t="n">
        <f aca="false">MATCH(A109,Demand_History!$C:$C,0)+B109-1</f>
        <v>410</v>
      </c>
      <c r="I109" s="32" t="n">
        <f aca="false">INDEX(Forecast_Walkforward!$C:$C,H109)</f>
        <v>96</v>
      </c>
      <c r="J109" s="79" t="n">
        <f aca="false">INDEX(Forecast_Walkforward!$E:$E,H109)</f>
        <v>91.75</v>
      </c>
      <c r="K109" s="33" t="n">
        <f aca="false">Baseline_Weeks*J109</f>
        <v>367</v>
      </c>
      <c r="L109" s="46" t="n">
        <f aca="false">SUMIFS(P$101:P108,$B$101:$B108,$B109-$D109)</f>
        <v>96</v>
      </c>
      <c r="M109" s="46" t="n">
        <f aca="false">S108+L109</f>
        <v>184</v>
      </c>
      <c r="N109" s="46" t="n">
        <f aca="false">SUMIFS(P$101:P108,$B$101:$B108,"&gt;"&amp;($B109-$D109))</f>
        <v>60</v>
      </c>
      <c r="O109" s="46" t="n">
        <f aca="false">M109+N109</f>
        <v>244</v>
      </c>
      <c r="P109" s="47" t="n">
        <f aca="false">IF(O109&lt;K109,ROUNDUP((K109-O109)/G109,0)*G109,0)</f>
        <v>132</v>
      </c>
      <c r="Q109" s="46" t="n">
        <f aca="false">MIN(M109,I109)</f>
        <v>96</v>
      </c>
      <c r="R109" s="46" t="n">
        <f aca="false">I109-Q109</f>
        <v>0</v>
      </c>
      <c r="S109" s="46" t="n">
        <f aca="false">M109-Q109</f>
        <v>88</v>
      </c>
      <c r="T109" s="46" t="n">
        <f aca="false">IF(R109&gt;0,1,0)</f>
        <v>0</v>
      </c>
      <c r="U109" s="32" t="n">
        <f aca="false">INDEX(Forecast!$AY$7:$AY$54,C109)</f>
        <v>2</v>
      </c>
      <c r="V109" s="33" t="n">
        <f aca="false">CHOOSE(U109,INDEX(Forecast_Walkforward!$D:$D,H109),INDEX(Forecast_Walkforward!$E:$E,H109),INDEX(Forecast_Walkforward!$F:$F,H109),INDEX(Forecast_Walkforward!$G:$G,H109))</f>
        <v>91.75</v>
      </c>
      <c r="W109" s="79" t="n">
        <f aca="false">INDEX(Forecast!$BA$7:$BA$54,C109)</f>
        <v>10.55274205214</v>
      </c>
      <c r="X109" s="33" t="n">
        <f aca="false">Z_Value*W109*SQRT(D109)</f>
        <v>24.5475174338154</v>
      </c>
      <c r="Y109" s="33" t="n">
        <f aca="false">V109*D109+X109</f>
        <v>208.047517433815</v>
      </c>
      <c r="Z109" s="33" t="n">
        <f aca="false">SQRT((2*V109*Weeks_Per_Year*F109)/(E109*Holding_Rate))</f>
        <v>460.48283838211</v>
      </c>
      <c r="AA109" s="46" t="n">
        <f aca="false">ROUNDUP(Z109/G109,0)*G109</f>
        <v>468</v>
      </c>
      <c r="AB109" s="46" t="n">
        <f aca="false">SUMIFS(AF$101:AF108,$B$101:$B108,$B109-$D109)</f>
        <v>0</v>
      </c>
      <c r="AC109" s="46" t="n">
        <f aca="false">AI108+AB109</f>
        <v>281</v>
      </c>
      <c r="AD109" s="46" t="n">
        <f aca="false">SUMIFS(AF$101:AF108,$B$101:$B108,"&gt;"&amp;($B109-$D109))</f>
        <v>0</v>
      </c>
      <c r="AE109" s="46" t="n">
        <f aca="false">AC109+AD109</f>
        <v>281</v>
      </c>
      <c r="AF109" s="47" t="n">
        <f aca="false">IF(AE109&lt;=Y109,AA109,0)</f>
        <v>0</v>
      </c>
      <c r="AG109" s="46" t="n">
        <f aca="false">MIN(AC109,I109)</f>
        <v>96</v>
      </c>
      <c r="AH109" s="46" t="n">
        <f aca="false">I109-AG109</f>
        <v>0</v>
      </c>
      <c r="AI109" s="46" t="n">
        <f aca="false">AC109-AG109</f>
        <v>185</v>
      </c>
      <c r="AJ109" s="46" t="n">
        <f aca="false">IF(AH109&gt;0,1,0)</f>
        <v>0</v>
      </c>
    </row>
    <row r="110" customFormat="false" ht="15" hidden="false" customHeight="false" outlineLevel="0" collapsed="false">
      <c r="A110" s="31" t="str">
        <f aca="false">Inputs!$B$43</f>
        <v>KIT-004</v>
      </c>
      <c r="B110" s="46" t="n">
        <f aca="false">B109+1</f>
        <v>98</v>
      </c>
      <c r="C110" s="46" t="n">
        <f aca="false">MATCH(A110,Inputs!$B$40:$B$87,0)</f>
        <v>4</v>
      </c>
      <c r="D110" s="32" t="n">
        <f aca="false">INDEX(Inputs!$F$40:$F$87,C110)</f>
        <v>2</v>
      </c>
      <c r="E110" s="78" t="n">
        <f aca="false">INDEX(Inputs!$H$40:$H$87,C110)</f>
        <v>9</v>
      </c>
      <c r="F110" s="78" t="n">
        <f aca="false">INDEX(Inputs!$G$40:$G$87,C110)</f>
        <v>40</v>
      </c>
      <c r="G110" s="32" t="n">
        <f aca="false">INDEX(Inputs!$I$40:$I$87,C110)</f>
        <v>12</v>
      </c>
      <c r="H110" s="46" t="n">
        <f aca="false">MATCH(A110,Demand_History!$C:$C,0)+B110-1</f>
        <v>411</v>
      </c>
      <c r="I110" s="32" t="n">
        <f aca="false">INDEX(Forecast_Walkforward!$C:$C,H110)</f>
        <v>103</v>
      </c>
      <c r="J110" s="79" t="n">
        <f aca="false">INDEX(Forecast_Walkforward!$E:$E,H110)</f>
        <v>91.25</v>
      </c>
      <c r="K110" s="33" t="n">
        <f aca="false">Baseline_Weeks*J110</f>
        <v>365</v>
      </c>
      <c r="L110" s="46" t="n">
        <f aca="false">SUMIFS(P$101:P109,$B$101:$B109,$B110-$D110)</f>
        <v>60</v>
      </c>
      <c r="M110" s="46" t="n">
        <f aca="false">S109+L110</f>
        <v>148</v>
      </c>
      <c r="N110" s="46" t="n">
        <f aca="false">SUMIFS(P$101:P109,$B$101:$B109,"&gt;"&amp;($B110-$D110))</f>
        <v>132</v>
      </c>
      <c r="O110" s="46" t="n">
        <f aca="false">M110+N110</f>
        <v>280</v>
      </c>
      <c r="P110" s="47" t="n">
        <f aca="false">IF(O110&lt;K110,ROUNDUP((K110-O110)/G110,0)*G110,0)</f>
        <v>96</v>
      </c>
      <c r="Q110" s="46" t="n">
        <f aca="false">MIN(M110,I110)</f>
        <v>103</v>
      </c>
      <c r="R110" s="46" t="n">
        <f aca="false">I110-Q110</f>
        <v>0</v>
      </c>
      <c r="S110" s="46" t="n">
        <f aca="false">M110-Q110</f>
        <v>45</v>
      </c>
      <c r="T110" s="46" t="n">
        <f aca="false">IF(R110&gt;0,1,0)</f>
        <v>0</v>
      </c>
      <c r="U110" s="32" t="n">
        <f aca="false">INDEX(Forecast!$AY$7:$AY$54,C110)</f>
        <v>2</v>
      </c>
      <c r="V110" s="33" t="n">
        <f aca="false">CHOOSE(U110,INDEX(Forecast_Walkforward!$D:$D,H110),INDEX(Forecast_Walkforward!$E:$E,H110),INDEX(Forecast_Walkforward!$F:$F,H110),INDEX(Forecast_Walkforward!$G:$G,H110))</f>
        <v>91.25</v>
      </c>
      <c r="W110" s="79" t="n">
        <f aca="false">INDEX(Forecast!$BA$7:$BA$54,C110)</f>
        <v>10.55274205214</v>
      </c>
      <c r="X110" s="33" t="n">
        <f aca="false">Z_Value*W110*SQRT(D110)</f>
        <v>24.5475174338154</v>
      </c>
      <c r="Y110" s="33" t="n">
        <f aca="false">V110*D110+X110</f>
        <v>207.047517433815</v>
      </c>
      <c r="Z110" s="33" t="n">
        <f aca="false">SQRT((2*V110*Weeks_Per_Year*F110)/(E110*Holding_Rate))</f>
        <v>459.226402647854</v>
      </c>
      <c r="AA110" s="46" t="n">
        <f aca="false">ROUNDUP(Z110/G110,0)*G110</f>
        <v>468</v>
      </c>
      <c r="AB110" s="46" t="n">
        <f aca="false">SUMIFS(AF$101:AF109,$B$101:$B109,$B110-$D110)</f>
        <v>0</v>
      </c>
      <c r="AC110" s="46" t="n">
        <f aca="false">AI109+AB110</f>
        <v>185</v>
      </c>
      <c r="AD110" s="46" t="n">
        <f aca="false">SUMIFS(AF$101:AF109,$B$101:$B109,"&gt;"&amp;($B110-$D110))</f>
        <v>0</v>
      </c>
      <c r="AE110" s="46" t="n">
        <f aca="false">AC110+AD110</f>
        <v>185</v>
      </c>
      <c r="AF110" s="47" t="n">
        <f aca="false">IF(AE110&lt;=Y110,AA110,0)</f>
        <v>468</v>
      </c>
      <c r="AG110" s="46" t="n">
        <f aca="false">MIN(AC110,I110)</f>
        <v>103</v>
      </c>
      <c r="AH110" s="46" t="n">
        <f aca="false">I110-AG110</f>
        <v>0</v>
      </c>
      <c r="AI110" s="46" t="n">
        <f aca="false">AC110-AG110</f>
        <v>82</v>
      </c>
      <c r="AJ110" s="46" t="n">
        <f aca="false">IF(AH110&gt;0,1,0)</f>
        <v>0</v>
      </c>
    </row>
    <row r="111" customFormat="false" ht="15" hidden="false" customHeight="false" outlineLevel="0" collapsed="false">
      <c r="A111" s="31" t="str">
        <f aca="false">Inputs!$B$43</f>
        <v>KIT-004</v>
      </c>
      <c r="B111" s="46" t="n">
        <f aca="false">B110+1</f>
        <v>99</v>
      </c>
      <c r="C111" s="46" t="n">
        <f aca="false">MATCH(A111,Inputs!$B$40:$B$87,0)</f>
        <v>4</v>
      </c>
      <c r="D111" s="32" t="n">
        <f aca="false">INDEX(Inputs!$F$40:$F$87,C111)</f>
        <v>2</v>
      </c>
      <c r="E111" s="78" t="n">
        <f aca="false">INDEX(Inputs!$H$40:$H$87,C111)</f>
        <v>9</v>
      </c>
      <c r="F111" s="78" t="n">
        <f aca="false">INDEX(Inputs!$G$40:$G$87,C111)</f>
        <v>40</v>
      </c>
      <c r="G111" s="32" t="n">
        <f aca="false">INDEX(Inputs!$I$40:$I$87,C111)</f>
        <v>12</v>
      </c>
      <c r="H111" s="46" t="n">
        <f aca="false">MATCH(A111,Demand_History!$C:$C,0)+B111-1</f>
        <v>412</v>
      </c>
      <c r="I111" s="32" t="n">
        <f aca="false">INDEX(Forecast_Walkforward!$C:$C,H111)</f>
        <v>86</v>
      </c>
      <c r="J111" s="79" t="n">
        <f aca="false">INDEX(Forecast_Walkforward!$E:$E,H111)</f>
        <v>93.5</v>
      </c>
      <c r="K111" s="33" t="n">
        <f aca="false">Baseline_Weeks*J111</f>
        <v>374</v>
      </c>
      <c r="L111" s="46" t="n">
        <f aca="false">SUMIFS(P$101:P110,$B$101:$B110,$B111-$D111)</f>
        <v>132</v>
      </c>
      <c r="M111" s="46" t="n">
        <f aca="false">S110+L111</f>
        <v>177</v>
      </c>
      <c r="N111" s="46" t="n">
        <f aca="false">SUMIFS(P$101:P110,$B$101:$B110,"&gt;"&amp;($B111-$D111))</f>
        <v>96</v>
      </c>
      <c r="O111" s="46" t="n">
        <f aca="false">M111+N111</f>
        <v>273</v>
      </c>
      <c r="P111" s="47" t="n">
        <f aca="false">IF(O111&lt;K111,ROUNDUP((K111-O111)/G111,0)*G111,0)</f>
        <v>108</v>
      </c>
      <c r="Q111" s="46" t="n">
        <f aca="false">MIN(M111,I111)</f>
        <v>86</v>
      </c>
      <c r="R111" s="46" t="n">
        <f aca="false">I111-Q111</f>
        <v>0</v>
      </c>
      <c r="S111" s="46" t="n">
        <f aca="false">M111-Q111</f>
        <v>91</v>
      </c>
      <c r="T111" s="46" t="n">
        <f aca="false">IF(R111&gt;0,1,0)</f>
        <v>0</v>
      </c>
      <c r="U111" s="32" t="n">
        <f aca="false">INDEX(Forecast!$AY$7:$AY$54,C111)</f>
        <v>2</v>
      </c>
      <c r="V111" s="33" t="n">
        <f aca="false">CHOOSE(U111,INDEX(Forecast_Walkforward!$D:$D,H111),INDEX(Forecast_Walkforward!$E:$E,H111),INDEX(Forecast_Walkforward!$F:$F,H111),INDEX(Forecast_Walkforward!$G:$G,H111))</f>
        <v>93.5</v>
      </c>
      <c r="W111" s="79" t="n">
        <f aca="false">INDEX(Forecast!$BA$7:$BA$54,C111)</f>
        <v>10.55274205214</v>
      </c>
      <c r="X111" s="33" t="n">
        <f aca="false">Z_Value*W111*SQRT(D111)</f>
        <v>24.5475174338154</v>
      </c>
      <c r="Y111" s="33" t="n">
        <f aca="false">V111*D111+X111</f>
        <v>211.547517433815</v>
      </c>
      <c r="Z111" s="33" t="n">
        <f aca="false">SQRT((2*V111*Weeks_Per_Year*F111)/(E111*Holding_Rate))</f>
        <v>464.853620926942</v>
      </c>
      <c r="AA111" s="46" t="n">
        <f aca="false">ROUNDUP(Z111/G111,0)*G111</f>
        <v>468</v>
      </c>
      <c r="AB111" s="46" t="n">
        <f aca="false">SUMIFS(AF$101:AF110,$B$101:$B110,$B111-$D111)</f>
        <v>0</v>
      </c>
      <c r="AC111" s="46" t="n">
        <f aca="false">AI110+AB111</f>
        <v>82</v>
      </c>
      <c r="AD111" s="46" t="n">
        <f aca="false">SUMIFS(AF$101:AF110,$B$101:$B110,"&gt;"&amp;($B111-$D111))</f>
        <v>468</v>
      </c>
      <c r="AE111" s="46" t="n">
        <f aca="false">AC111+AD111</f>
        <v>550</v>
      </c>
      <c r="AF111" s="47" t="n">
        <f aca="false">IF(AE111&lt;=Y111,AA111,0)</f>
        <v>0</v>
      </c>
      <c r="AG111" s="46" t="n">
        <f aca="false">MIN(AC111,I111)</f>
        <v>82</v>
      </c>
      <c r="AH111" s="46" t="n">
        <f aca="false">I111-AG111</f>
        <v>4</v>
      </c>
      <c r="AI111" s="46" t="n">
        <f aca="false">AC111-AG111</f>
        <v>0</v>
      </c>
      <c r="AJ111" s="46" t="n">
        <f aca="false">IF(AH111&gt;0,1,0)</f>
        <v>1</v>
      </c>
    </row>
    <row r="112" customFormat="false" ht="15" hidden="false" customHeight="false" outlineLevel="0" collapsed="false">
      <c r="A112" s="31" t="str">
        <f aca="false">Inputs!$B$43</f>
        <v>KIT-004</v>
      </c>
      <c r="B112" s="46" t="n">
        <f aca="false">B111+1</f>
        <v>100</v>
      </c>
      <c r="C112" s="46" t="n">
        <f aca="false">MATCH(A112,Inputs!$B$40:$B$87,0)</f>
        <v>4</v>
      </c>
      <c r="D112" s="32" t="n">
        <f aca="false">INDEX(Inputs!$F$40:$F$87,C112)</f>
        <v>2</v>
      </c>
      <c r="E112" s="78" t="n">
        <f aca="false">INDEX(Inputs!$H$40:$H$87,C112)</f>
        <v>9</v>
      </c>
      <c r="F112" s="78" t="n">
        <f aca="false">INDEX(Inputs!$G$40:$G$87,C112)</f>
        <v>40</v>
      </c>
      <c r="G112" s="32" t="n">
        <f aca="false">INDEX(Inputs!$I$40:$I$87,C112)</f>
        <v>12</v>
      </c>
      <c r="H112" s="46" t="n">
        <f aca="false">MATCH(A112,Demand_History!$C:$C,0)+B112-1</f>
        <v>413</v>
      </c>
      <c r="I112" s="32" t="n">
        <f aca="false">INDEX(Forecast_Walkforward!$C:$C,H112)</f>
        <v>87</v>
      </c>
      <c r="J112" s="79" t="n">
        <f aca="false">INDEX(Forecast_Walkforward!$E:$E,H112)</f>
        <v>97</v>
      </c>
      <c r="K112" s="33" t="n">
        <f aca="false">Baseline_Weeks*J112</f>
        <v>388</v>
      </c>
      <c r="L112" s="46" t="n">
        <f aca="false">SUMIFS(P$101:P111,$B$101:$B111,$B112-$D112)</f>
        <v>96</v>
      </c>
      <c r="M112" s="46" t="n">
        <f aca="false">S111+L112</f>
        <v>187</v>
      </c>
      <c r="N112" s="46" t="n">
        <f aca="false">SUMIFS(P$101:P111,$B$101:$B111,"&gt;"&amp;($B112-$D112))</f>
        <v>108</v>
      </c>
      <c r="O112" s="46" t="n">
        <f aca="false">M112+N112</f>
        <v>295</v>
      </c>
      <c r="P112" s="47" t="n">
        <f aca="false">IF(O112&lt;K112,ROUNDUP((K112-O112)/G112,0)*G112,0)</f>
        <v>96</v>
      </c>
      <c r="Q112" s="46" t="n">
        <f aca="false">MIN(M112,I112)</f>
        <v>87</v>
      </c>
      <c r="R112" s="46" t="n">
        <f aca="false">I112-Q112</f>
        <v>0</v>
      </c>
      <c r="S112" s="46" t="n">
        <f aca="false">M112-Q112</f>
        <v>100</v>
      </c>
      <c r="T112" s="46" t="n">
        <f aca="false">IF(R112&gt;0,1,0)</f>
        <v>0</v>
      </c>
      <c r="U112" s="32" t="n">
        <f aca="false">INDEX(Forecast!$AY$7:$AY$54,C112)</f>
        <v>2</v>
      </c>
      <c r="V112" s="33" t="n">
        <f aca="false">CHOOSE(U112,INDEX(Forecast_Walkforward!$D:$D,H112),INDEX(Forecast_Walkforward!$E:$E,H112),INDEX(Forecast_Walkforward!$F:$F,H112),INDEX(Forecast_Walkforward!$G:$G,H112))</f>
        <v>97</v>
      </c>
      <c r="W112" s="79" t="n">
        <f aca="false">INDEX(Forecast!$BA$7:$BA$54,C112)</f>
        <v>10.55274205214</v>
      </c>
      <c r="X112" s="33" t="n">
        <f aca="false">Z_Value*W112*SQRT(D112)</f>
        <v>24.5475174338154</v>
      </c>
      <c r="Y112" s="33" t="n">
        <f aca="false">V112*D112+X112</f>
        <v>218.547517433815</v>
      </c>
      <c r="Z112" s="33" t="n">
        <f aca="false">SQRT((2*V112*Weeks_Per_Year*F112)/(E112*Holding_Rate))</f>
        <v>473.474157455059</v>
      </c>
      <c r="AA112" s="46" t="n">
        <f aca="false">ROUNDUP(Z112/G112,0)*G112</f>
        <v>480</v>
      </c>
      <c r="AB112" s="46" t="n">
        <f aca="false">SUMIFS(AF$101:AF111,$B$101:$B111,$B112-$D112)</f>
        <v>468</v>
      </c>
      <c r="AC112" s="46" t="n">
        <f aca="false">AI111+AB112</f>
        <v>468</v>
      </c>
      <c r="AD112" s="46" t="n">
        <f aca="false">SUMIFS(AF$101:AF111,$B$101:$B111,"&gt;"&amp;($B112-$D112))</f>
        <v>0</v>
      </c>
      <c r="AE112" s="46" t="n">
        <f aca="false">AC112+AD112</f>
        <v>468</v>
      </c>
      <c r="AF112" s="47" t="n">
        <f aca="false">IF(AE112&lt;=Y112,AA112,0)</f>
        <v>0</v>
      </c>
      <c r="AG112" s="46" t="n">
        <f aca="false">MIN(AC112,I112)</f>
        <v>87</v>
      </c>
      <c r="AH112" s="46" t="n">
        <f aca="false">I112-AG112</f>
        <v>0</v>
      </c>
      <c r="AI112" s="46" t="n">
        <f aca="false">AC112-AG112</f>
        <v>381</v>
      </c>
      <c r="AJ112" s="46" t="n">
        <f aca="false">IF(AH112&gt;0,1,0)</f>
        <v>0</v>
      </c>
    </row>
    <row r="113" customFormat="false" ht="15" hidden="false" customHeight="false" outlineLevel="0" collapsed="false">
      <c r="A113" s="31" t="str">
        <f aca="false">Inputs!$B$43</f>
        <v>KIT-004</v>
      </c>
      <c r="B113" s="46" t="n">
        <f aca="false">B112+1</f>
        <v>101</v>
      </c>
      <c r="C113" s="46" t="n">
        <f aca="false">MATCH(A113,Inputs!$B$40:$B$87,0)</f>
        <v>4</v>
      </c>
      <c r="D113" s="32" t="n">
        <f aca="false">INDEX(Inputs!$F$40:$F$87,C113)</f>
        <v>2</v>
      </c>
      <c r="E113" s="78" t="n">
        <f aca="false">INDEX(Inputs!$H$40:$H$87,C113)</f>
        <v>9</v>
      </c>
      <c r="F113" s="78" t="n">
        <f aca="false">INDEX(Inputs!$G$40:$G$87,C113)</f>
        <v>40</v>
      </c>
      <c r="G113" s="32" t="n">
        <f aca="false">INDEX(Inputs!$I$40:$I$87,C113)</f>
        <v>12</v>
      </c>
      <c r="H113" s="46" t="n">
        <f aca="false">MATCH(A113,Demand_History!$C:$C,0)+B113-1</f>
        <v>414</v>
      </c>
      <c r="I113" s="32" t="n">
        <f aca="false">INDEX(Forecast_Walkforward!$C:$C,H113)</f>
        <v>79</v>
      </c>
      <c r="J113" s="79" t="n">
        <f aca="false">INDEX(Forecast_Walkforward!$E:$E,H113)</f>
        <v>93</v>
      </c>
      <c r="K113" s="33" t="n">
        <f aca="false">Baseline_Weeks*J113</f>
        <v>372</v>
      </c>
      <c r="L113" s="46" t="n">
        <f aca="false">SUMIFS(P$101:P112,$B$101:$B112,$B113-$D113)</f>
        <v>108</v>
      </c>
      <c r="M113" s="46" t="n">
        <f aca="false">S112+L113</f>
        <v>208</v>
      </c>
      <c r="N113" s="46" t="n">
        <f aca="false">SUMIFS(P$101:P112,$B$101:$B112,"&gt;"&amp;($B113-$D113))</f>
        <v>96</v>
      </c>
      <c r="O113" s="46" t="n">
        <f aca="false">M113+N113</f>
        <v>304</v>
      </c>
      <c r="P113" s="47" t="n">
        <f aca="false">IF(O113&lt;K113,ROUNDUP((K113-O113)/G113,0)*G113,0)</f>
        <v>72</v>
      </c>
      <c r="Q113" s="46" t="n">
        <f aca="false">MIN(M113,I113)</f>
        <v>79</v>
      </c>
      <c r="R113" s="46" t="n">
        <f aca="false">I113-Q113</f>
        <v>0</v>
      </c>
      <c r="S113" s="46" t="n">
        <f aca="false">M113-Q113</f>
        <v>129</v>
      </c>
      <c r="T113" s="46" t="n">
        <f aca="false">IF(R113&gt;0,1,0)</f>
        <v>0</v>
      </c>
      <c r="U113" s="32" t="n">
        <f aca="false">INDEX(Forecast!$AY$7:$AY$54,C113)</f>
        <v>2</v>
      </c>
      <c r="V113" s="33" t="n">
        <f aca="false">CHOOSE(U113,INDEX(Forecast_Walkforward!$D:$D,H113),INDEX(Forecast_Walkforward!$E:$E,H113),INDEX(Forecast_Walkforward!$F:$F,H113),INDEX(Forecast_Walkforward!$G:$G,H113))</f>
        <v>93</v>
      </c>
      <c r="W113" s="79" t="n">
        <f aca="false">INDEX(Forecast!$BA$7:$BA$54,C113)</f>
        <v>10.55274205214</v>
      </c>
      <c r="X113" s="33" t="n">
        <f aca="false">Z_Value*W113*SQRT(D113)</f>
        <v>24.5475174338154</v>
      </c>
      <c r="Y113" s="33" t="n">
        <f aca="false">V113*D113+X113</f>
        <v>210.547517433815</v>
      </c>
      <c r="Z113" s="33" t="n">
        <f aca="false">SQRT((2*V113*Weeks_Per_Year*F113)/(E113*Holding_Rate))</f>
        <v>463.609030685699</v>
      </c>
      <c r="AA113" s="46" t="n">
        <f aca="false">ROUNDUP(Z113/G113,0)*G113</f>
        <v>468</v>
      </c>
      <c r="AB113" s="46" t="n">
        <f aca="false">SUMIFS(AF$101:AF112,$B$101:$B112,$B113-$D113)</f>
        <v>0</v>
      </c>
      <c r="AC113" s="46" t="n">
        <f aca="false">AI112+AB113</f>
        <v>381</v>
      </c>
      <c r="AD113" s="46" t="n">
        <f aca="false">SUMIFS(AF$101:AF112,$B$101:$B112,"&gt;"&amp;($B113-$D113))</f>
        <v>0</v>
      </c>
      <c r="AE113" s="46" t="n">
        <f aca="false">AC113+AD113</f>
        <v>381</v>
      </c>
      <c r="AF113" s="47" t="n">
        <f aca="false">IF(AE113&lt;=Y113,AA113,0)</f>
        <v>0</v>
      </c>
      <c r="AG113" s="46" t="n">
        <f aca="false">MIN(AC113,I113)</f>
        <v>79</v>
      </c>
      <c r="AH113" s="46" t="n">
        <f aca="false">I113-AG113</f>
        <v>0</v>
      </c>
      <c r="AI113" s="46" t="n">
        <f aca="false">AC113-AG113</f>
        <v>302</v>
      </c>
      <c r="AJ113" s="46" t="n">
        <f aca="false">IF(AH113&gt;0,1,0)</f>
        <v>0</v>
      </c>
    </row>
    <row r="114" customFormat="false" ht="15" hidden="false" customHeight="false" outlineLevel="0" collapsed="false">
      <c r="A114" s="31" t="str">
        <f aca="false">Inputs!$B$43</f>
        <v>KIT-004</v>
      </c>
      <c r="B114" s="46" t="n">
        <f aca="false">B113+1</f>
        <v>102</v>
      </c>
      <c r="C114" s="46" t="n">
        <f aca="false">MATCH(A114,Inputs!$B$40:$B$87,0)</f>
        <v>4</v>
      </c>
      <c r="D114" s="32" t="n">
        <f aca="false">INDEX(Inputs!$F$40:$F$87,C114)</f>
        <v>2</v>
      </c>
      <c r="E114" s="78" t="n">
        <f aca="false">INDEX(Inputs!$H$40:$H$87,C114)</f>
        <v>9</v>
      </c>
      <c r="F114" s="78" t="n">
        <f aca="false">INDEX(Inputs!$G$40:$G$87,C114)</f>
        <v>40</v>
      </c>
      <c r="G114" s="32" t="n">
        <f aca="false">INDEX(Inputs!$I$40:$I$87,C114)</f>
        <v>12</v>
      </c>
      <c r="H114" s="46" t="n">
        <f aca="false">MATCH(A114,Demand_History!$C:$C,0)+B114-1</f>
        <v>415</v>
      </c>
      <c r="I114" s="32" t="n">
        <f aca="false">INDEX(Forecast_Walkforward!$C:$C,H114)</f>
        <v>114</v>
      </c>
      <c r="J114" s="79" t="n">
        <f aca="false">INDEX(Forecast_Walkforward!$E:$E,H114)</f>
        <v>88.75</v>
      </c>
      <c r="K114" s="33" t="n">
        <f aca="false">Baseline_Weeks*J114</f>
        <v>355</v>
      </c>
      <c r="L114" s="46" t="n">
        <f aca="false">SUMIFS(P$101:P113,$B$101:$B113,$B114-$D114)</f>
        <v>96</v>
      </c>
      <c r="M114" s="46" t="n">
        <f aca="false">S113+L114</f>
        <v>225</v>
      </c>
      <c r="N114" s="46" t="n">
        <f aca="false">SUMIFS(P$101:P113,$B$101:$B113,"&gt;"&amp;($B114-$D114))</f>
        <v>72</v>
      </c>
      <c r="O114" s="46" t="n">
        <f aca="false">M114+N114</f>
        <v>297</v>
      </c>
      <c r="P114" s="47" t="n">
        <f aca="false">IF(O114&lt;K114,ROUNDUP((K114-O114)/G114,0)*G114,0)</f>
        <v>60</v>
      </c>
      <c r="Q114" s="46" t="n">
        <f aca="false">MIN(M114,I114)</f>
        <v>114</v>
      </c>
      <c r="R114" s="46" t="n">
        <f aca="false">I114-Q114</f>
        <v>0</v>
      </c>
      <c r="S114" s="46" t="n">
        <f aca="false">M114-Q114</f>
        <v>111</v>
      </c>
      <c r="T114" s="46" t="n">
        <f aca="false">IF(R114&gt;0,1,0)</f>
        <v>0</v>
      </c>
      <c r="U114" s="32" t="n">
        <f aca="false">INDEX(Forecast!$AY$7:$AY$54,C114)</f>
        <v>2</v>
      </c>
      <c r="V114" s="33" t="n">
        <f aca="false">CHOOSE(U114,INDEX(Forecast_Walkforward!$D:$D,H114),INDEX(Forecast_Walkforward!$E:$E,H114),INDEX(Forecast_Walkforward!$F:$F,H114),INDEX(Forecast_Walkforward!$G:$G,H114))</f>
        <v>88.75</v>
      </c>
      <c r="W114" s="79" t="n">
        <f aca="false">INDEX(Forecast!$BA$7:$BA$54,C114)</f>
        <v>10.55274205214</v>
      </c>
      <c r="X114" s="33" t="n">
        <f aca="false">Z_Value*W114*SQRT(D114)</f>
        <v>24.5475174338154</v>
      </c>
      <c r="Y114" s="33" t="n">
        <f aca="false">V114*D114+X114</f>
        <v>202.047517433815</v>
      </c>
      <c r="Z114" s="33" t="n">
        <f aca="false">SQRT((2*V114*Weeks_Per_Year*F114)/(E114*Holding_Rate))</f>
        <v>452.891941980768</v>
      </c>
      <c r="AA114" s="46" t="n">
        <f aca="false">ROUNDUP(Z114/G114,0)*G114</f>
        <v>456</v>
      </c>
      <c r="AB114" s="46" t="n">
        <f aca="false">SUMIFS(AF$101:AF113,$B$101:$B113,$B114-$D114)</f>
        <v>0</v>
      </c>
      <c r="AC114" s="46" t="n">
        <f aca="false">AI113+AB114</f>
        <v>302</v>
      </c>
      <c r="AD114" s="46" t="n">
        <f aca="false">SUMIFS(AF$101:AF113,$B$101:$B113,"&gt;"&amp;($B114-$D114))</f>
        <v>0</v>
      </c>
      <c r="AE114" s="46" t="n">
        <f aca="false">AC114+AD114</f>
        <v>302</v>
      </c>
      <c r="AF114" s="47" t="n">
        <f aca="false">IF(AE114&lt;=Y114,AA114,0)</f>
        <v>0</v>
      </c>
      <c r="AG114" s="46" t="n">
        <f aca="false">MIN(AC114,I114)</f>
        <v>114</v>
      </c>
      <c r="AH114" s="46" t="n">
        <f aca="false">I114-AG114</f>
        <v>0</v>
      </c>
      <c r="AI114" s="46" t="n">
        <f aca="false">AC114-AG114</f>
        <v>188</v>
      </c>
      <c r="AJ114" s="46" t="n">
        <f aca="false">IF(AH114&gt;0,1,0)</f>
        <v>0</v>
      </c>
    </row>
    <row r="115" customFormat="false" ht="15" hidden="false" customHeight="false" outlineLevel="0" collapsed="false">
      <c r="A115" s="31" t="str">
        <f aca="false">Inputs!$B$43</f>
        <v>KIT-004</v>
      </c>
      <c r="B115" s="46" t="n">
        <f aca="false">B114+1</f>
        <v>103</v>
      </c>
      <c r="C115" s="46" t="n">
        <f aca="false">MATCH(A115,Inputs!$B$40:$B$87,0)</f>
        <v>4</v>
      </c>
      <c r="D115" s="32" t="n">
        <f aca="false">INDEX(Inputs!$F$40:$F$87,C115)</f>
        <v>2</v>
      </c>
      <c r="E115" s="78" t="n">
        <f aca="false">INDEX(Inputs!$H$40:$H$87,C115)</f>
        <v>9</v>
      </c>
      <c r="F115" s="78" t="n">
        <f aca="false">INDEX(Inputs!$G$40:$G$87,C115)</f>
        <v>40</v>
      </c>
      <c r="G115" s="32" t="n">
        <f aca="false">INDEX(Inputs!$I$40:$I$87,C115)</f>
        <v>12</v>
      </c>
      <c r="H115" s="46" t="n">
        <f aca="false">MATCH(A115,Demand_History!$C:$C,0)+B115-1</f>
        <v>416</v>
      </c>
      <c r="I115" s="32" t="n">
        <f aca="false">INDEX(Forecast_Walkforward!$C:$C,H115)</f>
        <v>88</v>
      </c>
      <c r="J115" s="79" t="n">
        <f aca="false">INDEX(Forecast_Walkforward!$E:$E,H115)</f>
        <v>91.5</v>
      </c>
      <c r="K115" s="33" t="n">
        <f aca="false">Baseline_Weeks*J115</f>
        <v>366</v>
      </c>
      <c r="L115" s="46" t="n">
        <f aca="false">SUMIFS(P$101:P114,$B$101:$B114,$B115-$D115)</f>
        <v>72</v>
      </c>
      <c r="M115" s="46" t="n">
        <f aca="false">S114+L115</f>
        <v>183</v>
      </c>
      <c r="N115" s="46" t="n">
        <f aca="false">SUMIFS(P$101:P114,$B$101:$B114,"&gt;"&amp;($B115-$D115))</f>
        <v>60</v>
      </c>
      <c r="O115" s="46" t="n">
        <f aca="false">M115+N115</f>
        <v>243</v>
      </c>
      <c r="P115" s="47" t="n">
        <f aca="false">IF(O115&lt;K115,ROUNDUP((K115-O115)/G115,0)*G115,0)</f>
        <v>132</v>
      </c>
      <c r="Q115" s="46" t="n">
        <f aca="false">MIN(M115,I115)</f>
        <v>88</v>
      </c>
      <c r="R115" s="46" t="n">
        <f aca="false">I115-Q115</f>
        <v>0</v>
      </c>
      <c r="S115" s="46" t="n">
        <f aca="false">M115-Q115</f>
        <v>95</v>
      </c>
      <c r="T115" s="46" t="n">
        <f aca="false">IF(R115&gt;0,1,0)</f>
        <v>0</v>
      </c>
      <c r="U115" s="32" t="n">
        <f aca="false">INDEX(Forecast!$AY$7:$AY$54,C115)</f>
        <v>2</v>
      </c>
      <c r="V115" s="33" t="n">
        <f aca="false">CHOOSE(U115,INDEX(Forecast_Walkforward!$D:$D,H115),INDEX(Forecast_Walkforward!$E:$E,H115),INDEX(Forecast_Walkforward!$F:$F,H115),INDEX(Forecast_Walkforward!$G:$G,H115))</f>
        <v>91.5</v>
      </c>
      <c r="W115" s="79" t="n">
        <f aca="false">INDEX(Forecast!$BA$7:$BA$54,C115)</f>
        <v>10.55274205214</v>
      </c>
      <c r="X115" s="33" t="n">
        <f aca="false">Z_Value*W115*SQRT(D115)</f>
        <v>24.5475174338154</v>
      </c>
      <c r="Y115" s="33" t="n">
        <f aca="false">V115*D115+X115</f>
        <v>207.547517433815</v>
      </c>
      <c r="Z115" s="33" t="n">
        <f aca="false">SQRT((2*V115*Weeks_Per_Year*F115)/(E115*Holding_Rate))</f>
        <v>459.855049626148</v>
      </c>
      <c r="AA115" s="46" t="n">
        <f aca="false">ROUNDUP(Z115/G115,0)*G115</f>
        <v>468</v>
      </c>
      <c r="AB115" s="46" t="n">
        <f aca="false">SUMIFS(AF$101:AF114,$B$101:$B114,$B115-$D115)</f>
        <v>0</v>
      </c>
      <c r="AC115" s="46" t="n">
        <f aca="false">AI114+AB115</f>
        <v>188</v>
      </c>
      <c r="AD115" s="46" t="n">
        <f aca="false">SUMIFS(AF$101:AF114,$B$101:$B114,"&gt;"&amp;($B115-$D115))</f>
        <v>0</v>
      </c>
      <c r="AE115" s="46" t="n">
        <f aca="false">AC115+AD115</f>
        <v>188</v>
      </c>
      <c r="AF115" s="47" t="n">
        <f aca="false">IF(AE115&lt;=Y115,AA115,0)</f>
        <v>468</v>
      </c>
      <c r="AG115" s="46" t="n">
        <f aca="false">MIN(AC115,I115)</f>
        <v>88</v>
      </c>
      <c r="AH115" s="46" t="n">
        <f aca="false">I115-AG115</f>
        <v>0</v>
      </c>
      <c r="AI115" s="46" t="n">
        <f aca="false">AC115-AG115</f>
        <v>100</v>
      </c>
      <c r="AJ115" s="46" t="n">
        <f aca="false">IF(AH115&gt;0,1,0)</f>
        <v>0</v>
      </c>
    </row>
    <row r="116" customFormat="false" ht="15" hidden="false" customHeight="false" outlineLevel="0" collapsed="false">
      <c r="A116" s="80" t="str">
        <f aca="false">Inputs!$B$43</f>
        <v>KIT-004</v>
      </c>
      <c r="B116" s="81" t="n">
        <f aca="false">B115+1</f>
        <v>104</v>
      </c>
      <c r="C116" s="81" t="n">
        <f aca="false">MATCH(A116,Inputs!$B$40:$B$87,0)</f>
        <v>4</v>
      </c>
      <c r="D116" s="82" t="n">
        <f aca="false">INDEX(Inputs!$F$40:$F$87,C116)</f>
        <v>2</v>
      </c>
      <c r="E116" s="83" t="n">
        <f aca="false">INDEX(Inputs!$H$40:$H$87,C116)</f>
        <v>9</v>
      </c>
      <c r="F116" s="83" t="n">
        <f aca="false">INDEX(Inputs!$G$40:$G$87,C116)</f>
        <v>40</v>
      </c>
      <c r="G116" s="82" t="n">
        <f aca="false">INDEX(Inputs!$I$40:$I$87,C116)</f>
        <v>12</v>
      </c>
      <c r="H116" s="81" t="n">
        <f aca="false">MATCH(A116,Demand_History!$C:$C,0)+B116-1</f>
        <v>417</v>
      </c>
      <c r="I116" s="82" t="n">
        <f aca="false">INDEX(Forecast_Walkforward!$C:$C,H116)</f>
        <v>105</v>
      </c>
      <c r="J116" s="84" t="n">
        <f aca="false">INDEX(Forecast_Walkforward!$E:$E,H116)</f>
        <v>92</v>
      </c>
      <c r="K116" s="85" t="n">
        <f aca="false">Baseline_Weeks*J116</f>
        <v>368</v>
      </c>
      <c r="L116" s="81" t="n">
        <f aca="false">SUMIFS(P$101:P115,$B$101:$B115,$B116-$D116)</f>
        <v>60</v>
      </c>
      <c r="M116" s="81" t="n">
        <f aca="false">S115+L116</f>
        <v>155</v>
      </c>
      <c r="N116" s="81" t="n">
        <f aca="false">SUMIFS(P$101:P115,$B$101:$B115,"&gt;"&amp;($B116-$D116))</f>
        <v>132</v>
      </c>
      <c r="O116" s="81" t="n">
        <f aca="false">M116+N116</f>
        <v>287</v>
      </c>
      <c r="P116" s="86" t="n">
        <f aca="false">IF(O116&lt;K116,ROUNDUP((K116-O116)/G116,0)*G116,0)</f>
        <v>84</v>
      </c>
      <c r="Q116" s="81" t="n">
        <f aca="false">MIN(M116,I116)</f>
        <v>105</v>
      </c>
      <c r="R116" s="81" t="n">
        <f aca="false">I116-Q116</f>
        <v>0</v>
      </c>
      <c r="S116" s="81" t="n">
        <f aca="false">M116-Q116</f>
        <v>50</v>
      </c>
      <c r="T116" s="81" t="n">
        <f aca="false">IF(R116&gt;0,1,0)</f>
        <v>0</v>
      </c>
      <c r="U116" s="82" t="n">
        <f aca="false">INDEX(Forecast!$AY$7:$AY$54,C116)</f>
        <v>2</v>
      </c>
      <c r="V116" s="85" t="n">
        <f aca="false">CHOOSE(U116,INDEX(Forecast_Walkforward!$D:$D,H116),INDEX(Forecast_Walkforward!$E:$E,H116),INDEX(Forecast_Walkforward!$F:$F,H116),INDEX(Forecast_Walkforward!$G:$G,H116))</f>
        <v>92</v>
      </c>
      <c r="W116" s="84" t="n">
        <f aca="false">INDEX(Forecast!$BA$7:$BA$54,C116)</f>
        <v>10.55274205214</v>
      </c>
      <c r="X116" s="85" t="n">
        <f aca="false">Z_Value*W116*SQRT(D116)</f>
        <v>24.5475174338154</v>
      </c>
      <c r="Y116" s="85" t="n">
        <f aca="false">V116*D116+X116</f>
        <v>208.547517433815</v>
      </c>
      <c r="Z116" s="85" t="n">
        <f aca="false">SQRT((2*V116*Weeks_Per_Year*F116)/(E116*Holding_Rate))</f>
        <v>461.109772421082</v>
      </c>
      <c r="AA116" s="81" t="n">
        <f aca="false">ROUNDUP(Z116/G116,0)*G116</f>
        <v>468</v>
      </c>
      <c r="AB116" s="81" t="n">
        <f aca="false">SUMIFS(AF$101:AF115,$B$101:$B115,$B116-$D116)</f>
        <v>0</v>
      </c>
      <c r="AC116" s="81" t="n">
        <f aca="false">AI115+AB116</f>
        <v>100</v>
      </c>
      <c r="AD116" s="81" t="n">
        <f aca="false">SUMIFS(AF$101:AF115,$B$101:$B115,"&gt;"&amp;($B116-$D116))</f>
        <v>468</v>
      </c>
      <c r="AE116" s="81" t="n">
        <f aca="false">AC116+AD116</f>
        <v>568</v>
      </c>
      <c r="AF116" s="86" t="n">
        <f aca="false">IF(AE116&lt;=Y116,AA116,0)</f>
        <v>0</v>
      </c>
      <c r="AG116" s="81" t="n">
        <f aca="false">MIN(AC116,I116)</f>
        <v>100</v>
      </c>
      <c r="AH116" s="81" t="n">
        <f aca="false">I116-AG116</f>
        <v>5</v>
      </c>
      <c r="AI116" s="81" t="n">
        <f aca="false">AC116-AG116</f>
        <v>0</v>
      </c>
      <c r="AJ116" s="81" t="n">
        <f aca="false">IF(AH116&gt;0,1,0)</f>
        <v>1</v>
      </c>
    </row>
    <row r="117" customFormat="false" ht="15" hidden="false" customHeight="false" outlineLevel="0" collapsed="false">
      <c r="A117" s="31" t="str">
        <f aca="false">Inputs!$B$44</f>
        <v>KIT-005</v>
      </c>
      <c r="B117" s="46" t="n">
        <f aca="false">BT_Start_Week</f>
        <v>89</v>
      </c>
      <c r="C117" s="46" t="n">
        <f aca="false">MATCH(A117,Inputs!$B$40:$B$87,0)</f>
        <v>5</v>
      </c>
      <c r="D117" s="32" t="n">
        <f aca="false">INDEX(Inputs!$F$40:$F$87,C117)</f>
        <v>2</v>
      </c>
      <c r="E117" s="78" t="n">
        <f aca="false">INDEX(Inputs!$H$40:$H$87,C117)</f>
        <v>28</v>
      </c>
      <c r="F117" s="78" t="n">
        <f aca="false">INDEX(Inputs!$G$40:$G$87,C117)</f>
        <v>40</v>
      </c>
      <c r="G117" s="32" t="n">
        <f aca="false">INDEX(Inputs!$I$40:$I$87,C117)</f>
        <v>4</v>
      </c>
      <c r="H117" s="46" t="n">
        <f aca="false">MATCH(A117,Demand_History!$C:$C,0)+B117-1</f>
        <v>506</v>
      </c>
      <c r="I117" s="32" t="n">
        <f aca="false">INDEX(Forecast_Walkforward!$C:$C,H117)</f>
        <v>19</v>
      </c>
      <c r="J117" s="79" t="n">
        <f aca="false">INDEX(Forecast_Walkforward!$E:$E,H117)</f>
        <v>27.75</v>
      </c>
      <c r="K117" s="33" t="n">
        <f aca="false">Baseline_Weeks*J117</f>
        <v>111</v>
      </c>
      <c r="L117" s="46" t="n">
        <f aca="false">0</f>
        <v>0</v>
      </c>
      <c r="M117" s="46" t="n">
        <f aca="false">ROUND(BT_Open_Cover*INDEX(Forecast_Walkforward!$F:$F,H117),0)+L117</f>
        <v>156</v>
      </c>
      <c r="N117" s="46" t="n">
        <f aca="false">0</f>
        <v>0</v>
      </c>
      <c r="O117" s="46" t="n">
        <f aca="false">M117+N117</f>
        <v>156</v>
      </c>
      <c r="P117" s="47" t="n">
        <f aca="false">IF(O117&lt;K117,ROUNDUP((K117-O117)/G117,0)*G117,0)</f>
        <v>0</v>
      </c>
      <c r="Q117" s="46" t="n">
        <f aca="false">MIN(M117,I117)</f>
        <v>19</v>
      </c>
      <c r="R117" s="46" t="n">
        <f aca="false">I117-Q117</f>
        <v>0</v>
      </c>
      <c r="S117" s="46" t="n">
        <f aca="false">M117-Q117</f>
        <v>137</v>
      </c>
      <c r="T117" s="46" t="n">
        <f aca="false">IF(R117&gt;0,1,0)</f>
        <v>0</v>
      </c>
      <c r="U117" s="32" t="n">
        <f aca="false">INDEX(Forecast!$AY$7:$AY$54,C117)</f>
        <v>2</v>
      </c>
      <c r="V117" s="33" t="n">
        <f aca="false">CHOOSE(U117,INDEX(Forecast_Walkforward!$D:$D,H117),INDEX(Forecast_Walkforward!$E:$E,H117),INDEX(Forecast_Walkforward!$F:$F,H117),INDEX(Forecast_Walkforward!$G:$G,H117))</f>
        <v>27.75</v>
      </c>
      <c r="W117" s="79" t="n">
        <f aca="false">INDEX(Forecast!$BA$7:$BA$54,C117)</f>
        <v>5.38069912529246</v>
      </c>
      <c r="X117" s="33" t="n">
        <f aca="false">Z_Value*W117*SQRT(D117)</f>
        <v>12.516444060854</v>
      </c>
      <c r="Y117" s="33" t="n">
        <f aca="false">V117*D117+X117</f>
        <v>68.016444060854</v>
      </c>
      <c r="Z117" s="33" t="n">
        <f aca="false">SQRT((2*V117*Weeks_Per_Year*F117)/(E117*Holding_Rate))</f>
        <v>143.576758962883</v>
      </c>
      <c r="AA117" s="46" t="n">
        <f aca="false">ROUNDUP(Z117/G117,0)*G117</f>
        <v>144</v>
      </c>
      <c r="AB117" s="46" t="n">
        <f aca="false">0</f>
        <v>0</v>
      </c>
      <c r="AC117" s="46" t="n">
        <f aca="false">ROUND(BT_Open_Cover*INDEX(Forecast_Walkforward!$F:$F,H117),0)+AB117</f>
        <v>156</v>
      </c>
      <c r="AD117" s="46" t="n">
        <f aca="false">0</f>
        <v>0</v>
      </c>
      <c r="AE117" s="46" t="n">
        <f aca="false">AC117+AD117</f>
        <v>156</v>
      </c>
      <c r="AF117" s="47" t="n">
        <f aca="false">IF(AE117&lt;=Y117,AA117,0)</f>
        <v>0</v>
      </c>
      <c r="AG117" s="46" t="n">
        <f aca="false">MIN(AC117,I117)</f>
        <v>19</v>
      </c>
      <c r="AH117" s="46" t="n">
        <f aca="false">I117-AG117</f>
        <v>0</v>
      </c>
      <c r="AI117" s="46" t="n">
        <f aca="false">AC117-AG117</f>
        <v>137</v>
      </c>
      <c r="AJ117" s="46" t="n">
        <f aca="false">IF(AH117&gt;0,1,0)</f>
        <v>0</v>
      </c>
    </row>
    <row r="118" customFormat="false" ht="15" hidden="false" customHeight="false" outlineLevel="0" collapsed="false">
      <c r="A118" s="31" t="str">
        <f aca="false">Inputs!$B$44</f>
        <v>KIT-005</v>
      </c>
      <c r="B118" s="46" t="n">
        <f aca="false">B117+1</f>
        <v>90</v>
      </c>
      <c r="C118" s="46" t="n">
        <f aca="false">MATCH(A118,Inputs!$B$40:$B$87,0)</f>
        <v>5</v>
      </c>
      <c r="D118" s="32" t="n">
        <f aca="false">INDEX(Inputs!$F$40:$F$87,C118)</f>
        <v>2</v>
      </c>
      <c r="E118" s="78" t="n">
        <f aca="false">INDEX(Inputs!$H$40:$H$87,C118)</f>
        <v>28</v>
      </c>
      <c r="F118" s="78" t="n">
        <f aca="false">INDEX(Inputs!$G$40:$G$87,C118)</f>
        <v>40</v>
      </c>
      <c r="G118" s="32" t="n">
        <f aca="false">INDEX(Inputs!$I$40:$I$87,C118)</f>
        <v>4</v>
      </c>
      <c r="H118" s="46" t="n">
        <f aca="false">MATCH(A118,Demand_History!$C:$C,0)+B118-1</f>
        <v>507</v>
      </c>
      <c r="I118" s="32" t="n">
        <f aca="false">INDEX(Forecast_Walkforward!$C:$C,H118)</f>
        <v>25</v>
      </c>
      <c r="J118" s="79" t="n">
        <f aca="false">INDEX(Forecast_Walkforward!$E:$E,H118)</f>
        <v>24.25</v>
      </c>
      <c r="K118" s="33" t="n">
        <f aca="false">Baseline_Weeks*J118</f>
        <v>97</v>
      </c>
      <c r="L118" s="46" t="n">
        <f aca="false">SUMIFS(P$117:P117,$B$117:$B117,$B118-$D118)</f>
        <v>0</v>
      </c>
      <c r="M118" s="46" t="n">
        <f aca="false">S117+L118</f>
        <v>137</v>
      </c>
      <c r="N118" s="46" t="n">
        <f aca="false">SUMIFS(P$117:P117,$B$117:$B117,"&gt;"&amp;($B118-$D118))</f>
        <v>0</v>
      </c>
      <c r="O118" s="46" t="n">
        <f aca="false">M118+N118</f>
        <v>137</v>
      </c>
      <c r="P118" s="47" t="n">
        <f aca="false">IF(O118&lt;K118,ROUNDUP((K118-O118)/G118,0)*G118,0)</f>
        <v>0</v>
      </c>
      <c r="Q118" s="46" t="n">
        <f aca="false">MIN(M118,I118)</f>
        <v>25</v>
      </c>
      <c r="R118" s="46" t="n">
        <f aca="false">I118-Q118</f>
        <v>0</v>
      </c>
      <c r="S118" s="46" t="n">
        <f aca="false">M118-Q118</f>
        <v>112</v>
      </c>
      <c r="T118" s="46" t="n">
        <f aca="false">IF(R118&gt;0,1,0)</f>
        <v>0</v>
      </c>
      <c r="U118" s="32" t="n">
        <f aca="false">INDEX(Forecast!$AY$7:$AY$54,C118)</f>
        <v>2</v>
      </c>
      <c r="V118" s="33" t="n">
        <f aca="false">CHOOSE(U118,INDEX(Forecast_Walkforward!$D:$D,H118),INDEX(Forecast_Walkforward!$E:$E,H118),INDEX(Forecast_Walkforward!$F:$F,H118),INDEX(Forecast_Walkforward!$G:$G,H118))</f>
        <v>24.25</v>
      </c>
      <c r="W118" s="79" t="n">
        <f aca="false">INDEX(Forecast!$BA$7:$BA$54,C118)</f>
        <v>5.38069912529246</v>
      </c>
      <c r="X118" s="33" t="n">
        <f aca="false">Z_Value*W118*SQRT(D118)</f>
        <v>12.516444060854</v>
      </c>
      <c r="Y118" s="33" t="n">
        <f aca="false">V118*D118+X118</f>
        <v>61.016444060854</v>
      </c>
      <c r="Z118" s="33" t="n">
        <f aca="false">SQRT((2*V118*Weeks_Per_Year*F118)/(E118*Holding_Rate))</f>
        <v>134.217307804492</v>
      </c>
      <c r="AA118" s="46" t="n">
        <f aca="false">ROUNDUP(Z118/G118,0)*G118</f>
        <v>136</v>
      </c>
      <c r="AB118" s="46" t="n">
        <f aca="false">SUMIFS(AF$117:AF117,$B$117:$B117,$B118-$D118)</f>
        <v>0</v>
      </c>
      <c r="AC118" s="46" t="n">
        <f aca="false">AI117+AB118</f>
        <v>137</v>
      </c>
      <c r="AD118" s="46" t="n">
        <f aca="false">SUMIFS(AF$117:AF117,$B$117:$B117,"&gt;"&amp;($B118-$D118))</f>
        <v>0</v>
      </c>
      <c r="AE118" s="46" t="n">
        <f aca="false">AC118+AD118</f>
        <v>137</v>
      </c>
      <c r="AF118" s="47" t="n">
        <f aca="false">IF(AE118&lt;=Y118,AA118,0)</f>
        <v>0</v>
      </c>
      <c r="AG118" s="46" t="n">
        <f aca="false">MIN(AC118,I118)</f>
        <v>25</v>
      </c>
      <c r="AH118" s="46" t="n">
        <f aca="false">I118-AG118</f>
        <v>0</v>
      </c>
      <c r="AI118" s="46" t="n">
        <f aca="false">AC118-AG118</f>
        <v>112</v>
      </c>
      <c r="AJ118" s="46" t="n">
        <f aca="false">IF(AH118&gt;0,1,0)</f>
        <v>0</v>
      </c>
    </row>
    <row r="119" customFormat="false" ht="15" hidden="false" customHeight="false" outlineLevel="0" collapsed="false">
      <c r="A119" s="31" t="str">
        <f aca="false">Inputs!$B$44</f>
        <v>KIT-005</v>
      </c>
      <c r="B119" s="46" t="n">
        <f aca="false">B118+1</f>
        <v>91</v>
      </c>
      <c r="C119" s="46" t="n">
        <f aca="false">MATCH(A119,Inputs!$B$40:$B$87,0)</f>
        <v>5</v>
      </c>
      <c r="D119" s="32" t="n">
        <f aca="false">INDEX(Inputs!$F$40:$F$87,C119)</f>
        <v>2</v>
      </c>
      <c r="E119" s="78" t="n">
        <f aca="false">INDEX(Inputs!$H$40:$H$87,C119)</f>
        <v>28</v>
      </c>
      <c r="F119" s="78" t="n">
        <f aca="false">INDEX(Inputs!$G$40:$G$87,C119)</f>
        <v>40</v>
      </c>
      <c r="G119" s="32" t="n">
        <f aca="false">INDEX(Inputs!$I$40:$I$87,C119)</f>
        <v>4</v>
      </c>
      <c r="H119" s="46" t="n">
        <f aca="false">MATCH(A119,Demand_History!$C:$C,0)+B119-1</f>
        <v>508</v>
      </c>
      <c r="I119" s="32" t="n">
        <f aca="false">INDEX(Forecast_Walkforward!$C:$C,H119)</f>
        <v>26</v>
      </c>
      <c r="J119" s="79" t="n">
        <f aca="false">INDEX(Forecast_Walkforward!$E:$E,H119)</f>
        <v>23</v>
      </c>
      <c r="K119" s="33" t="n">
        <f aca="false">Baseline_Weeks*J119</f>
        <v>92</v>
      </c>
      <c r="L119" s="46" t="n">
        <f aca="false">SUMIFS(P$117:P118,$B$117:$B118,$B119-$D119)</f>
        <v>0</v>
      </c>
      <c r="M119" s="46" t="n">
        <f aca="false">S118+L119</f>
        <v>112</v>
      </c>
      <c r="N119" s="46" t="n">
        <f aca="false">SUMIFS(P$117:P118,$B$117:$B118,"&gt;"&amp;($B119-$D119))</f>
        <v>0</v>
      </c>
      <c r="O119" s="46" t="n">
        <f aca="false">M119+N119</f>
        <v>112</v>
      </c>
      <c r="P119" s="47" t="n">
        <f aca="false">IF(O119&lt;K119,ROUNDUP((K119-O119)/G119,0)*G119,0)</f>
        <v>0</v>
      </c>
      <c r="Q119" s="46" t="n">
        <f aca="false">MIN(M119,I119)</f>
        <v>26</v>
      </c>
      <c r="R119" s="46" t="n">
        <f aca="false">I119-Q119</f>
        <v>0</v>
      </c>
      <c r="S119" s="46" t="n">
        <f aca="false">M119-Q119</f>
        <v>86</v>
      </c>
      <c r="T119" s="46" t="n">
        <f aca="false">IF(R119&gt;0,1,0)</f>
        <v>0</v>
      </c>
      <c r="U119" s="32" t="n">
        <f aca="false">INDEX(Forecast!$AY$7:$AY$54,C119)</f>
        <v>2</v>
      </c>
      <c r="V119" s="33" t="n">
        <f aca="false">CHOOSE(U119,INDEX(Forecast_Walkforward!$D:$D,H119),INDEX(Forecast_Walkforward!$E:$E,H119),INDEX(Forecast_Walkforward!$F:$F,H119),INDEX(Forecast_Walkforward!$G:$G,H119))</f>
        <v>23</v>
      </c>
      <c r="W119" s="79" t="n">
        <f aca="false">INDEX(Forecast!$BA$7:$BA$54,C119)</f>
        <v>5.38069912529246</v>
      </c>
      <c r="X119" s="33" t="n">
        <f aca="false">Z_Value*W119*SQRT(D119)</f>
        <v>12.516444060854</v>
      </c>
      <c r="Y119" s="33" t="n">
        <f aca="false">V119*D119+X119</f>
        <v>58.516444060854</v>
      </c>
      <c r="Z119" s="33" t="n">
        <f aca="false">SQRT((2*V119*Weeks_Per_Year*F119)/(E119*Holding_Rate))</f>
        <v>130.712334099404</v>
      </c>
      <c r="AA119" s="46" t="n">
        <f aca="false">ROUNDUP(Z119/G119,0)*G119</f>
        <v>132</v>
      </c>
      <c r="AB119" s="46" t="n">
        <f aca="false">SUMIFS(AF$117:AF118,$B$117:$B118,$B119-$D119)</f>
        <v>0</v>
      </c>
      <c r="AC119" s="46" t="n">
        <f aca="false">AI118+AB119</f>
        <v>112</v>
      </c>
      <c r="AD119" s="46" t="n">
        <f aca="false">SUMIFS(AF$117:AF118,$B$117:$B118,"&gt;"&amp;($B119-$D119))</f>
        <v>0</v>
      </c>
      <c r="AE119" s="46" t="n">
        <f aca="false">AC119+AD119</f>
        <v>112</v>
      </c>
      <c r="AF119" s="47" t="n">
        <f aca="false">IF(AE119&lt;=Y119,AA119,0)</f>
        <v>0</v>
      </c>
      <c r="AG119" s="46" t="n">
        <f aca="false">MIN(AC119,I119)</f>
        <v>26</v>
      </c>
      <c r="AH119" s="46" t="n">
        <f aca="false">I119-AG119</f>
        <v>0</v>
      </c>
      <c r="AI119" s="46" t="n">
        <f aca="false">AC119-AG119</f>
        <v>86</v>
      </c>
      <c r="AJ119" s="46" t="n">
        <f aca="false">IF(AH119&gt;0,1,0)</f>
        <v>0</v>
      </c>
    </row>
    <row r="120" customFormat="false" ht="15" hidden="false" customHeight="false" outlineLevel="0" collapsed="false">
      <c r="A120" s="31" t="str">
        <f aca="false">Inputs!$B$44</f>
        <v>KIT-005</v>
      </c>
      <c r="B120" s="46" t="n">
        <f aca="false">B119+1</f>
        <v>92</v>
      </c>
      <c r="C120" s="46" t="n">
        <f aca="false">MATCH(A120,Inputs!$B$40:$B$87,0)</f>
        <v>5</v>
      </c>
      <c r="D120" s="32" t="n">
        <f aca="false">INDEX(Inputs!$F$40:$F$87,C120)</f>
        <v>2</v>
      </c>
      <c r="E120" s="78" t="n">
        <f aca="false">INDEX(Inputs!$H$40:$H$87,C120)</f>
        <v>28</v>
      </c>
      <c r="F120" s="78" t="n">
        <f aca="false">INDEX(Inputs!$G$40:$G$87,C120)</f>
        <v>40</v>
      </c>
      <c r="G120" s="32" t="n">
        <f aca="false">INDEX(Inputs!$I$40:$I$87,C120)</f>
        <v>4</v>
      </c>
      <c r="H120" s="46" t="n">
        <f aca="false">MATCH(A120,Demand_History!$C:$C,0)+B120-1</f>
        <v>509</v>
      </c>
      <c r="I120" s="32" t="n">
        <f aca="false">INDEX(Forecast_Walkforward!$C:$C,H120)</f>
        <v>25</v>
      </c>
      <c r="J120" s="79" t="n">
        <f aca="false">INDEX(Forecast_Walkforward!$E:$E,H120)</f>
        <v>23.25</v>
      </c>
      <c r="K120" s="33" t="n">
        <f aca="false">Baseline_Weeks*J120</f>
        <v>93</v>
      </c>
      <c r="L120" s="46" t="n">
        <f aca="false">SUMIFS(P$117:P119,$B$117:$B119,$B120-$D120)</f>
        <v>0</v>
      </c>
      <c r="M120" s="46" t="n">
        <f aca="false">S119+L120</f>
        <v>86</v>
      </c>
      <c r="N120" s="46" t="n">
        <f aca="false">SUMIFS(P$117:P119,$B$117:$B119,"&gt;"&amp;($B120-$D120))</f>
        <v>0</v>
      </c>
      <c r="O120" s="46" t="n">
        <f aca="false">M120+N120</f>
        <v>86</v>
      </c>
      <c r="P120" s="47" t="n">
        <f aca="false">IF(O120&lt;K120,ROUNDUP((K120-O120)/G120,0)*G120,0)</f>
        <v>8</v>
      </c>
      <c r="Q120" s="46" t="n">
        <f aca="false">MIN(M120,I120)</f>
        <v>25</v>
      </c>
      <c r="R120" s="46" t="n">
        <f aca="false">I120-Q120</f>
        <v>0</v>
      </c>
      <c r="S120" s="46" t="n">
        <f aca="false">M120-Q120</f>
        <v>61</v>
      </c>
      <c r="T120" s="46" t="n">
        <f aca="false">IF(R120&gt;0,1,0)</f>
        <v>0</v>
      </c>
      <c r="U120" s="32" t="n">
        <f aca="false">INDEX(Forecast!$AY$7:$AY$54,C120)</f>
        <v>2</v>
      </c>
      <c r="V120" s="33" t="n">
        <f aca="false">CHOOSE(U120,INDEX(Forecast_Walkforward!$D:$D,H120),INDEX(Forecast_Walkforward!$E:$E,H120),INDEX(Forecast_Walkforward!$F:$F,H120),INDEX(Forecast_Walkforward!$G:$G,H120))</f>
        <v>23.25</v>
      </c>
      <c r="W120" s="79" t="n">
        <f aca="false">INDEX(Forecast!$BA$7:$BA$54,C120)</f>
        <v>5.38069912529246</v>
      </c>
      <c r="X120" s="33" t="n">
        <f aca="false">Z_Value*W120*SQRT(D120)</f>
        <v>12.516444060854</v>
      </c>
      <c r="Y120" s="33" t="n">
        <f aca="false">V120*D120+X120</f>
        <v>59.016444060854</v>
      </c>
      <c r="Z120" s="33" t="n">
        <f aca="false">SQRT((2*V120*Weeks_Per_Year*F120)/(E120*Holding_Rate))</f>
        <v>131.420807224079</v>
      </c>
      <c r="AA120" s="46" t="n">
        <f aca="false">ROUNDUP(Z120/G120,0)*G120</f>
        <v>132</v>
      </c>
      <c r="AB120" s="46" t="n">
        <f aca="false">SUMIFS(AF$117:AF119,$B$117:$B119,$B120-$D120)</f>
        <v>0</v>
      </c>
      <c r="AC120" s="46" t="n">
        <f aca="false">AI119+AB120</f>
        <v>86</v>
      </c>
      <c r="AD120" s="46" t="n">
        <f aca="false">SUMIFS(AF$117:AF119,$B$117:$B119,"&gt;"&amp;($B120-$D120))</f>
        <v>0</v>
      </c>
      <c r="AE120" s="46" t="n">
        <f aca="false">AC120+AD120</f>
        <v>86</v>
      </c>
      <c r="AF120" s="47" t="n">
        <f aca="false">IF(AE120&lt;=Y120,AA120,0)</f>
        <v>0</v>
      </c>
      <c r="AG120" s="46" t="n">
        <f aca="false">MIN(AC120,I120)</f>
        <v>25</v>
      </c>
      <c r="AH120" s="46" t="n">
        <f aca="false">I120-AG120</f>
        <v>0</v>
      </c>
      <c r="AI120" s="46" t="n">
        <f aca="false">AC120-AG120</f>
        <v>61</v>
      </c>
      <c r="AJ120" s="46" t="n">
        <f aca="false">IF(AH120&gt;0,1,0)</f>
        <v>0</v>
      </c>
    </row>
    <row r="121" customFormat="false" ht="15" hidden="false" customHeight="false" outlineLevel="0" collapsed="false">
      <c r="A121" s="31" t="str">
        <f aca="false">Inputs!$B$44</f>
        <v>KIT-005</v>
      </c>
      <c r="B121" s="46" t="n">
        <f aca="false">B120+1</f>
        <v>93</v>
      </c>
      <c r="C121" s="46" t="n">
        <f aca="false">MATCH(A121,Inputs!$B$40:$B$87,0)</f>
        <v>5</v>
      </c>
      <c r="D121" s="32" t="n">
        <f aca="false">INDEX(Inputs!$F$40:$F$87,C121)</f>
        <v>2</v>
      </c>
      <c r="E121" s="78" t="n">
        <f aca="false">INDEX(Inputs!$H$40:$H$87,C121)</f>
        <v>28</v>
      </c>
      <c r="F121" s="78" t="n">
        <f aca="false">INDEX(Inputs!$G$40:$G$87,C121)</f>
        <v>40</v>
      </c>
      <c r="G121" s="32" t="n">
        <f aca="false">INDEX(Inputs!$I$40:$I$87,C121)</f>
        <v>4</v>
      </c>
      <c r="H121" s="46" t="n">
        <f aca="false">MATCH(A121,Demand_History!$C:$C,0)+B121-1</f>
        <v>510</v>
      </c>
      <c r="I121" s="32" t="n">
        <f aca="false">INDEX(Forecast_Walkforward!$C:$C,H121)</f>
        <v>25</v>
      </c>
      <c r="J121" s="79" t="n">
        <f aca="false">INDEX(Forecast_Walkforward!$E:$E,H121)</f>
        <v>23.75</v>
      </c>
      <c r="K121" s="33" t="n">
        <f aca="false">Baseline_Weeks*J121</f>
        <v>95</v>
      </c>
      <c r="L121" s="46" t="n">
        <f aca="false">SUMIFS(P$117:P120,$B$117:$B120,$B121-$D121)</f>
        <v>0</v>
      </c>
      <c r="M121" s="46" t="n">
        <f aca="false">S120+L121</f>
        <v>61</v>
      </c>
      <c r="N121" s="46" t="n">
        <f aca="false">SUMIFS(P$117:P120,$B$117:$B120,"&gt;"&amp;($B121-$D121))</f>
        <v>8</v>
      </c>
      <c r="O121" s="46" t="n">
        <f aca="false">M121+N121</f>
        <v>69</v>
      </c>
      <c r="P121" s="47" t="n">
        <f aca="false">IF(O121&lt;K121,ROUNDUP((K121-O121)/G121,0)*G121,0)</f>
        <v>28</v>
      </c>
      <c r="Q121" s="46" t="n">
        <f aca="false">MIN(M121,I121)</f>
        <v>25</v>
      </c>
      <c r="R121" s="46" t="n">
        <f aca="false">I121-Q121</f>
        <v>0</v>
      </c>
      <c r="S121" s="46" t="n">
        <f aca="false">M121-Q121</f>
        <v>36</v>
      </c>
      <c r="T121" s="46" t="n">
        <f aca="false">IF(R121&gt;0,1,0)</f>
        <v>0</v>
      </c>
      <c r="U121" s="32" t="n">
        <f aca="false">INDEX(Forecast!$AY$7:$AY$54,C121)</f>
        <v>2</v>
      </c>
      <c r="V121" s="33" t="n">
        <f aca="false">CHOOSE(U121,INDEX(Forecast_Walkforward!$D:$D,H121),INDEX(Forecast_Walkforward!$E:$E,H121),INDEX(Forecast_Walkforward!$F:$F,H121),INDEX(Forecast_Walkforward!$G:$G,H121))</f>
        <v>23.75</v>
      </c>
      <c r="W121" s="79" t="n">
        <f aca="false">INDEX(Forecast!$BA$7:$BA$54,C121)</f>
        <v>5.38069912529246</v>
      </c>
      <c r="X121" s="33" t="n">
        <f aca="false">Z_Value*W121*SQRT(D121)</f>
        <v>12.516444060854</v>
      </c>
      <c r="Y121" s="33" t="n">
        <f aca="false">V121*D121+X121</f>
        <v>60.016444060854</v>
      </c>
      <c r="Z121" s="33" t="n">
        <f aca="false">SQRT((2*V121*Weeks_Per_Year*F121)/(E121*Holding_Rate))</f>
        <v>132.826417338032</v>
      </c>
      <c r="AA121" s="46" t="n">
        <f aca="false">ROUNDUP(Z121/G121,0)*G121</f>
        <v>136</v>
      </c>
      <c r="AB121" s="46" t="n">
        <f aca="false">SUMIFS(AF$117:AF120,$B$117:$B120,$B121-$D121)</f>
        <v>0</v>
      </c>
      <c r="AC121" s="46" t="n">
        <f aca="false">AI120+AB121</f>
        <v>61</v>
      </c>
      <c r="AD121" s="46" t="n">
        <f aca="false">SUMIFS(AF$117:AF120,$B$117:$B120,"&gt;"&amp;($B121-$D121))</f>
        <v>0</v>
      </c>
      <c r="AE121" s="46" t="n">
        <f aca="false">AC121+AD121</f>
        <v>61</v>
      </c>
      <c r="AF121" s="47" t="n">
        <f aca="false">IF(AE121&lt;=Y121,AA121,0)</f>
        <v>0</v>
      </c>
      <c r="AG121" s="46" t="n">
        <f aca="false">MIN(AC121,I121)</f>
        <v>25</v>
      </c>
      <c r="AH121" s="46" t="n">
        <f aca="false">I121-AG121</f>
        <v>0</v>
      </c>
      <c r="AI121" s="46" t="n">
        <f aca="false">AC121-AG121</f>
        <v>36</v>
      </c>
      <c r="AJ121" s="46" t="n">
        <f aca="false">IF(AH121&gt;0,1,0)</f>
        <v>0</v>
      </c>
    </row>
    <row r="122" customFormat="false" ht="15" hidden="false" customHeight="false" outlineLevel="0" collapsed="false">
      <c r="A122" s="31" t="str">
        <f aca="false">Inputs!$B$44</f>
        <v>KIT-005</v>
      </c>
      <c r="B122" s="46" t="n">
        <f aca="false">B121+1</f>
        <v>94</v>
      </c>
      <c r="C122" s="46" t="n">
        <f aca="false">MATCH(A122,Inputs!$B$40:$B$87,0)</f>
        <v>5</v>
      </c>
      <c r="D122" s="32" t="n">
        <f aca="false">INDEX(Inputs!$F$40:$F$87,C122)</f>
        <v>2</v>
      </c>
      <c r="E122" s="78" t="n">
        <f aca="false">INDEX(Inputs!$H$40:$H$87,C122)</f>
        <v>28</v>
      </c>
      <c r="F122" s="78" t="n">
        <f aca="false">INDEX(Inputs!$G$40:$G$87,C122)</f>
        <v>40</v>
      </c>
      <c r="G122" s="32" t="n">
        <f aca="false">INDEX(Inputs!$I$40:$I$87,C122)</f>
        <v>4</v>
      </c>
      <c r="H122" s="46" t="n">
        <f aca="false">MATCH(A122,Demand_History!$C:$C,0)+B122-1</f>
        <v>511</v>
      </c>
      <c r="I122" s="32" t="n">
        <f aca="false">INDEX(Forecast_Walkforward!$C:$C,H122)</f>
        <v>21</v>
      </c>
      <c r="J122" s="79" t="n">
        <f aca="false">INDEX(Forecast_Walkforward!$E:$E,H122)</f>
        <v>25.25</v>
      </c>
      <c r="K122" s="33" t="n">
        <f aca="false">Baseline_Weeks*J122</f>
        <v>101</v>
      </c>
      <c r="L122" s="46" t="n">
        <f aca="false">SUMIFS(P$117:P121,$B$117:$B121,$B122-$D122)</f>
        <v>8</v>
      </c>
      <c r="M122" s="46" t="n">
        <f aca="false">S121+L122</f>
        <v>44</v>
      </c>
      <c r="N122" s="46" t="n">
        <f aca="false">SUMIFS(P$117:P121,$B$117:$B121,"&gt;"&amp;($B122-$D122))</f>
        <v>28</v>
      </c>
      <c r="O122" s="46" t="n">
        <f aca="false">M122+N122</f>
        <v>72</v>
      </c>
      <c r="P122" s="47" t="n">
        <f aca="false">IF(O122&lt;K122,ROUNDUP((K122-O122)/G122,0)*G122,0)</f>
        <v>32</v>
      </c>
      <c r="Q122" s="46" t="n">
        <f aca="false">MIN(M122,I122)</f>
        <v>21</v>
      </c>
      <c r="R122" s="46" t="n">
        <f aca="false">I122-Q122</f>
        <v>0</v>
      </c>
      <c r="S122" s="46" t="n">
        <f aca="false">M122-Q122</f>
        <v>23</v>
      </c>
      <c r="T122" s="46" t="n">
        <f aca="false">IF(R122&gt;0,1,0)</f>
        <v>0</v>
      </c>
      <c r="U122" s="32" t="n">
        <f aca="false">INDEX(Forecast!$AY$7:$AY$54,C122)</f>
        <v>2</v>
      </c>
      <c r="V122" s="33" t="n">
        <f aca="false">CHOOSE(U122,INDEX(Forecast_Walkforward!$D:$D,H122),INDEX(Forecast_Walkforward!$E:$E,H122),INDEX(Forecast_Walkforward!$F:$F,H122),INDEX(Forecast_Walkforward!$G:$G,H122))</f>
        <v>25.25</v>
      </c>
      <c r="W122" s="79" t="n">
        <f aca="false">INDEX(Forecast!$BA$7:$BA$54,C122)</f>
        <v>5.38069912529246</v>
      </c>
      <c r="X122" s="33" t="n">
        <f aca="false">Z_Value*W122*SQRT(D122)</f>
        <v>12.516444060854</v>
      </c>
      <c r="Y122" s="33" t="n">
        <f aca="false">V122*D122+X122</f>
        <v>63.016444060854</v>
      </c>
      <c r="Z122" s="33" t="n">
        <f aca="false">SQRT((2*V122*Weeks_Per_Year*F122)/(E122*Holding_Rate))</f>
        <v>136.95671891931</v>
      </c>
      <c r="AA122" s="46" t="n">
        <f aca="false">ROUNDUP(Z122/G122,0)*G122</f>
        <v>140</v>
      </c>
      <c r="AB122" s="46" t="n">
        <f aca="false">SUMIFS(AF$117:AF121,$B$117:$B121,$B122-$D122)</f>
        <v>0</v>
      </c>
      <c r="AC122" s="46" t="n">
        <f aca="false">AI121+AB122</f>
        <v>36</v>
      </c>
      <c r="AD122" s="46" t="n">
        <f aca="false">SUMIFS(AF$117:AF121,$B$117:$B121,"&gt;"&amp;($B122-$D122))</f>
        <v>0</v>
      </c>
      <c r="AE122" s="46" t="n">
        <f aca="false">AC122+AD122</f>
        <v>36</v>
      </c>
      <c r="AF122" s="47" t="n">
        <f aca="false">IF(AE122&lt;=Y122,AA122,0)</f>
        <v>140</v>
      </c>
      <c r="AG122" s="46" t="n">
        <f aca="false">MIN(AC122,I122)</f>
        <v>21</v>
      </c>
      <c r="AH122" s="46" t="n">
        <f aca="false">I122-AG122</f>
        <v>0</v>
      </c>
      <c r="AI122" s="46" t="n">
        <f aca="false">AC122-AG122</f>
        <v>15</v>
      </c>
      <c r="AJ122" s="46" t="n">
        <f aca="false">IF(AH122&gt;0,1,0)</f>
        <v>0</v>
      </c>
    </row>
    <row r="123" customFormat="false" ht="15" hidden="false" customHeight="false" outlineLevel="0" collapsed="false">
      <c r="A123" s="31" t="str">
        <f aca="false">Inputs!$B$44</f>
        <v>KIT-005</v>
      </c>
      <c r="B123" s="46" t="n">
        <f aca="false">B122+1</f>
        <v>95</v>
      </c>
      <c r="C123" s="46" t="n">
        <f aca="false">MATCH(A123,Inputs!$B$40:$B$87,0)</f>
        <v>5</v>
      </c>
      <c r="D123" s="32" t="n">
        <f aca="false">INDEX(Inputs!$F$40:$F$87,C123)</f>
        <v>2</v>
      </c>
      <c r="E123" s="78" t="n">
        <f aca="false">INDEX(Inputs!$H$40:$H$87,C123)</f>
        <v>28</v>
      </c>
      <c r="F123" s="78" t="n">
        <f aca="false">INDEX(Inputs!$G$40:$G$87,C123)</f>
        <v>40</v>
      </c>
      <c r="G123" s="32" t="n">
        <f aca="false">INDEX(Inputs!$I$40:$I$87,C123)</f>
        <v>4</v>
      </c>
      <c r="H123" s="46" t="n">
        <f aca="false">MATCH(A123,Demand_History!$C:$C,0)+B123-1</f>
        <v>512</v>
      </c>
      <c r="I123" s="32" t="n">
        <f aca="false">INDEX(Forecast_Walkforward!$C:$C,H123)</f>
        <v>25</v>
      </c>
      <c r="J123" s="79" t="n">
        <f aca="false">INDEX(Forecast_Walkforward!$E:$E,H123)</f>
        <v>24.25</v>
      </c>
      <c r="K123" s="33" t="n">
        <f aca="false">Baseline_Weeks*J123</f>
        <v>97</v>
      </c>
      <c r="L123" s="46" t="n">
        <f aca="false">SUMIFS(P$117:P122,$B$117:$B122,$B123-$D123)</f>
        <v>28</v>
      </c>
      <c r="M123" s="46" t="n">
        <f aca="false">S122+L123</f>
        <v>51</v>
      </c>
      <c r="N123" s="46" t="n">
        <f aca="false">SUMIFS(P$117:P122,$B$117:$B122,"&gt;"&amp;($B123-$D123))</f>
        <v>32</v>
      </c>
      <c r="O123" s="46" t="n">
        <f aca="false">M123+N123</f>
        <v>83</v>
      </c>
      <c r="P123" s="47" t="n">
        <f aca="false">IF(O123&lt;K123,ROUNDUP((K123-O123)/G123,0)*G123,0)</f>
        <v>16</v>
      </c>
      <c r="Q123" s="46" t="n">
        <f aca="false">MIN(M123,I123)</f>
        <v>25</v>
      </c>
      <c r="R123" s="46" t="n">
        <f aca="false">I123-Q123</f>
        <v>0</v>
      </c>
      <c r="S123" s="46" t="n">
        <f aca="false">M123-Q123</f>
        <v>26</v>
      </c>
      <c r="T123" s="46" t="n">
        <f aca="false">IF(R123&gt;0,1,0)</f>
        <v>0</v>
      </c>
      <c r="U123" s="32" t="n">
        <f aca="false">INDEX(Forecast!$AY$7:$AY$54,C123)</f>
        <v>2</v>
      </c>
      <c r="V123" s="33" t="n">
        <f aca="false">CHOOSE(U123,INDEX(Forecast_Walkforward!$D:$D,H123),INDEX(Forecast_Walkforward!$E:$E,H123),INDEX(Forecast_Walkforward!$F:$F,H123),INDEX(Forecast_Walkforward!$G:$G,H123))</f>
        <v>24.25</v>
      </c>
      <c r="W123" s="79" t="n">
        <f aca="false">INDEX(Forecast!$BA$7:$BA$54,C123)</f>
        <v>5.38069912529246</v>
      </c>
      <c r="X123" s="33" t="n">
        <f aca="false">Z_Value*W123*SQRT(D123)</f>
        <v>12.516444060854</v>
      </c>
      <c r="Y123" s="33" t="n">
        <f aca="false">V123*D123+X123</f>
        <v>61.016444060854</v>
      </c>
      <c r="Z123" s="33" t="n">
        <f aca="false">SQRT((2*V123*Weeks_Per_Year*F123)/(E123*Holding_Rate))</f>
        <v>134.217307804492</v>
      </c>
      <c r="AA123" s="46" t="n">
        <f aca="false">ROUNDUP(Z123/G123,0)*G123</f>
        <v>136</v>
      </c>
      <c r="AB123" s="46" t="n">
        <f aca="false">SUMIFS(AF$117:AF122,$B$117:$B122,$B123-$D123)</f>
        <v>0</v>
      </c>
      <c r="AC123" s="46" t="n">
        <f aca="false">AI122+AB123</f>
        <v>15</v>
      </c>
      <c r="AD123" s="46" t="n">
        <f aca="false">SUMIFS(AF$117:AF122,$B$117:$B122,"&gt;"&amp;($B123-$D123))</f>
        <v>140</v>
      </c>
      <c r="AE123" s="46" t="n">
        <f aca="false">AC123+AD123</f>
        <v>155</v>
      </c>
      <c r="AF123" s="47" t="n">
        <f aca="false">IF(AE123&lt;=Y123,AA123,0)</f>
        <v>0</v>
      </c>
      <c r="AG123" s="46" t="n">
        <f aca="false">MIN(AC123,I123)</f>
        <v>15</v>
      </c>
      <c r="AH123" s="46" t="n">
        <f aca="false">I123-AG123</f>
        <v>10</v>
      </c>
      <c r="AI123" s="46" t="n">
        <f aca="false">AC123-AG123</f>
        <v>0</v>
      </c>
      <c r="AJ123" s="46" t="n">
        <f aca="false">IF(AH123&gt;0,1,0)</f>
        <v>1</v>
      </c>
    </row>
    <row r="124" customFormat="false" ht="15" hidden="false" customHeight="false" outlineLevel="0" collapsed="false">
      <c r="A124" s="31" t="str">
        <f aca="false">Inputs!$B$44</f>
        <v>KIT-005</v>
      </c>
      <c r="B124" s="46" t="n">
        <f aca="false">B123+1</f>
        <v>96</v>
      </c>
      <c r="C124" s="46" t="n">
        <f aca="false">MATCH(A124,Inputs!$B$40:$B$87,0)</f>
        <v>5</v>
      </c>
      <c r="D124" s="32" t="n">
        <f aca="false">INDEX(Inputs!$F$40:$F$87,C124)</f>
        <v>2</v>
      </c>
      <c r="E124" s="78" t="n">
        <f aca="false">INDEX(Inputs!$H$40:$H$87,C124)</f>
        <v>28</v>
      </c>
      <c r="F124" s="78" t="n">
        <f aca="false">INDEX(Inputs!$G$40:$G$87,C124)</f>
        <v>40</v>
      </c>
      <c r="G124" s="32" t="n">
        <f aca="false">INDEX(Inputs!$I$40:$I$87,C124)</f>
        <v>4</v>
      </c>
      <c r="H124" s="46" t="n">
        <f aca="false">MATCH(A124,Demand_History!$C:$C,0)+B124-1</f>
        <v>513</v>
      </c>
      <c r="I124" s="32" t="n">
        <f aca="false">INDEX(Forecast_Walkforward!$C:$C,H124)</f>
        <v>25</v>
      </c>
      <c r="J124" s="79" t="n">
        <f aca="false">INDEX(Forecast_Walkforward!$E:$E,H124)</f>
        <v>24</v>
      </c>
      <c r="K124" s="33" t="n">
        <f aca="false">Baseline_Weeks*J124</f>
        <v>96</v>
      </c>
      <c r="L124" s="46" t="n">
        <f aca="false">SUMIFS(P$117:P123,$B$117:$B123,$B124-$D124)</f>
        <v>32</v>
      </c>
      <c r="M124" s="46" t="n">
        <f aca="false">S123+L124</f>
        <v>58</v>
      </c>
      <c r="N124" s="46" t="n">
        <f aca="false">SUMIFS(P$117:P123,$B$117:$B123,"&gt;"&amp;($B124-$D124))</f>
        <v>16</v>
      </c>
      <c r="O124" s="46" t="n">
        <f aca="false">M124+N124</f>
        <v>74</v>
      </c>
      <c r="P124" s="47" t="n">
        <f aca="false">IF(O124&lt;K124,ROUNDUP((K124-O124)/G124,0)*G124,0)</f>
        <v>24</v>
      </c>
      <c r="Q124" s="46" t="n">
        <f aca="false">MIN(M124,I124)</f>
        <v>25</v>
      </c>
      <c r="R124" s="46" t="n">
        <f aca="false">I124-Q124</f>
        <v>0</v>
      </c>
      <c r="S124" s="46" t="n">
        <f aca="false">M124-Q124</f>
        <v>33</v>
      </c>
      <c r="T124" s="46" t="n">
        <f aca="false">IF(R124&gt;0,1,0)</f>
        <v>0</v>
      </c>
      <c r="U124" s="32" t="n">
        <f aca="false">INDEX(Forecast!$AY$7:$AY$54,C124)</f>
        <v>2</v>
      </c>
      <c r="V124" s="33" t="n">
        <f aca="false">CHOOSE(U124,INDEX(Forecast_Walkforward!$D:$D,H124),INDEX(Forecast_Walkforward!$E:$E,H124),INDEX(Forecast_Walkforward!$F:$F,H124),INDEX(Forecast_Walkforward!$G:$G,H124))</f>
        <v>24</v>
      </c>
      <c r="W124" s="79" t="n">
        <f aca="false">INDEX(Forecast!$BA$7:$BA$54,C124)</f>
        <v>5.38069912529246</v>
      </c>
      <c r="X124" s="33" t="n">
        <f aca="false">Z_Value*W124*SQRT(D124)</f>
        <v>12.516444060854</v>
      </c>
      <c r="Y124" s="33" t="n">
        <f aca="false">V124*D124+X124</f>
        <v>60.516444060854</v>
      </c>
      <c r="Z124" s="33" t="n">
        <f aca="false">SQRT((2*V124*Weeks_Per_Year*F124)/(E124*Holding_Rate))</f>
        <v>133.523673663405</v>
      </c>
      <c r="AA124" s="46" t="n">
        <f aca="false">ROUNDUP(Z124/G124,0)*G124</f>
        <v>136</v>
      </c>
      <c r="AB124" s="46" t="n">
        <f aca="false">SUMIFS(AF$117:AF123,$B$117:$B123,$B124-$D124)</f>
        <v>140</v>
      </c>
      <c r="AC124" s="46" t="n">
        <f aca="false">AI123+AB124</f>
        <v>140</v>
      </c>
      <c r="AD124" s="46" t="n">
        <f aca="false">SUMIFS(AF$117:AF123,$B$117:$B123,"&gt;"&amp;($B124-$D124))</f>
        <v>0</v>
      </c>
      <c r="AE124" s="46" t="n">
        <f aca="false">AC124+AD124</f>
        <v>140</v>
      </c>
      <c r="AF124" s="47" t="n">
        <f aca="false">IF(AE124&lt;=Y124,AA124,0)</f>
        <v>0</v>
      </c>
      <c r="AG124" s="46" t="n">
        <f aca="false">MIN(AC124,I124)</f>
        <v>25</v>
      </c>
      <c r="AH124" s="46" t="n">
        <f aca="false">I124-AG124</f>
        <v>0</v>
      </c>
      <c r="AI124" s="46" t="n">
        <f aca="false">AC124-AG124</f>
        <v>115</v>
      </c>
      <c r="AJ124" s="46" t="n">
        <f aca="false">IF(AH124&gt;0,1,0)</f>
        <v>0</v>
      </c>
    </row>
    <row r="125" customFormat="false" ht="15" hidden="false" customHeight="false" outlineLevel="0" collapsed="false">
      <c r="A125" s="31" t="str">
        <f aca="false">Inputs!$B$44</f>
        <v>KIT-005</v>
      </c>
      <c r="B125" s="46" t="n">
        <f aca="false">B124+1</f>
        <v>97</v>
      </c>
      <c r="C125" s="46" t="n">
        <f aca="false">MATCH(A125,Inputs!$B$40:$B$87,0)</f>
        <v>5</v>
      </c>
      <c r="D125" s="32" t="n">
        <f aca="false">INDEX(Inputs!$F$40:$F$87,C125)</f>
        <v>2</v>
      </c>
      <c r="E125" s="78" t="n">
        <f aca="false">INDEX(Inputs!$H$40:$H$87,C125)</f>
        <v>28</v>
      </c>
      <c r="F125" s="78" t="n">
        <f aca="false">INDEX(Inputs!$G$40:$G$87,C125)</f>
        <v>40</v>
      </c>
      <c r="G125" s="32" t="n">
        <f aca="false">INDEX(Inputs!$I$40:$I$87,C125)</f>
        <v>4</v>
      </c>
      <c r="H125" s="46" t="n">
        <f aca="false">MATCH(A125,Demand_History!$C:$C,0)+B125-1</f>
        <v>514</v>
      </c>
      <c r="I125" s="32" t="n">
        <f aca="false">INDEX(Forecast_Walkforward!$C:$C,H125)</f>
        <v>29</v>
      </c>
      <c r="J125" s="79" t="n">
        <f aca="false">INDEX(Forecast_Walkforward!$E:$E,H125)</f>
        <v>24</v>
      </c>
      <c r="K125" s="33" t="n">
        <f aca="false">Baseline_Weeks*J125</f>
        <v>96</v>
      </c>
      <c r="L125" s="46" t="n">
        <f aca="false">SUMIFS(P$117:P124,$B$117:$B124,$B125-$D125)</f>
        <v>16</v>
      </c>
      <c r="M125" s="46" t="n">
        <f aca="false">S124+L125</f>
        <v>49</v>
      </c>
      <c r="N125" s="46" t="n">
        <f aca="false">SUMIFS(P$117:P124,$B$117:$B124,"&gt;"&amp;($B125-$D125))</f>
        <v>24</v>
      </c>
      <c r="O125" s="46" t="n">
        <f aca="false">M125+N125</f>
        <v>73</v>
      </c>
      <c r="P125" s="47" t="n">
        <f aca="false">IF(O125&lt;K125,ROUNDUP((K125-O125)/G125,0)*G125,0)</f>
        <v>24</v>
      </c>
      <c r="Q125" s="46" t="n">
        <f aca="false">MIN(M125,I125)</f>
        <v>29</v>
      </c>
      <c r="R125" s="46" t="n">
        <f aca="false">I125-Q125</f>
        <v>0</v>
      </c>
      <c r="S125" s="46" t="n">
        <f aca="false">M125-Q125</f>
        <v>20</v>
      </c>
      <c r="T125" s="46" t="n">
        <f aca="false">IF(R125&gt;0,1,0)</f>
        <v>0</v>
      </c>
      <c r="U125" s="32" t="n">
        <f aca="false">INDEX(Forecast!$AY$7:$AY$54,C125)</f>
        <v>2</v>
      </c>
      <c r="V125" s="33" t="n">
        <f aca="false">CHOOSE(U125,INDEX(Forecast_Walkforward!$D:$D,H125),INDEX(Forecast_Walkforward!$E:$E,H125),INDEX(Forecast_Walkforward!$F:$F,H125),INDEX(Forecast_Walkforward!$G:$G,H125))</f>
        <v>24</v>
      </c>
      <c r="W125" s="79" t="n">
        <f aca="false">INDEX(Forecast!$BA$7:$BA$54,C125)</f>
        <v>5.38069912529246</v>
      </c>
      <c r="X125" s="33" t="n">
        <f aca="false">Z_Value*W125*SQRT(D125)</f>
        <v>12.516444060854</v>
      </c>
      <c r="Y125" s="33" t="n">
        <f aca="false">V125*D125+X125</f>
        <v>60.516444060854</v>
      </c>
      <c r="Z125" s="33" t="n">
        <f aca="false">SQRT((2*V125*Weeks_Per_Year*F125)/(E125*Holding_Rate))</f>
        <v>133.523673663405</v>
      </c>
      <c r="AA125" s="46" t="n">
        <f aca="false">ROUNDUP(Z125/G125,0)*G125</f>
        <v>136</v>
      </c>
      <c r="AB125" s="46" t="n">
        <f aca="false">SUMIFS(AF$117:AF124,$B$117:$B124,$B125-$D125)</f>
        <v>0</v>
      </c>
      <c r="AC125" s="46" t="n">
        <f aca="false">AI124+AB125</f>
        <v>115</v>
      </c>
      <c r="AD125" s="46" t="n">
        <f aca="false">SUMIFS(AF$117:AF124,$B$117:$B124,"&gt;"&amp;($B125-$D125))</f>
        <v>0</v>
      </c>
      <c r="AE125" s="46" t="n">
        <f aca="false">AC125+AD125</f>
        <v>115</v>
      </c>
      <c r="AF125" s="47" t="n">
        <f aca="false">IF(AE125&lt;=Y125,AA125,0)</f>
        <v>0</v>
      </c>
      <c r="AG125" s="46" t="n">
        <f aca="false">MIN(AC125,I125)</f>
        <v>29</v>
      </c>
      <c r="AH125" s="46" t="n">
        <f aca="false">I125-AG125</f>
        <v>0</v>
      </c>
      <c r="AI125" s="46" t="n">
        <f aca="false">AC125-AG125</f>
        <v>86</v>
      </c>
      <c r="AJ125" s="46" t="n">
        <f aca="false">IF(AH125&gt;0,1,0)</f>
        <v>0</v>
      </c>
    </row>
    <row r="126" customFormat="false" ht="15" hidden="false" customHeight="false" outlineLevel="0" collapsed="false">
      <c r="A126" s="31" t="str">
        <f aca="false">Inputs!$B$44</f>
        <v>KIT-005</v>
      </c>
      <c r="B126" s="46" t="n">
        <f aca="false">B125+1</f>
        <v>98</v>
      </c>
      <c r="C126" s="46" t="n">
        <f aca="false">MATCH(A126,Inputs!$B$40:$B$87,0)</f>
        <v>5</v>
      </c>
      <c r="D126" s="32" t="n">
        <f aca="false">INDEX(Inputs!$F$40:$F$87,C126)</f>
        <v>2</v>
      </c>
      <c r="E126" s="78" t="n">
        <f aca="false">INDEX(Inputs!$H$40:$H$87,C126)</f>
        <v>28</v>
      </c>
      <c r="F126" s="78" t="n">
        <f aca="false">INDEX(Inputs!$G$40:$G$87,C126)</f>
        <v>40</v>
      </c>
      <c r="G126" s="32" t="n">
        <f aca="false">INDEX(Inputs!$I$40:$I$87,C126)</f>
        <v>4</v>
      </c>
      <c r="H126" s="46" t="n">
        <f aca="false">MATCH(A126,Demand_History!$C:$C,0)+B126-1</f>
        <v>515</v>
      </c>
      <c r="I126" s="32" t="n">
        <f aca="false">INDEX(Forecast_Walkforward!$C:$C,H126)</f>
        <v>30</v>
      </c>
      <c r="J126" s="79" t="n">
        <f aca="false">INDEX(Forecast_Walkforward!$E:$E,H126)</f>
        <v>25</v>
      </c>
      <c r="K126" s="33" t="n">
        <f aca="false">Baseline_Weeks*J126</f>
        <v>100</v>
      </c>
      <c r="L126" s="46" t="n">
        <f aca="false">SUMIFS(P$117:P125,$B$117:$B125,$B126-$D126)</f>
        <v>24</v>
      </c>
      <c r="M126" s="46" t="n">
        <f aca="false">S125+L126</f>
        <v>44</v>
      </c>
      <c r="N126" s="46" t="n">
        <f aca="false">SUMIFS(P$117:P125,$B$117:$B125,"&gt;"&amp;($B126-$D126))</f>
        <v>24</v>
      </c>
      <c r="O126" s="46" t="n">
        <f aca="false">M126+N126</f>
        <v>68</v>
      </c>
      <c r="P126" s="47" t="n">
        <f aca="false">IF(O126&lt;K126,ROUNDUP((K126-O126)/G126,0)*G126,0)</f>
        <v>32</v>
      </c>
      <c r="Q126" s="46" t="n">
        <f aca="false">MIN(M126,I126)</f>
        <v>30</v>
      </c>
      <c r="R126" s="46" t="n">
        <f aca="false">I126-Q126</f>
        <v>0</v>
      </c>
      <c r="S126" s="46" t="n">
        <f aca="false">M126-Q126</f>
        <v>14</v>
      </c>
      <c r="T126" s="46" t="n">
        <f aca="false">IF(R126&gt;0,1,0)</f>
        <v>0</v>
      </c>
      <c r="U126" s="32" t="n">
        <f aca="false">INDEX(Forecast!$AY$7:$AY$54,C126)</f>
        <v>2</v>
      </c>
      <c r="V126" s="33" t="n">
        <f aca="false">CHOOSE(U126,INDEX(Forecast_Walkforward!$D:$D,H126),INDEX(Forecast_Walkforward!$E:$E,H126),INDEX(Forecast_Walkforward!$F:$F,H126),INDEX(Forecast_Walkforward!$G:$G,H126))</f>
        <v>25</v>
      </c>
      <c r="W126" s="79" t="n">
        <f aca="false">INDEX(Forecast!$BA$7:$BA$54,C126)</f>
        <v>5.38069912529246</v>
      </c>
      <c r="X126" s="33" t="n">
        <f aca="false">Z_Value*W126*SQRT(D126)</f>
        <v>12.516444060854</v>
      </c>
      <c r="Y126" s="33" t="n">
        <f aca="false">V126*D126+X126</f>
        <v>62.516444060854</v>
      </c>
      <c r="Z126" s="33" t="n">
        <f aca="false">SQRT((2*V126*Weeks_Per_Year*F126)/(E126*Holding_Rate))</f>
        <v>136.277028773849</v>
      </c>
      <c r="AA126" s="46" t="n">
        <f aca="false">ROUNDUP(Z126/G126,0)*G126</f>
        <v>140</v>
      </c>
      <c r="AB126" s="46" t="n">
        <f aca="false">SUMIFS(AF$117:AF125,$B$117:$B125,$B126-$D126)</f>
        <v>0</v>
      </c>
      <c r="AC126" s="46" t="n">
        <f aca="false">AI125+AB126</f>
        <v>86</v>
      </c>
      <c r="AD126" s="46" t="n">
        <f aca="false">SUMIFS(AF$117:AF125,$B$117:$B125,"&gt;"&amp;($B126-$D126))</f>
        <v>0</v>
      </c>
      <c r="AE126" s="46" t="n">
        <f aca="false">AC126+AD126</f>
        <v>86</v>
      </c>
      <c r="AF126" s="47" t="n">
        <f aca="false">IF(AE126&lt;=Y126,AA126,0)</f>
        <v>0</v>
      </c>
      <c r="AG126" s="46" t="n">
        <f aca="false">MIN(AC126,I126)</f>
        <v>30</v>
      </c>
      <c r="AH126" s="46" t="n">
        <f aca="false">I126-AG126</f>
        <v>0</v>
      </c>
      <c r="AI126" s="46" t="n">
        <f aca="false">AC126-AG126</f>
        <v>56</v>
      </c>
      <c r="AJ126" s="46" t="n">
        <f aca="false">IF(AH126&gt;0,1,0)</f>
        <v>0</v>
      </c>
    </row>
    <row r="127" customFormat="false" ht="15" hidden="false" customHeight="false" outlineLevel="0" collapsed="false">
      <c r="A127" s="31" t="str">
        <f aca="false">Inputs!$B$44</f>
        <v>KIT-005</v>
      </c>
      <c r="B127" s="46" t="n">
        <f aca="false">B126+1</f>
        <v>99</v>
      </c>
      <c r="C127" s="46" t="n">
        <f aca="false">MATCH(A127,Inputs!$B$40:$B$87,0)</f>
        <v>5</v>
      </c>
      <c r="D127" s="32" t="n">
        <f aca="false">INDEX(Inputs!$F$40:$F$87,C127)</f>
        <v>2</v>
      </c>
      <c r="E127" s="78" t="n">
        <f aca="false">INDEX(Inputs!$H$40:$H$87,C127)</f>
        <v>28</v>
      </c>
      <c r="F127" s="78" t="n">
        <f aca="false">INDEX(Inputs!$G$40:$G$87,C127)</f>
        <v>40</v>
      </c>
      <c r="G127" s="32" t="n">
        <f aca="false">INDEX(Inputs!$I$40:$I$87,C127)</f>
        <v>4</v>
      </c>
      <c r="H127" s="46" t="n">
        <f aca="false">MATCH(A127,Demand_History!$C:$C,0)+B127-1</f>
        <v>516</v>
      </c>
      <c r="I127" s="32" t="n">
        <f aca="false">INDEX(Forecast_Walkforward!$C:$C,H127)</f>
        <v>23</v>
      </c>
      <c r="J127" s="79" t="n">
        <f aca="false">INDEX(Forecast_Walkforward!$E:$E,H127)</f>
        <v>27.25</v>
      </c>
      <c r="K127" s="33" t="n">
        <f aca="false">Baseline_Weeks*J127</f>
        <v>109</v>
      </c>
      <c r="L127" s="46" t="n">
        <f aca="false">SUMIFS(P$117:P126,$B$117:$B126,$B127-$D127)</f>
        <v>24</v>
      </c>
      <c r="M127" s="46" t="n">
        <f aca="false">S126+L127</f>
        <v>38</v>
      </c>
      <c r="N127" s="46" t="n">
        <f aca="false">SUMIFS(P$117:P126,$B$117:$B126,"&gt;"&amp;($B127-$D127))</f>
        <v>32</v>
      </c>
      <c r="O127" s="46" t="n">
        <f aca="false">M127+N127</f>
        <v>70</v>
      </c>
      <c r="P127" s="47" t="n">
        <f aca="false">IF(O127&lt;K127,ROUNDUP((K127-O127)/G127,0)*G127,0)</f>
        <v>40</v>
      </c>
      <c r="Q127" s="46" t="n">
        <f aca="false">MIN(M127,I127)</f>
        <v>23</v>
      </c>
      <c r="R127" s="46" t="n">
        <f aca="false">I127-Q127</f>
        <v>0</v>
      </c>
      <c r="S127" s="46" t="n">
        <f aca="false">M127-Q127</f>
        <v>15</v>
      </c>
      <c r="T127" s="46" t="n">
        <f aca="false">IF(R127&gt;0,1,0)</f>
        <v>0</v>
      </c>
      <c r="U127" s="32" t="n">
        <f aca="false">INDEX(Forecast!$AY$7:$AY$54,C127)</f>
        <v>2</v>
      </c>
      <c r="V127" s="33" t="n">
        <f aca="false">CHOOSE(U127,INDEX(Forecast_Walkforward!$D:$D,H127),INDEX(Forecast_Walkforward!$E:$E,H127),INDEX(Forecast_Walkforward!$F:$F,H127),INDEX(Forecast_Walkforward!$G:$G,H127))</f>
        <v>27.25</v>
      </c>
      <c r="W127" s="79" t="n">
        <f aca="false">INDEX(Forecast!$BA$7:$BA$54,C127)</f>
        <v>5.38069912529246</v>
      </c>
      <c r="X127" s="33" t="n">
        <f aca="false">Z_Value*W127*SQRT(D127)</f>
        <v>12.516444060854</v>
      </c>
      <c r="Y127" s="33" t="n">
        <f aca="false">V127*D127+X127</f>
        <v>67.016444060854</v>
      </c>
      <c r="Z127" s="33" t="n">
        <f aca="false">SQRT((2*V127*Weeks_Per_Year*F127)/(E127*Holding_Rate))</f>
        <v>142.277395052261</v>
      </c>
      <c r="AA127" s="46" t="n">
        <f aca="false">ROUNDUP(Z127/G127,0)*G127</f>
        <v>144</v>
      </c>
      <c r="AB127" s="46" t="n">
        <f aca="false">SUMIFS(AF$117:AF126,$B$117:$B126,$B127-$D127)</f>
        <v>0</v>
      </c>
      <c r="AC127" s="46" t="n">
        <f aca="false">AI126+AB127</f>
        <v>56</v>
      </c>
      <c r="AD127" s="46" t="n">
        <f aca="false">SUMIFS(AF$117:AF126,$B$117:$B126,"&gt;"&amp;($B127-$D127))</f>
        <v>0</v>
      </c>
      <c r="AE127" s="46" t="n">
        <f aca="false">AC127+AD127</f>
        <v>56</v>
      </c>
      <c r="AF127" s="47" t="n">
        <f aca="false">IF(AE127&lt;=Y127,AA127,0)</f>
        <v>144</v>
      </c>
      <c r="AG127" s="46" t="n">
        <f aca="false">MIN(AC127,I127)</f>
        <v>23</v>
      </c>
      <c r="AH127" s="46" t="n">
        <f aca="false">I127-AG127</f>
        <v>0</v>
      </c>
      <c r="AI127" s="46" t="n">
        <f aca="false">AC127-AG127</f>
        <v>33</v>
      </c>
      <c r="AJ127" s="46" t="n">
        <f aca="false">IF(AH127&gt;0,1,0)</f>
        <v>0</v>
      </c>
    </row>
    <row r="128" customFormat="false" ht="15" hidden="false" customHeight="false" outlineLevel="0" collapsed="false">
      <c r="A128" s="31" t="str">
        <f aca="false">Inputs!$B$44</f>
        <v>KIT-005</v>
      </c>
      <c r="B128" s="46" t="n">
        <f aca="false">B127+1</f>
        <v>100</v>
      </c>
      <c r="C128" s="46" t="n">
        <f aca="false">MATCH(A128,Inputs!$B$40:$B$87,0)</f>
        <v>5</v>
      </c>
      <c r="D128" s="32" t="n">
        <f aca="false">INDEX(Inputs!$F$40:$F$87,C128)</f>
        <v>2</v>
      </c>
      <c r="E128" s="78" t="n">
        <f aca="false">INDEX(Inputs!$H$40:$H$87,C128)</f>
        <v>28</v>
      </c>
      <c r="F128" s="78" t="n">
        <f aca="false">INDEX(Inputs!$G$40:$G$87,C128)</f>
        <v>40</v>
      </c>
      <c r="G128" s="32" t="n">
        <f aca="false">INDEX(Inputs!$I$40:$I$87,C128)</f>
        <v>4</v>
      </c>
      <c r="H128" s="46" t="n">
        <f aca="false">MATCH(A128,Demand_History!$C:$C,0)+B128-1</f>
        <v>517</v>
      </c>
      <c r="I128" s="32" t="n">
        <f aca="false">INDEX(Forecast_Walkforward!$C:$C,H128)</f>
        <v>21</v>
      </c>
      <c r="J128" s="79" t="n">
        <f aca="false">INDEX(Forecast_Walkforward!$E:$E,H128)</f>
        <v>26.75</v>
      </c>
      <c r="K128" s="33" t="n">
        <f aca="false">Baseline_Weeks*J128</f>
        <v>107</v>
      </c>
      <c r="L128" s="46" t="n">
        <f aca="false">SUMIFS(P$117:P127,$B$117:$B127,$B128-$D128)</f>
        <v>32</v>
      </c>
      <c r="M128" s="46" t="n">
        <f aca="false">S127+L128</f>
        <v>47</v>
      </c>
      <c r="N128" s="46" t="n">
        <f aca="false">SUMIFS(P$117:P127,$B$117:$B127,"&gt;"&amp;($B128-$D128))</f>
        <v>40</v>
      </c>
      <c r="O128" s="46" t="n">
        <f aca="false">M128+N128</f>
        <v>87</v>
      </c>
      <c r="P128" s="47" t="n">
        <f aca="false">IF(O128&lt;K128,ROUNDUP((K128-O128)/G128,0)*G128,0)</f>
        <v>20</v>
      </c>
      <c r="Q128" s="46" t="n">
        <f aca="false">MIN(M128,I128)</f>
        <v>21</v>
      </c>
      <c r="R128" s="46" t="n">
        <f aca="false">I128-Q128</f>
        <v>0</v>
      </c>
      <c r="S128" s="46" t="n">
        <f aca="false">M128-Q128</f>
        <v>26</v>
      </c>
      <c r="T128" s="46" t="n">
        <f aca="false">IF(R128&gt;0,1,0)</f>
        <v>0</v>
      </c>
      <c r="U128" s="32" t="n">
        <f aca="false">INDEX(Forecast!$AY$7:$AY$54,C128)</f>
        <v>2</v>
      </c>
      <c r="V128" s="33" t="n">
        <f aca="false">CHOOSE(U128,INDEX(Forecast_Walkforward!$D:$D,H128),INDEX(Forecast_Walkforward!$E:$E,H128),INDEX(Forecast_Walkforward!$F:$F,H128),INDEX(Forecast_Walkforward!$G:$G,H128))</f>
        <v>26.75</v>
      </c>
      <c r="W128" s="79" t="n">
        <f aca="false">INDEX(Forecast!$BA$7:$BA$54,C128)</f>
        <v>5.38069912529246</v>
      </c>
      <c r="X128" s="33" t="n">
        <f aca="false">Z_Value*W128*SQRT(D128)</f>
        <v>12.516444060854</v>
      </c>
      <c r="Y128" s="33" t="n">
        <f aca="false">V128*D128+X128</f>
        <v>66.016444060854</v>
      </c>
      <c r="Z128" s="33" t="n">
        <f aca="false">SQRT((2*V128*Weeks_Per_Year*F128)/(E128*Holding_Rate))</f>
        <v>140.966054677814</v>
      </c>
      <c r="AA128" s="46" t="n">
        <f aca="false">ROUNDUP(Z128/G128,0)*G128</f>
        <v>144</v>
      </c>
      <c r="AB128" s="46" t="n">
        <f aca="false">SUMIFS(AF$117:AF127,$B$117:$B127,$B128-$D128)</f>
        <v>0</v>
      </c>
      <c r="AC128" s="46" t="n">
        <f aca="false">AI127+AB128</f>
        <v>33</v>
      </c>
      <c r="AD128" s="46" t="n">
        <f aca="false">SUMIFS(AF$117:AF127,$B$117:$B127,"&gt;"&amp;($B128-$D128))</f>
        <v>144</v>
      </c>
      <c r="AE128" s="46" t="n">
        <f aca="false">AC128+AD128</f>
        <v>177</v>
      </c>
      <c r="AF128" s="47" t="n">
        <f aca="false">IF(AE128&lt;=Y128,AA128,0)</f>
        <v>0</v>
      </c>
      <c r="AG128" s="46" t="n">
        <f aca="false">MIN(AC128,I128)</f>
        <v>21</v>
      </c>
      <c r="AH128" s="46" t="n">
        <f aca="false">I128-AG128</f>
        <v>0</v>
      </c>
      <c r="AI128" s="46" t="n">
        <f aca="false">AC128-AG128</f>
        <v>12</v>
      </c>
      <c r="AJ128" s="46" t="n">
        <f aca="false">IF(AH128&gt;0,1,0)</f>
        <v>0</v>
      </c>
    </row>
    <row r="129" customFormat="false" ht="15" hidden="false" customHeight="false" outlineLevel="0" collapsed="false">
      <c r="A129" s="31" t="str">
        <f aca="false">Inputs!$B$44</f>
        <v>KIT-005</v>
      </c>
      <c r="B129" s="46" t="n">
        <f aca="false">B128+1</f>
        <v>101</v>
      </c>
      <c r="C129" s="46" t="n">
        <f aca="false">MATCH(A129,Inputs!$B$40:$B$87,0)</f>
        <v>5</v>
      </c>
      <c r="D129" s="32" t="n">
        <f aca="false">INDEX(Inputs!$F$40:$F$87,C129)</f>
        <v>2</v>
      </c>
      <c r="E129" s="78" t="n">
        <f aca="false">INDEX(Inputs!$H$40:$H$87,C129)</f>
        <v>28</v>
      </c>
      <c r="F129" s="78" t="n">
        <f aca="false">INDEX(Inputs!$G$40:$G$87,C129)</f>
        <v>40</v>
      </c>
      <c r="G129" s="32" t="n">
        <f aca="false">INDEX(Inputs!$I$40:$I$87,C129)</f>
        <v>4</v>
      </c>
      <c r="H129" s="46" t="n">
        <f aca="false">MATCH(A129,Demand_History!$C:$C,0)+B129-1</f>
        <v>518</v>
      </c>
      <c r="I129" s="32" t="n">
        <f aca="false">INDEX(Forecast_Walkforward!$C:$C,H129)</f>
        <v>23</v>
      </c>
      <c r="J129" s="79" t="n">
        <f aca="false">INDEX(Forecast_Walkforward!$E:$E,H129)</f>
        <v>25.75</v>
      </c>
      <c r="K129" s="33" t="n">
        <f aca="false">Baseline_Weeks*J129</f>
        <v>103</v>
      </c>
      <c r="L129" s="46" t="n">
        <f aca="false">SUMIFS(P$117:P128,$B$117:$B128,$B129-$D129)</f>
        <v>40</v>
      </c>
      <c r="M129" s="46" t="n">
        <f aca="false">S128+L129</f>
        <v>66</v>
      </c>
      <c r="N129" s="46" t="n">
        <f aca="false">SUMIFS(P$117:P128,$B$117:$B128,"&gt;"&amp;($B129-$D129))</f>
        <v>20</v>
      </c>
      <c r="O129" s="46" t="n">
        <f aca="false">M129+N129</f>
        <v>86</v>
      </c>
      <c r="P129" s="47" t="n">
        <f aca="false">IF(O129&lt;K129,ROUNDUP((K129-O129)/G129,0)*G129,0)</f>
        <v>20</v>
      </c>
      <c r="Q129" s="46" t="n">
        <f aca="false">MIN(M129,I129)</f>
        <v>23</v>
      </c>
      <c r="R129" s="46" t="n">
        <f aca="false">I129-Q129</f>
        <v>0</v>
      </c>
      <c r="S129" s="46" t="n">
        <f aca="false">M129-Q129</f>
        <v>43</v>
      </c>
      <c r="T129" s="46" t="n">
        <f aca="false">IF(R129&gt;0,1,0)</f>
        <v>0</v>
      </c>
      <c r="U129" s="32" t="n">
        <f aca="false">INDEX(Forecast!$AY$7:$AY$54,C129)</f>
        <v>2</v>
      </c>
      <c r="V129" s="33" t="n">
        <f aca="false">CHOOSE(U129,INDEX(Forecast_Walkforward!$D:$D,H129),INDEX(Forecast_Walkforward!$E:$E,H129),INDEX(Forecast_Walkforward!$F:$F,H129),INDEX(Forecast_Walkforward!$G:$G,H129))</f>
        <v>25.75</v>
      </c>
      <c r="W129" s="79" t="n">
        <f aca="false">INDEX(Forecast!$BA$7:$BA$54,C129)</f>
        <v>5.38069912529246</v>
      </c>
      <c r="X129" s="33" t="n">
        <f aca="false">Z_Value*W129*SQRT(D129)</f>
        <v>12.516444060854</v>
      </c>
      <c r="Y129" s="33" t="n">
        <f aca="false">V129*D129+X129</f>
        <v>64.016444060854</v>
      </c>
      <c r="Z129" s="33" t="n">
        <f aca="false">SQRT((2*V129*Weeks_Per_Year*F129)/(E129*Holding_Rate))</f>
        <v>138.306078783875</v>
      </c>
      <c r="AA129" s="46" t="n">
        <f aca="false">ROUNDUP(Z129/G129,0)*G129</f>
        <v>140</v>
      </c>
      <c r="AB129" s="46" t="n">
        <f aca="false">SUMIFS(AF$117:AF128,$B$117:$B128,$B129-$D129)</f>
        <v>144</v>
      </c>
      <c r="AC129" s="46" t="n">
        <f aca="false">AI128+AB129</f>
        <v>156</v>
      </c>
      <c r="AD129" s="46" t="n">
        <f aca="false">SUMIFS(AF$117:AF128,$B$117:$B128,"&gt;"&amp;($B129-$D129))</f>
        <v>0</v>
      </c>
      <c r="AE129" s="46" t="n">
        <f aca="false">AC129+AD129</f>
        <v>156</v>
      </c>
      <c r="AF129" s="47" t="n">
        <f aca="false">IF(AE129&lt;=Y129,AA129,0)</f>
        <v>0</v>
      </c>
      <c r="AG129" s="46" t="n">
        <f aca="false">MIN(AC129,I129)</f>
        <v>23</v>
      </c>
      <c r="AH129" s="46" t="n">
        <f aca="false">I129-AG129</f>
        <v>0</v>
      </c>
      <c r="AI129" s="46" t="n">
        <f aca="false">AC129-AG129</f>
        <v>133</v>
      </c>
      <c r="AJ129" s="46" t="n">
        <f aca="false">IF(AH129&gt;0,1,0)</f>
        <v>0</v>
      </c>
    </row>
    <row r="130" customFormat="false" ht="15" hidden="false" customHeight="false" outlineLevel="0" collapsed="false">
      <c r="A130" s="31" t="str">
        <f aca="false">Inputs!$B$44</f>
        <v>KIT-005</v>
      </c>
      <c r="B130" s="46" t="n">
        <f aca="false">B129+1</f>
        <v>102</v>
      </c>
      <c r="C130" s="46" t="n">
        <f aca="false">MATCH(A130,Inputs!$B$40:$B$87,0)</f>
        <v>5</v>
      </c>
      <c r="D130" s="32" t="n">
        <f aca="false">INDEX(Inputs!$F$40:$F$87,C130)</f>
        <v>2</v>
      </c>
      <c r="E130" s="78" t="n">
        <f aca="false">INDEX(Inputs!$H$40:$H$87,C130)</f>
        <v>28</v>
      </c>
      <c r="F130" s="78" t="n">
        <f aca="false">INDEX(Inputs!$G$40:$G$87,C130)</f>
        <v>40</v>
      </c>
      <c r="G130" s="32" t="n">
        <f aca="false">INDEX(Inputs!$I$40:$I$87,C130)</f>
        <v>4</v>
      </c>
      <c r="H130" s="46" t="n">
        <f aca="false">MATCH(A130,Demand_History!$C:$C,0)+B130-1</f>
        <v>519</v>
      </c>
      <c r="I130" s="32" t="n">
        <f aca="false">INDEX(Forecast_Walkforward!$C:$C,H130)</f>
        <v>21</v>
      </c>
      <c r="J130" s="79" t="n">
        <f aca="false">INDEX(Forecast_Walkforward!$E:$E,H130)</f>
        <v>24.25</v>
      </c>
      <c r="K130" s="33" t="n">
        <f aca="false">Baseline_Weeks*J130</f>
        <v>97</v>
      </c>
      <c r="L130" s="46" t="n">
        <f aca="false">SUMIFS(P$117:P129,$B$117:$B129,$B130-$D130)</f>
        <v>20</v>
      </c>
      <c r="M130" s="46" t="n">
        <f aca="false">S129+L130</f>
        <v>63</v>
      </c>
      <c r="N130" s="46" t="n">
        <f aca="false">SUMIFS(P$117:P129,$B$117:$B129,"&gt;"&amp;($B130-$D130))</f>
        <v>20</v>
      </c>
      <c r="O130" s="46" t="n">
        <f aca="false">M130+N130</f>
        <v>83</v>
      </c>
      <c r="P130" s="47" t="n">
        <f aca="false">IF(O130&lt;K130,ROUNDUP((K130-O130)/G130,0)*G130,0)</f>
        <v>16</v>
      </c>
      <c r="Q130" s="46" t="n">
        <f aca="false">MIN(M130,I130)</f>
        <v>21</v>
      </c>
      <c r="R130" s="46" t="n">
        <f aca="false">I130-Q130</f>
        <v>0</v>
      </c>
      <c r="S130" s="46" t="n">
        <f aca="false">M130-Q130</f>
        <v>42</v>
      </c>
      <c r="T130" s="46" t="n">
        <f aca="false">IF(R130&gt;0,1,0)</f>
        <v>0</v>
      </c>
      <c r="U130" s="32" t="n">
        <f aca="false">INDEX(Forecast!$AY$7:$AY$54,C130)</f>
        <v>2</v>
      </c>
      <c r="V130" s="33" t="n">
        <f aca="false">CHOOSE(U130,INDEX(Forecast_Walkforward!$D:$D,H130),INDEX(Forecast_Walkforward!$E:$E,H130),INDEX(Forecast_Walkforward!$F:$F,H130),INDEX(Forecast_Walkforward!$G:$G,H130))</f>
        <v>24.25</v>
      </c>
      <c r="W130" s="79" t="n">
        <f aca="false">INDEX(Forecast!$BA$7:$BA$54,C130)</f>
        <v>5.38069912529246</v>
      </c>
      <c r="X130" s="33" t="n">
        <f aca="false">Z_Value*W130*SQRT(D130)</f>
        <v>12.516444060854</v>
      </c>
      <c r="Y130" s="33" t="n">
        <f aca="false">V130*D130+X130</f>
        <v>61.016444060854</v>
      </c>
      <c r="Z130" s="33" t="n">
        <f aca="false">SQRT((2*V130*Weeks_Per_Year*F130)/(E130*Holding_Rate))</f>
        <v>134.217307804492</v>
      </c>
      <c r="AA130" s="46" t="n">
        <f aca="false">ROUNDUP(Z130/G130,0)*G130</f>
        <v>136</v>
      </c>
      <c r="AB130" s="46" t="n">
        <f aca="false">SUMIFS(AF$117:AF129,$B$117:$B129,$B130-$D130)</f>
        <v>0</v>
      </c>
      <c r="AC130" s="46" t="n">
        <f aca="false">AI129+AB130</f>
        <v>133</v>
      </c>
      <c r="AD130" s="46" t="n">
        <f aca="false">SUMIFS(AF$117:AF129,$B$117:$B129,"&gt;"&amp;($B130-$D130))</f>
        <v>0</v>
      </c>
      <c r="AE130" s="46" t="n">
        <f aca="false">AC130+AD130</f>
        <v>133</v>
      </c>
      <c r="AF130" s="47" t="n">
        <f aca="false">IF(AE130&lt;=Y130,AA130,0)</f>
        <v>0</v>
      </c>
      <c r="AG130" s="46" t="n">
        <f aca="false">MIN(AC130,I130)</f>
        <v>21</v>
      </c>
      <c r="AH130" s="46" t="n">
        <f aca="false">I130-AG130</f>
        <v>0</v>
      </c>
      <c r="AI130" s="46" t="n">
        <f aca="false">AC130-AG130</f>
        <v>112</v>
      </c>
      <c r="AJ130" s="46" t="n">
        <f aca="false">IF(AH130&gt;0,1,0)</f>
        <v>0</v>
      </c>
    </row>
    <row r="131" customFormat="false" ht="15" hidden="false" customHeight="false" outlineLevel="0" collapsed="false">
      <c r="A131" s="31" t="str">
        <f aca="false">Inputs!$B$44</f>
        <v>KIT-005</v>
      </c>
      <c r="B131" s="46" t="n">
        <f aca="false">B130+1</f>
        <v>103</v>
      </c>
      <c r="C131" s="46" t="n">
        <f aca="false">MATCH(A131,Inputs!$B$40:$B$87,0)</f>
        <v>5</v>
      </c>
      <c r="D131" s="32" t="n">
        <f aca="false">INDEX(Inputs!$F$40:$F$87,C131)</f>
        <v>2</v>
      </c>
      <c r="E131" s="78" t="n">
        <f aca="false">INDEX(Inputs!$H$40:$H$87,C131)</f>
        <v>28</v>
      </c>
      <c r="F131" s="78" t="n">
        <f aca="false">INDEX(Inputs!$G$40:$G$87,C131)</f>
        <v>40</v>
      </c>
      <c r="G131" s="32" t="n">
        <f aca="false">INDEX(Inputs!$I$40:$I$87,C131)</f>
        <v>4</v>
      </c>
      <c r="H131" s="46" t="n">
        <f aca="false">MATCH(A131,Demand_History!$C:$C,0)+B131-1</f>
        <v>520</v>
      </c>
      <c r="I131" s="32" t="n">
        <f aca="false">INDEX(Forecast_Walkforward!$C:$C,H131)</f>
        <v>21</v>
      </c>
      <c r="J131" s="79" t="n">
        <f aca="false">INDEX(Forecast_Walkforward!$E:$E,H131)</f>
        <v>22</v>
      </c>
      <c r="K131" s="33" t="n">
        <f aca="false">Baseline_Weeks*J131</f>
        <v>88</v>
      </c>
      <c r="L131" s="46" t="n">
        <f aca="false">SUMIFS(P$117:P130,$B$117:$B130,$B131-$D131)</f>
        <v>20</v>
      </c>
      <c r="M131" s="46" t="n">
        <f aca="false">S130+L131</f>
        <v>62</v>
      </c>
      <c r="N131" s="46" t="n">
        <f aca="false">SUMIFS(P$117:P130,$B$117:$B130,"&gt;"&amp;($B131-$D131))</f>
        <v>16</v>
      </c>
      <c r="O131" s="46" t="n">
        <f aca="false">M131+N131</f>
        <v>78</v>
      </c>
      <c r="P131" s="47" t="n">
        <f aca="false">IF(O131&lt;K131,ROUNDUP((K131-O131)/G131,0)*G131,0)</f>
        <v>12</v>
      </c>
      <c r="Q131" s="46" t="n">
        <f aca="false">MIN(M131,I131)</f>
        <v>21</v>
      </c>
      <c r="R131" s="46" t="n">
        <f aca="false">I131-Q131</f>
        <v>0</v>
      </c>
      <c r="S131" s="46" t="n">
        <f aca="false">M131-Q131</f>
        <v>41</v>
      </c>
      <c r="T131" s="46" t="n">
        <f aca="false">IF(R131&gt;0,1,0)</f>
        <v>0</v>
      </c>
      <c r="U131" s="32" t="n">
        <f aca="false">INDEX(Forecast!$AY$7:$AY$54,C131)</f>
        <v>2</v>
      </c>
      <c r="V131" s="33" t="n">
        <f aca="false">CHOOSE(U131,INDEX(Forecast_Walkforward!$D:$D,H131),INDEX(Forecast_Walkforward!$E:$E,H131),INDEX(Forecast_Walkforward!$F:$F,H131),INDEX(Forecast_Walkforward!$G:$G,H131))</f>
        <v>22</v>
      </c>
      <c r="W131" s="79" t="n">
        <f aca="false">INDEX(Forecast!$BA$7:$BA$54,C131)</f>
        <v>5.38069912529246</v>
      </c>
      <c r="X131" s="33" t="n">
        <f aca="false">Z_Value*W131*SQRT(D131)</f>
        <v>12.516444060854</v>
      </c>
      <c r="Y131" s="33" t="n">
        <f aca="false">V131*D131+X131</f>
        <v>56.516444060854</v>
      </c>
      <c r="Z131" s="33" t="n">
        <f aca="false">SQRT((2*V131*Weeks_Per_Year*F131)/(E131*Holding_Rate))</f>
        <v>127.839184692555</v>
      </c>
      <c r="AA131" s="46" t="n">
        <f aca="false">ROUNDUP(Z131/G131,0)*G131</f>
        <v>128</v>
      </c>
      <c r="AB131" s="46" t="n">
        <f aca="false">SUMIFS(AF$117:AF130,$B$117:$B130,$B131-$D131)</f>
        <v>0</v>
      </c>
      <c r="AC131" s="46" t="n">
        <f aca="false">AI130+AB131</f>
        <v>112</v>
      </c>
      <c r="AD131" s="46" t="n">
        <f aca="false">SUMIFS(AF$117:AF130,$B$117:$B130,"&gt;"&amp;($B131-$D131))</f>
        <v>0</v>
      </c>
      <c r="AE131" s="46" t="n">
        <f aca="false">AC131+AD131</f>
        <v>112</v>
      </c>
      <c r="AF131" s="47" t="n">
        <f aca="false">IF(AE131&lt;=Y131,AA131,0)</f>
        <v>0</v>
      </c>
      <c r="AG131" s="46" t="n">
        <f aca="false">MIN(AC131,I131)</f>
        <v>21</v>
      </c>
      <c r="AH131" s="46" t="n">
        <f aca="false">I131-AG131</f>
        <v>0</v>
      </c>
      <c r="AI131" s="46" t="n">
        <f aca="false">AC131-AG131</f>
        <v>91</v>
      </c>
      <c r="AJ131" s="46" t="n">
        <f aca="false">IF(AH131&gt;0,1,0)</f>
        <v>0</v>
      </c>
    </row>
    <row r="132" customFormat="false" ht="15" hidden="false" customHeight="false" outlineLevel="0" collapsed="false">
      <c r="A132" s="80" t="str">
        <f aca="false">Inputs!$B$44</f>
        <v>KIT-005</v>
      </c>
      <c r="B132" s="81" t="n">
        <f aca="false">B131+1</f>
        <v>104</v>
      </c>
      <c r="C132" s="81" t="n">
        <f aca="false">MATCH(A132,Inputs!$B$40:$B$87,0)</f>
        <v>5</v>
      </c>
      <c r="D132" s="82" t="n">
        <f aca="false">INDEX(Inputs!$F$40:$F$87,C132)</f>
        <v>2</v>
      </c>
      <c r="E132" s="83" t="n">
        <f aca="false">INDEX(Inputs!$H$40:$H$87,C132)</f>
        <v>28</v>
      </c>
      <c r="F132" s="83" t="n">
        <f aca="false">INDEX(Inputs!$G$40:$G$87,C132)</f>
        <v>40</v>
      </c>
      <c r="G132" s="82" t="n">
        <f aca="false">INDEX(Inputs!$I$40:$I$87,C132)</f>
        <v>4</v>
      </c>
      <c r="H132" s="81" t="n">
        <f aca="false">MATCH(A132,Demand_History!$C:$C,0)+B132-1</f>
        <v>521</v>
      </c>
      <c r="I132" s="82" t="n">
        <f aca="false">INDEX(Forecast_Walkforward!$C:$C,H132)</f>
        <v>23</v>
      </c>
      <c r="J132" s="84" t="n">
        <f aca="false">INDEX(Forecast_Walkforward!$E:$E,H132)</f>
        <v>21.5</v>
      </c>
      <c r="K132" s="85" t="n">
        <f aca="false">Baseline_Weeks*J132</f>
        <v>86</v>
      </c>
      <c r="L132" s="81" t="n">
        <f aca="false">SUMIFS(P$117:P131,$B$117:$B131,$B132-$D132)</f>
        <v>16</v>
      </c>
      <c r="M132" s="81" t="n">
        <f aca="false">S131+L132</f>
        <v>57</v>
      </c>
      <c r="N132" s="81" t="n">
        <f aca="false">SUMIFS(P$117:P131,$B$117:$B131,"&gt;"&amp;($B132-$D132))</f>
        <v>12</v>
      </c>
      <c r="O132" s="81" t="n">
        <f aca="false">M132+N132</f>
        <v>69</v>
      </c>
      <c r="P132" s="86" t="n">
        <f aca="false">IF(O132&lt;K132,ROUNDUP((K132-O132)/G132,0)*G132,0)</f>
        <v>20</v>
      </c>
      <c r="Q132" s="81" t="n">
        <f aca="false">MIN(M132,I132)</f>
        <v>23</v>
      </c>
      <c r="R132" s="81" t="n">
        <f aca="false">I132-Q132</f>
        <v>0</v>
      </c>
      <c r="S132" s="81" t="n">
        <f aca="false">M132-Q132</f>
        <v>34</v>
      </c>
      <c r="T132" s="81" t="n">
        <f aca="false">IF(R132&gt;0,1,0)</f>
        <v>0</v>
      </c>
      <c r="U132" s="82" t="n">
        <f aca="false">INDEX(Forecast!$AY$7:$AY$54,C132)</f>
        <v>2</v>
      </c>
      <c r="V132" s="85" t="n">
        <f aca="false">CHOOSE(U132,INDEX(Forecast_Walkforward!$D:$D,H132),INDEX(Forecast_Walkforward!$E:$E,H132),INDEX(Forecast_Walkforward!$F:$F,H132),INDEX(Forecast_Walkforward!$G:$G,H132))</f>
        <v>21.5</v>
      </c>
      <c r="W132" s="84" t="n">
        <f aca="false">INDEX(Forecast!$BA$7:$BA$54,C132)</f>
        <v>5.38069912529246</v>
      </c>
      <c r="X132" s="85" t="n">
        <f aca="false">Z_Value*W132*SQRT(D132)</f>
        <v>12.516444060854</v>
      </c>
      <c r="Y132" s="85" t="n">
        <f aca="false">V132*D132+X132</f>
        <v>55.516444060854</v>
      </c>
      <c r="Z132" s="85" t="n">
        <f aca="false">SQRT((2*V132*Weeks_Per_Year*F132)/(E132*Holding_Rate))</f>
        <v>126.378117454837</v>
      </c>
      <c r="AA132" s="81" t="n">
        <f aca="false">ROUNDUP(Z132/G132,0)*G132</f>
        <v>128</v>
      </c>
      <c r="AB132" s="81" t="n">
        <f aca="false">SUMIFS(AF$117:AF131,$B$117:$B131,$B132-$D132)</f>
        <v>0</v>
      </c>
      <c r="AC132" s="81" t="n">
        <f aca="false">AI131+AB132</f>
        <v>91</v>
      </c>
      <c r="AD132" s="81" t="n">
        <f aca="false">SUMIFS(AF$117:AF131,$B$117:$B131,"&gt;"&amp;($B132-$D132))</f>
        <v>0</v>
      </c>
      <c r="AE132" s="81" t="n">
        <f aca="false">AC132+AD132</f>
        <v>91</v>
      </c>
      <c r="AF132" s="86" t="n">
        <f aca="false">IF(AE132&lt;=Y132,AA132,0)</f>
        <v>0</v>
      </c>
      <c r="AG132" s="81" t="n">
        <f aca="false">MIN(AC132,I132)</f>
        <v>23</v>
      </c>
      <c r="AH132" s="81" t="n">
        <f aca="false">I132-AG132</f>
        <v>0</v>
      </c>
      <c r="AI132" s="81" t="n">
        <f aca="false">AC132-AG132</f>
        <v>68</v>
      </c>
      <c r="AJ132" s="81" t="n">
        <f aca="false">IF(AH132&gt;0,1,0)</f>
        <v>0</v>
      </c>
    </row>
    <row r="133" customFormat="false" ht="15" hidden="false" customHeight="false" outlineLevel="0" collapsed="false">
      <c r="A133" s="31" t="str">
        <f aca="false">Inputs!$B$45</f>
        <v>KIT-006</v>
      </c>
      <c r="B133" s="46" t="n">
        <f aca="false">BT_Start_Week</f>
        <v>89</v>
      </c>
      <c r="C133" s="46" t="n">
        <f aca="false">MATCH(A133,Inputs!$B$40:$B$87,0)</f>
        <v>6</v>
      </c>
      <c r="D133" s="32" t="n">
        <f aca="false">INDEX(Inputs!$F$40:$F$87,C133)</f>
        <v>2</v>
      </c>
      <c r="E133" s="78" t="n">
        <f aca="false">INDEX(Inputs!$H$40:$H$87,C133)</f>
        <v>12</v>
      </c>
      <c r="F133" s="78" t="n">
        <f aca="false">INDEX(Inputs!$G$40:$G$87,C133)</f>
        <v>40</v>
      </c>
      <c r="G133" s="32" t="n">
        <f aca="false">INDEX(Inputs!$I$40:$I$87,C133)</f>
        <v>10</v>
      </c>
      <c r="H133" s="46" t="n">
        <f aca="false">MATCH(A133,Demand_History!$C:$C,0)+B133-1</f>
        <v>610</v>
      </c>
      <c r="I133" s="32" t="n">
        <f aca="false">INDEX(Forecast_Walkforward!$C:$C,H133)</f>
        <v>43</v>
      </c>
      <c r="J133" s="79" t="n">
        <f aca="false">INDEX(Forecast_Walkforward!$E:$E,H133)</f>
        <v>48.5</v>
      </c>
      <c r="K133" s="33" t="n">
        <f aca="false">Baseline_Weeks*J133</f>
        <v>194</v>
      </c>
      <c r="L133" s="46" t="n">
        <f aca="false">0</f>
        <v>0</v>
      </c>
      <c r="M133" s="46" t="n">
        <f aca="false">ROUND(BT_Open_Cover*INDEX(Forecast_Walkforward!$F:$F,H133),0)+L133</f>
        <v>259</v>
      </c>
      <c r="N133" s="46" t="n">
        <f aca="false">0</f>
        <v>0</v>
      </c>
      <c r="O133" s="46" t="n">
        <f aca="false">M133+N133</f>
        <v>259</v>
      </c>
      <c r="P133" s="47" t="n">
        <f aca="false">IF(O133&lt;K133,ROUNDUP((K133-O133)/G133,0)*G133,0)</f>
        <v>0</v>
      </c>
      <c r="Q133" s="46" t="n">
        <f aca="false">MIN(M133,I133)</f>
        <v>43</v>
      </c>
      <c r="R133" s="46" t="n">
        <f aca="false">I133-Q133</f>
        <v>0</v>
      </c>
      <c r="S133" s="46" t="n">
        <f aca="false">M133-Q133</f>
        <v>216</v>
      </c>
      <c r="T133" s="46" t="n">
        <f aca="false">IF(R133&gt;0,1,0)</f>
        <v>0</v>
      </c>
      <c r="U133" s="32" t="n">
        <f aca="false">INDEX(Forecast!$AY$7:$AY$54,C133)</f>
        <v>3</v>
      </c>
      <c r="V133" s="33" t="n">
        <f aca="false">CHOOSE(U133,INDEX(Forecast_Walkforward!$D:$D,H133),INDEX(Forecast_Walkforward!$E:$E,H133),INDEX(Forecast_Walkforward!$F:$F,H133),INDEX(Forecast_Walkforward!$G:$G,H133))</f>
        <v>43.125</v>
      </c>
      <c r="W133" s="79" t="n">
        <f aca="false">INDEX(Forecast!$BA$7:$BA$54,C133)</f>
        <v>20.3297488835493</v>
      </c>
      <c r="X133" s="33" t="n">
        <f aca="false">Z_Value*W133*SQRT(D133)</f>
        <v>47.2905395278578</v>
      </c>
      <c r="Y133" s="33" t="n">
        <f aca="false">V133*D133+X133</f>
        <v>133.540539527858</v>
      </c>
      <c r="Z133" s="33" t="n">
        <f aca="false">SQRT((2*V133*Weeks_Per_Year*F133)/(E133*Holding_Rate))</f>
        <v>273.404462289846</v>
      </c>
      <c r="AA133" s="46" t="n">
        <f aca="false">ROUNDUP(Z133/G133,0)*G133</f>
        <v>280</v>
      </c>
      <c r="AB133" s="46" t="n">
        <f aca="false">0</f>
        <v>0</v>
      </c>
      <c r="AC133" s="46" t="n">
        <f aca="false">ROUND(BT_Open_Cover*INDEX(Forecast_Walkforward!$F:$F,H133),0)+AB133</f>
        <v>259</v>
      </c>
      <c r="AD133" s="46" t="n">
        <f aca="false">0</f>
        <v>0</v>
      </c>
      <c r="AE133" s="46" t="n">
        <f aca="false">AC133+AD133</f>
        <v>259</v>
      </c>
      <c r="AF133" s="47" t="n">
        <f aca="false">IF(AE133&lt;=Y133,AA133,0)</f>
        <v>0</v>
      </c>
      <c r="AG133" s="46" t="n">
        <f aca="false">MIN(AC133,I133)</f>
        <v>43</v>
      </c>
      <c r="AH133" s="46" t="n">
        <f aca="false">I133-AG133</f>
        <v>0</v>
      </c>
      <c r="AI133" s="46" t="n">
        <f aca="false">AC133-AG133</f>
        <v>216</v>
      </c>
      <c r="AJ133" s="46" t="n">
        <f aca="false">IF(AH133&gt;0,1,0)</f>
        <v>0</v>
      </c>
    </row>
    <row r="134" customFormat="false" ht="15" hidden="false" customHeight="false" outlineLevel="0" collapsed="false">
      <c r="A134" s="31" t="str">
        <f aca="false">Inputs!$B$45</f>
        <v>KIT-006</v>
      </c>
      <c r="B134" s="46" t="n">
        <f aca="false">B133+1</f>
        <v>90</v>
      </c>
      <c r="C134" s="46" t="n">
        <f aca="false">MATCH(A134,Inputs!$B$40:$B$87,0)</f>
        <v>6</v>
      </c>
      <c r="D134" s="32" t="n">
        <f aca="false">INDEX(Inputs!$F$40:$F$87,C134)</f>
        <v>2</v>
      </c>
      <c r="E134" s="78" t="n">
        <f aca="false">INDEX(Inputs!$H$40:$H$87,C134)</f>
        <v>12</v>
      </c>
      <c r="F134" s="78" t="n">
        <f aca="false">INDEX(Inputs!$G$40:$G$87,C134)</f>
        <v>40</v>
      </c>
      <c r="G134" s="32" t="n">
        <f aca="false">INDEX(Inputs!$I$40:$I$87,C134)</f>
        <v>10</v>
      </c>
      <c r="H134" s="46" t="n">
        <f aca="false">MATCH(A134,Demand_History!$C:$C,0)+B134-1</f>
        <v>611</v>
      </c>
      <c r="I134" s="32" t="n">
        <f aca="false">INDEX(Forecast_Walkforward!$C:$C,H134)</f>
        <v>55</v>
      </c>
      <c r="J134" s="79" t="n">
        <f aca="false">INDEX(Forecast_Walkforward!$E:$E,H134)</f>
        <v>56.5</v>
      </c>
      <c r="K134" s="33" t="n">
        <f aca="false">Baseline_Weeks*J134</f>
        <v>226</v>
      </c>
      <c r="L134" s="46" t="n">
        <f aca="false">SUMIFS(P$133:P133,$B$133:$B133,$B134-$D134)</f>
        <v>0</v>
      </c>
      <c r="M134" s="46" t="n">
        <f aca="false">S133+L134</f>
        <v>216</v>
      </c>
      <c r="N134" s="46" t="n">
        <f aca="false">SUMIFS(P$133:P133,$B$133:$B133,"&gt;"&amp;($B134-$D134))</f>
        <v>0</v>
      </c>
      <c r="O134" s="46" t="n">
        <f aca="false">M134+N134</f>
        <v>216</v>
      </c>
      <c r="P134" s="47" t="n">
        <f aca="false">IF(O134&lt;K134,ROUNDUP((K134-O134)/G134,0)*G134,0)</f>
        <v>10</v>
      </c>
      <c r="Q134" s="46" t="n">
        <f aca="false">MIN(M134,I134)</f>
        <v>55</v>
      </c>
      <c r="R134" s="46" t="n">
        <f aca="false">I134-Q134</f>
        <v>0</v>
      </c>
      <c r="S134" s="46" t="n">
        <f aca="false">M134-Q134</f>
        <v>161</v>
      </c>
      <c r="T134" s="46" t="n">
        <f aca="false">IF(R134&gt;0,1,0)</f>
        <v>0</v>
      </c>
      <c r="U134" s="32" t="n">
        <f aca="false">INDEX(Forecast!$AY$7:$AY$54,C134)</f>
        <v>3</v>
      </c>
      <c r="V134" s="33" t="n">
        <f aca="false">CHOOSE(U134,INDEX(Forecast_Walkforward!$D:$D,H134),INDEX(Forecast_Walkforward!$E:$E,H134),INDEX(Forecast_Walkforward!$F:$F,H134),INDEX(Forecast_Walkforward!$G:$G,H134))</f>
        <v>45.75</v>
      </c>
      <c r="W134" s="79" t="n">
        <f aca="false">INDEX(Forecast!$BA$7:$BA$54,C134)</f>
        <v>20.3297488835493</v>
      </c>
      <c r="X134" s="33" t="n">
        <f aca="false">Z_Value*W134*SQRT(D134)</f>
        <v>47.2905395278578</v>
      </c>
      <c r="Y134" s="33" t="n">
        <f aca="false">V134*D134+X134</f>
        <v>138.790539527858</v>
      </c>
      <c r="Z134" s="33" t="n">
        <f aca="false">SQRT((2*V134*Weeks_Per_Year*F134)/(E134*Holding_Rate))</f>
        <v>281.602556806574</v>
      </c>
      <c r="AA134" s="46" t="n">
        <f aca="false">ROUNDUP(Z134/G134,0)*G134</f>
        <v>290</v>
      </c>
      <c r="AB134" s="46" t="n">
        <f aca="false">SUMIFS(AF$133:AF133,$B$133:$B133,$B134-$D134)</f>
        <v>0</v>
      </c>
      <c r="AC134" s="46" t="n">
        <f aca="false">AI133+AB134</f>
        <v>216</v>
      </c>
      <c r="AD134" s="46" t="n">
        <f aca="false">SUMIFS(AF$133:AF133,$B$133:$B133,"&gt;"&amp;($B134-$D134))</f>
        <v>0</v>
      </c>
      <c r="AE134" s="46" t="n">
        <f aca="false">AC134+AD134</f>
        <v>216</v>
      </c>
      <c r="AF134" s="47" t="n">
        <f aca="false">IF(AE134&lt;=Y134,AA134,0)</f>
        <v>0</v>
      </c>
      <c r="AG134" s="46" t="n">
        <f aca="false">MIN(AC134,I134)</f>
        <v>55</v>
      </c>
      <c r="AH134" s="46" t="n">
        <f aca="false">I134-AG134</f>
        <v>0</v>
      </c>
      <c r="AI134" s="46" t="n">
        <f aca="false">AC134-AG134</f>
        <v>161</v>
      </c>
      <c r="AJ134" s="46" t="n">
        <f aca="false">IF(AH134&gt;0,1,0)</f>
        <v>0</v>
      </c>
    </row>
    <row r="135" customFormat="false" ht="15" hidden="false" customHeight="false" outlineLevel="0" collapsed="false">
      <c r="A135" s="31" t="str">
        <f aca="false">Inputs!$B$45</f>
        <v>KIT-006</v>
      </c>
      <c r="B135" s="46" t="n">
        <f aca="false">B134+1</f>
        <v>91</v>
      </c>
      <c r="C135" s="46" t="n">
        <f aca="false">MATCH(A135,Inputs!$B$40:$B$87,0)</f>
        <v>6</v>
      </c>
      <c r="D135" s="32" t="n">
        <f aca="false">INDEX(Inputs!$F$40:$F$87,C135)</f>
        <v>2</v>
      </c>
      <c r="E135" s="78" t="n">
        <f aca="false">INDEX(Inputs!$H$40:$H$87,C135)</f>
        <v>12</v>
      </c>
      <c r="F135" s="78" t="n">
        <f aca="false">INDEX(Inputs!$G$40:$G$87,C135)</f>
        <v>40</v>
      </c>
      <c r="G135" s="32" t="n">
        <f aca="false">INDEX(Inputs!$I$40:$I$87,C135)</f>
        <v>10</v>
      </c>
      <c r="H135" s="46" t="n">
        <f aca="false">MATCH(A135,Demand_History!$C:$C,0)+B135-1</f>
        <v>612</v>
      </c>
      <c r="I135" s="32" t="n">
        <f aca="false">INDEX(Forecast_Walkforward!$C:$C,H135)</f>
        <v>70</v>
      </c>
      <c r="J135" s="79" t="n">
        <f aca="false">INDEX(Forecast_Walkforward!$E:$E,H135)</f>
        <v>58</v>
      </c>
      <c r="K135" s="33" t="n">
        <f aca="false">Baseline_Weeks*J135</f>
        <v>232</v>
      </c>
      <c r="L135" s="46" t="n">
        <f aca="false">SUMIFS(P$133:P134,$B$133:$B134,$B135-$D135)</f>
        <v>0</v>
      </c>
      <c r="M135" s="46" t="n">
        <f aca="false">S134+L135</f>
        <v>161</v>
      </c>
      <c r="N135" s="46" t="n">
        <f aca="false">SUMIFS(P$133:P134,$B$133:$B134,"&gt;"&amp;($B135-$D135))</f>
        <v>10</v>
      </c>
      <c r="O135" s="46" t="n">
        <f aca="false">M135+N135</f>
        <v>171</v>
      </c>
      <c r="P135" s="47" t="n">
        <f aca="false">IF(O135&lt;K135,ROUNDUP((K135-O135)/G135,0)*G135,0)</f>
        <v>70</v>
      </c>
      <c r="Q135" s="46" t="n">
        <f aca="false">MIN(M135,I135)</f>
        <v>70</v>
      </c>
      <c r="R135" s="46" t="n">
        <f aca="false">I135-Q135</f>
        <v>0</v>
      </c>
      <c r="S135" s="46" t="n">
        <f aca="false">M135-Q135</f>
        <v>91</v>
      </c>
      <c r="T135" s="46" t="n">
        <f aca="false">IF(R135&gt;0,1,0)</f>
        <v>0</v>
      </c>
      <c r="U135" s="32" t="n">
        <f aca="false">INDEX(Forecast!$AY$7:$AY$54,C135)</f>
        <v>3</v>
      </c>
      <c r="V135" s="33" t="n">
        <f aca="false">CHOOSE(U135,INDEX(Forecast_Walkforward!$D:$D,H135),INDEX(Forecast_Walkforward!$E:$E,H135),INDEX(Forecast_Walkforward!$F:$F,H135),INDEX(Forecast_Walkforward!$G:$G,H135))</f>
        <v>46.625</v>
      </c>
      <c r="W135" s="79" t="n">
        <f aca="false">INDEX(Forecast!$BA$7:$BA$54,C135)</f>
        <v>20.3297488835493</v>
      </c>
      <c r="X135" s="33" t="n">
        <f aca="false">Z_Value*W135*SQRT(D135)</f>
        <v>47.2905395278578</v>
      </c>
      <c r="Y135" s="33" t="n">
        <f aca="false">V135*D135+X135</f>
        <v>140.540539527858</v>
      </c>
      <c r="Z135" s="33" t="n">
        <f aca="false">SQRT((2*V135*Weeks_Per_Year*F135)/(E135*Holding_Rate))</f>
        <v>284.282723123771</v>
      </c>
      <c r="AA135" s="46" t="n">
        <f aca="false">ROUNDUP(Z135/G135,0)*G135</f>
        <v>290</v>
      </c>
      <c r="AB135" s="46" t="n">
        <f aca="false">SUMIFS(AF$133:AF134,$B$133:$B134,$B135-$D135)</f>
        <v>0</v>
      </c>
      <c r="AC135" s="46" t="n">
        <f aca="false">AI134+AB135</f>
        <v>161</v>
      </c>
      <c r="AD135" s="46" t="n">
        <f aca="false">SUMIFS(AF$133:AF134,$B$133:$B134,"&gt;"&amp;($B135-$D135))</f>
        <v>0</v>
      </c>
      <c r="AE135" s="46" t="n">
        <f aca="false">AC135+AD135</f>
        <v>161</v>
      </c>
      <c r="AF135" s="47" t="n">
        <f aca="false">IF(AE135&lt;=Y135,AA135,0)</f>
        <v>0</v>
      </c>
      <c r="AG135" s="46" t="n">
        <f aca="false">MIN(AC135,I135)</f>
        <v>70</v>
      </c>
      <c r="AH135" s="46" t="n">
        <f aca="false">I135-AG135</f>
        <v>0</v>
      </c>
      <c r="AI135" s="46" t="n">
        <f aca="false">AC135-AG135</f>
        <v>91</v>
      </c>
      <c r="AJ135" s="46" t="n">
        <f aca="false">IF(AH135&gt;0,1,0)</f>
        <v>0</v>
      </c>
    </row>
    <row r="136" customFormat="false" ht="15" hidden="false" customHeight="false" outlineLevel="0" collapsed="false">
      <c r="A136" s="31" t="str">
        <f aca="false">Inputs!$B$45</f>
        <v>KIT-006</v>
      </c>
      <c r="B136" s="46" t="n">
        <f aca="false">B135+1</f>
        <v>92</v>
      </c>
      <c r="C136" s="46" t="n">
        <f aca="false">MATCH(A136,Inputs!$B$40:$B$87,0)</f>
        <v>6</v>
      </c>
      <c r="D136" s="32" t="n">
        <f aca="false">INDEX(Inputs!$F$40:$F$87,C136)</f>
        <v>2</v>
      </c>
      <c r="E136" s="78" t="n">
        <f aca="false">INDEX(Inputs!$H$40:$H$87,C136)</f>
        <v>12</v>
      </c>
      <c r="F136" s="78" t="n">
        <f aca="false">INDEX(Inputs!$G$40:$G$87,C136)</f>
        <v>40</v>
      </c>
      <c r="G136" s="32" t="n">
        <f aca="false">INDEX(Inputs!$I$40:$I$87,C136)</f>
        <v>10</v>
      </c>
      <c r="H136" s="46" t="n">
        <f aca="false">MATCH(A136,Demand_History!$C:$C,0)+B136-1</f>
        <v>613</v>
      </c>
      <c r="I136" s="32" t="n">
        <f aca="false">INDEX(Forecast_Walkforward!$C:$C,H136)</f>
        <v>2</v>
      </c>
      <c r="J136" s="79" t="n">
        <f aca="false">INDEX(Forecast_Walkforward!$E:$E,H136)</f>
        <v>57.5</v>
      </c>
      <c r="K136" s="33" t="n">
        <f aca="false">Baseline_Weeks*J136</f>
        <v>230</v>
      </c>
      <c r="L136" s="46" t="n">
        <f aca="false">SUMIFS(P$133:P135,$B$133:$B135,$B136-$D136)</f>
        <v>10</v>
      </c>
      <c r="M136" s="46" t="n">
        <f aca="false">S135+L136</f>
        <v>101</v>
      </c>
      <c r="N136" s="46" t="n">
        <f aca="false">SUMIFS(P$133:P135,$B$133:$B135,"&gt;"&amp;($B136-$D136))</f>
        <v>70</v>
      </c>
      <c r="O136" s="46" t="n">
        <f aca="false">M136+N136</f>
        <v>171</v>
      </c>
      <c r="P136" s="47" t="n">
        <f aca="false">IF(O136&lt;K136,ROUNDUP((K136-O136)/G136,0)*G136,0)</f>
        <v>60</v>
      </c>
      <c r="Q136" s="46" t="n">
        <f aca="false">MIN(M136,I136)</f>
        <v>2</v>
      </c>
      <c r="R136" s="46" t="n">
        <f aca="false">I136-Q136</f>
        <v>0</v>
      </c>
      <c r="S136" s="46" t="n">
        <f aca="false">M136-Q136</f>
        <v>99</v>
      </c>
      <c r="T136" s="46" t="n">
        <f aca="false">IF(R136&gt;0,1,0)</f>
        <v>0</v>
      </c>
      <c r="U136" s="32" t="n">
        <f aca="false">INDEX(Forecast!$AY$7:$AY$54,C136)</f>
        <v>3</v>
      </c>
      <c r="V136" s="33" t="n">
        <f aca="false">CHOOSE(U136,INDEX(Forecast_Walkforward!$D:$D,H136),INDEX(Forecast_Walkforward!$E:$E,H136),INDEX(Forecast_Walkforward!$F:$F,H136),INDEX(Forecast_Walkforward!$G:$G,H136))</f>
        <v>50</v>
      </c>
      <c r="W136" s="79" t="n">
        <f aca="false">INDEX(Forecast!$BA$7:$BA$54,C136)</f>
        <v>20.3297488835493</v>
      </c>
      <c r="X136" s="33" t="n">
        <f aca="false">Z_Value*W136*SQRT(D136)</f>
        <v>47.2905395278578</v>
      </c>
      <c r="Y136" s="33" t="n">
        <f aca="false">V136*D136+X136</f>
        <v>147.290539527858</v>
      </c>
      <c r="Z136" s="33" t="n">
        <f aca="false">SQRT((2*V136*Weeks_Per_Year*F136)/(E136*Holding_Rate))</f>
        <v>294.392028877595</v>
      </c>
      <c r="AA136" s="46" t="n">
        <f aca="false">ROUNDUP(Z136/G136,0)*G136</f>
        <v>300</v>
      </c>
      <c r="AB136" s="46" t="n">
        <f aca="false">SUMIFS(AF$133:AF135,$B$133:$B135,$B136-$D136)</f>
        <v>0</v>
      </c>
      <c r="AC136" s="46" t="n">
        <f aca="false">AI135+AB136</f>
        <v>91</v>
      </c>
      <c r="AD136" s="46" t="n">
        <f aca="false">SUMIFS(AF$133:AF135,$B$133:$B135,"&gt;"&amp;($B136-$D136))</f>
        <v>0</v>
      </c>
      <c r="AE136" s="46" t="n">
        <f aca="false">AC136+AD136</f>
        <v>91</v>
      </c>
      <c r="AF136" s="47" t="n">
        <f aca="false">IF(AE136&lt;=Y136,AA136,0)</f>
        <v>300</v>
      </c>
      <c r="AG136" s="46" t="n">
        <f aca="false">MIN(AC136,I136)</f>
        <v>2</v>
      </c>
      <c r="AH136" s="46" t="n">
        <f aca="false">I136-AG136</f>
        <v>0</v>
      </c>
      <c r="AI136" s="46" t="n">
        <f aca="false">AC136-AG136</f>
        <v>89</v>
      </c>
      <c r="AJ136" s="46" t="n">
        <f aca="false">IF(AH136&gt;0,1,0)</f>
        <v>0</v>
      </c>
    </row>
    <row r="137" customFormat="false" ht="15" hidden="false" customHeight="false" outlineLevel="0" collapsed="false">
      <c r="A137" s="31" t="str">
        <f aca="false">Inputs!$B$45</f>
        <v>KIT-006</v>
      </c>
      <c r="B137" s="46" t="n">
        <f aca="false">B136+1</f>
        <v>93</v>
      </c>
      <c r="C137" s="46" t="n">
        <f aca="false">MATCH(A137,Inputs!$B$40:$B$87,0)</f>
        <v>6</v>
      </c>
      <c r="D137" s="32" t="n">
        <f aca="false">INDEX(Inputs!$F$40:$F$87,C137)</f>
        <v>2</v>
      </c>
      <c r="E137" s="78" t="n">
        <f aca="false">INDEX(Inputs!$H$40:$H$87,C137)</f>
        <v>12</v>
      </c>
      <c r="F137" s="78" t="n">
        <f aca="false">INDEX(Inputs!$G$40:$G$87,C137)</f>
        <v>40</v>
      </c>
      <c r="G137" s="32" t="n">
        <f aca="false">INDEX(Inputs!$I$40:$I$87,C137)</f>
        <v>10</v>
      </c>
      <c r="H137" s="46" t="n">
        <f aca="false">MATCH(A137,Demand_History!$C:$C,0)+B137-1</f>
        <v>614</v>
      </c>
      <c r="I137" s="32" t="n">
        <f aca="false">INDEX(Forecast_Walkforward!$C:$C,H137)</f>
        <v>53</v>
      </c>
      <c r="J137" s="79" t="n">
        <f aca="false">INDEX(Forecast_Walkforward!$E:$E,H137)</f>
        <v>42.5</v>
      </c>
      <c r="K137" s="33" t="n">
        <f aca="false">Baseline_Weeks*J137</f>
        <v>170</v>
      </c>
      <c r="L137" s="46" t="n">
        <f aca="false">SUMIFS(P$133:P136,$B$133:$B136,$B137-$D137)</f>
        <v>70</v>
      </c>
      <c r="M137" s="46" t="n">
        <f aca="false">S136+L137</f>
        <v>169</v>
      </c>
      <c r="N137" s="46" t="n">
        <f aca="false">SUMIFS(P$133:P136,$B$133:$B136,"&gt;"&amp;($B137-$D137))</f>
        <v>60</v>
      </c>
      <c r="O137" s="46" t="n">
        <f aca="false">M137+N137</f>
        <v>229</v>
      </c>
      <c r="P137" s="47" t="n">
        <f aca="false">IF(O137&lt;K137,ROUNDUP((K137-O137)/G137,0)*G137,0)</f>
        <v>0</v>
      </c>
      <c r="Q137" s="46" t="n">
        <f aca="false">MIN(M137,I137)</f>
        <v>53</v>
      </c>
      <c r="R137" s="46" t="n">
        <f aca="false">I137-Q137</f>
        <v>0</v>
      </c>
      <c r="S137" s="46" t="n">
        <f aca="false">M137-Q137</f>
        <v>116</v>
      </c>
      <c r="T137" s="46" t="n">
        <f aca="false">IF(R137&gt;0,1,0)</f>
        <v>0</v>
      </c>
      <c r="U137" s="32" t="n">
        <f aca="false">INDEX(Forecast!$AY$7:$AY$54,C137)</f>
        <v>3</v>
      </c>
      <c r="V137" s="33" t="n">
        <f aca="false">CHOOSE(U137,INDEX(Forecast_Walkforward!$D:$D,H137),INDEX(Forecast_Walkforward!$E:$E,H137),INDEX(Forecast_Walkforward!$F:$F,H137),INDEX(Forecast_Walkforward!$G:$G,H137))</f>
        <v>45.5</v>
      </c>
      <c r="W137" s="79" t="n">
        <f aca="false">INDEX(Forecast!$BA$7:$BA$54,C137)</f>
        <v>20.3297488835493</v>
      </c>
      <c r="X137" s="33" t="n">
        <f aca="false">Z_Value*W137*SQRT(D137)</f>
        <v>47.2905395278578</v>
      </c>
      <c r="Y137" s="33" t="n">
        <f aca="false">V137*D137+X137</f>
        <v>138.290539527858</v>
      </c>
      <c r="Z137" s="33" t="n">
        <f aca="false">SQRT((2*V137*Weeks_Per_Year*F137)/(E137*Holding_Rate))</f>
        <v>280.832096931007</v>
      </c>
      <c r="AA137" s="46" t="n">
        <f aca="false">ROUNDUP(Z137/G137,0)*G137</f>
        <v>290</v>
      </c>
      <c r="AB137" s="46" t="n">
        <f aca="false">SUMIFS(AF$133:AF136,$B$133:$B136,$B137-$D137)</f>
        <v>0</v>
      </c>
      <c r="AC137" s="46" t="n">
        <f aca="false">AI136+AB137</f>
        <v>89</v>
      </c>
      <c r="AD137" s="46" t="n">
        <f aca="false">SUMIFS(AF$133:AF136,$B$133:$B136,"&gt;"&amp;($B137-$D137))</f>
        <v>300</v>
      </c>
      <c r="AE137" s="46" t="n">
        <f aca="false">AC137+AD137</f>
        <v>389</v>
      </c>
      <c r="AF137" s="47" t="n">
        <f aca="false">IF(AE137&lt;=Y137,AA137,0)</f>
        <v>0</v>
      </c>
      <c r="AG137" s="46" t="n">
        <f aca="false">MIN(AC137,I137)</f>
        <v>53</v>
      </c>
      <c r="AH137" s="46" t="n">
        <f aca="false">I137-AG137</f>
        <v>0</v>
      </c>
      <c r="AI137" s="46" t="n">
        <f aca="false">AC137-AG137</f>
        <v>36</v>
      </c>
      <c r="AJ137" s="46" t="n">
        <f aca="false">IF(AH137&gt;0,1,0)</f>
        <v>0</v>
      </c>
    </row>
    <row r="138" customFormat="false" ht="15" hidden="false" customHeight="false" outlineLevel="0" collapsed="false">
      <c r="A138" s="31" t="str">
        <f aca="false">Inputs!$B$45</f>
        <v>KIT-006</v>
      </c>
      <c r="B138" s="46" t="n">
        <f aca="false">B137+1</f>
        <v>94</v>
      </c>
      <c r="C138" s="46" t="n">
        <f aca="false">MATCH(A138,Inputs!$B$40:$B$87,0)</f>
        <v>6</v>
      </c>
      <c r="D138" s="32" t="n">
        <f aca="false">INDEX(Inputs!$F$40:$F$87,C138)</f>
        <v>2</v>
      </c>
      <c r="E138" s="78" t="n">
        <f aca="false">INDEX(Inputs!$H$40:$H$87,C138)</f>
        <v>12</v>
      </c>
      <c r="F138" s="78" t="n">
        <f aca="false">INDEX(Inputs!$G$40:$G$87,C138)</f>
        <v>40</v>
      </c>
      <c r="G138" s="32" t="n">
        <f aca="false">INDEX(Inputs!$I$40:$I$87,C138)</f>
        <v>10</v>
      </c>
      <c r="H138" s="46" t="n">
        <f aca="false">MATCH(A138,Demand_History!$C:$C,0)+B138-1</f>
        <v>615</v>
      </c>
      <c r="I138" s="32" t="n">
        <f aca="false">INDEX(Forecast_Walkforward!$C:$C,H138)</f>
        <v>65</v>
      </c>
      <c r="J138" s="79" t="n">
        <f aca="false">INDEX(Forecast_Walkforward!$E:$E,H138)</f>
        <v>45</v>
      </c>
      <c r="K138" s="33" t="n">
        <f aca="false">Baseline_Weeks*J138</f>
        <v>180</v>
      </c>
      <c r="L138" s="46" t="n">
        <f aca="false">SUMIFS(P$133:P137,$B$133:$B137,$B138-$D138)</f>
        <v>60</v>
      </c>
      <c r="M138" s="46" t="n">
        <f aca="false">S137+L138</f>
        <v>176</v>
      </c>
      <c r="N138" s="46" t="n">
        <f aca="false">SUMIFS(P$133:P137,$B$133:$B137,"&gt;"&amp;($B138-$D138))</f>
        <v>0</v>
      </c>
      <c r="O138" s="46" t="n">
        <f aca="false">M138+N138</f>
        <v>176</v>
      </c>
      <c r="P138" s="47" t="n">
        <f aca="false">IF(O138&lt;K138,ROUNDUP((K138-O138)/G138,0)*G138,0)</f>
        <v>10</v>
      </c>
      <c r="Q138" s="46" t="n">
        <f aca="false">MIN(M138,I138)</f>
        <v>65</v>
      </c>
      <c r="R138" s="46" t="n">
        <f aca="false">I138-Q138</f>
        <v>0</v>
      </c>
      <c r="S138" s="46" t="n">
        <f aca="false">M138-Q138</f>
        <v>111</v>
      </c>
      <c r="T138" s="46" t="n">
        <f aca="false">IF(R138&gt;0,1,0)</f>
        <v>0</v>
      </c>
      <c r="U138" s="32" t="n">
        <f aca="false">INDEX(Forecast!$AY$7:$AY$54,C138)</f>
        <v>3</v>
      </c>
      <c r="V138" s="33" t="n">
        <f aca="false">CHOOSE(U138,INDEX(Forecast_Walkforward!$D:$D,H138),INDEX(Forecast_Walkforward!$E:$E,H138),INDEX(Forecast_Walkforward!$F:$F,H138),INDEX(Forecast_Walkforward!$G:$G,H138))</f>
        <v>50.75</v>
      </c>
      <c r="W138" s="79" t="n">
        <f aca="false">INDEX(Forecast!$BA$7:$BA$54,C138)</f>
        <v>20.3297488835493</v>
      </c>
      <c r="X138" s="33" t="n">
        <f aca="false">Z_Value*W138*SQRT(D138)</f>
        <v>47.2905395278578</v>
      </c>
      <c r="Y138" s="33" t="n">
        <f aca="false">V138*D138+X138</f>
        <v>148.790539527858</v>
      </c>
      <c r="Z138" s="33" t="n">
        <f aca="false">SQRT((2*V138*Weeks_Per_Year*F138)/(E138*Holding_Rate))</f>
        <v>296.591750840556</v>
      </c>
      <c r="AA138" s="46" t="n">
        <f aca="false">ROUNDUP(Z138/G138,0)*G138</f>
        <v>300</v>
      </c>
      <c r="AB138" s="46" t="n">
        <f aca="false">SUMIFS(AF$133:AF137,$B$133:$B137,$B138-$D138)</f>
        <v>300</v>
      </c>
      <c r="AC138" s="46" t="n">
        <f aca="false">AI137+AB138</f>
        <v>336</v>
      </c>
      <c r="AD138" s="46" t="n">
        <f aca="false">SUMIFS(AF$133:AF137,$B$133:$B137,"&gt;"&amp;($B138-$D138))</f>
        <v>0</v>
      </c>
      <c r="AE138" s="46" t="n">
        <f aca="false">AC138+AD138</f>
        <v>336</v>
      </c>
      <c r="AF138" s="47" t="n">
        <f aca="false">IF(AE138&lt;=Y138,AA138,0)</f>
        <v>0</v>
      </c>
      <c r="AG138" s="46" t="n">
        <f aca="false">MIN(AC138,I138)</f>
        <v>65</v>
      </c>
      <c r="AH138" s="46" t="n">
        <f aca="false">I138-AG138</f>
        <v>0</v>
      </c>
      <c r="AI138" s="46" t="n">
        <f aca="false">AC138-AG138</f>
        <v>271</v>
      </c>
      <c r="AJ138" s="46" t="n">
        <f aca="false">IF(AH138&gt;0,1,0)</f>
        <v>0</v>
      </c>
    </row>
    <row r="139" customFormat="false" ht="15" hidden="false" customHeight="false" outlineLevel="0" collapsed="false">
      <c r="A139" s="31" t="str">
        <f aca="false">Inputs!$B$45</f>
        <v>KIT-006</v>
      </c>
      <c r="B139" s="46" t="n">
        <f aca="false">B138+1</f>
        <v>95</v>
      </c>
      <c r="C139" s="46" t="n">
        <f aca="false">MATCH(A139,Inputs!$B$40:$B$87,0)</f>
        <v>6</v>
      </c>
      <c r="D139" s="32" t="n">
        <f aca="false">INDEX(Inputs!$F$40:$F$87,C139)</f>
        <v>2</v>
      </c>
      <c r="E139" s="78" t="n">
        <f aca="false">INDEX(Inputs!$H$40:$H$87,C139)</f>
        <v>12</v>
      </c>
      <c r="F139" s="78" t="n">
        <f aca="false">INDEX(Inputs!$G$40:$G$87,C139)</f>
        <v>40</v>
      </c>
      <c r="G139" s="32" t="n">
        <f aca="false">INDEX(Inputs!$I$40:$I$87,C139)</f>
        <v>10</v>
      </c>
      <c r="H139" s="46" t="n">
        <f aca="false">MATCH(A139,Demand_History!$C:$C,0)+B139-1</f>
        <v>616</v>
      </c>
      <c r="I139" s="32" t="n">
        <f aca="false">INDEX(Forecast_Walkforward!$C:$C,H139)</f>
        <v>68</v>
      </c>
      <c r="J139" s="79" t="n">
        <f aca="false">INDEX(Forecast_Walkforward!$E:$E,H139)</f>
        <v>47.5</v>
      </c>
      <c r="K139" s="33" t="n">
        <f aca="false">Baseline_Weeks*J139</f>
        <v>190</v>
      </c>
      <c r="L139" s="46" t="n">
        <f aca="false">SUMIFS(P$133:P138,$B$133:$B138,$B139-$D139)</f>
        <v>0</v>
      </c>
      <c r="M139" s="46" t="n">
        <f aca="false">S138+L139</f>
        <v>111</v>
      </c>
      <c r="N139" s="46" t="n">
        <f aca="false">SUMIFS(P$133:P138,$B$133:$B138,"&gt;"&amp;($B139-$D139))</f>
        <v>10</v>
      </c>
      <c r="O139" s="46" t="n">
        <f aca="false">M139+N139</f>
        <v>121</v>
      </c>
      <c r="P139" s="47" t="n">
        <f aca="false">IF(O139&lt;K139,ROUNDUP((K139-O139)/G139,0)*G139,0)</f>
        <v>70</v>
      </c>
      <c r="Q139" s="46" t="n">
        <f aca="false">MIN(M139,I139)</f>
        <v>68</v>
      </c>
      <c r="R139" s="46" t="n">
        <f aca="false">I139-Q139</f>
        <v>0</v>
      </c>
      <c r="S139" s="46" t="n">
        <f aca="false">M139-Q139</f>
        <v>43</v>
      </c>
      <c r="T139" s="46" t="n">
        <f aca="false">IF(R139&gt;0,1,0)</f>
        <v>0</v>
      </c>
      <c r="U139" s="32" t="n">
        <f aca="false">INDEX(Forecast!$AY$7:$AY$54,C139)</f>
        <v>3</v>
      </c>
      <c r="V139" s="33" t="n">
        <f aca="false">CHOOSE(U139,INDEX(Forecast_Walkforward!$D:$D,H139),INDEX(Forecast_Walkforward!$E:$E,H139),INDEX(Forecast_Walkforward!$F:$F,H139),INDEX(Forecast_Walkforward!$G:$G,H139))</f>
        <v>52.75</v>
      </c>
      <c r="W139" s="79" t="n">
        <f aca="false">INDEX(Forecast!$BA$7:$BA$54,C139)</f>
        <v>20.3297488835493</v>
      </c>
      <c r="X139" s="33" t="n">
        <f aca="false">Z_Value*W139*SQRT(D139)</f>
        <v>47.2905395278578</v>
      </c>
      <c r="Y139" s="33" t="n">
        <f aca="false">V139*D139+X139</f>
        <v>152.790539527858</v>
      </c>
      <c r="Z139" s="33" t="n">
        <f aca="false">SQRT((2*V139*Weeks_Per_Year*F139)/(E139*Holding_Rate))</f>
        <v>302.379452564709</v>
      </c>
      <c r="AA139" s="46" t="n">
        <f aca="false">ROUNDUP(Z139/G139,0)*G139</f>
        <v>310</v>
      </c>
      <c r="AB139" s="46" t="n">
        <f aca="false">SUMIFS(AF$133:AF138,$B$133:$B138,$B139-$D139)</f>
        <v>0</v>
      </c>
      <c r="AC139" s="46" t="n">
        <f aca="false">AI138+AB139</f>
        <v>271</v>
      </c>
      <c r="AD139" s="46" t="n">
        <f aca="false">SUMIFS(AF$133:AF138,$B$133:$B138,"&gt;"&amp;($B139-$D139))</f>
        <v>0</v>
      </c>
      <c r="AE139" s="46" t="n">
        <f aca="false">AC139+AD139</f>
        <v>271</v>
      </c>
      <c r="AF139" s="47" t="n">
        <f aca="false">IF(AE139&lt;=Y139,AA139,0)</f>
        <v>0</v>
      </c>
      <c r="AG139" s="46" t="n">
        <f aca="false">MIN(AC139,I139)</f>
        <v>68</v>
      </c>
      <c r="AH139" s="46" t="n">
        <f aca="false">I139-AG139</f>
        <v>0</v>
      </c>
      <c r="AI139" s="46" t="n">
        <f aca="false">AC139-AG139</f>
        <v>203</v>
      </c>
      <c r="AJ139" s="46" t="n">
        <f aca="false">IF(AH139&gt;0,1,0)</f>
        <v>0</v>
      </c>
    </row>
    <row r="140" customFormat="false" ht="15" hidden="false" customHeight="false" outlineLevel="0" collapsed="false">
      <c r="A140" s="31" t="str">
        <f aca="false">Inputs!$B$45</f>
        <v>KIT-006</v>
      </c>
      <c r="B140" s="46" t="n">
        <f aca="false">B139+1</f>
        <v>96</v>
      </c>
      <c r="C140" s="46" t="n">
        <f aca="false">MATCH(A140,Inputs!$B$40:$B$87,0)</f>
        <v>6</v>
      </c>
      <c r="D140" s="32" t="n">
        <f aca="false">INDEX(Inputs!$F$40:$F$87,C140)</f>
        <v>2</v>
      </c>
      <c r="E140" s="78" t="n">
        <f aca="false">INDEX(Inputs!$H$40:$H$87,C140)</f>
        <v>12</v>
      </c>
      <c r="F140" s="78" t="n">
        <f aca="false">INDEX(Inputs!$G$40:$G$87,C140)</f>
        <v>40</v>
      </c>
      <c r="G140" s="32" t="n">
        <f aca="false">INDEX(Inputs!$I$40:$I$87,C140)</f>
        <v>10</v>
      </c>
      <c r="H140" s="46" t="n">
        <f aca="false">MATCH(A140,Demand_History!$C:$C,0)+B140-1</f>
        <v>617</v>
      </c>
      <c r="I140" s="32" t="n">
        <f aca="false">INDEX(Forecast_Walkforward!$C:$C,H140)</f>
        <v>88</v>
      </c>
      <c r="J140" s="79" t="n">
        <f aca="false">INDEX(Forecast_Walkforward!$E:$E,H140)</f>
        <v>47</v>
      </c>
      <c r="K140" s="33" t="n">
        <f aca="false">Baseline_Weeks*J140</f>
        <v>188</v>
      </c>
      <c r="L140" s="46" t="n">
        <f aca="false">SUMIFS(P$133:P139,$B$133:$B139,$B140-$D140)</f>
        <v>10</v>
      </c>
      <c r="M140" s="46" t="n">
        <f aca="false">S139+L140</f>
        <v>53</v>
      </c>
      <c r="N140" s="46" t="n">
        <f aca="false">SUMIFS(P$133:P139,$B$133:$B139,"&gt;"&amp;($B140-$D140))</f>
        <v>70</v>
      </c>
      <c r="O140" s="46" t="n">
        <f aca="false">M140+N140</f>
        <v>123</v>
      </c>
      <c r="P140" s="47" t="n">
        <f aca="false">IF(O140&lt;K140,ROUNDUP((K140-O140)/G140,0)*G140,0)</f>
        <v>70</v>
      </c>
      <c r="Q140" s="46" t="n">
        <f aca="false">MIN(M140,I140)</f>
        <v>53</v>
      </c>
      <c r="R140" s="46" t="n">
        <f aca="false">I140-Q140</f>
        <v>35</v>
      </c>
      <c r="S140" s="46" t="n">
        <f aca="false">M140-Q140</f>
        <v>0</v>
      </c>
      <c r="T140" s="46" t="n">
        <f aca="false">IF(R140&gt;0,1,0)</f>
        <v>1</v>
      </c>
      <c r="U140" s="32" t="n">
        <f aca="false">INDEX(Forecast!$AY$7:$AY$54,C140)</f>
        <v>3</v>
      </c>
      <c r="V140" s="33" t="n">
        <f aca="false">CHOOSE(U140,INDEX(Forecast_Walkforward!$D:$D,H140),INDEX(Forecast_Walkforward!$E:$E,H140),INDEX(Forecast_Walkforward!$F:$F,H140),INDEX(Forecast_Walkforward!$G:$G,H140))</f>
        <v>52.25</v>
      </c>
      <c r="W140" s="79" t="n">
        <f aca="false">INDEX(Forecast!$BA$7:$BA$54,C140)</f>
        <v>20.3297488835493</v>
      </c>
      <c r="X140" s="33" t="n">
        <f aca="false">Z_Value*W140*SQRT(D140)</f>
        <v>47.2905395278578</v>
      </c>
      <c r="Y140" s="33" t="n">
        <f aca="false">V140*D140+X140</f>
        <v>151.790539527858</v>
      </c>
      <c r="Z140" s="33" t="n">
        <f aca="false">SQRT((2*V140*Weeks_Per_Year*F140)/(E140*Holding_Rate))</f>
        <v>300.942962480711</v>
      </c>
      <c r="AA140" s="46" t="n">
        <f aca="false">ROUNDUP(Z140/G140,0)*G140</f>
        <v>310</v>
      </c>
      <c r="AB140" s="46" t="n">
        <f aca="false">SUMIFS(AF$133:AF139,$B$133:$B139,$B140-$D140)</f>
        <v>0</v>
      </c>
      <c r="AC140" s="46" t="n">
        <f aca="false">AI139+AB140</f>
        <v>203</v>
      </c>
      <c r="AD140" s="46" t="n">
        <f aca="false">SUMIFS(AF$133:AF139,$B$133:$B139,"&gt;"&amp;($B140-$D140))</f>
        <v>0</v>
      </c>
      <c r="AE140" s="46" t="n">
        <f aca="false">AC140+AD140</f>
        <v>203</v>
      </c>
      <c r="AF140" s="47" t="n">
        <f aca="false">IF(AE140&lt;=Y140,AA140,0)</f>
        <v>0</v>
      </c>
      <c r="AG140" s="46" t="n">
        <f aca="false">MIN(AC140,I140)</f>
        <v>88</v>
      </c>
      <c r="AH140" s="46" t="n">
        <f aca="false">I140-AG140</f>
        <v>0</v>
      </c>
      <c r="AI140" s="46" t="n">
        <f aca="false">AC140-AG140</f>
        <v>115</v>
      </c>
      <c r="AJ140" s="46" t="n">
        <f aca="false">IF(AH140&gt;0,1,0)</f>
        <v>0</v>
      </c>
    </row>
    <row r="141" customFormat="false" ht="15" hidden="false" customHeight="false" outlineLevel="0" collapsed="false">
      <c r="A141" s="31" t="str">
        <f aca="false">Inputs!$B$45</f>
        <v>KIT-006</v>
      </c>
      <c r="B141" s="46" t="n">
        <f aca="false">B140+1</f>
        <v>97</v>
      </c>
      <c r="C141" s="46" t="n">
        <f aca="false">MATCH(A141,Inputs!$B$40:$B$87,0)</f>
        <v>6</v>
      </c>
      <c r="D141" s="32" t="n">
        <f aca="false">INDEX(Inputs!$F$40:$F$87,C141)</f>
        <v>2</v>
      </c>
      <c r="E141" s="78" t="n">
        <f aca="false">INDEX(Inputs!$H$40:$H$87,C141)</f>
        <v>12</v>
      </c>
      <c r="F141" s="78" t="n">
        <f aca="false">INDEX(Inputs!$G$40:$G$87,C141)</f>
        <v>40</v>
      </c>
      <c r="G141" s="32" t="n">
        <f aca="false">INDEX(Inputs!$I$40:$I$87,C141)</f>
        <v>10</v>
      </c>
      <c r="H141" s="46" t="n">
        <f aca="false">MATCH(A141,Demand_History!$C:$C,0)+B141-1</f>
        <v>618</v>
      </c>
      <c r="I141" s="32" t="n">
        <f aca="false">INDEX(Forecast_Walkforward!$C:$C,H141)</f>
        <v>77</v>
      </c>
      <c r="J141" s="79" t="n">
        <f aca="false">INDEX(Forecast_Walkforward!$E:$E,H141)</f>
        <v>68.5</v>
      </c>
      <c r="K141" s="33" t="n">
        <f aca="false">Baseline_Weeks*J141</f>
        <v>274</v>
      </c>
      <c r="L141" s="46" t="n">
        <f aca="false">SUMIFS(P$133:P140,$B$133:$B140,$B141-$D141)</f>
        <v>70</v>
      </c>
      <c r="M141" s="46" t="n">
        <f aca="false">S140+L141</f>
        <v>70</v>
      </c>
      <c r="N141" s="46" t="n">
        <f aca="false">SUMIFS(P$133:P140,$B$133:$B140,"&gt;"&amp;($B141-$D141))</f>
        <v>70</v>
      </c>
      <c r="O141" s="46" t="n">
        <f aca="false">M141+N141</f>
        <v>140</v>
      </c>
      <c r="P141" s="47" t="n">
        <f aca="false">IF(O141&lt;K141,ROUNDUP((K141-O141)/G141,0)*G141,0)</f>
        <v>140</v>
      </c>
      <c r="Q141" s="46" t="n">
        <f aca="false">MIN(M141,I141)</f>
        <v>70</v>
      </c>
      <c r="R141" s="46" t="n">
        <f aca="false">I141-Q141</f>
        <v>7</v>
      </c>
      <c r="S141" s="46" t="n">
        <f aca="false">M141-Q141</f>
        <v>0</v>
      </c>
      <c r="T141" s="46" t="n">
        <f aca="false">IF(R141&gt;0,1,0)</f>
        <v>1</v>
      </c>
      <c r="U141" s="32" t="n">
        <f aca="false">INDEX(Forecast!$AY$7:$AY$54,C141)</f>
        <v>3</v>
      </c>
      <c r="V141" s="33" t="n">
        <f aca="false">CHOOSE(U141,INDEX(Forecast_Walkforward!$D:$D,H141),INDEX(Forecast_Walkforward!$E:$E,H141),INDEX(Forecast_Walkforward!$F:$F,H141),INDEX(Forecast_Walkforward!$G:$G,H141))</f>
        <v>55.5</v>
      </c>
      <c r="W141" s="79" t="n">
        <f aca="false">INDEX(Forecast!$BA$7:$BA$54,C141)</f>
        <v>20.3297488835493</v>
      </c>
      <c r="X141" s="33" t="n">
        <f aca="false">Z_Value*W141*SQRT(D141)</f>
        <v>47.2905395278578</v>
      </c>
      <c r="Y141" s="33" t="n">
        <f aca="false">V141*D141+X141</f>
        <v>158.290539527858</v>
      </c>
      <c r="Z141" s="33" t="n">
        <f aca="false">SQRT((2*V141*Weeks_Per_Year*F141)/(E141*Holding_Rate))</f>
        <v>310.161248385416</v>
      </c>
      <c r="AA141" s="46" t="n">
        <f aca="false">ROUNDUP(Z141/G141,0)*G141</f>
        <v>320</v>
      </c>
      <c r="AB141" s="46" t="n">
        <f aca="false">SUMIFS(AF$133:AF140,$B$133:$B140,$B141-$D141)</f>
        <v>0</v>
      </c>
      <c r="AC141" s="46" t="n">
        <f aca="false">AI140+AB141</f>
        <v>115</v>
      </c>
      <c r="AD141" s="46" t="n">
        <f aca="false">SUMIFS(AF$133:AF140,$B$133:$B140,"&gt;"&amp;($B141-$D141))</f>
        <v>0</v>
      </c>
      <c r="AE141" s="46" t="n">
        <f aca="false">AC141+AD141</f>
        <v>115</v>
      </c>
      <c r="AF141" s="47" t="n">
        <f aca="false">IF(AE141&lt;=Y141,AA141,0)</f>
        <v>320</v>
      </c>
      <c r="AG141" s="46" t="n">
        <f aca="false">MIN(AC141,I141)</f>
        <v>77</v>
      </c>
      <c r="AH141" s="46" t="n">
        <f aca="false">I141-AG141</f>
        <v>0</v>
      </c>
      <c r="AI141" s="46" t="n">
        <f aca="false">AC141-AG141</f>
        <v>38</v>
      </c>
      <c r="AJ141" s="46" t="n">
        <f aca="false">IF(AH141&gt;0,1,0)</f>
        <v>0</v>
      </c>
    </row>
    <row r="142" customFormat="false" ht="15" hidden="false" customHeight="false" outlineLevel="0" collapsed="false">
      <c r="A142" s="31" t="str">
        <f aca="false">Inputs!$B$45</f>
        <v>KIT-006</v>
      </c>
      <c r="B142" s="46" t="n">
        <f aca="false">B141+1</f>
        <v>98</v>
      </c>
      <c r="C142" s="46" t="n">
        <f aca="false">MATCH(A142,Inputs!$B$40:$B$87,0)</f>
        <v>6</v>
      </c>
      <c r="D142" s="32" t="n">
        <f aca="false">INDEX(Inputs!$F$40:$F$87,C142)</f>
        <v>2</v>
      </c>
      <c r="E142" s="78" t="n">
        <f aca="false">INDEX(Inputs!$H$40:$H$87,C142)</f>
        <v>12</v>
      </c>
      <c r="F142" s="78" t="n">
        <f aca="false">INDEX(Inputs!$G$40:$G$87,C142)</f>
        <v>40</v>
      </c>
      <c r="G142" s="32" t="n">
        <f aca="false">INDEX(Inputs!$I$40:$I$87,C142)</f>
        <v>10</v>
      </c>
      <c r="H142" s="46" t="n">
        <f aca="false">MATCH(A142,Demand_History!$C:$C,0)+B142-1</f>
        <v>619</v>
      </c>
      <c r="I142" s="32" t="n">
        <f aca="false">INDEX(Forecast_Walkforward!$C:$C,H142)</f>
        <v>61</v>
      </c>
      <c r="J142" s="79" t="n">
        <f aca="false">INDEX(Forecast_Walkforward!$E:$E,H142)</f>
        <v>74.5</v>
      </c>
      <c r="K142" s="33" t="n">
        <f aca="false">Baseline_Weeks*J142</f>
        <v>298</v>
      </c>
      <c r="L142" s="46" t="n">
        <f aca="false">SUMIFS(P$133:P141,$B$133:$B141,$B142-$D142)</f>
        <v>70</v>
      </c>
      <c r="M142" s="46" t="n">
        <f aca="false">S141+L142</f>
        <v>70</v>
      </c>
      <c r="N142" s="46" t="n">
        <f aca="false">SUMIFS(P$133:P141,$B$133:$B141,"&gt;"&amp;($B142-$D142))</f>
        <v>140</v>
      </c>
      <c r="O142" s="46" t="n">
        <f aca="false">M142+N142</f>
        <v>210</v>
      </c>
      <c r="P142" s="47" t="n">
        <f aca="false">IF(O142&lt;K142,ROUNDUP((K142-O142)/G142,0)*G142,0)</f>
        <v>90</v>
      </c>
      <c r="Q142" s="46" t="n">
        <f aca="false">MIN(M142,I142)</f>
        <v>61</v>
      </c>
      <c r="R142" s="46" t="n">
        <f aca="false">I142-Q142</f>
        <v>0</v>
      </c>
      <c r="S142" s="46" t="n">
        <f aca="false">M142-Q142</f>
        <v>9</v>
      </c>
      <c r="T142" s="46" t="n">
        <f aca="false">IF(R142&gt;0,1,0)</f>
        <v>0</v>
      </c>
      <c r="U142" s="32" t="n">
        <f aca="false">INDEX(Forecast!$AY$7:$AY$54,C142)</f>
        <v>3</v>
      </c>
      <c r="V142" s="33" t="n">
        <f aca="false">CHOOSE(U142,INDEX(Forecast_Walkforward!$D:$D,H142),INDEX(Forecast_Walkforward!$E:$E,H142),INDEX(Forecast_Walkforward!$F:$F,H142),INDEX(Forecast_Walkforward!$G:$G,H142))</f>
        <v>59.75</v>
      </c>
      <c r="W142" s="79" t="n">
        <f aca="false">INDEX(Forecast!$BA$7:$BA$54,C142)</f>
        <v>20.3297488835493</v>
      </c>
      <c r="X142" s="33" t="n">
        <f aca="false">Z_Value*W142*SQRT(D142)</f>
        <v>47.2905395278578</v>
      </c>
      <c r="Y142" s="33" t="n">
        <f aca="false">V142*D142+X142</f>
        <v>166.790539527858</v>
      </c>
      <c r="Z142" s="33" t="n">
        <f aca="false">SQRT((2*V142*Weeks_Per_Year*F142)/(E142*Holding_Rate))</f>
        <v>321.817753808995</v>
      </c>
      <c r="AA142" s="46" t="n">
        <f aca="false">ROUNDUP(Z142/G142,0)*G142</f>
        <v>330</v>
      </c>
      <c r="AB142" s="46" t="n">
        <f aca="false">SUMIFS(AF$133:AF141,$B$133:$B141,$B142-$D142)</f>
        <v>0</v>
      </c>
      <c r="AC142" s="46" t="n">
        <f aca="false">AI141+AB142</f>
        <v>38</v>
      </c>
      <c r="AD142" s="46" t="n">
        <f aca="false">SUMIFS(AF$133:AF141,$B$133:$B141,"&gt;"&amp;($B142-$D142))</f>
        <v>320</v>
      </c>
      <c r="AE142" s="46" t="n">
        <f aca="false">AC142+AD142</f>
        <v>358</v>
      </c>
      <c r="AF142" s="47" t="n">
        <f aca="false">IF(AE142&lt;=Y142,AA142,0)</f>
        <v>0</v>
      </c>
      <c r="AG142" s="46" t="n">
        <f aca="false">MIN(AC142,I142)</f>
        <v>38</v>
      </c>
      <c r="AH142" s="46" t="n">
        <f aca="false">I142-AG142</f>
        <v>23</v>
      </c>
      <c r="AI142" s="46" t="n">
        <f aca="false">AC142-AG142</f>
        <v>0</v>
      </c>
      <c r="AJ142" s="46" t="n">
        <f aca="false">IF(AH142&gt;0,1,0)</f>
        <v>1</v>
      </c>
    </row>
    <row r="143" customFormat="false" ht="15" hidden="false" customHeight="false" outlineLevel="0" collapsed="false">
      <c r="A143" s="31" t="str">
        <f aca="false">Inputs!$B$45</f>
        <v>KIT-006</v>
      </c>
      <c r="B143" s="46" t="n">
        <f aca="false">B142+1</f>
        <v>99</v>
      </c>
      <c r="C143" s="46" t="n">
        <f aca="false">MATCH(A143,Inputs!$B$40:$B$87,0)</f>
        <v>6</v>
      </c>
      <c r="D143" s="32" t="n">
        <f aca="false">INDEX(Inputs!$F$40:$F$87,C143)</f>
        <v>2</v>
      </c>
      <c r="E143" s="78" t="n">
        <f aca="false">INDEX(Inputs!$H$40:$H$87,C143)</f>
        <v>12</v>
      </c>
      <c r="F143" s="78" t="n">
        <f aca="false">INDEX(Inputs!$G$40:$G$87,C143)</f>
        <v>40</v>
      </c>
      <c r="G143" s="32" t="n">
        <f aca="false">INDEX(Inputs!$I$40:$I$87,C143)</f>
        <v>10</v>
      </c>
      <c r="H143" s="46" t="n">
        <f aca="false">MATCH(A143,Demand_History!$C:$C,0)+B143-1</f>
        <v>620</v>
      </c>
      <c r="I143" s="32" t="n">
        <f aca="false">INDEX(Forecast_Walkforward!$C:$C,H143)</f>
        <v>61</v>
      </c>
      <c r="J143" s="79" t="n">
        <f aca="false">INDEX(Forecast_Walkforward!$E:$E,H143)</f>
        <v>73.5</v>
      </c>
      <c r="K143" s="33" t="n">
        <f aca="false">Baseline_Weeks*J143</f>
        <v>294</v>
      </c>
      <c r="L143" s="46" t="n">
        <f aca="false">SUMIFS(P$133:P142,$B$133:$B142,$B143-$D143)</f>
        <v>140</v>
      </c>
      <c r="M143" s="46" t="n">
        <f aca="false">S142+L143</f>
        <v>149</v>
      </c>
      <c r="N143" s="46" t="n">
        <f aca="false">SUMIFS(P$133:P142,$B$133:$B142,"&gt;"&amp;($B143-$D143))</f>
        <v>90</v>
      </c>
      <c r="O143" s="46" t="n">
        <f aca="false">M143+N143</f>
        <v>239</v>
      </c>
      <c r="P143" s="47" t="n">
        <f aca="false">IF(O143&lt;K143,ROUNDUP((K143-O143)/G143,0)*G143,0)</f>
        <v>60</v>
      </c>
      <c r="Q143" s="46" t="n">
        <f aca="false">MIN(M143,I143)</f>
        <v>61</v>
      </c>
      <c r="R143" s="46" t="n">
        <f aca="false">I143-Q143</f>
        <v>0</v>
      </c>
      <c r="S143" s="46" t="n">
        <f aca="false">M143-Q143</f>
        <v>88</v>
      </c>
      <c r="T143" s="46" t="n">
        <f aca="false">IF(R143&gt;0,1,0)</f>
        <v>0</v>
      </c>
      <c r="U143" s="32" t="n">
        <f aca="false">INDEX(Forecast!$AY$7:$AY$54,C143)</f>
        <v>3</v>
      </c>
      <c r="V143" s="33" t="n">
        <f aca="false">CHOOSE(U143,INDEX(Forecast_Walkforward!$D:$D,H143),INDEX(Forecast_Walkforward!$E:$E,H143),INDEX(Forecast_Walkforward!$F:$F,H143),INDEX(Forecast_Walkforward!$G:$G,H143))</f>
        <v>60.5</v>
      </c>
      <c r="W143" s="79" t="n">
        <f aca="false">INDEX(Forecast!$BA$7:$BA$54,C143)</f>
        <v>20.3297488835493</v>
      </c>
      <c r="X143" s="33" t="n">
        <f aca="false">Z_Value*W143*SQRT(D143)</f>
        <v>47.2905395278578</v>
      </c>
      <c r="Y143" s="33" t="n">
        <f aca="false">V143*D143+X143</f>
        <v>168.290539527858</v>
      </c>
      <c r="Z143" s="33" t="n">
        <f aca="false">SQRT((2*V143*Weeks_Per_Year*F143)/(E143*Holding_Rate))</f>
        <v>323.831231765354</v>
      </c>
      <c r="AA143" s="46" t="n">
        <f aca="false">ROUNDUP(Z143/G143,0)*G143</f>
        <v>330</v>
      </c>
      <c r="AB143" s="46" t="n">
        <f aca="false">SUMIFS(AF$133:AF142,$B$133:$B142,$B143-$D143)</f>
        <v>320</v>
      </c>
      <c r="AC143" s="46" t="n">
        <f aca="false">AI142+AB143</f>
        <v>320</v>
      </c>
      <c r="AD143" s="46" t="n">
        <f aca="false">SUMIFS(AF$133:AF142,$B$133:$B142,"&gt;"&amp;($B143-$D143))</f>
        <v>0</v>
      </c>
      <c r="AE143" s="46" t="n">
        <f aca="false">AC143+AD143</f>
        <v>320</v>
      </c>
      <c r="AF143" s="47" t="n">
        <f aca="false">IF(AE143&lt;=Y143,AA143,0)</f>
        <v>0</v>
      </c>
      <c r="AG143" s="46" t="n">
        <f aca="false">MIN(AC143,I143)</f>
        <v>61</v>
      </c>
      <c r="AH143" s="46" t="n">
        <f aca="false">I143-AG143</f>
        <v>0</v>
      </c>
      <c r="AI143" s="46" t="n">
        <f aca="false">AC143-AG143</f>
        <v>259</v>
      </c>
      <c r="AJ143" s="46" t="n">
        <f aca="false">IF(AH143&gt;0,1,0)</f>
        <v>0</v>
      </c>
    </row>
    <row r="144" customFormat="false" ht="15" hidden="false" customHeight="false" outlineLevel="0" collapsed="false">
      <c r="A144" s="31" t="str">
        <f aca="false">Inputs!$B$45</f>
        <v>KIT-006</v>
      </c>
      <c r="B144" s="46" t="n">
        <f aca="false">B143+1</f>
        <v>100</v>
      </c>
      <c r="C144" s="46" t="n">
        <f aca="false">MATCH(A144,Inputs!$B$40:$B$87,0)</f>
        <v>6</v>
      </c>
      <c r="D144" s="32" t="n">
        <f aca="false">INDEX(Inputs!$F$40:$F$87,C144)</f>
        <v>2</v>
      </c>
      <c r="E144" s="78" t="n">
        <f aca="false">INDEX(Inputs!$H$40:$H$87,C144)</f>
        <v>12</v>
      </c>
      <c r="F144" s="78" t="n">
        <f aca="false">INDEX(Inputs!$G$40:$G$87,C144)</f>
        <v>40</v>
      </c>
      <c r="G144" s="32" t="n">
        <f aca="false">INDEX(Inputs!$I$40:$I$87,C144)</f>
        <v>10</v>
      </c>
      <c r="H144" s="46" t="n">
        <f aca="false">MATCH(A144,Demand_History!$C:$C,0)+B144-1</f>
        <v>621</v>
      </c>
      <c r="I144" s="32" t="n">
        <f aca="false">INDEX(Forecast_Walkforward!$C:$C,H144)</f>
        <v>70</v>
      </c>
      <c r="J144" s="79" t="n">
        <f aca="false">INDEX(Forecast_Walkforward!$E:$E,H144)</f>
        <v>71.75</v>
      </c>
      <c r="K144" s="33" t="n">
        <f aca="false">Baseline_Weeks*J144</f>
        <v>287</v>
      </c>
      <c r="L144" s="46" t="n">
        <f aca="false">SUMIFS(P$133:P143,$B$133:$B143,$B144-$D144)</f>
        <v>90</v>
      </c>
      <c r="M144" s="46" t="n">
        <f aca="false">S143+L144</f>
        <v>178</v>
      </c>
      <c r="N144" s="46" t="n">
        <f aca="false">SUMIFS(P$133:P143,$B$133:$B143,"&gt;"&amp;($B144-$D144))</f>
        <v>60</v>
      </c>
      <c r="O144" s="46" t="n">
        <f aca="false">M144+N144</f>
        <v>238</v>
      </c>
      <c r="P144" s="47" t="n">
        <f aca="false">IF(O144&lt;K144,ROUNDUP((K144-O144)/G144,0)*G144,0)</f>
        <v>50</v>
      </c>
      <c r="Q144" s="46" t="n">
        <f aca="false">MIN(M144,I144)</f>
        <v>70</v>
      </c>
      <c r="R144" s="46" t="n">
        <f aca="false">I144-Q144</f>
        <v>0</v>
      </c>
      <c r="S144" s="46" t="n">
        <f aca="false">M144-Q144</f>
        <v>108</v>
      </c>
      <c r="T144" s="46" t="n">
        <f aca="false">IF(R144&gt;0,1,0)</f>
        <v>0</v>
      </c>
      <c r="U144" s="32" t="n">
        <f aca="false">INDEX(Forecast!$AY$7:$AY$54,C144)</f>
        <v>3</v>
      </c>
      <c r="V144" s="33" t="n">
        <f aca="false">CHOOSE(U144,INDEX(Forecast_Walkforward!$D:$D,H144),INDEX(Forecast_Walkforward!$E:$E,H144),INDEX(Forecast_Walkforward!$F:$F,H144),INDEX(Forecast_Walkforward!$G:$G,H144))</f>
        <v>59.375</v>
      </c>
      <c r="W144" s="79" t="n">
        <f aca="false">INDEX(Forecast!$BA$7:$BA$54,C144)</f>
        <v>20.3297488835493</v>
      </c>
      <c r="X144" s="33" t="n">
        <f aca="false">Z_Value*W144*SQRT(D144)</f>
        <v>47.2905395278578</v>
      </c>
      <c r="Y144" s="33" t="n">
        <f aca="false">V144*D144+X144</f>
        <v>166.040539527858</v>
      </c>
      <c r="Z144" s="33" t="n">
        <f aca="false">SQRT((2*V144*Weeks_Per_Year*F144)/(E144*Holding_Rate))</f>
        <v>320.806275915336</v>
      </c>
      <c r="AA144" s="46" t="n">
        <f aca="false">ROUNDUP(Z144/G144,0)*G144</f>
        <v>330</v>
      </c>
      <c r="AB144" s="46" t="n">
        <f aca="false">SUMIFS(AF$133:AF143,$B$133:$B143,$B144-$D144)</f>
        <v>0</v>
      </c>
      <c r="AC144" s="46" t="n">
        <f aca="false">AI143+AB144</f>
        <v>259</v>
      </c>
      <c r="AD144" s="46" t="n">
        <f aca="false">SUMIFS(AF$133:AF143,$B$133:$B143,"&gt;"&amp;($B144-$D144))</f>
        <v>0</v>
      </c>
      <c r="AE144" s="46" t="n">
        <f aca="false">AC144+AD144</f>
        <v>259</v>
      </c>
      <c r="AF144" s="47" t="n">
        <f aca="false">IF(AE144&lt;=Y144,AA144,0)</f>
        <v>0</v>
      </c>
      <c r="AG144" s="46" t="n">
        <f aca="false">MIN(AC144,I144)</f>
        <v>70</v>
      </c>
      <c r="AH144" s="46" t="n">
        <f aca="false">I144-AG144</f>
        <v>0</v>
      </c>
      <c r="AI144" s="46" t="n">
        <f aca="false">AC144-AG144</f>
        <v>189</v>
      </c>
      <c r="AJ144" s="46" t="n">
        <f aca="false">IF(AH144&gt;0,1,0)</f>
        <v>0</v>
      </c>
    </row>
    <row r="145" customFormat="false" ht="15" hidden="false" customHeight="false" outlineLevel="0" collapsed="false">
      <c r="A145" s="31" t="str">
        <f aca="false">Inputs!$B$45</f>
        <v>KIT-006</v>
      </c>
      <c r="B145" s="46" t="n">
        <f aca="false">B144+1</f>
        <v>101</v>
      </c>
      <c r="C145" s="46" t="n">
        <f aca="false">MATCH(A145,Inputs!$B$40:$B$87,0)</f>
        <v>6</v>
      </c>
      <c r="D145" s="32" t="n">
        <f aca="false">INDEX(Inputs!$F$40:$F$87,C145)</f>
        <v>2</v>
      </c>
      <c r="E145" s="78" t="n">
        <f aca="false">INDEX(Inputs!$H$40:$H$87,C145)</f>
        <v>12</v>
      </c>
      <c r="F145" s="78" t="n">
        <f aca="false">INDEX(Inputs!$G$40:$G$87,C145)</f>
        <v>40</v>
      </c>
      <c r="G145" s="32" t="n">
        <f aca="false">INDEX(Inputs!$I$40:$I$87,C145)</f>
        <v>10</v>
      </c>
      <c r="H145" s="46" t="n">
        <f aca="false">MATCH(A145,Demand_History!$C:$C,0)+B145-1</f>
        <v>622</v>
      </c>
      <c r="I145" s="32" t="n">
        <f aca="false">INDEX(Forecast_Walkforward!$C:$C,H145)</f>
        <v>45</v>
      </c>
      <c r="J145" s="79" t="n">
        <f aca="false">INDEX(Forecast_Walkforward!$E:$E,H145)</f>
        <v>67.25</v>
      </c>
      <c r="K145" s="33" t="n">
        <f aca="false">Baseline_Weeks*J145</f>
        <v>269</v>
      </c>
      <c r="L145" s="46" t="n">
        <f aca="false">SUMIFS(P$133:P144,$B$133:$B144,$B145-$D145)</f>
        <v>60</v>
      </c>
      <c r="M145" s="46" t="n">
        <f aca="false">S144+L145</f>
        <v>168</v>
      </c>
      <c r="N145" s="46" t="n">
        <f aca="false">SUMIFS(P$133:P144,$B$133:$B144,"&gt;"&amp;($B145-$D145))</f>
        <v>50</v>
      </c>
      <c r="O145" s="46" t="n">
        <f aca="false">M145+N145</f>
        <v>218</v>
      </c>
      <c r="P145" s="47" t="n">
        <f aca="false">IF(O145&lt;K145,ROUNDUP((K145-O145)/G145,0)*G145,0)</f>
        <v>60</v>
      </c>
      <c r="Q145" s="46" t="n">
        <f aca="false">MIN(M145,I145)</f>
        <v>45</v>
      </c>
      <c r="R145" s="46" t="n">
        <f aca="false">I145-Q145</f>
        <v>0</v>
      </c>
      <c r="S145" s="46" t="n">
        <f aca="false">M145-Q145</f>
        <v>123</v>
      </c>
      <c r="T145" s="46" t="n">
        <f aca="false">IF(R145&gt;0,1,0)</f>
        <v>0</v>
      </c>
      <c r="U145" s="32" t="n">
        <f aca="false">INDEX(Forecast!$AY$7:$AY$54,C145)</f>
        <v>3</v>
      </c>
      <c r="V145" s="33" t="n">
        <f aca="false">CHOOSE(U145,INDEX(Forecast_Walkforward!$D:$D,H145),INDEX(Forecast_Walkforward!$E:$E,H145),INDEX(Forecast_Walkforward!$F:$F,H145),INDEX(Forecast_Walkforward!$G:$G,H145))</f>
        <v>67.875</v>
      </c>
      <c r="W145" s="79" t="n">
        <f aca="false">INDEX(Forecast!$BA$7:$BA$54,C145)</f>
        <v>20.3297488835493</v>
      </c>
      <c r="X145" s="33" t="n">
        <f aca="false">Z_Value*W145*SQRT(D145)</f>
        <v>47.2905395278578</v>
      </c>
      <c r="Y145" s="33" t="n">
        <f aca="false">V145*D145+X145</f>
        <v>183.040539527858</v>
      </c>
      <c r="Z145" s="33" t="n">
        <f aca="false">SQRT((2*V145*Weeks_Per_Year*F145)/(E145*Holding_Rate))</f>
        <v>343.00145772285</v>
      </c>
      <c r="AA145" s="46" t="n">
        <f aca="false">ROUNDUP(Z145/G145,0)*G145</f>
        <v>350</v>
      </c>
      <c r="AB145" s="46" t="n">
        <f aca="false">SUMIFS(AF$133:AF144,$B$133:$B144,$B145-$D145)</f>
        <v>0</v>
      </c>
      <c r="AC145" s="46" t="n">
        <f aca="false">AI144+AB145</f>
        <v>189</v>
      </c>
      <c r="AD145" s="46" t="n">
        <f aca="false">SUMIFS(AF$133:AF144,$B$133:$B144,"&gt;"&amp;($B145-$D145))</f>
        <v>0</v>
      </c>
      <c r="AE145" s="46" t="n">
        <f aca="false">AC145+AD145</f>
        <v>189</v>
      </c>
      <c r="AF145" s="47" t="n">
        <f aca="false">IF(AE145&lt;=Y145,AA145,0)</f>
        <v>0</v>
      </c>
      <c r="AG145" s="46" t="n">
        <f aca="false">MIN(AC145,I145)</f>
        <v>45</v>
      </c>
      <c r="AH145" s="46" t="n">
        <f aca="false">I145-AG145</f>
        <v>0</v>
      </c>
      <c r="AI145" s="46" t="n">
        <f aca="false">AC145-AG145</f>
        <v>144</v>
      </c>
      <c r="AJ145" s="46" t="n">
        <f aca="false">IF(AH145&gt;0,1,0)</f>
        <v>0</v>
      </c>
    </row>
    <row r="146" customFormat="false" ht="15" hidden="false" customHeight="false" outlineLevel="0" collapsed="false">
      <c r="A146" s="31" t="str">
        <f aca="false">Inputs!$B$45</f>
        <v>KIT-006</v>
      </c>
      <c r="B146" s="46" t="n">
        <f aca="false">B145+1</f>
        <v>102</v>
      </c>
      <c r="C146" s="46" t="n">
        <f aca="false">MATCH(A146,Inputs!$B$40:$B$87,0)</f>
        <v>6</v>
      </c>
      <c r="D146" s="32" t="n">
        <f aca="false">INDEX(Inputs!$F$40:$F$87,C146)</f>
        <v>2</v>
      </c>
      <c r="E146" s="78" t="n">
        <f aca="false">INDEX(Inputs!$H$40:$H$87,C146)</f>
        <v>12</v>
      </c>
      <c r="F146" s="78" t="n">
        <f aca="false">INDEX(Inputs!$G$40:$G$87,C146)</f>
        <v>40</v>
      </c>
      <c r="G146" s="32" t="n">
        <f aca="false">INDEX(Inputs!$I$40:$I$87,C146)</f>
        <v>10</v>
      </c>
      <c r="H146" s="46" t="n">
        <f aca="false">MATCH(A146,Demand_History!$C:$C,0)+B146-1</f>
        <v>623</v>
      </c>
      <c r="I146" s="32" t="n">
        <f aca="false">INDEX(Forecast_Walkforward!$C:$C,H146)</f>
        <v>54</v>
      </c>
      <c r="J146" s="79" t="n">
        <f aca="false">INDEX(Forecast_Walkforward!$E:$E,H146)</f>
        <v>59.25</v>
      </c>
      <c r="K146" s="33" t="n">
        <f aca="false">Baseline_Weeks*J146</f>
        <v>237</v>
      </c>
      <c r="L146" s="46" t="n">
        <f aca="false">SUMIFS(P$133:P145,$B$133:$B145,$B146-$D146)</f>
        <v>50</v>
      </c>
      <c r="M146" s="46" t="n">
        <f aca="false">S145+L146</f>
        <v>173</v>
      </c>
      <c r="N146" s="46" t="n">
        <f aca="false">SUMIFS(P$133:P145,$B$133:$B145,"&gt;"&amp;($B146-$D146))</f>
        <v>60</v>
      </c>
      <c r="O146" s="46" t="n">
        <f aca="false">M146+N146</f>
        <v>233</v>
      </c>
      <c r="P146" s="47" t="n">
        <f aca="false">IF(O146&lt;K146,ROUNDUP((K146-O146)/G146,0)*G146,0)</f>
        <v>10</v>
      </c>
      <c r="Q146" s="46" t="n">
        <f aca="false">MIN(M146,I146)</f>
        <v>54</v>
      </c>
      <c r="R146" s="46" t="n">
        <f aca="false">I146-Q146</f>
        <v>0</v>
      </c>
      <c r="S146" s="46" t="n">
        <f aca="false">M146-Q146</f>
        <v>119</v>
      </c>
      <c r="T146" s="46" t="n">
        <f aca="false">IF(R146&gt;0,1,0)</f>
        <v>0</v>
      </c>
      <c r="U146" s="32" t="n">
        <f aca="false">INDEX(Forecast!$AY$7:$AY$54,C146)</f>
        <v>3</v>
      </c>
      <c r="V146" s="33" t="n">
        <f aca="false">CHOOSE(U146,INDEX(Forecast_Walkforward!$D:$D,H146),INDEX(Forecast_Walkforward!$E:$E,H146),INDEX(Forecast_Walkforward!$F:$F,H146),INDEX(Forecast_Walkforward!$G:$G,H146))</f>
        <v>66.875</v>
      </c>
      <c r="W146" s="79" t="n">
        <f aca="false">INDEX(Forecast!$BA$7:$BA$54,C146)</f>
        <v>20.3297488835493</v>
      </c>
      <c r="X146" s="33" t="n">
        <f aca="false">Z_Value*W146*SQRT(D146)</f>
        <v>47.2905395278578</v>
      </c>
      <c r="Y146" s="33" t="n">
        <f aca="false">V146*D146+X146</f>
        <v>181.040539527858</v>
      </c>
      <c r="Z146" s="33" t="n">
        <f aca="false">SQRT((2*V146*Weeks_Per_Year*F146)/(E146*Holding_Rate))</f>
        <v>340.465367793358</v>
      </c>
      <c r="AA146" s="46" t="n">
        <f aca="false">ROUNDUP(Z146/G146,0)*G146</f>
        <v>350</v>
      </c>
      <c r="AB146" s="46" t="n">
        <f aca="false">SUMIFS(AF$133:AF145,$B$133:$B145,$B146-$D146)</f>
        <v>0</v>
      </c>
      <c r="AC146" s="46" t="n">
        <f aca="false">AI145+AB146</f>
        <v>144</v>
      </c>
      <c r="AD146" s="46" t="n">
        <f aca="false">SUMIFS(AF$133:AF145,$B$133:$B145,"&gt;"&amp;($B146-$D146))</f>
        <v>0</v>
      </c>
      <c r="AE146" s="46" t="n">
        <f aca="false">AC146+AD146</f>
        <v>144</v>
      </c>
      <c r="AF146" s="47" t="n">
        <f aca="false">IF(AE146&lt;=Y146,AA146,0)</f>
        <v>350</v>
      </c>
      <c r="AG146" s="46" t="n">
        <f aca="false">MIN(AC146,I146)</f>
        <v>54</v>
      </c>
      <c r="AH146" s="46" t="n">
        <f aca="false">I146-AG146</f>
        <v>0</v>
      </c>
      <c r="AI146" s="46" t="n">
        <f aca="false">AC146-AG146</f>
        <v>90</v>
      </c>
      <c r="AJ146" s="46" t="n">
        <f aca="false">IF(AH146&gt;0,1,0)</f>
        <v>0</v>
      </c>
    </row>
    <row r="147" customFormat="false" ht="15" hidden="false" customHeight="false" outlineLevel="0" collapsed="false">
      <c r="A147" s="31" t="str">
        <f aca="false">Inputs!$B$45</f>
        <v>KIT-006</v>
      </c>
      <c r="B147" s="46" t="n">
        <f aca="false">B146+1</f>
        <v>103</v>
      </c>
      <c r="C147" s="46" t="n">
        <f aca="false">MATCH(A147,Inputs!$B$40:$B$87,0)</f>
        <v>6</v>
      </c>
      <c r="D147" s="32" t="n">
        <f aca="false">INDEX(Inputs!$F$40:$F$87,C147)</f>
        <v>2</v>
      </c>
      <c r="E147" s="78" t="n">
        <f aca="false">INDEX(Inputs!$H$40:$H$87,C147)</f>
        <v>12</v>
      </c>
      <c r="F147" s="78" t="n">
        <f aca="false">INDEX(Inputs!$G$40:$G$87,C147)</f>
        <v>40</v>
      </c>
      <c r="G147" s="32" t="n">
        <f aca="false">INDEX(Inputs!$I$40:$I$87,C147)</f>
        <v>10</v>
      </c>
      <c r="H147" s="46" t="n">
        <f aca="false">MATCH(A147,Demand_History!$C:$C,0)+B147-1</f>
        <v>624</v>
      </c>
      <c r="I147" s="32" t="n">
        <f aca="false">INDEX(Forecast_Walkforward!$C:$C,H147)</f>
        <v>72</v>
      </c>
      <c r="J147" s="79" t="n">
        <f aca="false">INDEX(Forecast_Walkforward!$E:$E,H147)</f>
        <v>57.5</v>
      </c>
      <c r="K147" s="33" t="n">
        <f aca="false">Baseline_Weeks*J147</f>
        <v>230</v>
      </c>
      <c r="L147" s="46" t="n">
        <f aca="false">SUMIFS(P$133:P146,$B$133:$B146,$B147-$D147)</f>
        <v>60</v>
      </c>
      <c r="M147" s="46" t="n">
        <f aca="false">S146+L147</f>
        <v>179</v>
      </c>
      <c r="N147" s="46" t="n">
        <f aca="false">SUMIFS(P$133:P146,$B$133:$B146,"&gt;"&amp;($B147-$D147))</f>
        <v>10</v>
      </c>
      <c r="O147" s="46" t="n">
        <f aca="false">M147+N147</f>
        <v>189</v>
      </c>
      <c r="P147" s="47" t="n">
        <f aca="false">IF(O147&lt;K147,ROUNDUP((K147-O147)/G147,0)*G147,0)</f>
        <v>50</v>
      </c>
      <c r="Q147" s="46" t="n">
        <f aca="false">MIN(M147,I147)</f>
        <v>72</v>
      </c>
      <c r="R147" s="46" t="n">
        <f aca="false">I147-Q147</f>
        <v>0</v>
      </c>
      <c r="S147" s="46" t="n">
        <f aca="false">M147-Q147</f>
        <v>107</v>
      </c>
      <c r="T147" s="46" t="n">
        <f aca="false">IF(R147&gt;0,1,0)</f>
        <v>0</v>
      </c>
      <c r="U147" s="32" t="n">
        <f aca="false">INDEX(Forecast!$AY$7:$AY$54,C147)</f>
        <v>3</v>
      </c>
      <c r="V147" s="33" t="n">
        <f aca="false">CHOOSE(U147,INDEX(Forecast_Walkforward!$D:$D,H147),INDEX(Forecast_Walkforward!$E:$E,H147),INDEX(Forecast_Walkforward!$F:$F,H147),INDEX(Forecast_Walkforward!$G:$G,H147))</f>
        <v>65.5</v>
      </c>
      <c r="W147" s="79" t="n">
        <f aca="false">INDEX(Forecast!$BA$7:$BA$54,C147)</f>
        <v>20.3297488835493</v>
      </c>
      <c r="X147" s="33" t="n">
        <f aca="false">Z_Value*W147*SQRT(D147)</f>
        <v>47.2905395278578</v>
      </c>
      <c r="Y147" s="33" t="n">
        <f aca="false">V147*D147+X147</f>
        <v>178.290539527858</v>
      </c>
      <c r="Z147" s="33" t="n">
        <f aca="false">SQRT((2*V147*Weeks_Per_Year*F147)/(E147*Holding_Rate))</f>
        <v>336.947077941527</v>
      </c>
      <c r="AA147" s="46" t="n">
        <f aca="false">ROUNDUP(Z147/G147,0)*G147</f>
        <v>340</v>
      </c>
      <c r="AB147" s="46" t="n">
        <f aca="false">SUMIFS(AF$133:AF146,$B$133:$B146,$B147-$D147)</f>
        <v>0</v>
      </c>
      <c r="AC147" s="46" t="n">
        <f aca="false">AI146+AB147</f>
        <v>90</v>
      </c>
      <c r="AD147" s="46" t="n">
        <f aca="false">SUMIFS(AF$133:AF146,$B$133:$B146,"&gt;"&amp;($B147-$D147))</f>
        <v>350</v>
      </c>
      <c r="AE147" s="46" t="n">
        <f aca="false">AC147+AD147</f>
        <v>440</v>
      </c>
      <c r="AF147" s="47" t="n">
        <f aca="false">IF(AE147&lt;=Y147,AA147,0)</f>
        <v>0</v>
      </c>
      <c r="AG147" s="46" t="n">
        <f aca="false">MIN(AC147,I147)</f>
        <v>72</v>
      </c>
      <c r="AH147" s="46" t="n">
        <f aca="false">I147-AG147</f>
        <v>0</v>
      </c>
      <c r="AI147" s="46" t="n">
        <f aca="false">AC147-AG147</f>
        <v>18</v>
      </c>
      <c r="AJ147" s="46" t="n">
        <f aca="false">IF(AH147&gt;0,1,0)</f>
        <v>0</v>
      </c>
    </row>
    <row r="148" customFormat="false" ht="15" hidden="false" customHeight="false" outlineLevel="0" collapsed="false">
      <c r="A148" s="80" t="str">
        <f aca="false">Inputs!$B$45</f>
        <v>KIT-006</v>
      </c>
      <c r="B148" s="81" t="n">
        <f aca="false">B147+1</f>
        <v>104</v>
      </c>
      <c r="C148" s="81" t="n">
        <f aca="false">MATCH(A148,Inputs!$B$40:$B$87,0)</f>
        <v>6</v>
      </c>
      <c r="D148" s="82" t="n">
        <f aca="false">INDEX(Inputs!$F$40:$F$87,C148)</f>
        <v>2</v>
      </c>
      <c r="E148" s="83" t="n">
        <f aca="false">INDEX(Inputs!$H$40:$H$87,C148)</f>
        <v>12</v>
      </c>
      <c r="F148" s="83" t="n">
        <f aca="false">INDEX(Inputs!$G$40:$G$87,C148)</f>
        <v>40</v>
      </c>
      <c r="G148" s="82" t="n">
        <f aca="false">INDEX(Inputs!$I$40:$I$87,C148)</f>
        <v>10</v>
      </c>
      <c r="H148" s="81" t="n">
        <f aca="false">MATCH(A148,Demand_History!$C:$C,0)+B148-1</f>
        <v>625</v>
      </c>
      <c r="I148" s="82" t="n">
        <f aca="false">INDEX(Forecast_Walkforward!$C:$C,H148)</f>
        <v>93</v>
      </c>
      <c r="J148" s="84" t="n">
        <f aca="false">INDEX(Forecast_Walkforward!$E:$E,H148)</f>
        <v>60.25</v>
      </c>
      <c r="K148" s="85" t="n">
        <f aca="false">Baseline_Weeks*J148</f>
        <v>241</v>
      </c>
      <c r="L148" s="81" t="n">
        <f aca="false">SUMIFS(P$133:P147,$B$133:$B147,$B148-$D148)</f>
        <v>10</v>
      </c>
      <c r="M148" s="81" t="n">
        <f aca="false">S147+L148</f>
        <v>117</v>
      </c>
      <c r="N148" s="81" t="n">
        <f aca="false">SUMIFS(P$133:P147,$B$133:$B147,"&gt;"&amp;($B148-$D148))</f>
        <v>50</v>
      </c>
      <c r="O148" s="81" t="n">
        <f aca="false">M148+N148</f>
        <v>167</v>
      </c>
      <c r="P148" s="86" t="n">
        <f aca="false">IF(O148&lt;K148,ROUNDUP((K148-O148)/G148,0)*G148,0)</f>
        <v>80</v>
      </c>
      <c r="Q148" s="81" t="n">
        <f aca="false">MIN(M148,I148)</f>
        <v>93</v>
      </c>
      <c r="R148" s="81" t="n">
        <f aca="false">I148-Q148</f>
        <v>0</v>
      </c>
      <c r="S148" s="81" t="n">
        <f aca="false">M148-Q148</f>
        <v>24</v>
      </c>
      <c r="T148" s="81" t="n">
        <f aca="false">IF(R148&gt;0,1,0)</f>
        <v>0</v>
      </c>
      <c r="U148" s="82" t="n">
        <f aca="false">INDEX(Forecast!$AY$7:$AY$54,C148)</f>
        <v>3</v>
      </c>
      <c r="V148" s="85" t="n">
        <f aca="false">CHOOSE(U148,INDEX(Forecast_Walkforward!$D:$D,H148),INDEX(Forecast_Walkforward!$E:$E,H148),INDEX(Forecast_Walkforward!$F:$F,H148),INDEX(Forecast_Walkforward!$G:$G,H148))</f>
        <v>66</v>
      </c>
      <c r="W148" s="84" t="n">
        <f aca="false">INDEX(Forecast!$BA$7:$BA$54,C148)</f>
        <v>20.3297488835493</v>
      </c>
      <c r="X148" s="85" t="n">
        <f aca="false">Z_Value*W148*SQRT(D148)</f>
        <v>47.2905395278578</v>
      </c>
      <c r="Y148" s="85" t="n">
        <f aca="false">V148*D148+X148</f>
        <v>179.290539527858</v>
      </c>
      <c r="Z148" s="85" t="n">
        <f aca="false">SQRT((2*V148*Weeks_Per_Year*F148)/(E148*Holding_Rate))</f>
        <v>338.230690505755</v>
      </c>
      <c r="AA148" s="81" t="n">
        <f aca="false">ROUNDUP(Z148/G148,0)*G148</f>
        <v>340</v>
      </c>
      <c r="AB148" s="81" t="n">
        <f aca="false">SUMIFS(AF$133:AF147,$B$133:$B147,$B148-$D148)</f>
        <v>350</v>
      </c>
      <c r="AC148" s="81" t="n">
        <f aca="false">AI147+AB148</f>
        <v>368</v>
      </c>
      <c r="AD148" s="81" t="n">
        <f aca="false">SUMIFS(AF$133:AF147,$B$133:$B147,"&gt;"&amp;($B148-$D148))</f>
        <v>0</v>
      </c>
      <c r="AE148" s="81" t="n">
        <f aca="false">AC148+AD148</f>
        <v>368</v>
      </c>
      <c r="AF148" s="86" t="n">
        <f aca="false">IF(AE148&lt;=Y148,AA148,0)</f>
        <v>0</v>
      </c>
      <c r="AG148" s="81" t="n">
        <f aca="false">MIN(AC148,I148)</f>
        <v>93</v>
      </c>
      <c r="AH148" s="81" t="n">
        <f aca="false">I148-AG148</f>
        <v>0</v>
      </c>
      <c r="AI148" s="81" t="n">
        <f aca="false">AC148-AG148</f>
        <v>275</v>
      </c>
      <c r="AJ148" s="81" t="n">
        <f aca="false">IF(AH148&gt;0,1,0)</f>
        <v>0</v>
      </c>
    </row>
    <row r="149" customFormat="false" ht="15" hidden="false" customHeight="false" outlineLevel="0" collapsed="false">
      <c r="A149" s="31" t="str">
        <f aca="false">Inputs!$B$46</f>
        <v>KIT-007</v>
      </c>
      <c r="B149" s="46" t="n">
        <f aca="false">BT_Start_Week</f>
        <v>89</v>
      </c>
      <c r="C149" s="46" t="n">
        <f aca="false">MATCH(A149,Inputs!$B$40:$B$87,0)</f>
        <v>7</v>
      </c>
      <c r="D149" s="32" t="n">
        <f aca="false">INDEX(Inputs!$F$40:$F$87,C149)</f>
        <v>2</v>
      </c>
      <c r="E149" s="78" t="n">
        <f aca="false">INDEX(Inputs!$H$40:$H$87,C149)</f>
        <v>85</v>
      </c>
      <c r="F149" s="78" t="n">
        <f aca="false">INDEX(Inputs!$G$40:$G$87,C149)</f>
        <v>40</v>
      </c>
      <c r="G149" s="32" t="n">
        <f aca="false">INDEX(Inputs!$I$40:$I$87,C149)</f>
        <v>1</v>
      </c>
      <c r="H149" s="46" t="n">
        <f aca="false">MATCH(A149,Demand_History!$C:$C,0)+B149-1</f>
        <v>714</v>
      </c>
      <c r="I149" s="32" t="n">
        <f aca="false">INDEX(Forecast_Walkforward!$C:$C,H149)</f>
        <v>9</v>
      </c>
      <c r="J149" s="79" t="n">
        <f aca="false">INDEX(Forecast_Walkforward!$E:$E,H149)</f>
        <v>8.5</v>
      </c>
      <c r="K149" s="33" t="n">
        <f aca="false">Baseline_Weeks*J149</f>
        <v>34</v>
      </c>
      <c r="L149" s="46" t="n">
        <f aca="false">0</f>
        <v>0</v>
      </c>
      <c r="M149" s="46" t="n">
        <f aca="false">ROUND(BT_Open_Cover*INDEX(Forecast_Walkforward!$F:$F,H149),0)+L149</f>
        <v>42</v>
      </c>
      <c r="N149" s="46" t="n">
        <f aca="false">0</f>
        <v>0</v>
      </c>
      <c r="O149" s="46" t="n">
        <f aca="false">M149+N149</f>
        <v>42</v>
      </c>
      <c r="P149" s="47" t="n">
        <f aca="false">IF(O149&lt;K149,ROUNDUP((K149-O149)/G149,0)*G149,0)</f>
        <v>0</v>
      </c>
      <c r="Q149" s="46" t="n">
        <f aca="false">MIN(M149,I149)</f>
        <v>9</v>
      </c>
      <c r="R149" s="46" t="n">
        <f aca="false">I149-Q149</f>
        <v>0</v>
      </c>
      <c r="S149" s="46" t="n">
        <f aca="false">M149-Q149</f>
        <v>33</v>
      </c>
      <c r="T149" s="46" t="n">
        <f aca="false">IF(R149&gt;0,1,0)</f>
        <v>0</v>
      </c>
      <c r="U149" s="32" t="n">
        <f aca="false">INDEX(Forecast!$AY$7:$AY$54,C149)</f>
        <v>3</v>
      </c>
      <c r="V149" s="33" t="n">
        <f aca="false">CHOOSE(U149,INDEX(Forecast_Walkforward!$D:$D,H149),INDEX(Forecast_Walkforward!$E:$E,H149),INDEX(Forecast_Walkforward!$F:$F,H149),INDEX(Forecast_Walkforward!$G:$G,H149))</f>
        <v>7</v>
      </c>
      <c r="W149" s="79" t="n">
        <f aca="false">INDEX(Forecast!$BA$7:$BA$54,C149)</f>
        <v>2.9568714788282</v>
      </c>
      <c r="X149" s="33" t="n">
        <f aca="false">Z_Value*W149*SQRT(D149)</f>
        <v>6.87819846419606</v>
      </c>
      <c r="Y149" s="33" t="n">
        <f aca="false">V149*D149+X149</f>
        <v>20.8781984641961</v>
      </c>
      <c r="Z149" s="33" t="n">
        <f aca="false">SQRT((2*V149*Weeks_Per_Year*F149)/(E149*Holding_Rate))</f>
        <v>41.3876935389083</v>
      </c>
      <c r="AA149" s="46" t="n">
        <f aca="false">ROUNDUP(Z149/G149,0)*G149</f>
        <v>42</v>
      </c>
      <c r="AB149" s="46" t="n">
        <f aca="false">0</f>
        <v>0</v>
      </c>
      <c r="AC149" s="46" t="n">
        <f aca="false">ROUND(BT_Open_Cover*INDEX(Forecast_Walkforward!$F:$F,H149),0)+AB149</f>
        <v>42</v>
      </c>
      <c r="AD149" s="46" t="n">
        <f aca="false">0</f>
        <v>0</v>
      </c>
      <c r="AE149" s="46" t="n">
        <f aca="false">AC149+AD149</f>
        <v>42</v>
      </c>
      <c r="AF149" s="47" t="n">
        <f aca="false">IF(AE149&lt;=Y149,AA149,0)</f>
        <v>0</v>
      </c>
      <c r="AG149" s="46" t="n">
        <f aca="false">MIN(AC149,I149)</f>
        <v>9</v>
      </c>
      <c r="AH149" s="46" t="n">
        <f aca="false">I149-AG149</f>
        <v>0</v>
      </c>
      <c r="AI149" s="46" t="n">
        <f aca="false">AC149-AG149</f>
        <v>33</v>
      </c>
      <c r="AJ149" s="46" t="n">
        <f aca="false">IF(AH149&gt;0,1,0)</f>
        <v>0</v>
      </c>
    </row>
    <row r="150" customFormat="false" ht="15" hidden="false" customHeight="false" outlineLevel="0" collapsed="false">
      <c r="A150" s="31" t="str">
        <f aca="false">Inputs!$B$46</f>
        <v>KIT-007</v>
      </c>
      <c r="B150" s="46" t="n">
        <f aca="false">B149+1</f>
        <v>90</v>
      </c>
      <c r="C150" s="46" t="n">
        <f aca="false">MATCH(A150,Inputs!$B$40:$B$87,0)</f>
        <v>7</v>
      </c>
      <c r="D150" s="32" t="n">
        <f aca="false">INDEX(Inputs!$F$40:$F$87,C150)</f>
        <v>2</v>
      </c>
      <c r="E150" s="78" t="n">
        <f aca="false">INDEX(Inputs!$H$40:$H$87,C150)</f>
        <v>85</v>
      </c>
      <c r="F150" s="78" t="n">
        <f aca="false">INDEX(Inputs!$G$40:$G$87,C150)</f>
        <v>40</v>
      </c>
      <c r="G150" s="32" t="n">
        <f aca="false">INDEX(Inputs!$I$40:$I$87,C150)</f>
        <v>1</v>
      </c>
      <c r="H150" s="46" t="n">
        <f aca="false">MATCH(A150,Demand_History!$C:$C,0)+B150-1</f>
        <v>715</v>
      </c>
      <c r="I150" s="32" t="n">
        <f aca="false">INDEX(Forecast_Walkforward!$C:$C,H150)</f>
        <v>7</v>
      </c>
      <c r="J150" s="79" t="n">
        <f aca="false">INDEX(Forecast_Walkforward!$E:$E,H150)</f>
        <v>8.25</v>
      </c>
      <c r="K150" s="33" t="n">
        <f aca="false">Baseline_Weeks*J150</f>
        <v>33</v>
      </c>
      <c r="L150" s="46" t="n">
        <f aca="false">SUMIFS(P$149:P149,$B$149:$B149,$B150-$D150)</f>
        <v>0</v>
      </c>
      <c r="M150" s="46" t="n">
        <f aca="false">S149+L150</f>
        <v>33</v>
      </c>
      <c r="N150" s="46" t="n">
        <f aca="false">SUMIFS(P$149:P149,$B$149:$B149,"&gt;"&amp;($B150-$D150))</f>
        <v>0</v>
      </c>
      <c r="O150" s="46" t="n">
        <f aca="false">M150+N150</f>
        <v>33</v>
      </c>
      <c r="P150" s="47" t="n">
        <f aca="false">IF(O150&lt;K150,ROUNDUP((K150-O150)/G150,0)*G150,0)</f>
        <v>0</v>
      </c>
      <c r="Q150" s="46" t="n">
        <f aca="false">MIN(M150,I150)</f>
        <v>7</v>
      </c>
      <c r="R150" s="46" t="n">
        <f aca="false">I150-Q150</f>
        <v>0</v>
      </c>
      <c r="S150" s="46" t="n">
        <f aca="false">M150-Q150</f>
        <v>26</v>
      </c>
      <c r="T150" s="46" t="n">
        <f aca="false">IF(R150&gt;0,1,0)</f>
        <v>0</v>
      </c>
      <c r="U150" s="32" t="n">
        <f aca="false">INDEX(Forecast!$AY$7:$AY$54,C150)</f>
        <v>3</v>
      </c>
      <c r="V150" s="33" t="n">
        <f aca="false">CHOOSE(U150,INDEX(Forecast_Walkforward!$D:$D,H150),INDEX(Forecast_Walkforward!$E:$E,H150),INDEX(Forecast_Walkforward!$F:$F,H150),INDEX(Forecast_Walkforward!$G:$G,H150))</f>
        <v>7.5</v>
      </c>
      <c r="W150" s="79" t="n">
        <f aca="false">INDEX(Forecast!$BA$7:$BA$54,C150)</f>
        <v>2.9568714788282</v>
      </c>
      <c r="X150" s="33" t="n">
        <f aca="false">Z_Value*W150*SQRT(D150)</f>
        <v>6.87819846419606</v>
      </c>
      <c r="Y150" s="33" t="n">
        <f aca="false">V150*D150+X150</f>
        <v>21.8781984641961</v>
      </c>
      <c r="Z150" s="33" t="n">
        <f aca="false">SQRT((2*V150*Weeks_Per_Year*F150)/(E150*Holding_Rate))</f>
        <v>42.840332837725</v>
      </c>
      <c r="AA150" s="46" t="n">
        <f aca="false">ROUNDUP(Z150/G150,0)*G150</f>
        <v>43</v>
      </c>
      <c r="AB150" s="46" t="n">
        <f aca="false">SUMIFS(AF$149:AF149,$B$149:$B149,$B150-$D150)</f>
        <v>0</v>
      </c>
      <c r="AC150" s="46" t="n">
        <f aca="false">AI149+AB150</f>
        <v>33</v>
      </c>
      <c r="AD150" s="46" t="n">
        <f aca="false">SUMIFS(AF$149:AF149,$B$149:$B149,"&gt;"&amp;($B150-$D150))</f>
        <v>0</v>
      </c>
      <c r="AE150" s="46" t="n">
        <f aca="false">AC150+AD150</f>
        <v>33</v>
      </c>
      <c r="AF150" s="47" t="n">
        <f aca="false">IF(AE150&lt;=Y150,AA150,0)</f>
        <v>0</v>
      </c>
      <c r="AG150" s="46" t="n">
        <f aca="false">MIN(AC150,I150)</f>
        <v>7</v>
      </c>
      <c r="AH150" s="46" t="n">
        <f aca="false">I150-AG150</f>
        <v>0</v>
      </c>
      <c r="AI150" s="46" t="n">
        <f aca="false">AC150-AG150</f>
        <v>26</v>
      </c>
      <c r="AJ150" s="46" t="n">
        <f aca="false">IF(AH150&gt;0,1,0)</f>
        <v>0</v>
      </c>
    </row>
    <row r="151" customFormat="false" ht="15" hidden="false" customHeight="false" outlineLevel="0" collapsed="false">
      <c r="A151" s="31" t="str">
        <f aca="false">Inputs!$B$46</f>
        <v>KIT-007</v>
      </c>
      <c r="B151" s="46" t="n">
        <f aca="false">B150+1</f>
        <v>91</v>
      </c>
      <c r="C151" s="46" t="n">
        <f aca="false">MATCH(A151,Inputs!$B$40:$B$87,0)</f>
        <v>7</v>
      </c>
      <c r="D151" s="32" t="n">
        <f aca="false">INDEX(Inputs!$F$40:$F$87,C151)</f>
        <v>2</v>
      </c>
      <c r="E151" s="78" t="n">
        <f aca="false">INDEX(Inputs!$H$40:$H$87,C151)</f>
        <v>85</v>
      </c>
      <c r="F151" s="78" t="n">
        <f aca="false">INDEX(Inputs!$G$40:$G$87,C151)</f>
        <v>40</v>
      </c>
      <c r="G151" s="32" t="n">
        <f aca="false">INDEX(Inputs!$I$40:$I$87,C151)</f>
        <v>1</v>
      </c>
      <c r="H151" s="46" t="n">
        <f aca="false">MATCH(A151,Demand_History!$C:$C,0)+B151-1</f>
        <v>716</v>
      </c>
      <c r="I151" s="32" t="n">
        <f aca="false">INDEX(Forecast_Walkforward!$C:$C,H151)</f>
        <v>7</v>
      </c>
      <c r="J151" s="79" t="n">
        <f aca="false">INDEX(Forecast_Walkforward!$E:$E,H151)</f>
        <v>8.25</v>
      </c>
      <c r="K151" s="33" t="n">
        <f aca="false">Baseline_Weeks*J151</f>
        <v>33</v>
      </c>
      <c r="L151" s="46" t="n">
        <f aca="false">SUMIFS(P$149:P150,$B$149:$B150,$B151-$D151)</f>
        <v>0</v>
      </c>
      <c r="M151" s="46" t="n">
        <f aca="false">S150+L151</f>
        <v>26</v>
      </c>
      <c r="N151" s="46" t="n">
        <f aca="false">SUMIFS(P$149:P150,$B$149:$B150,"&gt;"&amp;($B151-$D151))</f>
        <v>0</v>
      </c>
      <c r="O151" s="46" t="n">
        <f aca="false">M151+N151</f>
        <v>26</v>
      </c>
      <c r="P151" s="47" t="n">
        <f aca="false">IF(O151&lt;K151,ROUNDUP((K151-O151)/G151,0)*G151,0)</f>
        <v>7</v>
      </c>
      <c r="Q151" s="46" t="n">
        <f aca="false">MIN(M151,I151)</f>
        <v>7</v>
      </c>
      <c r="R151" s="46" t="n">
        <f aca="false">I151-Q151</f>
        <v>0</v>
      </c>
      <c r="S151" s="46" t="n">
        <f aca="false">M151-Q151</f>
        <v>19</v>
      </c>
      <c r="T151" s="46" t="n">
        <f aca="false">IF(R151&gt;0,1,0)</f>
        <v>0</v>
      </c>
      <c r="U151" s="32" t="n">
        <f aca="false">INDEX(Forecast!$AY$7:$AY$54,C151)</f>
        <v>3</v>
      </c>
      <c r="V151" s="33" t="n">
        <f aca="false">CHOOSE(U151,INDEX(Forecast_Walkforward!$D:$D,H151),INDEX(Forecast_Walkforward!$E:$E,H151),INDEX(Forecast_Walkforward!$F:$F,H151),INDEX(Forecast_Walkforward!$G:$G,H151))</f>
        <v>7.875</v>
      </c>
      <c r="W151" s="79" t="n">
        <f aca="false">INDEX(Forecast!$BA$7:$BA$54,C151)</f>
        <v>2.9568714788282</v>
      </c>
      <c r="X151" s="33" t="n">
        <f aca="false">Z_Value*W151*SQRT(D151)</f>
        <v>6.87819846419606</v>
      </c>
      <c r="Y151" s="33" t="n">
        <f aca="false">V151*D151+X151</f>
        <v>22.6281984641961</v>
      </c>
      <c r="Z151" s="33" t="n">
        <f aca="false">SQRT((2*V151*Weeks_Per_Year*F151)/(E151*Holding_Rate))</f>
        <v>43.898278138549</v>
      </c>
      <c r="AA151" s="46" t="n">
        <f aca="false">ROUNDUP(Z151/G151,0)*G151</f>
        <v>44</v>
      </c>
      <c r="AB151" s="46" t="n">
        <f aca="false">SUMIFS(AF$149:AF150,$B$149:$B150,$B151-$D151)</f>
        <v>0</v>
      </c>
      <c r="AC151" s="46" t="n">
        <f aca="false">AI150+AB151</f>
        <v>26</v>
      </c>
      <c r="AD151" s="46" t="n">
        <f aca="false">SUMIFS(AF$149:AF150,$B$149:$B150,"&gt;"&amp;($B151-$D151))</f>
        <v>0</v>
      </c>
      <c r="AE151" s="46" t="n">
        <f aca="false">AC151+AD151</f>
        <v>26</v>
      </c>
      <c r="AF151" s="47" t="n">
        <f aca="false">IF(AE151&lt;=Y151,AA151,0)</f>
        <v>0</v>
      </c>
      <c r="AG151" s="46" t="n">
        <f aca="false">MIN(AC151,I151)</f>
        <v>7</v>
      </c>
      <c r="AH151" s="46" t="n">
        <f aca="false">I151-AG151</f>
        <v>0</v>
      </c>
      <c r="AI151" s="46" t="n">
        <f aca="false">AC151-AG151</f>
        <v>19</v>
      </c>
      <c r="AJ151" s="46" t="n">
        <f aca="false">IF(AH151&gt;0,1,0)</f>
        <v>0</v>
      </c>
    </row>
    <row r="152" customFormat="false" ht="15" hidden="false" customHeight="false" outlineLevel="0" collapsed="false">
      <c r="A152" s="31" t="str">
        <f aca="false">Inputs!$B$46</f>
        <v>KIT-007</v>
      </c>
      <c r="B152" s="46" t="n">
        <f aca="false">B151+1</f>
        <v>92</v>
      </c>
      <c r="C152" s="46" t="n">
        <f aca="false">MATCH(A152,Inputs!$B$40:$B$87,0)</f>
        <v>7</v>
      </c>
      <c r="D152" s="32" t="n">
        <f aca="false">INDEX(Inputs!$F$40:$F$87,C152)</f>
        <v>2</v>
      </c>
      <c r="E152" s="78" t="n">
        <f aca="false">INDEX(Inputs!$H$40:$H$87,C152)</f>
        <v>85</v>
      </c>
      <c r="F152" s="78" t="n">
        <f aca="false">INDEX(Inputs!$G$40:$G$87,C152)</f>
        <v>40</v>
      </c>
      <c r="G152" s="32" t="n">
        <f aca="false">INDEX(Inputs!$I$40:$I$87,C152)</f>
        <v>1</v>
      </c>
      <c r="H152" s="46" t="n">
        <f aca="false">MATCH(A152,Demand_History!$C:$C,0)+B152-1</f>
        <v>717</v>
      </c>
      <c r="I152" s="32" t="n">
        <f aca="false">INDEX(Forecast_Walkforward!$C:$C,H152)</f>
        <v>11</v>
      </c>
      <c r="J152" s="79" t="n">
        <f aca="false">INDEX(Forecast_Walkforward!$E:$E,H152)</f>
        <v>7</v>
      </c>
      <c r="K152" s="33" t="n">
        <f aca="false">Baseline_Weeks*J152</f>
        <v>28</v>
      </c>
      <c r="L152" s="46" t="n">
        <f aca="false">SUMIFS(P$149:P151,$B$149:$B151,$B152-$D152)</f>
        <v>0</v>
      </c>
      <c r="M152" s="46" t="n">
        <f aca="false">S151+L152</f>
        <v>19</v>
      </c>
      <c r="N152" s="46" t="n">
        <f aca="false">SUMIFS(P$149:P151,$B$149:$B151,"&gt;"&amp;($B152-$D152))</f>
        <v>7</v>
      </c>
      <c r="O152" s="46" t="n">
        <f aca="false">M152+N152</f>
        <v>26</v>
      </c>
      <c r="P152" s="47" t="n">
        <f aca="false">IF(O152&lt;K152,ROUNDUP((K152-O152)/G152,0)*G152,0)</f>
        <v>2</v>
      </c>
      <c r="Q152" s="46" t="n">
        <f aca="false">MIN(M152,I152)</f>
        <v>11</v>
      </c>
      <c r="R152" s="46" t="n">
        <f aca="false">I152-Q152</f>
        <v>0</v>
      </c>
      <c r="S152" s="46" t="n">
        <f aca="false">M152-Q152</f>
        <v>8</v>
      </c>
      <c r="T152" s="46" t="n">
        <f aca="false">IF(R152&gt;0,1,0)</f>
        <v>0</v>
      </c>
      <c r="U152" s="32" t="n">
        <f aca="false">INDEX(Forecast!$AY$7:$AY$54,C152)</f>
        <v>3</v>
      </c>
      <c r="V152" s="33" t="n">
        <f aca="false">CHOOSE(U152,INDEX(Forecast_Walkforward!$D:$D,H152),INDEX(Forecast_Walkforward!$E:$E,H152),INDEX(Forecast_Walkforward!$F:$F,H152),INDEX(Forecast_Walkforward!$G:$G,H152))</f>
        <v>7.75</v>
      </c>
      <c r="W152" s="79" t="n">
        <f aca="false">INDEX(Forecast!$BA$7:$BA$54,C152)</f>
        <v>2.9568714788282</v>
      </c>
      <c r="X152" s="33" t="n">
        <f aca="false">Z_Value*W152*SQRT(D152)</f>
        <v>6.87819846419606</v>
      </c>
      <c r="Y152" s="33" t="n">
        <f aca="false">V152*D152+X152</f>
        <v>22.3781984641961</v>
      </c>
      <c r="Z152" s="33" t="n">
        <f aca="false">SQRT((2*V152*Weeks_Per_Year*F152)/(E152*Holding_Rate))</f>
        <v>43.5484854872738</v>
      </c>
      <c r="AA152" s="46" t="n">
        <f aca="false">ROUNDUP(Z152/G152,0)*G152</f>
        <v>44</v>
      </c>
      <c r="AB152" s="46" t="n">
        <f aca="false">SUMIFS(AF$149:AF151,$B$149:$B151,$B152-$D152)</f>
        <v>0</v>
      </c>
      <c r="AC152" s="46" t="n">
        <f aca="false">AI151+AB152</f>
        <v>19</v>
      </c>
      <c r="AD152" s="46" t="n">
        <f aca="false">SUMIFS(AF$149:AF151,$B$149:$B151,"&gt;"&amp;($B152-$D152))</f>
        <v>0</v>
      </c>
      <c r="AE152" s="46" t="n">
        <f aca="false">AC152+AD152</f>
        <v>19</v>
      </c>
      <c r="AF152" s="47" t="n">
        <f aca="false">IF(AE152&lt;=Y152,AA152,0)</f>
        <v>44</v>
      </c>
      <c r="AG152" s="46" t="n">
        <f aca="false">MIN(AC152,I152)</f>
        <v>11</v>
      </c>
      <c r="AH152" s="46" t="n">
        <f aca="false">I152-AG152</f>
        <v>0</v>
      </c>
      <c r="AI152" s="46" t="n">
        <f aca="false">AC152-AG152</f>
        <v>8</v>
      </c>
      <c r="AJ152" s="46" t="n">
        <f aca="false">IF(AH152&gt;0,1,0)</f>
        <v>0</v>
      </c>
    </row>
    <row r="153" customFormat="false" ht="15" hidden="false" customHeight="false" outlineLevel="0" collapsed="false">
      <c r="A153" s="31" t="str">
        <f aca="false">Inputs!$B$46</f>
        <v>KIT-007</v>
      </c>
      <c r="B153" s="46" t="n">
        <f aca="false">B152+1</f>
        <v>93</v>
      </c>
      <c r="C153" s="46" t="n">
        <f aca="false">MATCH(A153,Inputs!$B$40:$B$87,0)</f>
        <v>7</v>
      </c>
      <c r="D153" s="32" t="n">
        <f aca="false">INDEX(Inputs!$F$40:$F$87,C153)</f>
        <v>2</v>
      </c>
      <c r="E153" s="78" t="n">
        <f aca="false">INDEX(Inputs!$H$40:$H$87,C153)</f>
        <v>85</v>
      </c>
      <c r="F153" s="78" t="n">
        <f aca="false">INDEX(Inputs!$G$40:$G$87,C153)</f>
        <v>40</v>
      </c>
      <c r="G153" s="32" t="n">
        <f aca="false">INDEX(Inputs!$I$40:$I$87,C153)</f>
        <v>1</v>
      </c>
      <c r="H153" s="46" t="n">
        <f aca="false">MATCH(A153,Demand_History!$C:$C,0)+B153-1</f>
        <v>718</v>
      </c>
      <c r="I153" s="32" t="n">
        <f aca="false">INDEX(Forecast_Walkforward!$C:$C,H153)</f>
        <v>6</v>
      </c>
      <c r="J153" s="79" t="n">
        <f aca="false">INDEX(Forecast_Walkforward!$E:$E,H153)</f>
        <v>8.5</v>
      </c>
      <c r="K153" s="33" t="n">
        <f aca="false">Baseline_Weeks*J153</f>
        <v>34</v>
      </c>
      <c r="L153" s="46" t="n">
        <f aca="false">SUMIFS(P$149:P152,$B$149:$B152,$B153-$D153)</f>
        <v>7</v>
      </c>
      <c r="M153" s="46" t="n">
        <f aca="false">S152+L153</f>
        <v>15</v>
      </c>
      <c r="N153" s="46" t="n">
        <f aca="false">SUMIFS(P$149:P152,$B$149:$B152,"&gt;"&amp;($B153-$D153))</f>
        <v>2</v>
      </c>
      <c r="O153" s="46" t="n">
        <f aca="false">M153+N153</f>
        <v>17</v>
      </c>
      <c r="P153" s="47" t="n">
        <f aca="false">IF(O153&lt;K153,ROUNDUP((K153-O153)/G153,0)*G153,0)</f>
        <v>17</v>
      </c>
      <c r="Q153" s="46" t="n">
        <f aca="false">MIN(M153,I153)</f>
        <v>6</v>
      </c>
      <c r="R153" s="46" t="n">
        <f aca="false">I153-Q153</f>
        <v>0</v>
      </c>
      <c r="S153" s="46" t="n">
        <f aca="false">M153-Q153</f>
        <v>9</v>
      </c>
      <c r="T153" s="46" t="n">
        <f aca="false">IF(R153&gt;0,1,0)</f>
        <v>0</v>
      </c>
      <c r="U153" s="32" t="n">
        <f aca="false">INDEX(Forecast!$AY$7:$AY$54,C153)</f>
        <v>3</v>
      </c>
      <c r="V153" s="33" t="n">
        <f aca="false">CHOOSE(U153,INDEX(Forecast_Walkforward!$D:$D,H153),INDEX(Forecast_Walkforward!$E:$E,H153),INDEX(Forecast_Walkforward!$F:$F,H153),INDEX(Forecast_Walkforward!$G:$G,H153))</f>
        <v>8.5</v>
      </c>
      <c r="W153" s="79" t="n">
        <f aca="false">INDEX(Forecast!$BA$7:$BA$54,C153)</f>
        <v>2.9568714788282</v>
      </c>
      <c r="X153" s="33" t="n">
        <f aca="false">Z_Value*W153*SQRT(D153)</f>
        <v>6.87819846419606</v>
      </c>
      <c r="Y153" s="33" t="n">
        <f aca="false">V153*D153+X153</f>
        <v>23.8781984641961</v>
      </c>
      <c r="Z153" s="33" t="n">
        <f aca="false">SQRT((2*V153*Weeks_Per_Year*F153)/(E153*Holding_Rate))</f>
        <v>45.6070170039655</v>
      </c>
      <c r="AA153" s="46" t="n">
        <f aca="false">ROUNDUP(Z153/G153,0)*G153</f>
        <v>46</v>
      </c>
      <c r="AB153" s="46" t="n">
        <f aca="false">SUMIFS(AF$149:AF152,$B$149:$B152,$B153-$D153)</f>
        <v>0</v>
      </c>
      <c r="AC153" s="46" t="n">
        <f aca="false">AI152+AB153</f>
        <v>8</v>
      </c>
      <c r="AD153" s="46" t="n">
        <f aca="false">SUMIFS(AF$149:AF152,$B$149:$B152,"&gt;"&amp;($B153-$D153))</f>
        <v>44</v>
      </c>
      <c r="AE153" s="46" t="n">
        <f aca="false">AC153+AD153</f>
        <v>52</v>
      </c>
      <c r="AF153" s="47" t="n">
        <f aca="false">IF(AE153&lt;=Y153,AA153,0)</f>
        <v>0</v>
      </c>
      <c r="AG153" s="46" t="n">
        <f aca="false">MIN(AC153,I153)</f>
        <v>6</v>
      </c>
      <c r="AH153" s="46" t="n">
        <f aca="false">I153-AG153</f>
        <v>0</v>
      </c>
      <c r="AI153" s="46" t="n">
        <f aca="false">AC153-AG153</f>
        <v>2</v>
      </c>
      <c r="AJ153" s="46" t="n">
        <f aca="false">IF(AH153&gt;0,1,0)</f>
        <v>0</v>
      </c>
    </row>
    <row r="154" customFormat="false" ht="15" hidden="false" customHeight="false" outlineLevel="0" collapsed="false">
      <c r="A154" s="31" t="str">
        <f aca="false">Inputs!$B$46</f>
        <v>KIT-007</v>
      </c>
      <c r="B154" s="46" t="n">
        <f aca="false">B153+1</f>
        <v>94</v>
      </c>
      <c r="C154" s="46" t="n">
        <f aca="false">MATCH(A154,Inputs!$B$40:$B$87,0)</f>
        <v>7</v>
      </c>
      <c r="D154" s="32" t="n">
        <f aca="false">INDEX(Inputs!$F$40:$F$87,C154)</f>
        <v>2</v>
      </c>
      <c r="E154" s="78" t="n">
        <f aca="false">INDEX(Inputs!$H$40:$H$87,C154)</f>
        <v>85</v>
      </c>
      <c r="F154" s="78" t="n">
        <f aca="false">INDEX(Inputs!$G$40:$G$87,C154)</f>
        <v>40</v>
      </c>
      <c r="G154" s="32" t="n">
        <f aca="false">INDEX(Inputs!$I$40:$I$87,C154)</f>
        <v>1</v>
      </c>
      <c r="H154" s="46" t="n">
        <f aca="false">MATCH(A154,Demand_History!$C:$C,0)+B154-1</f>
        <v>719</v>
      </c>
      <c r="I154" s="32" t="n">
        <f aca="false">INDEX(Forecast_Walkforward!$C:$C,H154)</f>
        <v>4</v>
      </c>
      <c r="J154" s="79" t="n">
        <f aca="false">INDEX(Forecast_Walkforward!$E:$E,H154)</f>
        <v>7.75</v>
      </c>
      <c r="K154" s="33" t="n">
        <f aca="false">Baseline_Weeks*J154</f>
        <v>31</v>
      </c>
      <c r="L154" s="46" t="n">
        <f aca="false">SUMIFS(P$149:P153,$B$149:$B153,$B154-$D154)</f>
        <v>2</v>
      </c>
      <c r="M154" s="46" t="n">
        <f aca="false">S153+L154</f>
        <v>11</v>
      </c>
      <c r="N154" s="46" t="n">
        <f aca="false">SUMIFS(P$149:P153,$B$149:$B153,"&gt;"&amp;($B154-$D154))</f>
        <v>17</v>
      </c>
      <c r="O154" s="46" t="n">
        <f aca="false">M154+N154</f>
        <v>28</v>
      </c>
      <c r="P154" s="47" t="n">
        <f aca="false">IF(O154&lt;K154,ROUNDUP((K154-O154)/G154,0)*G154,0)</f>
        <v>3</v>
      </c>
      <c r="Q154" s="46" t="n">
        <f aca="false">MIN(M154,I154)</f>
        <v>4</v>
      </c>
      <c r="R154" s="46" t="n">
        <f aca="false">I154-Q154</f>
        <v>0</v>
      </c>
      <c r="S154" s="46" t="n">
        <f aca="false">M154-Q154</f>
        <v>7</v>
      </c>
      <c r="T154" s="46" t="n">
        <f aca="false">IF(R154&gt;0,1,0)</f>
        <v>0</v>
      </c>
      <c r="U154" s="32" t="n">
        <f aca="false">INDEX(Forecast!$AY$7:$AY$54,C154)</f>
        <v>3</v>
      </c>
      <c r="V154" s="33" t="n">
        <f aca="false">CHOOSE(U154,INDEX(Forecast_Walkforward!$D:$D,H154),INDEX(Forecast_Walkforward!$E:$E,H154),INDEX(Forecast_Walkforward!$F:$F,H154),INDEX(Forecast_Walkforward!$G:$G,H154))</f>
        <v>8</v>
      </c>
      <c r="W154" s="79" t="n">
        <f aca="false">INDEX(Forecast!$BA$7:$BA$54,C154)</f>
        <v>2.9568714788282</v>
      </c>
      <c r="X154" s="33" t="n">
        <f aca="false">Z_Value*W154*SQRT(D154)</f>
        <v>6.87819846419606</v>
      </c>
      <c r="Y154" s="33" t="n">
        <f aca="false">V154*D154+X154</f>
        <v>22.8781984641961</v>
      </c>
      <c r="Z154" s="33" t="n">
        <f aca="false">SQRT((2*V154*Weeks_Per_Year*F154)/(E154*Holding_Rate))</f>
        <v>44.2453055003978</v>
      </c>
      <c r="AA154" s="46" t="n">
        <f aca="false">ROUNDUP(Z154/G154,0)*G154</f>
        <v>45</v>
      </c>
      <c r="AB154" s="46" t="n">
        <f aca="false">SUMIFS(AF$149:AF153,$B$149:$B153,$B154-$D154)</f>
        <v>44</v>
      </c>
      <c r="AC154" s="46" t="n">
        <f aca="false">AI153+AB154</f>
        <v>46</v>
      </c>
      <c r="AD154" s="46" t="n">
        <f aca="false">SUMIFS(AF$149:AF153,$B$149:$B153,"&gt;"&amp;($B154-$D154))</f>
        <v>0</v>
      </c>
      <c r="AE154" s="46" t="n">
        <f aca="false">AC154+AD154</f>
        <v>46</v>
      </c>
      <c r="AF154" s="47" t="n">
        <f aca="false">IF(AE154&lt;=Y154,AA154,0)</f>
        <v>0</v>
      </c>
      <c r="AG154" s="46" t="n">
        <f aca="false">MIN(AC154,I154)</f>
        <v>4</v>
      </c>
      <c r="AH154" s="46" t="n">
        <f aca="false">I154-AG154</f>
        <v>0</v>
      </c>
      <c r="AI154" s="46" t="n">
        <f aca="false">AC154-AG154</f>
        <v>42</v>
      </c>
      <c r="AJ154" s="46" t="n">
        <f aca="false">IF(AH154&gt;0,1,0)</f>
        <v>0</v>
      </c>
    </row>
    <row r="155" customFormat="false" ht="15" hidden="false" customHeight="false" outlineLevel="0" collapsed="false">
      <c r="A155" s="31" t="str">
        <f aca="false">Inputs!$B$46</f>
        <v>KIT-007</v>
      </c>
      <c r="B155" s="46" t="n">
        <f aca="false">B154+1</f>
        <v>95</v>
      </c>
      <c r="C155" s="46" t="n">
        <f aca="false">MATCH(A155,Inputs!$B$40:$B$87,0)</f>
        <v>7</v>
      </c>
      <c r="D155" s="32" t="n">
        <f aca="false">INDEX(Inputs!$F$40:$F$87,C155)</f>
        <v>2</v>
      </c>
      <c r="E155" s="78" t="n">
        <f aca="false">INDEX(Inputs!$H$40:$H$87,C155)</f>
        <v>85</v>
      </c>
      <c r="F155" s="78" t="n">
        <f aca="false">INDEX(Inputs!$G$40:$G$87,C155)</f>
        <v>40</v>
      </c>
      <c r="G155" s="32" t="n">
        <f aca="false">INDEX(Inputs!$I$40:$I$87,C155)</f>
        <v>1</v>
      </c>
      <c r="H155" s="46" t="n">
        <f aca="false">MATCH(A155,Demand_History!$C:$C,0)+B155-1</f>
        <v>720</v>
      </c>
      <c r="I155" s="32" t="n">
        <f aca="false">INDEX(Forecast_Walkforward!$C:$C,H155)</f>
        <v>7</v>
      </c>
      <c r="J155" s="79" t="n">
        <f aca="false">INDEX(Forecast_Walkforward!$E:$E,H155)</f>
        <v>7</v>
      </c>
      <c r="K155" s="33" t="n">
        <f aca="false">Baseline_Weeks*J155</f>
        <v>28</v>
      </c>
      <c r="L155" s="46" t="n">
        <f aca="false">SUMIFS(P$149:P154,$B$149:$B154,$B155-$D155)</f>
        <v>17</v>
      </c>
      <c r="M155" s="46" t="n">
        <f aca="false">S154+L155</f>
        <v>24</v>
      </c>
      <c r="N155" s="46" t="n">
        <f aca="false">SUMIFS(P$149:P154,$B$149:$B154,"&gt;"&amp;($B155-$D155))</f>
        <v>3</v>
      </c>
      <c r="O155" s="46" t="n">
        <f aca="false">M155+N155</f>
        <v>27</v>
      </c>
      <c r="P155" s="47" t="n">
        <f aca="false">IF(O155&lt;K155,ROUNDUP((K155-O155)/G155,0)*G155,0)</f>
        <v>1</v>
      </c>
      <c r="Q155" s="46" t="n">
        <f aca="false">MIN(M155,I155)</f>
        <v>7</v>
      </c>
      <c r="R155" s="46" t="n">
        <f aca="false">I155-Q155</f>
        <v>0</v>
      </c>
      <c r="S155" s="46" t="n">
        <f aca="false">M155-Q155</f>
        <v>17</v>
      </c>
      <c r="T155" s="46" t="n">
        <f aca="false">IF(R155&gt;0,1,0)</f>
        <v>0</v>
      </c>
      <c r="U155" s="32" t="n">
        <f aca="false">INDEX(Forecast!$AY$7:$AY$54,C155)</f>
        <v>3</v>
      </c>
      <c r="V155" s="33" t="n">
        <f aca="false">CHOOSE(U155,INDEX(Forecast_Walkforward!$D:$D,H155),INDEX(Forecast_Walkforward!$E:$E,H155),INDEX(Forecast_Walkforward!$F:$F,H155),INDEX(Forecast_Walkforward!$G:$G,H155))</f>
        <v>7.625</v>
      </c>
      <c r="W155" s="79" t="n">
        <f aca="false">INDEX(Forecast!$BA$7:$BA$54,C155)</f>
        <v>2.9568714788282</v>
      </c>
      <c r="X155" s="33" t="n">
        <f aca="false">Z_Value*W155*SQRT(D155)</f>
        <v>6.87819846419606</v>
      </c>
      <c r="Y155" s="33" t="n">
        <f aca="false">V155*D155+X155</f>
        <v>22.1281984641961</v>
      </c>
      <c r="Z155" s="33" t="n">
        <f aca="false">SQRT((2*V155*Weeks_Per_Year*F155)/(E155*Holding_Rate))</f>
        <v>43.1958603681091</v>
      </c>
      <c r="AA155" s="46" t="n">
        <f aca="false">ROUNDUP(Z155/G155,0)*G155</f>
        <v>44</v>
      </c>
      <c r="AB155" s="46" t="n">
        <f aca="false">SUMIFS(AF$149:AF154,$B$149:$B154,$B155-$D155)</f>
        <v>0</v>
      </c>
      <c r="AC155" s="46" t="n">
        <f aca="false">AI154+AB155</f>
        <v>42</v>
      </c>
      <c r="AD155" s="46" t="n">
        <f aca="false">SUMIFS(AF$149:AF154,$B$149:$B154,"&gt;"&amp;($B155-$D155))</f>
        <v>0</v>
      </c>
      <c r="AE155" s="46" t="n">
        <f aca="false">AC155+AD155</f>
        <v>42</v>
      </c>
      <c r="AF155" s="47" t="n">
        <f aca="false">IF(AE155&lt;=Y155,AA155,0)</f>
        <v>0</v>
      </c>
      <c r="AG155" s="46" t="n">
        <f aca="false">MIN(AC155,I155)</f>
        <v>7</v>
      </c>
      <c r="AH155" s="46" t="n">
        <f aca="false">I155-AG155</f>
        <v>0</v>
      </c>
      <c r="AI155" s="46" t="n">
        <f aca="false">AC155-AG155</f>
        <v>35</v>
      </c>
      <c r="AJ155" s="46" t="n">
        <f aca="false">IF(AH155&gt;0,1,0)</f>
        <v>0</v>
      </c>
    </row>
    <row r="156" customFormat="false" ht="15" hidden="false" customHeight="false" outlineLevel="0" collapsed="false">
      <c r="A156" s="31" t="str">
        <f aca="false">Inputs!$B$46</f>
        <v>KIT-007</v>
      </c>
      <c r="B156" s="46" t="n">
        <f aca="false">B155+1</f>
        <v>96</v>
      </c>
      <c r="C156" s="46" t="n">
        <f aca="false">MATCH(A156,Inputs!$B$40:$B$87,0)</f>
        <v>7</v>
      </c>
      <c r="D156" s="32" t="n">
        <f aca="false">INDEX(Inputs!$F$40:$F$87,C156)</f>
        <v>2</v>
      </c>
      <c r="E156" s="78" t="n">
        <f aca="false">INDEX(Inputs!$H$40:$H$87,C156)</f>
        <v>85</v>
      </c>
      <c r="F156" s="78" t="n">
        <f aca="false">INDEX(Inputs!$G$40:$G$87,C156)</f>
        <v>40</v>
      </c>
      <c r="G156" s="32" t="n">
        <f aca="false">INDEX(Inputs!$I$40:$I$87,C156)</f>
        <v>1</v>
      </c>
      <c r="H156" s="46" t="n">
        <f aca="false">MATCH(A156,Demand_History!$C:$C,0)+B156-1</f>
        <v>721</v>
      </c>
      <c r="I156" s="32" t="n">
        <f aca="false">INDEX(Forecast_Walkforward!$C:$C,H156)</f>
        <v>7</v>
      </c>
      <c r="J156" s="79" t="n">
        <f aca="false">INDEX(Forecast_Walkforward!$E:$E,H156)</f>
        <v>7</v>
      </c>
      <c r="K156" s="33" t="n">
        <f aca="false">Baseline_Weeks*J156</f>
        <v>28</v>
      </c>
      <c r="L156" s="46" t="n">
        <f aca="false">SUMIFS(P$149:P155,$B$149:$B155,$B156-$D156)</f>
        <v>3</v>
      </c>
      <c r="M156" s="46" t="n">
        <f aca="false">S155+L156</f>
        <v>20</v>
      </c>
      <c r="N156" s="46" t="n">
        <f aca="false">SUMIFS(P$149:P155,$B$149:$B155,"&gt;"&amp;($B156-$D156))</f>
        <v>1</v>
      </c>
      <c r="O156" s="46" t="n">
        <f aca="false">M156+N156</f>
        <v>21</v>
      </c>
      <c r="P156" s="47" t="n">
        <f aca="false">IF(O156&lt;K156,ROUNDUP((K156-O156)/G156,0)*G156,0)</f>
        <v>7</v>
      </c>
      <c r="Q156" s="46" t="n">
        <f aca="false">MIN(M156,I156)</f>
        <v>7</v>
      </c>
      <c r="R156" s="46" t="n">
        <f aca="false">I156-Q156</f>
        <v>0</v>
      </c>
      <c r="S156" s="46" t="n">
        <f aca="false">M156-Q156</f>
        <v>13</v>
      </c>
      <c r="T156" s="46" t="n">
        <f aca="false">IF(R156&gt;0,1,0)</f>
        <v>0</v>
      </c>
      <c r="U156" s="32" t="n">
        <f aca="false">INDEX(Forecast!$AY$7:$AY$54,C156)</f>
        <v>3</v>
      </c>
      <c r="V156" s="33" t="n">
        <f aca="false">CHOOSE(U156,INDEX(Forecast_Walkforward!$D:$D,H156),INDEX(Forecast_Walkforward!$E:$E,H156),INDEX(Forecast_Walkforward!$F:$F,H156),INDEX(Forecast_Walkforward!$G:$G,H156))</f>
        <v>7</v>
      </c>
      <c r="W156" s="79" t="n">
        <f aca="false">INDEX(Forecast!$BA$7:$BA$54,C156)</f>
        <v>2.9568714788282</v>
      </c>
      <c r="X156" s="33" t="n">
        <f aca="false">Z_Value*W156*SQRT(D156)</f>
        <v>6.87819846419606</v>
      </c>
      <c r="Y156" s="33" t="n">
        <f aca="false">V156*D156+X156</f>
        <v>20.8781984641961</v>
      </c>
      <c r="Z156" s="33" t="n">
        <f aca="false">SQRT((2*V156*Weeks_Per_Year*F156)/(E156*Holding_Rate))</f>
        <v>41.3876935389083</v>
      </c>
      <c r="AA156" s="46" t="n">
        <f aca="false">ROUNDUP(Z156/G156,0)*G156</f>
        <v>42</v>
      </c>
      <c r="AB156" s="46" t="n">
        <f aca="false">SUMIFS(AF$149:AF155,$B$149:$B155,$B156-$D156)</f>
        <v>0</v>
      </c>
      <c r="AC156" s="46" t="n">
        <f aca="false">AI155+AB156</f>
        <v>35</v>
      </c>
      <c r="AD156" s="46" t="n">
        <f aca="false">SUMIFS(AF$149:AF155,$B$149:$B155,"&gt;"&amp;($B156-$D156))</f>
        <v>0</v>
      </c>
      <c r="AE156" s="46" t="n">
        <f aca="false">AC156+AD156</f>
        <v>35</v>
      </c>
      <c r="AF156" s="47" t="n">
        <f aca="false">IF(AE156&lt;=Y156,AA156,0)</f>
        <v>0</v>
      </c>
      <c r="AG156" s="46" t="n">
        <f aca="false">MIN(AC156,I156)</f>
        <v>7</v>
      </c>
      <c r="AH156" s="46" t="n">
        <f aca="false">I156-AG156</f>
        <v>0</v>
      </c>
      <c r="AI156" s="46" t="n">
        <f aca="false">AC156-AG156</f>
        <v>28</v>
      </c>
      <c r="AJ156" s="46" t="n">
        <f aca="false">IF(AH156&gt;0,1,0)</f>
        <v>0</v>
      </c>
    </row>
    <row r="157" customFormat="false" ht="15" hidden="false" customHeight="false" outlineLevel="0" collapsed="false">
      <c r="A157" s="31" t="str">
        <f aca="false">Inputs!$B$46</f>
        <v>KIT-007</v>
      </c>
      <c r="B157" s="46" t="n">
        <f aca="false">B156+1</f>
        <v>97</v>
      </c>
      <c r="C157" s="46" t="n">
        <f aca="false">MATCH(A157,Inputs!$B$40:$B$87,0)</f>
        <v>7</v>
      </c>
      <c r="D157" s="32" t="n">
        <f aca="false">INDEX(Inputs!$F$40:$F$87,C157)</f>
        <v>2</v>
      </c>
      <c r="E157" s="78" t="n">
        <f aca="false">INDEX(Inputs!$H$40:$H$87,C157)</f>
        <v>85</v>
      </c>
      <c r="F157" s="78" t="n">
        <f aca="false">INDEX(Inputs!$G$40:$G$87,C157)</f>
        <v>40</v>
      </c>
      <c r="G157" s="32" t="n">
        <f aca="false">INDEX(Inputs!$I$40:$I$87,C157)</f>
        <v>1</v>
      </c>
      <c r="H157" s="46" t="n">
        <f aca="false">MATCH(A157,Demand_History!$C:$C,0)+B157-1</f>
        <v>722</v>
      </c>
      <c r="I157" s="32" t="n">
        <f aca="false">INDEX(Forecast_Walkforward!$C:$C,H157)</f>
        <v>12</v>
      </c>
      <c r="J157" s="79" t="n">
        <f aca="false">INDEX(Forecast_Walkforward!$E:$E,H157)</f>
        <v>6</v>
      </c>
      <c r="K157" s="33" t="n">
        <f aca="false">Baseline_Weeks*J157</f>
        <v>24</v>
      </c>
      <c r="L157" s="46" t="n">
        <f aca="false">SUMIFS(P$149:P156,$B$149:$B156,$B157-$D157)</f>
        <v>1</v>
      </c>
      <c r="M157" s="46" t="n">
        <f aca="false">S156+L157</f>
        <v>14</v>
      </c>
      <c r="N157" s="46" t="n">
        <f aca="false">SUMIFS(P$149:P156,$B$149:$B156,"&gt;"&amp;($B157-$D157))</f>
        <v>7</v>
      </c>
      <c r="O157" s="46" t="n">
        <f aca="false">M157+N157</f>
        <v>21</v>
      </c>
      <c r="P157" s="47" t="n">
        <f aca="false">IF(O157&lt;K157,ROUNDUP((K157-O157)/G157,0)*G157,0)</f>
        <v>3</v>
      </c>
      <c r="Q157" s="46" t="n">
        <f aca="false">MIN(M157,I157)</f>
        <v>12</v>
      </c>
      <c r="R157" s="46" t="n">
        <f aca="false">I157-Q157</f>
        <v>0</v>
      </c>
      <c r="S157" s="46" t="n">
        <f aca="false">M157-Q157</f>
        <v>2</v>
      </c>
      <c r="T157" s="46" t="n">
        <f aca="false">IF(R157&gt;0,1,0)</f>
        <v>0</v>
      </c>
      <c r="U157" s="32" t="n">
        <f aca="false">INDEX(Forecast!$AY$7:$AY$54,C157)</f>
        <v>3</v>
      </c>
      <c r="V157" s="33" t="n">
        <f aca="false">CHOOSE(U157,INDEX(Forecast_Walkforward!$D:$D,H157),INDEX(Forecast_Walkforward!$E:$E,H157),INDEX(Forecast_Walkforward!$F:$F,H157),INDEX(Forecast_Walkforward!$G:$G,H157))</f>
        <v>7.25</v>
      </c>
      <c r="W157" s="79" t="n">
        <f aca="false">INDEX(Forecast!$BA$7:$BA$54,C157)</f>
        <v>2.9568714788282</v>
      </c>
      <c r="X157" s="33" t="n">
        <f aca="false">Z_Value*W157*SQRT(D157)</f>
        <v>6.87819846419606</v>
      </c>
      <c r="Y157" s="33" t="n">
        <f aca="false">V157*D157+X157</f>
        <v>21.3781984641961</v>
      </c>
      <c r="Z157" s="33" t="n">
        <f aca="false">SQRT((2*V157*Weeks_Per_Year*F157)/(E157*Holding_Rate))</f>
        <v>42.1202759613327</v>
      </c>
      <c r="AA157" s="46" t="n">
        <f aca="false">ROUNDUP(Z157/G157,0)*G157</f>
        <v>43</v>
      </c>
      <c r="AB157" s="46" t="n">
        <f aca="false">SUMIFS(AF$149:AF156,$B$149:$B156,$B157-$D157)</f>
        <v>0</v>
      </c>
      <c r="AC157" s="46" t="n">
        <f aca="false">AI156+AB157</f>
        <v>28</v>
      </c>
      <c r="AD157" s="46" t="n">
        <f aca="false">SUMIFS(AF$149:AF156,$B$149:$B156,"&gt;"&amp;($B157-$D157))</f>
        <v>0</v>
      </c>
      <c r="AE157" s="46" t="n">
        <f aca="false">AC157+AD157</f>
        <v>28</v>
      </c>
      <c r="AF157" s="47" t="n">
        <f aca="false">IF(AE157&lt;=Y157,AA157,0)</f>
        <v>0</v>
      </c>
      <c r="AG157" s="46" t="n">
        <f aca="false">MIN(AC157,I157)</f>
        <v>12</v>
      </c>
      <c r="AH157" s="46" t="n">
        <f aca="false">I157-AG157</f>
        <v>0</v>
      </c>
      <c r="AI157" s="46" t="n">
        <f aca="false">AC157-AG157</f>
        <v>16</v>
      </c>
      <c r="AJ157" s="46" t="n">
        <f aca="false">IF(AH157&gt;0,1,0)</f>
        <v>0</v>
      </c>
    </row>
    <row r="158" customFormat="false" ht="15" hidden="false" customHeight="false" outlineLevel="0" collapsed="false">
      <c r="A158" s="31" t="str">
        <f aca="false">Inputs!$B$46</f>
        <v>KIT-007</v>
      </c>
      <c r="B158" s="46" t="n">
        <f aca="false">B157+1</f>
        <v>98</v>
      </c>
      <c r="C158" s="46" t="n">
        <f aca="false">MATCH(A158,Inputs!$B$40:$B$87,0)</f>
        <v>7</v>
      </c>
      <c r="D158" s="32" t="n">
        <f aca="false">INDEX(Inputs!$F$40:$F$87,C158)</f>
        <v>2</v>
      </c>
      <c r="E158" s="78" t="n">
        <f aca="false">INDEX(Inputs!$H$40:$H$87,C158)</f>
        <v>85</v>
      </c>
      <c r="F158" s="78" t="n">
        <f aca="false">INDEX(Inputs!$G$40:$G$87,C158)</f>
        <v>40</v>
      </c>
      <c r="G158" s="32" t="n">
        <f aca="false">INDEX(Inputs!$I$40:$I$87,C158)</f>
        <v>1</v>
      </c>
      <c r="H158" s="46" t="n">
        <f aca="false">MATCH(A158,Demand_History!$C:$C,0)+B158-1</f>
        <v>723</v>
      </c>
      <c r="I158" s="32" t="n">
        <f aca="false">INDEX(Forecast_Walkforward!$C:$C,H158)</f>
        <v>5</v>
      </c>
      <c r="J158" s="79" t="n">
        <f aca="false">INDEX(Forecast_Walkforward!$E:$E,H158)</f>
        <v>7.5</v>
      </c>
      <c r="K158" s="33" t="n">
        <f aca="false">Baseline_Weeks*J158</f>
        <v>30</v>
      </c>
      <c r="L158" s="46" t="n">
        <f aca="false">SUMIFS(P$149:P157,$B$149:$B157,$B158-$D158)</f>
        <v>7</v>
      </c>
      <c r="M158" s="46" t="n">
        <f aca="false">S157+L158</f>
        <v>9</v>
      </c>
      <c r="N158" s="46" t="n">
        <f aca="false">SUMIFS(P$149:P157,$B$149:$B157,"&gt;"&amp;($B158-$D158))</f>
        <v>3</v>
      </c>
      <c r="O158" s="46" t="n">
        <f aca="false">M158+N158</f>
        <v>12</v>
      </c>
      <c r="P158" s="47" t="n">
        <f aca="false">IF(O158&lt;K158,ROUNDUP((K158-O158)/G158,0)*G158,0)</f>
        <v>18</v>
      </c>
      <c r="Q158" s="46" t="n">
        <f aca="false">MIN(M158,I158)</f>
        <v>5</v>
      </c>
      <c r="R158" s="46" t="n">
        <f aca="false">I158-Q158</f>
        <v>0</v>
      </c>
      <c r="S158" s="46" t="n">
        <f aca="false">M158-Q158</f>
        <v>4</v>
      </c>
      <c r="T158" s="46" t="n">
        <f aca="false">IF(R158&gt;0,1,0)</f>
        <v>0</v>
      </c>
      <c r="U158" s="32" t="n">
        <f aca="false">INDEX(Forecast!$AY$7:$AY$54,C158)</f>
        <v>3</v>
      </c>
      <c r="V158" s="33" t="n">
        <f aca="false">CHOOSE(U158,INDEX(Forecast_Walkforward!$D:$D,H158),INDEX(Forecast_Walkforward!$E:$E,H158),INDEX(Forecast_Walkforward!$F:$F,H158),INDEX(Forecast_Walkforward!$G:$G,H158))</f>
        <v>7.625</v>
      </c>
      <c r="W158" s="79" t="n">
        <f aca="false">INDEX(Forecast!$BA$7:$BA$54,C158)</f>
        <v>2.9568714788282</v>
      </c>
      <c r="X158" s="33" t="n">
        <f aca="false">Z_Value*W158*SQRT(D158)</f>
        <v>6.87819846419606</v>
      </c>
      <c r="Y158" s="33" t="n">
        <f aca="false">V158*D158+X158</f>
        <v>22.1281984641961</v>
      </c>
      <c r="Z158" s="33" t="n">
        <f aca="false">SQRT((2*V158*Weeks_Per_Year*F158)/(E158*Holding_Rate))</f>
        <v>43.1958603681091</v>
      </c>
      <c r="AA158" s="46" t="n">
        <f aca="false">ROUNDUP(Z158/G158,0)*G158</f>
        <v>44</v>
      </c>
      <c r="AB158" s="46" t="n">
        <f aca="false">SUMIFS(AF$149:AF157,$B$149:$B157,$B158-$D158)</f>
        <v>0</v>
      </c>
      <c r="AC158" s="46" t="n">
        <f aca="false">AI157+AB158</f>
        <v>16</v>
      </c>
      <c r="AD158" s="46" t="n">
        <f aca="false">SUMIFS(AF$149:AF157,$B$149:$B157,"&gt;"&amp;($B158-$D158))</f>
        <v>0</v>
      </c>
      <c r="AE158" s="46" t="n">
        <f aca="false">AC158+AD158</f>
        <v>16</v>
      </c>
      <c r="AF158" s="47" t="n">
        <f aca="false">IF(AE158&lt;=Y158,AA158,0)</f>
        <v>44</v>
      </c>
      <c r="AG158" s="46" t="n">
        <f aca="false">MIN(AC158,I158)</f>
        <v>5</v>
      </c>
      <c r="AH158" s="46" t="n">
        <f aca="false">I158-AG158</f>
        <v>0</v>
      </c>
      <c r="AI158" s="46" t="n">
        <f aca="false">AC158-AG158</f>
        <v>11</v>
      </c>
      <c r="AJ158" s="46" t="n">
        <f aca="false">IF(AH158&gt;0,1,0)</f>
        <v>0</v>
      </c>
    </row>
    <row r="159" customFormat="false" ht="15" hidden="false" customHeight="false" outlineLevel="0" collapsed="false">
      <c r="A159" s="31" t="str">
        <f aca="false">Inputs!$B$46</f>
        <v>KIT-007</v>
      </c>
      <c r="B159" s="46" t="n">
        <f aca="false">B158+1</f>
        <v>99</v>
      </c>
      <c r="C159" s="46" t="n">
        <f aca="false">MATCH(A159,Inputs!$B$40:$B$87,0)</f>
        <v>7</v>
      </c>
      <c r="D159" s="32" t="n">
        <f aca="false">INDEX(Inputs!$F$40:$F$87,C159)</f>
        <v>2</v>
      </c>
      <c r="E159" s="78" t="n">
        <f aca="false">INDEX(Inputs!$H$40:$H$87,C159)</f>
        <v>85</v>
      </c>
      <c r="F159" s="78" t="n">
        <f aca="false">INDEX(Inputs!$G$40:$G$87,C159)</f>
        <v>40</v>
      </c>
      <c r="G159" s="32" t="n">
        <f aca="false">INDEX(Inputs!$I$40:$I$87,C159)</f>
        <v>1</v>
      </c>
      <c r="H159" s="46" t="n">
        <f aca="false">MATCH(A159,Demand_History!$C:$C,0)+B159-1</f>
        <v>724</v>
      </c>
      <c r="I159" s="32" t="n">
        <f aca="false">INDEX(Forecast_Walkforward!$C:$C,H159)</f>
        <v>7</v>
      </c>
      <c r="J159" s="79" t="n">
        <f aca="false">INDEX(Forecast_Walkforward!$E:$E,H159)</f>
        <v>7.75</v>
      </c>
      <c r="K159" s="33" t="n">
        <f aca="false">Baseline_Weeks*J159</f>
        <v>31</v>
      </c>
      <c r="L159" s="46" t="n">
        <f aca="false">SUMIFS(P$149:P158,$B$149:$B158,$B159-$D159)</f>
        <v>3</v>
      </c>
      <c r="M159" s="46" t="n">
        <f aca="false">S158+L159</f>
        <v>7</v>
      </c>
      <c r="N159" s="46" t="n">
        <f aca="false">SUMIFS(P$149:P158,$B$149:$B158,"&gt;"&amp;($B159-$D159))</f>
        <v>18</v>
      </c>
      <c r="O159" s="46" t="n">
        <f aca="false">M159+N159</f>
        <v>25</v>
      </c>
      <c r="P159" s="47" t="n">
        <f aca="false">IF(O159&lt;K159,ROUNDUP((K159-O159)/G159,0)*G159,0)</f>
        <v>6</v>
      </c>
      <c r="Q159" s="46" t="n">
        <f aca="false">MIN(M159,I159)</f>
        <v>7</v>
      </c>
      <c r="R159" s="46" t="n">
        <f aca="false">I159-Q159</f>
        <v>0</v>
      </c>
      <c r="S159" s="46" t="n">
        <f aca="false">M159-Q159</f>
        <v>0</v>
      </c>
      <c r="T159" s="46" t="n">
        <f aca="false">IF(R159&gt;0,1,0)</f>
        <v>0</v>
      </c>
      <c r="U159" s="32" t="n">
        <f aca="false">INDEX(Forecast!$AY$7:$AY$54,C159)</f>
        <v>3</v>
      </c>
      <c r="V159" s="33" t="n">
        <f aca="false">CHOOSE(U159,INDEX(Forecast_Walkforward!$D:$D,H159),INDEX(Forecast_Walkforward!$E:$E,H159),INDEX(Forecast_Walkforward!$F:$F,H159),INDEX(Forecast_Walkforward!$G:$G,H159))</f>
        <v>7.375</v>
      </c>
      <c r="W159" s="79" t="n">
        <f aca="false">INDEX(Forecast!$BA$7:$BA$54,C159)</f>
        <v>2.9568714788282</v>
      </c>
      <c r="X159" s="33" t="n">
        <f aca="false">Z_Value*W159*SQRT(D159)</f>
        <v>6.87819846419606</v>
      </c>
      <c r="Y159" s="33" t="n">
        <f aca="false">V159*D159+X159</f>
        <v>21.6281984641961</v>
      </c>
      <c r="Z159" s="33" t="n">
        <f aca="false">SQRT((2*V159*Weeks_Per_Year*F159)/(E159*Holding_Rate))</f>
        <v>42.481830025941</v>
      </c>
      <c r="AA159" s="46" t="n">
        <f aca="false">ROUNDUP(Z159/G159,0)*G159</f>
        <v>43</v>
      </c>
      <c r="AB159" s="46" t="n">
        <f aca="false">SUMIFS(AF$149:AF158,$B$149:$B158,$B159-$D159)</f>
        <v>0</v>
      </c>
      <c r="AC159" s="46" t="n">
        <f aca="false">AI158+AB159</f>
        <v>11</v>
      </c>
      <c r="AD159" s="46" t="n">
        <f aca="false">SUMIFS(AF$149:AF158,$B$149:$B158,"&gt;"&amp;($B159-$D159))</f>
        <v>44</v>
      </c>
      <c r="AE159" s="46" t="n">
        <f aca="false">AC159+AD159</f>
        <v>55</v>
      </c>
      <c r="AF159" s="47" t="n">
        <f aca="false">IF(AE159&lt;=Y159,AA159,0)</f>
        <v>0</v>
      </c>
      <c r="AG159" s="46" t="n">
        <f aca="false">MIN(AC159,I159)</f>
        <v>7</v>
      </c>
      <c r="AH159" s="46" t="n">
        <f aca="false">I159-AG159</f>
        <v>0</v>
      </c>
      <c r="AI159" s="46" t="n">
        <f aca="false">AC159-AG159</f>
        <v>4</v>
      </c>
      <c r="AJ159" s="46" t="n">
        <f aca="false">IF(AH159&gt;0,1,0)</f>
        <v>0</v>
      </c>
    </row>
    <row r="160" customFormat="false" ht="15" hidden="false" customHeight="false" outlineLevel="0" collapsed="false">
      <c r="A160" s="31" t="str">
        <f aca="false">Inputs!$B$46</f>
        <v>KIT-007</v>
      </c>
      <c r="B160" s="46" t="n">
        <f aca="false">B159+1</f>
        <v>100</v>
      </c>
      <c r="C160" s="46" t="n">
        <f aca="false">MATCH(A160,Inputs!$B$40:$B$87,0)</f>
        <v>7</v>
      </c>
      <c r="D160" s="32" t="n">
        <f aca="false">INDEX(Inputs!$F$40:$F$87,C160)</f>
        <v>2</v>
      </c>
      <c r="E160" s="78" t="n">
        <f aca="false">INDEX(Inputs!$H$40:$H$87,C160)</f>
        <v>85</v>
      </c>
      <c r="F160" s="78" t="n">
        <f aca="false">INDEX(Inputs!$G$40:$G$87,C160)</f>
        <v>40</v>
      </c>
      <c r="G160" s="32" t="n">
        <f aca="false">INDEX(Inputs!$I$40:$I$87,C160)</f>
        <v>1</v>
      </c>
      <c r="H160" s="46" t="n">
        <f aca="false">MATCH(A160,Demand_History!$C:$C,0)+B160-1</f>
        <v>725</v>
      </c>
      <c r="I160" s="32" t="n">
        <f aca="false">INDEX(Forecast_Walkforward!$C:$C,H160)</f>
        <v>13</v>
      </c>
      <c r="J160" s="79" t="n">
        <f aca="false">INDEX(Forecast_Walkforward!$E:$E,H160)</f>
        <v>7.75</v>
      </c>
      <c r="K160" s="33" t="n">
        <f aca="false">Baseline_Weeks*J160</f>
        <v>31</v>
      </c>
      <c r="L160" s="46" t="n">
        <f aca="false">SUMIFS(P$149:P159,$B$149:$B159,$B160-$D160)</f>
        <v>18</v>
      </c>
      <c r="M160" s="46" t="n">
        <f aca="false">S159+L160</f>
        <v>18</v>
      </c>
      <c r="N160" s="46" t="n">
        <f aca="false">SUMIFS(P$149:P159,$B$149:$B159,"&gt;"&amp;($B160-$D160))</f>
        <v>6</v>
      </c>
      <c r="O160" s="46" t="n">
        <f aca="false">M160+N160</f>
        <v>24</v>
      </c>
      <c r="P160" s="47" t="n">
        <f aca="false">IF(O160&lt;K160,ROUNDUP((K160-O160)/G160,0)*G160,0)</f>
        <v>7</v>
      </c>
      <c r="Q160" s="46" t="n">
        <f aca="false">MIN(M160,I160)</f>
        <v>13</v>
      </c>
      <c r="R160" s="46" t="n">
        <f aca="false">I160-Q160</f>
        <v>0</v>
      </c>
      <c r="S160" s="46" t="n">
        <f aca="false">M160-Q160</f>
        <v>5</v>
      </c>
      <c r="T160" s="46" t="n">
        <f aca="false">IF(R160&gt;0,1,0)</f>
        <v>0</v>
      </c>
      <c r="U160" s="32" t="n">
        <f aca="false">INDEX(Forecast!$AY$7:$AY$54,C160)</f>
        <v>3</v>
      </c>
      <c r="V160" s="33" t="n">
        <f aca="false">CHOOSE(U160,INDEX(Forecast_Walkforward!$D:$D,H160),INDEX(Forecast_Walkforward!$E:$E,H160),INDEX(Forecast_Walkforward!$F:$F,H160),INDEX(Forecast_Walkforward!$G:$G,H160))</f>
        <v>7.375</v>
      </c>
      <c r="W160" s="79" t="n">
        <f aca="false">INDEX(Forecast!$BA$7:$BA$54,C160)</f>
        <v>2.9568714788282</v>
      </c>
      <c r="X160" s="33" t="n">
        <f aca="false">Z_Value*W160*SQRT(D160)</f>
        <v>6.87819846419606</v>
      </c>
      <c r="Y160" s="33" t="n">
        <f aca="false">V160*D160+X160</f>
        <v>21.6281984641961</v>
      </c>
      <c r="Z160" s="33" t="n">
        <f aca="false">SQRT((2*V160*Weeks_Per_Year*F160)/(E160*Holding_Rate))</f>
        <v>42.481830025941</v>
      </c>
      <c r="AA160" s="46" t="n">
        <f aca="false">ROUNDUP(Z160/G160,0)*G160</f>
        <v>43</v>
      </c>
      <c r="AB160" s="46" t="n">
        <f aca="false">SUMIFS(AF$149:AF159,$B$149:$B159,$B160-$D160)</f>
        <v>44</v>
      </c>
      <c r="AC160" s="46" t="n">
        <f aca="false">AI159+AB160</f>
        <v>48</v>
      </c>
      <c r="AD160" s="46" t="n">
        <f aca="false">SUMIFS(AF$149:AF159,$B$149:$B159,"&gt;"&amp;($B160-$D160))</f>
        <v>0</v>
      </c>
      <c r="AE160" s="46" t="n">
        <f aca="false">AC160+AD160</f>
        <v>48</v>
      </c>
      <c r="AF160" s="47" t="n">
        <f aca="false">IF(AE160&lt;=Y160,AA160,0)</f>
        <v>0</v>
      </c>
      <c r="AG160" s="46" t="n">
        <f aca="false">MIN(AC160,I160)</f>
        <v>13</v>
      </c>
      <c r="AH160" s="46" t="n">
        <f aca="false">I160-AG160</f>
        <v>0</v>
      </c>
      <c r="AI160" s="46" t="n">
        <f aca="false">AC160-AG160</f>
        <v>35</v>
      </c>
      <c r="AJ160" s="46" t="n">
        <f aca="false">IF(AH160&gt;0,1,0)</f>
        <v>0</v>
      </c>
    </row>
    <row r="161" customFormat="false" ht="15" hidden="false" customHeight="false" outlineLevel="0" collapsed="false">
      <c r="A161" s="31" t="str">
        <f aca="false">Inputs!$B$46</f>
        <v>KIT-007</v>
      </c>
      <c r="B161" s="46" t="n">
        <f aca="false">B160+1</f>
        <v>101</v>
      </c>
      <c r="C161" s="46" t="n">
        <f aca="false">MATCH(A161,Inputs!$B$40:$B$87,0)</f>
        <v>7</v>
      </c>
      <c r="D161" s="32" t="n">
        <f aca="false">INDEX(Inputs!$F$40:$F$87,C161)</f>
        <v>2</v>
      </c>
      <c r="E161" s="78" t="n">
        <f aca="false">INDEX(Inputs!$H$40:$H$87,C161)</f>
        <v>85</v>
      </c>
      <c r="F161" s="78" t="n">
        <f aca="false">INDEX(Inputs!$G$40:$G$87,C161)</f>
        <v>40</v>
      </c>
      <c r="G161" s="32" t="n">
        <f aca="false">INDEX(Inputs!$I$40:$I$87,C161)</f>
        <v>1</v>
      </c>
      <c r="H161" s="46" t="n">
        <f aca="false">MATCH(A161,Demand_History!$C:$C,0)+B161-1</f>
        <v>726</v>
      </c>
      <c r="I161" s="32" t="n">
        <f aca="false">INDEX(Forecast_Walkforward!$C:$C,H161)</f>
        <v>7</v>
      </c>
      <c r="J161" s="79" t="n">
        <f aca="false">INDEX(Forecast_Walkforward!$E:$E,H161)</f>
        <v>9.25</v>
      </c>
      <c r="K161" s="33" t="n">
        <f aca="false">Baseline_Weeks*J161</f>
        <v>37</v>
      </c>
      <c r="L161" s="46" t="n">
        <f aca="false">SUMIFS(P$149:P160,$B$149:$B160,$B161-$D161)</f>
        <v>6</v>
      </c>
      <c r="M161" s="46" t="n">
        <f aca="false">S160+L161</f>
        <v>11</v>
      </c>
      <c r="N161" s="46" t="n">
        <f aca="false">SUMIFS(P$149:P160,$B$149:$B160,"&gt;"&amp;($B161-$D161))</f>
        <v>7</v>
      </c>
      <c r="O161" s="46" t="n">
        <f aca="false">M161+N161</f>
        <v>18</v>
      </c>
      <c r="P161" s="47" t="n">
        <f aca="false">IF(O161&lt;K161,ROUNDUP((K161-O161)/G161,0)*G161,0)</f>
        <v>19</v>
      </c>
      <c r="Q161" s="46" t="n">
        <f aca="false">MIN(M161,I161)</f>
        <v>7</v>
      </c>
      <c r="R161" s="46" t="n">
        <f aca="false">I161-Q161</f>
        <v>0</v>
      </c>
      <c r="S161" s="46" t="n">
        <f aca="false">M161-Q161</f>
        <v>4</v>
      </c>
      <c r="T161" s="46" t="n">
        <f aca="false">IF(R161&gt;0,1,0)</f>
        <v>0</v>
      </c>
      <c r="U161" s="32" t="n">
        <f aca="false">INDEX(Forecast!$AY$7:$AY$54,C161)</f>
        <v>3</v>
      </c>
      <c r="V161" s="33" t="n">
        <f aca="false">CHOOSE(U161,INDEX(Forecast_Walkforward!$D:$D,H161),INDEX(Forecast_Walkforward!$E:$E,H161),INDEX(Forecast_Walkforward!$F:$F,H161),INDEX(Forecast_Walkforward!$G:$G,H161))</f>
        <v>7.625</v>
      </c>
      <c r="W161" s="79" t="n">
        <f aca="false">INDEX(Forecast!$BA$7:$BA$54,C161)</f>
        <v>2.9568714788282</v>
      </c>
      <c r="X161" s="33" t="n">
        <f aca="false">Z_Value*W161*SQRT(D161)</f>
        <v>6.87819846419606</v>
      </c>
      <c r="Y161" s="33" t="n">
        <f aca="false">V161*D161+X161</f>
        <v>22.1281984641961</v>
      </c>
      <c r="Z161" s="33" t="n">
        <f aca="false">SQRT((2*V161*Weeks_Per_Year*F161)/(E161*Holding_Rate))</f>
        <v>43.1958603681091</v>
      </c>
      <c r="AA161" s="46" t="n">
        <f aca="false">ROUNDUP(Z161/G161,0)*G161</f>
        <v>44</v>
      </c>
      <c r="AB161" s="46" t="n">
        <f aca="false">SUMIFS(AF$149:AF160,$B$149:$B160,$B161-$D161)</f>
        <v>0</v>
      </c>
      <c r="AC161" s="46" t="n">
        <f aca="false">AI160+AB161</f>
        <v>35</v>
      </c>
      <c r="AD161" s="46" t="n">
        <f aca="false">SUMIFS(AF$149:AF160,$B$149:$B160,"&gt;"&amp;($B161-$D161))</f>
        <v>0</v>
      </c>
      <c r="AE161" s="46" t="n">
        <f aca="false">AC161+AD161</f>
        <v>35</v>
      </c>
      <c r="AF161" s="47" t="n">
        <f aca="false">IF(AE161&lt;=Y161,AA161,0)</f>
        <v>0</v>
      </c>
      <c r="AG161" s="46" t="n">
        <f aca="false">MIN(AC161,I161)</f>
        <v>7</v>
      </c>
      <c r="AH161" s="46" t="n">
        <f aca="false">I161-AG161</f>
        <v>0</v>
      </c>
      <c r="AI161" s="46" t="n">
        <f aca="false">AC161-AG161</f>
        <v>28</v>
      </c>
      <c r="AJ161" s="46" t="n">
        <f aca="false">IF(AH161&gt;0,1,0)</f>
        <v>0</v>
      </c>
    </row>
    <row r="162" customFormat="false" ht="15" hidden="false" customHeight="false" outlineLevel="0" collapsed="false">
      <c r="A162" s="31" t="str">
        <f aca="false">Inputs!$B$46</f>
        <v>KIT-007</v>
      </c>
      <c r="B162" s="46" t="n">
        <f aca="false">B161+1</f>
        <v>102</v>
      </c>
      <c r="C162" s="46" t="n">
        <f aca="false">MATCH(A162,Inputs!$B$40:$B$87,0)</f>
        <v>7</v>
      </c>
      <c r="D162" s="32" t="n">
        <f aca="false">INDEX(Inputs!$F$40:$F$87,C162)</f>
        <v>2</v>
      </c>
      <c r="E162" s="78" t="n">
        <f aca="false">INDEX(Inputs!$H$40:$H$87,C162)</f>
        <v>85</v>
      </c>
      <c r="F162" s="78" t="n">
        <f aca="false">INDEX(Inputs!$G$40:$G$87,C162)</f>
        <v>40</v>
      </c>
      <c r="G162" s="32" t="n">
        <f aca="false">INDEX(Inputs!$I$40:$I$87,C162)</f>
        <v>1</v>
      </c>
      <c r="H162" s="46" t="n">
        <f aca="false">MATCH(A162,Demand_History!$C:$C,0)+B162-1</f>
        <v>727</v>
      </c>
      <c r="I162" s="32" t="n">
        <f aca="false">INDEX(Forecast_Walkforward!$C:$C,H162)</f>
        <v>9</v>
      </c>
      <c r="J162" s="79" t="n">
        <f aca="false">INDEX(Forecast_Walkforward!$E:$E,H162)</f>
        <v>8</v>
      </c>
      <c r="K162" s="33" t="n">
        <f aca="false">Baseline_Weeks*J162</f>
        <v>32</v>
      </c>
      <c r="L162" s="46" t="n">
        <f aca="false">SUMIFS(P$149:P161,$B$149:$B161,$B162-$D162)</f>
        <v>7</v>
      </c>
      <c r="M162" s="46" t="n">
        <f aca="false">S161+L162</f>
        <v>11</v>
      </c>
      <c r="N162" s="46" t="n">
        <f aca="false">SUMIFS(P$149:P161,$B$149:$B161,"&gt;"&amp;($B162-$D162))</f>
        <v>19</v>
      </c>
      <c r="O162" s="46" t="n">
        <f aca="false">M162+N162</f>
        <v>30</v>
      </c>
      <c r="P162" s="47" t="n">
        <f aca="false">IF(O162&lt;K162,ROUNDUP((K162-O162)/G162,0)*G162,0)</f>
        <v>2</v>
      </c>
      <c r="Q162" s="46" t="n">
        <f aca="false">MIN(M162,I162)</f>
        <v>9</v>
      </c>
      <c r="R162" s="46" t="n">
        <f aca="false">I162-Q162</f>
        <v>0</v>
      </c>
      <c r="S162" s="46" t="n">
        <f aca="false">M162-Q162</f>
        <v>2</v>
      </c>
      <c r="T162" s="46" t="n">
        <f aca="false">IF(R162&gt;0,1,0)</f>
        <v>0</v>
      </c>
      <c r="U162" s="32" t="n">
        <f aca="false">INDEX(Forecast!$AY$7:$AY$54,C162)</f>
        <v>3</v>
      </c>
      <c r="V162" s="33" t="n">
        <f aca="false">CHOOSE(U162,INDEX(Forecast_Walkforward!$D:$D,H162),INDEX(Forecast_Walkforward!$E:$E,H162),INDEX(Forecast_Walkforward!$F:$F,H162),INDEX(Forecast_Walkforward!$G:$G,H162))</f>
        <v>7.75</v>
      </c>
      <c r="W162" s="79" t="n">
        <f aca="false">INDEX(Forecast!$BA$7:$BA$54,C162)</f>
        <v>2.9568714788282</v>
      </c>
      <c r="X162" s="33" t="n">
        <f aca="false">Z_Value*W162*SQRT(D162)</f>
        <v>6.87819846419606</v>
      </c>
      <c r="Y162" s="33" t="n">
        <f aca="false">V162*D162+X162</f>
        <v>22.3781984641961</v>
      </c>
      <c r="Z162" s="33" t="n">
        <f aca="false">SQRT((2*V162*Weeks_Per_Year*F162)/(E162*Holding_Rate))</f>
        <v>43.5484854872738</v>
      </c>
      <c r="AA162" s="46" t="n">
        <f aca="false">ROUNDUP(Z162/G162,0)*G162</f>
        <v>44</v>
      </c>
      <c r="AB162" s="46" t="n">
        <f aca="false">SUMIFS(AF$149:AF161,$B$149:$B161,$B162-$D162)</f>
        <v>0</v>
      </c>
      <c r="AC162" s="46" t="n">
        <f aca="false">AI161+AB162</f>
        <v>28</v>
      </c>
      <c r="AD162" s="46" t="n">
        <f aca="false">SUMIFS(AF$149:AF161,$B$149:$B161,"&gt;"&amp;($B162-$D162))</f>
        <v>0</v>
      </c>
      <c r="AE162" s="46" t="n">
        <f aca="false">AC162+AD162</f>
        <v>28</v>
      </c>
      <c r="AF162" s="47" t="n">
        <f aca="false">IF(AE162&lt;=Y162,AA162,0)</f>
        <v>0</v>
      </c>
      <c r="AG162" s="46" t="n">
        <f aca="false">MIN(AC162,I162)</f>
        <v>9</v>
      </c>
      <c r="AH162" s="46" t="n">
        <f aca="false">I162-AG162</f>
        <v>0</v>
      </c>
      <c r="AI162" s="46" t="n">
        <f aca="false">AC162-AG162</f>
        <v>19</v>
      </c>
      <c r="AJ162" s="46" t="n">
        <f aca="false">IF(AH162&gt;0,1,0)</f>
        <v>0</v>
      </c>
    </row>
    <row r="163" customFormat="false" ht="15" hidden="false" customHeight="false" outlineLevel="0" collapsed="false">
      <c r="A163" s="31" t="str">
        <f aca="false">Inputs!$B$46</f>
        <v>KIT-007</v>
      </c>
      <c r="B163" s="46" t="n">
        <f aca="false">B162+1</f>
        <v>103</v>
      </c>
      <c r="C163" s="46" t="n">
        <f aca="false">MATCH(A163,Inputs!$B$40:$B$87,0)</f>
        <v>7</v>
      </c>
      <c r="D163" s="32" t="n">
        <f aca="false">INDEX(Inputs!$F$40:$F$87,C163)</f>
        <v>2</v>
      </c>
      <c r="E163" s="78" t="n">
        <f aca="false">INDEX(Inputs!$H$40:$H$87,C163)</f>
        <v>85</v>
      </c>
      <c r="F163" s="78" t="n">
        <f aca="false">INDEX(Inputs!$G$40:$G$87,C163)</f>
        <v>40</v>
      </c>
      <c r="G163" s="32" t="n">
        <f aca="false">INDEX(Inputs!$I$40:$I$87,C163)</f>
        <v>1</v>
      </c>
      <c r="H163" s="46" t="n">
        <f aca="false">MATCH(A163,Demand_History!$C:$C,0)+B163-1</f>
        <v>728</v>
      </c>
      <c r="I163" s="32" t="n">
        <f aca="false">INDEX(Forecast_Walkforward!$C:$C,H163)</f>
        <v>9</v>
      </c>
      <c r="J163" s="79" t="n">
        <f aca="false">INDEX(Forecast_Walkforward!$E:$E,H163)</f>
        <v>9</v>
      </c>
      <c r="K163" s="33" t="n">
        <f aca="false">Baseline_Weeks*J163</f>
        <v>36</v>
      </c>
      <c r="L163" s="46" t="n">
        <f aca="false">SUMIFS(P$149:P162,$B$149:$B162,$B163-$D163)</f>
        <v>19</v>
      </c>
      <c r="M163" s="46" t="n">
        <f aca="false">S162+L163</f>
        <v>21</v>
      </c>
      <c r="N163" s="46" t="n">
        <f aca="false">SUMIFS(P$149:P162,$B$149:$B162,"&gt;"&amp;($B163-$D163))</f>
        <v>2</v>
      </c>
      <c r="O163" s="46" t="n">
        <f aca="false">M163+N163</f>
        <v>23</v>
      </c>
      <c r="P163" s="47" t="n">
        <f aca="false">IF(O163&lt;K163,ROUNDUP((K163-O163)/G163,0)*G163,0)</f>
        <v>13</v>
      </c>
      <c r="Q163" s="46" t="n">
        <f aca="false">MIN(M163,I163)</f>
        <v>9</v>
      </c>
      <c r="R163" s="46" t="n">
        <f aca="false">I163-Q163</f>
        <v>0</v>
      </c>
      <c r="S163" s="46" t="n">
        <f aca="false">M163-Q163</f>
        <v>12</v>
      </c>
      <c r="T163" s="46" t="n">
        <f aca="false">IF(R163&gt;0,1,0)</f>
        <v>0</v>
      </c>
      <c r="U163" s="32" t="n">
        <f aca="false">INDEX(Forecast!$AY$7:$AY$54,C163)</f>
        <v>3</v>
      </c>
      <c r="V163" s="33" t="n">
        <f aca="false">CHOOSE(U163,INDEX(Forecast_Walkforward!$D:$D,H163),INDEX(Forecast_Walkforward!$E:$E,H163),INDEX(Forecast_Walkforward!$F:$F,H163),INDEX(Forecast_Walkforward!$G:$G,H163))</f>
        <v>8.375</v>
      </c>
      <c r="W163" s="79" t="n">
        <f aca="false">INDEX(Forecast!$BA$7:$BA$54,C163)</f>
        <v>2.9568714788282</v>
      </c>
      <c r="X163" s="33" t="n">
        <f aca="false">Z_Value*W163*SQRT(D163)</f>
        <v>6.87819846419606</v>
      </c>
      <c r="Y163" s="33" t="n">
        <f aca="false">V163*D163+X163</f>
        <v>23.6281984641961</v>
      </c>
      <c r="Z163" s="33" t="n">
        <f aca="false">SQRT((2*V163*Weeks_Per_Year*F163)/(E163*Holding_Rate))</f>
        <v>45.270429252503</v>
      </c>
      <c r="AA163" s="46" t="n">
        <f aca="false">ROUNDUP(Z163/G163,0)*G163</f>
        <v>46</v>
      </c>
      <c r="AB163" s="46" t="n">
        <f aca="false">SUMIFS(AF$149:AF162,$B$149:$B162,$B163-$D163)</f>
        <v>0</v>
      </c>
      <c r="AC163" s="46" t="n">
        <f aca="false">AI162+AB163</f>
        <v>19</v>
      </c>
      <c r="AD163" s="46" t="n">
        <f aca="false">SUMIFS(AF$149:AF162,$B$149:$B162,"&gt;"&amp;($B163-$D163))</f>
        <v>0</v>
      </c>
      <c r="AE163" s="46" t="n">
        <f aca="false">AC163+AD163</f>
        <v>19</v>
      </c>
      <c r="AF163" s="47" t="n">
        <f aca="false">IF(AE163&lt;=Y163,AA163,0)</f>
        <v>46</v>
      </c>
      <c r="AG163" s="46" t="n">
        <f aca="false">MIN(AC163,I163)</f>
        <v>9</v>
      </c>
      <c r="AH163" s="46" t="n">
        <f aca="false">I163-AG163</f>
        <v>0</v>
      </c>
      <c r="AI163" s="46" t="n">
        <f aca="false">AC163-AG163</f>
        <v>10</v>
      </c>
      <c r="AJ163" s="46" t="n">
        <f aca="false">IF(AH163&gt;0,1,0)</f>
        <v>0</v>
      </c>
    </row>
    <row r="164" customFormat="false" ht="15" hidden="false" customHeight="false" outlineLevel="0" collapsed="false">
      <c r="A164" s="80" t="str">
        <f aca="false">Inputs!$B$46</f>
        <v>KIT-007</v>
      </c>
      <c r="B164" s="81" t="n">
        <f aca="false">B163+1</f>
        <v>104</v>
      </c>
      <c r="C164" s="81" t="n">
        <f aca="false">MATCH(A164,Inputs!$B$40:$B$87,0)</f>
        <v>7</v>
      </c>
      <c r="D164" s="82" t="n">
        <f aca="false">INDEX(Inputs!$F$40:$F$87,C164)</f>
        <v>2</v>
      </c>
      <c r="E164" s="83" t="n">
        <f aca="false">INDEX(Inputs!$H$40:$H$87,C164)</f>
        <v>85</v>
      </c>
      <c r="F164" s="83" t="n">
        <f aca="false">INDEX(Inputs!$G$40:$G$87,C164)</f>
        <v>40</v>
      </c>
      <c r="G164" s="82" t="n">
        <f aca="false">INDEX(Inputs!$I$40:$I$87,C164)</f>
        <v>1</v>
      </c>
      <c r="H164" s="81" t="n">
        <f aca="false">MATCH(A164,Demand_History!$C:$C,0)+B164-1</f>
        <v>729</v>
      </c>
      <c r="I164" s="82" t="n">
        <f aca="false">INDEX(Forecast_Walkforward!$C:$C,H164)</f>
        <v>9</v>
      </c>
      <c r="J164" s="84" t="n">
        <f aca="false">INDEX(Forecast_Walkforward!$E:$E,H164)</f>
        <v>9.5</v>
      </c>
      <c r="K164" s="85" t="n">
        <f aca="false">Baseline_Weeks*J164</f>
        <v>38</v>
      </c>
      <c r="L164" s="81" t="n">
        <f aca="false">SUMIFS(P$149:P163,$B$149:$B163,$B164-$D164)</f>
        <v>2</v>
      </c>
      <c r="M164" s="81" t="n">
        <f aca="false">S163+L164</f>
        <v>14</v>
      </c>
      <c r="N164" s="81" t="n">
        <f aca="false">SUMIFS(P$149:P163,$B$149:$B163,"&gt;"&amp;($B164-$D164))</f>
        <v>13</v>
      </c>
      <c r="O164" s="81" t="n">
        <f aca="false">M164+N164</f>
        <v>27</v>
      </c>
      <c r="P164" s="86" t="n">
        <f aca="false">IF(O164&lt;K164,ROUNDUP((K164-O164)/G164,0)*G164,0)</f>
        <v>11</v>
      </c>
      <c r="Q164" s="81" t="n">
        <f aca="false">MIN(M164,I164)</f>
        <v>9</v>
      </c>
      <c r="R164" s="81" t="n">
        <f aca="false">I164-Q164</f>
        <v>0</v>
      </c>
      <c r="S164" s="81" t="n">
        <f aca="false">M164-Q164</f>
        <v>5</v>
      </c>
      <c r="T164" s="81" t="n">
        <f aca="false">IF(R164&gt;0,1,0)</f>
        <v>0</v>
      </c>
      <c r="U164" s="82" t="n">
        <f aca="false">INDEX(Forecast!$AY$7:$AY$54,C164)</f>
        <v>3</v>
      </c>
      <c r="V164" s="85" t="n">
        <f aca="false">CHOOSE(U164,INDEX(Forecast_Walkforward!$D:$D,H164),INDEX(Forecast_Walkforward!$E:$E,H164),INDEX(Forecast_Walkforward!$F:$F,H164),INDEX(Forecast_Walkforward!$G:$G,H164))</f>
        <v>8.625</v>
      </c>
      <c r="W164" s="84" t="n">
        <f aca="false">INDEX(Forecast!$BA$7:$BA$54,C164)</f>
        <v>2.9568714788282</v>
      </c>
      <c r="X164" s="85" t="n">
        <f aca="false">Z_Value*W164*SQRT(D164)</f>
        <v>6.87819846419606</v>
      </c>
      <c r="Y164" s="85" t="n">
        <f aca="false">V164*D164+X164</f>
        <v>24.1281984641961</v>
      </c>
      <c r="Z164" s="85" t="n">
        <f aca="false">SQRT((2*V164*Weeks_Per_Year*F164)/(E164*Holding_Rate))</f>
        <v>45.9411388114631</v>
      </c>
      <c r="AA164" s="81" t="n">
        <f aca="false">ROUNDUP(Z164/G164,0)*G164</f>
        <v>46</v>
      </c>
      <c r="AB164" s="81" t="n">
        <f aca="false">SUMIFS(AF$149:AF163,$B$149:$B163,$B164-$D164)</f>
        <v>0</v>
      </c>
      <c r="AC164" s="81" t="n">
        <f aca="false">AI163+AB164</f>
        <v>10</v>
      </c>
      <c r="AD164" s="81" t="n">
        <f aca="false">SUMIFS(AF$149:AF163,$B$149:$B163,"&gt;"&amp;($B164-$D164))</f>
        <v>46</v>
      </c>
      <c r="AE164" s="81" t="n">
        <f aca="false">AC164+AD164</f>
        <v>56</v>
      </c>
      <c r="AF164" s="86" t="n">
        <f aca="false">IF(AE164&lt;=Y164,AA164,0)</f>
        <v>0</v>
      </c>
      <c r="AG164" s="81" t="n">
        <f aca="false">MIN(AC164,I164)</f>
        <v>9</v>
      </c>
      <c r="AH164" s="81" t="n">
        <f aca="false">I164-AG164</f>
        <v>0</v>
      </c>
      <c r="AI164" s="81" t="n">
        <f aca="false">AC164-AG164</f>
        <v>1</v>
      </c>
      <c r="AJ164" s="81" t="n">
        <f aca="false">IF(AH164&gt;0,1,0)</f>
        <v>0</v>
      </c>
    </row>
    <row r="165" customFormat="false" ht="15" hidden="false" customHeight="false" outlineLevel="0" collapsed="false">
      <c r="A165" s="31" t="str">
        <f aca="false">Inputs!$B$47</f>
        <v>KIT-008</v>
      </c>
      <c r="B165" s="46" t="n">
        <f aca="false">BT_Start_Week</f>
        <v>89</v>
      </c>
      <c r="C165" s="46" t="n">
        <f aca="false">MATCH(A165,Inputs!$B$40:$B$87,0)</f>
        <v>8</v>
      </c>
      <c r="D165" s="32" t="n">
        <f aca="false">INDEX(Inputs!$F$40:$F$87,C165)</f>
        <v>2</v>
      </c>
      <c r="E165" s="78" t="n">
        <f aca="false">INDEX(Inputs!$H$40:$H$87,C165)</f>
        <v>19</v>
      </c>
      <c r="F165" s="78" t="n">
        <f aca="false">INDEX(Inputs!$G$40:$G$87,C165)</f>
        <v>40</v>
      </c>
      <c r="G165" s="32" t="n">
        <f aca="false">INDEX(Inputs!$I$40:$I$87,C165)</f>
        <v>6</v>
      </c>
      <c r="H165" s="46" t="n">
        <f aca="false">MATCH(A165,Demand_History!$C:$C,0)+B165-1</f>
        <v>818</v>
      </c>
      <c r="I165" s="32" t="n">
        <f aca="false">INDEX(Forecast_Walkforward!$C:$C,H165)</f>
        <v>43</v>
      </c>
      <c r="J165" s="79" t="n">
        <f aca="false">INDEX(Forecast_Walkforward!$E:$E,H165)</f>
        <v>42.25</v>
      </c>
      <c r="K165" s="33" t="n">
        <f aca="false">Baseline_Weeks*J165</f>
        <v>169</v>
      </c>
      <c r="L165" s="46" t="n">
        <f aca="false">0</f>
        <v>0</v>
      </c>
      <c r="M165" s="46" t="n">
        <f aca="false">ROUND(BT_Open_Cover*INDEX(Forecast_Walkforward!$F:$F,H165),0)+L165</f>
        <v>261</v>
      </c>
      <c r="N165" s="46" t="n">
        <f aca="false">0</f>
        <v>0</v>
      </c>
      <c r="O165" s="46" t="n">
        <f aca="false">M165+N165</f>
        <v>261</v>
      </c>
      <c r="P165" s="47" t="n">
        <f aca="false">IF(O165&lt;K165,ROUNDUP((K165-O165)/G165,0)*G165,0)</f>
        <v>0</v>
      </c>
      <c r="Q165" s="46" t="n">
        <f aca="false">MIN(M165,I165)</f>
        <v>43</v>
      </c>
      <c r="R165" s="46" t="n">
        <f aca="false">I165-Q165</f>
        <v>0</v>
      </c>
      <c r="S165" s="46" t="n">
        <f aca="false">M165-Q165</f>
        <v>218</v>
      </c>
      <c r="T165" s="46" t="n">
        <f aca="false">IF(R165&gt;0,1,0)</f>
        <v>0</v>
      </c>
      <c r="U165" s="32" t="n">
        <f aca="false">INDEX(Forecast!$AY$7:$AY$54,C165)</f>
        <v>2</v>
      </c>
      <c r="V165" s="33" t="n">
        <f aca="false">CHOOSE(U165,INDEX(Forecast_Walkforward!$D:$D,H165),INDEX(Forecast_Walkforward!$E:$E,H165),INDEX(Forecast_Walkforward!$F:$F,H165),INDEX(Forecast_Walkforward!$G:$G,H165))</f>
        <v>42.25</v>
      </c>
      <c r="W165" s="79" t="n">
        <f aca="false">INDEX(Forecast!$BA$7:$BA$54,C165)</f>
        <v>4.93574856291523</v>
      </c>
      <c r="X165" s="33" t="n">
        <f aca="false">Z_Value*W165*SQRT(D165)</f>
        <v>11.4814114946096</v>
      </c>
      <c r="Y165" s="33" t="n">
        <f aca="false">V165*D165+X165</f>
        <v>95.9814114946096</v>
      </c>
      <c r="Z165" s="33" t="n">
        <f aca="false">SQRT((2*V165*Weeks_Per_Year*F165)/(E165*Holding_Rate))</f>
        <v>215.064249885813</v>
      </c>
      <c r="AA165" s="46" t="n">
        <f aca="false">ROUNDUP(Z165/G165,0)*G165</f>
        <v>216</v>
      </c>
      <c r="AB165" s="46" t="n">
        <f aca="false">0</f>
        <v>0</v>
      </c>
      <c r="AC165" s="46" t="n">
        <f aca="false">ROUND(BT_Open_Cover*INDEX(Forecast_Walkforward!$F:$F,H165),0)+AB165</f>
        <v>261</v>
      </c>
      <c r="AD165" s="46" t="n">
        <f aca="false">0</f>
        <v>0</v>
      </c>
      <c r="AE165" s="46" t="n">
        <f aca="false">AC165+AD165</f>
        <v>261</v>
      </c>
      <c r="AF165" s="47" t="n">
        <f aca="false">IF(AE165&lt;=Y165,AA165,0)</f>
        <v>0</v>
      </c>
      <c r="AG165" s="46" t="n">
        <f aca="false">MIN(AC165,I165)</f>
        <v>43</v>
      </c>
      <c r="AH165" s="46" t="n">
        <f aca="false">I165-AG165</f>
        <v>0</v>
      </c>
      <c r="AI165" s="46" t="n">
        <f aca="false">AC165-AG165</f>
        <v>218</v>
      </c>
      <c r="AJ165" s="46" t="n">
        <f aca="false">IF(AH165&gt;0,1,0)</f>
        <v>0</v>
      </c>
    </row>
    <row r="166" customFormat="false" ht="15" hidden="false" customHeight="false" outlineLevel="0" collapsed="false">
      <c r="A166" s="31" t="str">
        <f aca="false">Inputs!$B$47</f>
        <v>KIT-008</v>
      </c>
      <c r="B166" s="46" t="n">
        <f aca="false">B165+1</f>
        <v>90</v>
      </c>
      <c r="C166" s="46" t="n">
        <f aca="false">MATCH(A166,Inputs!$B$40:$B$87,0)</f>
        <v>8</v>
      </c>
      <c r="D166" s="32" t="n">
        <f aca="false">INDEX(Inputs!$F$40:$F$87,C166)</f>
        <v>2</v>
      </c>
      <c r="E166" s="78" t="n">
        <f aca="false">INDEX(Inputs!$H$40:$H$87,C166)</f>
        <v>19</v>
      </c>
      <c r="F166" s="78" t="n">
        <f aca="false">INDEX(Inputs!$G$40:$G$87,C166)</f>
        <v>40</v>
      </c>
      <c r="G166" s="32" t="n">
        <f aca="false">INDEX(Inputs!$I$40:$I$87,C166)</f>
        <v>6</v>
      </c>
      <c r="H166" s="46" t="n">
        <f aca="false">MATCH(A166,Demand_History!$C:$C,0)+B166-1</f>
        <v>819</v>
      </c>
      <c r="I166" s="32" t="n">
        <f aca="false">INDEX(Forecast_Walkforward!$C:$C,H166)</f>
        <v>45</v>
      </c>
      <c r="J166" s="79" t="n">
        <f aca="false">INDEX(Forecast_Walkforward!$E:$E,H166)</f>
        <v>44.25</v>
      </c>
      <c r="K166" s="33" t="n">
        <f aca="false">Baseline_Weeks*J166</f>
        <v>177</v>
      </c>
      <c r="L166" s="46" t="n">
        <f aca="false">SUMIFS(P$165:P165,$B$165:$B165,$B166-$D166)</f>
        <v>0</v>
      </c>
      <c r="M166" s="46" t="n">
        <f aca="false">S165+L166</f>
        <v>218</v>
      </c>
      <c r="N166" s="46" t="n">
        <f aca="false">SUMIFS(P$165:P165,$B$165:$B165,"&gt;"&amp;($B166-$D166))</f>
        <v>0</v>
      </c>
      <c r="O166" s="46" t="n">
        <f aca="false">M166+N166</f>
        <v>218</v>
      </c>
      <c r="P166" s="47" t="n">
        <f aca="false">IF(O166&lt;K166,ROUNDUP((K166-O166)/G166,0)*G166,0)</f>
        <v>0</v>
      </c>
      <c r="Q166" s="46" t="n">
        <f aca="false">MIN(M166,I166)</f>
        <v>45</v>
      </c>
      <c r="R166" s="46" t="n">
        <f aca="false">I166-Q166</f>
        <v>0</v>
      </c>
      <c r="S166" s="46" t="n">
        <f aca="false">M166-Q166</f>
        <v>173</v>
      </c>
      <c r="T166" s="46" t="n">
        <f aca="false">IF(R166&gt;0,1,0)</f>
        <v>0</v>
      </c>
      <c r="U166" s="32" t="n">
        <f aca="false">INDEX(Forecast!$AY$7:$AY$54,C166)</f>
        <v>2</v>
      </c>
      <c r="V166" s="33" t="n">
        <f aca="false">CHOOSE(U166,INDEX(Forecast_Walkforward!$D:$D,H166),INDEX(Forecast_Walkforward!$E:$E,H166),INDEX(Forecast_Walkforward!$F:$F,H166),INDEX(Forecast_Walkforward!$G:$G,H166))</f>
        <v>44.25</v>
      </c>
      <c r="W166" s="79" t="n">
        <f aca="false">INDEX(Forecast!$BA$7:$BA$54,C166)</f>
        <v>4.93574856291523</v>
      </c>
      <c r="X166" s="33" t="n">
        <f aca="false">Z_Value*W166*SQRT(D166)</f>
        <v>11.4814114946096</v>
      </c>
      <c r="Y166" s="33" t="n">
        <f aca="false">V166*D166+X166</f>
        <v>99.9814114946096</v>
      </c>
      <c r="Z166" s="33" t="n">
        <f aca="false">SQRT((2*V166*Weeks_Per_Year*F166)/(E166*Holding_Rate))</f>
        <v>220.095672976908</v>
      </c>
      <c r="AA166" s="46" t="n">
        <f aca="false">ROUNDUP(Z166/G166,0)*G166</f>
        <v>222</v>
      </c>
      <c r="AB166" s="46" t="n">
        <f aca="false">SUMIFS(AF$165:AF165,$B$165:$B165,$B166-$D166)</f>
        <v>0</v>
      </c>
      <c r="AC166" s="46" t="n">
        <f aca="false">AI165+AB166</f>
        <v>218</v>
      </c>
      <c r="AD166" s="46" t="n">
        <f aca="false">SUMIFS(AF$165:AF165,$B$165:$B165,"&gt;"&amp;($B166-$D166))</f>
        <v>0</v>
      </c>
      <c r="AE166" s="46" t="n">
        <f aca="false">AC166+AD166</f>
        <v>218</v>
      </c>
      <c r="AF166" s="47" t="n">
        <f aca="false">IF(AE166&lt;=Y166,AA166,0)</f>
        <v>0</v>
      </c>
      <c r="AG166" s="46" t="n">
        <f aca="false">MIN(AC166,I166)</f>
        <v>45</v>
      </c>
      <c r="AH166" s="46" t="n">
        <f aca="false">I166-AG166</f>
        <v>0</v>
      </c>
      <c r="AI166" s="46" t="n">
        <f aca="false">AC166-AG166</f>
        <v>173</v>
      </c>
      <c r="AJ166" s="46" t="n">
        <f aca="false">IF(AH166&gt;0,1,0)</f>
        <v>0</v>
      </c>
    </row>
    <row r="167" customFormat="false" ht="15" hidden="false" customHeight="false" outlineLevel="0" collapsed="false">
      <c r="A167" s="31" t="str">
        <f aca="false">Inputs!$B$47</f>
        <v>KIT-008</v>
      </c>
      <c r="B167" s="46" t="n">
        <f aca="false">B166+1</f>
        <v>91</v>
      </c>
      <c r="C167" s="46" t="n">
        <f aca="false">MATCH(A167,Inputs!$B$40:$B$87,0)</f>
        <v>8</v>
      </c>
      <c r="D167" s="32" t="n">
        <f aca="false">INDEX(Inputs!$F$40:$F$87,C167)</f>
        <v>2</v>
      </c>
      <c r="E167" s="78" t="n">
        <f aca="false">INDEX(Inputs!$H$40:$H$87,C167)</f>
        <v>19</v>
      </c>
      <c r="F167" s="78" t="n">
        <f aca="false">INDEX(Inputs!$G$40:$G$87,C167)</f>
        <v>40</v>
      </c>
      <c r="G167" s="32" t="n">
        <f aca="false">INDEX(Inputs!$I$40:$I$87,C167)</f>
        <v>6</v>
      </c>
      <c r="H167" s="46" t="n">
        <f aca="false">MATCH(A167,Demand_History!$C:$C,0)+B167-1</f>
        <v>820</v>
      </c>
      <c r="I167" s="32" t="n">
        <f aca="false">INDEX(Forecast_Walkforward!$C:$C,H167)</f>
        <v>37</v>
      </c>
      <c r="J167" s="79" t="n">
        <f aca="false">INDEX(Forecast_Walkforward!$E:$E,H167)</f>
        <v>44.25</v>
      </c>
      <c r="K167" s="33" t="n">
        <f aca="false">Baseline_Weeks*J167</f>
        <v>177</v>
      </c>
      <c r="L167" s="46" t="n">
        <f aca="false">SUMIFS(P$165:P166,$B$165:$B166,$B167-$D167)</f>
        <v>0</v>
      </c>
      <c r="M167" s="46" t="n">
        <f aca="false">S166+L167</f>
        <v>173</v>
      </c>
      <c r="N167" s="46" t="n">
        <f aca="false">SUMIFS(P$165:P166,$B$165:$B166,"&gt;"&amp;($B167-$D167))</f>
        <v>0</v>
      </c>
      <c r="O167" s="46" t="n">
        <f aca="false">M167+N167</f>
        <v>173</v>
      </c>
      <c r="P167" s="47" t="n">
        <f aca="false">IF(O167&lt;K167,ROUNDUP((K167-O167)/G167,0)*G167,0)</f>
        <v>6</v>
      </c>
      <c r="Q167" s="46" t="n">
        <f aca="false">MIN(M167,I167)</f>
        <v>37</v>
      </c>
      <c r="R167" s="46" t="n">
        <f aca="false">I167-Q167</f>
        <v>0</v>
      </c>
      <c r="S167" s="46" t="n">
        <f aca="false">M167-Q167</f>
        <v>136</v>
      </c>
      <c r="T167" s="46" t="n">
        <f aca="false">IF(R167&gt;0,1,0)</f>
        <v>0</v>
      </c>
      <c r="U167" s="32" t="n">
        <f aca="false">INDEX(Forecast!$AY$7:$AY$54,C167)</f>
        <v>2</v>
      </c>
      <c r="V167" s="33" t="n">
        <f aca="false">CHOOSE(U167,INDEX(Forecast_Walkforward!$D:$D,H167),INDEX(Forecast_Walkforward!$E:$E,H167),INDEX(Forecast_Walkforward!$F:$F,H167),INDEX(Forecast_Walkforward!$G:$G,H167))</f>
        <v>44.25</v>
      </c>
      <c r="W167" s="79" t="n">
        <f aca="false">INDEX(Forecast!$BA$7:$BA$54,C167)</f>
        <v>4.93574856291523</v>
      </c>
      <c r="X167" s="33" t="n">
        <f aca="false">Z_Value*W167*SQRT(D167)</f>
        <v>11.4814114946096</v>
      </c>
      <c r="Y167" s="33" t="n">
        <f aca="false">V167*D167+X167</f>
        <v>99.9814114946096</v>
      </c>
      <c r="Z167" s="33" t="n">
        <f aca="false">SQRT((2*V167*Weeks_Per_Year*F167)/(E167*Holding_Rate))</f>
        <v>220.095672976908</v>
      </c>
      <c r="AA167" s="46" t="n">
        <f aca="false">ROUNDUP(Z167/G167,0)*G167</f>
        <v>222</v>
      </c>
      <c r="AB167" s="46" t="n">
        <f aca="false">SUMIFS(AF$165:AF166,$B$165:$B166,$B167-$D167)</f>
        <v>0</v>
      </c>
      <c r="AC167" s="46" t="n">
        <f aca="false">AI166+AB167</f>
        <v>173</v>
      </c>
      <c r="AD167" s="46" t="n">
        <f aca="false">SUMIFS(AF$165:AF166,$B$165:$B166,"&gt;"&amp;($B167-$D167))</f>
        <v>0</v>
      </c>
      <c r="AE167" s="46" t="n">
        <f aca="false">AC167+AD167</f>
        <v>173</v>
      </c>
      <c r="AF167" s="47" t="n">
        <f aca="false">IF(AE167&lt;=Y167,AA167,0)</f>
        <v>0</v>
      </c>
      <c r="AG167" s="46" t="n">
        <f aca="false">MIN(AC167,I167)</f>
        <v>37</v>
      </c>
      <c r="AH167" s="46" t="n">
        <f aca="false">I167-AG167</f>
        <v>0</v>
      </c>
      <c r="AI167" s="46" t="n">
        <f aca="false">AC167-AG167</f>
        <v>136</v>
      </c>
      <c r="AJ167" s="46" t="n">
        <f aca="false">IF(AH167&gt;0,1,0)</f>
        <v>0</v>
      </c>
    </row>
    <row r="168" customFormat="false" ht="15" hidden="false" customHeight="false" outlineLevel="0" collapsed="false">
      <c r="A168" s="31" t="str">
        <f aca="false">Inputs!$B$47</f>
        <v>KIT-008</v>
      </c>
      <c r="B168" s="46" t="n">
        <f aca="false">B167+1</f>
        <v>92</v>
      </c>
      <c r="C168" s="46" t="n">
        <f aca="false">MATCH(A168,Inputs!$B$40:$B$87,0)</f>
        <v>8</v>
      </c>
      <c r="D168" s="32" t="n">
        <f aca="false">INDEX(Inputs!$F$40:$F$87,C168)</f>
        <v>2</v>
      </c>
      <c r="E168" s="78" t="n">
        <f aca="false">INDEX(Inputs!$H$40:$H$87,C168)</f>
        <v>19</v>
      </c>
      <c r="F168" s="78" t="n">
        <f aca="false">INDEX(Inputs!$G$40:$G$87,C168)</f>
        <v>40</v>
      </c>
      <c r="G168" s="32" t="n">
        <f aca="false">INDEX(Inputs!$I$40:$I$87,C168)</f>
        <v>6</v>
      </c>
      <c r="H168" s="46" t="n">
        <f aca="false">MATCH(A168,Demand_History!$C:$C,0)+B168-1</f>
        <v>821</v>
      </c>
      <c r="I168" s="32" t="n">
        <f aca="false">INDEX(Forecast_Walkforward!$C:$C,H168)</f>
        <v>42</v>
      </c>
      <c r="J168" s="79" t="n">
        <f aca="false">INDEX(Forecast_Walkforward!$E:$E,H168)</f>
        <v>41.75</v>
      </c>
      <c r="K168" s="33" t="n">
        <f aca="false">Baseline_Weeks*J168</f>
        <v>167</v>
      </c>
      <c r="L168" s="46" t="n">
        <f aca="false">SUMIFS(P$165:P167,$B$165:$B167,$B168-$D168)</f>
        <v>0</v>
      </c>
      <c r="M168" s="46" t="n">
        <f aca="false">S167+L168</f>
        <v>136</v>
      </c>
      <c r="N168" s="46" t="n">
        <f aca="false">SUMIFS(P$165:P167,$B$165:$B167,"&gt;"&amp;($B168-$D168))</f>
        <v>6</v>
      </c>
      <c r="O168" s="46" t="n">
        <f aca="false">M168+N168</f>
        <v>142</v>
      </c>
      <c r="P168" s="47" t="n">
        <f aca="false">IF(O168&lt;K168,ROUNDUP((K168-O168)/G168,0)*G168,0)</f>
        <v>30</v>
      </c>
      <c r="Q168" s="46" t="n">
        <f aca="false">MIN(M168,I168)</f>
        <v>42</v>
      </c>
      <c r="R168" s="46" t="n">
        <f aca="false">I168-Q168</f>
        <v>0</v>
      </c>
      <c r="S168" s="46" t="n">
        <f aca="false">M168-Q168</f>
        <v>94</v>
      </c>
      <c r="T168" s="46" t="n">
        <f aca="false">IF(R168&gt;0,1,0)</f>
        <v>0</v>
      </c>
      <c r="U168" s="32" t="n">
        <f aca="false">INDEX(Forecast!$AY$7:$AY$54,C168)</f>
        <v>2</v>
      </c>
      <c r="V168" s="33" t="n">
        <f aca="false">CHOOSE(U168,INDEX(Forecast_Walkforward!$D:$D,H168),INDEX(Forecast_Walkforward!$E:$E,H168),INDEX(Forecast_Walkforward!$F:$F,H168),INDEX(Forecast_Walkforward!$G:$G,H168))</f>
        <v>41.75</v>
      </c>
      <c r="W168" s="79" t="n">
        <f aca="false">INDEX(Forecast!$BA$7:$BA$54,C168)</f>
        <v>4.93574856291523</v>
      </c>
      <c r="X168" s="33" t="n">
        <f aca="false">Z_Value*W168*SQRT(D168)</f>
        <v>11.4814114946096</v>
      </c>
      <c r="Y168" s="33" t="n">
        <f aca="false">V168*D168+X168</f>
        <v>94.9814114946096</v>
      </c>
      <c r="Z168" s="33" t="n">
        <f aca="false">SQRT((2*V168*Weeks_Per_Year*F168)/(E168*Holding_Rate))</f>
        <v>213.78789291701</v>
      </c>
      <c r="AA168" s="46" t="n">
        <f aca="false">ROUNDUP(Z168/G168,0)*G168</f>
        <v>216</v>
      </c>
      <c r="AB168" s="46" t="n">
        <f aca="false">SUMIFS(AF$165:AF167,$B$165:$B167,$B168-$D168)</f>
        <v>0</v>
      </c>
      <c r="AC168" s="46" t="n">
        <f aca="false">AI167+AB168</f>
        <v>136</v>
      </c>
      <c r="AD168" s="46" t="n">
        <f aca="false">SUMIFS(AF$165:AF167,$B$165:$B167,"&gt;"&amp;($B168-$D168))</f>
        <v>0</v>
      </c>
      <c r="AE168" s="46" t="n">
        <f aca="false">AC168+AD168</f>
        <v>136</v>
      </c>
      <c r="AF168" s="47" t="n">
        <f aca="false">IF(AE168&lt;=Y168,AA168,0)</f>
        <v>0</v>
      </c>
      <c r="AG168" s="46" t="n">
        <f aca="false">MIN(AC168,I168)</f>
        <v>42</v>
      </c>
      <c r="AH168" s="46" t="n">
        <f aca="false">I168-AG168</f>
        <v>0</v>
      </c>
      <c r="AI168" s="46" t="n">
        <f aca="false">AC168-AG168</f>
        <v>94</v>
      </c>
      <c r="AJ168" s="46" t="n">
        <f aca="false">IF(AH168&gt;0,1,0)</f>
        <v>0</v>
      </c>
    </row>
    <row r="169" customFormat="false" ht="15" hidden="false" customHeight="false" outlineLevel="0" collapsed="false">
      <c r="A169" s="31" t="str">
        <f aca="false">Inputs!$B$47</f>
        <v>KIT-008</v>
      </c>
      <c r="B169" s="46" t="n">
        <f aca="false">B168+1</f>
        <v>93</v>
      </c>
      <c r="C169" s="46" t="n">
        <f aca="false">MATCH(A169,Inputs!$B$40:$B$87,0)</f>
        <v>8</v>
      </c>
      <c r="D169" s="32" t="n">
        <f aca="false">INDEX(Inputs!$F$40:$F$87,C169)</f>
        <v>2</v>
      </c>
      <c r="E169" s="78" t="n">
        <f aca="false">INDEX(Inputs!$H$40:$H$87,C169)</f>
        <v>19</v>
      </c>
      <c r="F169" s="78" t="n">
        <f aca="false">INDEX(Inputs!$G$40:$G$87,C169)</f>
        <v>40</v>
      </c>
      <c r="G169" s="32" t="n">
        <f aca="false">INDEX(Inputs!$I$40:$I$87,C169)</f>
        <v>6</v>
      </c>
      <c r="H169" s="46" t="n">
        <f aca="false">MATCH(A169,Demand_History!$C:$C,0)+B169-1</f>
        <v>822</v>
      </c>
      <c r="I169" s="32" t="n">
        <f aca="false">INDEX(Forecast_Walkforward!$C:$C,H169)</f>
        <v>36</v>
      </c>
      <c r="J169" s="79" t="n">
        <f aca="false">INDEX(Forecast_Walkforward!$E:$E,H169)</f>
        <v>41.75</v>
      </c>
      <c r="K169" s="33" t="n">
        <f aca="false">Baseline_Weeks*J169</f>
        <v>167</v>
      </c>
      <c r="L169" s="46" t="n">
        <f aca="false">SUMIFS(P$165:P168,$B$165:$B168,$B169-$D169)</f>
        <v>6</v>
      </c>
      <c r="M169" s="46" t="n">
        <f aca="false">S168+L169</f>
        <v>100</v>
      </c>
      <c r="N169" s="46" t="n">
        <f aca="false">SUMIFS(P$165:P168,$B$165:$B168,"&gt;"&amp;($B169-$D169))</f>
        <v>30</v>
      </c>
      <c r="O169" s="46" t="n">
        <f aca="false">M169+N169</f>
        <v>130</v>
      </c>
      <c r="P169" s="47" t="n">
        <f aca="false">IF(O169&lt;K169,ROUNDUP((K169-O169)/G169,0)*G169,0)</f>
        <v>42</v>
      </c>
      <c r="Q169" s="46" t="n">
        <f aca="false">MIN(M169,I169)</f>
        <v>36</v>
      </c>
      <c r="R169" s="46" t="n">
        <f aca="false">I169-Q169</f>
        <v>0</v>
      </c>
      <c r="S169" s="46" t="n">
        <f aca="false">M169-Q169</f>
        <v>64</v>
      </c>
      <c r="T169" s="46" t="n">
        <f aca="false">IF(R169&gt;0,1,0)</f>
        <v>0</v>
      </c>
      <c r="U169" s="32" t="n">
        <f aca="false">INDEX(Forecast!$AY$7:$AY$54,C169)</f>
        <v>2</v>
      </c>
      <c r="V169" s="33" t="n">
        <f aca="false">CHOOSE(U169,INDEX(Forecast_Walkforward!$D:$D,H169),INDEX(Forecast_Walkforward!$E:$E,H169),INDEX(Forecast_Walkforward!$F:$F,H169),INDEX(Forecast_Walkforward!$G:$G,H169))</f>
        <v>41.75</v>
      </c>
      <c r="W169" s="79" t="n">
        <f aca="false">INDEX(Forecast!$BA$7:$BA$54,C169)</f>
        <v>4.93574856291523</v>
      </c>
      <c r="X169" s="33" t="n">
        <f aca="false">Z_Value*W169*SQRT(D169)</f>
        <v>11.4814114946096</v>
      </c>
      <c r="Y169" s="33" t="n">
        <f aca="false">V169*D169+X169</f>
        <v>94.9814114946096</v>
      </c>
      <c r="Z169" s="33" t="n">
        <f aca="false">SQRT((2*V169*Weeks_Per_Year*F169)/(E169*Holding_Rate))</f>
        <v>213.78789291701</v>
      </c>
      <c r="AA169" s="46" t="n">
        <f aca="false">ROUNDUP(Z169/G169,0)*G169</f>
        <v>216</v>
      </c>
      <c r="AB169" s="46" t="n">
        <f aca="false">SUMIFS(AF$165:AF168,$B$165:$B168,$B169-$D169)</f>
        <v>0</v>
      </c>
      <c r="AC169" s="46" t="n">
        <f aca="false">AI168+AB169</f>
        <v>94</v>
      </c>
      <c r="AD169" s="46" t="n">
        <f aca="false">SUMIFS(AF$165:AF168,$B$165:$B168,"&gt;"&amp;($B169-$D169))</f>
        <v>0</v>
      </c>
      <c r="AE169" s="46" t="n">
        <f aca="false">AC169+AD169</f>
        <v>94</v>
      </c>
      <c r="AF169" s="47" t="n">
        <f aca="false">IF(AE169&lt;=Y169,AA169,0)</f>
        <v>216</v>
      </c>
      <c r="AG169" s="46" t="n">
        <f aca="false">MIN(AC169,I169)</f>
        <v>36</v>
      </c>
      <c r="AH169" s="46" t="n">
        <f aca="false">I169-AG169</f>
        <v>0</v>
      </c>
      <c r="AI169" s="46" t="n">
        <f aca="false">AC169-AG169</f>
        <v>58</v>
      </c>
      <c r="AJ169" s="46" t="n">
        <f aca="false">IF(AH169&gt;0,1,0)</f>
        <v>0</v>
      </c>
    </row>
    <row r="170" customFormat="false" ht="15" hidden="false" customHeight="false" outlineLevel="0" collapsed="false">
      <c r="A170" s="31" t="str">
        <f aca="false">Inputs!$B$47</f>
        <v>KIT-008</v>
      </c>
      <c r="B170" s="46" t="n">
        <f aca="false">B169+1</f>
        <v>94</v>
      </c>
      <c r="C170" s="46" t="n">
        <f aca="false">MATCH(A170,Inputs!$B$40:$B$87,0)</f>
        <v>8</v>
      </c>
      <c r="D170" s="32" t="n">
        <f aca="false">INDEX(Inputs!$F$40:$F$87,C170)</f>
        <v>2</v>
      </c>
      <c r="E170" s="78" t="n">
        <f aca="false">INDEX(Inputs!$H$40:$H$87,C170)</f>
        <v>19</v>
      </c>
      <c r="F170" s="78" t="n">
        <f aca="false">INDEX(Inputs!$G$40:$G$87,C170)</f>
        <v>40</v>
      </c>
      <c r="G170" s="32" t="n">
        <f aca="false">INDEX(Inputs!$I$40:$I$87,C170)</f>
        <v>6</v>
      </c>
      <c r="H170" s="46" t="n">
        <f aca="false">MATCH(A170,Demand_History!$C:$C,0)+B170-1</f>
        <v>823</v>
      </c>
      <c r="I170" s="32" t="n">
        <f aca="false">INDEX(Forecast_Walkforward!$C:$C,H170)</f>
        <v>37</v>
      </c>
      <c r="J170" s="79" t="n">
        <f aca="false">INDEX(Forecast_Walkforward!$E:$E,H170)</f>
        <v>40</v>
      </c>
      <c r="K170" s="33" t="n">
        <f aca="false">Baseline_Weeks*J170</f>
        <v>160</v>
      </c>
      <c r="L170" s="46" t="n">
        <f aca="false">SUMIFS(P$165:P169,$B$165:$B169,$B170-$D170)</f>
        <v>30</v>
      </c>
      <c r="M170" s="46" t="n">
        <f aca="false">S169+L170</f>
        <v>94</v>
      </c>
      <c r="N170" s="46" t="n">
        <f aca="false">SUMIFS(P$165:P169,$B$165:$B169,"&gt;"&amp;($B170-$D170))</f>
        <v>42</v>
      </c>
      <c r="O170" s="46" t="n">
        <f aca="false">M170+N170</f>
        <v>136</v>
      </c>
      <c r="P170" s="47" t="n">
        <f aca="false">IF(O170&lt;K170,ROUNDUP((K170-O170)/G170,0)*G170,0)</f>
        <v>24</v>
      </c>
      <c r="Q170" s="46" t="n">
        <f aca="false">MIN(M170,I170)</f>
        <v>37</v>
      </c>
      <c r="R170" s="46" t="n">
        <f aca="false">I170-Q170</f>
        <v>0</v>
      </c>
      <c r="S170" s="46" t="n">
        <f aca="false">M170-Q170</f>
        <v>57</v>
      </c>
      <c r="T170" s="46" t="n">
        <f aca="false">IF(R170&gt;0,1,0)</f>
        <v>0</v>
      </c>
      <c r="U170" s="32" t="n">
        <f aca="false">INDEX(Forecast!$AY$7:$AY$54,C170)</f>
        <v>2</v>
      </c>
      <c r="V170" s="33" t="n">
        <f aca="false">CHOOSE(U170,INDEX(Forecast_Walkforward!$D:$D,H170),INDEX(Forecast_Walkforward!$E:$E,H170),INDEX(Forecast_Walkforward!$F:$F,H170),INDEX(Forecast_Walkforward!$G:$G,H170))</f>
        <v>40</v>
      </c>
      <c r="W170" s="79" t="n">
        <f aca="false">INDEX(Forecast!$BA$7:$BA$54,C170)</f>
        <v>4.93574856291523</v>
      </c>
      <c r="X170" s="33" t="n">
        <f aca="false">Z_Value*W170*SQRT(D170)</f>
        <v>11.4814114946096</v>
      </c>
      <c r="Y170" s="33" t="n">
        <f aca="false">V170*D170+X170</f>
        <v>91.4814114946096</v>
      </c>
      <c r="Z170" s="33" t="n">
        <f aca="false">SQRT((2*V170*Weeks_Per_Year*F170)/(E170*Holding_Rate))</f>
        <v>209.259345512239</v>
      </c>
      <c r="AA170" s="46" t="n">
        <f aca="false">ROUNDUP(Z170/G170,0)*G170</f>
        <v>210</v>
      </c>
      <c r="AB170" s="46" t="n">
        <f aca="false">SUMIFS(AF$165:AF169,$B$165:$B169,$B170-$D170)</f>
        <v>0</v>
      </c>
      <c r="AC170" s="46" t="n">
        <f aca="false">AI169+AB170</f>
        <v>58</v>
      </c>
      <c r="AD170" s="46" t="n">
        <f aca="false">SUMIFS(AF$165:AF169,$B$165:$B169,"&gt;"&amp;($B170-$D170))</f>
        <v>216</v>
      </c>
      <c r="AE170" s="46" t="n">
        <f aca="false">AC170+AD170</f>
        <v>274</v>
      </c>
      <c r="AF170" s="47" t="n">
        <f aca="false">IF(AE170&lt;=Y170,AA170,0)</f>
        <v>0</v>
      </c>
      <c r="AG170" s="46" t="n">
        <f aca="false">MIN(AC170,I170)</f>
        <v>37</v>
      </c>
      <c r="AH170" s="46" t="n">
        <f aca="false">I170-AG170</f>
        <v>0</v>
      </c>
      <c r="AI170" s="46" t="n">
        <f aca="false">AC170-AG170</f>
        <v>21</v>
      </c>
      <c r="AJ170" s="46" t="n">
        <f aca="false">IF(AH170&gt;0,1,0)</f>
        <v>0</v>
      </c>
    </row>
    <row r="171" customFormat="false" ht="15" hidden="false" customHeight="false" outlineLevel="0" collapsed="false">
      <c r="A171" s="31" t="str">
        <f aca="false">Inputs!$B$47</f>
        <v>KIT-008</v>
      </c>
      <c r="B171" s="46" t="n">
        <f aca="false">B170+1</f>
        <v>95</v>
      </c>
      <c r="C171" s="46" t="n">
        <f aca="false">MATCH(A171,Inputs!$B$40:$B$87,0)</f>
        <v>8</v>
      </c>
      <c r="D171" s="32" t="n">
        <f aca="false">INDEX(Inputs!$F$40:$F$87,C171)</f>
        <v>2</v>
      </c>
      <c r="E171" s="78" t="n">
        <f aca="false">INDEX(Inputs!$H$40:$H$87,C171)</f>
        <v>19</v>
      </c>
      <c r="F171" s="78" t="n">
        <f aca="false">INDEX(Inputs!$G$40:$G$87,C171)</f>
        <v>40</v>
      </c>
      <c r="G171" s="32" t="n">
        <f aca="false">INDEX(Inputs!$I$40:$I$87,C171)</f>
        <v>6</v>
      </c>
      <c r="H171" s="46" t="n">
        <f aca="false">MATCH(A171,Demand_History!$C:$C,0)+B171-1</f>
        <v>824</v>
      </c>
      <c r="I171" s="32" t="n">
        <f aca="false">INDEX(Forecast_Walkforward!$C:$C,H171)</f>
        <v>37</v>
      </c>
      <c r="J171" s="79" t="n">
        <f aca="false">INDEX(Forecast_Walkforward!$E:$E,H171)</f>
        <v>38</v>
      </c>
      <c r="K171" s="33" t="n">
        <f aca="false">Baseline_Weeks*J171</f>
        <v>152</v>
      </c>
      <c r="L171" s="46" t="n">
        <f aca="false">SUMIFS(P$165:P170,$B$165:$B170,$B171-$D171)</f>
        <v>42</v>
      </c>
      <c r="M171" s="46" t="n">
        <f aca="false">S170+L171</f>
        <v>99</v>
      </c>
      <c r="N171" s="46" t="n">
        <f aca="false">SUMIFS(P$165:P170,$B$165:$B170,"&gt;"&amp;($B171-$D171))</f>
        <v>24</v>
      </c>
      <c r="O171" s="46" t="n">
        <f aca="false">M171+N171</f>
        <v>123</v>
      </c>
      <c r="P171" s="47" t="n">
        <f aca="false">IF(O171&lt;K171,ROUNDUP((K171-O171)/G171,0)*G171,0)</f>
        <v>30</v>
      </c>
      <c r="Q171" s="46" t="n">
        <f aca="false">MIN(M171,I171)</f>
        <v>37</v>
      </c>
      <c r="R171" s="46" t="n">
        <f aca="false">I171-Q171</f>
        <v>0</v>
      </c>
      <c r="S171" s="46" t="n">
        <f aca="false">M171-Q171</f>
        <v>62</v>
      </c>
      <c r="T171" s="46" t="n">
        <f aca="false">IF(R171&gt;0,1,0)</f>
        <v>0</v>
      </c>
      <c r="U171" s="32" t="n">
        <f aca="false">INDEX(Forecast!$AY$7:$AY$54,C171)</f>
        <v>2</v>
      </c>
      <c r="V171" s="33" t="n">
        <f aca="false">CHOOSE(U171,INDEX(Forecast_Walkforward!$D:$D,H171),INDEX(Forecast_Walkforward!$E:$E,H171),INDEX(Forecast_Walkforward!$F:$F,H171),INDEX(Forecast_Walkforward!$G:$G,H171))</f>
        <v>38</v>
      </c>
      <c r="W171" s="79" t="n">
        <f aca="false">INDEX(Forecast!$BA$7:$BA$54,C171)</f>
        <v>4.93574856291523</v>
      </c>
      <c r="X171" s="33" t="n">
        <f aca="false">Z_Value*W171*SQRT(D171)</f>
        <v>11.4814114946096</v>
      </c>
      <c r="Y171" s="33" t="n">
        <f aca="false">V171*D171+X171</f>
        <v>87.4814114946096</v>
      </c>
      <c r="Z171" s="33" t="n">
        <f aca="false">SQRT((2*V171*Weeks_Per_Year*F171)/(E171*Holding_Rate))</f>
        <v>203.960780543711</v>
      </c>
      <c r="AA171" s="46" t="n">
        <f aca="false">ROUNDUP(Z171/G171,0)*G171</f>
        <v>204</v>
      </c>
      <c r="AB171" s="46" t="n">
        <f aca="false">SUMIFS(AF$165:AF170,$B$165:$B170,$B171-$D171)</f>
        <v>216</v>
      </c>
      <c r="AC171" s="46" t="n">
        <f aca="false">AI170+AB171</f>
        <v>237</v>
      </c>
      <c r="AD171" s="46" t="n">
        <f aca="false">SUMIFS(AF$165:AF170,$B$165:$B170,"&gt;"&amp;($B171-$D171))</f>
        <v>0</v>
      </c>
      <c r="AE171" s="46" t="n">
        <f aca="false">AC171+AD171</f>
        <v>237</v>
      </c>
      <c r="AF171" s="47" t="n">
        <f aca="false">IF(AE171&lt;=Y171,AA171,0)</f>
        <v>0</v>
      </c>
      <c r="AG171" s="46" t="n">
        <f aca="false">MIN(AC171,I171)</f>
        <v>37</v>
      </c>
      <c r="AH171" s="46" t="n">
        <f aca="false">I171-AG171</f>
        <v>0</v>
      </c>
      <c r="AI171" s="46" t="n">
        <f aca="false">AC171-AG171</f>
        <v>200</v>
      </c>
      <c r="AJ171" s="46" t="n">
        <f aca="false">IF(AH171&gt;0,1,0)</f>
        <v>0</v>
      </c>
    </row>
    <row r="172" customFormat="false" ht="15" hidden="false" customHeight="false" outlineLevel="0" collapsed="false">
      <c r="A172" s="31" t="str">
        <f aca="false">Inputs!$B$47</f>
        <v>KIT-008</v>
      </c>
      <c r="B172" s="46" t="n">
        <f aca="false">B171+1</f>
        <v>96</v>
      </c>
      <c r="C172" s="46" t="n">
        <f aca="false">MATCH(A172,Inputs!$B$40:$B$87,0)</f>
        <v>8</v>
      </c>
      <c r="D172" s="32" t="n">
        <f aca="false">INDEX(Inputs!$F$40:$F$87,C172)</f>
        <v>2</v>
      </c>
      <c r="E172" s="78" t="n">
        <f aca="false">INDEX(Inputs!$H$40:$H$87,C172)</f>
        <v>19</v>
      </c>
      <c r="F172" s="78" t="n">
        <f aca="false">INDEX(Inputs!$G$40:$G$87,C172)</f>
        <v>40</v>
      </c>
      <c r="G172" s="32" t="n">
        <f aca="false">INDEX(Inputs!$I$40:$I$87,C172)</f>
        <v>6</v>
      </c>
      <c r="H172" s="46" t="n">
        <f aca="false">MATCH(A172,Demand_History!$C:$C,0)+B172-1</f>
        <v>825</v>
      </c>
      <c r="I172" s="32" t="n">
        <f aca="false">INDEX(Forecast_Walkforward!$C:$C,H172)</f>
        <v>39</v>
      </c>
      <c r="J172" s="79" t="n">
        <f aca="false">INDEX(Forecast_Walkforward!$E:$E,H172)</f>
        <v>38</v>
      </c>
      <c r="K172" s="33" t="n">
        <f aca="false">Baseline_Weeks*J172</f>
        <v>152</v>
      </c>
      <c r="L172" s="46" t="n">
        <f aca="false">SUMIFS(P$165:P171,$B$165:$B171,$B172-$D172)</f>
        <v>24</v>
      </c>
      <c r="M172" s="46" t="n">
        <f aca="false">S171+L172</f>
        <v>86</v>
      </c>
      <c r="N172" s="46" t="n">
        <f aca="false">SUMIFS(P$165:P171,$B$165:$B171,"&gt;"&amp;($B172-$D172))</f>
        <v>30</v>
      </c>
      <c r="O172" s="46" t="n">
        <f aca="false">M172+N172</f>
        <v>116</v>
      </c>
      <c r="P172" s="47" t="n">
        <f aca="false">IF(O172&lt;K172,ROUNDUP((K172-O172)/G172,0)*G172,0)</f>
        <v>36</v>
      </c>
      <c r="Q172" s="46" t="n">
        <f aca="false">MIN(M172,I172)</f>
        <v>39</v>
      </c>
      <c r="R172" s="46" t="n">
        <f aca="false">I172-Q172</f>
        <v>0</v>
      </c>
      <c r="S172" s="46" t="n">
        <f aca="false">M172-Q172</f>
        <v>47</v>
      </c>
      <c r="T172" s="46" t="n">
        <f aca="false">IF(R172&gt;0,1,0)</f>
        <v>0</v>
      </c>
      <c r="U172" s="32" t="n">
        <f aca="false">INDEX(Forecast!$AY$7:$AY$54,C172)</f>
        <v>2</v>
      </c>
      <c r="V172" s="33" t="n">
        <f aca="false">CHOOSE(U172,INDEX(Forecast_Walkforward!$D:$D,H172),INDEX(Forecast_Walkforward!$E:$E,H172),INDEX(Forecast_Walkforward!$F:$F,H172),INDEX(Forecast_Walkforward!$G:$G,H172))</f>
        <v>38</v>
      </c>
      <c r="W172" s="79" t="n">
        <f aca="false">INDEX(Forecast!$BA$7:$BA$54,C172)</f>
        <v>4.93574856291523</v>
      </c>
      <c r="X172" s="33" t="n">
        <f aca="false">Z_Value*W172*SQRT(D172)</f>
        <v>11.4814114946096</v>
      </c>
      <c r="Y172" s="33" t="n">
        <f aca="false">V172*D172+X172</f>
        <v>87.4814114946096</v>
      </c>
      <c r="Z172" s="33" t="n">
        <f aca="false">SQRT((2*V172*Weeks_Per_Year*F172)/(E172*Holding_Rate))</f>
        <v>203.960780543711</v>
      </c>
      <c r="AA172" s="46" t="n">
        <f aca="false">ROUNDUP(Z172/G172,0)*G172</f>
        <v>204</v>
      </c>
      <c r="AB172" s="46" t="n">
        <f aca="false">SUMIFS(AF$165:AF171,$B$165:$B171,$B172-$D172)</f>
        <v>0</v>
      </c>
      <c r="AC172" s="46" t="n">
        <f aca="false">AI171+AB172</f>
        <v>200</v>
      </c>
      <c r="AD172" s="46" t="n">
        <f aca="false">SUMIFS(AF$165:AF171,$B$165:$B171,"&gt;"&amp;($B172-$D172))</f>
        <v>0</v>
      </c>
      <c r="AE172" s="46" t="n">
        <f aca="false">AC172+AD172</f>
        <v>200</v>
      </c>
      <c r="AF172" s="47" t="n">
        <f aca="false">IF(AE172&lt;=Y172,AA172,0)</f>
        <v>0</v>
      </c>
      <c r="AG172" s="46" t="n">
        <f aca="false">MIN(AC172,I172)</f>
        <v>39</v>
      </c>
      <c r="AH172" s="46" t="n">
        <f aca="false">I172-AG172</f>
        <v>0</v>
      </c>
      <c r="AI172" s="46" t="n">
        <f aca="false">AC172-AG172</f>
        <v>161</v>
      </c>
      <c r="AJ172" s="46" t="n">
        <f aca="false">IF(AH172&gt;0,1,0)</f>
        <v>0</v>
      </c>
    </row>
    <row r="173" customFormat="false" ht="15" hidden="false" customHeight="false" outlineLevel="0" collapsed="false">
      <c r="A173" s="31" t="str">
        <f aca="false">Inputs!$B$47</f>
        <v>KIT-008</v>
      </c>
      <c r="B173" s="46" t="n">
        <f aca="false">B172+1</f>
        <v>97</v>
      </c>
      <c r="C173" s="46" t="n">
        <f aca="false">MATCH(A173,Inputs!$B$40:$B$87,0)</f>
        <v>8</v>
      </c>
      <c r="D173" s="32" t="n">
        <f aca="false">INDEX(Inputs!$F$40:$F$87,C173)</f>
        <v>2</v>
      </c>
      <c r="E173" s="78" t="n">
        <f aca="false">INDEX(Inputs!$H$40:$H$87,C173)</f>
        <v>19</v>
      </c>
      <c r="F173" s="78" t="n">
        <f aca="false">INDEX(Inputs!$G$40:$G$87,C173)</f>
        <v>40</v>
      </c>
      <c r="G173" s="32" t="n">
        <f aca="false">INDEX(Inputs!$I$40:$I$87,C173)</f>
        <v>6</v>
      </c>
      <c r="H173" s="46" t="n">
        <f aca="false">MATCH(A173,Demand_History!$C:$C,0)+B173-1</f>
        <v>826</v>
      </c>
      <c r="I173" s="32" t="n">
        <f aca="false">INDEX(Forecast_Walkforward!$C:$C,H173)</f>
        <v>41</v>
      </c>
      <c r="J173" s="79" t="n">
        <f aca="false">INDEX(Forecast_Walkforward!$E:$E,H173)</f>
        <v>37.25</v>
      </c>
      <c r="K173" s="33" t="n">
        <f aca="false">Baseline_Weeks*J173</f>
        <v>149</v>
      </c>
      <c r="L173" s="46" t="n">
        <f aca="false">SUMIFS(P$165:P172,$B$165:$B172,$B173-$D173)</f>
        <v>30</v>
      </c>
      <c r="M173" s="46" t="n">
        <f aca="false">S172+L173</f>
        <v>77</v>
      </c>
      <c r="N173" s="46" t="n">
        <f aca="false">SUMIFS(P$165:P172,$B$165:$B172,"&gt;"&amp;($B173-$D173))</f>
        <v>36</v>
      </c>
      <c r="O173" s="46" t="n">
        <f aca="false">M173+N173</f>
        <v>113</v>
      </c>
      <c r="P173" s="47" t="n">
        <f aca="false">IF(O173&lt;K173,ROUNDUP((K173-O173)/G173,0)*G173,0)</f>
        <v>36</v>
      </c>
      <c r="Q173" s="46" t="n">
        <f aca="false">MIN(M173,I173)</f>
        <v>41</v>
      </c>
      <c r="R173" s="46" t="n">
        <f aca="false">I173-Q173</f>
        <v>0</v>
      </c>
      <c r="S173" s="46" t="n">
        <f aca="false">M173-Q173</f>
        <v>36</v>
      </c>
      <c r="T173" s="46" t="n">
        <f aca="false">IF(R173&gt;0,1,0)</f>
        <v>0</v>
      </c>
      <c r="U173" s="32" t="n">
        <f aca="false">INDEX(Forecast!$AY$7:$AY$54,C173)</f>
        <v>2</v>
      </c>
      <c r="V173" s="33" t="n">
        <f aca="false">CHOOSE(U173,INDEX(Forecast_Walkforward!$D:$D,H173),INDEX(Forecast_Walkforward!$E:$E,H173),INDEX(Forecast_Walkforward!$F:$F,H173),INDEX(Forecast_Walkforward!$G:$G,H173))</f>
        <v>37.25</v>
      </c>
      <c r="W173" s="79" t="n">
        <f aca="false">INDEX(Forecast!$BA$7:$BA$54,C173)</f>
        <v>4.93574856291523</v>
      </c>
      <c r="X173" s="33" t="n">
        <f aca="false">Z_Value*W173*SQRT(D173)</f>
        <v>11.4814114946096</v>
      </c>
      <c r="Y173" s="33" t="n">
        <f aca="false">V173*D173+X173</f>
        <v>85.9814114946096</v>
      </c>
      <c r="Z173" s="33" t="n">
        <f aca="false">SQRT((2*V173*Weeks_Per_Year*F173)/(E173*Holding_Rate))</f>
        <v>201.937979014402</v>
      </c>
      <c r="AA173" s="46" t="n">
        <f aca="false">ROUNDUP(Z173/G173,0)*G173</f>
        <v>204</v>
      </c>
      <c r="AB173" s="46" t="n">
        <f aca="false">SUMIFS(AF$165:AF172,$B$165:$B172,$B173-$D173)</f>
        <v>0</v>
      </c>
      <c r="AC173" s="46" t="n">
        <f aca="false">AI172+AB173</f>
        <v>161</v>
      </c>
      <c r="AD173" s="46" t="n">
        <f aca="false">SUMIFS(AF$165:AF172,$B$165:$B172,"&gt;"&amp;($B173-$D173))</f>
        <v>0</v>
      </c>
      <c r="AE173" s="46" t="n">
        <f aca="false">AC173+AD173</f>
        <v>161</v>
      </c>
      <c r="AF173" s="47" t="n">
        <f aca="false">IF(AE173&lt;=Y173,AA173,0)</f>
        <v>0</v>
      </c>
      <c r="AG173" s="46" t="n">
        <f aca="false">MIN(AC173,I173)</f>
        <v>41</v>
      </c>
      <c r="AH173" s="46" t="n">
        <f aca="false">I173-AG173</f>
        <v>0</v>
      </c>
      <c r="AI173" s="46" t="n">
        <f aca="false">AC173-AG173</f>
        <v>120</v>
      </c>
      <c r="AJ173" s="46" t="n">
        <f aca="false">IF(AH173&gt;0,1,0)</f>
        <v>0</v>
      </c>
    </row>
    <row r="174" customFormat="false" ht="15" hidden="false" customHeight="false" outlineLevel="0" collapsed="false">
      <c r="A174" s="31" t="str">
        <f aca="false">Inputs!$B$47</f>
        <v>KIT-008</v>
      </c>
      <c r="B174" s="46" t="n">
        <f aca="false">B173+1</f>
        <v>98</v>
      </c>
      <c r="C174" s="46" t="n">
        <f aca="false">MATCH(A174,Inputs!$B$40:$B$87,0)</f>
        <v>8</v>
      </c>
      <c r="D174" s="32" t="n">
        <f aca="false">INDEX(Inputs!$F$40:$F$87,C174)</f>
        <v>2</v>
      </c>
      <c r="E174" s="78" t="n">
        <f aca="false">INDEX(Inputs!$H$40:$H$87,C174)</f>
        <v>19</v>
      </c>
      <c r="F174" s="78" t="n">
        <f aca="false">INDEX(Inputs!$G$40:$G$87,C174)</f>
        <v>40</v>
      </c>
      <c r="G174" s="32" t="n">
        <f aca="false">INDEX(Inputs!$I$40:$I$87,C174)</f>
        <v>6</v>
      </c>
      <c r="H174" s="46" t="n">
        <f aca="false">MATCH(A174,Demand_History!$C:$C,0)+B174-1</f>
        <v>827</v>
      </c>
      <c r="I174" s="32" t="n">
        <f aca="false">INDEX(Forecast_Walkforward!$C:$C,H174)</f>
        <v>42</v>
      </c>
      <c r="J174" s="79" t="n">
        <f aca="false">INDEX(Forecast_Walkforward!$E:$E,H174)</f>
        <v>38.5</v>
      </c>
      <c r="K174" s="33" t="n">
        <f aca="false">Baseline_Weeks*J174</f>
        <v>154</v>
      </c>
      <c r="L174" s="46" t="n">
        <f aca="false">SUMIFS(P$165:P173,$B$165:$B173,$B174-$D174)</f>
        <v>36</v>
      </c>
      <c r="M174" s="46" t="n">
        <f aca="false">S173+L174</f>
        <v>72</v>
      </c>
      <c r="N174" s="46" t="n">
        <f aca="false">SUMIFS(P$165:P173,$B$165:$B173,"&gt;"&amp;($B174-$D174))</f>
        <v>36</v>
      </c>
      <c r="O174" s="46" t="n">
        <f aca="false">M174+N174</f>
        <v>108</v>
      </c>
      <c r="P174" s="47" t="n">
        <f aca="false">IF(O174&lt;K174,ROUNDUP((K174-O174)/G174,0)*G174,0)</f>
        <v>48</v>
      </c>
      <c r="Q174" s="46" t="n">
        <f aca="false">MIN(M174,I174)</f>
        <v>42</v>
      </c>
      <c r="R174" s="46" t="n">
        <f aca="false">I174-Q174</f>
        <v>0</v>
      </c>
      <c r="S174" s="46" t="n">
        <f aca="false">M174-Q174</f>
        <v>30</v>
      </c>
      <c r="T174" s="46" t="n">
        <f aca="false">IF(R174&gt;0,1,0)</f>
        <v>0</v>
      </c>
      <c r="U174" s="32" t="n">
        <f aca="false">INDEX(Forecast!$AY$7:$AY$54,C174)</f>
        <v>2</v>
      </c>
      <c r="V174" s="33" t="n">
        <f aca="false">CHOOSE(U174,INDEX(Forecast_Walkforward!$D:$D,H174),INDEX(Forecast_Walkforward!$E:$E,H174),INDEX(Forecast_Walkforward!$F:$F,H174),INDEX(Forecast_Walkforward!$G:$G,H174))</f>
        <v>38.5</v>
      </c>
      <c r="W174" s="79" t="n">
        <f aca="false">INDEX(Forecast!$BA$7:$BA$54,C174)</f>
        <v>4.93574856291523</v>
      </c>
      <c r="X174" s="33" t="n">
        <f aca="false">Z_Value*W174*SQRT(D174)</f>
        <v>11.4814114946096</v>
      </c>
      <c r="Y174" s="33" t="n">
        <f aca="false">V174*D174+X174</f>
        <v>88.4814114946096</v>
      </c>
      <c r="Z174" s="33" t="n">
        <f aca="false">SQRT((2*V174*Weeks_Per_Year*F174)/(E174*Holding_Rate))</f>
        <v>205.298242615597</v>
      </c>
      <c r="AA174" s="46" t="n">
        <f aca="false">ROUNDUP(Z174/G174,0)*G174</f>
        <v>210</v>
      </c>
      <c r="AB174" s="46" t="n">
        <f aca="false">SUMIFS(AF$165:AF173,$B$165:$B173,$B174-$D174)</f>
        <v>0</v>
      </c>
      <c r="AC174" s="46" t="n">
        <f aca="false">AI173+AB174</f>
        <v>120</v>
      </c>
      <c r="AD174" s="46" t="n">
        <f aca="false">SUMIFS(AF$165:AF173,$B$165:$B173,"&gt;"&amp;($B174-$D174))</f>
        <v>0</v>
      </c>
      <c r="AE174" s="46" t="n">
        <f aca="false">AC174+AD174</f>
        <v>120</v>
      </c>
      <c r="AF174" s="47" t="n">
        <f aca="false">IF(AE174&lt;=Y174,AA174,0)</f>
        <v>0</v>
      </c>
      <c r="AG174" s="46" t="n">
        <f aca="false">MIN(AC174,I174)</f>
        <v>42</v>
      </c>
      <c r="AH174" s="46" t="n">
        <f aca="false">I174-AG174</f>
        <v>0</v>
      </c>
      <c r="AI174" s="46" t="n">
        <f aca="false">AC174-AG174</f>
        <v>78</v>
      </c>
      <c r="AJ174" s="46" t="n">
        <f aca="false">IF(AH174&gt;0,1,0)</f>
        <v>0</v>
      </c>
    </row>
    <row r="175" customFormat="false" ht="15" hidden="false" customHeight="false" outlineLevel="0" collapsed="false">
      <c r="A175" s="31" t="str">
        <f aca="false">Inputs!$B$47</f>
        <v>KIT-008</v>
      </c>
      <c r="B175" s="46" t="n">
        <f aca="false">B174+1</f>
        <v>99</v>
      </c>
      <c r="C175" s="46" t="n">
        <f aca="false">MATCH(A175,Inputs!$B$40:$B$87,0)</f>
        <v>8</v>
      </c>
      <c r="D175" s="32" t="n">
        <f aca="false">INDEX(Inputs!$F$40:$F$87,C175)</f>
        <v>2</v>
      </c>
      <c r="E175" s="78" t="n">
        <f aca="false">INDEX(Inputs!$H$40:$H$87,C175)</f>
        <v>19</v>
      </c>
      <c r="F175" s="78" t="n">
        <f aca="false">INDEX(Inputs!$G$40:$G$87,C175)</f>
        <v>40</v>
      </c>
      <c r="G175" s="32" t="n">
        <f aca="false">INDEX(Inputs!$I$40:$I$87,C175)</f>
        <v>6</v>
      </c>
      <c r="H175" s="46" t="n">
        <f aca="false">MATCH(A175,Demand_History!$C:$C,0)+B175-1</f>
        <v>828</v>
      </c>
      <c r="I175" s="32" t="n">
        <f aca="false">INDEX(Forecast_Walkforward!$C:$C,H175)</f>
        <v>34</v>
      </c>
      <c r="J175" s="79" t="n">
        <f aca="false">INDEX(Forecast_Walkforward!$E:$E,H175)</f>
        <v>39.75</v>
      </c>
      <c r="K175" s="33" t="n">
        <f aca="false">Baseline_Weeks*J175</f>
        <v>159</v>
      </c>
      <c r="L175" s="46" t="n">
        <f aca="false">SUMIFS(P$165:P174,$B$165:$B174,$B175-$D175)</f>
        <v>36</v>
      </c>
      <c r="M175" s="46" t="n">
        <f aca="false">S174+L175</f>
        <v>66</v>
      </c>
      <c r="N175" s="46" t="n">
        <f aca="false">SUMIFS(P$165:P174,$B$165:$B174,"&gt;"&amp;($B175-$D175))</f>
        <v>48</v>
      </c>
      <c r="O175" s="46" t="n">
        <f aca="false">M175+N175</f>
        <v>114</v>
      </c>
      <c r="P175" s="47" t="n">
        <f aca="false">IF(O175&lt;K175,ROUNDUP((K175-O175)/G175,0)*G175,0)</f>
        <v>48</v>
      </c>
      <c r="Q175" s="46" t="n">
        <f aca="false">MIN(M175,I175)</f>
        <v>34</v>
      </c>
      <c r="R175" s="46" t="n">
        <f aca="false">I175-Q175</f>
        <v>0</v>
      </c>
      <c r="S175" s="46" t="n">
        <f aca="false">M175-Q175</f>
        <v>32</v>
      </c>
      <c r="T175" s="46" t="n">
        <f aca="false">IF(R175&gt;0,1,0)</f>
        <v>0</v>
      </c>
      <c r="U175" s="32" t="n">
        <f aca="false">INDEX(Forecast!$AY$7:$AY$54,C175)</f>
        <v>2</v>
      </c>
      <c r="V175" s="33" t="n">
        <f aca="false">CHOOSE(U175,INDEX(Forecast_Walkforward!$D:$D,H175),INDEX(Forecast_Walkforward!$E:$E,H175),INDEX(Forecast_Walkforward!$F:$F,H175),INDEX(Forecast_Walkforward!$G:$G,H175))</f>
        <v>39.75</v>
      </c>
      <c r="W175" s="79" t="n">
        <f aca="false">INDEX(Forecast!$BA$7:$BA$54,C175)</f>
        <v>4.93574856291523</v>
      </c>
      <c r="X175" s="33" t="n">
        <f aca="false">Z_Value*W175*SQRT(D175)</f>
        <v>11.4814114946096</v>
      </c>
      <c r="Y175" s="33" t="n">
        <f aca="false">V175*D175+X175</f>
        <v>90.9814114946096</v>
      </c>
      <c r="Z175" s="33" t="n">
        <f aca="false">SQRT((2*V175*Weeks_Per_Year*F175)/(E175*Holding_Rate))</f>
        <v>208.604385077793</v>
      </c>
      <c r="AA175" s="46" t="n">
        <f aca="false">ROUNDUP(Z175/G175,0)*G175</f>
        <v>210</v>
      </c>
      <c r="AB175" s="46" t="n">
        <f aca="false">SUMIFS(AF$165:AF174,$B$165:$B174,$B175-$D175)</f>
        <v>0</v>
      </c>
      <c r="AC175" s="46" t="n">
        <f aca="false">AI174+AB175</f>
        <v>78</v>
      </c>
      <c r="AD175" s="46" t="n">
        <f aca="false">SUMIFS(AF$165:AF174,$B$165:$B174,"&gt;"&amp;($B175-$D175))</f>
        <v>0</v>
      </c>
      <c r="AE175" s="46" t="n">
        <f aca="false">AC175+AD175</f>
        <v>78</v>
      </c>
      <c r="AF175" s="47" t="n">
        <f aca="false">IF(AE175&lt;=Y175,AA175,0)</f>
        <v>210</v>
      </c>
      <c r="AG175" s="46" t="n">
        <f aca="false">MIN(AC175,I175)</f>
        <v>34</v>
      </c>
      <c r="AH175" s="46" t="n">
        <f aca="false">I175-AG175</f>
        <v>0</v>
      </c>
      <c r="AI175" s="46" t="n">
        <f aca="false">AC175-AG175</f>
        <v>44</v>
      </c>
      <c r="AJ175" s="46" t="n">
        <f aca="false">IF(AH175&gt;0,1,0)</f>
        <v>0</v>
      </c>
    </row>
    <row r="176" customFormat="false" ht="15" hidden="false" customHeight="false" outlineLevel="0" collapsed="false">
      <c r="A176" s="31" t="str">
        <f aca="false">Inputs!$B$47</f>
        <v>KIT-008</v>
      </c>
      <c r="B176" s="46" t="n">
        <f aca="false">B175+1</f>
        <v>100</v>
      </c>
      <c r="C176" s="46" t="n">
        <f aca="false">MATCH(A176,Inputs!$B$40:$B$87,0)</f>
        <v>8</v>
      </c>
      <c r="D176" s="32" t="n">
        <f aca="false">INDEX(Inputs!$F$40:$F$87,C176)</f>
        <v>2</v>
      </c>
      <c r="E176" s="78" t="n">
        <f aca="false">INDEX(Inputs!$H$40:$H$87,C176)</f>
        <v>19</v>
      </c>
      <c r="F176" s="78" t="n">
        <f aca="false">INDEX(Inputs!$G$40:$G$87,C176)</f>
        <v>40</v>
      </c>
      <c r="G176" s="32" t="n">
        <f aca="false">INDEX(Inputs!$I$40:$I$87,C176)</f>
        <v>6</v>
      </c>
      <c r="H176" s="46" t="n">
        <f aca="false">MATCH(A176,Demand_History!$C:$C,0)+B176-1</f>
        <v>829</v>
      </c>
      <c r="I176" s="32" t="n">
        <f aca="false">INDEX(Forecast_Walkforward!$C:$C,H176)</f>
        <v>49</v>
      </c>
      <c r="J176" s="79" t="n">
        <f aca="false">INDEX(Forecast_Walkforward!$E:$E,H176)</f>
        <v>39</v>
      </c>
      <c r="K176" s="33" t="n">
        <f aca="false">Baseline_Weeks*J176</f>
        <v>156</v>
      </c>
      <c r="L176" s="46" t="n">
        <f aca="false">SUMIFS(P$165:P175,$B$165:$B175,$B176-$D176)</f>
        <v>48</v>
      </c>
      <c r="M176" s="46" t="n">
        <f aca="false">S175+L176</f>
        <v>80</v>
      </c>
      <c r="N176" s="46" t="n">
        <f aca="false">SUMIFS(P$165:P175,$B$165:$B175,"&gt;"&amp;($B176-$D176))</f>
        <v>48</v>
      </c>
      <c r="O176" s="46" t="n">
        <f aca="false">M176+N176</f>
        <v>128</v>
      </c>
      <c r="P176" s="47" t="n">
        <f aca="false">IF(O176&lt;K176,ROUNDUP((K176-O176)/G176,0)*G176,0)</f>
        <v>30</v>
      </c>
      <c r="Q176" s="46" t="n">
        <f aca="false">MIN(M176,I176)</f>
        <v>49</v>
      </c>
      <c r="R176" s="46" t="n">
        <f aca="false">I176-Q176</f>
        <v>0</v>
      </c>
      <c r="S176" s="46" t="n">
        <f aca="false">M176-Q176</f>
        <v>31</v>
      </c>
      <c r="T176" s="46" t="n">
        <f aca="false">IF(R176&gt;0,1,0)</f>
        <v>0</v>
      </c>
      <c r="U176" s="32" t="n">
        <f aca="false">INDEX(Forecast!$AY$7:$AY$54,C176)</f>
        <v>2</v>
      </c>
      <c r="V176" s="33" t="n">
        <f aca="false">CHOOSE(U176,INDEX(Forecast_Walkforward!$D:$D,H176),INDEX(Forecast_Walkforward!$E:$E,H176),INDEX(Forecast_Walkforward!$F:$F,H176),INDEX(Forecast_Walkforward!$G:$G,H176))</f>
        <v>39</v>
      </c>
      <c r="W176" s="79" t="n">
        <f aca="false">INDEX(Forecast!$BA$7:$BA$54,C176)</f>
        <v>4.93574856291523</v>
      </c>
      <c r="X176" s="33" t="n">
        <f aca="false">Z_Value*W176*SQRT(D176)</f>
        <v>11.4814114946096</v>
      </c>
      <c r="Y176" s="33" t="n">
        <f aca="false">V176*D176+X176</f>
        <v>89.4814114946096</v>
      </c>
      <c r="Z176" s="33" t="n">
        <f aca="false">SQRT((2*V176*Weeks_Per_Year*F176)/(E176*Holding_Rate))</f>
        <v>206.627047702147</v>
      </c>
      <c r="AA176" s="46" t="n">
        <f aca="false">ROUNDUP(Z176/G176,0)*G176</f>
        <v>210</v>
      </c>
      <c r="AB176" s="46" t="n">
        <f aca="false">SUMIFS(AF$165:AF175,$B$165:$B175,$B176-$D176)</f>
        <v>0</v>
      </c>
      <c r="AC176" s="46" t="n">
        <f aca="false">AI175+AB176</f>
        <v>44</v>
      </c>
      <c r="AD176" s="46" t="n">
        <f aca="false">SUMIFS(AF$165:AF175,$B$165:$B175,"&gt;"&amp;($B176-$D176))</f>
        <v>210</v>
      </c>
      <c r="AE176" s="46" t="n">
        <f aca="false">AC176+AD176</f>
        <v>254</v>
      </c>
      <c r="AF176" s="47" t="n">
        <f aca="false">IF(AE176&lt;=Y176,AA176,0)</f>
        <v>0</v>
      </c>
      <c r="AG176" s="46" t="n">
        <f aca="false">MIN(AC176,I176)</f>
        <v>44</v>
      </c>
      <c r="AH176" s="46" t="n">
        <f aca="false">I176-AG176</f>
        <v>5</v>
      </c>
      <c r="AI176" s="46" t="n">
        <f aca="false">AC176-AG176</f>
        <v>0</v>
      </c>
      <c r="AJ176" s="46" t="n">
        <f aca="false">IF(AH176&gt;0,1,0)</f>
        <v>1</v>
      </c>
    </row>
    <row r="177" customFormat="false" ht="15" hidden="false" customHeight="false" outlineLevel="0" collapsed="false">
      <c r="A177" s="31" t="str">
        <f aca="false">Inputs!$B$47</f>
        <v>KIT-008</v>
      </c>
      <c r="B177" s="46" t="n">
        <f aca="false">B176+1</f>
        <v>101</v>
      </c>
      <c r="C177" s="46" t="n">
        <f aca="false">MATCH(A177,Inputs!$B$40:$B$87,0)</f>
        <v>8</v>
      </c>
      <c r="D177" s="32" t="n">
        <f aca="false">INDEX(Inputs!$F$40:$F$87,C177)</f>
        <v>2</v>
      </c>
      <c r="E177" s="78" t="n">
        <f aca="false">INDEX(Inputs!$H$40:$H$87,C177)</f>
        <v>19</v>
      </c>
      <c r="F177" s="78" t="n">
        <f aca="false">INDEX(Inputs!$G$40:$G$87,C177)</f>
        <v>40</v>
      </c>
      <c r="G177" s="32" t="n">
        <f aca="false">INDEX(Inputs!$I$40:$I$87,C177)</f>
        <v>6</v>
      </c>
      <c r="H177" s="46" t="n">
        <f aca="false">MATCH(A177,Demand_History!$C:$C,0)+B177-1</f>
        <v>830</v>
      </c>
      <c r="I177" s="32" t="n">
        <f aca="false">INDEX(Forecast_Walkforward!$C:$C,H177)</f>
        <v>45</v>
      </c>
      <c r="J177" s="79" t="n">
        <f aca="false">INDEX(Forecast_Walkforward!$E:$E,H177)</f>
        <v>41.5</v>
      </c>
      <c r="K177" s="33" t="n">
        <f aca="false">Baseline_Weeks*J177</f>
        <v>166</v>
      </c>
      <c r="L177" s="46" t="n">
        <f aca="false">SUMIFS(P$165:P176,$B$165:$B176,$B177-$D177)</f>
        <v>48</v>
      </c>
      <c r="M177" s="46" t="n">
        <f aca="false">S176+L177</f>
        <v>79</v>
      </c>
      <c r="N177" s="46" t="n">
        <f aca="false">SUMIFS(P$165:P176,$B$165:$B176,"&gt;"&amp;($B177-$D177))</f>
        <v>30</v>
      </c>
      <c r="O177" s="46" t="n">
        <f aca="false">M177+N177</f>
        <v>109</v>
      </c>
      <c r="P177" s="47" t="n">
        <f aca="false">IF(O177&lt;K177,ROUNDUP((K177-O177)/G177,0)*G177,0)</f>
        <v>60</v>
      </c>
      <c r="Q177" s="46" t="n">
        <f aca="false">MIN(M177,I177)</f>
        <v>45</v>
      </c>
      <c r="R177" s="46" t="n">
        <f aca="false">I177-Q177</f>
        <v>0</v>
      </c>
      <c r="S177" s="46" t="n">
        <f aca="false">M177-Q177</f>
        <v>34</v>
      </c>
      <c r="T177" s="46" t="n">
        <f aca="false">IF(R177&gt;0,1,0)</f>
        <v>0</v>
      </c>
      <c r="U177" s="32" t="n">
        <f aca="false">INDEX(Forecast!$AY$7:$AY$54,C177)</f>
        <v>2</v>
      </c>
      <c r="V177" s="33" t="n">
        <f aca="false">CHOOSE(U177,INDEX(Forecast_Walkforward!$D:$D,H177),INDEX(Forecast_Walkforward!$E:$E,H177),INDEX(Forecast_Walkforward!$F:$F,H177),INDEX(Forecast_Walkforward!$G:$G,H177))</f>
        <v>41.5</v>
      </c>
      <c r="W177" s="79" t="n">
        <f aca="false">INDEX(Forecast!$BA$7:$BA$54,C177)</f>
        <v>4.93574856291523</v>
      </c>
      <c r="X177" s="33" t="n">
        <f aca="false">Z_Value*W177*SQRT(D177)</f>
        <v>11.4814114946096</v>
      </c>
      <c r="Y177" s="33" t="n">
        <f aca="false">V177*D177+X177</f>
        <v>94.4814114946096</v>
      </c>
      <c r="Z177" s="33" t="n">
        <f aca="false">SQRT((2*V177*Weeks_Per_Year*F177)/(E177*Holding_Rate))</f>
        <v>213.146848316761</v>
      </c>
      <c r="AA177" s="46" t="n">
        <f aca="false">ROUNDUP(Z177/G177,0)*G177</f>
        <v>216</v>
      </c>
      <c r="AB177" s="46" t="n">
        <f aca="false">SUMIFS(AF$165:AF176,$B$165:$B176,$B177-$D177)</f>
        <v>210</v>
      </c>
      <c r="AC177" s="46" t="n">
        <f aca="false">AI176+AB177</f>
        <v>210</v>
      </c>
      <c r="AD177" s="46" t="n">
        <f aca="false">SUMIFS(AF$165:AF176,$B$165:$B176,"&gt;"&amp;($B177-$D177))</f>
        <v>0</v>
      </c>
      <c r="AE177" s="46" t="n">
        <f aca="false">AC177+AD177</f>
        <v>210</v>
      </c>
      <c r="AF177" s="47" t="n">
        <f aca="false">IF(AE177&lt;=Y177,AA177,0)</f>
        <v>0</v>
      </c>
      <c r="AG177" s="46" t="n">
        <f aca="false">MIN(AC177,I177)</f>
        <v>45</v>
      </c>
      <c r="AH177" s="46" t="n">
        <f aca="false">I177-AG177</f>
        <v>0</v>
      </c>
      <c r="AI177" s="46" t="n">
        <f aca="false">AC177-AG177</f>
        <v>165</v>
      </c>
      <c r="AJ177" s="46" t="n">
        <f aca="false">IF(AH177&gt;0,1,0)</f>
        <v>0</v>
      </c>
    </row>
    <row r="178" customFormat="false" ht="15" hidden="false" customHeight="false" outlineLevel="0" collapsed="false">
      <c r="A178" s="31" t="str">
        <f aca="false">Inputs!$B$47</f>
        <v>KIT-008</v>
      </c>
      <c r="B178" s="46" t="n">
        <f aca="false">B177+1</f>
        <v>102</v>
      </c>
      <c r="C178" s="46" t="n">
        <f aca="false">MATCH(A178,Inputs!$B$40:$B$87,0)</f>
        <v>8</v>
      </c>
      <c r="D178" s="32" t="n">
        <f aca="false">INDEX(Inputs!$F$40:$F$87,C178)</f>
        <v>2</v>
      </c>
      <c r="E178" s="78" t="n">
        <f aca="false">INDEX(Inputs!$H$40:$H$87,C178)</f>
        <v>19</v>
      </c>
      <c r="F178" s="78" t="n">
        <f aca="false">INDEX(Inputs!$G$40:$G$87,C178)</f>
        <v>40</v>
      </c>
      <c r="G178" s="32" t="n">
        <f aca="false">INDEX(Inputs!$I$40:$I$87,C178)</f>
        <v>6</v>
      </c>
      <c r="H178" s="46" t="n">
        <f aca="false">MATCH(A178,Demand_History!$C:$C,0)+B178-1</f>
        <v>831</v>
      </c>
      <c r="I178" s="32" t="n">
        <f aca="false">INDEX(Forecast_Walkforward!$C:$C,H178)</f>
        <v>43</v>
      </c>
      <c r="J178" s="79" t="n">
        <f aca="false">INDEX(Forecast_Walkforward!$E:$E,H178)</f>
        <v>42.5</v>
      </c>
      <c r="K178" s="33" t="n">
        <f aca="false">Baseline_Weeks*J178</f>
        <v>170</v>
      </c>
      <c r="L178" s="46" t="n">
        <f aca="false">SUMIFS(P$165:P177,$B$165:$B177,$B178-$D178)</f>
        <v>30</v>
      </c>
      <c r="M178" s="46" t="n">
        <f aca="false">S177+L178</f>
        <v>64</v>
      </c>
      <c r="N178" s="46" t="n">
        <f aca="false">SUMIFS(P$165:P177,$B$165:$B177,"&gt;"&amp;($B178-$D178))</f>
        <v>60</v>
      </c>
      <c r="O178" s="46" t="n">
        <f aca="false">M178+N178</f>
        <v>124</v>
      </c>
      <c r="P178" s="47" t="n">
        <f aca="false">IF(O178&lt;K178,ROUNDUP((K178-O178)/G178,0)*G178,0)</f>
        <v>48</v>
      </c>
      <c r="Q178" s="46" t="n">
        <f aca="false">MIN(M178,I178)</f>
        <v>43</v>
      </c>
      <c r="R178" s="46" t="n">
        <f aca="false">I178-Q178</f>
        <v>0</v>
      </c>
      <c r="S178" s="46" t="n">
        <f aca="false">M178-Q178</f>
        <v>21</v>
      </c>
      <c r="T178" s="46" t="n">
        <f aca="false">IF(R178&gt;0,1,0)</f>
        <v>0</v>
      </c>
      <c r="U178" s="32" t="n">
        <f aca="false">INDEX(Forecast!$AY$7:$AY$54,C178)</f>
        <v>2</v>
      </c>
      <c r="V178" s="33" t="n">
        <f aca="false">CHOOSE(U178,INDEX(Forecast_Walkforward!$D:$D,H178),INDEX(Forecast_Walkforward!$E:$E,H178),INDEX(Forecast_Walkforward!$F:$F,H178),INDEX(Forecast_Walkforward!$G:$G,H178))</f>
        <v>42.5</v>
      </c>
      <c r="W178" s="79" t="n">
        <f aca="false">INDEX(Forecast!$BA$7:$BA$54,C178)</f>
        <v>4.93574856291523</v>
      </c>
      <c r="X178" s="33" t="n">
        <f aca="false">Z_Value*W178*SQRT(D178)</f>
        <v>11.4814114946096</v>
      </c>
      <c r="Y178" s="33" t="n">
        <f aca="false">V178*D178+X178</f>
        <v>96.4814114946096</v>
      </c>
      <c r="Z178" s="33" t="n">
        <f aca="false">SQRT((2*V178*Weeks_Per_Year*F178)/(E178*Holding_Rate))</f>
        <v>215.699596173645</v>
      </c>
      <c r="AA178" s="46" t="n">
        <f aca="false">ROUNDUP(Z178/G178,0)*G178</f>
        <v>216</v>
      </c>
      <c r="AB178" s="46" t="n">
        <f aca="false">SUMIFS(AF$165:AF177,$B$165:$B177,$B178-$D178)</f>
        <v>0</v>
      </c>
      <c r="AC178" s="46" t="n">
        <f aca="false">AI177+AB178</f>
        <v>165</v>
      </c>
      <c r="AD178" s="46" t="n">
        <f aca="false">SUMIFS(AF$165:AF177,$B$165:$B177,"&gt;"&amp;($B178-$D178))</f>
        <v>0</v>
      </c>
      <c r="AE178" s="46" t="n">
        <f aca="false">AC178+AD178</f>
        <v>165</v>
      </c>
      <c r="AF178" s="47" t="n">
        <f aca="false">IF(AE178&lt;=Y178,AA178,0)</f>
        <v>0</v>
      </c>
      <c r="AG178" s="46" t="n">
        <f aca="false">MIN(AC178,I178)</f>
        <v>43</v>
      </c>
      <c r="AH178" s="46" t="n">
        <f aca="false">I178-AG178</f>
        <v>0</v>
      </c>
      <c r="AI178" s="46" t="n">
        <f aca="false">AC178-AG178</f>
        <v>122</v>
      </c>
      <c r="AJ178" s="46" t="n">
        <f aca="false">IF(AH178&gt;0,1,0)</f>
        <v>0</v>
      </c>
    </row>
    <row r="179" customFormat="false" ht="15" hidden="false" customHeight="false" outlineLevel="0" collapsed="false">
      <c r="A179" s="31" t="str">
        <f aca="false">Inputs!$B$47</f>
        <v>KIT-008</v>
      </c>
      <c r="B179" s="46" t="n">
        <f aca="false">B178+1</f>
        <v>103</v>
      </c>
      <c r="C179" s="46" t="n">
        <f aca="false">MATCH(A179,Inputs!$B$40:$B$87,0)</f>
        <v>8</v>
      </c>
      <c r="D179" s="32" t="n">
        <f aca="false">INDEX(Inputs!$F$40:$F$87,C179)</f>
        <v>2</v>
      </c>
      <c r="E179" s="78" t="n">
        <f aca="false">INDEX(Inputs!$H$40:$H$87,C179)</f>
        <v>19</v>
      </c>
      <c r="F179" s="78" t="n">
        <f aca="false">INDEX(Inputs!$G$40:$G$87,C179)</f>
        <v>40</v>
      </c>
      <c r="G179" s="32" t="n">
        <f aca="false">INDEX(Inputs!$I$40:$I$87,C179)</f>
        <v>6</v>
      </c>
      <c r="H179" s="46" t="n">
        <f aca="false">MATCH(A179,Demand_History!$C:$C,0)+B179-1</f>
        <v>832</v>
      </c>
      <c r="I179" s="32" t="n">
        <f aca="false">INDEX(Forecast_Walkforward!$C:$C,H179)</f>
        <v>38</v>
      </c>
      <c r="J179" s="79" t="n">
        <f aca="false">INDEX(Forecast_Walkforward!$E:$E,H179)</f>
        <v>42.75</v>
      </c>
      <c r="K179" s="33" t="n">
        <f aca="false">Baseline_Weeks*J179</f>
        <v>171</v>
      </c>
      <c r="L179" s="46" t="n">
        <f aca="false">SUMIFS(P$165:P178,$B$165:$B178,$B179-$D179)</f>
        <v>60</v>
      </c>
      <c r="M179" s="46" t="n">
        <f aca="false">S178+L179</f>
        <v>81</v>
      </c>
      <c r="N179" s="46" t="n">
        <f aca="false">SUMIFS(P$165:P178,$B$165:$B178,"&gt;"&amp;($B179-$D179))</f>
        <v>48</v>
      </c>
      <c r="O179" s="46" t="n">
        <f aca="false">M179+N179</f>
        <v>129</v>
      </c>
      <c r="P179" s="47" t="n">
        <f aca="false">IF(O179&lt;K179,ROUNDUP((K179-O179)/G179,0)*G179,0)</f>
        <v>42</v>
      </c>
      <c r="Q179" s="46" t="n">
        <f aca="false">MIN(M179,I179)</f>
        <v>38</v>
      </c>
      <c r="R179" s="46" t="n">
        <f aca="false">I179-Q179</f>
        <v>0</v>
      </c>
      <c r="S179" s="46" t="n">
        <f aca="false">M179-Q179</f>
        <v>43</v>
      </c>
      <c r="T179" s="46" t="n">
        <f aca="false">IF(R179&gt;0,1,0)</f>
        <v>0</v>
      </c>
      <c r="U179" s="32" t="n">
        <f aca="false">INDEX(Forecast!$AY$7:$AY$54,C179)</f>
        <v>2</v>
      </c>
      <c r="V179" s="33" t="n">
        <f aca="false">CHOOSE(U179,INDEX(Forecast_Walkforward!$D:$D,H179),INDEX(Forecast_Walkforward!$E:$E,H179),INDEX(Forecast_Walkforward!$F:$F,H179),INDEX(Forecast_Walkforward!$G:$G,H179))</f>
        <v>42.75</v>
      </c>
      <c r="W179" s="79" t="n">
        <f aca="false">INDEX(Forecast!$BA$7:$BA$54,C179)</f>
        <v>4.93574856291523</v>
      </c>
      <c r="X179" s="33" t="n">
        <f aca="false">Z_Value*W179*SQRT(D179)</f>
        <v>11.4814114946096</v>
      </c>
      <c r="Y179" s="33" t="n">
        <f aca="false">V179*D179+X179</f>
        <v>96.9814114946096</v>
      </c>
      <c r="Z179" s="33" t="n">
        <f aca="false">SQRT((2*V179*Weeks_Per_Year*F179)/(E179*Holding_Rate))</f>
        <v>216.333076527839</v>
      </c>
      <c r="AA179" s="46" t="n">
        <f aca="false">ROUNDUP(Z179/G179,0)*G179</f>
        <v>222</v>
      </c>
      <c r="AB179" s="46" t="n">
        <f aca="false">SUMIFS(AF$165:AF178,$B$165:$B178,$B179-$D179)</f>
        <v>0</v>
      </c>
      <c r="AC179" s="46" t="n">
        <f aca="false">AI178+AB179</f>
        <v>122</v>
      </c>
      <c r="AD179" s="46" t="n">
        <f aca="false">SUMIFS(AF$165:AF178,$B$165:$B178,"&gt;"&amp;($B179-$D179))</f>
        <v>0</v>
      </c>
      <c r="AE179" s="46" t="n">
        <f aca="false">AC179+AD179</f>
        <v>122</v>
      </c>
      <c r="AF179" s="47" t="n">
        <f aca="false">IF(AE179&lt;=Y179,AA179,0)</f>
        <v>0</v>
      </c>
      <c r="AG179" s="46" t="n">
        <f aca="false">MIN(AC179,I179)</f>
        <v>38</v>
      </c>
      <c r="AH179" s="46" t="n">
        <f aca="false">I179-AG179</f>
        <v>0</v>
      </c>
      <c r="AI179" s="46" t="n">
        <f aca="false">AC179-AG179</f>
        <v>84</v>
      </c>
      <c r="AJ179" s="46" t="n">
        <f aca="false">IF(AH179&gt;0,1,0)</f>
        <v>0</v>
      </c>
    </row>
    <row r="180" customFormat="false" ht="15" hidden="false" customHeight="false" outlineLevel="0" collapsed="false">
      <c r="A180" s="80" t="str">
        <f aca="false">Inputs!$B$47</f>
        <v>KIT-008</v>
      </c>
      <c r="B180" s="81" t="n">
        <f aca="false">B179+1</f>
        <v>104</v>
      </c>
      <c r="C180" s="81" t="n">
        <f aca="false">MATCH(A180,Inputs!$B$40:$B$87,0)</f>
        <v>8</v>
      </c>
      <c r="D180" s="82" t="n">
        <f aca="false">INDEX(Inputs!$F$40:$F$87,C180)</f>
        <v>2</v>
      </c>
      <c r="E180" s="83" t="n">
        <f aca="false">INDEX(Inputs!$H$40:$H$87,C180)</f>
        <v>19</v>
      </c>
      <c r="F180" s="83" t="n">
        <f aca="false">INDEX(Inputs!$G$40:$G$87,C180)</f>
        <v>40</v>
      </c>
      <c r="G180" s="82" t="n">
        <f aca="false">INDEX(Inputs!$I$40:$I$87,C180)</f>
        <v>6</v>
      </c>
      <c r="H180" s="81" t="n">
        <f aca="false">MATCH(A180,Demand_History!$C:$C,0)+B180-1</f>
        <v>833</v>
      </c>
      <c r="I180" s="82" t="n">
        <f aca="false">INDEX(Forecast_Walkforward!$C:$C,H180)</f>
        <v>40</v>
      </c>
      <c r="J180" s="84" t="n">
        <f aca="false">INDEX(Forecast_Walkforward!$E:$E,H180)</f>
        <v>43.75</v>
      </c>
      <c r="K180" s="85" t="n">
        <f aca="false">Baseline_Weeks*J180</f>
        <v>175</v>
      </c>
      <c r="L180" s="81" t="n">
        <f aca="false">SUMIFS(P$165:P179,$B$165:$B179,$B180-$D180)</f>
        <v>48</v>
      </c>
      <c r="M180" s="81" t="n">
        <f aca="false">S179+L180</f>
        <v>91</v>
      </c>
      <c r="N180" s="81" t="n">
        <f aca="false">SUMIFS(P$165:P179,$B$165:$B179,"&gt;"&amp;($B180-$D180))</f>
        <v>42</v>
      </c>
      <c r="O180" s="81" t="n">
        <f aca="false">M180+N180</f>
        <v>133</v>
      </c>
      <c r="P180" s="86" t="n">
        <f aca="false">IF(O180&lt;K180,ROUNDUP((K180-O180)/G180,0)*G180,0)</f>
        <v>42</v>
      </c>
      <c r="Q180" s="81" t="n">
        <f aca="false">MIN(M180,I180)</f>
        <v>40</v>
      </c>
      <c r="R180" s="81" t="n">
        <f aca="false">I180-Q180</f>
        <v>0</v>
      </c>
      <c r="S180" s="81" t="n">
        <f aca="false">M180-Q180</f>
        <v>51</v>
      </c>
      <c r="T180" s="81" t="n">
        <f aca="false">IF(R180&gt;0,1,0)</f>
        <v>0</v>
      </c>
      <c r="U180" s="82" t="n">
        <f aca="false">INDEX(Forecast!$AY$7:$AY$54,C180)</f>
        <v>2</v>
      </c>
      <c r="V180" s="85" t="n">
        <f aca="false">CHOOSE(U180,INDEX(Forecast_Walkforward!$D:$D,H180),INDEX(Forecast_Walkforward!$E:$E,H180),INDEX(Forecast_Walkforward!$F:$F,H180),INDEX(Forecast_Walkforward!$G:$G,H180))</f>
        <v>43.75</v>
      </c>
      <c r="W180" s="84" t="n">
        <f aca="false">INDEX(Forecast!$BA$7:$BA$54,C180)</f>
        <v>4.93574856291523</v>
      </c>
      <c r="X180" s="85" t="n">
        <f aca="false">Z_Value*W180*SQRT(D180)</f>
        <v>11.4814114946096</v>
      </c>
      <c r="Y180" s="85" t="n">
        <f aca="false">V180*D180+X180</f>
        <v>98.9814114946096</v>
      </c>
      <c r="Z180" s="85" t="n">
        <f aca="false">SQRT((2*V180*Weeks_Per_Year*F180)/(E180*Holding_Rate))</f>
        <v>218.848661960966</v>
      </c>
      <c r="AA180" s="81" t="n">
        <f aca="false">ROUNDUP(Z180/G180,0)*G180</f>
        <v>222</v>
      </c>
      <c r="AB180" s="81" t="n">
        <f aca="false">SUMIFS(AF$165:AF179,$B$165:$B179,$B180-$D180)</f>
        <v>0</v>
      </c>
      <c r="AC180" s="81" t="n">
        <f aca="false">AI179+AB180</f>
        <v>84</v>
      </c>
      <c r="AD180" s="81" t="n">
        <f aca="false">SUMIFS(AF$165:AF179,$B$165:$B179,"&gt;"&amp;($B180-$D180))</f>
        <v>0</v>
      </c>
      <c r="AE180" s="81" t="n">
        <f aca="false">AC180+AD180</f>
        <v>84</v>
      </c>
      <c r="AF180" s="86" t="n">
        <f aca="false">IF(AE180&lt;=Y180,AA180,0)</f>
        <v>222</v>
      </c>
      <c r="AG180" s="81" t="n">
        <f aca="false">MIN(AC180,I180)</f>
        <v>40</v>
      </c>
      <c r="AH180" s="81" t="n">
        <f aca="false">I180-AG180</f>
        <v>0</v>
      </c>
      <c r="AI180" s="81" t="n">
        <f aca="false">AC180-AG180</f>
        <v>44</v>
      </c>
      <c r="AJ180" s="81" t="n">
        <f aca="false">IF(AH180&gt;0,1,0)</f>
        <v>0</v>
      </c>
    </row>
    <row r="181" customFormat="false" ht="15" hidden="false" customHeight="false" outlineLevel="0" collapsed="false">
      <c r="A181" s="31" t="str">
        <f aca="false">Inputs!$B$48</f>
        <v>KIT-009</v>
      </c>
      <c r="B181" s="46" t="n">
        <f aca="false">BT_Start_Week</f>
        <v>89</v>
      </c>
      <c r="C181" s="46" t="n">
        <f aca="false">MATCH(A181,Inputs!$B$40:$B$87,0)</f>
        <v>9</v>
      </c>
      <c r="D181" s="32" t="n">
        <f aca="false">INDEX(Inputs!$F$40:$F$87,C181)</f>
        <v>2</v>
      </c>
      <c r="E181" s="78" t="n">
        <f aca="false">INDEX(Inputs!$H$40:$H$87,C181)</f>
        <v>24</v>
      </c>
      <c r="F181" s="78" t="n">
        <f aca="false">INDEX(Inputs!$G$40:$G$87,C181)</f>
        <v>40</v>
      </c>
      <c r="G181" s="32" t="n">
        <f aca="false">INDEX(Inputs!$I$40:$I$87,C181)</f>
        <v>5</v>
      </c>
      <c r="H181" s="46" t="n">
        <f aca="false">MATCH(A181,Demand_History!$C:$C,0)+B181-1</f>
        <v>922</v>
      </c>
      <c r="I181" s="32" t="n">
        <f aca="false">INDEX(Forecast_Walkforward!$C:$C,H181)</f>
        <v>34</v>
      </c>
      <c r="J181" s="79" t="n">
        <f aca="false">INDEX(Forecast_Walkforward!$E:$E,H181)</f>
        <v>36.25</v>
      </c>
      <c r="K181" s="33" t="n">
        <f aca="false">Baseline_Weeks*J181</f>
        <v>145</v>
      </c>
      <c r="L181" s="46" t="n">
        <f aca="false">0</f>
        <v>0</v>
      </c>
      <c r="M181" s="46" t="n">
        <f aca="false">ROUND(BT_Open_Cover*INDEX(Forecast_Walkforward!$F:$F,H181),0)+L181</f>
        <v>218</v>
      </c>
      <c r="N181" s="46" t="n">
        <f aca="false">0</f>
        <v>0</v>
      </c>
      <c r="O181" s="46" t="n">
        <f aca="false">M181+N181</f>
        <v>218</v>
      </c>
      <c r="P181" s="47" t="n">
        <f aca="false">IF(O181&lt;K181,ROUNDUP((K181-O181)/G181,0)*G181,0)</f>
        <v>0</v>
      </c>
      <c r="Q181" s="46" t="n">
        <f aca="false">MIN(M181,I181)</f>
        <v>34</v>
      </c>
      <c r="R181" s="46" t="n">
        <f aca="false">I181-Q181</f>
        <v>0</v>
      </c>
      <c r="S181" s="46" t="n">
        <f aca="false">M181-Q181</f>
        <v>184</v>
      </c>
      <c r="T181" s="46" t="n">
        <f aca="false">IF(R181&gt;0,1,0)</f>
        <v>0</v>
      </c>
      <c r="U181" s="32" t="n">
        <f aca="false">INDEX(Forecast!$AY$7:$AY$54,C181)</f>
        <v>2</v>
      </c>
      <c r="V181" s="33" t="n">
        <f aca="false">CHOOSE(U181,INDEX(Forecast_Walkforward!$D:$D,H181),INDEX(Forecast_Walkforward!$E:$E,H181),INDEX(Forecast_Walkforward!$F:$F,H181),INDEX(Forecast_Walkforward!$G:$G,H181))</f>
        <v>36.25</v>
      </c>
      <c r="W181" s="79" t="n">
        <f aca="false">INDEX(Forecast!$BA$7:$BA$54,C181)</f>
        <v>4.69442361980382</v>
      </c>
      <c r="X181" s="33" t="n">
        <f aca="false">Z_Value*W181*SQRT(D181)</f>
        <v>10.9200476122203</v>
      </c>
      <c r="Y181" s="33" t="n">
        <f aca="false">V181*D181+X181</f>
        <v>83.4200476122203</v>
      </c>
      <c r="Z181" s="33" t="n">
        <f aca="false">SQRT((2*V181*Weeks_Per_Year*F181)/(E181*Holding_Rate))</f>
        <v>177.247472948606</v>
      </c>
      <c r="AA181" s="46" t="n">
        <f aca="false">ROUNDUP(Z181/G181,0)*G181</f>
        <v>180</v>
      </c>
      <c r="AB181" s="46" t="n">
        <f aca="false">0</f>
        <v>0</v>
      </c>
      <c r="AC181" s="46" t="n">
        <f aca="false">ROUND(BT_Open_Cover*INDEX(Forecast_Walkforward!$F:$F,H181),0)+AB181</f>
        <v>218</v>
      </c>
      <c r="AD181" s="46" t="n">
        <f aca="false">0</f>
        <v>0</v>
      </c>
      <c r="AE181" s="46" t="n">
        <f aca="false">AC181+AD181</f>
        <v>218</v>
      </c>
      <c r="AF181" s="47" t="n">
        <f aca="false">IF(AE181&lt;=Y181,AA181,0)</f>
        <v>0</v>
      </c>
      <c r="AG181" s="46" t="n">
        <f aca="false">MIN(AC181,I181)</f>
        <v>34</v>
      </c>
      <c r="AH181" s="46" t="n">
        <f aca="false">I181-AG181</f>
        <v>0</v>
      </c>
      <c r="AI181" s="46" t="n">
        <f aca="false">AC181-AG181</f>
        <v>184</v>
      </c>
      <c r="AJ181" s="46" t="n">
        <f aca="false">IF(AH181&gt;0,1,0)</f>
        <v>0</v>
      </c>
    </row>
    <row r="182" customFormat="false" ht="15" hidden="false" customHeight="false" outlineLevel="0" collapsed="false">
      <c r="A182" s="31" t="str">
        <f aca="false">Inputs!$B$48</f>
        <v>KIT-009</v>
      </c>
      <c r="B182" s="46" t="n">
        <f aca="false">B181+1</f>
        <v>90</v>
      </c>
      <c r="C182" s="46" t="n">
        <f aca="false">MATCH(A182,Inputs!$B$40:$B$87,0)</f>
        <v>9</v>
      </c>
      <c r="D182" s="32" t="n">
        <f aca="false">INDEX(Inputs!$F$40:$F$87,C182)</f>
        <v>2</v>
      </c>
      <c r="E182" s="78" t="n">
        <f aca="false">INDEX(Inputs!$H$40:$H$87,C182)</f>
        <v>24</v>
      </c>
      <c r="F182" s="78" t="n">
        <f aca="false">INDEX(Inputs!$G$40:$G$87,C182)</f>
        <v>40</v>
      </c>
      <c r="G182" s="32" t="n">
        <f aca="false">INDEX(Inputs!$I$40:$I$87,C182)</f>
        <v>5</v>
      </c>
      <c r="H182" s="46" t="n">
        <f aca="false">MATCH(A182,Demand_History!$C:$C,0)+B182-1</f>
        <v>923</v>
      </c>
      <c r="I182" s="32" t="n">
        <f aca="false">INDEX(Forecast_Walkforward!$C:$C,H182)</f>
        <v>33</v>
      </c>
      <c r="J182" s="79" t="n">
        <f aca="false">INDEX(Forecast_Walkforward!$E:$E,H182)</f>
        <v>35.75</v>
      </c>
      <c r="K182" s="33" t="n">
        <f aca="false">Baseline_Weeks*J182</f>
        <v>143</v>
      </c>
      <c r="L182" s="46" t="n">
        <f aca="false">SUMIFS(P$181:P181,$B$181:$B181,$B182-$D182)</f>
        <v>0</v>
      </c>
      <c r="M182" s="46" t="n">
        <f aca="false">S181+L182</f>
        <v>184</v>
      </c>
      <c r="N182" s="46" t="n">
        <f aca="false">SUMIFS(P$181:P181,$B$181:$B181,"&gt;"&amp;($B182-$D182))</f>
        <v>0</v>
      </c>
      <c r="O182" s="46" t="n">
        <f aca="false">M182+N182</f>
        <v>184</v>
      </c>
      <c r="P182" s="47" t="n">
        <f aca="false">IF(O182&lt;K182,ROUNDUP((K182-O182)/G182,0)*G182,0)</f>
        <v>0</v>
      </c>
      <c r="Q182" s="46" t="n">
        <f aca="false">MIN(M182,I182)</f>
        <v>33</v>
      </c>
      <c r="R182" s="46" t="n">
        <f aca="false">I182-Q182</f>
        <v>0</v>
      </c>
      <c r="S182" s="46" t="n">
        <f aca="false">M182-Q182</f>
        <v>151</v>
      </c>
      <c r="T182" s="46" t="n">
        <f aca="false">IF(R182&gt;0,1,0)</f>
        <v>0</v>
      </c>
      <c r="U182" s="32" t="n">
        <f aca="false">INDEX(Forecast!$AY$7:$AY$54,C182)</f>
        <v>2</v>
      </c>
      <c r="V182" s="33" t="n">
        <f aca="false">CHOOSE(U182,INDEX(Forecast_Walkforward!$D:$D,H182),INDEX(Forecast_Walkforward!$E:$E,H182),INDEX(Forecast_Walkforward!$F:$F,H182),INDEX(Forecast_Walkforward!$G:$G,H182))</f>
        <v>35.75</v>
      </c>
      <c r="W182" s="79" t="n">
        <f aca="false">INDEX(Forecast!$BA$7:$BA$54,C182)</f>
        <v>4.69442361980382</v>
      </c>
      <c r="X182" s="33" t="n">
        <f aca="false">Z_Value*W182*SQRT(D182)</f>
        <v>10.9200476122203</v>
      </c>
      <c r="Y182" s="33" t="n">
        <f aca="false">V182*D182+X182</f>
        <v>82.4200476122203</v>
      </c>
      <c r="Z182" s="33" t="n">
        <f aca="false">SQRT((2*V182*Weeks_Per_Year*F182)/(E182*Holding_Rate))</f>
        <v>176.020832100446</v>
      </c>
      <c r="AA182" s="46" t="n">
        <f aca="false">ROUNDUP(Z182/G182,0)*G182</f>
        <v>180</v>
      </c>
      <c r="AB182" s="46" t="n">
        <f aca="false">SUMIFS(AF$181:AF181,$B$181:$B181,$B182-$D182)</f>
        <v>0</v>
      </c>
      <c r="AC182" s="46" t="n">
        <f aca="false">AI181+AB182</f>
        <v>184</v>
      </c>
      <c r="AD182" s="46" t="n">
        <f aca="false">SUMIFS(AF$181:AF181,$B$181:$B181,"&gt;"&amp;($B182-$D182))</f>
        <v>0</v>
      </c>
      <c r="AE182" s="46" t="n">
        <f aca="false">AC182+AD182</f>
        <v>184</v>
      </c>
      <c r="AF182" s="47" t="n">
        <f aca="false">IF(AE182&lt;=Y182,AA182,0)</f>
        <v>0</v>
      </c>
      <c r="AG182" s="46" t="n">
        <f aca="false">MIN(AC182,I182)</f>
        <v>33</v>
      </c>
      <c r="AH182" s="46" t="n">
        <f aca="false">I182-AG182</f>
        <v>0</v>
      </c>
      <c r="AI182" s="46" t="n">
        <f aca="false">AC182-AG182</f>
        <v>151</v>
      </c>
      <c r="AJ182" s="46" t="n">
        <f aca="false">IF(AH182&gt;0,1,0)</f>
        <v>0</v>
      </c>
    </row>
    <row r="183" customFormat="false" ht="15" hidden="false" customHeight="false" outlineLevel="0" collapsed="false">
      <c r="A183" s="31" t="str">
        <f aca="false">Inputs!$B$48</f>
        <v>KIT-009</v>
      </c>
      <c r="B183" s="46" t="n">
        <f aca="false">B182+1</f>
        <v>91</v>
      </c>
      <c r="C183" s="46" t="n">
        <f aca="false">MATCH(A183,Inputs!$B$40:$B$87,0)</f>
        <v>9</v>
      </c>
      <c r="D183" s="32" t="n">
        <f aca="false">INDEX(Inputs!$F$40:$F$87,C183)</f>
        <v>2</v>
      </c>
      <c r="E183" s="78" t="n">
        <f aca="false">INDEX(Inputs!$H$40:$H$87,C183)</f>
        <v>24</v>
      </c>
      <c r="F183" s="78" t="n">
        <f aca="false">INDEX(Inputs!$G$40:$G$87,C183)</f>
        <v>40</v>
      </c>
      <c r="G183" s="32" t="n">
        <f aca="false">INDEX(Inputs!$I$40:$I$87,C183)</f>
        <v>5</v>
      </c>
      <c r="H183" s="46" t="n">
        <f aca="false">MATCH(A183,Demand_History!$C:$C,0)+B183-1</f>
        <v>924</v>
      </c>
      <c r="I183" s="32" t="n">
        <f aca="false">INDEX(Forecast_Walkforward!$C:$C,H183)</f>
        <v>33</v>
      </c>
      <c r="J183" s="79" t="n">
        <f aca="false">INDEX(Forecast_Walkforward!$E:$E,H183)</f>
        <v>34.25</v>
      </c>
      <c r="K183" s="33" t="n">
        <f aca="false">Baseline_Weeks*J183</f>
        <v>137</v>
      </c>
      <c r="L183" s="46" t="n">
        <f aca="false">SUMIFS(P$181:P182,$B$181:$B182,$B183-$D183)</f>
        <v>0</v>
      </c>
      <c r="M183" s="46" t="n">
        <f aca="false">S182+L183</f>
        <v>151</v>
      </c>
      <c r="N183" s="46" t="n">
        <f aca="false">SUMIFS(P$181:P182,$B$181:$B182,"&gt;"&amp;($B183-$D183))</f>
        <v>0</v>
      </c>
      <c r="O183" s="46" t="n">
        <f aca="false">M183+N183</f>
        <v>151</v>
      </c>
      <c r="P183" s="47" t="n">
        <f aca="false">IF(O183&lt;K183,ROUNDUP((K183-O183)/G183,0)*G183,0)</f>
        <v>0</v>
      </c>
      <c r="Q183" s="46" t="n">
        <f aca="false">MIN(M183,I183)</f>
        <v>33</v>
      </c>
      <c r="R183" s="46" t="n">
        <f aca="false">I183-Q183</f>
        <v>0</v>
      </c>
      <c r="S183" s="46" t="n">
        <f aca="false">M183-Q183</f>
        <v>118</v>
      </c>
      <c r="T183" s="46" t="n">
        <f aca="false">IF(R183&gt;0,1,0)</f>
        <v>0</v>
      </c>
      <c r="U183" s="32" t="n">
        <f aca="false">INDEX(Forecast!$AY$7:$AY$54,C183)</f>
        <v>2</v>
      </c>
      <c r="V183" s="33" t="n">
        <f aca="false">CHOOSE(U183,INDEX(Forecast_Walkforward!$D:$D,H183),INDEX(Forecast_Walkforward!$E:$E,H183),INDEX(Forecast_Walkforward!$F:$F,H183),INDEX(Forecast_Walkforward!$G:$G,H183))</f>
        <v>34.25</v>
      </c>
      <c r="W183" s="79" t="n">
        <f aca="false">INDEX(Forecast!$BA$7:$BA$54,C183)</f>
        <v>4.69442361980382</v>
      </c>
      <c r="X183" s="33" t="n">
        <f aca="false">Z_Value*W183*SQRT(D183)</f>
        <v>10.9200476122203</v>
      </c>
      <c r="Y183" s="33" t="n">
        <f aca="false">V183*D183+X183</f>
        <v>79.4200476122203</v>
      </c>
      <c r="Z183" s="33" t="n">
        <f aca="false">SQRT((2*V183*Weeks_Per_Year*F183)/(E183*Holding_Rate))</f>
        <v>172.288517706008</v>
      </c>
      <c r="AA183" s="46" t="n">
        <f aca="false">ROUNDUP(Z183/G183,0)*G183</f>
        <v>175</v>
      </c>
      <c r="AB183" s="46" t="n">
        <f aca="false">SUMIFS(AF$181:AF182,$B$181:$B182,$B183-$D183)</f>
        <v>0</v>
      </c>
      <c r="AC183" s="46" t="n">
        <f aca="false">AI182+AB183</f>
        <v>151</v>
      </c>
      <c r="AD183" s="46" t="n">
        <f aca="false">SUMIFS(AF$181:AF182,$B$181:$B182,"&gt;"&amp;($B183-$D183))</f>
        <v>0</v>
      </c>
      <c r="AE183" s="46" t="n">
        <f aca="false">AC183+AD183</f>
        <v>151</v>
      </c>
      <c r="AF183" s="47" t="n">
        <f aca="false">IF(AE183&lt;=Y183,AA183,0)</f>
        <v>0</v>
      </c>
      <c r="AG183" s="46" t="n">
        <f aca="false">MIN(AC183,I183)</f>
        <v>33</v>
      </c>
      <c r="AH183" s="46" t="n">
        <f aca="false">I183-AG183</f>
        <v>0</v>
      </c>
      <c r="AI183" s="46" t="n">
        <f aca="false">AC183-AG183</f>
        <v>118</v>
      </c>
      <c r="AJ183" s="46" t="n">
        <f aca="false">IF(AH183&gt;0,1,0)</f>
        <v>0</v>
      </c>
    </row>
    <row r="184" customFormat="false" ht="15" hidden="false" customHeight="false" outlineLevel="0" collapsed="false">
      <c r="A184" s="31" t="str">
        <f aca="false">Inputs!$B$48</f>
        <v>KIT-009</v>
      </c>
      <c r="B184" s="46" t="n">
        <f aca="false">B183+1</f>
        <v>92</v>
      </c>
      <c r="C184" s="46" t="n">
        <f aca="false">MATCH(A184,Inputs!$B$40:$B$87,0)</f>
        <v>9</v>
      </c>
      <c r="D184" s="32" t="n">
        <f aca="false">INDEX(Inputs!$F$40:$F$87,C184)</f>
        <v>2</v>
      </c>
      <c r="E184" s="78" t="n">
        <f aca="false">INDEX(Inputs!$H$40:$H$87,C184)</f>
        <v>24</v>
      </c>
      <c r="F184" s="78" t="n">
        <f aca="false">INDEX(Inputs!$G$40:$G$87,C184)</f>
        <v>40</v>
      </c>
      <c r="G184" s="32" t="n">
        <f aca="false">INDEX(Inputs!$I$40:$I$87,C184)</f>
        <v>5</v>
      </c>
      <c r="H184" s="46" t="n">
        <f aca="false">MATCH(A184,Demand_History!$C:$C,0)+B184-1</f>
        <v>925</v>
      </c>
      <c r="I184" s="32" t="n">
        <f aca="false">INDEX(Forecast_Walkforward!$C:$C,H184)</f>
        <v>35</v>
      </c>
      <c r="J184" s="79" t="n">
        <f aca="false">INDEX(Forecast_Walkforward!$E:$E,H184)</f>
        <v>31.5</v>
      </c>
      <c r="K184" s="33" t="n">
        <f aca="false">Baseline_Weeks*J184</f>
        <v>126</v>
      </c>
      <c r="L184" s="46" t="n">
        <f aca="false">SUMIFS(P$181:P183,$B$181:$B183,$B184-$D184)</f>
        <v>0</v>
      </c>
      <c r="M184" s="46" t="n">
        <f aca="false">S183+L184</f>
        <v>118</v>
      </c>
      <c r="N184" s="46" t="n">
        <f aca="false">SUMIFS(P$181:P183,$B$181:$B183,"&gt;"&amp;($B184-$D184))</f>
        <v>0</v>
      </c>
      <c r="O184" s="46" t="n">
        <f aca="false">M184+N184</f>
        <v>118</v>
      </c>
      <c r="P184" s="47" t="n">
        <f aca="false">IF(O184&lt;K184,ROUNDUP((K184-O184)/G184,0)*G184,0)</f>
        <v>10</v>
      </c>
      <c r="Q184" s="46" t="n">
        <f aca="false">MIN(M184,I184)</f>
        <v>35</v>
      </c>
      <c r="R184" s="46" t="n">
        <f aca="false">I184-Q184</f>
        <v>0</v>
      </c>
      <c r="S184" s="46" t="n">
        <f aca="false">M184-Q184</f>
        <v>83</v>
      </c>
      <c r="T184" s="46" t="n">
        <f aca="false">IF(R184&gt;0,1,0)</f>
        <v>0</v>
      </c>
      <c r="U184" s="32" t="n">
        <f aca="false">INDEX(Forecast!$AY$7:$AY$54,C184)</f>
        <v>2</v>
      </c>
      <c r="V184" s="33" t="n">
        <f aca="false">CHOOSE(U184,INDEX(Forecast_Walkforward!$D:$D,H184),INDEX(Forecast_Walkforward!$E:$E,H184),INDEX(Forecast_Walkforward!$F:$F,H184),INDEX(Forecast_Walkforward!$G:$G,H184))</f>
        <v>31.5</v>
      </c>
      <c r="W184" s="79" t="n">
        <f aca="false">INDEX(Forecast!$BA$7:$BA$54,C184)</f>
        <v>4.69442361980382</v>
      </c>
      <c r="X184" s="33" t="n">
        <f aca="false">Z_Value*W184*SQRT(D184)</f>
        <v>10.9200476122203</v>
      </c>
      <c r="Y184" s="33" t="n">
        <f aca="false">V184*D184+X184</f>
        <v>73.9200476122203</v>
      </c>
      <c r="Z184" s="33" t="n">
        <f aca="false">SQRT((2*V184*Weeks_Per_Year*F184)/(E184*Holding_Rate))</f>
        <v>165.227116418583</v>
      </c>
      <c r="AA184" s="46" t="n">
        <f aca="false">ROUNDUP(Z184/G184,0)*G184</f>
        <v>170</v>
      </c>
      <c r="AB184" s="46" t="n">
        <f aca="false">SUMIFS(AF$181:AF183,$B$181:$B183,$B184-$D184)</f>
        <v>0</v>
      </c>
      <c r="AC184" s="46" t="n">
        <f aca="false">AI183+AB184</f>
        <v>118</v>
      </c>
      <c r="AD184" s="46" t="n">
        <f aca="false">SUMIFS(AF$181:AF183,$B$181:$B183,"&gt;"&amp;($B184-$D184))</f>
        <v>0</v>
      </c>
      <c r="AE184" s="46" t="n">
        <f aca="false">AC184+AD184</f>
        <v>118</v>
      </c>
      <c r="AF184" s="47" t="n">
        <f aca="false">IF(AE184&lt;=Y184,AA184,0)</f>
        <v>0</v>
      </c>
      <c r="AG184" s="46" t="n">
        <f aca="false">MIN(AC184,I184)</f>
        <v>35</v>
      </c>
      <c r="AH184" s="46" t="n">
        <f aca="false">I184-AG184</f>
        <v>0</v>
      </c>
      <c r="AI184" s="46" t="n">
        <f aca="false">AC184-AG184</f>
        <v>83</v>
      </c>
      <c r="AJ184" s="46" t="n">
        <f aca="false">IF(AH184&gt;0,1,0)</f>
        <v>0</v>
      </c>
    </row>
    <row r="185" customFormat="false" ht="15" hidden="false" customHeight="false" outlineLevel="0" collapsed="false">
      <c r="A185" s="31" t="str">
        <f aca="false">Inputs!$B$48</f>
        <v>KIT-009</v>
      </c>
      <c r="B185" s="46" t="n">
        <f aca="false">B184+1</f>
        <v>93</v>
      </c>
      <c r="C185" s="46" t="n">
        <f aca="false">MATCH(A185,Inputs!$B$40:$B$87,0)</f>
        <v>9</v>
      </c>
      <c r="D185" s="32" t="n">
        <f aca="false">INDEX(Inputs!$F$40:$F$87,C185)</f>
        <v>2</v>
      </c>
      <c r="E185" s="78" t="n">
        <f aca="false">INDEX(Inputs!$H$40:$H$87,C185)</f>
        <v>24</v>
      </c>
      <c r="F185" s="78" t="n">
        <f aca="false">INDEX(Inputs!$G$40:$G$87,C185)</f>
        <v>40</v>
      </c>
      <c r="G185" s="32" t="n">
        <f aca="false">INDEX(Inputs!$I$40:$I$87,C185)</f>
        <v>5</v>
      </c>
      <c r="H185" s="46" t="n">
        <f aca="false">MATCH(A185,Demand_History!$C:$C,0)+B185-1</f>
        <v>926</v>
      </c>
      <c r="I185" s="32" t="n">
        <f aca="false">INDEX(Forecast_Walkforward!$C:$C,H185)</f>
        <v>35</v>
      </c>
      <c r="J185" s="79" t="n">
        <f aca="false">INDEX(Forecast_Walkforward!$E:$E,H185)</f>
        <v>33.75</v>
      </c>
      <c r="K185" s="33" t="n">
        <f aca="false">Baseline_Weeks*J185</f>
        <v>135</v>
      </c>
      <c r="L185" s="46" t="n">
        <f aca="false">SUMIFS(P$181:P184,$B$181:$B184,$B185-$D185)</f>
        <v>0</v>
      </c>
      <c r="M185" s="46" t="n">
        <f aca="false">S184+L185</f>
        <v>83</v>
      </c>
      <c r="N185" s="46" t="n">
        <f aca="false">SUMIFS(P$181:P184,$B$181:$B184,"&gt;"&amp;($B185-$D185))</f>
        <v>10</v>
      </c>
      <c r="O185" s="46" t="n">
        <f aca="false">M185+N185</f>
        <v>93</v>
      </c>
      <c r="P185" s="47" t="n">
        <f aca="false">IF(O185&lt;K185,ROUNDUP((K185-O185)/G185,0)*G185,0)</f>
        <v>45</v>
      </c>
      <c r="Q185" s="46" t="n">
        <f aca="false">MIN(M185,I185)</f>
        <v>35</v>
      </c>
      <c r="R185" s="46" t="n">
        <f aca="false">I185-Q185</f>
        <v>0</v>
      </c>
      <c r="S185" s="46" t="n">
        <f aca="false">M185-Q185</f>
        <v>48</v>
      </c>
      <c r="T185" s="46" t="n">
        <f aca="false">IF(R185&gt;0,1,0)</f>
        <v>0</v>
      </c>
      <c r="U185" s="32" t="n">
        <f aca="false">INDEX(Forecast!$AY$7:$AY$54,C185)</f>
        <v>2</v>
      </c>
      <c r="V185" s="33" t="n">
        <f aca="false">CHOOSE(U185,INDEX(Forecast_Walkforward!$D:$D,H185),INDEX(Forecast_Walkforward!$E:$E,H185),INDEX(Forecast_Walkforward!$F:$F,H185),INDEX(Forecast_Walkforward!$G:$G,H185))</f>
        <v>33.75</v>
      </c>
      <c r="W185" s="79" t="n">
        <f aca="false">INDEX(Forecast!$BA$7:$BA$54,C185)</f>
        <v>4.69442361980382</v>
      </c>
      <c r="X185" s="33" t="n">
        <f aca="false">Z_Value*W185*SQRT(D185)</f>
        <v>10.9200476122203</v>
      </c>
      <c r="Y185" s="33" t="n">
        <f aca="false">V185*D185+X185</f>
        <v>78.4200476122203</v>
      </c>
      <c r="Z185" s="33" t="n">
        <f aca="false">SQRT((2*V185*Weeks_Per_Year*F185)/(E185*Holding_Rate))</f>
        <v>171.026313764871</v>
      </c>
      <c r="AA185" s="46" t="n">
        <f aca="false">ROUNDUP(Z185/G185,0)*G185</f>
        <v>175</v>
      </c>
      <c r="AB185" s="46" t="n">
        <f aca="false">SUMIFS(AF$181:AF184,$B$181:$B184,$B185-$D185)</f>
        <v>0</v>
      </c>
      <c r="AC185" s="46" t="n">
        <f aca="false">AI184+AB185</f>
        <v>83</v>
      </c>
      <c r="AD185" s="46" t="n">
        <f aca="false">SUMIFS(AF$181:AF184,$B$181:$B184,"&gt;"&amp;($B185-$D185))</f>
        <v>0</v>
      </c>
      <c r="AE185" s="46" t="n">
        <f aca="false">AC185+AD185</f>
        <v>83</v>
      </c>
      <c r="AF185" s="47" t="n">
        <f aca="false">IF(AE185&lt;=Y185,AA185,0)</f>
        <v>0</v>
      </c>
      <c r="AG185" s="46" t="n">
        <f aca="false">MIN(AC185,I185)</f>
        <v>35</v>
      </c>
      <c r="AH185" s="46" t="n">
        <f aca="false">I185-AG185</f>
        <v>0</v>
      </c>
      <c r="AI185" s="46" t="n">
        <f aca="false">AC185-AG185</f>
        <v>48</v>
      </c>
      <c r="AJ185" s="46" t="n">
        <f aca="false">IF(AH185&gt;0,1,0)</f>
        <v>0</v>
      </c>
    </row>
    <row r="186" customFormat="false" ht="15" hidden="false" customHeight="false" outlineLevel="0" collapsed="false">
      <c r="A186" s="31" t="str">
        <f aca="false">Inputs!$B$48</f>
        <v>KIT-009</v>
      </c>
      <c r="B186" s="46" t="n">
        <f aca="false">B185+1</f>
        <v>94</v>
      </c>
      <c r="C186" s="46" t="n">
        <f aca="false">MATCH(A186,Inputs!$B$40:$B$87,0)</f>
        <v>9</v>
      </c>
      <c r="D186" s="32" t="n">
        <f aca="false">INDEX(Inputs!$F$40:$F$87,C186)</f>
        <v>2</v>
      </c>
      <c r="E186" s="78" t="n">
        <f aca="false">INDEX(Inputs!$H$40:$H$87,C186)</f>
        <v>24</v>
      </c>
      <c r="F186" s="78" t="n">
        <f aca="false">INDEX(Inputs!$G$40:$G$87,C186)</f>
        <v>40</v>
      </c>
      <c r="G186" s="32" t="n">
        <f aca="false">INDEX(Inputs!$I$40:$I$87,C186)</f>
        <v>5</v>
      </c>
      <c r="H186" s="46" t="n">
        <f aca="false">MATCH(A186,Demand_History!$C:$C,0)+B186-1</f>
        <v>927</v>
      </c>
      <c r="I186" s="32" t="n">
        <f aca="false">INDEX(Forecast_Walkforward!$C:$C,H186)</f>
        <v>42</v>
      </c>
      <c r="J186" s="79" t="n">
        <f aca="false">INDEX(Forecast_Walkforward!$E:$E,H186)</f>
        <v>34</v>
      </c>
      <c r="K186" s="33" t="n">
        <f aca="false">Baseline_Weeks*J186</f>
        <v>136</v>
      </c>
      <c r="L186" s="46" t="n">
        <f aca="false">SUMIFS(P$181:P185,$B$181:$B185,$B186-$D186)</f>
        <v>10</v>
      </c>
      <c r="M186" s="46" t="n">
        <f aca="false">S185+L186</f>
        <v>58</v>
      </c>
      <c r="N186" s="46" t="n">
        <f aca="false">SUMIFS(P$181:P185,$B$181:$B185,"&gt;"&amp;($B186-$D186))</f>
        <v>45</v>
      </c>
      <c r="O186" s="46" t="n">
        <f aca="false">M186+N186</f>
        <v>103</v>
      </c>
      <c r="P186" s="47" t="n">
        <f aca="false">IF(O186&lt;K186,ROUNDUP((K186-O186)/G186,0)*G186,0)</f>
        <v>35</v>
      </c>
      <c r="Q186" s="46" t="n">
        <f aca="false">MIN(M186,I186)</f>
        <v>42</v>
      </c>
      <c r="R186" s="46" t="n">
        <f aca="false">I186-Q186</f>
        <v>0</v>
      </c>
      <c r="S186" s="46" t="n">
        <f aca="false">M186-Q186</f>
        <v>16</v>
      </c>
      <c r="T186" s="46" t="n">
        <f aca="false">IF(R186&gt;0,1,0)</f>
        <v>0</v>
      </c>
      <c r="U186" s="32" t="n">
        <f aca="false">INDEX(Forecast!$AY$7:$AY$54,C186)</f>
        <v>2</v>
      </c>
      <c r="V186" s="33" t="n">
        <f aca="false">CHOOSE(U186,INDEX(Forecast_Walkforward!$D:$D,H186),INDEX(Forecast_Walkforward!$E:$E,H186),INDEX(Forecast_Walkforward!$F:$F,H186),INDEX(Forecast_Walkforward!$G:$G,H186))</f>
        <v>34</v>
      </c>
      <c r="W186" s="79" t="n">
        <f aca="false">INDEX(Forecast!$BA$7:$BA$54,C186)</f>
        <v>4.69442361980382</v>
      </c>
      <c r="X186" s="33" t="n">
        <f aca="false">Z_Value*W186*SQRT(D186)</f>
        <v>10.9200476122203</v>
      </c>
      <c r="Y186" s="33" t="n">
        <f aca="false">V186*D186+X186</f>
        <v>78.9200476122203</v>
      </c>
      <c r="Z186" s="33" t="n">
        <f aca="false">SQRT((2*V186*Weeks_Per_Year*F186)/(E186*Holding_Rate))</f>
        <v>171.658575861116</v>
      </c>
      <c r="AA186" s="46" t="n">
        <f aca="false">ROUNDUP(Z186/G186,0)*G186</f>
        <v>175</v>
      </c>
      <c r="AB186" s="46" t="n">
        <f aca="false">SUMIFS(AF$181:AF185,$B$181:$B185,$B186-$D186)</f>
        <v>0</v>
      </c>
      <c r="AC186" s="46" t="n">
        <f aca="false">AI185+AB186</f>
        <v>48</v>
      </c>
      <c r="AD186" s="46" t="n">
        <f aca="false">SUMIFS(AF$181:AF185,$B$181:$B185,"&gt;"&amp;($B186-$D186))</f>
        <v>0</v>
      </c>
      <c r="AE186" s="46" t="n">
        <f aca="false">AC186+AD186</f>
        <v>48</v>
      </c>
      <c r="AF186" s="47" t="n">
        <f aca="false">IF(AE186&lt;=Y186,AA186,0)</f>
        <v>175</v>
      </c>
      <c r="AG186" s="46" t="n">
        <f aca="false">MIN(AC186,I186)</f>
        <v>42</v>
      </c>
      <c r="AH186" s="46" t="n">
        <f aca="false">I186-AG186</f>
        <v>0</v>
      </c>
      <c r="AI186" s="46" t="n">
        <f aca="false">AC186-AG186</f>
        <v>6</v>
      </c>
      <c r="AJ186" s="46" t="n">
        <f aca="false">IF(AH186&gt;0,1,0)</f>
        <v>0</v>
      </c>
    </row>
    <row r="187" customFormat="false" ht="15" hidden="false" customHeight="false" outlineLevel="0" collapsed="false">
      <c r="A187" s="31" t="str">
        <f aca="false">Inputs!$B$48</f>
        <v>KIT-009</v>
      </c>
      <c r="B187" s="46" t="n">
        <f aca="false">B186+1</f>
        <v>95</v>
      </c>
      <c r="C187" s="46" t="n">
        <f aca="false">MATCH(A187,Inputs!$B$40:$B$87,0)</f>
        <v>9</v>
      </c>
      <c r="D187" s="32" t="n">
        <f aca="false">INDEX(Inputs!$F$40:$F$87,C187)</f>
        <v>2</v>
      </c>
      <c r="E187" s="78" t="n">
        <f aca="false">INDEX(Inputs!$H$40:$H$87,C187)</f>
        <v>24</v>
      </c>
      <c r="F187" s="78" t="n">
        <f aca="false">INDEX(Inputs!$G$40:$G$87,C187)</f>
        <v>40</v>
      </c>
      <c r="G187" s="32" t="n">
        <f aca="false">INDEX(Inputs!$I$40:$I$87,C187)</f>
        <v>5</v>
      </c>
      <c r="H187" s="46" t="n">
        <f aca="false">MATCH(A187,Demand_History!$C:$C,0)+B187-1</f>
        <v>928</v>
      </c>
      <c r="I187" s="32" t="n">
        <f aca="false">INDEX(Forecast_Walkforward!$C:$C,H187)</f>
        <v>35</v>
      </c>
      <c r="J187" s="79" t="n">
        <f aca="false">INDEX(Forecast_Walkforward!$E:$E,H187)</f>
        <v>36.25</v>
      </c>
      <c r="K187" s="33" t="n">
        <f aca="false">Baseline_Weeks*J187</f>
        <v>145</v>
      </c>
      <c r="L187" s="46" t="n">
        <f aca="false">SUMIFS(P$181:P186,$B$181:$B186,$B187-$D187)</f>
        <v>45</v>
      </c>
      <c r="M187" s="46" t="n">
        <f aca="false">S186+L187</f>
        <v>61</v>
      </c>
      <c r="N187" s="46" t="n">
        <f aca="false">SUMIFS(P$181:P186,$B$181:$B186,"&gt;"&amp;($B187-$D187))</f>
        <v>35</v>
      </c>
      <c r="O187" s="46" t="n">
        <f aca="false">M187+N187</f>
        <v>96</v>
      </c>
      <c r="P187" s="47" t="n">
        <f aca="false">IF(O187&lt;K187,ROUNDUP((K187-O187)/G187,0)*G187,0)</f>
        <v>50</v>
      </c>
      <c r="Q187" s="46" t="n">
        <f aca="false">MIN(M187,I187)</f>
        <v>35</v>
      </c>
      <c r="R187" s="46" t="n">
        <f aca="false">I187-Q187</f>
        <v>0</v>
      </c>
      <c r="S187" s="46" t="n">
        <f aca="false">M187-Q187</f>
        <v>26</v>
      </c>
      <c r="T187" s="46" t="n">
        <f aca="false">IF(R187&gt;0,1,0)</f>
        <v>0</v>
      </c>
      <c r="U187" s="32" t="n">
        <f aca="false">INDEX(Forecast!$AY$7:$AY$54,C187)</f>
        <v>2</v>
      </c>
      <c r="V187" s="33" t="n">
        <f aca="false">CHOOSE(U187,INDEX(Forecast_Walkforward!$D:$D,H187),INDEX(Forecast_Walkforward!$E:$E,H187),INDEX(Forecast_Walkforward!$F:$F,H187),INDEX(Forecast_Walkforward!$G:$G,H187))</f>
        <v>36.25</v>
      </c>
      <c r="W187" s="79" t="n">
        <f aca="false">INDEX(Forecast!$BA$7:$BA$54,C187)</f>
        <v>4.69442361980382</v>
      </c>
      <c r="X187" s="33" t="n">
        <f aca="false">Z_Value*W187*SQRT(D187)</f>
        <v>10.9200476122203</v>
      </c>
      <c r="Y187" s="33" t="n">
        <f aca="false">V187*D187+X187</f>
        <v>83.4200476122203</v>
      </c>
      <c r="Z187" s="33" t="n">
        <f aca="false">SQRT((2*V187*Weeks_Per_Year*F187)/(E187*Holding_Rate))</f>
        <v>177.247472948606</v>
      </c>
      <c r="AA187" s="46" t="n">
        <f aca="false">ROUNDUP(Z187/G187,0)*G187</f>
        <v>180</v>
      </c>
      <c r="AB187" s="46" t="n">
        <f aca="false">SUMIFS(AF$181:AF186,$B$181:$B186,$B187-$D187)</f>
        <v>0</v>
      </c>
      <c r="AC187" s="46" t="n">
        <f aca="false">AI186+AB187</f>
        <v>6</v>
      </c>
      <c r="AD187" s="46" t="n">
        <f aca="false">SUMIFS(AF$181:AF186,$B$181:$B186,"&gt;"&amp;($B187-$D187))</f>
        <v>175</v>
      </c>
      <c r="AE187" s="46" t="n">
        <f aca="false">AC187+AD187</f>
        <v>181</v>
      </c>
      <c r="AF187" s="47" t="n">
        <f aca="false">IF(AE187&lt;=Y187,AA187,0)</f>
        <v>0</v>
      </c>
      <c r="AG187" s="46" t="n">
        <f aca="false">MIN(AC187,I187)</f>
        <v>6</v>
      </c>
      <c r="AH187" s="46" t="n">
        <f aca="false">I187-AG187</f>
        <v>29</v>
      </c>
      <c r="AI187" s="46" t="n">
        <f aca="false">AC187-AG187</f>
        <v>0</v>
      </c>
      <c r="AJ187" s="46" t="n">
        <f aca="false">IF(AH187&gt;0,1,0)</f>
        <v>1</v>
      </c>
    </row>
    <row r="188" customFormat="false" ht="15" hidden="false" customHeight="false" outlineLevel="0" collapsed="false">
      <c r="A188" s="31" t="str">
        <f aca="false">Inputs!$B$48</f>
        <v>KIT-009</v>
      </c>
      <c r="B188" s="46" t="n">
        <f aca="false">B187+1</f>
        <v>96</v>
      </c>
      <c r="C188" s="46" t="n">
        <f aca="false">MATCH(A188,Inputs!$B$40:$B$87,0)</f>
        <v>9</v>
      </c>
      <c r="D188" s="32" t="n">
        <f aca="false">INDEX(Inputs!$F$40:$F$87,C188)</f>
        <v>2</v>
      </c>
      <c r="E188" s="78" t="n">
        <f aca="false">INDEX(Inputs!$H$40:$H$87,C188)</f>
        <v>24</v>
      </c>
      <c r="F188" s="78" t="n">
        <f aca="false">INDEX(Inputs!$G$40:$G$87,C188)</f>
        <v>40</v>
      </c>
      <c r="G188" s="32" t="n">
        <f aca="false">INDEX(Inputs!$I$40:$I$87,C188)</f>
        <v>5</v>
      </c>
      <c r="H188" s="46" t="n">
        <f aca="false">MATCH(A188,Demand_History!$C:$C,0)+B188-1</f>
        <v>929</v>
      </c>
      <c r="I188" s="32" t="n">
        <f aca="false">INDEX(Forecast_Walkforward!$C:$C,H188)</f>
        <v>41</v>
      </c>
      <c r="J188" s="79" t="n">
        <f aca="false">INDEX(Forecast_Walkforward!$E:$E,H188)</f>
        <v>36.75</v>
      </c>
      <c r="K188" s="33" t="n">
        <f aca="false">Baseline_Weeks*J188</f>
        <v>147</v>
      </c>
      <c r="L188" s="46" t="n">
        <f aca="false">SUMIFS(P$181:P187,$B$181:$B187,$B188-$D188)</f>
        <v>35</v>
      </c>
      <c r="M188" s="46" t="n">
        <f aca="false">S187+L188</f>
        <v>61</v>
      </c>
      <c r="N188" s="46" t="n">
        <f aca="false">SUMIFS(P$181:P187,$B$181:$B187,"&gt;"&amp;($B188-$D188))</f>
        <v>50</v>
      </c>
      <c r="O188" s="46" t="n">
        <f aca="false">M188+N188</f>
        <v>111</v>
      </c>
      <c r="P188" s="47" t="n">
        <f aca="false">IF(O188&lt;K188,ROUNDUP((K188-O188)/G188,0)*G188,0)</f>
        <v>40</v>
      </c>
      <c r="Q188" s="46" t="n">
        <f aca="false">MIN(M188,I188)</f>
        <v>41</v>
      </c>
      <c r="R188" s="46" t="n">
        <f aca="false">I188-Q188</f>
        <v>0</v>
      </c>
      <c r="S188" s="46" t="n">
        <f aca="false">M188-Q188</f>
        <v>20</v>
      </c>
      <c r="T188" s="46" t="n">
        <f aca="false">IF(R188&gt;0,1,0)</f>
        <v>0</v>
      </c>
      <c r="U188" s="32" t="n">
        <f aca="false">INDEX(Forecast!$AY$7:$AY$54,C188)</f>
        <v>2</v>
      </c>
      <c r="V188" s="33" t="n">
        <f aca="false">CHOOSE(U188,INDEX(Forecast_Walkforward!$D:$D,H188),INDEX(Forecast_Walkforward!$E:$E,H188),INDEX(Forecast_Walkforward!$F:$F,H188),INDEX(Forecast_Walkforward!$G:$G,H188))</f>
        <v>36.75</v>
      </c>
      <c r="W188" s="79" t="n">
        <f aca="false">INDEX(Forecast!$BA$7:$BA$54,C188)</f>
        <v>4.69442361980382</v>
      </c>
      <c r="X188" s="33" t="n">
        <f aca="false">Z_Value*W188*SQRT(D188)</f>
        <v>10.9200476122203</v>
      </c>
      <c r="Y188" s="33" t="n">
        <f aca="false">V188*D188+X188</f>
        <v>84.4200476122203</v>
      </c>
      <c r="Z188" s="33" t="n">
        <f aca="false">SQRT((2*V188*Weeks_Per_Year*F188)/(E188*Holding_Rate))</f>
        <v>178.465682975747</v>
      </c>
      <c r="AA188" s="46" t="n">
        <f aca="false">ROUNDUP(Z188/G188,0)*G188</f>
        <v>180</v>
      </c>
      <c r="AB188" s="46" t="n">
        <f aca="false">SUMIFS(AF$181:AF187,$B$181:$B187,$B188-$D188)</f>
        <v>175</v>
      </c>
      <c r="AC188" s="46" t="n">
        <f aca="false">AI187+AB188</f>
        <v>175</v>
      </c>
      <c r="AD188" s="46" t="n">
        <f aca="false">SUMIFS(AF$181:AF187,$B$181:$B187,"&gt;"&amp;($B188-$D188))</f>
        <v>0</v>
      </c>
      <c r="AE188" s="46" t="n">
        <f aca="false">AC188+AD188</f>
        <v>175</v>
      </c>
      <c r="AF188" s="47" t="n">
        <f aca="false">IF(AE188&lt;=Y188,AA188,0)</f>
        <v>0</v>
      </c>
      <c r="AG188" s="46" t="n">
        <f aca="false">MIN(AC188,I188)</f>
        <v>41</v>
      </c>
      <c r="AH188" s="46" t="n">
        <f aca="false">I188-AG188</f>
        <v>0</v>
      </c>
      <c r="AI188" s="46" t="n">
        <f aca="false">AC188-AG188</f>
        <v>134</v>
      </c>
      <c r="AJ188" s="46" t="n">
        <f aca="false">IF(AH188&gt;0,1,0)</f>
        <v>0</v>
      </c>
    </row>
    <row r="189" customFormat="false" ht="15" hidden="false" customHeight="false" outlineLevel="0" collapsed="false">
      <c r="A189" s="31" t="str">
        <f aca="false">Inputs!$B$48</f>
        <v>KIT-009</v>
      </c>
      <c r="B189" s="46" t="n">
        <f aca="false">B188+1</f>
        <v>97</v>
      </c>
      <c r="C189" s="46" t="n">
        <f aca="false">MATCH(A189,Inputs!$B$40:$B$87,0)</f>
        <v>9</v>
      </c>
      <c r="D189" s="32" t="n">
        <f aca="false">INDEX(Inputs!$F$40:$F$87,C189)</f>
        <v>2</v>
      </c>
      <c r="E189" s="78" t="n">
        <f aca="false">INDEX(Inputs!$H$40:$H$87,C189)</f>
        <v>24</v>
      </c>
      <c r="F189" s="78" t="n">
        <f aca="false">INDEX(Inputs!$G$40:$G$87,C189)</f>
        <v>40</v>
      </c>
      <c r="G189" s="32" t="n">
        <f aca="false">INDEX(Inputs!$I$40:$I$87,C189)</f>
        <v>5</v>
      </c>
      <c r="H189" s="46" t="n">
        <f aca="false">MATCH(A189,Demand_History!$C:$C,0)+B189-1</f>
        <v>930</v>
      </c>
      <c r="I189" s="32" t="n">
        <f aca="false">INDEX(Forecast_Walkforward!$C:$C,H189)</f>
        <v>43</v>
      </c>
      <c r="J189" s="79" t="n">
        <f aca="false">INDEX(Forecast_Walkforward!$E:$E,H189)</f>
        <v>38.25</v>
      </c>
      <c r="K189" s="33" t="n">
        <f aca="false">Baseline_Weeks*J189</f>
        <v>153</v>
      </c>
      <c r="L189" s="46" t="n">
        <f aca="false">SUMIFS(P$181:P188,$B$181:$B188,$B189-$D189)</f>
        <v>50</v>
      </c>
      <c r="M189" s="46" t="n">
        <f aca="false">S188+L189</f>
        <v>70</v>
      </c>
      <c r="N189" s="46" t="n">
        <f aca="false">SUMIFS(P$181:P188,$B$181:$B188,"&gt;"&amp;($B189-$D189))</f>
        <v>40</v>
      </c>
      <c r="O189" s="46" t="n">
        <f aca="false">M189+N189</f>
        <v>110</v>
      </c>
      <c r="P189" s="47" t="n">
        <f aca="false">IF(O189&lt;K189,ROUNDUP((K189-O189)/G189,0)*G189,0)</f>
        <v>45</v>
      </c>
      <c r="Q189" s="46" t="n">
        <f aca="false">MIN(M189,I189)</f>
        <v>43</v>
      </c>
      <c r="R189" s="46" t="n">
        <f aca="false">I189-Q189</f>
        <v>0</v>
      </c>
      <c r="S189" s="46" t="n">
        <f aca="false">M189-Q189</f>
        <v>27</v>
      </c>
      <c r="T189" s="46" t="n">
        <f aca="false">IF(R189&gt;0,1,0)</f>
        <v>0</v>
      </c>
      <c r="U189" s="32" t="n">
        <f aca="false">INDEX(Forecast!$AY$7:$AY$54,C189)</f>
        <v>2</v>
      </c>
      <c r="V189" s="33" t="n">
        <f aca="false">CHOOSE(U189,INDEX(Forecast_Walkforward!$D:$D,H189),INDEX(Forecast_Walkforward!$E:$E,H189),INDEX(Forecast_Walkforward!$F:$F,H189),INDEX(Forecast_Walkforward!$G:$G,H189))</f>
        <v>38.25</v>
      </c>
      <c r="W189" s="79" t="n">
        <f aca="false">INDEX(Forecast!$BA$7:$BA$54,C189)</f>
        <v>4.69442361980382</v>
      </c>
      <c r="X189" s="33" t="n">
        <f aca="false">Z_Value*W189*SQRT(D189)</f>
        <v>10.9200476122203</v>
      </c>
      <c r="Y189" s="33" t="n">
        <f aca="false">V189*D189+X189</f>
        <v>87.4200476122203</v>
      </c>
      <c r="Z189" s="33" t="n">
        <f aca="false">SQRT((2*V189*Weeks_Per_Year*F189)/(E189*Holding_Rate))</f>
        <v>182.071414560331</v>
      </c>
      <c r="AA189" s="46" t="n">
        <f aca="false">ROUNDUP(Z189/G189,0)*G189</f>
        <v>185</v>
      </c>
      <c r="AB189" s="46" t="n">
        <f aca="false">SUMIFS(AF$181:AF188,$B$181:$B188,$B189-$D189)</f>
        <v>0</v>
      </c>
      <c r="AC189" s="46" t="n">
        <f aca="false">AI188+AB189</f>
        <v>134</v>
      </c>
      <c r="AD189" s="46" t="n">
        <f aca="false">SUMIFS(AF$181:AF188,$B$181:$B188,"&gt;"&amp;($B189-$D189))</f>
        <v>0</v>
      </c>
      <c r="AE189" s="46" t="n">
        <f aca="false">AC189+AD189</f>
        <v>134</v>
      </c>
      <c r="AF189" s="47" t="n">
        <f aca="false">IF(AE189&lt;=Y189,AA189,0)</f>
        <v>0</v>
      </c>
      <c r="AG189" s="46" t="n">
        <f aca="false">MIN(AC189,I189)</f>
        <v>43</v>
      </c>
      <c r="AH189" s="46" t="n">
        <f aca="false">I189-AG189</f>
        <v>0</v>
      </c>
      <c r="AI189" s="46" t="n">
        <f aca="false">AC189-AG189</f>
        <v>91</v>
      </c>
      <c r="AJ189" s="46" t="n">
        <f aca="false">IF(AH189&gt;0,1,0)</f>
        <v>0</v>
      </c>
    </row>
    <row r="190" customFormat="false" ht="15" hidden="false" customHeight="false" outlineLevel="0" collapsed="false">
      <c r="A190" s="31" t="str">
        <f aca="false">Inputs!$B$48</f>
        <v>KIT-009</v>
      </c>
      <c r="B190" s="46" t="n">
        <f aca="false">B189+1</f>
        <v>98</v>
      </c>
      <c r="C190" s="46" t="n">
        <f aca="false">MATCH(A190,Inputs!$B$40:$B$87,0)</f>
        <v>9</v>
      </c>
      <c r="D190" s="32" t="n">
        <f aca="false">INDEX(Inputs!$F$40:$F$87,C190)</f>
        <v>2</v>
      </c>
      <c r="E190" s="78" t="n">
        <f aca="false">INDEX(Inputs!$H$40:$H$87,C190)</f>
        <v>24</v>
      </c>
      <c r="F190" s="78" t="n">
        <f aca="false">INDEX(Inputs!$G$40:$G$87,C190)</f>
        <v>40</v>
      </c>
      <c r="G190" s="32" t="n">
        <f aca="false">INDEX(Inputs!$I$40:$I$87,C190)</f>
        <v>5</v>
      </c>
      <c r="H190" s="46" t="n">
        <f aca="false">MATCH(A190,Demand_History!$C:$C,0)+B190-1</f>
        <v>931</v>
      </c>
      <c r="I190" s="32" t="n">
        <f aca="false">INDEX(Forecast_Walkforward!$C:$C,H190)</f>
        <v>36</v>
      </c>
      <c r="J190" s="79" t="n">
        <f aca="false">INDEX(Forecast_Walkforward!$E:$E,H190)</f>
        <v>40.25</v>
      </c>
      <c r="K190" s="33" t="n">
        <f aca="false">Baseline_Weeks*J190</f>
        <v>161</v>
      </c>
      <c r="L190" s="46" t="n">
        <f aca="false">SUMIFS(P$181:P189,$B$181:$B189,$B190-$D190)</f>
        <v>40</v>
      </c>
      <c r="M190" s="46" t="n">
        <f aca="false">S189+L190</f>
        <v>67</v>
      </c>
      <c r="N190" s="46" t="n">
        <f aca="false">SUMIFS(P$181:P189,$B$181:$B189,"&gt;"&amp;($B190-$D190))</f>
        <v>45</v>
      </c>
      <c r="O190" s="46" t="n">
        <f aca="false">M190+N190</f>
        <v>112</v>
      </c>
      <c r="P190" s="47" t="n">
        <f aca="false">IF(O190&lt;K190,ROUNDUP((K190-O190)/G190,0)*G190,0)</f>
        <v>50</v>
      </c>
      <c r="Q190" s="46" t="n">
        <f aca="false">MIN(M190,I190)</f>
        <v>36</v>
      </c>
      <c r="R190" s="46" t="n">
        <f aca="false">I190-Q190</f>
        <v>0</v>
      </c>
      <c r="S190" s="46" t="n">
        <f aca="false">M190-Q190</f>
        <v>31</v>
      </c>
      <c r="T190" s="46" t="n">
        <f aca="false">IF(R190&gt;0,1,0)</f>
        <v>0</v>
      </c>
      <c r="U190" s="32" t="n">
        <f aca="false">INDEX(Forecast!$AY$7:$AY$54,C190)</f>
        <v>2</v>
      </c>
      <c r="V190" s="33" t="n">
        <f aca="false">CHOOSE(U190,INDEX(Forecast_Walkforward!$D:$D,H190),INDEX(Forecast_Walkforward!$E:$E,H190),INDEX(Forecast_Walkforward!$F:$F,H190),INDEX(Forecast_Walkforward!$G:$G,H190))</f>
        <v>40.25</v>
      </c>
      <c r="W190" s="79" t="n">
        <f aca="false">INDEX(Forecast!$BA$7:$BA$54,C190)</f>
        <v>4.69442361980382</v>
      </c>
      <c r="X190" s="33" t="n">
        <f aca="false">Z_Value*W190*SQRT(D190)</f>
        <v>10.9200476122203</v>
      </c>
      <c r="Y190" s="33" t="n">
        <f aca="false">V190*D190+X190</f>
        <v>91.4200476122203</v>
      </c>
      <c r="Z190" s="33" t="n">
        <f aca="false">SQRT((2*V190*Weeks_Per_Year*F190)/(E190*Holding_Rate))</f>
        <v>186.770804285181</v>
      </c>
      <c r="AA190" s="46" t="n">
        <f aca="false">ROUNDUP(Z190/G190,0)*G190</f>
        <v>190</v>
      </c>
      <c r="AB190" s="46" t="n">
        <f aca="false">SUMIFS(AF$181:AF189,$B$181:$B189,$B190-$D190)</f>
        <v>0</v>
      </c>
      <c r="AC190" s="46" t="n">
        <f aca="false">AI189+AB190</f>
        <v>91</v>
      </c>
      <c r="AD190" s="46" t="n">
        <f aca="false">SUMIFS(AF$181:AF189,$B$181:$B189,"&gt;"&amp;($B190-$D190))</f>
        <v>0</v>
      </c>
      <c r="AE190" s="46" t="n">
        <f aca="false">AC190+AD190</f>
        <v>91</v>
      </c>
      <c r="AF190" s="47" t="n">
        <f aca="false">IF(AE190&lt;=Y190,AA190,0)</f>
        <v>190</v>
      </c>
      <c r="AG190" s="46" t="n">
        <f aca="false">MIN(AC190,I190)</f>
        <v>36</v>
      </c>
      <c r="AH190" s="46" t="n">
        <f aca="false">I190-AG190</f>
        <v>0</v>
      </c>
      <c r="AI190" s="46" t="n">
        <f aca="false">AC190-AG190</f>
        <v>55</v>
      </c>
      <c r="AJ190" s="46" t="n">
        <f aca="false">IF(AH190&gt;0,1,0)</f>
        <v>0</v>
      </c>
    </row>
    <row r="191" customFormat="false" ht="15" hidden="false" customHeight="false" outlineLevel="0" collapsed="false">
      <c r="A191" s="31" t="str">
        <f aca="false">Inputs!$B$48</f>
        <v>KIT-009</v>
      </c>
      <c r="B191" s="46" t="n">
        <f aca="false">B190+1</f>
        <v>99</v>
      </c>
      <c r="C191" s="46" t="n">
        <f aca="false">MATCH(A191,Inputs!$B$40:$B$87,0)</f>
        <v>9</v>
      </c>
      <c r="D191" s="32" t="n">
        <f aca="false">INDEX(Inputs!$F$40:$F$87,C191)</f>
        <v>2</v>
      </c>
      <c r="E191" s="78" t="n">
        <f aca="false">INDEX(Inputs!$H$40:$H$87,C191)</f>
        <v>24</v>
      </c>
      <c r="F191" s="78" t="n">
        <f aca="false">INDEX(Inputs!$G$40:$G$87,C191)</f>
        <v>40</v>
      </c>
      <c r="G191" s="32" t="n">
        <f aca="false">INDEX(Inputs!$I$40:$I$87,C191)</f>
        <v>5</v>
      </c>
      <c r="H191" s="46" t="n">
        <f aca="false">MATCH(A191,Demand_History!$C:$C,0)+B191-1</f>
        <v>932</v>
      </c>
      <c r="I191" s="32" t="n">
        <f aca="false">INDEX(Forecast_Walkforward!$C:$C,H191)</f>
        <v>42</v>
      </c>
      <c r="J191" s="79" t="n">
        <f aca="false">INDEX(Forecast_Walkforward!$E:$E,H191)</f>
        <v>38.75</v>
      </c>
      <c r="K191" s="33" t="n">
        <f aca="false">Baseline_Weeks*J191</f>
        <v>155</v>
      </c>
      <c r="L191" s="46" t="n">
        <f aca="false">SUMIFS(P$181:P190,$B$181:$B190,$B191-$D191)</f>
        <v>45</v>
      </c>
      <c r="M191" s="46" t="n">
        <f aca="false">S190+L191</f>
        <v>76</v>
      </c>
      <c r="N191" s="46" t="n">
        <f aca="false">SUMIFS(P$181:P190,$B$181:$B190,"&gt;"&amp;($B191-$D191))</f>
        <v>50</v>
      </c>
      <c r="O191" s="46" t="n">
        <f aca="false">M191+N191</f>
        <v>126</v>
      </c>
      <c r="P191" s="47" t="n">
        <f aca="false">IF(O191&lt;K191,ROUNDUP((K191-O191)/G191,0)*G191,0)</f>
        <v>30</v>
      </c>
      <c r="Q191" s="46" t="n">
        <f aca="false">MIN(M191,I191)</f>
        <v>42</v>
      </c>
      <c r="R191" s="46" t="n">
        <f aca="false">I191-Q191</f>
        <v>0</v>
      </c>
      <c r="S191" s="46" t="n">
        <f aca="false">M191-Q191</f>
        <v>34</v>
      </c>
      <c r="T191" s="46" t="n">
        <f aca="false">IF(R191&gt;0,1,0)</f>
        <v>0</v>
      </c>
      <c r="U191" s="32" t="n">
        <f aca="false">INDEX(Forecast!$AY$7:$AY$54,C191)</f>
        <v>2</v>
      </c>
      <c r="V191" s="33" t="n">
        <f aca="false">CHOOSE(U191,INDEX(Forecast_Walkforward!$D:$D,H191),INDEX(Forecast_Walkforward!$E:$E,H191),INDEX(Forecast_Walkforward!$F:$F,H191),INDEX(Forecast_Walkforward!$G:$G,H191))</f>
        <v>38.75</v>
      </c>
      <c r="W191" s="79" t="n">
        <f aca="false">INDEX(Forecast!$BA$7:$BA$54,C191)</f>
        <v>4.69442361980382</v>
      </c>
      <c r="X191" s="33" t="n">
        <f aca="false">Z_Value*W191*SQRT(D191)</f>
        <v>10.9200476122203</v>
      </c>
      <c r="Y191" s="33" t="n">
        <f aca="false">V191*D191+X191</f>
        <v>88.4200476122203</v>
      </c>
      <c r="Z191" s="33" t="n">
        <f aca="false">SQRT((2*V191*Weeks_Per_Year*F191)/(E191*Holding_Rate))</f>
        <v>183.257560098713</v>
      </c>
      <c r="AA191" s="46" t="n">
        <f aca="false">ROUNDUP(Z191/G191,0)*G191</f>
        <v>185</v>
      </c>
      <c r="AB191" s="46" t="n">
        <f aca="false">SUMIFS(AF$181:AF190,$B$181:$B190,$B191-$D191)</f>
        <v>0</v>
      </c>
      <c r="AC191" s="46" t="n">
        <f aca="false">AI190+AB191</f>
        <v>55</v>
      </c>
      <c r="AD191" s="46" t="n">
        <f aca="false">SUMIFS(AF$181:AF190,$B$181:$B190,"&gt;"&amp;($B191-$D191))</f>
        <v>190</v>
      </c>
      <c r="AE191" s="46" t="n">
        <f aca="false">AC191+AD191</f>
        <v>245</v>
      </c>
      <c r="AF191" s="47" t="n">
        <f aca="false">IF(AE191&lt;=Y191,AA191,0)</f>
        <v>0</v>
      </c>
      <c r="AG191" s="46" t="n">
        <f aca="false">MIN(AC191,I191)</f>
        <v>42</v>
      </c>
      <c r="AH191" s="46" t="n">
        <f aca="false">I191-AG191</f>
        <v>0</v>
      </c>
      <c r="AI191" s="46" t="n">
        <f aca="false">AC191-AG191</f>
        <v>13</v>
      </c>
      <c r="AJ191" s="46" t="n">
        <f aca="false">IF(AH191&gt;0,1,0)</f>
        <v>0</v>
      </c>
    </row>
    <row r="192" customFormat="false" ht="15" hidden="false" customHeight="false" outlineLevel="0" collapsed="false">
      <c r="A192" s="31" t="str">
        <f aca="false">Inputs!$B$48</f>
        <v>KIT-009</v>
      </c>
      <c r="B192" s="46" t="n">
        <f aca="false">B191+1</f>
        <v>100</v>
      </c>
      <c r="C192" s="46" t="n">
        <f aca="false">MATCH(A192,Inputs!$B$40:$B$87,0)</f>
        <v>9</v>
      </c>
      <c r="D192" s="32" t="n">
        <f aca="false">INDEX(Inputs!$F$40:$F$87,C192)</f>
        <v>2</v>
      </c>
      <c r="E192" s="78" t="n">
        <f aca="false">INDEX(Inputs!$H$40:$H$87,C192)</f>
        <v>24</v>
      </c>
      <c r="F192" s="78" t="n">
        <f aca="false">INDEX(Inputs!$G$40:$G$87,C192)</f>
        <v>40</v>
      </c>
      <c r="G192" s="32" t="n">
        <f aca="false">INDEX(Inputs!$I$40:$I$87,C192)</f>
        <v>5</v>
      </c>
      <c r="H192" s="46" t="n">
        <f aca="false">MATCH(A192,Demand_History!$C:$C,0)+B192-1</f>
        <v>933</v>
      </c>
      <c r="I192" s="32" t="n">
        <f aca="false">INDEX(Forecast_Walkforward!$C:$C,H192)</f>
        <v>51</v>
      </c>
      <c r="J192" s="79" t="n">
        <f aca="false">INDEX(Forecast_Walkforward!$E:$E,H192)</f>
        <v>40.5</v>
      </c>
      <c r="K192" s="33" t="n">
        <f aca="false">Baseline_Weeks*J192</f>
        <v>162</v>
      </c>
      <c r="L192" s="46" t="n">
        <f aca="false">SUMIFS(P$181:P191,$B$181:$B191,$B192-$D192)</f>
        <v>50</v>
      </c>
      <c r="M192" s="46" t="n">
        <f aca="false">S191+L192</f>
        <v>84</v>
      </c>
      <c r="N192" s="46" t="n">
        <f aca="false">SUMIFS(P$181:P191,$B$181:$B191,"&gt;"&amp;($B192-$D192))</f>
        <v>30</v>
      </c>
      <c r="O192" s="46" t="n">
        <f aca="false">M192+N192</f>
        <v>114</v>
      </c>
      <c r="P192" s="47" t="n">
        <f aca="false">IF(O192&lt;K192,ROUNDUP((K192-O192)/G192,0)*G192,0)</f>
        <v>50</v>
      </c>
      <c r="Q192" s="46" t="n">
        <f aca="false">MIN(M192,I192)</f>
        <v>51</v>
      </c>
      <c r="R192" s="46" t="n">
        <f aca="false">I192-Q192</f>
        <v>0</v>
      </c>
      <c r="S192" s="46" t="n">
        <f aca="false">M192-Q192</f>
        <v>33</v>
      </c>
      <c r="T192" s="46" t="n">
        <f aca="false">IF(R192&gt;0,1,0)</f>
        <v>0</v>
      </c>
      <c r="U192" s="32" t="n">
        <f aca="false">INDEX(Forecast!$AY$7:$AY$54,C192)</f>
        <v>2</v>
      </c>
      <c r="V192" s="33" t="n">
        <f aca="false">CHOOSE(U192,INDEX(Forecast_Walkforward!$D:$D,H192),INDEX(Forecast_Walkforward!$E:$E,H192),INDEX(Forecast_Walkforward!$F:$F,H192),INDEX(Forecast_Walkforward!$G:$G,H192))</f>
        <v>40.5</v>
      </c>
      <c r="W192" s="79" t="n">
        <f aca="false">INDEX(Forecast!$BA$7:$BA$54,C192)</f>
        <v>4.69442361980382</v>
      </c>
      <c r="X192" s="33" t="n">
        <f aca="false">Z_Value*W192*SQRT(D192)</f>
        <v>10.9200476122203</v>
      </c>
      <c r="Y192" s="33" t="n">
        <f aca="false">V192*D192+X192</f>
        <v>91.9200476122203</v>
      </c>
      <c r="Z192" s="33" t="n">
        <f aca="false">SQRT((2*V192*Weeks_Per_Year*F192)/(E192*Holding_Rate))</f>
        <v>187.349939951952</v>
      </c>
      <c r="AA192" s="46" t="n">
        <f aca="false">ROUNDUP(Z192/G192,0)*G192</f>
        <v>190</v>
      </c>
      <c r="AB192" s="46" t="n">
        <f aca="false">SUMIFS(AF$181:AF191,$B$181:$B191,$B192-$D192)</f>
        <v>190</v>
      </c>
      <c r="AC192" s="46" t="n">
        <f aca="false">AI191+AB192</f>
        <v>203</v>
      </c>
      <c r="AD192" s="46" t="n">
        <f aca="false">SUMIFS(AF$181:AF191,$B$181:$B191,"&gt;"&amp;($B192-$D192))</f>
        <v>0</v>
      </c>
      <c r="AE192" s="46" t="n">
        <f aca="false">AC192+AD192</f>
        <v>203</v>
      </c>
      <c r="AF192" s="47" t="n">
        <f aca="false">IF(AE192&lt;=Y192,AA192,0)</f>
        <v>0</v>
      </c>
      <c r="AG192" s="46" t="n">
        <f aca="false">MIN(AC192,I192)</f>
        <v>51</v>
      </c>
      <c r="AH192" s="46" t="n">
        <f aca="false">I192-AG192</f>
        <v>0</v>
      </c>
      <c r="AI192" s="46" t="n">
        <f aca="false">AC192-AG192</f>
        <v>152</v>
      </c>
      <c r="AJ192" s="46" t="n">
        <f aca="false">IF(AH192&gt;0,1,0)</f>
        <v>0</v>
      </c>
    </row>
    <row r="193" customFormat="false" ht="15" hidden="false" customHeight="false" outlineLevel="0" collapsed="false">
      <c r="A193" s="31" t="str">
        <f aca="false">Inputs!$B$48</f>
        <v>KIT-009</v>
      </c>
      <c r="B193" s="46" t="n">
        <f aca="false">B192+1</f>
        <v>101</v>
      </c>
      <c r="C193" s="46" t="n">
        <f aca="false">MATCH(A193,Inputs!$B$40:$B$87,0)</f>
        <v>9</v>
      </c>
      <c r="D193" s="32" t="n">
        <f aca="false">INDEX(Inputs!$F$40:$F$87,C193)</f>
        <v>2</v>
      </c>
      <c r="E193" s="78" t="n">
        <f aca="false">INDEX(Inputs!$H$40:$H$87,C193)</f>
        <v>24</v>
      </c>
      <c r="F193" s="78" t="n">
        <f aca="false">INDEX(Inputs!$G$40:$G$87,C193)</f>
        <v>40</v>
      </c>
      <c r="G193" s="32" t="n">
        <f aca="false">INDEX(Inputs!$I$40:$I$87,C193)</f>
        <v>5</v>
      </c>
      <c r="H193" s="46" t="n">
        <f aca="false">MATCH(A193,Demand_History!$C:$C,0)+B193-1</f>
        <v>934</v>
      </c>
      <c r="I193" s="32" t="n">
        <f aca="false">INDEX(Forecast_Walkforward!$C:$C,H193)</f>
        <v>43</v>
      </c>
      <c r="J193" s="79" t="n">
        <f aca="false">INDEX(Forecast_Walkforward!$E:$E,H193)</f>
        <v>43</v>
      </c>
      <c r="K193" s="33" t="n">
        <f aca="false">Baseline_Weeks*J193</f>
        <v>172</v>
      </c>
      <c r="L193" s="46" t="n">
        <f aca="false">SUMIFS(P$181:P192,$B$181:$B192,$B193-$D193)</f>
        <v>30</v>
      </c>
      <c r="M193" s="46" t="n">
        <f aca="false">S192+L193</f>
        <v>63</v>
      </c>
      <c r="N193" s="46" t="n">
        <f aca="false">SUMIFS(P$181:P192,$B$181:$B192,"&gt;"&amp;($B193-$D193))</f>
        <v>50</v>
      </c>
      <c r="O193" s="46" t="n">
        <f aca="false">M193+N193</f>
        <v>113</v>
      </c>
      <c r="P193" s="47" t="n">
        <f aca="false">IF(O193&lt;K193,ROUNDUP((K193-O193)/G193,0)*G193,0)</f>
        <v>60</v>
      </c>
      <c r="Q193" s="46" t="n">
        <f aca="false">MIN(M193,I193)</f>
        <v>43</v>
      </c>
      <c r="R193" s="46" t="n">
        <f aca="false">I193-Q193</f>
        <v>0</v>
      </c>
      <c r="S193" s="46" t="n">
        <f aca="false">M193-Q193</f>
        <v>20</v>
      </c>
      <c r="T193" s="46" t="n">
        <f aca="false">IF(R193&gt;0,1,0)</f>
        <v>0</v>
      </c>
      <c r="U193" s="32" t="n">
        <f aca="false">INDEX(Forecast!$AY$7:$AY$54,C193)</f>
        <v>2</v>
      </c>
      <c r="V193" s="33" t="n">
        <f aca="false">CHOOSE(U193,INDEX(Forecast_Walkforward!$D:$D,H193),INDEX(Forecast_Walkforward!$E:$E,H193),INDEX(Forecast_Walkforward!$F:$F,H193),INDEX(Forecast_Walkforward!$G:$G,H193))</f>
        <v>43</v>
      </c>
      <c r="W193" s="79" t="n">
        <f aca="false">INDEX(Forecast!$BA$7:$BA$54,C193)</f>
        <v>4.69442361980382</v>
      </c>
      <c r="X193" s="33" t="n">
        <f aca="false">Z_Value*W193*SQRT(D193)</f>
        <v>10.9200476122203</v>
      </c>
      <c r="Y193" s="33" t="n">
        <f aca="false">V193*D193+X193</f>
        <v>96.9200476122203</v>
      </c>
      <c r="Z193" s="33" t="n">
        <f aca="false">SQRT((2*V193*Weeks_Per_Year*F193)/(E193*Holding_Rate))</f>
        <v>193.045763140937</v>
      </c>
      <c r="AA193" s="46" t="n">
        <f aca="false">ROUNDUP(Z193/G193,0)*G193</f>
        <v>195</v>
      </c>
      <c r="AB193" s="46" t="n">
        <f aca="false">SUMIFS(AF$181:AF192,$B$181:$B192,$B193-$D193)</f>
        <v>0</v>
      </c>
      <c r="AC193" s="46" t="n">
        <f aca="false">AI192+AB193</f>
        <v>152</v>
      </c>
      <c r="AD193" s="46" t="n">
        <f aca="false">SUMIFS(AF$181:AF192,$B$181:$B192,"&gt;"&amp;($B193-$D193))</f>
        <v>0</v>
      </c>
      <c r="AE193" s="46" t="n">
        <f aca="false">AC193+AD193</f>
        <v>152</v>
      </c>
      <c r="AF193" s="47" t="n">
        <f aca="false">IF(AE193&lt;=Y193,AA193,0)</f>
        <v>0</v>
      </c>
      <c r="AG193" s="46" t="n">
        <f aca="false">MIN(AC193,I193)</f>
        <v>43</v>
      </c>
      <c r="AH193" s="46" t="n">
        <f aca="false">I193-AG193</f>
        <v>0</v>
      </c>
      <c r="AI193" s="46" t="n">
        <f aca="false">AC193-AG193</f>
        <v>109</v>
      </c>
      <c r="AJ193" s="46" t="n">
        <f aca="false">IF(AH193&gt;0,1,0)</f>
        <v>0</v>
      </c>
    </row>
    <row r="194" customFormat="false" ht="15" hidden="false" customHeight="false" outlineLevel="0" collapsed="false">
      <c r="A194" s="31" t="str">
        <f aca="false">Inputs!$B$48</f>
        <v>KIT-009</v>
      </c>
      <c r="B194" s="46" t="n">
        <f aca="false">B193+1</f>
        <v>102</v>
      </c>
      <c r="C194" s="46" t="n">
        <f aca="false">MATCH(A194,Inputs!$B$40:$B$87,0)</f>
        <v>9</v>
      </c>
      <c r="D194" s="32" t="n">
        <f aca="false">INDEX(Inputs!$F$40:$F$87,C194)</f>
        <v>2</v>
      </c>
      <c r="E194" s="78" t="n">
        <f aca="false">INDEX(Inputs!$H$40:$H$87,C194)</f>
        <v>24</v>
      </c>
      <c r="F194" s="78" t="n">
        <f aca="false">INDEX(Inputs!$G$40:$G$87,C194)</f>
        <v>40</v>
      </c>
      <c r="G194" s="32" t="n">
        <f aca="false">INDEX(Inputs!$I$40:$I$87,C194)</f>
        <v>5</v>
      </c>
      <c r="H194" s="46" t="n">
        <f aca="false">MATCH(A194,Demand_History!$C:$C,0)+B194-1</f>
        <v>935</v>
      </c>
      <c r="I194" s="32" t="n">
        <f aca="false">INDEX(Forecast_Walkforward!$C:$C,H194)</f>
        <v>38</v>
      </c>
      <c r="J194" s="79" t="n">
        <f aca="false">INDEX(Forecast_Walkforward!$E:$E,H194)</f>
        <v>43</v>
      </c>
      <c r="K194" s="33" t="n">
        <f aca="false">Baseline_Weeks*J194</f>
        <v>172</v>
      </c>
      <c r="L194" s="46" t="n">
        <f aca="false">SUMIFS(P$181:P193,$B$181:$B193,$B194-$D194)</f>
        <v>50</v>
      </c>
      <c r="M194" s="46" t="n">
        <f aca="false">S193+L194</f>
        <v>70</v>
      </c>
      <c r="N194" s="46" t="n">
        <f aca="false">SUMIFS(P$181:P193,$B$181:$B193,"&gt;"&amp;($B194-$D194))</f>
        <v>60</v>
      </c>
      <c r="O194" s="46" t="n">
        <f aca="false">M194+N194</f>
        <v>130</v>
      </c>
      <c r="P194" s="47" t="n">
        <f aca="false">IF(O194&lt;K194,ROUNDUP((K194-O194)/G194,0)*G194,0)</f>
        <v>45</v>
      </c>
      <c r="Q194" s="46" t="n">
        <f aca="false">MIN(M194,I194)</f>
        <v>38</v>
      </c>
      <c r="R194" s="46" t="n">
        <f aca="false">I194-Q194</f>
        <v>0</v>
      </c>
      <c r="S194" s="46" t="n">
        <f aca="false">M194-Q194</f>
        <v>32</v>
      </c>
      <c r="T194" s="46" t="n">
        <f aca="false">IF(R194&gt;0,1,0)</f>
        <v>0</v>
      </c>
      <c r="U194" s="32" t="n">
        <f aca="false">INDEX(Forecast!$AY$7:$AY$54,C194)</f>
        <v>2</v>
      </c>
      <c r="V194" s="33" t="n">
        <f aca="false">CHOOSE(U194,INDEX(Forecast_Walkforward!$D:$D,H194),INDEX(Forecast_Walkforward!$E:$E,H194),INDEX(Forecast_Walkforward!$F:$F,H194),INDEX(Forecast_Walkforward!$G:$G,H194))</f>
        <v>43</v>
      </c>
      <c r="W194" s="79" t="n">
        <f aca="false">INDEX(Forecast!$BA$7:$BA$54,C194)</f>
        <v>4.69442361980382</v>
      </c>
      <c r="X194" s="33" t="n">
        <f aca="false">Z_Value*W194*SQRT(D194)</f>
        <v>10.9200476122203</v>
      </c>
      <c r="Y194" s="33" t="n">
        <f aca="false">V194*D194+X194</f>
        <v>96.9200476122203</v>
      </c>
      <c r="Z194" s="33" t="n">
        <f aca="false">SQRT((2*V194*Weeks_Per_Year*F194)/(E194*Holding_Rate))</f>
        <v>193.045763140937</v>
      </c>
      <c r="AA194" s="46" t="n">
        <f aca="false">ROUNDUP(Z194/G194,0)*G194</f>
        <v>195</v>
      </c>
      <c r="AB194" s="46" t="n">
        <f aca="false">SUMIFS(AF$181:AF193,$B$181:$B193,$B194-$D194)</f>
        <v>0</v>
      </c>
      <c r="AC194" s="46" t="n">
        <f aca="false">AI193+AB194</f>
        <v>109</v>
      </c>
      <c r="AD194" s="46" t="n">
        <f aca="false">SUMIFS(AF$181:AF193,$B$181:$B193,"&gt;"&amp;($B194-$D194))</f>
        <v>0</v>
      </c>
      <c r="AE194" s="46" t="n">
        <f aca="false">AC194+AD194</f>
        <v>109</v>
      </c>
      <c r="AF194" s="47" t="n">
        <f aca="false">IF(AE194&lt;=Y194,AA194,0)</f>
        <v>0</v>
      </c>
      <c r="AG194" s="46" t="n">
        <f aca="false">MIN(AC194,I194)</f>
        <v>38</v>
      </c>
      <c r="AH194" s="46" t="n">
        <f aca="false">I194-AG194</f>
        <v>0</v>
      </c>
      <c r="AI194" s="46" t="n">
        <f aca="false">AC194-AG194</f>
        <v>71</v>
      </c>
      <c r="AJ194" s="46" t="n">
        <f aca="false">IF(AH194&gt;0,1,0)</f>
        <v>0</v>
      </c>
    </row>
    <row r="195" customFormat="false" ht="15" hidden="false" customHeight="false" outlineLevel="0" collapsed="false">
      <c r="A195" s="31" t="str">
        <f aca="false">Inputs!$B$48</f>
        <v>KIT-009</v>
      </c>
      <c r="B195" s="46" t="n">
        <f aca="false">B194+1</f>
        <v>103</v>
      </c>
      <c r="C195" s="46" t="n">
        <f aca="false">MATCH(A195,Inputs!$B$40:$B$87,0)</f>
        <v>9</v>
      </c>
      <c r="D195" s="32" t="n">
        <f aca="false">INDEX(Inputs!$F$40:$F$87,C195)</f>
        <v>2</v>
      </c>
      <c r="E195" s="78" t="n">
        <f aca="false">INDEX(Inputs!$H$40:$H$87,C195)</f>
        <v>24</v>
      </c>
      <c r="F195" s="78" t="n">
        <f aca="false">INDEX(Inputs!$G$40:$G$87,C195)</f>
        <v>40</v>
      </c>
      <c r="G195" s="32" t="n">
        <f aca="false">INDEX(Inputs!$I$40:$I$87,C195)</f>
        <v>5</v>
      </c>
      <c r="H195" s="46" t="n">
        <f aca="false">MATCH(A195,Demand_History!$C:$C,0)+B195-1</f>
        <v>936</v>
      </c>
      <c r="I195" s="32" t="n">
        <f aca="false">INDEX(Forecast_Walkforward!$C:$C,H195)</f>
        <v>41</v>
      </c>
      <c r="J195" s="79" t="n">
        <f aca="false">INDEX(Forecast_Walkforward!$E:$E,H195)</f>
        <v>43.5</v>
      </c>
      <c r="K195" s="33" t="n">
        <f aca="false">Baseline_Weeks*J195</f>
        <v>174</v>
      </c>
      <c r="L195" s="46" t="n">
        <f aca="false">SUMIFS(P$181:P194,$B$181:$B194,$B195-$D195)</f>
        <v>60</v>
      </c>
      <c r="M195" s="46" t="n">
        <f aca="false">S194+L195</f>
        <v>92</v>
      </c>
      <c r="N195" s="46" t="n">
        <f aca="false">SUMIFS(P$181:P194,$B$181:$B194,"&gt;"&amp;($B195-$D195))</f>
        <v>45</v>
      </c>
      <c r="O195" s="46" t="n">
        <f aca="false">M195+N195</f>
        <v>137</v>
      </c>
      <c r="P195" s="47" t="n">
        <f aca="false">IF(O195&lt;K195,ROUNDUP((K195-O195)/G195,0)*G195,0)</f>
        <v>40</v>
      </c>
      <c r="Q195" s="46" t="n">
        <f aca="false">MIN(M195,I195)</f>
        <v>41</v>
      </c>
      <c r="R195" s="46" t="n">
        <f aca="false">I195-Q195</f>
        <v>0</v>
      </c>
      <c r="S195" s="46" t="n">
        <f aca="false">M195-Q195</f>
        <v>51</v>
      </c>
      <c r="T195" s="46" t="n">
        <f aca="false">IF(R195&gt;0,1,0)</f>
        <v>0</v>
      </c>
      <c r="U195" s="32" t="n">
        <f aca="false">INDEX(Forecast!$AY$7:$AY$54,C195)</f>
        <v>2</v>
      </c>
      <c r="V195" s="33" t="n">
        <f aca="false">CHOOSE(U195,INDEX(Forecast_Walkforward!$D:$D,H195),INDEX(Forecast_Walkforward!$E:$E,H195),INDEX(Forecast_Walkforward!$F:$F,H195),INDEX(Forecast_Walkforward!$G:$G,H195))</f>
        <v>43.5</v>
      </c>
      <c r="W195" s="79" t="n">
        <f aca="false">INDEX(Forecast!$BA$7:$BA$54,C195)</f>
        <v>4.69442361980382</v>
      </c>
      <c r="X195" s="33" t="n">
        <f aca="false">Z_Value*W195*SQRT(D195)</f>
        <v>10.9200476122203</v>
      </c>
      <c r="Y195" s="33" t="n">
        <f aca="false">V195*D195+X195</f>
        <v>97.9200476122203</v>
      </c>
      <c r="Z195" s="33" t="n">
        <f aca="false">SQRT((2*V195*Weeks_Per_Year*F195)/(E195*Holding_Rate))</f>
        <v>194.164878389476</v>
      </c>
      <c r="AA195" s="46" t="n">
        <f aca="false">ROUNDUP(Z195/G195,0)*G195</f>
        <v>195</v>
      </c>
      <c r="AB195" s="46" t="n">
        <f aca="false">SUMIFS(AF$181:AF194,$B$181:$B194,$B195-$D195)</f>
        <v>0</v>
      </c>
      <c r="AC195" s="46" t="n">
        <f aca="false">AI194+AB195</f>
        <v>71</v>
      </c>
      <c r="AD195" s="46" t="n">
        <f aca="false">SUMIFS(AF$181:AF194,$B$181:$B194,"&gt;"&amp;($B195-$D195))</f>
        <v>0</v>
      </c>
      <c r="AE195" s="46" t="n">
        <f aca="false">AC195+AD195</f>
        <v>71</v>
      </c>
      <c r="AF195" s="47" t="n">
        <f aca="false">IF(AE195&lt;=Y195,AA195,0)</f>
        <v>195</v>
      </c>
      <c r="AG195" s="46" t="n">
        <f aca="false">MIN(AC195,I195)</f>
        <v>41</v>
      </c>
      <c r="AH195" s="46" t="n">
        <f aca="false">I195-AG195</f>
        <v>0</v>
      </c>
      <c r="AI195" s="46" t="n">
        <f aca="false">AC195-AG195</f>
        <v>30</v>
      </c>
      <c r="AJ195" s="46" t="n">
        <f aca="false">IF(AH195&gt;0,1,0)</f>
        <v>0</v>
      </c>
    </row>
    <row r="196" customFormat="false" ht="15" hidden="false" customHeight="false" outlineLevel="0" collapsed="false">
      <c r="A196" s="80" t="str">
        <f aca="false">Inputs!$B$48</f>
        <v>KIT-009</v>
      </c>
      <c r="B196" s="81" t="n">
        <f aca="false">B195+1</f>
        <v>104</v>
      </c>
      <c r="C196" s="81" t="n">
        <f aca="false">MATCH(A196,Inputs!$B$40:$B$87,0)</f>
        <v>9</v>
      </c>
      <c r="D196" s="82" t="n">
        <f aca="false">INDEX(Inputs!$F$40:$F$87,C196)</f>
        <v>2</v>
      </c>
      <c r="E196" s="83" t="n">
        <f aca="false">INDEX(Inputs!$H$40:$H$87,C196)</f>
        <v>24</v>
      </c>
      <c r="F196" s="83" t="n">
        <f aca="false">INDEX(Inputs!$G$40:$G$87,C196)</f>
        <v>40</v>
      </c>
      <c r="G196" s="82" t="n">
        <f aca="false">INDEX(Inputs!$I$40:$I$87,C196)</f>
        <v>5</v>
      </c>
      <c r="H196" s="81" t="n">
        <f aca="false">MATCH(A196,Demand_History!$C:$C,0)+B196-1</f>
        <v>937</v>
      </c>
      <c r="I196" s="82" t="n">
        <f aca="false">INDEX(Forecast_Walkforward!$C:$C,H196)</f>
        <v>36</v>
      </c>
      <c r="J196" s="84" t="n">
        <f aca="false">INDEX(Forecast_Walkforward!$E:$E,H196)</f>
        <v>43.25</v>
      </c>
      <c r="K196" s="85" t="n">
        <f aca="false">Baseline_Weeks*J196</f>
        <v>173</v>
      </c>
      <c r="L196" s="81" t="n">
        <f aca="false">SUMIFS(P$181:P195,$B$181:$B195,$B196-$D196)</f>
        <v>45</v>
      </c>
      <c r="M196" s="81" t="n">
        <f aca="false">S195+L196</f>
        <v>96</v>
      </c>
      <c r="N196" s="81" t="n">
        <f aca="false">SUMIFS(P$181:P195,$B$181:$B195,"&gt;"&amp;($B196-$D196))</f>
        <v>40</v>
      </c>
      <c r="O196" s="81" t="n">
        <f aca="false">M196+N196</f>
        <v>136</v>
      </c>
      <c r="P196" s="86" t="n">
        <f aca="false">IF(O196&lt;K196,ROUNDUP((K196-O196)/G196,0)*G196,0)</f>
        <v>40</v>
      </c>
      <c r="Q196" s="81" t="n">
        <f aca="false">MIN(M196,I196)</f>
        <v>36</v>
      </c>
      <c r="R196" s="81" t="n">
        <f aca="false">I196-Q196</f>
        <v>0</v>
      </c>
      <c r="S196" s="81" t="n">
        <f aca="false">M196-Q196</f>
        <v>60</v>
      </c>
      <c r="T196" s="81" t="n">
        <f aca="false">IF(R196&gt;0,1,0)</f>
        <v>0</v>
      </c>
      <c r="U196" s="82" t="n">
        <f aca="false">INDEX(Forecast!$AY$7:$AY$54,C196)</f>
        <v>2</v>
      </c>
      <c r="V196" s="85" t="n">
        <f aca="false">CHOOSE(U196,INDEX(Forecast_Walkforward!$D:$D,H196),INDEX(Forecast_Walkforward!$E:$E,H196),INDEX(Forecast_Walkforward!$F:$F,H196),INDEX(Forecast_Walkforward!$G:$G,H196))</f>
        <v>43.25</v>
      </c>
      <c r="W196" s="84" t="n">
        <f aca="false">INDEX(Forecast!$BA$7:$BA$54,C196)</f>
        <v>4.69442361980382</v>
      </c>
      <c r="X196" s="85" t="n">
        <f aca="false">Z_Value*W196*SQRT(D196)</f>
        <v>10.9200476122203</v>
      </c>
      <c r="Y196" s="85" t="n">
        <f aca="false">V196*D196+X196</f>
        <v>97.4200476122203</v>
      </c>
      <c r="Z196" s="85" t="n">
        <f aca="false">SQRT((2*V196*Weeks_Per_Year*F196)/(E196*Holding_Rate))</f>
        <v>193.606129379556</v>
      </c>
      <c r="AA196" s="81" t="n">
        <f aca="false">ROUNDUP(Z196/G196,0)*G196</f>
        <v>195</v>
      </c>
      <c r="AB196" s="81" t="n">
        <f aca="false">SUMIFS(AF$181:AF195,$B$181:$B195,$B196-$D196)</f>
        <v>0</v>
      </c>
      <c r="AC196" s="81" t="n">
        <f aca="false">AI195+AB196</f>
        <v>30</v>
      </c>
      <c r="AD196" s="81" t="n">
        <f aca="false">SUMIFS(AF$181:AF195,$B$181:$B195,"&gt;"&amp;($B196-$D196))</f>
        <v>195</v>
      </c>
      <c r="AE196" s="81" t="n">
        <f aca="false">AC196+AD196</f>
        <v>225</v>
      </c>
      <c r="AF196" s="86" t="n">
        <f aca="false">IF(AE196&lt;=Y196,AA196,0)</f>
        <v>0</v>
      </c>
      <c r="AG196" s="81" t="n">
        <f aca="false">MIN(AC196,I196)</f>
        <v>30</v>
      </c>
      <c r="AH196" s="81" t="n">
        <f aca="false">I196-AG196</f>
        <v>6</v>
      </c>
      <c r="AI196" s="81" t="n">
        <f aca="false">AC196-AG196</f>
        <v>0</v>
      </c>
      <c r="AJ196" s="81" t="n">
        <f aca="false">IF(AH196&gt;0,1,0)</f>
        <v>1</v>
      </c>
    </row>
    <row r="197" customFormat="false" ht="15" hidden="false" customHeight="false" outlineLevel="0" collapsed="false">
      <c r="A197" s="31" t="str">
        <f aca="false">Inputs!$B$49</f>
        <v>KIT-010</v>
      </c>
      <c r="B197" s="46" t="n">
        <f aca="false">BT_Start_Week</f>
        <v>89</v>
      </c>
      <c r="C197" s="46" t="n">
        <f aca="false">MATCH(A197,Inputs!$B$40:$B$87,0)</f>
        <v>10</v>
      </c>
      <c r="D197" s="32" t="n">
        <f aca="false">INDEX(Inputs!$F$40:$F$87,C197)</f>
        <v>2</v>
      </c>
      <c r="E197" s="78" t="n">
        <f aca="false">INDEX(Inputs!$H$40:$H$87,C197)</f>
        <v>6</v>
      </c>
      <c r="F197" s="78" t="n">
        <f aca="false">INDEX(Inputs!$G$40:$G$87,C197)</f>
        <v>40</v>
      </c>
      <c r="G197" s="32" t="n">
        <f aca="false">INDEX(Inputs!$I$40:$I$87,C197)</f>
        <v>24</v>
      </c>
      <c r="H197" s="46" t="n">
        <f aca="false">MATCH(A197,Demand_History!$C:$C,0)+B197-1</f>
        <v>1026</v>
      </c>
      <c r="I197" s="32" t="n">
        <f aca="false">INDEX(Forecast_Walkforward!$C:$C,H197)</f>
        <v>104</v>
      </c>
      <c r="J197" s="79" t="n">
        <f aca="false">INDEX(Forecast_Walkforward!$E:$E,H197)</f>
        <v>99.75</v>
      </c>
      <c r="K197" s="33" t="n">
        <f aca="false">Baseline_Weeks*J197</f>
        <v>399</v>
      </c>
      <c r="L197" s="46" t="n">
        <f aca="false">0</f>
        <v>0</v>
      </c>
      <c r="M197" s="46" t="n">
        <f aca="false">ROUND(BT_Open_Cover*INDEX(Forecast_Walkforward!$F:$F,H197),0)+L197</f>
        <v>605</v>
      </c>
      <c r="N197" s="46" t="n">
        <f aca="false">0</f>
        <v>0</v>
      </c>
      <c r="O197" s="46" t="n">
        <f aca="false">M197+N197</f>
        <v>605</v>
      </c>
      <c r="P197" s="47" t="n">
        <f aca="false">IF(O197&lt;K197,ROUNDUP((K197-O197)/G197,0)*G197,0)</f>
        <v>0</v>
      </c>
      <c r="Q197" s="46" t="n">
        <f aca="false">MIN(M197,I197)</f>
        <v>104</v>
      </c>
      <c r="R197" s="46" t="n">
        <f aca="false">I197-Q197</f>
        <v>0</v>
      </c>
      <c r="S197" s="46" t="n">
        <f aca="false">M197-Q197</f>
        <v>501</v>
      </c>
      <c r="T197" s="46" t="n">
        <f aca="false">IF(R197&gt;0,1,0)</f>
        <v>0</v>
      </c>
      <c r="U197" s="32" t="n">
        <f aca="false">INDEX(Forecast!$AY$7:$AY$54,C197)</f>
        <v>2</v>
      </c>
      <c r="V197" s="33" t="n">
        <f aca="false">CHOOSE(U197,INDEX(Forecast_Walkforward!$D:$D,H197),INDEX(Forecast_Walkforward!$E:$E,H197),INDEX(Forecast_Walkforward!$F:$F,H197),INDEX(Forecast_Walkforward!$G:$G,H197))</f>
        <v>99.75</v>
      </c>
      <c r="W197" s="79" t="n">
        <f aca="false">INDEX(Forecast!$BA$7:$BA$54,C197)</f>
        <v>10.0669515906658</v>
      </c>
      <c r="X197" s="33" t="n">
        <f aca="false">Z_Value*W197*SQRT(D197)</f>
        <v>23.4174841435767</v>
      </c>
      <c r="Y197" s="33" t="n">
        <f aca="false">V197*D197+X197</f>
        <v>222.917484143577</v>
      </c>
      <c r="Z197" s="33" t="n">
        <f aca="false">SQRT((2*V197*Weeks_Per_Year*F197)/(E197*Holding_Rate))</f>
        <v>588.047617119566</v>
      </c>
      <c r="AA197" s="46" t="n">
        <f aca="false">ROUNDUP(Z197/G197,0)*G197</f>
        <v>600</v>
      </c>
      <c r="AB197" s="46" t="n">
        <f aca="false">0</f>
        <v>0</v>
      </c>
      <c r="AC197" s="46" t="n">
        <f aca="false">ROUND(BT_Open_Cover*INDEX(Forecast_Walkforward!$F:$F,H197),0)+AB197</f>
        <v>605</v>
      </c>
      <c r="AD197" s="46" t="n">
        <f aca="false">0</f>
        <v>0</v>
      </c>
      <c r="AE197" s="46" t="n">
        <f aca="false">AC197+AD197</f>
        <v>605</v>
      </c>
      <c r="AF197" s="47" t="n">
        <f aca="false">IF(AE197&lt;=Y197,AA197,0)</f>
        <v>0</v>
      </c>
      <c r="AG197" s="46" t="n">
        <f aca="false">MIN(AC197,I197)</f>
        <v>104</v>
      </c>
      <c r="AH197" s="46" t="n">
        <f aca="false">I197-AG197</f>
        <v>0</v>
      </c>
      <c r="AI197" s="46" t="n">
        <f aca="false">AC197-AG197</f>
        <v>501</v>
      </c>
      <c r="AJ197" s="46" t="n">
        <f aca="false">IF(AH197&gt;0,1,0)</f>
        <v>0</v>
      </c>
    </row>
    <row r="198" customFormat="false" ht="15" hidden="false" customHeight="false" outlineLevel="0" collapsed="false">
      <c r="A198" s="31" t="str">
        <f aca="false">Inputs!$B$49</f>
        <v>KIT-010</v>
      </c>
      <c r="B198" s="46" t="n">
        <f aca="false">B197+1</f>
        <v>90</v>
      </c>
      <c r="C198" s="46" t="n">
        <f aca="false">MATCH(A198,Inputs!$B$40:$B$87,0)</f>
        <v>10</v>
      </c>
      <c r="D198" s="32" t="n">
        <f aca="false">INDEX(Inputs!$F$40:$F$87,C198)</f>
        <v>2</v>
      </c>
      <c r="E198" s="78" t="n">
        <f aca="false">INDEX(Inputs!$H$40:$H$87,C198)</f>
        <v>6</v>
      </c>
      <c r="F198" s="78" t="n">
        <f aca="false">INDEX(Inputs!$G$40:$G$87,C198)</f>
        <v>40</v>
      </c>
      <c r="G198" s="32" t="n">
        <f aca="false">INDEX(Inputs!$I$40:$I$87,C198)</f>
        <v>24</v>
      </c>
      <c r="H198" s="46" t="n">
        <f aca="false">MATCH(A198,Demand_History!$C:$C,0)+B198-1</f>
        <v>1027</v>
      </c>
      <c r="I198" s="32" t="n">
        <f aca="false">INDEX(Forecast_Walkforward!$C:$C,H198)</f>
        <v>103</v>
      </c>
      <c r="J198" s="79" t="n">
        <f aca="false">INDEX(Forecast_Walkforward!$E:$E,H198)</f>
        <v>101.5</v>
      </c>
      <c r="K198" s="33" t="n">
        <f aca="false">Baseline_Weeks*J198</f>
        <v>406</v>
      </c>
      <c r="L198" s="46" t="n">
        <f aca="false">SUMIFS(P$197:P197,$B$197:$B197,$B198-$D198)</f>
        <v>0</v>
      </c>
      <c r="M198" s="46" t="n">
        <f aca="false">S197+L198</f>
        <v>501</v>
      </c>
      <c r="N198" s="46" t="n">
        <f aca="false">SUMIFS(P$197:P197,$B$197:$B197,"&gt;"&amp;($B198-$D198))</f>
        <v>0</v>
      </c>
      <c r="O198" s="46" t="n">
        <f aca="false">M198+N198</f>
        <v>501</v>
      </c>
      <c r="P198" s="47" t="n">
        <f aca="false">IF(O198&lt;K198,ROUNDUP((K198-O198)/G198,0)*G198,0)</f>
        <v>0</v>
      </c>
      <c r="Q198" s="46" t="n">
        <f aca="false">MIN(M198,I198)</f>
        <v>103</v>
      </c>
      <c r="R198" s="46" t="n">
        <f aca="false">I198-Q198</f>
        <v>0</v>
      </c>
      <c r="S198" s="46" t="n">
        <f aca="false">M198-Q198</f>
        <v>398</v>
      </c>
      <c r="T198" s="46" t="n">
        <f aca="false">IF(R198&gt;0,1,0)</f>
        <v>0</v>
      </c>
      <c r="U198" s="32" t="n">
        <f aca="false">INDEX(Forecast!$AY$7:$AY$54,C198)</f>
        <v>2</v>
      </c>
      <c r="V198" s="33" t="n">
        <f aca="false">CHOOSE(U198,INDEX(Forecast_Walkforward!$D:$D,H198),INDEX(Forecast_Walkforward!$E:$E,H198),INDEX(Forecast_Walkforward!$F:$F,H198),INDEX(Forecast_Walkforward!$G:$G,H198))</f>
        <v>101.5</v>
      </c>
      <c r="W198" s="79" t="n">
        <f aca="false">INDEX(Forecast!$BA$7:$BA$54,C198)</f>
        <v>10.0669515906658</v>
      </c>
      <c r="X198" s="33" t="n">
        <f aca="false">Z_Value*W198*SQRT(D198)</f>
        <v>23.4174841435767</v>
      </c>
      <c r="Y198" s="33" t="n">
        <f aca="false">V198*D198+X198</f>
        <v>226.417484143577</v>
      </c>
      <c r="Z198" s="33" t="n">
        <f aca="false">SQRT((2*V198*Weeks_Per_Year*F198)/(E198*Holding_Rate))</f>
        <v>593.183501681113</v>
      </c>
      <c r="AA198" s="46" t="n">
        <f aca="false">ROUNDUP(Z198/G198,0)*G198</f>
        <v>600</v>
      </c>
      <c r="AB198" s="46" t="n">
        <f aca="false">SUMIFS(AF$197:AF197,$B$197:$B197,$B198-$D198)</f>
        <v>0</v>
      </c>
      <c r="AC198" s="46" t="n">
        <f aca="false">AI197+AB198</f>
        <v>501</v>
      </c>
      <c r="AD198" s="46" t="n">
        <f aca="false">SUMIFS(AF$197:AF197,$B$197:$B197,"&gt;"&amp;($B198-$D198))</f>
        <v>0</v>
      </c>
      <c r="AE198" s="46" t="n">
        <f aca="false">AC198+AD198</f>
        <v>501</v>
      </c>
      <c r="AF198" s="47" t="n">
        <f aca="false">IF(AE198&lt;=Y198,AA198,0)</f>
        <v>0</v>
      </c>
      <c r="AG198" s="46" t="n">
        <f aca="false">MIN(AC198,I198)</f>
        <v>103</v>
      </c>
      <c r="AH198" s="46" t="n">
        <f aca="false">I198-AG198</f>
        <v>0</v>
      </c>
      <c r="AI198" s="46" t="n">
        <f aca="false">AC198-AG198</f>
        <v>398</v>
      </c>
      <c r="AJ198" s="46" t="n">
        <f aca="false">IF(AH198&gt;0,1,0)</f>
        <v>0</v>
      </c>
    </row>
    <row r="199" customFormat="false" ht="15" hidden="false" customHeight="false" outlineLevel="0" collapsed="false">
      <c r="A199" s="31" t="str">
        <f aca="false">Inputs!$B$49</f>
        <v>KIT-010</v>
      </c>
      <c r="B199" s="46" t="n">
        <f aca="false">B198+1</f>
        <v>91</v>
      </c>
      <c r="C199" s="46" t="n">
        <f aca="false">MATCH(A199,Inputs!$B$40:$B$87,0)</f>
        <v>10</v>
      </c>
      <c r="D199" s="32" t="n">
        <f aca="false">INDEX(Inputs!$F$40:$F$87,C199)</f>
        <v>2</v>
      </c>
      <c r="E199" s="78" t="n">
        <f aca="false">INDEX(Inputs!$H$40:$H$87,C199)</f>
        <v>6</v>
      </c>
      <c r="F199" s="78" t="n">
        <f aca="false">INDEX(Inputs!$G$40:$G$87,C199)</f>
        <v>40</v>
      </c>
      <c r="G199" s="32" t="n">
        <f aca="false">INDEX(Inputs!$I$40:$I$87,C199)</f>
        <v>24</v>
      </c>
      <c r="H199" s="46" t="n">
        <f aca="false">MATCH(A199,Demand_History!$C:$C,0)+B199-1</f>
        <v>1028</v>
      </c>
      <c r="I199" s="32" t="n">
        <f aca="false">INDEX(Forecast_Walkforward!$C:$C,H199)</f>
        <v>78</v>
      </c>
      <c r="J199" s="79" t="n">
        <f aca="false">INDEX(Forecast_Walkforward!$E:$E,H199)</f>
        <v>100.25</v>
      </c>
      <c r="K199" s="33" t="n">
        <f aca="false">Baseline_Weeks*J199</f>
        <v>401</v>
      </c>
      <c r="L199" s="46" t="n">
        <f aca="false">SUMIFS(P$197:P198,$B$197:$B198,$B199-$D199)</f>
        <v>0</v>
      </c>
      <c r="M199" s="46" t="n">
        <f aca="false">S198+L199</f>
        <v>398</v>
      </c>
      <c r="N199" s="46" t="n">
        <f aca="false">SUMIFS(P$197:P198,$B$197:$B198,"&gt;"&amp;($B199-$D199))</f>
        <v>0</v>
      </c>
      <c r="O199" s="46" t="n">
        <f aca="false">M199+N199</f>
        <v>398</v>
      </c>
      <c r="P199" s="47" t="n">
        <f aca="false">IF(O199&lt;K199,ROUNDUP((K199-O199)/G199,0)*G199,0)</f>
        <v>24</v>
      </c>
      <c r="Q199" s="46" t="n">
        <f aca="false">MIN(M199,I199)</f>
        <v>78</v>
      </c>
      <c r="R199" s="46" t="n">
        <f aca="false">I199-Q199</f>
        <v>0</v>
      </c>
      <c r="S199" s="46" t="n">
        <f aca="false">M199-Q199</f>
        <v>320</v>
      </c>
      <c r="T199" s="46" t="n">
        <f aca="false">IF(R199&gt;0,1,0)</f>
        <v>0</v>
      </c>
      <c r="U199" s="32" t="n">
        <f aca="false">INDEX(Forecast!$AY$7:$AY$54,C199)</f>
        <v>2</v>
      </c>
      <c r="V199" s="33" t="n">
        <f aca="false">CHOOSE(U199,INDEX(Forecast_Walkforward!$D:$D,H199),INDEX(Forecast_Walkforward!$E:$E,H199),INDEX(Forecast_Walkforward!$F:$F,H199),INDEX(Forecast_Walkforward!$G:$G,H199))</f>
        <v>100.25</v>
      </c>
      <c r="W199" s="79" t="n">
        <f aca="false">INDEX(Forecast!$BA$7:$BA$54,C199)</f>
        <v>10.0669515906658</v>
      </c>
      <c r="X199" s="33" t="n">
        <f aca="false">Z_Value*W199*SQRT(D199)</f>
        <v>23.4174841435767</v>
      </c>
      <c r="Y199" s="33" t="n">
        <f aca="false">V199*D199+X199</f>
        <v>223.917484143577</v>
      </c>
      <c r="Z199" s="33" t="n">
        <f aca="false">SQRT((2*V199*Weeks_Per_Year*F199)/(E199*Holding_Rate))</f>
        <v>589.519578413926</v>
      </c>
      <c r="AA199" s="46" t="n">
        <f aca="false">ROUNDUP(Z199/G199,0)*G199</f>
        <v>600</v>
      </c>
      <c r="AB199" s="46" t="n">
        <f aca="false">SUMIFS(AF$197:AF198,$B$197:$B198,$B199-$D199)</f>
        <v>0</v>
      </c>
      <c r="AC199" s="46" t="n">
        <f aca="false">AI198+AB199</f>
        <v>398</v>
      </c>
      <c r="AD199" s="46" t="n">
        <f aca="false">SUMIFS(AF$197:AF198,$B$197:$B198,"&gt;"&amp;($B199-$D199))</f>
        <v>0</v>
      </c>
      <c r="AE199" s="46" t="n">
        <f aca="false">AC199+AD199</f>
        <v>398</v>
      </c>
      <c r="AF199" s="47" t="n">
        <f aca="false">IF(AE199&lt;=Y199,AA199,0)</f>
        <v>0</v>
      </c>
      <c r="AG199" s="46" t="n">
        <f aca="false">MIN(AC199,I199)</f>
        <v>78</v>
      </c>
      <c r="AH199" s="46" t="n">
        <f aca="false">I199-AG199</f>
        <v>0</v>
      </c>
      <c r="AI199" s="46" t="n">
        <f aca="false">AC199-AG199</f>
        <v>320</v>
      </c>
      <c r="AJ199" s="46" t="n">
        <f aca="false">IF(AH199&gt;0,1,0)</f>
        <v>0</v>
      </c>
    </row>
    <row r="200" customFormat="false" ht="15" hidden="false" customHeight="false" outlineLevel="0" collapsed="false">
      <c r="A200" s="31" t="str">
        <f aca="false">Inputs!$B$49</f>
        <v>KIT-010</v>
      </c>
      <c r="B200" s="46" t="n">
        <f aca="false">B199+1</f>
        <v>92</v>
      </c>
      <c r="C200" s="46" t="n">
        <f aca="false">MATCH(A200,Inputs!$B$40:$B$87,0)</f>
        <v>10</v>
      </c>
      <c r="D200" s="32" t="n">
        <f aca="false">INDEX(Inputs!$F$40:$F$87,C200)</f>
        <v>2</v>
      </c>
      <c r="E200" s="78" t="n">
        <f aca="false">INDEX(Inputs!$H$40:$H$87,C200)</f>
        <v>6</v>
      </c>
      <c r="F200" s="78" t="n">
        <f aca="false">INDEX(Inputs!$G$40:$G$87,C200)</f>
        <v>40</v>
      </c>
      <c r="G200" s="32" t="n">
        <f aca="false">INDEX(Inputs!$I$40:$I$87,C200)</f>
        <v>24</v>
      </c>
      <c r="H200" s="46" t="n">
        <f aca="false">MATCH(A200,Demand_History!$C:$C,0)+B200-1</f>
        <v>1029</v>
      </c>
      <c r="I200" s="32" t="n">
        <f aca="false">INDEX(Forecast_Walkforward!$C:$C,H200)</f>
        <v>99</v>
      </c>
      <c r="J200" s="79" t="n">
        <f aca="false">INDEX(Forecast_Walkforward!$E:$E,H200)</f>
        <v>98</v>
      </c>
      <c r="K200" s="33" t="n">
        <f aca="false">Baseline_Weeks*J200</f>
        <v>392</v>
      </c>
      <c r="L200" s="46" t="n">
        <f aca="false">SUMIFS(P$197:P199,$B$197:$B199,$B200-$D200)</f>
        <v>0</v>
      </c>
      <c r="M200" s="46" t="n">
        <f aca="false">S199+L200</f>
        <v>320</v>
      </c>
      <c r="N200" s="46" t="n">
        <f aca="false">SUMIFS(P$197:P199,$B$197:$B199,"&gt;"&amp;($B200-$D200))</f>
        <v>24</v>
      </c>
      <c r="O200" s="46" t="n">
        <f aca="false">M200+N200</f>
        <v>344</v>
      </c>
      <c r="P200" s="47" t="n">
        <f aca="false">IF(O200&lt;K200,ROUNDUP((K200-O200)/G200,0)*G200,0)</f>
        <v>48</v>
      </c>
      <c r="Q200" s="46" t="n">
        <f aca="false">MIN(M200,I200)</f>
        <v>99</v>
      </c>
      <c r="R200" s="46" t="n">
        <f aca="false">I200-Q200</f>
        <v>0</v>
      </c>
      <c r="S200" s="46" t="n">
        <f aca="false">M200-Q200</f>
        <v>221</v>
      </c>
      <c r="T200" s="46" t="n">
        <f aca="false">IF(R200&gt;0,1,0)</f>
        <v>0</v>
      </c>
      <c r="U200" s="32" t="n">
        <f aca="false">INDEX(Forecast!$AY$7:$AY$54,C200)</f>
        <v>2</v>
      </c>
      <c r="V200" s="33" t="n">
        <f aca="false">CHOOSE(U200,INDEX(Forecast_Walkforward!$D:$D,H200),INDEX(Forecast_Walkforward!$E:$E,H200),INDEX(Forecast_Walkforward!$F:$F,H200),INDEX(Forecast_Walkforward!$G:$G,H200))</f>
        <v>98</v>
      </c>
      <c r="W200" s="79" t="n">
        <f aca="false">INDEX(Forecast!$BA$7:$BA$54,C200)</f>
        <v>10.0669515906658</v>
      </c>
      <c r="X200" s="33" t="n">
        <f aca="false">Z_Value*W200*SQRT(D200)</f>
        <v>23.4174841435767</v>
      </c>
      <c r="Y200" s="33" t="n">
        <f aca="false">V200*D200+X200</f>
        <v>219.417484143577</v>
      </c>
      <c r="Z200" s="33" t="n">
        <f aca="false">SQRT((2*V200*Weeks_Per_Year*F200)/(E200*Holding_Rate))</f>
        <v>582.866479850517</v>
      </c>
      <c r="AA200" s="46" t="n">
        <f aca="false">ROUNDUP(Z200/G200,0)*G200</f>
        <v>600</v>
      </c>
      <c r="AB200" s="46" t="n">
        <f aca="false">SUMIFS(AF$197:AF199,$B$197:$B199,$B200-$D200)</f>
        <v>0</v>
      </c>
      <c r="AC200" s="46" t="n">
        <f aca="false">AI199+AB200</f>
        <v>320</v>
      </c>
      <c r="AD200" s="46" t="n">
        <f aca="false">SUMIFS(AF$197:AF199,$B$197:$B199,"&gt;"&amp;($B200-$D200))</f>
        <v>0</v>
      </c>
      <c r="AE200" s="46" t="n">
        <f aca="false">AC200+AD200</f>
        <v>320</v>
      </c>
      <c r="AF200" s="47" t="n">
        <f aca="false">IF(AE200&lt;=Y200,AA200,0)</f>
        <v>0</v>
      </c>
      <c r="AG200" s="46" t="n">
        <f aca="false">MIN(AC200,I200)</f>
        <v>99</v>
      </c>
      <c r="AH200" s="46" t="n">
        <f aca="false">I200-AG200</f>
        <v>0</v>
      </c>
      <c r="AI200" s="46" t="n">
        <f aca="false">AC200-AG200</f>
        <v>221</v>
      </c>
      <c r="AJ200" s="46" t="n">
        <f aca="false">IF(AH200&gt;0,1,0)</f>
        <v>0</v>
      </c>
    </row>
    <row r="201" customFormat="false" ht="15" hidden="false" customHeight="false" outlineLevel="0" collapsed="false">
      <c r="A201" s="31" t="str">
        <f aca="false">Inputs!$B$49</f>
        <v>KIT-010</v>
      </c>
      <c r="B201" s="46" t="n">
        <f aca="false">B200+1</f>
        <v>93</v>
      </c>
      <c r="C201" s="46" t="n">
        <f aca="false">MATCH(A201,Inputs!$B$40:$B$87,0)</f>
        <v>10</v>
      </c>
      <c r="D201" s="32" t="n">
        <f aca="false">INDEX(Inputs!$F$40:$F$87,C201)</f>
        <v>2</v>
      </c>
      <c r="E201" s="78" t="n">
        <f aca="false">INDEX(Inputs!$H$40:$H$87,C201)</f>
        <v>6</v>
      </c>
      <c r="F201" s="78" t="n">
        <f aca="false">INDEX(Inputs!$G$40:$G$87,C201)</f>
        <v>40</v>
      </c>
      <c r="G201" s="32" t="n">
        <f aca="false">INDEX(Inputs!$I$40:$I$87,C201)</f>
        <v>24</v>
      </c>
      <c r="H201" s="46" t="n">
        <f aca="false">MATCH(A201,Demand_History!$C:$C,0)+B201-1</f>
        <v>1030</v>
      </c>
      <c r="I201" s="32" t="n">
        <f aca="false">INDEX(Forecast_Walkforward!$C:$C,H201)</f>
        <v>107</v>
      </c>
      <c r="J201" s="79" t="n">
        <f aca="false">INDEX(Forecast_Walkforward!$E:$E,H201)</f>
        <v>96</v>
      </c>
      <c r="K201" s="33" t="n">
        <f aca="false">Baseline_Weeks*J201</f>
        <v>384</v>
      </c>
      <c r="L201" s="46" t="n">
        <f aca="false">SUMIFS(P$197:P200,$B$197:$B200,$B201-$D201)</f>
        <v>24</v>
      </c>
      <c r="M201" s="46" t="n">
        <f aca="false">S200+L201</f>
        <v>245</v>
      </c>
      <c r="N201" s="46" t="n">
        <f aca="false">SUMIFS(P$197:P200,$B$197:$B200,"&gt;"&amp;($B201-$D201))</f>
        <v>48</v>
      </c>
      <c r="O201" s="46" t="n">
        <f aca="false">M201+N201</f>
        <v>293</v>
      </c>
      <c r="P201" s="47" t="n">
        <f aca="false">IF(O201&lt;K201,ROUNDUP((K201-O201)/G201,0)*G201,0)</f>
        <v>96</v>
      </c>
      <c r="Q201" s="46" t="n">
        <f aca="false">MIN(M201,I201)</f>
        <v>107</v>
      </c>
      <c r="R201" s="46" t="n">
        <f aca="false">I201-Q201</f>
        <v>0</v>
      </c>
      <c r="S201" s="46" t="n">
        <f aca="false">M201-Q201</f>
        <v>138</v>
      </c>
      <c r="T201" s="46" t="n">
        <f aca="false">IF(R201&gt;0,1,0)</f>
        <v>0</v>
      </c>
      <c r="U201" s="32" t="n">
        <f aca="false">INDEX(Forecast!$AY$7:$AY$54,C201)</f>
        <v>2</v>
      </c>
      <c r="V201" s="33" t="n">
        <f aca="false">CHOOSE(U201,INDEX(Forecast_Walkforward!$D:$D,H201),INDEX(Forecast_Walkforward!$E:$E,H201),INDEX(Forecast_Walkforward!$F:$F,H201),INDEX(Forecast_Walkforward!$G:$G,H201))</f>
        <v>96</v>
      </c>
      <c r="W201" s="79" t="n">
        <f aca="false">INDEX(Forecast!$BA$7:$BA$54,C201)</f>
        <v>10.0669515906658</v>
      </c>
      <c r="X201" s="33" t="n">
        <f aca="false">Z_Value*W201*SQRT(D201)</f>
        <v>23.4174841435767</v>
      </c>
      <c r="Y201" s="33" t="n">
        <f aca="false">V201*D201+X201</f>
        <v>215.417484143577</v>
      </c>
      <c r="Z201" s="33" t="n">
        <f aca="false">SQRT((2*V201*Weeks_Per_Year*F201)/(E201*Holding_Rate))</f>
        <v>576.888204074238</v>
      </c>
      <c r="AA201" s="46" t="n">
        <f aca="false">ROUNDUP(Z201/G201,0)*G201</f>
        <v>600</v>
      </c>
      <c r="AB201" s="46" t="n">
        <f aca="false">SUMIFS(AF$197:AF200,$B$197:$B200,$B201-$D201)</f>
        <v>0</v>
      </c>
      <c r="AC201" s="46" t="n">
        <f aca="false">AI200+AB201</f>
        <v>221</v>
      </c>
      <c r="AD201" s="46" t="n">
        <f aca="false">SUMIFS(AF$197:AF200,$B$197:$B200,"&gt;"&amp;($B201-$D201))</f>
        <v>0</v>
      </c>
      <c r="AE201" s="46" t="n">
        <f aca="false">AC201+AD201</f>
        <v>221</v>
      </c>
      <c r="AF201" s="47" t="n">
        <f aca="false">IF(AE201&lt;=Y201,AA201,0)</f>
        <v>0</v>
      </c>
      <c r="AG201" s="46" t="n">
        <f aca="false">MIN(AC201,I201)</f>
        <v>107</v>
      </c>
      <c r="AH201" s="46" t="n">
        <f aca="false">I201-AG201</f>
        <v>0</v>
      </c>
      <c r="AI201" s="46" t="n">
        <f aca="false">AC201-AG201</f>
        <v>114</v>
      </c>
      <c r="AJ201" s="46" t="n">
        <f aca="false">IF(AH201&gt;0,1,0)</f>
        <v>0</v>
      </c>
    </row>
    <row r="202" customFormat="false" ht="15" hidden="false" customHeight="false" outlineLevel="0" collapsed="false">
      <c r="A202" s="31" t="str">
        <f aca="false">Inputs!$B$49</f>
        <v>KIT-010</v>
      </c>
      <c r="B202" s="46" t="n">
        <f aca="false">B201+1</f>
        <v>94</v>
      </c>
      <c r="C202" s="46" t="n">
        <f aca="false">MATCH(A202,Inputs!$B$40:$B$87,0)</f>
        <v>10</v>
      </c>
      <c r="D202" s="32" t="n">
        <f aca="false">INDEX(Inputs!$F$40:$F$87,C202)</f>
        <v>2</v>
      </c>
      <c r="E202" s="78" t="n">
        <f aca="false">INDEX(Inputs!$H$40:$H$87,C202)</f>
        <v>6</v>
      </c>
      <c r="F202" s="78" t="n">
        <f aca="false">INDEX(Inputs!$G$40:$G$87,C202)</f>
        <v>40</v>
      </c>
      <c r="G202" s="32" t="n">
        <f aca="false">INDEX(Inputs!$I$40:$I$87,C202)</f>
        <v>24</v>
      </c>
      <c r="H202" s="46" t="n">
        <f aca="false">MATCH(A202,Demand_History!$C:$C,0)+B202-1</f>
        <v>1031</v>
      </c>
      <c r="I202" s="32" t="n">
        <f aca="false">INDEX(Forecast_Walkforward!$C:$C,H202)</f>
        <v>92</v>
      </c>
      <c r="J202" s="79" t="n">
        <f aca="false">INDEX(Forecast_Walkforward!$E:$E,H202)</f>
        <v>96.75</v>
      </c>
      <c r="K202" s="33" t="n">
        <f aca="false">Baseline_Weeks*J202</f>
        <v>387</v>
      </c>
      <c r="L202" s="46" t="n">
        <f aca="false">SUMIFS(P$197:P201,$B$197:$B201,$B202-$D202)</f>
        <v>48</v>
      </c>
      <c r="M202" s="46" t="n">
        <f aca="false">S201+L202</f>
        <v>186</v>
      </c>
      <c r="N202" s="46" t="n">
        <f aca="false">SUMIFS(P$197:P201,$B$197:$B201,"&gt;"&amp;($B202-$D202))</f>
        <v>96</v>
      </c>
      <c r="O202" s="46" t="n">
        <f aca="false">M202+N202</f>
        <v>282</v>
      </c>
      <c r="P202" s="47" t="n">
        <f aca="false">IF(O202&lt;K202,ROUNDUP((K202-O202)/G202,0)*G202,0)</f>
        <v>120</v>
      </c>
      <c r="Q202" s="46" t="n">
        <f aca="false">MIN(M202,I202)</f>
        <v>92</v>
      </c>
      <c r="R202" s="46" t="n">
        <f aca="false">I202-Q202</f>
        <v>0</v>
      </c>
      <c r="S202" s="46" t="n">
        <f aca="false">M202-Q202</f>
        <v>94</v>
      </c>
      <c r="T202" s="46" t="n">
        <f aca="false">IF(R202&gt;0,1,0)</f>
        <v>0</v>
      </c>
      <c r="U202" s="32" t="n">
        <f aca="false">INDEX(Forecast!$AY$7:$AY$54,C202)</f>
        <v>2</v>
      </c>
      <c r="V202" s="33" t="n">
        <f aca="false">CHOOSE(U202,INDEX(Forecast_Walkforward!$D:$D,H202),INDEX(Forecast_Walkforward!$E:$E,H202),INDEX(Forecast_Walkforward!$F:$F,H202),INDEX(Forecast_Walkforward!$G:$G,H202))</f>
        <v>96.75</v>
      </c>
      <c r="W202" s="79" t="n">
        <f aca="false">INDEX(Forecast!$BA$7:$BA$54,C202)</f>
        <v>10.0669515906658</v>
      </c>
      <c r="X202" s="33" t="n">
        <f aca="false">Z_Value*W202*SQRT(D202)</f>
        <v>23.4174841435767</v>
      </c>
      <c r="Y202" s="33" t="n">
        <f aca="false">V202*D202+X202</f>
        <v>216.917484143577</v>
      </c>
      <c r="Z202" s="33" t="n">
        <f aca="false">SQRT((2*V202*Weeks_Per_Year*F202)/(E202*Holding_Rate))</f>
        <v>579.13728942281</v>
      </c>
      <c r="AA202" s="46" t="n">
        <f aca="false">ROUNDUP(Z202/G202,0)*G202</f>
        <v>600</v>
      </c>
      <c r="AB202" s="46" t="n">
        <f aca="false">SUMIFS(AF$197:AF201,$B$197:$B201,$B202-$D202)</f>
        <v>0</v>
      </c>
      <c r="AC202" s="46" t="n">
        <f aca="false">AI201+AB202</f>
        <v>114</v>
      </c>
      <c r="AD202" s="46" t="n">
        <f aca="false">SUMIFS(AF$197:AF201,$B$197:$B201,"&gt;"&amp;($B202-$D202))</f>
        <v>0</v>
      </c>
      <c r="AE202" s="46" t="n">
        <f aca="false">AC202+AD202</f>
        <v>114</v>
      </c>
      <c r="AF202" s="47" t="n">
        <f aca="false">IF(AE202&lt;=Y202,AA202,0)</f>
        <v>600</v>
      </c>
      <c r="AG202" s="46" t="n">
        <f aca="false">MIN(AC202,I202)</f>
        <v>92</v>
      </c>
      <c r="AH202" s="46" t="n">
        <f aca="false">I202-AG202</f>
        <v>0</v>
      </c>
      <c r="AI202" s="46" t="n">
        <f aca="false">AC202-AG202</f>
        <v>22</v>
      </c>
      <c r="AJ202" s="46" t="n">
        <f aca="false">IF(AH202&gt;0,1,0)</f>
        <v>0</v>
      </c>
    </row>
    <row r="203" customFormat="false" ht="15" hidden="false" customHeight="false" outlineLevel="0" collapsed="false">
      <c r="A203" s="31" t="str">
        <f aca="false">Inputs!$B$49</f>
        <v>KIT-010</v>
      </c>
      <c r="B203" s="46" t="n">
        <f aca="false">B202+1</f>
        <v>95</v>
      </c>
      <c r="C203" s="46" t="n">
        <f aca="false">MATCH(A203,Inputs!$B$40:$B$87,0)</f>
        <v>10</v>
      </c>
      <c r="D203" s="32" t="n">
        <f aca="false">INDEX(Inputs!$F$40:$F$87,C203)</f>
        <v>2</v>
      </c>
      <c r="E203" s="78" t="n">
        <f aca="false">INDEX(Inputs!$H$40:$H$87,C203)</f>
        <v>6</v>
      </c>
      <c r="F203" s="78" t="n">
        <f aca="false">INDEX(Inputs!$G$40:$G$87,C203)</f>
        <v>40</v>
      </c>
      <c r="G203" s="32" t="n">
        <f aca="false">INDEX(Inputs!$I$40:$I$87,C203)</f>
        <v>24</v>
      </c>
      <c r="H203" s="46" t="n">
        <f aca="false">MATCH(A203,Demand_History!$C:$C,0)+B203-1</f>
        <v>1032</v>
      </c>
      <c r="I203" s="32" t="n">
        <f aca="false">INDEX(Forecast_Walkforward!$C:$C,H203)</f>
        <v>101</v>
      </c>
      <c r="J203" s="79" t="n">
        <f aca="false">INDEX(Forecast_Walkforward!$E:$E,H203)</f>
        <v>94</v>
      </c>
      <c r="K203" s="33" t="n">
        <f aca="false">Baseline_Weeks*J203</f>
        <v>376</v>
      </c>
      <c r="L203" s="46" t="n">
        <f aca="false">SUMIFS(P$197:P202,$B$197:$B202,$B203-$D203)</f>
        <v>96</v>
      </c>
      <c r="M203" s="46" t="n">
        <f aca="false">S202+L203</f>
        <v>190</v>
      </c>
      <c r="N203" s="46" t="n">
        <f aca="false">SUMIFS(P$197:P202,$B$197:$B202,"&gt;"&amp;($B203-$D203))</f>
        <v>120</v>
      </c>
      <c r="O203" s="46" t="n">
        <f aca="false">M203+N203</f>
        <v>310</v>
      </c>
      <c r="P203" s="47" t="n">
        <f aca="false">IF(O203&lt;K203,ROUNDUP((K203-O203)/G203,0)*G203,0)</f>
        <v>72</v>
      </c>
      <c r="Q203" s="46" t="n">
        <f aca="false">MIN(M203,I203)</f>
        <v>101</v>
      </c>
      <c r="R203" s="46" t="n">
        <f aca="false">I203-Q203</f>
        <v>0</v>
      </c>
      <c r="S203" s="46" t="n">
        <f aca="false">M203-Q203</f>
        <v>89</v>
      </c>
      <c r="T203" s="46" t="n">
        <f aca="false">IF(R203&gt;0,1,0)</f>
        <v>0</v>
      </c>
      <c r="U203" s="32" t="n">
        <f aca="false">INDEX(Forecast!$AY$7:$AY$54,C203)</f>
        <v>2</v>
      </c>
      <c r="V203" s="33" t="n">
        <f aca="false">CHOOSE(U203,INDEX(Forecast_Walkforward!$D:$D,H203),INDEX(Forecast_Walkforward!$E:$E,H203),INDEX(Forecast_Walkforward!$F:$F,H203),INDEX(Forecast_Walkforward!$G:$G,H203))</f>
        <v>94</v>
      </c>
      <c r="W203" s="79" t="n">
        <f aca="false">INDEX(Forecast!$BA$7:$BA$54,C203)</f>
        <v>10.0669515906658</v>
      </c>
      <c r="X203" s="33" t="n">
        <f aca="false">Z_Value*W203*SQRT(D203)</f>
        <v>23.4174841435767</v>
      </c>
      <c r="Y203" s="33" t="n">
        <f aca="false">V203*D203+X203</f>
        <v>211.417484143577</v>
      </c>
      <c r="Z203" s="33" t="n">
        <f aca="false">SQRT((2*V203*Weeks_Per_Year*F203)/(E203*Holding_Rate))</f>
        <v>570.847323429537</v>
      </c>
      <c r="AA203" s="46" t="n">
        <f aca="false">ROUNDUP(Z203/G203,0)*G203</f>
        <v>576</v>
      </c>
      <c r="AB203" s="46" t="n">
        <f aca="false">SUMIFS(AF$197:AF202,$B$197:$B202,$B203-$D203)</f>
        <v>0</v>
      </c>
      <c r="AC203" s="46" t="n">
        <f aca="false">AI202+AB203</f>
        <v>22</v>
      </c>
      <c r="AD203" s="46" t="n">
        <f aca="false">SUMIFS(AF$197:AF202,$B$197:$B202,"&gt;"&amp;($B203-$D203))</f>
        <v>600</v>
      </c>
      <c r="AE203" s="46" t="n">
        <f aca="false">AC203+AD203</f>
        <v>622</v>
      </c>
      <c r="AF203" s="47" t="n">
        <f aca="false">IF(AE203&lt;=Y203,AA203,0)</f>
        <v>0</v>
      </c>
      <c r="AG203" s="46" t="n">
        <f aca="false">MIN(AC203,I203)</f>
        <v>22</v>
      </c>
      <c r="AH203" s="46" t="n">
        <f aca="false">I203-AG203</f>
        <v>79</v>
      </c>
      <c r="AI203" s="46" t="n">
        <f aca="false">AC203-AG203</f>
        <v>0</v>
      </c>
      <c r="AJ203" s="46" t="n">
        <f aca="false">IF(AH203&gt;0,1,0)</f>
        <v>1</v>
      </c>
    </row>
    <row r="204" customFormat="false" ht="15" hidden="false" customHeight="false" outlineLevel="0" collapsed="false">
      <c r="A204" s="31" t="str">
        <f aca="false">Inputs!$B$49</f>
        <v>KIT-010</v>
      </c>
      <c r="B204" s="46" t="n">
        <f aca="false">B203+1</f>
        <v>96</v>
      </c>
      <c r="C204" s="46" t="n">
        <f aca="false">MATCH(A204,Inputs!$B$40:$B$87,0)</f>
        <v>10</v>
      </c>
      <c r="D204" s="32" t="n">
        <f aca="false">INDEX(Inputs!$F$40:$F$87,C204)</f>
        <v>2</v>
      </c>
      <c r="E204" s="78" t="n">
        <f aca="false">INDEX(Inputs!$H$40:$H$87,C204)</f>
        <v>6</v>
      </c>
      <c r="F204" s="78" t="n">
        <f aca="false">INDEX(Inputs!$G$40:$G$87,C204)</f>
        <v>40</v>
      </c>
      <c r="G204" s="32" t="n">
        <f aca="false">INDEX(Inputs!$I$40:$I$87,C204)</f>
        <v>24</v>
      </c>
      <c r="H204" s="46" t="n">
        <f aca="false">MATCH(A204,Demand_History!$C:$C,0)+B204-1</f>
        <v>1033</v>
      </c>
      <c r="I204" s="32" t="n">
        <f aca="false">INDEX(Forecast_Walkforward!$C:$C,H204)</f>
        <v>76</v>
      </c>
      <c r="J204" s="79" t="n">
        <f aca="false">INDEX(Forecast_Walkforward!$E:$E,H204)</f>
        <v>99.75</v>
      </c>
      <c r="K204" s="33" t="n">
        <f aca="false">Baseline_Weeks*J204</f>
        <v>399</v>
      </c>
      <c r="L204" s="46" t="n">
        <f aca="false">SUMIFS(P$197:P203,$B$197:$B203,$B204-$D204)</f>
        <v>120</v>
      </c>
      <c r="M204" s="46" t="n">
        <f aca="false">S203+L204</f>
        <v>209</v>
      </c>
      <c r="N204" s="46" t="n">
        <f aca="false">SUMIFS(P$197:P203,$B$197:$B203,"&gt;"&amp;($B204-$D204))</f>
        <v>72</v>
      </c>
      <c r="O204" s="46" t="n">
        <f aca="false">M204+N204</f>
        <v>281</v>
      </c>
      <c r="P204" s="47" t="n">
        <f aca="false">IF(O204&lt;K204,ROUNDUP((K204-O204)/G204,0)*G204,0)</f>
        <v>120</v>
      </c>
      <c r="Q204" s="46" t="n">
        <f aca="false">MIN(M204,I204)</f>
        <v>76</v>
      </c>
      <c r="R204" s="46" t="n">
        <f aca="false">I204-Q204</f>
        <v>0</v>
      </c>
      <c r="S204" s="46" t="n">
        <f aca="false">M204-Q204</f>
        <v>133</v>
      </c>
      <c r="T204" s="46" t="n">
        <f aca="false">IF(R204&gt;0,1,0)</f>
        <v>0</v>
      </c>
      <c r="U204" s="32" t="n">
        <f aca="false">INDEX(Forecast!$AY$7:$AY$54,C204)</f>
        <v>2</v>
      </c>
      <c r="V204" s="33" t="n">
        <f aca="false">CHOOSE(U204,INDEX(Forecast_Walkforward!$D:$D,H204),INDEX(Forecast_Walkforward!$E:$E,H204),INDEX(Forecast_Walkforward!$F:$F,H204),INDEX(Forecast_Walkforward!$G:$G,H204))</f>
        <v>99.75</v>
      </c>
      <c r="W204" s="79" t="n">
        <f aca="false">INDEX(Forecast!$BA$7:$BA$54,C204)</f>
        <v>10.0669515906658</v>
      </c>
      <c r="X204" s="33" t="n">
        <f aca="false">Z_Value*W204*SQRT(D204)</f>
        <v>23.4174841435767</v>
      </c>
      <c r="Y204" s="33" t="n">
        <f aca="false">V204*D204+X204</f>
        <v>222.917484143577</v>
      </c>
      <c r="Z204" s="33" t="n">
        <f aca="false">SQRT((2*V204*Weeks_Per_Year*F204)/(E204*Holding_Rate))</f>
        <v>588.047617119566</v>
      </c>
      <c r="AA204" s="46" t="n">
        <f aca="false">ROUNDUP(Z204/G204,0)*G204</f>
        <v>600</v>
      </c>
      <c r="AB204" s="46" t="n">
        <f aca="false">SUMIFS(AF$197:AF203,$B$197:$B203,$B204-$D204)</f>
        <v>600</v>
      </c>
      <c r="AC204" s="46" t="n">
        <f aca="false">AI203+AB204</f>
        <v>600</v>
      </c>
      <c r="AD204" s="46" t="n">
        <f aca="false">SUMIFS(AF$197:AF203,$B$197:$B203,"&gt;"&amp;($B204-$D204))</f>
        <v>0</v>
      </c>
      <c r="AE204" s="46" t="n">
        <f aca="false">AC204+AD204</f>
        <v>600</v>
      </c>
      <c r="AF204" s="47" t="n">
        <f aca="false">IF(AE204&lt;=Y204,AA204,0)</f>
        <v>0</v>
      </c>
      <c r="AG204" s="46" t="n">
        <f aca="false">MIN(AC204,I204)</f>
        <v>76</v>
      </c>
      <c r="AH204" s="46" t="n">
        <f aca="false">I204-AG204</f>
        <v>0</v>
      </c>
      <c r="AI204" s="46" t="n">
        <f aca="false">AC204-AG204</f>
        <v>524</v>
      </c>
      <c r="AJ204" s="46" t="n">
        <f aca="false">IF(AH204&gt;0,1,0)</f>
        <v>0</v>
      </c>
    </row>
    <row r="205" customFormat="false" ht="15" hidden="false" customHeight="false" outlineLevel="0" collapsed="false">
      <c r="A205" s="31" t="str">
        <f aca="false">Inputs!$B$49</f>
        <v>KIT-010</v>
      </c>
      <c r="B205" s="46" t="n">
        <f aca="false">B204+1</f>
        <v>97</v>
      </c>
      <c r="C205" s="46" t="n">
        <f aca="false">MATCH(A205,Inputs!$B$40:$B$87,0)</f>
        <v>10</v>
      </c>
      <c r="D205" s="32" t="n">
        <f aca="false">INDEX(Inputs!$F$40:$F$87,C205)</f>
        <v>2</v>
      </c>
      <c r="E205" s="78" t="n">
        <f aca="false">INDEX(Inputs!$H$40:$H$87,C205)</f>
        <v>6</v>
      </c>
      <c r="F205" s="78" t="n">
        <f aca="false">INDEX(Inputs!$G$40:$G$87,C205)</f>
        <v>40</v>
      </c>
      <c r="G205" s="32" t="n">
        <f aca="false">INDEX(Inputs!$I$40:$I$87,C205)</f>
        <v>24</v>
      </c>
      <c r="H205" s="46" t="n">
        <f aca="false">MATCH(A205,Demand_History!$C:$C,0)+B205-1</f>
        <v>1034</v>
      </c>
      <c r="I205" s="32" t="n">
        <f aca="false">INDEX(Forecast_Walkforward!$C:$C,H205)</f>
        <v>107</v>
      </c>
      <c r="J205" s="79" t="n">
        <f aca="false">INDEX(Forecast_Walkforward!$E:$E,H205)</f>
        <v>94</v>
      </c>
      <c r="K205" s="33" t="n">
        <f aca="false">Baseline_Weeks*J205</f>
        <v>376</v>
      </c>
      <c r="L205" s="46" t="n">
        <f aca="false">SUMIFS(P$197:P204,$B$197:$B204,$B205-$D205)</f>
        <v>72</v>
      </c>
      <c r="M205" s="46" t="n">
        <f aca="false">S204+L205</f>
        <v>205</v>
      </c>
      <c r="N205" s="46" t="n">
        <f aca="false">SUMIFS(P$197:P204,$B$197:$B204,"&gt;"&amp;($B205-$D205))</f>
        <v>120</v>
      </c>
      <c r="O205" s="46" t="n">
        <f aca="false">M205+N205</f>
        <v>325</v>
      </c>
      <c r="P205" s="47" t="n">
        <f aca="false">IF(O205&lt;K205,ROUNDUP((K205-O205)/G205,0)*G205,0)</f>
        <v>72</v>
      </c>
      <c r="Q205" s="46" t="n">
        <f aca="false">MIN(M205,I205)</f>
        <v>107</v>
      </c>
      <c r="R205" s="46" t="n">
        <f aca="false">I205-Q205</f>
        <v>0</v>
      </c>
      <c r="S205" s="46" t="n">
        <f aca="false">M205-Q205</f>
        <v>98</v>
      </c>
      <c r="T205" s="46" t="n">
        <f aca="false">IF(R205&gt;0,1,0)</f>
        <v>0</v>
      </c>
      <c r="U205" s="32" t="n">
        <f aca="false">INDEX(Forecast!$AY$7:$AY$54,C205)</f>
        <v>2</v>
      </c>
      <c r="V205" s="33" t="n">
        <f aca="false">CHOOSE(U205,INDEX(Forecast_Walkforward!$D:$D,H205),INDEX(Forecast_Walkforward!$E:$E,H205),INDEX(Forecast_Walkforward!$F:$F,H205),INDEX(Forecast_Walkforward!$G:$G,H205))</f>
        <v>94</v>
      </c>
      <c r="W205" s="79" t="n">
        <f aca="false">INDEX(Forecast!$BA$7:$BA$54,C205)</f>
        <v>10.0669515906658</v>
      </c>
      <c r="X205" s="33" t="n">
        <f aca="false">Z_Value*W205*SQRT(D205)</f>
        <v>23.4174841435767</v>
      </c>
      <c r="Y205" s="33" t="n">
        <f aca="false">V205*D205+X205</f>
        <v>211.417484143577</v>
      </c>
      <c r="Z205" s="33" t="n">
        <f aca="false">SQRT((2*V205*Weeks_Per_Year*F205)/(E205*Holding_Rate))</f>
        <v>570.847323429537</v>
      </c>
      <c r="AA205" s="46" t="n">
        <f aca="false">ROUNDUP(Z205/G205,0)*G205</f>
        <v>576</v>
      </c>
      <c r="AB205" s="46" t="n">
        <f aca="false">SUMIFS(AF$197:AF204,$B$197:$B204,$B205-$D205)</f>
        <v>0</v>
      </c>
      <c r="AC205" s="46" t="n">
        <f aca="false">AI204+AB205</f>
        <v>524</v>
      </c>
      <c r="AD205" s="46" t="n">
        <f aca="false">SUMIFS(AF$197:AF204,$B$197:$B204,"&gt;"&amp;($B205-$D205))</f>
        <v>0</v>
      </c>
      <c r="AE205" s="46" t="n">
        <f aca="false">AC205+AD205</f>
        <v>524</v>
      </c>
      <c r="AF205" s="47" t="n">
        <f aca="false">IF(AE205&lt;=Y205,AA205,0)</f>
        <v>0</v>
      </c>
      <c r="AG205" s="46" t="n">
        <f aca="false">MIN(AC205,I205)</f>
        <v>107</v>
      </c>
      <c r="AH205" s="46" t="n">
        <f aca="false">I205-AG205</f>
        <v>0</v>
      </c>
      <c r="AI205" s="46" t="n">
        <f aca="false">AC205-AG205</f>
        <v>417</v>
      </c>
      <c r="AJ205" s="46" t="n">
        <f aca="false">IF(AH205&gt;0,1,0)</f>
        <v>0</v>
      </c>
    </row>
    <row r="206" customFormat="false" ht="15" hidden="false" customHeight="false" outlineLevel="0" collapsed="false">
      <c r="A206" s="31" t="str">
        <f aca="false">Inputs!$B$49</f>
        <v>KIT-010</v>
      </c>
      <c r="B206" s="46" t="n">
        <f aca="false">B205+1</f>
        <v>98</v>
      </c>
      <c r="C206" s="46" t="n">
        <f aca="false">MATCH(A206,Inputs!$B$40:$B$87,0)</f>
        <v>10</v>
      </c>
      <c r="D206" s="32" t="n">
        <f aca="false">INDEX(Inputs!$F$40:$F$87,C206)</f>
        <v>2</v>
      </c>
      <c r="E206" s="78" t="n">
        <f aca="false">INDEX(Inputs!$H$40:$H$87,C206)</f>
        <v>6</v>
      </c>
      <c r="F206" s="78" t="n">
        <f aca="false">INDEX(Inputs!$G$40:$G$87,C206)</f>
        <v>40</v>
      </c>
      <c r="G206" s="32" t="n">
        <f aca="false">INDEX(Inputs!$I$40:$I$87,C206)</f>
        <v>24</v>
      </c>
      <c r="H206" s="46" t="n">
        <f aca="false">MATCH(A206,Demand_History!$C:$C,0)+B206-1</f>
        <v>1035</v>
      </c>
      <c r="I206" s="32" t="n">
        <f aca="false">INDEX(Forecast_Walkforward!$C:$C,H206)</f>
        <v>93</v>
      </c>
      <c r="J206" s="79" t="n">
        <f aca="false">INDEX(Forecast_Walkforward!$E:$E,H206)</f>
        <v>94</v>
      </c>
      <c r="K206" s="33" t="n">
        <f aca="false">Baseline_Weeks*J206</f>
        <v>376</v>
      </c>
      <c r="L206" s="46" t="n">
        <f aca="false">SUMIFS(P$197:P205,$B$197:$B205,$B206-$D206)</f>
        <v>120</v>
      </c>
      <c r="M206" s="46" t="n">
        <f aca="false">S205+L206</f>
        <v>218</v>
      </c>
      <c r="N206" s="46" t="n">
        <f aca="false">SUMIFS(P$197:P205,$B$197:$B205,"&gt;"&amp;($B206-$D206))</f>
        <v>72</v>
      </c>
      <c r="O206" s="46" t="n">
        <f aca="false">M206+N206</f>
        <v>290</v>
      </c>
      <c r="P206" s="47" t="n">
        <f aca="false">IF(O206&lt;K206,ROUNDUP((K206-O206)/G206,0)*G206,0)</f>
        <v>96</v>
      </c>
      <c r="Q206" s="46" t="n">
        <f aca="false">MIN(M206,I206)</f>
        <v>93</v>
      </c>
      <c r="R206" s="46" t="n">
        <f aca="false">I206-Q206</f>
        <v>0</v>
      </c>
      <c r="S206" s="46" t="n">
        <f aca="false">M206-Q206</f>
        <v>125</v>
      </c>
      <c r="T206" s="46" t="n">
        <f aca="false">IF(R206&gt;0,1,0)</f>
        <v>0</v>
      </c>
      <c r="U206" s="32" t="n">
        <f aca="false">INDEX(Forecast!$AY$7:$AY$54,C206)</f>
        <v>2</v>
      </c>
      <c r="V206" s="33" t="n">
        <f aca="false">CHOOSE(U206,INDEX(Forecast_Walkforward!$D:$D,H206),INDEX(Forecast_Walkforward!$E:$E,H206),INDEX(Forecast_Walkforward!$F:$F,H206),INDEX(Forecast_Walkforward!$G:$G,H206))</f>
        <v>94</v>
      </c>
      <c r="W206" s="79" t="n">
        <f aca="false">INDEX(Forecast!$BA$7:$BA$54,C206)</f>
        <v>10.0669515906658</v>
      </c>
      <c r="X206" s="33" t="n">
        <f aca="false">Z_Value*W206*SQRT(D206)</f>
        <v>23.4174841435767</v>
      </c>
      <c r="Y206" s="33" t="n">
        <f aca="false">V206*D206+X206</f>
        <v>211.417484143577</v>
      </c>
      <c r="Z206" s="33" t="n">
        <f aca="false">SQRT((2*V206*Weeks_Per_Year*F206)/(E206*Holding_Rate))</f>
        <v>570.847323429537</v>
      </c>
      <c r="AA206" s="46" t="n">
        <f aca="false">ROUNDUP(Z206/G206,0)*G206</f>
        <v>576</v>
      </c>
      <c r="AB206" s="46" t="n">
        <f aca="false">SUMIFS(AF$197:AF205,$B$197:$B205,$B206-$D206)</f>
        <v>0</v>
      </c>
      <c r="AC206" s="46" t="n">
        <f aca="false">AI205+AB206</f>
        <v>417</v>
      </c>
      <c r="AD206" s="46" t="n">
        <f aca="false">SUMIFS(AF$197:AF205,$B$197:$B205,"&gt;"&amp;($B206-$D206))</f>
        <v>0</v>
      </c>
      <c r="AE206" s="46" t="n">
        <f aca="false">AC206+AD206</f>
        <v>417</v>
      </c>
      <c r="AF206" s="47" t="n">
        <f aca="false">IF(AE206&lt;=Y206,AA206,0)</f>
        <v>0</v>
      </c>
      <c r="AG206" s="46" t="n">
        <f aca="false">MIN(AC206,I206)</f>
        <v>93</v>
      </c>
      <c r="AH206" s="46" t="n">
        <f aca="false">I206-AG206</f>
        <v>0</v>
      </c>
      <c r="AI206" s="46" t="n">
        <f aca="false">AC206-AG206</f>
        <v>324</v>
      </c>
      <c r="AJ206" s="46" t="n">
        <f aca="false">IF(AH206&gt;0,1,0)</f>
        <v>0</v>
      </c>
    </row>
    <row r="207" customFormat="false" ht="15" hidden="false" customHeight="false" outlineLevel="0" collapsed="false">
      <c r="A207" s="31" t="str">
        <f aca="false">Inputs!$B$49</f>
        <v>KIT-010</v>
      </c>
      <c r="B207" s="46" t="n">
        <f aca="false">B206+1</f>
        <v>99</v>
      </c>
      <c r="C207" s="46" t="n">
        <f aca="false">MATCH(A207,Inputs!$B$40:$B$87,0)</f>
        <v>10</v>
      </c>
      <c r="D207" s="32" t="n">
        <f aca="false">INDEX(Inputs!$F$40:$F$87,C207)</f>
        <v>2</v>
      </c>
      <c r="E207" s="78" t="n">
        <f aca="false">INDEX(Inputs!$H$40:$H$87,C207)</f>
        <v>6</v>
      </c>
      <c r="F207" s="78" t="n">
        <f aca="false">INDEX(Inputs!$G$40:$G$87,C207)</f>
        <v>40</v>
      </c>
      <c r="G207" s="32" t="n">
        <f aca="false">INDEX(Inputs!$I$40:$I$87,C207)</f>
        <v>24</v>
      </c>
      <c r="H207" s="46" t="n">
        <f aca="false">MATCH(A207,Demand_History!$C:$C,0)+B207-1</f>
        <v>1036</v>
      </c>
      <c r="I207" s="32" t="n">
        <f aca="false">INDEX(Forecast_Walkforward!$C:$C,H207)</f>
        <v>109</v>
      </c>
      <c r="J207" s="79" t="n">
        <f aca="false">INDEX(Forecast_Walkforward!$E:$E,H207)</f>
        <v>94.25</v>
      </c>
      <c r="K207" s="33" t="n">
        <f aca="false">Baseline_Weeks*J207</f>
        <v>377</v>
      </c>
      <c r="L207" s="46" t="n">
        <f aca="false">SUMIFS(P$197:P206,$B$197:$B206,$B207-$D207)</f>
        <v>72</v>
      </c>
      <c r="M207" s="46" t="n">
        <f aca="false">S206+L207</f>
        <v>197</v>
      </c>
      <c r="N207" s="46" t="n">
        <f aca="false">SUMIFS(P$197:P206,$B$197:$B206,"&gt;"&amp;($B207-$D207))</f>
        <v>96</v>
      </c>
      <c r="O207" s="46" t="n">
        <f aca="false">M207+N207</f>
        <v>293</v>
      </c>
      <c r="P207" s="47" t="n">
        <f aca="false">IF(O207&lt;K207,ROUNDUP((K207-O207)/G207,0)*G207,0)</f>
        <v>96</v>
      </c>
      <c r="Q207" s="46" t="n">
        <f aca="false">MIN(M207,I207)</f>
        <v>109</v>
      </c>
      <c r="R207" s="46" t="n">
        <f aca="false">I207-Q207</f>
        <v>0</v>
      </c>
      <c r="S207" s="46" t="n">
        <f aca="false">M207-Q207</f>
        <v>88</v>
      </c>
      <c r="T207" s="46" t="n">
        <f aca="false">IF(R207&gt;0,1,0)</f>
        <v>0</v>
      </c>
      <c r="U207" s="32" t="n">
        <f aca="false">INDEX(Forecast!$AY$7:$AY$54,C207)</f>
        <v>2</v>
      </c>
      <c r="V207" s="33" t="n">
        <f aca="false">CHOOSE(U207,INDEX(Forecast_Walkforward!$D:$D,H207),INDEX(Forecast_Walkforward!$E:$E,H207),INDEX(Forecast_Walkforward!$F:$F,H207),INDEX(Forecast_Walkforward!$G:$G,H207))</f>
        <v>94.25</v>
      </c>
      <c r="W207" s="79" t="n">
        <f aca="false">INDEX(Forecast!$BA$7:$BA$54,C207)</f>
        <v>10.0669515906658</v>
      </c>
      <c r="X207" s="33" t="n">
        <f aca="false">Z_Value*W207*SQRT(D207)</f>
        <v>23.4174841435767</v>
      </c>
      <c r="Y207" s="33" t="n">
        <f aca="false">V207*D207+X207</f>
        <v>211.917484143577</v>
      </c>
      <c r="Z207" s="33" t="n">
        <f aca="false">SQRT((2*V207*Weeks_Per_Year*F207)/(E207*Holding_Rate))</f>
        <v>571.605924858493</v>
      </c>
      <c r="AA207" s="46" t="n">
        <f aca="false">ROUNDUP(Z207/G207,0)*G207</f>
        <v>576</v>
      </c>
      <c r="AB207" s="46" t="n">
        <f aca="false">SUMIFS(AF$197:AF206,$B$197:$B206,$B207-$D207)</f>
        <v>0</v>
      </c>
      <c r="AC207" s="46" t="n">
        <f aca="false">AI206+AB207</f>
        <v>324</v>
      </c>
      <c r="AD207" s="46" t="n">
        <f aca="false">SUMIFS(AF$197:AF206,$B$197:$B206,"&gt;"&amp;($B207-$D207))</f>
        <v>0</v>
      </c>
      <c r="AE207" s="46" t="n">
        <f aca="false">AC207+AD207</f>
        <v>324</v>
      </c>
      <c r="AF207" s="47" t="n">
        <f aca="false">IF(AE207&lt;=Y207,AA207,0)</f>
        <v>0</v>
      </c>
      <c r="AG207" s="46" t="n">
        <f aca="false">MIN(AC207,I207)</f>
        <v>109</v>
      </c>
      <c r="AH207" s="46" t="n">
        <f aca="false">I207-AG207</f>
        <v>0</v>
      </c>
      <c r="AI207" s="46" t="n">
        <f aca="false">AC207-AG207</f>
        <v>215</v>
      </c>
      <c r="AJ207" s="46" t="n">
        <f aca="false">IF(AH207&gt;0,1,0)</f>
        <v>0</v>
      </c>
    </row>
    <row r="208" customFormat="false" ht="15" hidden="false" customHeight="false" outlineLevel="0" collapsed="false">
      <c r="A208" s="31" t="str">
        <f aca="false">Inputs!$B$49</f>
        <v>KIT-010</v>
      </c>
      <c r="B208" s="46" t="n">
        <f aca="false">B207+1</f>
        <v>100</v>
      </c>
      <c r="C208" s="46" t="n">
        <f aca="false">MATCH(A208,Inputs!$B$40:$B$87,0)</f>
        <v>10</v>
      </c>
      <c r="D208" s="32" t="n">
        <f aca="false">INDEX(Inputs!$F$40:$F$87,C208)</f>
        <v>2</v>
      </c>
      <c r="E208" s="78" t="n">
        <f aca="false">INDEX(Inputs!$H$40:$H$87,C208)</f>
        <v>6</v>
      </c>
      <c r="F208" s="78" t="n">
        <f aca="false">INDEX(Inputs!$G$40:$G$87,C208)</f>
        <v>40</v>
      </c>
      <c r="G208" s="32" t="n">
        <f aca="false">INDEX(Inputs!$I$40:$I$87,C208)</f>
        <v>24</v>
      </c>
      <c r="H208" s="46" t="n">
        <f aca="false">MATCH(A208,Demand_History!$C:$C,0)+B208-1</f>
        <v>1037</v>
      </c>
      <c r="I208" s="32" t="n">
        <f aca="false">INDEX(Forecast_Walkforward!$C:$C,H208)</f>
        <v>81</v>
      </c>
      <c r="J208" s="79" t="n">
        <f aca="false">INDEX(Forecast_Walkforward!$E:$E,H208)</f>
        <v>96.25</v>
      </c>
      <c r="K208" s="33" t="n">
        <f aca="false">Baseline_Weeks*J208</f>
        <v>385</v>
      </c>
      <c r="L208" s="46" t="n">
        <f aca="false">SUMIFS(P$197:P207,$B$197:$B207,$B208-$D208)</f>
        <v>96</v>
      </c>
      <c r="M208" s="46" t="n">
        <f aca="false">S207+L208</f>
        <v>184</v>
      </c>
      <c r="N208" s="46" t="n">
        <f aca="false">SUMIFS(P$197:P207,$B$197:$B207,"&gt;"&amp;($B208-$D208))</f>
        <v>96</v>
      </c>
      <c r="O208" s="46" t="n">
        <f aca="false">M208+N208</f>
        <v>280</v>
      </c>
      <c r="P208" s="47" t="n">
        <f aca="false">IF(O208&lt;K208,ROUNDUP((K208-O208)/G208,0)*G208,0)</f>
        <v>120</v>
      </c>
      <c r="Q208" s="46" t="n">
        <f aca="false">MIN(M208,I208)</f>
        <v>81</v>
      </c>
      <c r="R208" s="46" t="n">
        <f aca="false">I208-Q208</f>
        <v>0</v>
      </c>
      <c r="S208" s="46" t="n">
        <f aca="false">M208-Q208</f>
        <v>103</v>
      </c>
      <c r="T208" s="46" t="n">
        <f aca="false">IF(R208&gt;0,1,0)</f>
        <v>0</v>
      </c>
      <c r="U208" s="32" t="n">
        <f aca="false">INDEX(Forecast!$AY$7:$AY$54,C208)</f>
        <v>2</v>
      </c>
      <c r="V208" s="33" t="n">
        <f aca="false">CHOOSE(U208,INDEX(Forecast_Walkforward!$D:$D,H208),INDEX(Forecast_Walkforward!$E:$E,H208),INDEX(Forecast_Walkforward!$F:$F,H208),INDEX(Forecast_Walkforward!$G:$G,H208))</f>
        <v>96.25</v>
      </c>
      <c r="W208" s="79" t="n">
        <f aca="false">INDEX(Forecast!$BA$7:$BA$54,C208)</f>
        <v>10.0669515906658</v>
      </c>
      <c r="X208" s="33" t="n">
        <f aca="false">Z_Value*W208*SQRT(D208)</f>
        <v>23.4174841435767</v>
      </c>
      <c r="Y208" s="33" t="n">
        <f aca="false">V208*D208+X208</f>
        <v>215.917484143577</v>
      </c>
      <c r="Z208" s="33" t="n">
        <f aca="false">SQRT((2*V208*Weeks_Per_Year*F208)/(E208*Holding_Rate))</f>
        <v>577.638872191499</v>
      </c>
      <c r="AA208" s="46" t="n">
        <f aca="false">ROUNDUP(Z208/G208,0)*G208</f>
        <v>600</v>
      </c>
      <c r="AB208" s="46" t="n">
        <f aca="false">SUMIFS(AF$197:AF207,$B$197:$B207,$B208-$D208)</f>
        <v>0</v>
      </c>
      <c r="AC208" s="46" t="n">
        <f aca="false">AI207+AB208</f>
        <v>215</v>
      </c>
      <c r="AD208" s="46" t="n">
        <f aca="false">SUMIFS(AF$197:AF207,$B$197:$B207,"&gt;"&amp;($B208-$D208))</f>
        <v>0</v>
      </c>
      <c r="AE208" s="46" t="n">
        <f aca="false">AC208+AD208</f>
        <v>215</v>
      </c>
      <c r="AF208" s="47" t="n">
        <f aca="false">IF(AE208&lt;=Y208,AA208,0)</f>
        <v>600</v>
      </c>
      <c r="AG208" s="46" t="n">
        <f aca="false">MIN(AC208,I208)</f>
        <v>81</v>
      </c>
      <c r="AH208" s="46" t="n">
        <f aca="false">I208-AG208</f>
        <v>0</v>
      </c>
      <c r="AI208" s="46" t="n">
        <f aca="false">AC208-AG208</f>
        <v>134</v>
      </c>
      <c r="AJ208" s="46" t="n">
        <f aca="false">IF(AH208&gt;0,1,0)</f>
        <v>0</v>
      </c>
    </row>
    <row r="209" customFormat="false" ht="15" hidden="false" customHeight="false" outlineLevel="0" collapsed="false">
      <c r="A209" s="31" t="str">
        <f aca="false">Inputs!$B$49</f>
        <v>KIT-010</v>
      </c>
      <c r="B209" s="46" t="n">
        <f aca="false">B208+1</f>
        <v>101</v>
      </c>
      <c r="C209" s="46" t="n">
        <f aca="false">MATCH(A209,Inputs!$B$40:$B$87,0)</f>
        <v>10</v>
      </c>
      <c r="D209" s="32" t="n">
        <f aca="false">INDEX(Inputs!$F$40:$F$87,C209)</f>
        <v>2</v>
      </c>
      <c r="E209" s="78" t="n">
        <f aca="false">INDEX(Inputs!$H$40:$H$87,C209)</f>
        <v>6</v>
      </c>
      <c r="F209" s="78" t="n">
        <f aca="false">INDEX(Inputs!$G$40:$G$87,C209)</f>
        <v>40</v>
      </c>
      <c r="G209" s="32" t="n">
        <f aca="false">INDEX(Inputs!$I$40:$I$87,C209)</f>
        <v>24</v>
      </c>
      <c r="H209" s="46" t="n">
        <f aca="false">MATCH(A209,Demand_History!$C:$C,0)+B209-1</f>
        <v>1038</v>
      </c>
      <c r="I209" s="32" t="n">
        <f aca="false">INDEX(Forecast_Walkforward!$C:$C,H209)</f>
        <v>107</v>
      </c>
      <c r="J209" s="79" t="n">
        <f aca="false">INDEX(Forecast_Walkforward!$E:$E,H209)</f>
        <v>97.5</v>
      </c>
      <c r="K209" s="33" t="n">
        <f aca="false">Baseline_Weeks*J209</f>
        <v>390</v>
      </c>
      <c r="L209" s="46" t="n">
        <f aca="false">SUMIFS(P$197:P208,$B$197:$B208,$B209-$D209)</f>
        <v>96</v>
      </c>
      <c r="M209" s="46" t="n">
        <f aca="false">S208+L209</f>
        <v>199</v>
      </c>
      <c r="N209" s="46" t="n">
        <f aca="false">SUMIFS(P$197:P208,$B$197:$B208,"&gt;"&amp;($B209-$D209))</f>
        <v>120</v>
      </c>
      <c r="O209" s="46" t="n">
        <f aca="false">M209+N209</f>
        <v>319</v>
      </c>
      <c r="P209" s="47" t="n">
        <f aca="false">IF(O209&lt;K209,ROUNDUP((K209-O209)/G209,0)*G209,0)</f>
        <v>72</v>
      </c>
      <c r="Q209" s="46" t="n">
        <f aca="false">MIN(M209,I209)</f>
        <v>107</v>
      </c>
      <c r="R209" s="46" t="n">
        <f aca="false">I209-Q209</f>
        <v>0</v>
      </c>
      <c r="S209" s="46" t="n">
        <f aca="false">M209-Q209</f>
        <v>92</v>
      </c>
      <c r="T209" s="46" t="n">
        <f aca="false">IF(R209&gt;0,1,0)</f>
        <v>0</v>
      </c>
      <c r="U209" s="32" t="n">
        <f aca="false">INDEX(Forecast!$AY$7:$AY$54,C209)</f>
        <v>2</v>
      </c>
      <c r="V209" s="33" t="n">
        <f aca="false">CHOOSE(U209,INDEX(Forecast_Walkforward!$D:$D,H209),INDEX(Forecast_Walkforward!$E:$E,H209),INDEX(Forecast_Walkforward!$F:$F,H209),INDEX(Forecast_Walkforward!$G:$G,H209))</f>
        <v>97.5</v>
      </c>
      <c r="W209" s="79" t="n">
        <f aca="false">INDEX(Forecast!$BA$7:$BA$54,C209)</f>
        <v>10.0669515906658</v>
      </c>
      <c r="X209" s="33" t="n">
        <f aca="false">Z_Value*W209*SQRT(D209)</f>
        <v>23.4174841435767</v>
      </c>
      <c r="Y209" s="33" t="n">
        <f aca="false">V209*D209+X209</f>
        <v>218.417484143577</v>
      </c>
      <c r="Z209" s="33" t="n">
        <f aca="false">SQRT((2*V209*Weeks_Per_Year*F209)/(E209*Holding_Rate))</f>
        <v>581.377674149945</v>
      </c>
      <c r="AA209" s="46" t="n">
        <f aca="false">ROUNDUP(Z209/G209,0)*G209</f>
        <v>600</v>
      </c>
      <c r="AB209" s="46" t="n">
        <f aca="false">SUMIFS(AF$197:AF208,$B$197:$B208,$B209-$D209)</f>
        <v>0</v>
      </c>
      <c r="AC209" s="46" t="n">
        <f aca="false">AI208+AB209</f>
        <v>134</v>
      </c>
      <c r="AD209" s="46" t="n">
        <f aca="false">SUMIFS(AF$197:AF208,$B$197:$B208,"&gt;"&amp;($B209-$D209))</f>
        <v>600</v>
      </c>
      <c r="AE209" s="46" t="n">
        <f aca="false">AC209+AD209</f>
        <v>734</v>
      </c>
      <c r="AF209" s="47" t="n">
        <f aca="false">IF(AE209&lt;=Y209,AA209,0)</f>
        <v>0</v>
      </c>
      <c r="AG209" s="46" t="n">
        <f aca="false">MIN(AC209,I209)</f>
        <v>107</v>
      </c>
      <c r="AH209" s="46" t="n">
        <f aca="false">I209-AG209</f>
        <v>0</v>
      </c>
      <c r="AI209" s="46" t="n">
        <f aca="false">AC209-AG209</f>
        <v>27</v>
      </c>
      <c r="AJ209" s="46" t="n">
        <f aca="false">IF(AH209&gt;0,1,0)</f>
        <v>0</v>
      </c>
    </row>
    <row r="210" customFormat="false" ht="15" hidden="false" customHeight="false" outlineLevel="0" collapsed="false">
      <c r="A210" s="31" t="str">
        <f aca="false">Inputs!$B$49</f>
        <v>KIT-010</v>
      </c>
      <c r="B210" s="46" t="n">
        <f aca="false">B209+1</f>
        <v>102</v>
      </c>
      <c r="C210" s="46" t="n">
        <f aca="false">MATCH(A210,Inputs!$B$40:$B$87,0)</f>
        <v>10</v>
      </c>
      <c r="D210" s="32" t="n">
        <f aca="false">INDEX(Inputs!$F$40:$F$87,C210)</f>
        <v>2</v>
      </c>
      <c r="E210" s="78" t="n">
        <f aca="false">INDEX(Inputs!$H$40:$H$87,C210)</f>
        <v>6</v>
      </c>
      <c r="F210" s="78" t="n">
        <f aca="false">INDEX(Inputs!$G$40:$G$87,C210)</f>
        <v>40</v>
      </c>
      <c r="G210" s="32" t="n">
        <f aca="false">INDEX(Inputs!$I$40:$I$87,C210)</f>
        <v>24</v>
      </c>
      <c r="H210" s="46" t="n">
        <f aca="false">MATCH(A210,Demand_History!$C:$C,0)+B210-1</f>
        <v>1039</v>
      </c>
      <c r="I210" s="32" t="n">
        <f aca="false">INDEX(Forecast_Walkforward!$C:$C,H210)</f>
        <v>98</v>
      </c>
      <c r="J210" s="79" t="n">
        <f aca="false">INDEX(Forecast_Walkforward!$E:$E,H210)</f>
        <v>97.5</v>
      </c>
      <c r="K210" s="33" t="n">
        <f aca="false">Baseline_Weeks*J210</f>
        <v>390</v>
      </c>
      <c r="L210" s="46" t="n">
        <f aca="false">SUMIFS(P$197:P209,$B$197:$B209,$B210-$D210)</f>
        <v>120</v>
      </c>
      <c r="M210" s="46" t="n">
        <f aca="false">S209+L210</f>
        <v>212</v>
      </c>
      <c r="N210" s="46" t="n">
        <f aca="false">SUMIFS(P$197:P209,$B$197:$B209,"&gt;"&amp;($B210-$D210))</f>
        <v>72</v>
      </c>
      <c r="O210" s="46" t="n">
        <f aca="false">M210+N210</f>
        <v>284</v>
      </c>
      <c r="P210" s="47" t="n">
        <f aca="false">IF(O210&lt;K210,ROUNDUP((K210-O210)/G210,0)*G210,0)</f>
        <v>120</v>
      </c>
      <c r="Q210" s="46" t="n">
        <f aca="false">MIN(M210,I210)</f>
        <v>98</v>
      </c>
      <c r="R210" s="46" t="n">
        <f aca="false">I210-Q210</f>
        <v>0</v>
      </c>
      <c r="S210" s="46" t="n">
        <f aca="false">M210-Q210</f>
        <v>114</v>
      </c>
      <c r="T210" s="46" t="n">
        <f aca="false">IF(R210&gt;0,1,0)</f>
        <v>0</v>
      </c>
      <c r="U210" s="32" t="n">
        <f aca="false">INDEX(Forecast!$AY$7:$AY$54,C210)</f>
        <v>2</v>
      </c>
      <c r="V210" s="33" t="n">
        <f aca="false">CHOOSE(U210,INDEX(Forecast_Walkforward!$D:$D,H210),INDEX(Forecast_Walkforward!$E:$E,H210),INDEX(Forecast_Walkforward!$F:$F,H210),INDEX(Forecast_Walkforward!$G:$G,H210))</f>
        <v>97.5</v>
      </c>
      <c r="W210" s="79" t="n">
        <f aca="false">INDEX(Forecast!$BA$7:$BA$54,C210)</f>
        <v>10.0669515906658</v>
      </c>
      <c r="X210" s="33" t="n">
        <f aca="false">Z_Value*W210*SQRT(D210)</f>
        <v>23.4174841435767</v>
      </c>
      <c r="Y210" s="33" t="n">
        <f aca="false">V210*D210+X210</f>
        <v>218.417484143577</v>
      </c>
      <c r="Z210" s="33" t="n">
        <f aca="false">SQRT((2*V210*Weeks_Per_Year*F210)/(E210*Holding_Rate))</f>
        <v>581.377674149945</v>
      </c>
      <c r="AA210" s="46" t="n">
        <f aca="false">ROUNDUP(Z210/G210,0)*G210</f>
        <v>600</v>
      </c>
      <c r="AB210" s="46" t="n">
        <f aca="false">SUMIFS(AF$197:AF209,$B$197:$B209,$B210-$D210)</f>
        <v>600</v>
      </c>
      <c r="AC210" s="46" t="n">
        <f aca="false">AI209+AB210</f>
        <v>627</v>
      </c>
      <c r="AD210" s="46" t="n">
        <f aca="false">SUMIFS(AF$197:AF209,$B$197:$B209,"&gt;"&amp;($B210-$D210))</f>
        <v>0</v>
      </c>
      <c r="AE210" s="46" t="n">
        <f aca="false">AC210+AD210</f>
        <v>627</v>
      </c>
      <c r="AF210" s="47" t="n">
        <f aca="false">IF(AE210&lt;=Y210,AA210,0)</f>
        <v>0</v>
      </c>
      <c r="AG210" s="46" t="n">
        <f aca="false">MIN(AC210,I210)</f>
        <v>98</v>
      </c>
      <c r="AH210" s="46" t="n">
        <f aca="false">I210-AG210</f>
        <v>0</v>
      </c>
      <c r="AI210" s="46" t="n">
        <f aca="false">AC210-AG210</f>
        <v>529</v>
      </c>
      <c r="AJ210" s="46" t="n">
        <f aca="false">IF(AH210&gt;0,1,0)</f>
        <v>0</v>
      </c>
    </row>
    <row r="211" customFormat="false" ht="15" hidden="false" customHeight="false" outlineLevel="0" collapsed="false">
      <c r="A211" s="31" t="str">
        <f aca="false">Inputs!$B$49</f>
        <v>KIT-010</v>
      </c>
      <c r="B211" s="46" t="n">
        <f aca="false">B210+1</f>
        <v>103</v>
      </c>
      <c r="C211" s="46" t="n">
        <f aca="false">MATCH(A211,Inputs!$B$40:$B$87,0)</f>
        <v>10</v>
      </c>
      <c r="D211" s="32" t="n">
        <f aca="false">INDEX(Inputs!$F$40:$F$87,C211)</f>
        <v>2</v>
      </c>
      <c r="E211" s="78" t="n">
        <f aca="false">INDEX(Inputs!$H$40:$H$87,C211)</f>
        <v>6</v>
      </c>
      <c r="F211" s="78" t="n">
        <f aca="false">INDEX(Inputs!$G$40:$G$87,C211)</f>
        <v>40</v>
      </c>
      <c r="G211" s="32" t="n">
        <f aca="false">INDEX(Inputs!$I$40:$I$87,C211)</f>
        <v>24</v>
      </c>
      <c r="H211" s="46" t="n">
        <f aca="false">MATCH(A211,Demand_History!$C:$C,0)+B211-1</f>
        <v>1040</v>
      </c>
      <c r="I211" s="32" t="n">
        <f aca="false">INDEX(Forecast_Walkforward!$C:$C,H211)</f>
        <v>108</v>
      </c>
      <c r="J211" s="79" t="n">
        <f aca="false">INDEX(Forecast_Walkforward!$E:$E,H211)</f>
        <v>98.75</v>
      </c>
      <c r="K211" s="33" t="n">
        <f aca="false">Baseline_Weeks*J211</f>
        <v>395</v>
      </c>
      <c r="L211" s="46" t="n">
        <f aca="false">SUMIFS(P$197:P210,$B$197:$B210,$B211-$D211)</f>
        <v>72</v>
      </c>
      <c r="M211" s="46" t="n">
        <f aca="false">S210+L211</f>
        <v>186</v>
      </c>
      <c r="N211" s="46" t="n">
        <f aca="false">SUMIFS(P$197:P210,$B$197:$B210,"&gt;"&amp;($B211-$D211))</f>
        <v>120</v>
      </c>
      <c r="O211" s="46" t="n">
        <f aca="false">M211+N211</f>
        <v>306</v>
      </c>
      <c r="P211" s="47" t="n">
        <f aca="false">IF(O211&lt;K211,ROUNDUP((K211-O211)/G211,0)*G211,0)</f>
        <v>96</v>
      </c>
      <c r="Q211" s="46" t="n">
        <f aca="false">MIN(M211,I211)</f>
        <v>108</v>
      </c>
      <c r="R211" s="46" t="n">
        <f aca="false">I211-Q211</f>
        <v>0</v>
      </c>
      <c r="S211" s="46" t="n">
        <f aca="false">M211-Q211</f>
        <v>78</v>
      </c>
      <c r="T211" s="46" t="n">
        <f aca="false">IF(R211&gt;0,1,0)</f>
        <v>0</v>
      </c>
      <c r="U211" s="32" t="n">
        <f aca="false">INDEX(Forecast!$AY$7:$AY$54,C211)</f>
        <v>2</v>
      </c>
      <c r="V211" s="33" t="n">
        <f aca="false">CHOOSE(U211,INDEX(Forecast_Walkforward!$D:$D,H211),INDEX(Forecast_Walkforward!$E:$E,H211),INDEX(Forecast_Walkforward!$F:$F,H211),INDEX(Forecast_Walkforward!$G:$G,H211))</f>
        <v>98.75</v>
      </c>
      <c r="W211" s="79" t="n">
        <f aca="false">INDEX(Forecast!$BA$7:$BA$54,C211)</f>
        <v>10.0669515906658</v>
      </c>
      <c r="X211" s="33" t="n">
        <f aca="false">Z_Value*W211*SQRT(D211)</f>
        <v>23.4174841435767</v>
      </c>
      <c r="Y211" s="33" t="n">
        <f aca="false">V211*D211+X211</f>
        <v>220.917484143577</v>
      </c>
      <c r="Z211" s="33" t="n">
        <f aca="false">SQRT((2*V211*Weeks_Per_Year*F211)/(E211*Holding_Rate))</f>
        <v>585.09258526607</v>
      </c>
      <c r="AA211" s="46" t="n">
        <f aca="false">ROUNDUP(Z211/G211,0)*G211</f>
        <v>600</v>
      </c>
      <c r="AB211" s="46" t="n">
        <f aca="false">SUMIFS(AF$197:AF210,$B$197:$B210,$B211-$D211)</f>
        <v>0</v>
      </c>
      <c r="AC211" s="46" t="n">
        <f aca="false">AI210+AB211</f>
        <v>529</v>
      </c>
      <c r="AD211" s="46" t="n">
        <f aca="false">SUMIFS(AF$197:AF210,$B$197:$B210,"&gt;"&amp;($B211-$D211))</f>
        <v>0</v>
      </c>
      <c r="AE211" s="46" t="n">
        <f aca="false">AC211+AD211</f>
        <v>529</v>
      </c>
      <c r="AF211" s="47" t="n">
        <f aca="false">IF(AE211&lt;=Y211,AA211,0)</f>
        <v>0</v>
      </c>
      <c r="AG211" s="46" t="n">
        <f aca="false">MIN(AC211,I211)</f>
        <v>108</v>
      </c>
      <c r="AH211" s="46" t="n">
        <f aca="false">I211-AG211</f>
        <v>0</v>
      </c>
      <c r="AI211" s="46" t="n">
        <f aca="false">AC211-AG211</f>
        <v>421</v>
      </c>
      <c r="AJ211" s="46" t="n">
        <f aca="false">IF(AH211&gt;0,1,0)</f>
        <v>0</v>
      </c>
    </row>
    <row r="212" customFormat="false" ht="15" hidden="false" customHeight="false" outlineLevel="0" collapsed="false">
      <c r="A212" s="80" t="str">
        <f aca="false">Inputs!$B$49</f>
        <v>KIT-010</v>
      </c>
      <c r="B212" s="81" t="n">
        <f aca="false">B211+1</f>
        <v>104</v>
      </c>
      <c r="C212" s="81" t="n">
        <f aca="false">MATCH(A212,Inputs!$B$40:$B$87,0)</f>
        <v>10</v>
      </c>
      <c r="D212" s="82" t="n">
        <f aca="false">INDEX(Inputs!$F$40:$F$87,C212)</f>
        <v>2</v>
      </c>
      <c r="E212" s="83" t="n">
        <f aca="false">INDEX(Inputs!$H$40:$H$87,C212)</f>
        <v>6</v>
      </c>
      <c r="F212" s="83" t="n">
        <f aca="false">INDEX(Inputs!$G$40:$G$87,C212)</f>
        <v>40</v>
      </c>
      <c r="G212" s="82" t="n">
        <f aca="false">INDEX(Inputs!$I$40:$I$87,C212)</f>
        <v>24</v>
      </c>
      <c r="H212" s="81" t="n">
        <f aca="false">MATCH(A212,Demand_History!$C:$C,0)+B212-1</f>
        <v>1041</v>
      </c>
      <c r="I212" s="82" t="n">
        <f aca="false">INDEX(Forecast_Walkforward!$C:$C,H212)</f>
        <v>91</v>
      </c>
      <c r="J212" s="84" t="n">
        <f aca="false">INDEX(Forecast_Walkforward!$E:$E,H212)</f>
        <v>98.5</v>
      </c>
      <c r="K212" s="85" t="n">
        <f aca="false">Baseline_Weeks*J212</f>
        <v>394</v>
      </c>
      <c r="L212" s="81" t="n">
        <f aca="false">SUMIFS(P$197:P211,$B$197:$B211,$B212-$D212)</f>
        <v>120</v>
      </c>
      <c r="M212" s="81" t="n">
        <f aca="false">S211+L212</f>
        <v>198</v>
      </c>
      <c r="N212" s="81" t="n">
        <f aca="false">SUMIFS(P$197:P211,$B$197:$B211,"&gt;"&amp;($B212-$D212))</f>
        <v>96</v>
      </c>
      <c r="O212" s="81" t="n">
        <f aca="false">M212+N212</f>
        <v>294</v>
      </c>
      <c r="P212" s="86" t="n">
        <f aca="false">IF(O212&lt;K212,ROUNDUP((K212-O212)/G212,0)*G212,0)</f>
        <v>120</v>
      </c>
      <c r="Q212" s="81" t="n">
        <f aca="false">MIN(M212,I212)</f>
        <v>91</v>
      </c>
      <c r="R212" s="81" t="n">
        <f aca="false">I212-Q212</f>
        <v>0</v>
      </c>
      <c r="S212" s="81" t="n">
        <f aca="false">M212-Q212</f>
        <v>107</v>
      </c>
      <c r="T212" s="81" t="n">
        <f aca="false">IF(R212&gt;0,1,0)</f>
        <v>0</v>
      </c>
      <c r="U212" s="82" t="n">
        <f aca="false">INDEX(Forecast!$AY$7:$AY$54,C212)</f>
        <v>2</v>
      </c>
      <c r="V212" s="85" t="n">
        <f aca="false">CHOOSE(U212,INDEX(Forecast_Walkforward!$D:$D,H212),INDEX(Forecast_Walkforward!$E:$E,H212),INDEX(Forecast_Walkforward!$F:$F,H212),INDEX(Forecast_Walkforward!$G:$G,H212))</f>
        <v>98.5</v>
      </c>
      <c r="W212" s="84" t="n">
        <f aca="false">INDEX(Forecast!$BA$7:$BA$54,C212)</f>
        <v>10.0669515906658</v>
      </c>
      <c r="X212" s="85" t="n">
        <f aca="false">Z_Value*W212*SQRT(D212)</f>
        <v>23.4174841435767</v>
      </c>
      <c r="Y212" s="85" t="n">
        <f aca="false">V212*D212+X212</f>
        <v>220.417484143577</v>
      </c>
      <c r="Z212" s="85" t="n">
        <f aca="false">SQRT((2*V212*Weeks_Per_Year*F212)/(E212*Holding_Rate))</f>
        <v>584.351492397056</v>
      </c>
      <c r="AA212" s="81" t="n">
        <f aca="false">ROUNDUP(Z212/G212,0)*G212</f>
        <v>600</v>
      </c>
      <c r="AB212" s="81" t="n">
        <f aca="false">SUMIFS(AF$197:AF211,$B$197:$B211,$B212-$D212)</f>
        <v>0</v>
      </c>
      <c r="AC212" s="81" t="n">
        <f aca="false">AI211+AB212</f>
        <v>421</v>
      </c>
      <c r="AD212" s="81" t="n">
        <f aca="false">SUMIFS(AF$197:AF211,$B$197:$B211,"&gt;"&amp;($B212-$D212))</f>
        <v>0</v>
      </c>
      <c r="AE212" s="81" t="n">
        <f aca="false">AC212+AD212</f>
        <v>421</v>
      </c>
      <c r="AF212" s="86" t="n">
        <f aca="false">IF(AE212&lt;=Y212,AA212,0)</f>
        <v>0</v>
      </c>
      <c r="AG212" s="81" t="n">
        <f aca="false">MIN(AC212,I212)</f>
        <v>91</v>
      </c>
      <c r="AH212" s="81" t="n">
        <f aca="false">I212-AG212</f>
        <v>0</v>
      </c>
      <c r="AI212" s="81" t="n">
        <f aca="false">AC212-AG212</f>
        <v>330</v>
      </c>
      <c r="AJ212" s="81" t="n">
        <f aca="false">IF(AH212&gt;0,1,0)</f>
        <v>0</v>
      </c>
    </row>
    <row r="213" customFormat="false" ht="15" hidden="false" customHeight="false" outlineLevel="0" collapsed="false">
      <c r="A213" s="31" t="str">
        <f aca="false">Inputs!$B$50</f>
        <v>BTH-001</v>
      </c>
      <c r="B213" s="46" t="n">
        <f aca="false">BT_Start_Week</f>
        <v>89</v>
      </c>
      <c r="C213" s="46" t="n">
        <f aca="false">MATCH(A213,Inputs!$B$40:$B$87,0)</f>
        <v>11</v>
      </c>
      <c r="D213" s="32" t="n">
        <f aca="false">INDEX(Inputs!$F$40:$F$87,C213)</f>
        <v>3</v>
      </c>
      <c r="E213" s="78" t="n">
        <f aca="false">INDEX(Inputs!$H$40:$H$87,C213)</f>
        <v>11</v>
      </c>
      <c r="F213" s="78" t="n">
        <f aca="false">INDEX(Inputs!$G$40:$G$87,C213)</f>
        <v>45</v>
      </c>
      <c r="G213" s="32" t="n">
        <f aca="false">INDEX(Inputs!$I$40:$I$87,C213)</f>
        <v>10</v>
      </c>
      <c r="H213" s="46" t="n">
        <f aca="false">MATCH(A213,Demand_History!$C:$C,0)+B213-1</f>
        <v>1130</v>
      </c>
      <c r="I213" s="32" t="n">
        <f aca="false">INDEX(Forecast_Walkforward!$C:$C,H213)</f>
        <v>120</v>
      </c>
      <c r="J213" s="79" t="n">
        <f aca="false">INDEX(Forecast_Walkforward!$E:$E,H213)</f>
        <v>120.75</v>
      </c>
      <c r="K213" s="33" t="n">
        <f aca="false">Baseline_Weeks*J213</f>
        <v>483</v>
      </c>
      <c r="L213" s="46" t="n">
        <f aca="false">0</f>
        <v>0</v>
      </c>
      <c r="M213" s="46" t="n">
        <f aca="false">ROUND(BT_Open_Cover*INDEX(Forecast_Walkforward!$F:$F,H213),0)+L213</f>
        <v>721</v>
      </c>
      <c r="N213" s="46" t="n">
        <f aca="false">0</f>
        <v>0</v>
      </c>
      <c r="O213" s="46" t="n">
        <f aca="false">M213+N213</f>
        <v>721</v>
      </c>
      <c r="P213" s="47" t="n">
        <f aca="false">IF(O213&lt;K213,ROUNDUP((K213-O213)/G213,0)*G213,0)</f>
        <v>0</v>
      </c>
      <c r="Q213" s="46" t="n">
        <f aca="false">MIN(M213,I213)</f>
        <v>120</v>
      </c>
      <c r="R213" s="46" t="n">
        <f aca="false">I213-Q213</f>
        <v>0</v>
      </c>
      <c r="S213" s="46" t="n">
        <f aca="false">M213-Q213</f>
        <v>601</v>
      </c>
      <c r="T213" s="46" t="n">
        <f aca="false">IF(R213&gt;0,1,0)</f>
        <v>0</v>
      </c>
      <c r="U213" s="32" t="n">
        <f aca="false">INDEX(Forecast!$AY$7:$AY$54,C213)</f>
        <v>3</v>
      </c>
      <c r="V213" s="33" t="n">
        <f aca="false">CHOOSE(U213,INDEX(Forecast_Walkforward!$D:$D,H213),INDEX(Forecast_Walkforward!$E:$E,H213),INDEX(Forecast_Walkforward!$F:$F,H213),INDEX(Forecast_Walkforward!$G:$G,H213))</f>
        <v>120.125</v>
      </c>
      <c r="W213" s="79" t="n">
        <f aca="false">INDEX(Forecast!$BA$7:$BA$54,C213)</f>
        <v>18.9151138723887</v>
      </c>
      <c r="X213" s="33" t="n">
        <f aca="false">Z_Value*W213*SQRT(D213)</f>
        <v>53.8885929695131</v>
      </c>
      <c r="Y213" s="33" t="n">
        <f aca="false">V213*D213+X213</f>
        <v>414.263592969513</v>
      </c>
      <c r="Z213" s="33" t="n">
        <f aca="false">SQRT((2*V213*Weeks_Per_Year*F213)/(E213*Holding_Rate))</f>
        <v>505.508295049286</v>
      </c>
      <c r="AA213" s="46" t="n">
        <f aca="false">ROUNDUP(Z213/G213,0)*G213</f>
        <v>510</v>
      </c>
      <c r="AB213" s="46" t="n">
        <f aca="false">0</f>
        <v>0</v>
      </c>
      <c r="AC213" s="46" t="n">
        <f aca="false">ROUND(BT_Open_Cover*INDEX(Forecast_Walkforward!$F:$F,H213),0)+AB213</f>
        <v>721</v>
      </c>
      <c r="AD213" s="46" t="n">
        <f aca="false">0</f>
        <v>0</v>
      </c>
      <c r="AE213" s="46" t="n">
        <f aca="false">AC213+AD213</f>
        <v>721</v>
      </c>
      <c r="AF213" s="47" t="n">
        <f aca="false">IF(AE213&lt;=Y213,AA213,0)</f>
        <v>0</v>
      </c>
      <c r="AG213" s="46" t="n">
        <f aca="false">MIN(AC213,I213)</f>
        <v>120</v>
      </c>
      <c r="AH213" s="46" t="n">
        <f aca="false">I213-AG213</f>
        <v>0</v>
      </c>
      <c r="AI213" s="46" t="n">
        <f aca="false">AC213-AG213</f>
        <v>601</v>
      </c>
      <c r="AJ213" s="46" t="n">
        <f aca="false">IF(AH213&gt;0,1,0)</f>
        <v>0</v>
      </c>
    </row>
    <row r="214" customFormat="false" ht="15" hidden="false" customHeight="false" outlineLevel="0" collapsed="false">
      <c r="A214" s="31" t="str">
        <f aca="false">Inputs!$B$50</f>
        <v>BTH-001</v>
      </c>
      <c r="B214" s="46" t="n">
        <f aca="false">B213+1</f>
        <v>90</v>
      </c>
      <c r="C214" s="46" t="n">
        <f aca="false">MATCH(A214,Inputs!$B$40:$B$87,0)</f>
        <v>11</v>
      </c>
      <c r="D214" s="32" t="n">
        <f aca="false">INDEX(Inputs!$F$40:$F$87,C214)</f>
        <v>3</v>
      </c>
      <c r="E214" s="78" t="n">
        <f aca="false">INDEX(Inputs!$H$40:$H$87,C214)</f>
        <v>11</v>
      </c>
      <c r="F214" s="78" t="n">
        <f aca="false">INDEX(Inputs!$G$40:$G$87,C214)</f>
        <v>45</v>
      </c>
      <c r="G214" s="32" t="n">
        <f aca="false">INDEX(Inputs!$I$40:$I$87,C214)</f>
        <v>10</v>
      </c>
      <c r="H214" s="46" t="n">
        <f aca="false">MATCH(A214,Demand_History!$C:$C,0)+B214-1</f>
        <v>1131</v>
      </c>
      <c r="I214" s="32" t="n">
        <f aca="false">INDEX(Forecast_Walkforward!$C:$C,H214)</f>
        <v>103</v>
      </c>
      <c r="J214" s="79" t="n">
        <f aca="false">INDEX(Forecast_Walkforward!$E:$E,H214)</f>
        <v>115.5</v>
      </c>
      <c r="K214" s="33" t="n">
        <f aca="false">Baseline_Weeks*J214</f>
        <v>462</v>
      </c>
      <c r="L214" s="46" t="n">
        <f aca="false">SUMIFS(P$213:P213,$B$213:$B213,$B214-$D214)</f>
        <v>0</v>
      </c>
      <c r="M214" s="46" t="n">
        <f aca="false">S213+L214</f>
        <v>601</v>
      </c>
      <c r="N214" s="46" t="n">
        <f aca="false">SUMIFS(P$213:P213,$B$213:$B213,"&gt;"&amp;($B214-$D214))</f>
        <v>0</v>
      </c>
      <c r="O214" s="46" t="n">
        <f aca="false">M214+N214</f>
        <v>601</v>
      </c>
      <c r="P214" s="47" t="n">
        <f aca="false">IF(O214&lt;K214,ROUNDUP((K214-O214)/G214,0)*G214,0)</f>
        <v>0</v>
      </c>
      <c r="Q214" s="46" t="n">
        <f aca="false">MIN(M214,I214)</f>
        <v>103</v>
      </c>
      <c r="R214" s="46" t="n">
        <f aca="false">I214-Q214</f>
        <v>0</v>
      </c>
      <c r="S214" s="46" t="n">
        <f aca="false">M214-Q214</f>
        <v>498</v>
      </c>
      <c r="T214" s="46" t="n">
        <f aca="false">IF(R214&gt;0,1,0)</f>
        <v>0</v>
      </c>
      <c r="U214" s="32" t="n">
        <f aca="false">INDEX(Forecast!$AY$7:$AY$54,C214)</f>
        <v>3</v>
      </c>
      <c r="V214" s="33" t="n">
        <f aca="false">CHOOSE(U214,INDEX(Forecast_Walkforward!$D:$D,H214),INDEX(Forecast_Walkforward!$E:$E,H214),INDEX(Forecast_Walkforward!$F:$F,H214),INDEX(Forecast_Walkforward!$G:$G,H214))</f>
        <v>121.875</v>
      </c>
      <c r="W214" s="79" t="n">
        <f aca="false">INDEX(Forecast!$BA$7:$BA$54,C214)</f>
        <v>18.9151138723887</v>
      </c>
      <c r="X214" s="33" t="n">
        <f aca="false">Z_Value*W214*SQRT(D214)</f>
        <v>53.8885929695131</v>
      </c>
      <c r="Y214" s="33" t="n">
        <f aca="false">V214*D214+X214</f>
        <v>419.513592969513</v>
      </c>
      <c r="Z214" s="33" t="n">
        <f aca="false">SQRT((2*V214*Weeks_Per_Year*F214)/(E214*Holding_Rate))</f>
        <v>509.177143670416</v>
      </c>
      <c r="AA214" s="46" t="n">
        <f aca="false">ROUNDUP(Z214/G214,0)*G214</f>
        <v>510</v>
      </c>
      <c r="AB214" s="46" t="n">
        <f aca="false">SUMIFS(AF$213:AF213,$B$213:$B213,$B214-$D214)</f>
        <v>0</v>
      </c>
      <c r="AC214" s="46" t="n">
        <f aca="false">AI213+AB214</f>
        <v>601</v>
      </c>
      <c r="AD214" s="46" t="n">
        <f aca="false">SUMIFS(AF$213:AF213,$B$213:$B213,"&gt;"&amp;($B214-$D214))</f>
        <v>0</v>
      </c>
      <c r="AE214" s="46" t="n">
        <f aca="false">AC214+AD214</f>
        <v>601</v>
      </c>
      <c r="AF214" s="47" t="n">
        <f aca="false">IF(AE214&lt;=Y214,AA214,0)</f>
        <v>0</v>
      </c>
      <c r="AG214" s="46" t="n">
        <f aca="false">MIN(AC214,I214)</f>
        <v>103</v>
      </c>
      <c r="AH214" s="46" t="n">
        <f aca="false">I214-AG214</f>
        <v>0</v>
      </c>
      <c r="AI214" s="46" t="n">
        <f aca="false">AC214-AG214</f>
        <v>498</v>
      </c>
      <c r="AJ214" s="46" t="n">
        <f aca="false">IF(AH214&gt;0,1,0)</f>
        <v>0</v>
      </c>
    </row>
    <row r="215" customFormat="false" ht="15" hidden="false" customHeight="false" outlineLevel="0" collapsed="false">
      <c r="A215" s="31" t="str">
        <f aca="false">Inputs!$B$50</f>
        <v>BTH-001</v>
      </c>
      <c r="B215" s="46" t="n">
        <f aca="false">B214+1</f>
        <v>91</v>
      </c>
      <c r="C215" s="46" t="n">
        <f aca="false">MATCH(A215,Inputs!$B$40:$B$87,0)</f>
        <v>11</v>
      </c>
      <c r="D215" s="32" t="n">
        <f aca="false">INDEX(Inputs!$F$40:$F$87,C215)</f>
        <v>3</v>
      </c>
      <c r="E215" s="78" t="n">
        <f aca="false">INDEX(Inputs!$H$40:$H$87,C215)</f>
        <v>11</v>
      </c>
      <c r="F215" s="78" t="n">
        <f aca="false">INDEX(Inputs!$G$40:$G$87,C215)</f>
        <v>45</v>
      </c>
      <c r="G215" s="32" t="n">
        <f aca="false">INDEX(Inputs!$I$40:$I$87,C215)</f>
        <v>10</v>
      </c>
      <c r="H215" s="46" t="n">
        <f aca="false">MATCH(A215,Demand_History!$C:$C,0)+B215-1</f>
        <v>1132</v>
      </c>
      <c r="I215" s="32" t="n">
        <f aca="false">INDEX(Forecast_Walkforward!$C:$C,H215)</f>
        <v>130</v>
      </c>
      <c r="J215" s="79" t="n">
        <f aca="false">INDEX(Forecast_Walkforward!$E:$E,H215)</f>
        <v>113.75</v>
      </c>
      <c r="K215" s="33" t="n">
        <f aca="false">Baseline_Weeks*J215</f>
        <v>455</v>
      </c>
      <c r="L215" s="46" t="n">
        <f aca="false">SUMIFS(P$213:P214,$B$213:$B214,$B215-$D215)</f>
        <v>0</v>
      </c>
      <c r="M215" s="46" t="n">
        <f aca="false">S214+L215</f>
        <v>498</v>
      </c>
      <c r="N215" s="46" t="n">
        <f aca="false">SUMIFS(P$213:P214,$B$213:$B214,"&gt;"&amp;($B215-$D215))</f>
        <v>0</v>
      </c>
      <c r="O215" s="46" t="n">
        <f aca="false">M215+N215</f>
        <v>498</v>
      </c>
      <c r="P215" s="47" t="n">
        <f aca="false">IF(O215&lt;K215,ROUNDUP((K215-O215)/G215,0)*G215,0)</f>
        <v>0</v>
      </c>
      <c r="Q215" s="46" t="n">
        <f aca="false">MIN(M215,I215)</f>
        <v>130</v>
      </c>
      <c r="R215" s="46" t="n">
        <f aca="false">I215-Q215</f>
        <v>0</v>
      </c>
      <c r="S215" s="46" t="n">
        <f aca="false">M215-Q215</f>
        <v>368</v>
      </c>
      <c r="T215" s="46" t="n">
        <f aca="false">IF(R215&gt;0,1,0)</f>
        <v>0</v>
      </c>
      <c r="U215" s="32" t="n">
        <f aca="false">INDEX(Forecast!$AY$7:$AY$54,C215)</f>
        <v>3</v>
      </c>
      <c r="V215" s="33" t="n">
        <f aca="false">CHOOSE(U215,INDEX(Forecast_Walkforward!$D:$D,H215),INDEX(Forecast_Walkforward!$E:$E,H215),INDEX(Forecast_Walkforward!$F:$F,H215),INDEX(Forecast_Walkforward!$G:$G,H215))</f>
        <v>118.125</v>
      </c>
      <c r="W215" s="79" t="n">
        <f aca="false">INDEX(Forecast!$BA$7:$BA$54,C215)</f>
        <v>18.9151138723887</v>
      </c>
      <c r="X215" s="33" t="n">
        <f aca="false">Z_Value*W215*SQRT(D215)</f>
        <v>53.8885929695131</v>
      </c>
      <c r="Y215" s="33" t="n">
        <f aca="false">V215*D215+X215</f>
        <v>408.263592969513</v>
      </c>
      <c r="Z215" s="33" t="n">
        <f aca="false">SQRT((2*V215*Weeks_Per_Year*F215)/(E215*Holding_Rate))</f>
        <v>501.282446240731</v>
      </c>
      <c r="AA215" s="46" t="n">
        <f aca="false">ROUNDUP(Z215/G215,0)*G215</f>
        <v>510</v>
      </c>
      <c r="AB215" s="46" t="n">
        <f aca="false">SUMIFS(AF$213:AF214,$B$213:$B214,$B215-$D215)</f>
        <v>0</v>
      </c>
      <c r="AC215" s="46" t="n">
        <f aca="false">AI214+AB215</f>
        <v>498</v>
      </c>
      <c r="AD215" s="46" t="n">
        <f aca="false">SUMIFS(AF$213:AF214,$B$213:$B214,"&gt;"&amp;($B215-$D215))</f>
        <v>0</v>
      </c>
      <c r="AE215" s="46" t="n">
        <f aca="false">AC215+AD215</f>
        <v>498</v>
      </c>
      <c r="AF215" s="47" t="n">
        <f aca="false">IF(AE215&lt;=Y215,AA215,0)</f>
        <v>0</v>
      </c>
      <c r="AG215" s="46" t="n">
        <f aca="false">MIN(AC215,I215)</f>
        <v>130</v>
      </c>
      <c r="AH215" s="46" t="n">
        <f aca="false">I215-AG215</f>
        <v>0</v>
      </c>
      <c r="AI215" s="46" t="n">
        <f aca="false">AC215-AG215</f>
        <v>368</v>
      </c>
      <c r="AJ215" s="46" t="n">
        <f aca="false">IF(AH215&gt;0,1,0)</f>
        <v>0</v>
      </c>
    </row>
    <row r="216" customFormat="false" ht="15" hidden="false" customHeight="false" outlineLevel="0" collapsed="false">
      <c r="A216" s="31" t="str">
        <f aca="false">Inputs!$B$50</f>
        <v>BTH-001</v>
      </c>
      <c r="B216" s="46" t="n">
        <f aca="false">B215+1</f>
        <v>92</v>
      </c>
      <c r="C216" s="46" t="n">
        <f aca="false">MATCH(A216,Inputs!$B$40:$B$87,0)</f>
        <v>11</v>
      </c>
      <c r="D216" s="32" t="n">
        <f aca="false">INDEX(Inputs!$F$40:$F$87,C216)</f>
        <v>3</v>
      </c>
      <c r="E216" s="78" t="n">
        <f aca="false">INDEX(Inputs!$H$40:$H$87,C216)</f>
        <v>11</v>
      </c>
      <c r="F216" s="78" t="n">
        <f aca="false">INDEX(Inputs!$G$40:$G$87,C216)</f>
        <v>45</v>
      </c>
      <c r="G216" s="32" t="n">
        <f aca="false">INDEX(Inputs!$I$40:$I$87,C216)</f>
        <v>10</v>
      </c>
      <c r="H216" s="46" t="n">
        <f aca="false">MATCH(A216,Demand_History!$C:$C,0)+B216-1</f>
        <v>1133</v>
      </c>
      <c r="I216" s="32" t="n">
        <f aca="false">INDEX(Forecast_Walkforward!$C:$C,H216)</f>
        <v>84</v>
      </c>
      <c r="J216" s="79" t="n">
        <f aca="false">INDEX(Forecast_Walkforward!$E:$E,H216)</f>
        <v>119</v>
      </c>
      <c r="K216" s="33" t="n">
        <f aca="false">Baseline_Weeks*J216</f>
        <v>476</v>
      </c>
      <c r="L216" s="46" t="n">
        <f aca="false">SUMIFS(P$213:P215,$B$213:$B215,$B216-$D216)</f>
        <v>0</v>
      </c>
      <c r="M216" s="46" t="n">
        <f aca="false">S215+L216</f>
        <v>368</v>
      </c>
      <c r="N216" s="46" t="n">
        <f aca="false">SUMIFS(P$213:P215,$B$213:$B215,"&gt;"&amp;($B216-$D216))</f>
        <v>0</v>
      </c>
      <c r="O216" s="46" t="n">
        <f aca="false">M216+N216</f>
        <v>368</v>
      </c>
      <c r="P216" s="47" t="n">
        <f aca="false">IF(O216&lt;K216,ROUNDUP((K216-O216)/G216,0)*G216,0)</f>
        <v>110</v>
      </c>
      <c r="Q216" s="46" t="n">
        <f aca="false">MIN(M216,I216)</f>
        <v>84</v>
      </c>
      <c r="R216" s="46" t="n">
        <f aca="false">I216-Q216</f>
        <v>0</v>
      </c>
      <c r="S216" s="46" t="n">
        <f aca="false">M216-Q216</f>
        <v>284</v>
      </c>
      <c r="T216" s="46" t="n">
        <f aca="false">IF(R216&gt;0,1,0)</f>
        <v>0</v>
      </c>
      <c r="U216" s="32" t="n">
        <f aca="false">INDEX(Forecast!$AY$7:$AY$54,C216)</f>
        <v>3</v>
      </c>
      <c r="V216" s="33" t="n">
        <f aca="false">CHOOSE(U216,INDEX(Forecast_Walkforward!$D:$D,H216),INDEX(Forecast_Walkforward!$E:$E,H216),INDEX(Forecast_Walkforward!$F:$F,H216),INDEX(Forecast_Walkforward!$G:$G,H216))</f>
        <v>122</v>
      </c>
      <c r="W216" s="79" t="n">
        <f aca="false">INDEX(Forecast!$BA$7:$BA$54,C216)</f>
        <v>18.9151138723887</v>
      </c>
      <c r="X216" s="33" t="n">
        <f aca="false">Z_Value*W216*SQRT(D216)</f>
        <v>53.8885929695131</v>
      </c>
      <c r="Y216" s="33" t="n">
        <f aca="false">V216*D216+X216</f>
        <v>419.888592969513</v>
      </c>
      <c r="Z216" s="33" t="n">
        <f aca="false">SQRT((2*V216*Weeks_Per_Year*F216)/(E216*Holding_Rate))</f>
        <v>509.438193235718</v>
      </c>
      <c r="AA216" s="46" t="n">
        <f aca="false">ROUNDUP(Z216/G216,0)*G216</f>
        <v>510</v>
      </c>
      <c r="AB216" s="46" t="n">
        <f aca="false">SUMIFS(AF$213:AF215,$B$213:$B215,$B216-$D216)</f>
        <v>0</v>
      </c>
      <c r="AC216" s="46" t="n">
        <f aca="false">AI215+AB216</f>
        <v>368</v>
      </c>
      <c r="AD216" s="46" t="n">
        <f aca="false">SUMIFS(AF$213:AF215,$B$213:$B215,"&gt;"&amp;($B216-$D216))</f>
        <v>0</v>
      </c>
      <c r="AE216" s="46" t="n">
        <f aca="false">AC216+AD216</f>
        <v>368</v>
      </c>
      <c r="AF216" s="47" t="n">
        <f aca="false">IF(AE216&lt;=Y216,AA216,0)</f>
        <v>510</v>
      </c>
      <c r="AG216" s="46" t="n">
        <f aca="false">MIN(AC216,I216)</f>
        <v>84</v>
      </c>
      <c r="AH216" s="46" t="n">
        <f aca="false">I216-AG216</f>
        <v>0</v>
      </c>
      <c r="AI216" s="46" t="n">
        <f aca="false">AC216-AG216</f>
        <v>284</v>
      </c>
      <c r="AJ216" s="46" t="n">
        <f aca="false">IF(AH216&gt;0,1,0)</f>
        <v>0</v>
      </c>
    </row>
    <row r="217" customFormat="false" ht="15" hidden="false" customHeight="false" outlineLevel="0" collapsed="false">
      <c r="A217" s="31" t="str">
        <f aca="false">Inputs!$B$50</f>
        <v>BTH-001</v>
      </c>
      <c r="B217" s="46" t="n">
        <f aca="false">B216+1</f>
        <v>93</v>
      </c>
      <c r="C217" s="46" t="n">
        <f aca="false">MATCH(A217,Inputs!$B$40:$B$87,0)</f>
        <v>11</v>
      </c>
      <c r="D217" s="32" t="n">
        <f aca="false">INDEX(Inputs!$F$40:$F$87,C217)</f>
        <v>3</v>
      </c>
      <c r="E217" s="78" t="n">
        <f aca="false">INDEX(Inputs!$H$40:$H$87,C217)</f>
        <v>11</v>
      </c>
      <c r="F217" s="78" t="n">
        <f aca="false">INDEX(Inputs!$G$40:$G$87,C217)</f>
        <v>45</v>
      </c>
      <c r="G217" s="32" t="n">
        <f aca="false">INDEX(Inputs!$I$40:$I$87,C217)</f>
        <v>10</v>
      </c>
      <c r="H217" s="46" t="n">
        <f aca="false">MATCH(A217,Demand_History!$C:$C,0)+B217-1</f>
        <v>1134</v>
      </c>
      <c r="I217" s="32" t="n">
        <f aca="false">INDEX(Forecast_Walkforward!$C:$C,H217)</f>
        <v>112</v>
      </c>
      <c r="J217" s="79" t="n">
        <f aca="false">INDEX(Forecast_Walkforward!$E:$E,H217)</f>
        <v>109.25</v>
      </c>
      <c r="K217" s="33" t="n">
        <f aca="false">Baseline_Weeks*J217</f>
        <v>437</v>
      </c>
      <c r="L217" s="46" t="n">
        <f aca="false">SUMIFS(P$213:P216,$B$213:$B216,$B217-$D217)</f>
        <v>0</v>
      </c>
      <c r="M217" s="46" t="n">
        <f aca="false">S216+L217</f>
        <v>284</v>
      </c>
      <c r="N217" s="46" t="n">
        <f aca="false">SUMIFS(P$213:P216,$B$213:$B216,"&gt;"&amp;($B217-$D217))</f>
        <v>110</v>
      </c>
      <c r="O217" s="46" t="n">
        <f aca="false">M217+N217</f>
        <v>394</v>
      </c>
      <c r="P217" s="47" t="n">
        <f aca="false">IF(O217&lt;K217,ROUNDUP((K217-O217)/G217,0)*G217,0)</f>
        <v>50</v>
      </c>
      <c r="Q217" s="46" t="n">
        <f aca="false">MIN(M217,I217)</f>
        <v>112</v>
      </c>
      <c r="R217" s="46" t="n">
        <f aca="false">I217-Q217</f>
        <v>0</v>
      </c>
      <c r="S217" s="46" t="n">
        <f aca="false">M217-Q217</f>
        <v>172</v>
      </c>
      <c r="T217" s="46" t="n">
        <f aca="false">IF(R217&gt;0,1,0)</f>
        <v>0</v>
      </c>
      <c r="U217" s="32" t="n">
        <f aca="false">INDEX(Forecast!$AY$7:$AY$54,C217)</f>
        <v>3</v>
      </c>
      <c r="V217" s="33" t="n">
        <f aca="false">CHOOSE(U217,INDEX(Forecast_Walkforward!$D:$D,H217),INDEX(Forecast_Walkforward!$E:$E,H217),INDEX(Forecast_Walkforward!$F:$F,H217),INDEX(Forecast_Walkforward!$G:$G,H217))</f>
        <v>115</v>
      </c>
      <c r="W217" s="79" t="n">
        <f aca="false">INDEX(Forecast!$BA$7:$BA$54,C217)</f>
        <v>18.9151138723887</v>
      </c>
      <c r="X217" s="33" t="n">
        <f aca="false">Z_Value*W217*SQRT(D217)</f>
        <v>53.8885929695131</v>
      </c>
      <c r="Y217" s="33" t="n">
        <f aca="false">V217*D217+X217</f>
        <v>398.888592969513</v>
      </c>
      <c r="Z217" s="33" t="n">
        <f aca="false">SQRT((2*V217*Weeks_Per_Year*F217)/(E217*Holding_Rate))</f>
        <v>494.607282231432</v>
      </c>
      <c r="AA217" s="46" t="n">
        <f aca="false">ROUNDUP(Z217/G217,0)*G217</f>
        <v>500</v>
      </c>
      <c r="AB217" s="46" t="n">
        <f aca="false">SUMIFS(AF$213:AF216,$B$213:$B216,$B217-$D217)</f>
        <v>0</v>
      </c>
      <c r="AC217" s="46" t="n">
        <f aca="false">AI216+AB217</f>
        <v>284</v>
      </c>
      <c r="AD217" s="46" t="n">
        <f aca="false">SUMIFS(AF$213:AF216,$B$213:$B216,"&gt;"&amp;($B217-$D217))</f>
        <v>510</v>
      </c>
      <c r="AE217" s="46" t="n">
        <f aca="false">AC217+AD217</f>
        <v>794</v>
      </c>
      <c r="AF217" s="47" t="n">
        <f aca="false">IF(AE217&lt;=Y217,AA217,0)</f>
        <v>0</v>
      </c>
      <c r="AG217" s="46" t="n">
        <f aca="false">MIN(AC217,I217)</f>
        <v>112</v>
      </c>
      <c r="AH217" s="46" t="n">
        <f aca="false">I217-AG217</f>
        <v>0</v>
      </c>
      <c r="AI217" s="46" t="n">
        <f aca="false">AC217-AG217</f>
        <v>172</v>
      </c>
      <c r="AJ217" s="46" t="n">
        <f aca="false">IF(AH217&gt;0,1,0)</f>
        <v>0</v>
      </c>
    </row>
    <row r="218" customFormat="false" ht="15" hidden="false" customHeight="false" outlineLevel="0" collapsed="false">
      <c r="A218" s="31" t="str">
        <f aca="false">Inputs!$B$50</f>
        <v>BTH-001</v>
      </c>
      <c r="B218" s="46" t="n">
        <f aca="false">B217+1</f>
        <v>94</v>
      </c>
      <c r="C218" s="46" t="n">
        <f aca="false">MATCH(A218,Inputs!$B$40:$B$87,0)</f>
        <v>11</v>
      </c>
      <c r="D218" s="32" t="n">
        <f aca="false">INDEX(Inputs!$F$40:$F$87,C218)</f>
        <v>3</v>
      </c>
      <c r="E218" s="78" t="n">
        <f aca="false">INDEX(Inputs!$H$40:$H$87,C218)</f>
        <v>11</v>
      </c>
      <c r="F218" s="78" t="n">
        <f aca="false">INDEX(Inputs!$G$40:$G$87,C218)</f>
        <v>45</v>
      </c>
      <c r="G218" s="32" t="n">
        <f aca="false">INDEX(Inputs!$I$40:$I$87,C218)</f>
        <v>10</v>
      </c>
      <c r="H218" s="46" t="n">
        <f aca="false">MATCH(A218,Demand_History!$C:$C,0)+B218-1</f>
        <v>1135</v>
      </c>
      <c r="I218" s="32" t="n">
        <f aca="false">INDEX(Forecast_Walkforward!$C:$C,H218)</f>
        <v>113</v>
      </c>
      <c r="J218" s="79" t="n">
        <f aca="false">INDEX(Forecast_Walkforward!$E:$E,H218)</f>
        <v>107.25</v>
      </c>
      <c r="K218" s="33" t="n">
        <f aca="false">Baseline_Weeks*J218</f>
        <v>429</v>
      </c>
      <c r="L218" s="46" t="n">
        <f aca="false">SUMIFS(P$213:P217,$B$213:$B217,$B218-$D218)</f>
        <v>0</v>
      </c>
      <c r="M218" s="46" t="n">
        <f aca="false">S217+L218</f>
        <v>172</v>
      </c>
      <c r="N218" s="46" t="n">
        <f aca="false">SUMIFS(P$213:P217,$B$213:$B217,"&gt;"&amp;($B218-$D218))</f>
        <v>160</v>
      </c>
      <c r="O218" s="46" t="n">
        <f aca="false">M218+N218</f>
        <v>332</v>
      </c>
      <c r="P218" s="47" t="n">
        <f aca="false">IF(O218&lt;K218,ROUNDUP((K218-O218)/G218,0)*G218,0)</f>
        <v>100</v>
      </c>
      <c r="Q218" s="46" t="n">
        <f aca="false">MIN(M218,I218)</f>
        <v>113</v>
      </c>
      <c r="R218" s="46" t="n">
        <f aca="false">I218-Q218</f>
        <v>0</v>
      </c>
      <c r="S218" s="46" t="n">
        <f aca="false">M218-Q218</f>
        <v>59</v>
      </c>
      <c r="T218" s="46" t="n">
        <f aca="false">IF(R218&gt;0,1,0)</f>
        <v>0</v>
      </c>
      <c r="U218" s="32" t="n">
        <f aca="false">INDEX(Forecast!$AY$7:$AY$54,C218)</f>
        <v>3</v>
      </c>
      <c r="V218" s="33" t="n">
        <f aca="false">CHOOSE(U218,INDEX(Forecast_Walkforward!$D:$D,H218),INDEX(Forecast_Walkforward!$E:$E,H218),INDEX(Forecast_Walkforward!$F:$F,H218),INDEX(Forecast_Walkforward!$G:$G,H218))</f>
        <v>111.375</v>
      </c>
      <c r="W218" s="79" t="n">
        <f aca="false">INDEX(Forecast!$BA$7:$BA$54,C218)</f>
        <v>18.9151138723887</v>
      </c>
      <c r="X218" s="33" t="n">
        <f aca="false">Z_Value*W218*SQRT(D218)</f>
        <v>53.8885929695131</v>
      </c>
      <c r="Y218" s="33" t="n">
        <f aca="false">V218*D218+X218</f>
        <v>388.013592969513</v>
      </c>
      <c r="Z218" s="33" t="n">
        <f aca="false">SQRT((2*V218*Weeks_Per_Year*F218)/(E218*Holding_Rate))</f>
        <v>486.749422187639</v>
      </c>
      <c r="AA218" s="46" t="n">
        <f aca="false">ROUNDUP(Z218/G218,0)*G218</f>
        <v>490</v>
      </c>
      <c r="AB218" s="46" t="n">
        <f aca="false">SUMIFS(AF$213:AF217,$B$213:$B217,$B218-$D218)</f>
        <v>0</v>
      </c>
      <c r="AC218" s="46" t="n">
        <f aca="false">AI217+AB218</f>
        <v>172</v>
      </c>
      <c r="AD218" s="46" t="n">
        <f aca="false">SUMIFS(AF$213:AF217,$B$213:$B217,"&gt;"&amp;($B218-$D218))</f>
        <v>510</v>
      </c>
      <c r="AE218" s="46" t="n">
        <f aca="false">AC218+AD218</f>
        <v>682</v>
      </c>
      <c r="AF218" s="47" t="n">
        <f aca="false">IF(AE218&lt;=Y218,AA218,0)</f>
        <v>0</v>
      </c>
      <c r="AG218" s="46" t="n">
        <f aca="false">MIN(AC218,I218)</f>
        <v>113</v>
      </c>
      <c r="AH218" s="46" t="n">
        <f aca="false">I218-AG218</f>
        <v>0</v>
      </c>
      <c r="AI218" s="46" t="n">
        <f aca="false">AC218-AG218</f>
        <v>59</v>
      </c>
      <c r="AJ218" s="46" t="n">
        <f aca="false">IF(AH218&gt;0,1,0)</f>
        <v>0</v>
      </c>
    </row>
    <row r="219" customFormat="false" ht="15" hidden="false" customHeight="false" outlineLevel="0" collapsed="false">
      <c r="A219" s="31" t="str">
        <f aca="false">Inputs!$B$50</f>
        <v>BTH-001</v>
      </c>
      <c r="B219" s="46" t="n">
        <f aca="false">B218+1</f>
        <v>95</v>
      </c>
      <c r="C219" s="46" t="n">
        <f aca="false">MATCH(A219,Inputs!$B$40:$B$87,0)</f>
        <v>11</v>
      </c>
      <c r="D219" s="32" t="n">
        <f aca="false">INDEX(Inputs!$F$40:$F$87,C219)</f>
        <v>3</v>
      </c>
      <c r="E219" s="78" t="n">
        <f aca="false">INDEX(Inputs!$H$40:$H$87,C219)</f>
        <v>11</v>
      </c>
      <c r="F219" s="78" t="n">
        <f aca="false">INDEX(Inputs!$G$40:$G$87,C219)</f>
        <v>45</v>
      </c>
      <c r="G219" s="32" t="n">
        <f aca="false">INDEX(Inputs!$I$40:$I$87,C219)</f>
        <v>10</v>
      </c>
      <c r="H219" s="46" t="n">
        <f aca="false">MATCH(A219,Demand_History!$C:$C,0)+B219-1</f>
        <v>1136</v>
      </c>
      <c r="I219" s="32" t="n">
        <f aca="false">INDEX(Forecast_Walkforward!$C:$C,H219)</f>
        <v>115</v>
      </c>
      <c r="J219" s="79" t="n">
        <f aca="false">INDEX(Forecast_Walkforward!$E:$E,H219)</f>
        <v>109.75</v>
      </c>
      <c r="K219" s="33" t="n">
        <f aca="false">Baseline_Weeks*J219</f>
        <v>439</v>
      </c>
      <c r="L219" s="46" t="n">
        <f aca="false">SUMIFS(P$213:P218,$B$213:$B218,$B219-$D219)</f>
        <v>110</v>
      </c>
      <c r="M219" s="46" t="n">
        <f aca="false">S218+L219</f>
        <v>169</v>
      </c>
      <c r="N219" s="46" t="n">
        <f aca="false">SUMIFS(P$213:P218,$B$213:$B218,"&gt;"&amp;($B219-$D219))</f>
        <v>150</v>
      </c>
      <c r="O219" s="46" t="n">
        <f aca="false">M219+N219</f>
        <v>319</v>
      </c>
      <c r="P219" s="47" t="n">
        <f aca="false">IF(O219&lt;K219,ROUNDUP((K219-O219)/G219,0)*G219,0)</f>
        <v>120</v>
      </c>
      <c r="Q219" s="46" t="n">
        <f aca="false">MIN(M219,I219)</f>
        <v>115</v>
      </c>
      <c r="R219" s="46" t="n">
        <f aca="false">I219-Q219</f>
        <v>0</v>
      </c>
      <c r="S219" s="46" t="n">
        <f aca="false">M219-Q219</f>
        <v>54</v>
      </c>
      <c r="T219" s="46" t="n">
        <f aca="false">IF(R219&gt;0,1,0)</f>
        <v>0</v>
      </c>
      <c r="U219" s="32" t="n">
        <f aca="false">INDEX(Forecast!$AY$7:$AY$54,C219)</f>
        <v>3</v>
      </c>
      <c r="V219" s="33" t="n">
        <f aca="false">CHOOSE(U219,INDEX(Forecast_Walkforward!$D:$D,H219),INDEX(Forecast_Walkforward!$E:$E,H219),INDEX(Forecast_Walkforward!$F:$F,H219),INDEX(Forecast_Walkforward!$G:$G,H219))</f>
        <v>111.75</v>
      </c>
      <c r="W219" s="79" t="n">
        <f aca="false">INDEX(Forecast!$BA$7:$BA$54,C219)</f>
        <v>18.9151138723887</v>
      </c>
      <c r="X219" s="33" t="n">
        <f aca="false">Z_Value*W219*SQRT(D219)</f>
        <v>53.8885929695131</v>
      </c>
      <c r="Y219" s="33" t="n">
        <f aca="false">V219*D219+X219</f>
        <v>389.138592969513</v>
      </c>
      <c r="Z219" s="33" t="n">
        <f aca="false">SQRT((2*V219*Weeks_Per_Year*F219)/(E219*Holding_Rate))</f>
        <v>487.568177050889</v>
      </c>
      <c r="AA219" s="46" t="n">
        <f aca="false">ROUNDUP(Z219/G219,0)*G219</f>
        <v>490</v>
      </c>
      <c r="AB219" s="46" t="n">
        <f aca="false">SUMIFS(AF$213:AF218,$B$213:$B218,$B219-$D219)</f>
        <v>510</v>
      </c>
      <c r="AC219" s="46" t="n">
        <f aca="false">AI218+AB219</f>
        <v>569</v>
      </c>
      <c r="AD219" s="46" t="n">
        <f aca="false">SUMIFS(AF$213:AF218,$B$213:$B218,"&gt;"&amp;($B219-$D219))</f>
        <v>0</v>
      </c>
      <c r="AE219" s="46" t="n">
        <f aca="false">AC219+AD219</f>
        <v>569</v>
      </c>
      <c r="AF219" s="47" t="n">
        <f aca="false">IF(AE219&lt;=Y219,AA219,0)</f>
        <v>0</v>
      </c>
      <c r="AG219" s="46" t="n">
        <f aca="false">MIN(AC219,I219)</f>
        <v>115</v>
      </c>
      <c r="AH219" s="46" t="n">
        <f aca="false">I219-AG219</f>
        <v>0</v>
      </c>
      <c r="AI219" s="46" t="n">
        <f aca="false">AC219-AG219</f>
        <v>454</v>
      </c>
      <c r="AJ219" s="46" t="n">
        <f aca="false">IF(AH219&gt;0,1,0)</f>
        <v>0</v>
      </c>
    </row>
    <row r="220" customFormat="false" ht="15" hidden="false" customHeight="false" outlineLevel="0" collapsed="false">
      <c r="A220" s="31" t="str">
        <f aca="false">Inputs!$B$50</f>
        <v>BTH-001</v>
      </c>
      <c r="B220" s="46" t="n">
        <f aca="false">B219+1</f>
        <v>96</v>
      </c>
      <c r="C220" s="46" t="n">
        <f aca="false">MATCH(A220,Inputs!$B$40:$B$87,0)</f>
        <v>11</v>
      </c>
      <c r="D220" s="32" t="n">
        <f aca="false">INDEX(Inputs!$F$40:$F$87,C220)</f>
        <v>3</v>
      </c>
      <c r="E220" s="78" t="n">
        <f aca="false">INDEX(Inputs!$H$40:$H$87,C220)</f>
        <v>11</v>
      </c>
      <c r="F220" s="78" t="n">
        <f aca="false">INDEX(Inputs!$G$40:$G$87,C220)</f>
        <v>45</v>
      </c>
      <c r="G220" s="32" t="n">
        <f aca="false">INDEX(Inputs!$I$40:$I$87,C220)</f>
        <v>10</v>
      </c>
      <c r="H220" s="46" t="n">
        <f aca="false">MATCH(A220,Demand_History!$C:$C,0)+B220-1</f>
        <v>1137</v>
      </c>
      <c r="I220" s="32" t="n">
        <f aca="false">INDEX(Forecast_Walkforward!$C:$C,H220)</f>
        <v>125</v>
      </c>
      <c r="J220" s="79" t="n">
        <f aca="false">INDEX(Forecast_Walkforward!$E:$E,H220)</f>
        <v>106</v>
      </c>
      <c r="K220" s="33" t="n">
        <f aca="false">Baseline_Weeks*J220</f>
        <v>424</v>
      </c>
      <c r="L220" s="46" t="n">
        <f aca="false">SUMIFS(P$213:P219,$B$213:$B219,$B220-$D220)</f>
        <v>50</v>
      </c>
      <c r="M220" s="46" t="n">
        <f aca="false">S219+L220</f>
        <v>104</v>
      </c>
      <c r="N220" s="46" t="n">
        <f aca="false">SUMIFS(P$213:P219,$B$213:$B219,"&gt;"&amp;($B220-$D220))</f>
        <v>220</v>
      </c>
      <c r="O220" s="46" t="n">
        <f aca="false">M220+N220</f>
        <v>324</v>
      </c>
      <c r="P220" s="47" t="n">
        <f aca="false">IF(O220&lt;K220,ROUNDUP((K220-O220)/G220,0)*G220,0)</f>
        <v>100</v>
      </c>
      <c r="Q220" s="46" t="n">
        <f aca="false">MIN(M220,I220)</f>
        <v>104</v>
      </c>
      <c r="R220" s="46" t="n">
        <f aca="false">I220-Q220</f>
        <v>21</v>
      </c>
      <c r="S220" s="46" t="n">
        <f aca="false">M220-Q220</f>
        <v>0</v>
      </c>
      <c r="T220" s="46" t="n">
        <f aca="false">IF(R220&gt;0,1,0)</f>
        <v>1</v>
      </c>
      <c r="U220" s="32" t="n">
        <f aca="false">INDEX(Forecast!$AY$7:$AY$54,C220)</f>
        <v>3</v>
      </c>
      <c r="V220" s="33" t="n">
        <f aca="false">CHOOSE(U220,INDEX(Forecast_Walkforward!$D:$D,H220),INDEX(Forecast_Walkforward!$E:$E,H220),INDEX(Forecast_Walkforward!$F:$F,H220),INDEX(Forecast_Walkforward!$G:$G,H220))</f>
        <v>112.5</v>
      </c>
      <c r="W220" s="79" t="n">
        <f aca="false">INDEX(Forecast!$BA$7:$BA$54,C220)</f>
        <v>18.9151138723887</v>
      </c>
      <c r="X220" s="33" t="n">
        <f aca="false">Z_Value*W220*SQRT(D220)</f>
        <v>53.8885929695131</v>
      </c>
      <c r="Y220" s="33" t="n">
        <f aca="false">V220*D220+X220</f>
        <v>391.388592969513</v>
      </c>
      <c r="Z220" s="33" t="n">
        <f aca="false">SQRT((2*V220*Weeks_Per_Year*F220)/(E220*Holding_Rate))</f>
        <v>489.201575854148</v>
      </c>
      <c r="AA220" s="46" t="n">
        <f aca="false">ROUNDUP(Z220/G220,0)*G220</f>
        <v>490</v>
      </c>
      <c r="AB220" s="46" t="n">
        <f aca="false">SUMIFS(AF$213:AF219,$B$213:$B219,$B220-$D220)</f>
        <v>0</v>
      </c>
      <c r="AC220" s="46" t="n">
        <f aca="false">AI219+AB220</f>
        <v>454</v>
      </c>
      <c r="AD220" s="46" t="n">
        <f aca="false">SUMIFS(AF$213:AF219,$B$213:$B219,"&gt;"&amp;($B220-$D220))</f>
        <v>0</v>
      </c>
      <c r="AE220" s="46" t="n">
        <f aca="false">AC220+AD220</f>
        <v>454</v>
      </c>
      <c r="AF220" s="47" t="n">
        <f aca="false">IF(AE220&lt;=Y220,AA220,0)</f>
        <v>0</v>
      </c>
      <c r="AG220" s="46" t="n">
        <f aca="false">MIN(AC220,I220)</f>
        <v>125</v>
      </c>
      <c r="AH220" s="46" t="n">
        <f aca="false">I220-AG220</f>
        <v>0</v>
      </c>
      <c r="AI220" s="46" t="n">
        <f aca="false">AC220-AG220</f>
        <v>329</v>
      </c>
      <c r="AJ220" s="46" t="n">
        <f aca="false">IF(AH220&gt;0,1,0)</f>
        <v>0</v>
      </c>
    </row>
    <row r="221" customFormat="false" ht="15" hidden="false" customHeight="false" outlineLevel="0" collapsed="false">
      <c r="A221" s="31" t="str">
        <f aca="false">Inputs!$B$50</f>
        <v>BTH-001</v>
      </c>
      <c r="B221" s="46" t="n">
        <f aca="false">B220+1</f>
        <v>97</v>
      </c>
      <c r="C221" s="46" t="n">
        <f aca="false">MATCH(A221,Inputs!$B$40:$B$87,0)</f>
        <v>11</v>
      </c>
      <c r="D221" s="32" t="n">
        <f aca="false">INDEX(Inputs!$F$40:$F$87,C221)</f>
        <v>3</v>
      </c>
      <c r="E221" s="78" t="n">
        <f aca="false">INDEX(Inputs!$H$40:$H$87,C221)</f>
        <v>11</v>
      </c>
      <c r="F221" s="78" t="n">
        <f aca="false">INDEX(Inputs!$G$40:$G$87,C221)</f>
        <v>45</v>
      </c>
      <c r="G221" s="32" t="n">
        <f aca="false">INDEX(Inputs!$I$40:$I$87,C221)</f>
        <v>10</v>
      </c>
      <c r="H221" s="46" t="n">
        <f aca="false">MATCH(A221,Demand_History!$C:$C,0)+B221-1</f>
        <v>1138</v>
      </c>
      <c r="I221" s="32" t="n">
        <f aca="false">INDEX(Forecast_Walkforward!$C:$C,H221)</f>
        <v>98</v>
      </c>
      <c r="J221" s="79" t="n">
        <f aca="false">INDEX(Forecast_Walkforward!$E:$E,H221)</f>
        <v>116.25</v>
      </c>
      <c r="K221" s="33" t="n">
        <f aca="false">Baseline_Weeks*J221</f>
        <v>465</v>
      </c>
      <c r="L221" s="46" t="n">
        <f aca="false">SUMIFS(P$213:P220,$B$213:$B220,$B221-$D221)</f>
        <v>100</v>
      </c>
      <c r="M221" s="46" t="n">
        <f aca="false">S220+L221</f>
        <v>100</v>
      </c>
      <c r="N221" s="46" t="n">
        <f aca="false">SUMIFS(P$213:P220,$B$213:$B220,"&gt;"&amp;($B221-$D221))</f>
        <v>220</v>
      </c>
      <c r="O221" s="46" t="n">
        <f aca="false">M221+N221</f>
        <v>320</v>
      </c>
      <c r="P221" s="47" t="n">
        <f aca="false">IF(O221&lt;K221,ROUNDUP((K221-O221)/G221,0)*G221,0)</f>
        <v>150</v>
      </c>
      <c r="Q221" s="46" t="n">
        <f aca="false">MIN(M221,I221)</f>
        <v>98</v>
      </c>
      <c r="R221" s="46" t="n">
        <f aca="false">I221-Q221</f>
        <v>0</v>
      </c>
      <c r="S221" s="46" t="n">
        <f aca="false">M221-Q221</f>
        <v>2</v>
      </c>
      <c r="T221" s="46" t="n">
        <f aca="false">IF(R221&gt;0,1,0)</f>
        <v>0</v>
      </c>
      <c r="U221" s="32" t="n">
        <f aca="false">INDEX(Forecast!$AY$7:$AY$54,C221)</f>
        <v>3</v>
      </c>
      <c r="V221" s="33" t="n">
        <f aca="false">CHOOSE(U221,INDEX(Forecast_Walkforward!$D:$D,H221),INDEX(Forecast_Walkforward!$E:$E,H221),INDEX(Forecast_Walkforward!$F:$F,H221),INDEX(Forecast_Walkforward!$G:$G,H221))</f>
        <v>112.75</v>
      </c>
      <c r="W221" s="79" t="n">
        <f aca="false">INDEX(Forecast!$BA$7:$BA$54,C221)</f>
        <v>18.9151138723887</v>
      </c>
      <c r="X221" s="33" t="n">
        <f aca="false">Z_Value*W221*SQRT(D221)</f>
        <v>53.8885929695131</v>
      </c>
      <c r="Y221" s="33" t="n">
        <f aca="false">V221*D221+X221</f>
        <v>392.138592969513</v>
      </c>
      <c r="Z221" s="33" t="n">
        <f aca="false">SQRT((2*V221*Weeks_Per_Year*F221)/(E221*Holding_Rate))</f>
        <v>489.744831519435</v>
      </c>
      <c r="AA221" s="46" t="n">
        <f aca="false">ROUNDUP(Z221/G221,0)*G221</f>
        <v>490</v>
      </c>
      <c r="AB221" s="46" t="n">
        <f aca="false">SUMIFS(AF$213:AF220,$B$213:$B220,$B221-$D221)</f>
        <v>0</v>
      </c>
      <c r="AC221" s="46" t="n">
        <f aca="false">AI220+AB221</f>
        <v>329</v>
      </c>
      <c r="AD221" s="46" t="n">
        <f aca="false">SUMIFS(AF$213:AF220,$B$213:$B220,"&gt;"&amp;($B221-$D221))</f>
        <v>0</v>
      </c>
      <c r="AE221" s="46" t="n">
        <f aca="false">AC221+AD221</f>
        <v>329</v>
      </c>
      <c r="AF221" s="47" t="n">
        <f aca="false">IF(AE221&lt;=Y221,AA221,0)</f>
        <v>490</v>
      </c>
      <c r="AG221" s="46" t="n">
        <f aca="false">MIN(AC221,I221)</f>
        <v>98</v>
      </c>
      <c r="AH221" s="46" t="n">
        <f aca="false">I221-AG221</f>
        <v>0</v>
      </c>
      <c r="AI221" s="46" t="n">
        <f aca="false">AC221-AG221</f>
        <v>231</v>
      </c>
      <c r="AJ221" s="46" t="n">
        <f aca="false">IF(AH221&gt;0,1,0)</f>
        <v>0</v>
      </c>
    </row>
    <row r="222" customFormat="false" ht="15" hidden="false" customHeight="false" outlineLevel="0" collapsed="false">
      <c r="A222" s="31" t="str">
        <f aca="false">Inputs!$B$50</f>
        <v>BTH-001</v>
      </c>
      <c r="B222" s="46" t="n">
        <f aca="false">B221+1</f>
        <v>98</v>
      </c>
      <c r="C222" s="46" t="n">
        <f aca="false">MATCH(A222,Inputs!$B$40:$B$87,0)</f>
        <v>11</v>
      </c>
      <c r="D222" s="32" t="n">
        <f aca="false">INDEX(Inputs!$F$40:$F$87,C222)</f>
        <v>3</v>
      </c>
      <c r="E222" s="78" t="n">
        <f aca="false">INDEX(Inputs!$H$40:$H$87,C222)</f>
        <v>11</v>
      </c>
      <c r="F222" s="78" t="n">
        <f aca="false">INDEX(Inputs!$G$40:$G$87,C222)</f>
        <v>45</v>
      </c>
      <c r="G222" s="32" t="n">
        <f aca="false">INDEX(Inputs!$I$40:$I$87,C222)</f>
        <v>10</v>
      </c>
      <c r="H222" s="46" t="n">
        <f aca="false">MATCH(A222,Demand_History!$C:$C,0)+B222-1</f>
        <v>1139</v>
      </c>
      <c r="I222" s="32" t="n">
        <f aca="false">INDEX(Forecast_Walkforward!$C:$C,H222)</f>
        <v>130</v>
      </c>
      <c r="J222" s="79" t="n">
        <f aca="false">INDEX(Forecast_Walkforward!$E:$E,H222)</f>
        <v>112.75</v>
      </c>
      <c r="K222" s="33" t="n">
        <f aca="false">Baseline_Weeks*J222</f>
        <v>451</v>
      </c>
      <c r="L222" s="46" t="n">
        <f aca="false">SUMIFS(P$213:P221,$B$213:$B221,$B222-$D222)</f>
        <v>120</v>
      </c>
      <c r="M222" s="46" t="n">
        <f aca="false">S221+L222</f>
        <v>122</v>
      </c>
      <c r="N222" s="46" t="n">
        <f aca="false">SUMIFS(P$213:P221,$B$213:$B221,"&gt;"&amp;($B222-$D222))</f>
        <v>250</v>
      </c>
      <c r="O222" s="46" t="n">
        <f aca="false">M222+N222</f>
        <v>372</v>
      </c>
      <c r="P222" s="47" t="n">
        <f aca="false">IF(O222&lt;K222,ROUNDUP((K222-O222)/G222,0)*G222,0)</f>
        <v>80</v>
      </c>
      <c r="Q222" s="46" t="n">
        <f aca="false">MIN(M222,I222)</f>
        <v>122</v>
      </c>
      <c r="R222" s="46" t="n">
        <f aca="false">I222-Q222</f>
        <v>8</v>
      </c>
      <c r="S222" s="46" t="n">
        <f aca="false">M222-Q222</f>
        <v>0</v>
      </c>
      <c r="T222" s="46" t="n">
        <f aca="false">IF(R222&gt;0,1,0)</f>
        <v>1</v>
      </c>
      <c r="U222" s="32" t="n">
        <f aca="false">INDEX(Forecast!$AY$7:$AY$54,C222)</f>
        <v>3</v>
      </c>
      <c r="V222" s="33" t="n">
        <f aca="false">CHOOSE(U222,INDEX(Forecast_Walkforward!$D:$D,H222),INDEX(Forecast_Walkforward!$E:$E,H222),INDEX(Forecast_Walkforward!$F:$F,H222),INDEX(Forecast_Walkforward!$G:$G,H222))</f>
        <v>110</v>
      </c>
      <c r="W222" s="79" t="n">
        <f aca="false">INDEX(Forecast!$BA$7:$BA$54,C222)</f>
        <v>18.9151138723887</v>
      </c>
      <c r="X222" s="33" t="n">
        <f aca="false">Z_Value*W222*SQRT(D222)</f>
        <v>53.8885929695131</v>
      </c>
      <c r="Y222" s="33" t="n">
        <f aca="false">V222*D222+X222</f>
        <v>383.888592969513</v>
      </c>
      <c r="Z222" s="33" t="n">
        <f aca="false">SQRT((2*V222*Weeks_Per_Year*F222)/(E222*Holding_Rate))</f>
        <v>483.735464897913</v>
      </c>
      <c r="AA222" s="46" t="n">
        <f aca="false">ROUNDUP(Z222/G222,0)*G222</f>
        <v>490</v>
      </c>
      <c r="AB222" s="46" t="n">
        <f aca="false">SUMIFS(AF$213:AF221,$B$213:$B221,$B222-$D222)</f>
        <v>0</v>
      </c>
      <c r="AC222" s="46" t="n">
        <f aca="false">AI221+AB222</f>
        <v>231</v>
      </c>
      <c r="AD222" s="46" t="n">
        <f aca="false">SUMIFS(AF$213:AF221,$B$213:$B221,"&gt;"&amp;($B222-$D222))</f>
        <v>490</v>
      </c>
      <c r="AE222" s="46" t="n">
        <f aca="false">AC222+AD222</f>
        <v>721</v>
      </c>
      <c r="AF222" s="47" t="n">
        <f aca="false">IF(AE222&lt;=Y222,AA222,0)</f>
        <v>0</v>
      </c>
      <c r="AG222" s="46" t="n">
        <f aca="false">MIN(AC222,I222)</f>
        <v>130</v>
      </c>
      <c r="AH222" s="46" t="n">
        <f aca="false">I222-AG222</f>
        <v>0</v>
      </c>
      <c r="AI222" s="46" t="n">
        <f aca="false">AC222-AG222</f>
        <v>101</v>
      </c>
      <c r="AJ222" s="46" t="n">
        <f aca="false">IF(AH222&gt;0,1,0)</f>
        <v>0</v>
      </c>
    </row>
    <row r="223" customFormat="false" ht="15" hidden="false" customHeight="false" outlineLevel="0" collapsed="false">
      <c r="A223" s="31" t="str">
        <f aca="false">Inputs!$B$50</f>
        <v>BTH-001</v>
      </c>
      <c r="B223" s="46" t="n">
        <f aca="false">B222+1</f>
        <v>99</v>
      </c>
      <c r="C223" s="46" t="n">
        <f aca="false">MATCH(A223,Inputs!$B$40:$B$87,0)</f>
        <v>11</v>
      </c>
      <c r="D223" s="32" t="n">
        <f aca="false">INDEX(Inputs!$F$40:$F$87,C223)</f>
        <v>3</v>
      </c>
      <c r="E223" s="78" t="n">
        <f aca="false">INDEX(Inputs!$H$40:$H$87,C223)</f>
        <v>11</v>
      </c>
      <c r="F223" s="78" t="n">
        <f aca="false">INDEX(Inputs!$G$40:$G$87,C223)</f>
        <v>45</v>
      </c>
      <c r="G223" s="32" t="n">
        <f aca="false">INDEX(Inputs!$I$40:$I$87,C223)</f>
        <v>10</v>
      </c>
      <c r="H223" s="46" t="n">
        <f aca="false">MATCH(A223,Demand_History!$C:$C,0)+B223-1</f>
        <v>1140</v>
      </c>
      <c r="I223" s="32" t="n">
        <f aca="false">INDEX(Forecast_Walkforward!$C:$C,H223)</f>
        <v>117</v>
      </c>
      <c r="J223" s="79" t="n">
        <f aca="false">INDEX(Forecast_Walkforward!$E:$E,H223)</f>
        <v>117</v>
      </c>
      <c r="K223" s="33" t="n">
        <f aca="false">Baseline_Weeks*J223</f>
        <v>468</v>
      </c>
      <c r="L223" s="46" t="n">
        <f aca="false">SUMIFS(P$213:P222,$B$213:$B222,$B223-$D223)</f>
        <v>100</v>
      </c>
      <c r="M223" s="46" t="n">
        <f aca="false">S222+L223</f>
        <v>100</v>
      </c>
      <c r="N223" s="46" t="n">
        <f aca="false">SUMIFS(P$213:P222,$B$213:$B222,"&gt;"&amp;($B223-$D223))</f>
        <v>230</v>
      </c>
      <c r="O223" s="46" t="n">
        <f aca="false">M223+N223</f>
        <v>330</v>
      </c>
      <c r="P223" s="47" t="n">
        <f aca="false">IF(O223&lt;K223,ROUNDUP((K223-O223)/G223,0)*G223,0)</f>
        <v>140</v>
      </c>
      <c r="Q223" s="46" t="n">
        <f aca="false">MIN(M223,I223)</f>
        <v>100</v>
      </c>
      <c r="R223" s="46" t="n">
        <f aca="false">I223-Q223</f>
        <v>17</v>
      </c>
      <c r="S223" s="46" t="n">
        <f aca="false">M223-Q223</f>
        <v>0</v>
      </c>
      <c r="T223" s="46" t="n">
        <f aca="false">IF(R223&gt;0,1,0)</f>
        <v>1</v>
      </c>
      <c r="U223" s="32" t="n">
        <f aca="false">INDEX(Forecast!$AY$7:$AY$54,C223)</f>
        <v>3</v>
      </c>
      <c r="V223" s="33" t="n">
        <f aca="false">CHOOSE(U223,INDEX(Forecast_Walkforward!$D:$D,H223),INDEX(Forecast_Walkforward!$E:$E,H223),INDEX(Forecast_Walkforward!$F:$F,H223),INDEX(Forecast_Walkforward!$G:$G,H223))</f>
        <v>113.375</v>
      </c>
      <c r="W223" s="79" t="n">
        <f aca="false">INDEX(Forecast!$BA$7:$BA$54,C223)</f>
        <v>18.9151138723887</v>
      </c>
      <c r="X223" s="33" t="n">
        <f aca="false">Z_Value*W223*SQRT(D223)</f>
        <v>53.8885929695131</v>
      </c>
      <c r="Y223" s="33" t="n">
        <f aca="false">V223*D223+X223</f>
        <v>394.013592969513</v>
      </c>
      <c r="Z223" s="33" t="n">
        <f aca="false">SQRT((2*V223*Weeks_Per_Year*F223)/(E223*Holding_Rate))</f>
        <v>491.100341533729</v>
      </c>
      <c r="AA223" s="46" t="n">
        <f aca="false">ROUNDUP(Z223/G223,0)*G223</f>
        <v>500</v>
      </c>
      <c r="AB223" s="46" t="n">
        <f aca="false">SUMIFS(AF$213:AF222,$B$213:$B222,$B223-$D223)</f>
        <v>0</v>
      </c>
      <c r="AC223" s="46" t="n">
        <f aca="false">AI222+AB223</f>
        <v>101</v>
      </c>
      <c r="AD223" s="46" t="n">
        <f aca="false">SUMIFS(AF$213:AF222,$B$213:$B222,"&gt;"&amp;($B223-$D223))</f>
        <v>490</v>
      </c>
      <c r="AE223" s="46" t="n">
        <f aca="false">AC223+AD223</f>
        <v>591</v>
      </c>
      <c r="AF223" s="47" t="n">
        <f aca="false">IF(AE223&lt;=Y223,AA223,0)</f>
        <v>0</v>
      </c>
      <c r="AG223" s="46" t="n">
        <f aca="false">MIN(AC223,I223)</f>
        <v>101</v>
      </c>
      <c r="AH223" s="46" t="n">
        <f aca="false">I223-AG223</f>
        <v>16</v>
      </c>
      <c r="AI223" s="46" t="n">
        <f aca="false">AC223-AG223</f>
        <v>0</v>
      </c>
      <c r="AJ223" s="46" t="n">
        <f aca="false">IF(AH223&gt;0,1,0)</f>
        <v>1</v>
      </c>
    </row>
    <row r="224" customFormat="false" ht="15" hidden="false" customHeight="false" outlineLevel="0" collapsed="false">
      <c r="A224" s="31" t="str">
        <f aca="false">Inputs!$B$50</f>
        <v>BTH-001</v>
      </c>
      <c r="B224" s="46" t="n">
        <f aca="false">B223+1</f>
        <v>100</v>
      </c>
      <c r="C224" s="46" t="n">
        <f aca="false">MATCH(A224,Inputs!$B$40:$B$87,0)</f>
        <v>11</v>
      </c>
      <c r="D224" s="32" t="n">
        <f aca="false">INDEX(Inputs!$F$40:$F$87,C224)</f>
        <v>3</v>
      </c>
      <c r="E224" s="78" t="n">
        <f aca="false">INDEX(Inputs!$H$40:$H$87,C224)</f>
        <v>11</v>
      </c>
      <c r="F224" s="78" t="n">
        <f aca="false">INDEX(Inputs!$G$40:$G$87,C224)</f>
        <v>45</v>
      </c>
      <c r="G224" s="32" t="n">
        <f aca="false">INDEX(Inputs!$I$40:$I$87,C224)</f>
        <v>10</v>
      </c>
      <c r="H224" s="46" t="n">
        <f aca="false">MATCH(A224,Demand_History!$C:$C,0)+B224-1</f>
        <v>1141</v>
      </c>
      <c r="I224" s="32" t="n">
        <f aca="false">INDEX(Forecast_Walkforward!$C:$C,H224)</f>
        <v>109</v>
      </c>
      <c r="J224" s="79" t="n">
        <f aca="false">INDEX(Forecast_Walkforward!$E:$E,H224)</f>
        <v>117.5</v>
      </c>
      <c r="K224" s="33" t="n">
        <f aca="false">Baseline_Weeks*J224</f>
        <v>470</v>
      </c>
      <c r="L224" s="46" t="n">
        <f aca="false">SUMIFS(P$213:P223,$B$213:$B223,$B224-$D224)</f>
        <v>150</v>
      </c>
      <c r="M224" s="46" t="n">
        <f aca="false">S223+L224</f>
        <v>150</v>
      </c>
      <c r="N224" s="46" t="n">
        <f aca="false">SUMIFS(P$213:P223,$B$213:$B223,"&gt;"&amp;($B224-$D224))</f>
        <v>220</v>
      </c>
      <c r="O224" s="46" t="n">
        <f aca="false">M224+N224</f>
        <v>370</v>
      </c>
      <c r="P224" s="47" t="n">
        <f aca="false">IF(O224&lt;K224,ROUNDUP((K224-O224)/G224,0)*G224,0)</f>
        <v>100</v>
      </c>
      <c r="Q224" s="46" t="n">
        <f aca="false">MIN(M224,I224)</f>
        <v>109</v>
      </c>
      <c r="R224" s="46" t="n">
        <f aca="false">I224-Q224</f>
        <v>0</v>
      </c>
      <c r="S224" s="46" t="n">
        <f aca="false">M224-Q224</f>
        <v>41</v>
      </c>
      <c r="T224" s="46" t="n">
        <f aca="false">IF(R224&gt;0,1,0)</f>
        <v>0</v>
      </c>
      <c r="U224" s="32" t="n">
        <f aca="false">INDEX(Forecast!$AY$7:$AY$54,C224)</f>
        <v>3</v>
      </c>
      <c r="V224" s="33" t="n">
        <f aca="false">CHOOSE(U224,INDEX(Forecast_Walkforward!$D:$D,H224),INDEX(Forecast_Walkforward!$E:$E,H224),INDEX(Forecast_Walkforward!$F:$F,H224),INDEX(Forecast_Walkforward!$G:$G,H224))</f>
        <v>111.75</v>
      </c>
      <c r="W224" s="79" t="n">
        <f aca="false">INDEX(Forecast!$BA$7:$BA$54,C224)</f>
        <v>18.9151138723887</v>
      </c>
      <c r="X224" s="33" t="n">
        <f aca="false">Z_Value*W224*SQRT(D224)</f>
        <v>53.8885929695131</v>
      </c>
      <c r="Y224" s="33" t="n">
        <f aca="false">V224*D224+X224</f>
        <v>389.138592969513</v>
      </c>
      <c r="Z224" s="33" t="n">
        <f aca="false">SQRT((2*V224*Weeks_Per_Year*F224)/(E224*Holding_Rate))</f>
        <v>487.568177050889</v>
      </c>
      <c r="AA224" s="46" t="n">
        <f aca="false">ROUNDUP(Z224/G224,0)*G224</f>
        <v>490</v>
      </c>
      <c r="AB224" s="46" t="n">
        <f aca="false">SUMIFS(AF$213:AF223,$B$213:$B223,$B224-$D224)</f>
        <v>490</v>
      </c>
      <c r="AC224" s="46" t="n">
        <f aca="false">AI223+AB224</f>
        <v>490</v>
      </c>
      <c r="AD224" s="46" t="n">
        <f aca="false">SUMIFS(AF$213:AF223,$B$213:$B223,"&gt;"&amp;($B224-$D224))</f>
        <v>0</v>
      </c>
      <c r="AE224" s="46" t="n">
        <f aca="false">AC224+AD224</f>
        <v>490</v>
      </c>
      <c r="AF224" s="47" t="n">
        <f aca="false">IF(AE224&lt;=Y224,AA224,0)</f>
        <v>0</v>
      </c>
      <c r="AG224" s="46" t="n">
        <f aca="false">MIN(AC224,I224)</f>
        <v>109</v>
      </c>
      <c r="AH224" s="46" t="n">
        <f aca="false">I224-AG224</f>
        <v>0</v>
      </c>
      <c r="AI224" s="46" t="n">
        <f aca="false">AC224-AG224</f>
        <v>381</v>
      </c>
      <c r="AJ224" s="46" t="n">
        <f aca="false">IF(AH224&gt;0,1,0)</f>
        <v>0</v>
      </c>
    </row>
    <row r="225" customFormat="false" ht="15" hidden="false" customHeight="false" outlineLevel="0" collapsed="false">
      <c r="A225" s="31" t="str">
        <f aca="false">Inputs!$B$50</f>
        <v>BTH-001</v>
      </c>
      <c r="B225" s="46" t="n">
        <f aca="false">B224+1</f>
        <v>101</v>
      </c>
      <c r="C225" s="46" t="n">
        <f aca="false">MATCH(A225,Inputs!$B$40:$B$87,0)</f>
        <v>11</v>
      </c>
      <c r="D225" s="32" t="n">
        <f aca="false">INDEX(Inputs!$F$40:$F$87,C225)</f>
        <v>3</v>
      </c>
      <c r="E225" s="78" t="n">
        <f aca="false">INDEX(Inputs!$H$40:$H$87,C225)</f>
        <v>11</v>
      </c>
      <c r="F225" s="78" t="n">
        <f aca="false">INDEX(Inputs!$G$40:$G$87,C225)</f>
        <v>45</v>
      </c>
      <c r="G225" s="32" t="n">
        <f aca="false">INDEX(Inputs!$I$40:$I$87,C225)</f>
        <v>10</v>
      </c>
      <c r="H225" s="46" t="n">
        <f aca="false">MATCH(A225,Demand_History!$C:$C,0)+B225-1</f>
        <v>1142</v>
      </c>
      <c r="I225" s="32" t="n">
        <f aca="false">INDEX(Forecast_Walkforward!$C:$C,H225)</f>
        <v>96</v>
      </c>
      <c r="J225" s="79" t="n">
        <f aca="false">INDEX(Forecast_Walkforward!$E:$E,H225)</f>
        <v>113.5</v>
      </c>
      <c r="K225" s="33" t="n">
        <f aca="false">Baseline_Weeks*J225</f>
        <v>454</v>
      </c>
      <c r="L225" s="46" t="n">
        <f aca="false">SUMIFS(P$213:P224,$B$213:$B224,$B225-$D225)</f>
        <v>80</v>
      </c>
      <c r="M225" s="46" t="n">
        <f aca="false">S224+L225</f>
        <v>121</v>
      </c>
      <c r="N225" s="46" t="n">
        <f aca="false">SUMIFS(P$213:P224,$B$213:$B224,"&gt;"&amp;($B225-$D225))</f>
        <v>240</v>
      </c>
      <c r="O225" s="46" t="n">
        <f aca="false">M225+N225</f>
        <v>361</v>
      </c>
      <c r="P225" s="47" t="n">
        <f aca="false">IF(O225&lt;K225,ROUNDUP((K225-O225)/G225,0)*G225,0)</f>
        <v>100</v>
      </c>
      <c r="Q225" s="46" t="n">
        <f aca="false">MIN(M225,I225)</f>
        <v>96</v>
      </c>
      <c r="R225" s="46" t="n">
        <f aca="false">I225-Q225</f>
        <v>0</v>
      </c>
      <c r="S225" s="46" t="n">
        <f aca="false">M225-Q225</f>
        <v>25</v>
      </c>
      <c r="T225" s="46" t="n">
        <f aca="false">IF(R225&gt;0,1,0)</f>
        <v>0</v>
      </c>
      <c r="U225" s="32" t="n">
        <f aca="false">INDEX(Forecast!$AY$7:$AY$54,C225)</f>
        <v>3</v>
      </c>
      <c r="V225" s="33" t="n">
        <f aca="false">CHOOSE(U225,INDEX(Forecast_Walkforward!$D:$D,H225),INDEX(Forecast_Walkforward!$E:$E,H225),INDEX(Forecast_Walkforward!$F:$F,H225),INDEX(Forecast_Walkforward!$G:$G,H225))</f>
        <v>114.875</v>
      </c>
      <c r="W225" s="79" t="n">
        <f aca="false">INDEX(Forecast!$BA$7:$BA$54,C225)</f>
        <v>18.9151138723887</v>
      </c>
      <c r="X225" s="33" t="n">
        <f aca="false">Z_Value*W225*SQRT(D225)</f>
        <v>53.8885929695131</v>
      </c>
      <c r="Y225" s="33" t="n">
        <f aca="false">V225*D225+X225</f>
        <v>398.513592969513</v>
      </c>
      <c r="Z225" s="33" t="n">
        <f aca="false">SQRT((2*V225*Weeks_Per_Year*F225)/(E225*Holding_Rate))</f>
        <v>494.338400840411</v>
      </c>
      <c r="AA225" s="46" t="n">
        <f aca="false">ROUNDUP(Z225/G225,0)*G225</f>
        <v>500</v>
      </c>
      <c r="AB225" s="46" t="n">
        <f aca="false">SUMIFS(AF$213:AF224,$B$213:$B224,$B225-$D225)</f>
        <v>0</v>
      </c>
      <c r="AC225" s="46" t="n">
        <f aca="false">AI224+AB225</f>
        <v>381</v>
      </c>
      <c r="AD225" s="46" t="n">
        <f aca="false">SUMIFS(AF$213:AF224,$B$213:$B224,"&gt;"&amp;($B225-$D225))</f>
        <v>0</v>
      </c>
      <c r="AE225" s="46" t="n">
        <f aca="false">AC225+AD225</f>
        <v>381</v>
      </c>
      <c r="AF225" s="47" t="n">
        <f aca="false">IF(AE225&lt;=Y225,AA225,0)</f>
        <v>500</v>
      </c>
      <c r="AG225" s="46" t="n">
        <f aca="false">MIN(AC225,I225)</f>
        <v>96</v>
      </c>
      <c r="AH225" s="46" t="n">
        <f aca="false">I225-AG225</f>
        <v>0</v>
      </c>
      <c r="AI225" s="46" t="n">
        <f aca="false">AC225-AG225</f>
        <v>285</v>
      </c>
      <c r="AJ225" s="46" t="n">
        <f aca="false">IF(AH225&gt;0,1,0)</f>
        <v>0</v>
      </c>
    </row>
    <row r="226" customFormat="false" ht="15" hidden="false" customHeight="false" outlineLevel="0" collapsed="false">
      <c r="A226" s="31" t="str">
        <f aca="false">Inputs!$B$50</f>
        <v>BTH-001</v>
      </c>
      <c r="B226" s="46" t="n">
        <f aca="false">B225+1</f>
        <v>102</v>
      </c>
      <c r="C226" s="46" t="n">
        <f aca="false">MATCH(A226,Inputs!$B$40:$B$87,0)</f>
        <v>11</v>
      </c>
      <c r="D226" s="32" t="n">
        <f aca="false">INDEX(Inputs!$F$40:$F$87,C226)</f>
        <v>3</v>
      </c>
      <c r="E226" s="78" t="n">
        <f aca="false">INDEX(Inputs!$H$40:$H$87,C226)</f>
        <v>11</v>
      </c>
      <c r="F226" s="78" t="n">
        <f aca="false">INDEX(Inputs!$G$40:$G$87,C226)</f>
        <v>45</v>
      </c>
      <c r="G226" s="32" t="n">
        <f aca="false">INDEX(Inputs!$I$40:$I$87,C226)</f>
        <v>10</v>
      </c>
      <c r="H226" s="46" t="n">
        <f aca="false">MATCH(A226,Demand_History!$C:$C,0)+B226-1</f>
        <v>1143</v>
      </c>
      <c r="I226" s="32" t="n">
        <f aca="false">INDEX(Forecast_Walkforward!$C:$C,H226)</f>
        <v>99</v>
      </c>
      <c r="J226" s="79" t="n">
        <f aca="false">INDEX(Forecast_Walkforward!$E:$E,H226)</f>
        <v>113</v>
      </c>
      <c r="K226" s="33" t="n">
        <f aca="false">Baseline_Weeks*J226</f>
        <v>452</v>
      </c>
      <c r="L226" s="46" t="n">
        <f aca="false">SUMIFS(P$213:P225,$B$213:$B225,$B226-$D226)</f>
        <v>140</v>
      </c>
      <c r="M226" s="46" t="n">
        <f aca="false">S225+L226</f>
        <v>165</v>
      </c>
      <c r="N226" s="46" t="n">
        <f aca="false">SUMIFS(P$213:P225,$B$213:$B225,"&gt;"&amp;($B226-$D226))</f>
        <v>200</v>
      </c>
      <c r="O226" s="46" t="n">
        <f aca="false">M226+N226</f>
        <v>365</v>
      </c>
      <c r="P226" s="47" t="n">
        <f aca="false">IF(O226&lt;K226,ROUNDUP((K226-O226)/G226,0)*G226,0)</f>
        <v>90</v>
      </c>
      <c r="Q226" s="46" t="n">
        <f aca="false">MIN(M226,I226)</f>
        <v>99</v>
      </c>
      <c r="R226" s="46" t="n">
        <f aca="false">I226-Q226</f>
        <v>0</v>
      </c>
      <c r="S226" s="46" t="n">
        <f aca="false">M226-Q226</f>
        <v>66</v>
      </c>
      <c r="T226" s="46" t="n">
        <f aca="false">IF(R226&gt;0,1,0)</f>
        <v>0</v>
      </c>
      <c r="U226" s="32" t="n">
        <f aca="false">INDEX(Forecast!$AY$7:$AY$54,C226)</f>
        <v>3</v>
      </c>
      <c r="V226" s="33" t="n">
        <f aca="false">CHOOSE(U226,INDEX(Forecast_Walkforward!$D:$D,H226),INDEX(Forecast_Walkforward!$E:$E,H226),INDEX(Forecast_Walkforward!$F:$F,H226),INDEX(Forecast_Walkforward!$G:$G,H226))</f>
        <v>112.875</v>
      </c>
      <c r="W226" s="79" t="n">
        <f aca="false">INDEX(Forecast!$BA$7:$BA$54,C226)</f>
        <v>18.9151138723887</v>
      </c>
      <c r="X226" s="33" t="n">
        <f aca="false">Z_Value*W226*SQRT(D226)</f>
        <v>53.8885929695131</v>
      </c>
      <c r="Y226" s="33" t="n">
        <f aca="false">V226*D226+X226</f>
        <v>392.513592969513</v>
      </c>
      <c r="Z226" s="33" t="n">
        <f aca="false">SQRT((2*V226*Weeks_Per_Year*F226)/(E226*Holding_Rate))</f>
        <v>490.016233497329</v>
      </c>
      <c r="AA226" s="46" t="n">
        <f aca="false">ROUNDUP(Z226/G226,0)*G226</f>
        <v>500</v>
      </c>
      <c r="AB226" s="46" t="n">
        <f aca="false">SUMIFS(AF$213:AF225,$B$213:$B225,$B226-$D226)</f>
        <v>0</v>
      </c>
      <c r="AC226" s="46" t="n">
        <f aca="false">AI225+AB226</f>
        <v>285</v>
      </c>
      <c r="AD226" s="46" t="n">
        <f aca="false">SUMIFS(AF$213:AF225,$B$213:$B225,"&gt;"&amp;($B226-$D226))</f>
        <v>500</v>
      </c>
      <c r="AE226" s="46" t="n">
        <f aca="false">AC226+AD226</f>
        <v>785</v>
      </c>
      <c r="AF226" s="47" t="n">
        <f aca="false">IF(AE226&lt;=Y226,AA226,0)</f>
        <v>0</v>
      </c>
      <c r="AG226" s="46" t="n">
        <f aca="false">MIN(AC226,I226)</f>
        <v>99</v>
      </c>
      <c r="AH226" s="46" t="n">
        <f aca="false">I226-AG226</f>
        <v>0</v>
      </c>
      <c r="AI226" s="46" t="n">
        <f aca="false">AC226-AG226</f>
        <v>186</v>
      </c>
      <c r="AJ226" s="46" t="n">
        <f aca="false">IF(AH226&gt;0,1,0)</f>
        <v>0</v>
      </c>
    </row>
    <row r="227" customFormat="false" ht="15" hidden="false" customHeight="false" outlineLevel="0" collapsed="false">
      <c r="A227" s="31" t="str">
        <f aca="false">Inputs!$B$50</f>
        <v>BTH-001</v>
      </c>
      <c r="B227" s="46" t="n">
        <f aca="false">B226+1</f>
        <v>103</v>
      </c>
      <c r="C227" s="46" t="n">
        <f aca="false">MATCH(A227,Inputs!$B$40:$B$87,0)</f>
        <v>11</v>
      </c>
      <c r="D227" s="32" t="n">
        <f aca="false">INDEX(Inputs!$F$40:$F$87,C227)</f>
        <v>3</v>
      </c>
      <c r="E227" s="78" t="n">
        <f aca="false">INDEX(Inputs!$H$40:$H$87,C227)</f>
        <v>11</v>
      </c>
      <c r="F227" s="78" t="n">
        <f aca="false">INDEX(Inputs!$G$40:$G$87,C227)</f>
        <v>45</v>
      </c>
      <c r="G227" s="32" t="n">
        <f aca="false">INDEX(Inputs!$I$40:$I$87,C227)</f>
        <v>10</v>
      </c>
      <c r="H227" s="46" t="n">
        <f aca="false">MATCH(A227,Demand_History!$C:$C,0)+B227-1</f>
        <v>1144</v>
      </c>
      <c r="I227" s="32" t="n">
        <f aca="false">INDEX(Forecast_Walkforward!$C:$C,H227)</f>
        <v>126</v>
      </c>
      <c r="J227" s="79" t="n">
        <f aca="false">INDEX(Forecast_Walkforward!$E:$E,H227)</f>
        <v>105.25</v>
      </c>
      <c r="K227" s="33" t="n">
        <f aca="false">Baseline_Weeks*J227</f>
        <v>421</v>
      </c>
      <c r="L227" s="46" t="n">
        <f aca="false">SUMIFS(P$213:P226,$B$213:$B226,$B227-$D227)</f>
        <v>100</v>
      </c>
      <c r="M227" s="46" t="n">
        <f aca="false">S226+L227</f>
        <v>166</v>
      </c>
      <c r="N227" s="46" t="n">
        <f aca="false">SUMIFS(P$213:P226,$B$213:$B226,"&gt;"&amp;($B227-$D227))</f>
        <v>190</v>
      </c>
      <c r="O227" s="46" t="n">
        <f aca="false">M227+N227</f>
        <v>356</v>
      </c>
      <c r="P227" s="47" t="n">
        <f aca="false">IF(O227&lt;K227,ROUNDUP((K227-O227)/G227,0)*G227,0)</f>
        <v>70</v>
      </c>
      <c r="Q227" s="46" t="n">
        <f aca="false">MIN(M227,I227)</f>
        <v>126</v>
      </c>
      <c r="R227" s="46" t="n">
        <f aca="false">I227-Q227</f>
        <v>0</v>
      </c>
      <c r="S227" s="46" t="n">
        <f aca="false">M227-Q227</f>
        <v>40</v>
      </c>
      <c r="T227" s="46" t="n">
        <f aca="false">IF(R227&gt;0,1,0)</f>
        <v>0</v>
      </c>
      <c r="U227" s="32" t="n">
        <f aca="false">INDEX(Forecast!$AY$7:$AY$54,C227)</f>
        <v>3</v>
      </c>
      <c r="V227" s="33" t="n">
        <f aca="false">CHOOSE(U227,INDEX(Forecast_Walkforward!$D:$D,H227),INDEX(Forecast_Walkforward!$E:$E,H227),INDEX(Forecast_Walkforward!$F:$F,H227),INDEX(Forecast_Walkforward!$G:$G,H227))</f>
        <v>111.125</v>
      </c>
      <c r="W227" s="79" t="n">
        <f aca="false">INDEX(Forecast!$BA$7:$BA$54,C227)</f>
        <v>18.9151138723887</v>
      </c>
      <c r="X227" s="33" t="n">
        <f aca="false">Z_Value*W227*SQRT(D227)</f>
        <v>53.8885929695131</v>
      </c>
      <c r="Y227" s="33" t="n">
        <f aca="false">V227*D227+X227</f>
        <v>387.263592969513</v>
      </c>
      <c r="Z227" s="33" t="n">
        <f aca="false">SQRT((2*V227*Weeks_Per_Year*F227)/(E227*Holding_Rate))</f>
        <v>486.202819632077</v>
      </c>
      <c r="AA227" s="46" t="n">
        <f aca="false">ROUNDUP(Z227/G227,0)*G227</f>
        <v>490</v>
      </c>
      <c r="AB227" s="46" t="n">
        <f aca="false">SUMIFS(AF$213:AF226,$B$213:$B226,$B227-$D227)</f>
        <v>0</v>
      </c>
      <c r="AC227" s="46" t="n">
        <f aca="false">AI226+AB227</f>
        <v>186</v>
      </c>
      <c r="AD227" s="46" t="n">
        <f aca="false">SUMIFS(AF$213:AF226,$B$213:$B226,"&gt;"&amp;($B227-$D227))</f>
        <v>500</v>
      </c>
      <c r="AE227" s="46" t="n">
        <f aca="false">AC227+AD227</f>
        <v>686</v>
      </c>
      <c r="AF227" s="47" t="n">
        <f aca="false">IF(AE227&lt;=Y227,AA227,0)</f>
        <v>0</v>
      </c>
      <c r="AG227" s="46" t="n">
        <f aca="false">MIN(AC227,I227)</f>
        <v>126</v>
      </c>
      <c r="AH227" s="46" t="n">
        <f aca="false">I227-AG227</f>
        <v>0</v>
      </c>
      <c r="AI227" s="46" t="n">
        <f aca="false">AC227-AG227</f>
        <v>60</v>
      </c>
      <c r="AJ227" s="46" t="n">
        <f aca="false">IF(AH227&gt;0,1,0)</f>
        <v>0</v>
      </c>
    </row>
    <row r="228" customFormat="false" ht="15" hidden="false" customHeight="false" outlineLevel="0" collapsed="false">
      <c r="A228" s="80" t="str">
        <f aca="false">Inputs!$B$50</f>
        <v>BTH-001</v>
      </c>
      <c r="B228" s="81" t="n">
        <f aca="false">B227+1</f>
        <v>104</v>
      </c>
      <c r="C228" s="81" t="n">
        <f aca="false">MATCH(A228,Inputs!$B$40:$B$87,0)</f>
        <v>11</v>
      </c>
      <c r="D228" s="82" t="n">
        <f aca="false">INDEX(Inputs!$F$40:$F$87,C228)</f>
        <v>3</v>
      </c>
      <c r="E228" s="83" t="n">
        <f aca="false">INDEX(Inputs!$H$40:$H$87,C228)</f>
        <v>11</v>
      </c>
      <c r="F228" s="83" t="n">
        <f aca="false">INDEX(Inputs!$G$40:$G$87,C228)</f>
        <v>45</v>
      </c>
      <c r="G228" s="82" t="n">
        <f aca="false">INDEX(Inputs!$I$40:$I$87,C228)</f>
        <v>10</v>
      </c>
      <c r="H228" s="81" t="n">
        <f aca="false">MATCH(A228,Demand_History!$C:$C,0)+B228-1</f>
        <v>1145</v>
      </c>
      <c r="I228" s="82" t="n">
        <f aca="false">INDEX(Forecast_Walkforward!$C:$C,H228)</f>
        <v>103</v>
      </c>
      <c r="J228" s="84" t="n">
        <f aca="false">INDEX(Forecast_Walkforward!$E:$E,H228)</f>
        <v>107.5</v>
      </c>
      <c r="K228" s="85" t="n">
        <f aca="false">Baseline_Weeks*J228</f>
        <v>430</v>
      </c>
      <c r="L228" s="81" t="n">
        <f aca="false">SUMIFS(P$213:P227,$B$213:$B227,$B228-$D228)</f>
        <v>100</v>
      </c>
      <c r="M228" s="81" t="n">
        <f aca="false">S227+L228</f>
        <v>140</v>
      </c>
      <c r="N228" s="81" t="n">
        <f aca="false">SUMIFS(P$213:P227,$B$213:$B227,"&gt;"&amp;($B228-$D228))</f>
        <v>160</v>
      </c>
      <c r="O228" s="81" t="n">
        <f aca="false">M228+N228</f>
        <v>300</v>
      </c>
      <c r="P228" s="86" t="n">
        <f aca="false">IF(O228&lt;K228,ROUNDUP((K228-O228)/G228,0)*G228,0)</f>
        <v>130</v>
      </c>
      <c r="Q228" s="81" t="n">
        <f aca="false">MIN(M228,I228)</f>
        <v>103</v>
      </c>
      <c r="R228" s="81" t="n">
        <f aca="false">I228-Q228</f>
        <v>0</v>
      </c>
      <c r="S228" s="81" t="n">
        <f aca="false">M228-Q228</f>
        <v>37</v>
      </c>
      <c r="T228" s="81" t="n">
        <f aca="false">IF(R228&gt;0,1,0)</f>
        <v>0</v>
      </c>
      <c r="U228" s="82" t="n">
        <f aca="false">INDEX(Forecast!$AY$7:$AY$54,C228)</f>
        <v>3</v>
      </c>
      <c r="V228" s="85" t="n">
        <f aca="false">CHOOSE(U228,INDEX(Forecast_Walkforward!$D:$D,H228),INDEX(Forecast_Walkforward!$E:$E,H228),INDEX(Forecast_Walkforward!$F:$F,H228),INDEX(Forecast_Walkforward!$G:$G,H228))</f>
        <v>112.5</v>
      </c>
      <c r="W228" s="84" t="n">
        <f aca="false">INDEX(Forecast!$BA$7:$BA$54,C228)</f>
        <v>18.9151138723887</v>
      </c>
      <c r="X228" s="85" t="n">
        <f aca="false">Z_Value*W228*SQRT(D228)</f>
        <v>53.8885929695131</v>
      </c>
      <c r="Y228" s="85" t="n">
        <f aca="false">V228*D228+X228</f>
        <v>391.388592969513</v>
      </c>
      <c r="Z228" s="85" t="n">
        <f aca="false">SQRT((2*V228*Weeks_Per_Year*F228)/(E228*Holding_Rate))</f>
        <v>489.201575854148</v>
      </c>
      <c r="AA228" s="81" t="n">
        <f aca="false">ROUNDUP(Z228/G228,0)*G228</f>
        <v>490</v>
      </c>
      <c r="AB228" s="81" t="n">
        <f aca="false">SUMIFS(AF$213:AF227,$B$213:$B227,$B228-$D228)</f>
        <v>500</v>
      </c>
      <c r="AC228" s="81" t="n">
        <f aca="false">AI227+AB228</f>
        <v>560</v>
      </c>
      <c r="AD228" s="81" t="n">
        <f aca="false">SUMIFS(AF$213:AF227,$B$213:$B227,"&gt;"&amp;($B228-$D228))</f>
        <v>0</v>
      </c>
      <c r="AE228" s="81" t="n">
        <f aca="false">AC228+AD228</f>
        <v>560</v>
      </c>
      <c r="AF228" s="86" t="n">
        <f aca="false">IF(AE228&lt;=Y228,AA228,0)</f>
        <v>0</v>
      </c>
      <c r="AG228" s="81" t="n">
        <f aca="false">MIN(AC228,I228)</f>
        <v>103</v>
      </c>
      <c r="AH228" s="81" t="n">
        <f aca="false">I228-AG228</f>
        <v>0</v>
      </c>
      <c r="AI228" s="81" t="n">
        <f aca="false">AC228-AG228</f>
        <v>457</v>
      </c>
      <c r="AJ228" s="81" t="n">
        <f aca="false">IF(AH228&gt;0,1,0)</f>
        <v>0</v>
      </c>
    </row>
    <row r="229" customFormat="false" ht="15" hidden="false" customHeight="false" outlineLevel="0" collapsed="false">
      <c r="A229" s="31" t="str">
        <f aca="false">Inputs!$B$51</f>
        <v>BTH-002</v>
      </c>
      <c r="B229" s="46" t="n">
        <f aca="false">BT_Start_Week</f>
        <v>89</v>
      </c>
      <c r="C229" s="46" t="n">
        <f aca="false">MATCH(A229,Inputs!$B$40:$B$87,0)</f>
        <v>12</v>
      </c>
      <c r="D229" s="32" t="n">
        <f aca="false">INDEX(Inputs!$F$40:$F$87,C229)</f>
        <v>3</v>
      </c>
      <c r="E229" s="78" t="n">
        <f aca="false">INDEX(Inputs!$H$40:$H$87,C229)</f>
        <v>6</v>
      </c>
      <c r="F229" s="78" t="n">
        <f aca="false">INDEX(Inputs!$G$40:$G$87,C229)</f>
        <v>45</v>
      </c>
      <c r="G229" s="32" t="n">
        <f aca="false">INDEX(Inputs!$I$40:$I$87,C229)</f>
        <v>20</v>
      </c>
      <c r="H229" s="46" t="n">
        <f aca="false">MATCH(A229,Demand_History!$C:$C,0)+B229-1</f>
        <v>1234</v>
      </c>
      <c r="I229" s="32" t="n">
        <f aca="false">INDEX(Forecast_Walkforward!$C:$C,H229)</f>
        <v>145</v>
      </c>
      <c r="J229" s="79" t="n">
        <f aca="false">INDEX(Forecast_Walkforward!$E:$E,H229)</f>
        <v>153.75</v>
      </c>
      <c r="K229" s="33" t="n">
        <f aca="false">Baseline_Weeks*J229</f>
        <v>615</v>
      </c>
      <c r="L229" s="46" t="n">
        <f aca="false">0</f>
        <v>0</v>
      </c>
      <c r="M229" s="46" t="n">
        <f aca="false">ROUND(BT_Open_Cover*INDEX(Forecast_Walkforward!$F:$F,H229),0)+L229</f>
        <v>924</v>
      </c>
      <c r="N229" s="46" t="n">
        <f aca="false">0</f>
        <v>0</v>
      </c>
      <c r="O229" s="46" t="n">
        <f aca="false">M229+N229</f>
        <v>924</v>
      </c>
      <c r="P229" s="47" t="n">
        <f aca="false">IF(O229&lt;K229,ROUNDUP((K229-O229)/G229,0)*G229,0)</f>
        <v>0</v>
      </c>
      <c r="Q229" s="46" t="n">
        <f aca="false">MIN(M229,I229)</f>
        <v>145</v>
      </c>
      <c r="R229" s="46" t="n">
        <f aca="false">I229-Q229</f>
        <v>0</v>
      </c>
      <c r="S229" s="46" t="n">
        <f aca="false">M229-Q229</f>
        <v>779</v>
      </c>
      <c r="T229" s="46" t="n">
        <f aca="false">IF(R229&gt;0,1,0)</f>
        <v>0</v>
      </c>
      <c r="U229" s="32" t="n">
        <f aca="false">INDEX(Forecast!$AY$7:$AY$54,C229)</f>
        <v>2</v>
      </c>
      <c r="V229" s="33" t="n">
        <f aca="false">CHOOSE(U229,INDEX(Forecast_Walkforward!$D:$D,H229),INDEX(Forecast_Walkforward!$E:$E,H229),INDEX(Forecast_Walkforward!$F:$F,H229),INDEX(Forecast_Walkforward!$G:$G,H229))</f>
        <v>153.75</v>
      </c>
      <c r="W229" s="79" t="n">
        <f aca="false">INDEX(Forecast!$BA$7:$BA$54,C229)</f>
        <v>14.7888704790207</v>
      </c>
      <c r="X229" s="33" t="n">
        <f aca="false">Z_Value*W229*SQRT(D229)</f>
        <v>42.1330491108564</v>
      </c>
      <c r="Y229" s="33" t="n">
        <f aca="false">V229*D229+X229</f>
        <v>503.383049110856</v>
      </c>
      <c r="Z229" s="33" t="n">
        <f aca="false">SQRT((2*V229*Weeks_Per_Year*F229)/(E229*Holding_Rate))</f>
        <v>774.354569948418</v>
      </c>
      <c r="AA229" s="46" t="n">
        <f aca="false">ROUNDUP(Z229/G229,0)*G229</f>
        <v>780</v>
      </c>
      <c r="AB229" s="46" t="n">
        <f aca="false">0</f>
        <v>0</v>
      </c>
      <c r="AC229" s="46" t="n">
        <f aca="false">ROUND(BT_Open_Cover*INDEX(Forecast_Walkforward!$F:$F,H229),0)+AB229</f>
        <v>924</v>
      </c>
      <c r="AD229" s="46" t="n">
        <f aca="false">0</f>
        <v>0</v>
      </c>
      <c r="AE229" s="46" t="n">
        <f aca="false">AC229+AD229</f>
        <v>924</v>
      </c>
      <c r="AF229" s="47" t="n">
        <f aca="false">IF(AE229&lt;=Y229,AA229,0)</f>
        <v>0</v>
      </c>
      <c r="AG229" s="46" t="n">
        <f aca="false">MIN(AC229,I229)</f>
        <v>145</v>
      </c>
      <c r="AH229" s="46" t="n">
        <f aca="false">I229-AG229</f>
        <v>0</v>
      </c>
      <c r="AI229" s="46" t="n">
        <f aca="false">AC229-AG229</f>
        <v>779</v>
      </c>
      <c r="AJ229" s="46" t="n">
        <f aca="false">IF(AH229&gt;0,1,0)</f>
        <v>0</v>
      </c>
    </row>
    <row r="230" customFormat="false" ht="15" hidden="false" customHeight="false" outlineLevel="0" collapsed="false">
      <c r="A230" s="31" t="str">
        <f aca="false">Inputs!$B$51</f>
        <v>BTH-002</v>
      </c>
      <c r="B230" s="46" t="n">
        <f aca="false">B229+1</f>
        <v>90</v>
      </c>
      <c r="C230" s="46" t="n">
        <f aca="false">MATCH(A230,Inputs!$B$40:$B$87,0)</f>
        <v>12</v>
      </c>
      <c r="D230" s="32" t="n">
        <f aca="false">INDEX(Inputs!$F$40:$F$87,C230)</f>
        <v>3</v>
      </c>
      <c r="E230" s="78" t="n">
        <f aca="false">INDEX(Inputs!$H$40:$H$87,C230)</f>
        <v>6</v>
      </c>
      <c r="F230" s="78" t="n">
        <f aca="false">INDEX(Inputs!$G$40:$G$87,C230)</f>
        <v>45</v>
      </c>
      <c r="G230" s="32" t="n">
        <f aca="false">INDEX(Inputs!$I$40:$I$87,C230)</f>
        <v>20</v>
      </c>
      <c r="H230" s="46" t="n">
        <f aca="false">MATCH(A230,Demand_History!$C:$C,0)+B230-1</f>
        <v>1235</v>
      </c>
      <c r="I230" s="32" t="n">
        <f aca="false">INDEX(Forecast_Walkforward!$C:$C,H230)</f>
        <v>129</v>
      </c>
      <c r="J230" s="79" t="n">
        <f aca="false">INDEX(Forecast_Walkforward!$E:$E,H230)</f>
        <v>152.75</v>
      </c>
      <c r="K230" s="33" t="n">
        <f aca="false">Baseline_Weeks*J230</f>
        <v>611</v>
      </c>
      <c r="L230" s="46" t="n">
        <f aca="false">SUMIFS(P$229:P229,$B$229:$B229,$B230-$D230)</f>
        <v>0</v>
      </c>
      <c r="M230" s="46" t="n">
        <f aca="false">S229+L230</f>
        <v>779</v>
      </c>
      <c r="N230" s="46" t="n">
        <f aca="false">SUMIFS(P$229:P229,$B$229:$B229,"&gt;"&amp;($B230-$D230))</f>
        <v>0</v>
      </c>
      <c r="O230" s="46" t="n">
        <f aca="false">M230+N230</f>
        <v>779</v>
      </c>
      <c r="P230" s="47" t="n">
        <f aca="false">IF(O230&lt;K230,ROUNDUP((K230-O230)/G230,0)*G230,0)</f>
        <v>0</v>
      </c>
      <c r="Q230" s="46" t="n">
        <f aca="false">MIN(M230,I230)</f>
        <v>129</v>
      </c>
      <c r="R230" s="46" t="n">
        <f aca="false">I230-Q230</f>
        <v>0</v>
      </c>
      <c r="S230" s="46" t="n">
        <f aca="false">M230-Q230</f>
        <v>650</v>
      </c>
      <c r="T230" s="46" t="n">
        <f aca="false">IF(R230&gt;0,1,0)</f>
        <v>0</v>
      </c>
      <c r="U230" s="32" t="n">
        <f aca="false">INDEX(Forecast!$AY$7:$AY$54,C230)</f>
        <v>2</v>
      </c>
      <c r="V230" s="33" t="n">
        <f aca="false">CHOOSE(U230,INDEX(Forecast_Walkforward!$D:$D,H230),INDEX(Forecast_Walkforward!$E:$E,H230),INDEX(Forecast_Walkforward!$F:$F,H230),INDEX(Forecast_Walkforward!$G:$G,H230))</f>
        <v>152.75</v>
      </c>
      <c r="W230" s="79" t="n">
        <f aca="false">INDEX(Forecast!$BA$7:$BA$54,C230)</f>
        <v>14.7888704790207</v>
      </c>
      <c r="X230" s="33" t="n">
        <f aca="false">Z_Value*W230*SQRT(D230)</f>
        <v>42.1330491108564</v>
      </c>
      <c r="Y230" s="33" t="n">
        <f aca="false">V230*D230+X230</f>
        <v>500.383049110856</v>
      </c>
      <c r="Z230" s="33" t="n">
        <f aca="false">SQRT((2*V230*Weeks_Per_Year*F230)/(E230*Holding_Rate))</f>
        <v>771.832235657465</v>
      </c>
      <c r="AA230" s="46" t="n">
        <f aca="false">ROUNDUP(Z230/G230,0)*G230</f>
        <v>780</v>
      </c>
      <c r="AB230" s="46" t="n">
        <f aca="false">SUMIFS(AF$229:AF229,$B$229:$B229,$B230-$D230)</f>
        <v>0</v>
      </c>
      <c r="AC230" s="46" t="n">
        <f aca="false">AI229+AB230</f>
        <v>779</v>
      </c>
      <c r="AD230" s="46" t="n">
        <f aca="false">SUMIFS(AF$229:AF229,$B$229:$B229,"&gt;"&amp;($B230-$D230))</f>
        <v>0</v>
      </c>
      <c r="AE230" s="46" t="n">
        <f aca="false">AC230+AD230</f>
        <v>779</v>
      </c>
      <c r="AF230" s="47" t="n">
        <f aca="false">IF(AE230&lt;=Y230,AA230,0)</f>
        <v>0</v>
      </c>
      <c r="AG230" s="46" t="n">
        <f aca="false">MIN(AC230,I230)</f>
        <v>129</v>
      </c>
      <c r="AH230" s="46" t="n">
        <f aca="false">I230-AG230</f>
        <v>0</v>
      </c>
      <c r="AI230" s="46" t="n">
        <f aca="false">AC230-AG230</f>
        <v>650</v>
      </c>
      <c r="AJ230" s="46" t="n">
        <f aca="false">IF(AH230&gt;0,1,0)</f>
        <v>0</v>
      </c>
    </row>
    <row r="231" customFormat="false" ht="15" hidden="false" customHeight="false" outlineLevel="0" collapsed="false">
      <c r="A231" s="31" t="str">
        <f aca="false">Inputs!$B$51</f>
        <v>BTH-002</v>
      </c>
      <c r="B231" s="46" t="n">
        <f aca="false">B230+1</f>
        <v>91</v>
      </c>
      <c r="C231" s="46" t="n">
        <f aca="false">MATCH(A231,Inputs!$B$40:$B$87,0)</f>
        <v>12</v>
      </c>
      <c r="D231" s="32" t="n">
        <f aca="false">INDEX(Inputs!$F$40:$F$87,C231)</f>
        <v>3</v>
      </c>
      <c r="E231" s="78" t="n">
        <f aca="false">INDEX(Inputs!$H$40:$H$87,C231)</f>
        <v>6</v>
      </c>
      <c r="F231" s="78" t="n">
        <f aca="false">INDEX(Inputs!$G$40:$G$87,C231)</f>
        <v>45</v>
      </c>
      <c r="G231" s="32" t="n">
        <f aca="false">INDEX(Inputs!$I$40:$I$87,C231)</f>
        <v>20</v>
      </c>
      <c r="H231" s="46" t="n">
        <f aca="false">MATCH(A231,Demand_History!$C:$C,0)+B231-1</f>
        <v>1236</v>
      </c>
      <c r="I231" s="32" t="n">
        <f aca="false">INDEX(Forecast_Walkforward!$C:$C,H231)</f>
        <v>152</v>
      </c>
      <c r="J231" s="79" t="n">
        <f aca="false">INDEX(Forecast_Walkforward!$E:$E,H231)</f>
        <v>144</v>
      </c>
      <c r="K231" s="33" t="n">
        <f aca="false">Baseline_Weeks*J231</f>
        <v>576</v>
      </c>
      <c r="L231" s="46" t="n">
        <f aca="false">SUMIFS(P$229:P230,$B$229:$B230,$B231-$D231)</f>
        <v>0</v>
      </c>
      <c r="M231" s="46" t="n">
        <f aca="false">S230+L231</f>
        <v>650</v>
      </c>
      <c r="N231" s="46" t="n">
        <f aca="false">SUMIFS(P$229:P230,$B$229:$B230,"&gt;"&amp;($B231-$D231))</f>
        <v>0</v>
      </c>
      <c r="O231" s="46" t="n">
        <f aca="false">M231+N231</f>
        <v>650</v>
      </c>
      <c r="P231" s="47" t="n">
        <f aca="false">IF(O231&lt;K231,ROUNDUP((K231-O231)/G231,0)*G231,0)</f>
        <v>0</v>
      </c>
      <c r="Q231" s="46" t="n">
        <f aca="false">MIN(M231,I231)</f>
        <v>152</v>
      </c>
      <c r="R231" s="46" t="n">
        <f aca="false">I231-Q231</f>
        <v>0</v>
      </c>
      <c r="S231" s="46" t="n">
        <f aca="false">M231-Q231</f>
        <v>498</v>
      </c>
      <c r="T231" s="46" t="n">
        <f aca="false">IF(R231&gt;0,1,0)</f>
        <v>0</v>
      </c>
      <c r="U231" s="32" t="n">
        <f aca="false">INDEX(Forecast!$AY$7:$AY$54,C231)</f>
        <v>2</v>
      </c>
      <c r="V231" s="33" t="n">
        <f aca="false">CHOOSE(U231,INDEX(Forecast_Walkforward!$D:$D,H231),INDEX(Forecast_Walkforward!$E:$E,H231),INDEX(Forecast_Walkforward!$F:$F,H231),INDEX(Forecast_Walkforward!$G:$G,H231))</f>
        <v>144</v>
      </c>
      <c r="W231" s="79" t="n">
        <f aca="false">INDEX(Forecast!$BA$7:$BA$54,C231)</f>
        <v>14.7888704790207</v>
      </c>
      <c r="X231" s="33" t="n">
        <f aca="false">Z_Value*W231*SQRT(D231)</f>
        <v>42.1330491108564</v>
      </c>
      <c r="Y231" s="33" t="n">
        <f aca="false">V231*D231+X231</f>
        <v>474.133049110856</v>
      </c>
      <c r="Z231" s="33" t="n">
        <f aca="false">SQRT((2*V231*Weeks_Per_Year*F231)/(E231*Holding_Rate))</f>
        <v>749.399759807808</v>
      </c>
      <c r="AA231" s="46" t="n">
        <f aca="false">ROUNDUP(Z231/G231,0)*G231</f>
        <v>760</v>
      </c>
      <c r="AB231" s="46" t="n">
        <f aca="false">SUMIFS(AF$229:AF230,$B$229:$B230,$B231-$D231)</f>
        <v>0</v>
      </c>
      <c r="AC231" s="46" t="n">
        <f aca="false">AI230+AB231</f>
        <v>650</v>
      </c>
      <c r="AD231" s="46" t="n">
        <f aca="false">SUMIFS(AF$229:AF230,$B$229:$B230,"&gt;"&amp;($B231-$D231))</f>
        <v>0</v>
      </c>
      <c r="AE231" s="46" t="n">
        <f aca="false">AC231+AD231</f>
        <v>650</v>
      </c>
      <c r="AF231" s="47" t="n">
        <f aca="false">IF(AE231&lt;=Y231,AA231,0)</f>
        <v>0</v>
      </c>
      <c r="AG231" s="46" t="n">
        <f aca="false">MIN(AC231,I231)</f>
        <v>152</v>
      </c>
      <c r="AH231" s="46" t="n">
        <f aca="false">I231-AG231</f>
        <v>0</v>
      </c>
      <c r="AI231" s="46" t="n">
        <f aca="false">AC231-AG231</f>
        <v>498</v>
      </c>
      <c r="AJ231" s="46" t="n">
        <f aca="false">IF(AH231&gt;0,1,0)</f>
        <v>0</v>
      </c>
    </row>
    <row r="232" customFormat="false" ht="15" hidden="false" customHeight="false" outlineLevel="0" collapsed="false">
      <c r="A232" s="31" t="str">
        <f aca="false">Inputs!$B$51</f>
        <v>BTH-002</v>
      </c>
      <c r="B232" s="46" t="n">
        <f aca="false">B231+1</f>
        <v>92</v>
      </c>
      <c r="C232" s="46" t="n">
        <f aca="false">MATCH(A232,Inputs!$B$40:$B$87,0)</f>
        <v>12</v>
      </c>
      <c r="D232" s="32" t="n">
        <f aca="false">INDEX(Inputs!$F$40:$F$87,C232)</f>
        <v>3</v>
      </c>
      <c r="E232" s="78" t="n">
        <f aca="false">INDEX(Inputs!$H$40:$H$87,C232)</f>
        <v>6</v>
      </c>
      <c r="F232" s="78" t="n">
        <f aca="false">INDEX(Inputs!$G$40:$G$87,C232)</f>
        <v>45</v>
      </c>
      <c r="G232" s="32" t="n">
        <f aca="false">INDEX(Inputs!$I$40:$I$87,C232)</f>
        <v>20</v>
      </c>
      <c r="H232" s="46" t="n">
        <f aca="false">MATCH(A232,Demand_History!$C:$C,0)+B232-1</f>
        <v>1237</v>
      </c>
      <c r="I232" s="32" t="n">
        <f aca="false">INDEX(Forecast_Walkforward!$C:$C,H232)</f>
        <v>148</v>
      </c>
      <c r="J232" s="79" t="n">
        <f aca="false">INDEX(Forecast_Walkforward!$E:$E,H232)</f>
        <v>139.75</v>
      </c>
      <c r="K232" s="33" t="n">
        <f aca="false">Baseline_Weeks*J232</f>
        <v>559</v>
      </c>
      <c r="L232" s="46" t="n">
        <f aca="false">SUMIFS(P$229:P231,$B$229:$B231,$B232-$D232)</f>
        <v>0</v>
      </c>
      <c r="M232" s="46" t="n">
        <f aca="false">S231+L232</f>
        <v>498</v>
      </c>
      <c r="N232" s="46" t="n">
        <f aca="false">SUMIFS(P$229:P231,$B$229:$B231,"&gt;"&amp;($B232-$D232))</f>
        <v>0</v>
      </c>
      <c r="O232" s="46" t="n">
        <f aca="false">M232+N232</f>
        <v>498</v>
      </c>
      <c r="P232" s="47" t="n">
        <f aca="false">IF(O232&lt;K232,ROUNDUP((K232-O232)/G232,0)*G232,0)</f>
        <v>80</v>
      </c>
      <c r="Q232" s="46" t="n">
        <f aca="false">MIN(M232,I232)</f>
        <v>148</v>
      </c>
      <c r="R232" s="46" t="n">
        <f aca="false">I232-Q232</f>
        <v>0</v>
      </c>
      <c r="S232" s="46" t="n">
        <f aca="false">M232-Q232</f>
        <v>350</v>
      </c>
      <c r="T232" s="46" t="n">
        <f aca="false">IF(R232&gt;0,1,0)</f>
        <v>0</v>
      </c>
      <c r="U232" s="32" t="n">
        <f aca="false">INDEX(Forecast!$AY$7:$AY$54,C232)</f>
        <v>2</v>
      </c>
      <c r="V232" s="33" t="n">
        <f aca="false">CHOOSE(U232,INDEX(Forecast_Walkforward!$D:$D,H232),INDEX(Forecast_Walkforward!$E:$E,H232),INDEX(Forecast_Walkforward!$F:$F,H232),INDEX(Forecast_Walkforward!$G:$G,H232))</f>
        <v>139.75</v>
      </c>
      <c r="W232" s="79" t="n">
        <f aca="false">INDEX(Forecast!$BA$7:$BA$54,C232)</f>
        <v>14.7888704790207</v>
      </c>
      <c r="X232" s="33" t="n">
        <f aca="false">Z_Value*W232*SQRT(D232)</f>
        <v>42.1330491108564</v>
      </c>
      <c r="Y232" s="33" t="n">
        <f aca="false">V232*D232+X232</f>
        <v>461.383049110856</v>
      </c>
      <c r="Z232" s="33" t="n">
        <f aca="false">SQRT((2*V232*Weeks_Per_Year*F232)/(E232*Holding_Rate))</f>
        <v>738.258084954035</v>
      </c>
      <c r="AA232" s="46" t="n">
        <f aca="false">ROUNDUP(Z232/G232,0)*G232</f>
        <v>740</v>
      </c>
      <c r="AB232" s="46" t="n">
        <f aca="false">SUMIFS(AF$229:AF231,$B$229:$B231,$B232-$D232)</f>
        <v>0</v>
      </c>
      <c r="AC232" s="46" t="n">
        <f aca="false">AI231+AB232</f>
        <v>498</v>
      </c>
      <c r="AD232" s="46" t="n">
        <f aca="false">SUMIFS(AF$229:AF231,$B$229:$B231,"&gt;"&amp;($B232-$D232))</f>
        <v>0</v>
      </c>
      <c r="AE232" s="46" t="n">
        <f aca="false">AC232+AD232</f>
        <v>498</v>
      </c>
      <c r="AF232" s="47" t="n">
        <f aca="false">IF(AE232&lt;=Y232,AA232,0)</f>
        <v>0</v>
      </c>
      <c r="AG232" s="46" t="n">
        <f aca="false">MIN(AC232,I232)</f>
        <v>148</v>
      </c>
      <c r="AH232" s="46" t="n">
        <f aca="false">I232-AG232</f>
        <v>0</v>
      </c>
      <c r="AI232" s="46" t="n">
        <f aca="false">AC232-AG232</f>
        <v>350</v>
      </c>
      <c r="AJ232" s="46" t="n">
        <f aca="false">IF(AH232&gt;0,1,0)</f>
        <v>0</v>
      </c>
    </row>
    <row r="233" customFormat="false" ht="15" hidden="false" customHeight="false" outlineLevel="0" collapsed="false">
      <c r="A233" s="31" t="str">
        <f aca="false">Inputs!$B$51</f>
        <v>BTH-002</v>
      </c>
      <c r="B233" s="46" t="n">
        <f aca="false">B232+1</f>
        <v>93</v>
      </c>
      <c r="C233" s="46" t="n">
        <f aca="false">MATCH(A233,Inputs!$B$40:$B$87,0)</f>
        <v>12</v>
      </c>
      <c r="D233" s="32" t="n">
        <f aca="false">INDEX(Inputs!$F$40:$F$87,C233)</f>
        <v>3</v>
      </c>
      <c r="E233" s="78" t="n">
        <f aca="false">INDEX(Inputs!$H$40:$H$87,C233)</f>
        <v>6</v>
      </c>
      <c r="F233" s="78" t="n">
        <f aca="false">INDEX(Inputs!$G$40:$G$87,C233)</f>
        <v>45</v>
      </c>
      <c r="G233" s="32" t="n">
        <f aca="false">INDEX(Inputs!$I$40:$I$87,C233)</f>
        <v>20</v>
      </c>
      <c r="H233" s="46" t="n">
        <f aca="false">MATCH(A233,Demand_History!$C:$C,0)+B233-1</f>
        <v>1238</v>
      </c>
      <c r="I233" s="32" t="n">
        <f aca="false">INDEX(Forecast_Walkforward!$C:$C,H233)</f>
        <v>145</v>
      </c>
      <c r="J233" s="79" t="n">
        <f aca="false">INDEX(Forecast_Walkforward!$E:$E,H233)</f>
        <v>143.5</v>
      </c>
      <c r="K233" s="33" t="n">
        <f aca="false">Baseline_Weeks*J233</f>
        <v>574</v>
      </c>
      <c r="L233" s="46" t="n">
        <f aca="false">SUMIFS(P$229:P232,$B$229:$B232,$B233-$D233)</f>
        <v>0</v>
      </c>
      <c r="M233" s="46" t="n">
        <f aca="false">S232+L233</f>
        <v>350</v>
      </c>
      <c r="N233" s="46" t="n">
        <f aca="false">SUMIFS(P$229:P232,$B$229:$B232,"&gt;"&amp;($B233-$D233))</f>
        <v>80</v>
      </c>
      <c r="O233" s="46" t="n">
        <f aca="false">M233+N233</f>
        <v>430</v>
      </c>
      <c r="P233" s="47" t="n">
        <f aca="false">IF(O233&lt;K233,ROUNDUP((K233-O233)/G233,0)*G233,0)</f>
        <v>160</v>
      </c>
      <c r="Q233" s="46" t="n">
        <f aca="false">MIN(M233,I233)</f>
        <v>145</v>
      </c>
      <c r="R233" s="46" t="n">
        <f aca="false">I233-Q233</f>
        <v>0</v>
      </c>
      <c r="S233" s="46" t="n">
        <f aca="false">M233-Q233</f>
        <v>205</v>
      </c>
      <c r="T233" s="46" t="n">
        <f aca="false">IF(R233&gt;0,1,0)</f>
        <v>0</v>
      </c>
      <c r="U233" s="32" t="n">
        <f aca="false">INDEX(Forecast!$AY$7:$AY$54,C233)</f>
        <v>2</v>
      </c>
      <c r="V233" s="33" t="n">
        <f aca="false">CHOOSE(U233,INDEX(Forecast_Walkforward!$D:$D,H233),INDEX(Forecast_Walkforward!$E:$E,H233),INDEX(Forecast_Walkforward!$F:$F,H233),INDEX(Forecast_Walkforward!$G:$G,H233))</f>
        <v>143.5</v>
      </c>
      <c r="W233" s="79" t="n">
        <f aca="false">INDEX(Forecast!$BA$7:$BA$54,C233)</f>
        <v>14.7888704790207</v>
      </c>
      <c r="X233" s="33" t="n">
        <f aca="false">Z_Value*W233*SQRT(D233)</f>
        <v>42.1330491108564</v>
      </c>
      <c r="Y233" s="33" t="n">
        <f aca="false">V233*D233+X233</f>
        <v>472.633049110856</v>
      </c>
      <c r="Z233" s="33" t="n">
        <f aca="false">SQRT((2*V233*Weeks_Per_Year*F233)/(E233*Holding_Rate))</f>
        <v>748.097587217069</v>
      </c>
      <c r="AA233" s="46" t="n">
        <f aca="false">ROUNDUP(Z233/G233,0)*G233</f>
        <v>760</v>
      </c>
      <c r="AB233" s="46" t="n">
        <f aca="false">SUMIFS(AF$229:AF232,$B$229:$B232,$B233-$D233)</f>
        <v>0</v>
      </c>
      <c r="AC233" s="46" t="n">
        <f aca="false">AI232+AB233</f>
        <v>350</v>
      </c>
      <c r="AD233" s="46" t="n">
        <f aca="false">SUMIFS(AF$229:AF232,$B$229:$B232,"&gt;"&amp;($B233-$D233))</f>
        <v>0</v>
      </c>
      <c r="AE233" s="46" t="n">
        <f aca="false">AC233+AD233</f>
        <v>350</v>
      </c>
      <c r="AF233" s="47" t="n">
        <f aca="false">IF(AE233&lt;=Y233,AA233,0)</f>
        <v>760</v>
      </c>
      <c r="AG233" s="46" t="n">
        <f aca="false">MIN(AC233,I233)</f>
        <v>145</v>
      </c>
      <c r="AH233" s="46" t="n">
        <f aca="false">I233-AG233</f>
        <v>0</v>
      </c>
      <c r="AI233" s="46" t="n">
        <f aca="false">AC233-AG233</f>
        <v>205</v>
      </c>
      <c r="AJ233" s="46" t="n">
        <f aca="false">IF(AH233&gt;0,1,0)</f>
        <v>0</v>
      </c>
    </row>
    <row r="234" customFormat="false" ht="15" hidden="false" customHeight="false" outlineLevel="0" collapsed="false">
      <c r="A234" s="31" t="str">
        <f aca="false">Inputs!$B$51</f>
        <v>BTH-002</v>
      </c>
      <c r="B234" s="46" t="n">
        <f aca="false">B233+1</f>
        <v>94</v>
      </c>
      <c r="C234" s="46" t="n">
        <f aca="false">MATCH(A234,Inputs!$B$40:$B$87,0)</f>
        <v>12</v>
      </c>
      <c r="D234" s="32" t="n">
        <f aca="false">INDEX(Inputs!$F$40:$F$87,C234)</f>
        <v>3</v>
      </c>
      <c r="E234" s="78" t="n">
        <f aca="false">INDEX(Inputs!$H$40:$H$87,C234)</f>
        <v>6</v>
      </c>
      <c r="F234" s="78" t="n">
        <f aca="false">INDEX(Inputs!$G$40:$G$87,C234)</f>
        <v>45</v>
      </c>
      <c r="G234" s="32" t="n">
        <f aca="false">INDEX(Inputs!$I$40:$I$87,C234)</f>
        <v>20</v>
      </c>
      <c r="H234" s="46" t="n">
        <f aca="false">MATCH(A234,Demand_History!$C:$C,0)+B234-1</f>
        <v>1239</v>
      </c>
      <c r="I234" s="32" t="n">
        <f aca="false">INDEX(Forecast_Walkforward!$C:$C,H234)</f>
        <v>140</v>
      </c>
      <c r="J234" s="79" t="n">
        <f aca="false">INDEX(Forecast_Walkforward!$E:$E,H234)</f>
        <v>143.5</v>
      </c>
      <c r="K234" s="33" t="n">
        <f aca="false">Baseline_Weeks*J234</f>
        <v>574</v>
      </c>
      <c r="L234" s="46" t="n">
        <f aca="false">SUMIFS(P$229:P233,$B$229:$B233,$B234-$D234)</f>
        <v>0</v>
      </c>
      <c r="M234" s="46" t="n">
        <f aca="false">S233+L234</f>
        <v>205</v>
      </c>
      <c r="N234" s="46" t="n">
        <f aca="false">SUMIFS(P$229:P233,$B$229:$B233,"&gt;"&amp;($B234-$D234))</f>
        <v>240</v>
      </c>
      <c r="O234" s="46" t="n">
        <f aca="false">M234+N234</f>
        <v>445</v>
      </c>
      <c r="P234" s="47" t="n">
        <f aca="false">IF(O234&lt;K234,ROUNDUP((K234-O234)/G234,0)*G234,0)</f>
        <v>140</v>
      </c>
      <c r="Q234" s="46" t="n">
        <f aca="false">MIN(M234,I234)</f>
        <v>140</v>
      </c>
      <c r="R234" s="46" t="n">
        <f aca="false">I234-Q234</f>
        <v>0</v>
      </c>
      <c r="S234" s="46" t="n">
        <f aca="false">M234-Q234</f>
        <v>65</v>
      </c>
      <c r="T234" s="46" t="n">
        <f aca="false">IF(R234&gt;0,1,0)</f>
        <v>0</v>
      </c>
      <c r="U234" s="32" t="n">
        <f aca="false">INDEX(Forecast!$AY$7:$AY$54,C234)</f>
        <v>2</v>
      </c>
      <c r="V234" s="33" t="n">
        <f aca="false">CHOOSE(U234,INDEX(Forecast_Walkforward!$D:$D,H234),INDEX(Forecast_Walkforward!$E:$E,H234),INDEX(Forecast_Walkforward!$F:$F,H234),INDEX(Forecast_Walkforward!$G:$G,H234))</f>
        <v>143.5</v>
      </c>
      <c r="W234" s="79" t="n">
        <f aca="false">INDEX(Forecast!$BA$7:$BA$54,C234)</f>
        <v>14.7888704790207</v>
      </c>
      <c r="X234" s="33" t="n">
        <f aca="false">Z_Value*W234*SQRT(D234)</f>
        <v>42.1330491108564</v>
      </c>
      <c r="Y234" s="33" t="n">
        <f aca="false">V234*D234+X234</f>
        <v>472.633049110856</v>
      </c>
      <c r="Z234" s="33" t="n">
        <f aca="false">SQRT((2*V234*Weeks_Per_Year*F234)/(E234*Holding_Rate))</f>
        <v>748.097587217069</v>
      </c>
      <c r="AA234" s="46" t="n">
        <f aca="false">ROUNDUP(Z234/G234,0)*G234</f>
        <v>760</v>
      </c>
      <c r="AB234" s="46" t="n">
        <f aca="false">SUMIFS(AF$229:AF233,$B$229:$B233,$B234-$D234)</f>
        <v>0</v>
      </c>
      <c r="AC234" s="46" t="n">
        <f aca="false">AI233+AB234</f>
        <v>205</v>
      </c>
      <c r="AD234" s="46" t="n">
        <f aca="false">SUMIFS(AF$229:AF233,$B$229:$B233,"&gt;"&amp;($B234-$D234))</f>
        <v>760</v>
      </c>
      <c r="AE234" s="46" t="n">
        <f aca="false">AC234+AD234</f>
        <v>965</v>
      </c>
      <c r="AF234" s="47" t="n">
        <f aca="false">IF(AE234&lt;=Y234,AA234,0)</f>
        <v>0</v>
      </c>
      <c r="AG234" s="46" t="n">
        <f aca="false">MIN(AC234,I234)</f>
        <v>140</v>
      </c>
      <c r="AH234" s="46" t="n">
        <f aca="false">I234-AG234</f>
        <v>0</v>
      </c>
      <c r="AI234" s="46" t="n">
        <f aca="false">AC234-AG234</f>
        <v>65</v>
      </c>
      <c r="AJ234" s="46" t="n">
        <f aca="false">IF(AH234&gt;0,1,0)</f>
        <v>0</v>
      </c>
    </row>
    <row r="235" customFormat="false" ht="15" hidden="false" customHeight="false" outlineLevel="0" collapsed="false">
      <c r="A235" s="31" t="str">
        <f aca="false">Inputs!$B$51</f>
        <v>BTH-002</v>
      </c>
      <c r="B235" s="46" t="n">
        <f aca="false">B234+1</f>
        <v>95</v>
      </c>
      <c r="C235" s="46" t="n">
        <f aca="false">MATCH(A235,Inputs!$B$40:$B$87,0)</f>
        <v>12</v>
      </c>
      <c r="D235" s="32" t="n">
        <f aca="false">INDEX(Inputs!$F$40:$F$87,C235)</f>
        <v>3</v>
      </c>
      <c r="E235" s="78" t="n">
        <f aca="false">INDEX(Inputs!$H$40:$H$87,C235)</f>
        <v>6</v>
      </c>
      <c r="F235" s="78" t="n">
        <f aca="false">INDEX(Inputs!$G$40:$G$87,C235)</f>
        <v>45</v>
      </c>
      <c r="G235" s="32" t="n">
        <f aca="false">INDEX(Inputs!$I$40:$I$87,C235)</f>
        <v>20</v>
      </c>
      <c r="H235" s="46" t="n">
        <f aca="false">MATCH(A235,Demand_History!$C:$C,0)+B235-1</f>
        <v>1240</v>
      </c>
      <c r="I235" s="32" t="n">
        <f aca="false">INDEX(Forecast_Walkforward!$C:$C,H235)</f>
        <v>144</v>
      </c>
      <c r="J235" s="79" t="n">
        <f aca="false">INDEX(Forecast_Walkforward!$E:$E,H235)</f>
        <v>146.25</v>
      </c>
      <c r="K235" s="33" t="n">
        <f aca="false">Baseline_Weeks*J235</f>
        <v>585</v>
      </c>
      <c r="L235" s="46" t="n">
        <f aca="false">SUMIFS(P$229:P234,$B$229:$B234,$B235-$D235)</f>
        <v>80</v>
      </c>
      <c r="M235" s="46" t="n">
        <f aca="false">S234+L235</f>
        <v>145</v>
      </c>
      <c r="N235" s="46" t="n">
        <f aca="false">SUMIFS(P$229:P234,$B$229:$B234,"&gt;"&amp;($B235-$D235))</f>
        <v>300</v>
      </c>
      <c r="O235" s="46" t="n">
        <f aca="false">M235+N235</f>
        <v>445</v>
      </c>
      <c r="P235" s="47" t="n">
        <f aca="false">IF(O235&lt;K235,ROUNDUP((K235-O235)/G235,0)*G235,0)</f>
        <v>140</v>
      </c>
      <c r="Q235" s="46" t="n">
        <f aca="false">MIN(M235,I235)</f>
        <v>144</v>
      </c>
      <c r="R235" s="46" t="n">
        <f aca="false">I235-Q235</f>
        <v>0</v>
      </c>
      <c r="S235" s="46" t="n">
        <f aca="false">M235-Q235</f>
        <v>1</v>
      </c>
      <c r="T235" s="46" t="n">
        <f aca="false">IF(R235&gt;0,1,0)</f>
        <v>0</v>
      </c>
      <c r="U235" s="32" t="n">
        <f aca="false">INDEX(Forecast!$AY$7:$AY$54,C235)</f>
        <v>2</v>
      </c>
      <c r="V235" s="33" t="n">
        <f aca="false">CHOOSE(U235,INDEX(Forecast_Walkforward!$D:$D,H235),INDEX(Forecast_Walkforward!$E:$E,H235),INDEX(Forecast_Walkforward!$F:$F,H235),INDEX(Forecast_Walkforward!$G:$G,H235))</f>
        <v>146.25</v>
      </c>
      <c r="W235" s="79" t="n">
        <f aca="false">INDEX(Forecast!$BA$7:$BA$54,C235)</f>
        <v>14.7888704790207</v>
      </c>
      <c r="X235" s="33" t="n">
        <f aca="false">Z_Value*W235*SQRT(D235)</f>
        <v>42.1330491108564</v>
      </c>
      <c r="Y235" s="33" t="n">
        <f aca="false">V235*D235+X235</f>
        <v>480.883049110856</v>
      </c>
      <c r="Z235" s="33" t="n">
        <f aca="false">SQRT((2*V235*Weeks_Per_Year*F235)/(E235*Holding_Rate))</f>
        <v>755.231752510446</v>
      </c>
      <c r="AA235" s="46" t="n">
        <f aca="false">ROUNDUP(Z235/G235,0)*G235</f>
        <v>760</v>
      </c>
      <c r="AB235" s="46" t="n">
        <f aca="false">SUMIFS(AF$229:AF234,$B$229:$B234,$B235-$D235)</f>
        <v>0</v>
      </c>
      <c r="AC235" s="46" t="n">
        <f aca="false">AI234+AB235</f>
        <v>65</v>
      </c>
      <c r="AD235" s="46" t="n">
        <f aca="false">SUMIFS(AF$229:AF234,$B$229:$B234,"&gt;"&amp;($B235-$D235))</f>
        <v>760</v>
      </c>
      <c r="AE235" s="46" t="n">
        <f aca="false">AC235+AD235</f>
        <v>825</v>
      </c>
      <c r="AF235" s="47" t="n">
        <f aca="false">IF(AE235&lt;=Y235,AA235,0)</f>
        <v>0</v>
      </c>
      <c r="AG235" s="46" t="n">
        <f aca="false">MIN(AC235,I235)</f>
        <v>65</v>
      </c>
      <c r="AH235" s="46" t="n">
        <f aca="false">I235-AG235</f>
        <v>79</v>
      </c>
      <c r="AI235" s="46" t="n">
        <f aca="false">AC235-AG235</f>
        <v>0</v>
      </c>
      <c r="AJ235" s="46" t="n">
        <f aca="false">IF(AH235&gt;0,1,0)</f>
        <v>1</v>
      </c>
    </row>
    <row r="236" customFormat="false" ht="15" hidden="false" customHeight="false" outlineLevel="0" collapsed="false">
      <c r="A236" s="31" t="str">
        <f aca="false">Inputs!$B$51</f>
        <v>BTH-002</v>
      </c>
      <c r="B236" s="46" t="n">
        <f aca="false">B235+1</f>
        <v>96</v>
      </c>
      <c r="C236" s="46" t="n">
        <f aca="false">MATCH(A236,Inputs!$B$40:$B$87,0)</f>
        <v>12</v>
      </c>
      <c r="D236" s="32" t="n">
        <f aca="false">INDEX(Inputs!$F$40:$F$87,C236)</f>
        <v>3</v>
      </c>
      <c r="E236" s="78" t="n">
        <f aca="false">INDEX(Inputs!$H$40:$H$87,C236)</f>
        <v>6</v>
      </c>
      <c r="F236" s="78" t="n">
        <f aca="false">INDEX(Inputs!$G$40:$G$87,C236)</f>
        <v>45</v>
      </c>
      <c r="G236" s="32" t="n">
        <f aca="false">INDEX(Inputs!$I$40:$I$87,C236)</f>
        <v>20</v>
      </c>
      <c r="H236" s="46" t="n">
        <f aca="false">MATCH(A236,Demand_History!$C:$C,0)+B236-1</f>
        <v>1241</v>
      </c>
      <c r="I236" s="32" t="n">
        <f aca="false">INDEX(Forecast_Walkforward!$C:$C,H236)</f>
        <v>139</v>
      </c>
      <c r="J236" s="79" t="n">
        <f aca="false">INDEX(Forecast_Walkforward!$E:$E,H236)</f>
        <v>144.25</v>
      </c>
      <c r="K236" s="33" t="n">
        <f aca="false">Baseline_Weeks*J236</f>
        <v>577</v>
      </c>
      <c r="L236" s="46" t="n">
        <f aca="false">SUMIFS(P$229:P235,$B$229:$B235,$B236-$D236)</f>
        <v>160</v>
      </c>
      <c r="M236" s="46" t="n">
        <f aca="false">S235+L236</f>
        <v>161</v>
      </c>
      <c r="N236" s="46" t="n">
        <f aca="false">SUMIFS(P$229:P235,$B$229:$B235,"&gt;"&amp;($B236-$D236))</f>
        <v>280</v>
      </c>
      <c r="O236" s="46" t="n">
        <f aca="false">M236+N236</f>
        <v>441</v>
      </c>
      <c r="P236" s="47" t="n">
        <f aca="false">IF(O236&lt;K236,ROUNDUP((K236-O236)/G236,0)*G236,0)</f>
        <v>140</v>
      </c>
      <c r="Q236" s="46" t="n">
        <f aca="false">MIN(M236,I236)</f>
        <v>139</v>
      </c>
      <c r="R236" s="46" t="n">
        <f aca="false">I236-Q236</f>
        <v>0</v>
      </c>
      <c r="S236" s="46" t="n">
        <f aca="false">M236-Q236</f>
        <v>22</v>
      </c>
      <c r="T236" s="46" t="n">
        <f aca="false">IF(R236&gt;0,1,0)</f>
        <v>0</v>
      </c>
      <c r="U236" s="32" t="n">
        <f aca="false">INDEX(Forecast!$AY$7:$AY$54,C236)</f>
        <v>2</v>
      </c>
      <c r="V236" s="33" t="n">
        <f aca="false">CHOOSE(U236,INDEX(Forecast_Walkforward!$D:$D,H236),INDEX(Forecast_Walkforward!$E:$E,H236),INDEX(Forecast_Walkforward!$F:$F,H236),INDEX(Forecast_Walkforward!$G:$G,H236))</f>
        <v>144.25</v>
      </c>
      <c r="W236" s="79" t="n">
        <f aca="false">INDEX(Forecast!$BA$7:$BA$54,C236)</f>
        <v>14.7888704790207</v>
      </c>
      <c r="X236" s="33" t="n">
        <f aca="false">Z_Value*W236*SQRT(D236)</f>
        <v>42.1330491108564</v>
      </c>
      <c r="Y236" s="33" t="n">
        <f aca="false">V236*D236+X236</f>
        <v>474.883049110856</v>
      </c>
      <c r="Z236" s="33" t="n">
        <f aca="false">SQRT((2*V236*Weeks_Per_Year*F236)/(E236*Holding_Rate))</f>
        <v>750.049998333444</v>
      </c>
      <c r="AA236" s="46" t="n">
        <f aca="false">ROUNDUP(Z236/G236,0)*G236</f>
        <v>760</v>
      </c>
      <c r="AB236" s="46" t="n">
        <f aca="false">SUMIFS(AF$229:AF235,$B$229:$B235,$B236-$D236)</f>
        <v>760</v>
      </c>
      <c r="AC236" s="46" t="n">
        <f aca="false">AI235+AB236</f>
        <v>760</v>
      </c>
      <c r="AD236" s="46" t="n">
        <f aca="false">SUMIFS(AF$229:AF235,$B$229:$B235,"&gt;"&amp;($B236-$D236))</f>
        <v>0</v>
      </c>
      <c r="AE236" s="46" t="n">
        <f aca="false">AC236+AD236</f>
        <v>760</v>
      </c>
      <c r="AF236" s="47" t="n">
        <f aca="false">IF(AE236&lt;=Y236,AA236,0)</f>
        <v>0</v>
      </c>
      <c r="AG236" s="46" t="n">
        <f aca="false">MIN(AC236,I236)</f>
        <v>139</v>
      </c>
      <c r="AH236" s="46" t="n">
        <f aca="false">I236-AG236</f>
        <v>0</v>
      </c>
      <c r="AI236" s="46" t="n">
        <f aca="false">AC236-AG236</f>
        <v>621</v>
      </c>
      <c r="AJ236" s="46" t="n">
        <f aca="false">IF(AH236&gt;0,1,0)</f>
        <v>0</v>
      </c>
    </row>
    <row r="237" customFormat="false" ht="15" hidden="false" customHeight="false" outlineLevel="0" collapsed="false">
      <c r="A237" s="31" t="str">
        <f aca="false">Inputs!$B$51</f>
        <v>BTH-002</v>
      </c>
      <c r="B237" s="46" t="n">
        <f aca="false">B236+1</f>
        <v>97</v>
      </c>
      <c r="C237" s="46" t="n">
        <f aca="false">MATCH(A237,Inputs!$B$40:$B$87,0)</f>
        <v>12</v>
      </c>
      <c r="D237" s="32" t="n">
        <f aca="false">INDEX(Inputs!$F$40:$F$87,C237)</f>
        <v>3</v>
      </c>
      <c r="E237" s="78" t="n">
        <f aca="false">INDEX(Inputs!$H$40:$H$87,C237)</f>
        <v>6</v>
      </c>
      <c r="F237" s="78" t="n">
        <f aca="false">INDEX(Inputs!$G$40:$G$87,C237)</f>
        <v>45</v>
      </c>
      <c r="G237" s="32" t="n">
        <f aca="false">INDEX(Inputs!$I$40:$I$87,C237)</f>
        <v>20</v>
      </c>
      <c r="H237" s="46" t="n">
        <f aca="false">MATCH(A237,Demand_History!$C:$C,0)+B237-1</f>
        <v>1242</v>
      </c>
      <c r="I237" s="32" t="n">
        <f aca="false">INDEX(Forecast_Walkforward!$C:$C,H237)</f>
        <v>158</v>
      </c>
      <c r="J237" s="79" t="n">
        <f aca="false">INDEX(Forecast_Walkforward!$E:$E,H237)</f>
        <v>142</v>
      </c>
      <c r="K237" s="33" t="n">
        <f aca="false">Baseline_Weeks*J237</f>
        <v>568</v>
      </c>
      <c r="L237" s="46" t="n">
        <f aca="false">SUMIFS(P$229:P236,$B$229:$B236,$B237-$D237)</f>
        <v>140</v>
      </c>
      <c r="M237" s="46" t="n">
        <f aca="false">S236+L237</f>
        <v>162</v>
      </c>
      <c r="N237" s="46" t="n">
        <f aca="false">SUMIFS(P$229:P236,$B$229:$B236,"&gt;"&amp;($B237-$D237))</f>
        <v>280</v>
      </c>
      <c r="O237" s="46" t="n">
        <f aca="false">M237+N237</f>
        <v>442</v>
      </c>
      <c r="P237" s="47" t="n">
        <f aca="false">IF(O237&lt;K237,ROUNDUP((K237-O237)/G237,0)*G237,0)</f>
        <v>140</v>
      </c>
      <c r="Q237" s="46" t="n">
        <f aca="false">MIN(M237,I237)</f>
        <v>158</v>
      </c>
      <c r="R237" s="46" t="n">
        <f aca="false">I237-Q237</f>
        <v>0</v>
      </c>
      <c r="S237" s="46" t="n">
        <f aca="false">M237-Q237</f>
        <v>4</v>
      </c>
      <c r="T237" s="46" t="n">
        <f aca="false">IF(R237&gt;0,1,0)</f>
        <v>0</v>
      </c>
      <c r="U237" s="32" t="n">
        <f aca="false">INDEX(Forecast!$AY$7:$AY$54,C237)</f>
        <v>2</v>
      </c>
      <c r="V237" s="33" t="n">
        <f aca="false">CHOOSE(U237,INDEX(Forecast_Walkforward!$D:$D,H237),INDEX(Forecast_Walkforward!$E:$E,H237),INDEX(Forecast_Walkforward!$F:$F,H237),INDEX(Forecast_Walkforward!$G:$G,H237))</f>
        <v>142</v>
      </c>
      <c r="W237" s="79" t="n">
        <f aca="false">INDEX(Forecast!$BA$7:$BA$54,C237)</f>
        <v>14.7888704790207</v>
      </c>
      <c r="X237" s="33" t="n">
        <f aca="false">Z_Value*W237*SQRT(D237)</f>
        <v>42.1330491108564</v>
      </c>
      <c r="Y237" s="33" t="n">
        <f aca="false">V237*D237+X237</f>
        <v>468.133049110856</v>
      </c>
      <c r="Z237" s="33" t="n">
        <f aca="false">SQRT((2*V237*Weeks_Per_Year*F237)/(E237*Holding_Rate))</f>
        <v>744.177398205562</v>
      </c>
      <c r="AA237" s="46" t="n">
        <f aca="false">ROUNDUP(Z237/G237,0)*G237</f>
        <v>760</v>
      </c>
      <c r="AB237" s="46" t="n">
        <f aca="false">SUMIFS(AF$229:AF236,$B$229:$B236,$B237-$D237)</f>
        <v>0</v>
      </c>
      <c r="AC237" s="46" t="n">
        <f aca="false">AI236+AB237</f>
        <v>621</v>
      </c>
      <c r="AD237" s="46" t="n">
        <f aca="false">SUMIFS(AF$229:AF236,$B$229:$B236,"&gt;"&amp;($B237-$D237))</f>
        <v>0</v>
      </c>
      <c r="AE237" s="46" t="n">
        <f aca="false">AC237+AD237</f>
        <v>621</v>
      </c>
      <c r="AF237" s="47" t="n">
        <f aca="false">IF(AE237&lt;=Y237,AA237,0)</f>
        <v>0</v>
      </c>
      <c r="AG237" s="46" t="n">
        <f aca="false">MIN(AC237,I237)</f>
        <v>158</v>
      </c>
      <c r="AH237" s="46" t="n">
        <f aca="false">I237-AG237</f>
        <v>0</v>
      </c>
      <c r="AI237" s="46" t="n">
        <f aca="false">AC237-AG237</f>
        <v>463</v>
      </c>
      <c r="AJ237" s="46" t="n">
        <f aca="false">IF(AH237&gt;0,1,0)</f>
        <v>0</v>
      </c>
    </row>
    <row r="238" customFormat="false" ht="15" hidden="false" customHeight="false" outlineLevel="0" collapsed="false">
      <c r="A238" s="31" t="str">
        <f aca="false">Inputs!$B$51</f>
        <v>BTH-002</v>
      </c>
      <c r="B238" s="46" t="n">
        <f aca="false">B237+1</f>
        <v>98</v>
      </c>
      <c r="C238" s="46" t="n">
        <f aca="false">MATCH(A238,Inputs!$B$40:$B$87,0)</f>
        <v>12</v>
      </c>
      <c r="D238" s="32" t="n">
        <f aca="false">INDEX(Inputs!$F$40:$F$87,C238)</f>
        <v>3</v>
      </c>
      <c r="E238" s="78" t="n">
        <f aca="false">INDEX(Inputs!$H$40:$H$87,C238)</f>
        <v>6</v>
      </c>
      <c r="F238" s="78" t="n">
        <f aca="false">INDEX(Inputs!$G$40:$G$87,C238)</f>
        <v>45</v>
      </c>
      <c r="G238" s="32" t="n">
        <f aca="false">INDEX(Inputs!$I$40:$I$87,C238)</f>
        <v>20</v>
      </c>
      <c r="H238" s="46" t="n">
        <f aca="false">MATCH(A238,Demand_History!$C:$C,0)+B238-1</f>
        <v>1243</v>
      </c>
      <c r="I238" s="32" t="n">
        <f aca="false">INDEX(Forecast_Walkforward!$C:$C,H238)</f>
        <v>173</v>
      </c>
      <c r="J238" s="79" t="n">
        <f aca="false">INDEX(Forecast_Walkforward!$E:$E,H238)</f>
        <v>145.25</v>
      </c>
      <c r="K238" s="33" t="n">
        <f aca="false">Baseline_Weeks*J238</f>
        <v>581</v>
      </c>
      <c r="L238" s="46" t="n">
        <f aca="false">SUMIFS(P$229:P237,$B$229:$B237,$B238-$D238)</f>
        <v>140</v>
      </c>
      <c r="M238" s="46" t="n">
        <f aca="false">S237+L238</f>
        <v>144</v>
      </c>
      <c r="N238" s="46" t="n">
        <f aca="false">SUMIFS(P$229:P237,$B$229:$B237,"&gt;"&amp;($B238-$D238))</f>
        <v>280</v>
      </c>
      <c r="O238" s="46" t="n">
        <f aca="false">M238+N238</f>
        <v>424</v>
      </c>
      <c r="P238" s="47" t="n">
        <f aca="false">IF(O238&lt;K238,ROUNDUP((K238-O238)/G238,0)*G238,0)</f>
        <v>160</v>
      </c>
      <c r="Q238" s="46" t="n">
        <f aca="false">MIN(M238,I238)</f>
        <v>144</v>
      </c>
      <c r="R238" s="46" t="n">
        <f aca="false">I238-Q238</f>
        <v>29</v>
      </c>
      <c r="S238" s="46" t="n">
        <f aca="false">M238-Q238</f>
        <v>0</v>
      </c>
      <c r="T238" s="46" t="n">
        <f aca="false">IF(R238&gt;0,1,0)</f>
        <v>1</v>
      </c>
      <c r="U238" s="32" t="n">
        <f aca="false">INDEX(Forecast!$AY$7:$AY$54,C238)</f>
        <v>2</v>
      </c>
      <c r="V238" s="33" t="n">
        <f aca="false">CHOOSE(U238,INDEX(Forecast_Walkforward!$D:$D,H238),INDEX(Forecast_Walkforward!$E:$E,H238),INDEX(Forecast_Walkforward!$F:$F,H238),INDEX(Forecast_Walkforward!$G:$G,H238))</f>
        <v>145.25</v>
      </c>
      <c r="W238" s="79" t="n">
        <f aca="false">INDEX(Forecast!$BA$7:$BA$54,C238)</f>
        <v>14.7888704790207</v>
      </c>
      <c r="X238" s="33" t="n">
        <f aca="false">Z_Value*W238*SQRT(D238)</f>
        <v>42.1330491108564</v>
      </c>
      <c r="Y238" s="33" t="n">
        <f aca="false">V238*D238+X238</f>
        <v>477.883049110856</v>
      </c>
      <c r="Z238" s="33" t="n">
        <f aca="false">SQRT((2*V238*Weeks_Per_Year*F238)/(E238*Holding_Rate))</f>
        <v>752.645334802522</v>
      </c>
      <c r="AA238" s="46" t="n">
        <f aca="false">ROUNDUP(Z238/G238,0)*G238</f>
        <v>760</v>
      </c>
      <c r="AB238" s="46" t="n">
        <f aca="false">SUMIFS(AF$229:AF237,$B$229:$B237,$B238-$D238)</f>
        <v>0</v>
      </c>
      <c r="AC238" s="46" t="n">
        <f aca="false">AI237+AB238</f>
        <v>463</v>
      </c>
      <c r="AD238" s="46" t="n">
        <f aca="false">SUMIFS(AF$229:AF237,$B$229:$B237,"&gt;"&amp;($B238-$D238))</f>
        <v>0</v>
      </c>
      <c r="AE238" s="46" t="n">
        <f aca="false">AC238+AD238</f>
        <v>463</v>
      </c>
      <c r="AF238" s="47" t="n">
        <f aca="false">IF(AE238&lt;=Y238,AA238,0)</f>
        <v>760</v>
      </c>
      <c r="AG238" s="46" t="n">
        <f aca="false">MIN(AC238,I238)</f>
        <v>173</v>
      </c>
      <c r="AH238" s="46" t="n">
        <f aca="false">I238-AG238</f>
        <v>0</v>
      </c>
      <c r="AI238" s="46" t="n">
        <f aca="false">AC238-AG238</f>
        <v>290</v>
      </c>
      <c r="AJ238" s="46" t="n">
        <f aca="false">IF(AH238&gt;0,1,0)</f>
        <v>0</v>
      </c>
    </row>
    <row r="239" customFormat="false" ht="15" hidden="false" customHeight="false" outlineLevel="0" collapsed="false">
      <c r="A239" s="31" t="str">
        <f aca="false">Inputs!$B$51</f>
        <v>BTH-002</v>
      </c>
      <c r="B239" s="46" t="n">
        <f aca="false">B238+1</f>
        <v>99</v>
      </c>
      <c r="C239" s="46" t="n">
        <f aca="false">MATCH(A239,Inputs!$B$40:$B$87,0)</f>
        <v>12</v>
      </c>
      <c r="D239" s="32" t="n">
        <f aca="false">INDEX(Inputs!$F$40:$F$87,C239)</f>
        <v>3</v>
      </c>
      <c r="E239" s="78" t="n">
        <f aca="false">INDEX(Inputs!$H$40:$H$87,C239)</f>
        <v>6</v>
      </c>
      <c r="F239" s="78" t="n">
        <f aca="false">INDEX(Inputs!$G$40:$G$87,C239)</f>
        <v>45</v>
      </c>
      <c r="G239" s="32" t="n">
        <f aca="false">INDEX(Inputs!$I$40:$I$87,C239)</f>
        <v>20</v>
      </c>
      <c r="H239" s="46" t="n">
        <f aca="false">MATCH(A239,Demand_History!$C:$C,0)+B239-1</f>
        <v>1244</v>
      </c>
      <c r="I239" s="32" t="n">
        <f aca="false">INDEX(Forecast_Walkforward!$C:$C,H239)</f>
        <v>121</v>
      </c>
      <c r="J239" s="79" t="n">
        <f aca="false">INDEX(Forecast_Walkforward!$E:$E,H239)</f>
        <v>153.5</v>
      </c>
      <c r="K239" s="33" t="n">
        <f aca="false">Baseline_Weeks*J239</f>
        <v>614</v>
      </c>
      <c r="L239" s="46" t="n">
        <f aca="false">SUMIFS(P$229:P238,$B$229:$B238,$B239-$D239)</f>
        <v>140</v>
      </c>
      <c r="M239" s="46" t="n">
        <f aca="false">S238+L239</f>
        <v>140</v>
      </c>
      <c r="N239" s="46" t="n">
        <f aca="false">SUMIFS(P$229:P238,$B$229:$B238,"&gt;"&amp;($B239-$D239))</f>
        <v>300</v>
      </c>
      <c r="O239" s="46" t="n">
        <f aca="false">M239+N239</f>
        <v>440</v>
      </c>
      <c r="P239" s="47" t="n">
        <f aca="false">IF(O239&lt;K239,ROUNDUP((K239-O239)/G239,0)*G239,0)</f>
        <v>180</v>
      </c>
      <c r="Q239" s="46" t="n">
        <f aca="false">MIN(M239,I239)</f>
        <v>121</v>
      </c>
      <c r="R239" s="46" t="n">
        <f aca="false">I239-Q239</f>
        <v>0</v>
      </c>
      <c r="S239" s="46" t="n">
        <f aca="false">M239-Q239</f>
        <v>19</v>
      </c>
      <c r="T239" s="46" t="n">
        <f aca="false">IF(R239&gt;0,1,0)</f>
        <v>0</v>
      </c>
      <c r="U239" s="32" t="n">
        <f aca="false">INDEX(Forecast!$AY$7:$AY$54,C239)</f>
        <v>2</v>
      </c>
      <c r="V239" s="33" t="n">
        <f aca="false">CHOOSE(U239,INDEX(Forecast_Walkforward!$D:$D,H239),INDEX(Forecast_Walkforward!$E:$E,H239),INDEX(Forecast_Walkforward!$F:$F,H239),INDEX(Forecast_Walkforward!$G:$G,H239))</f>
        <v>153.5</v>
      </c>
      <c r="W239" s="79" t="n">
        <f aca="false">INDEX(Forecast!$BA$7:$BA$54,C239)</f>
        <v>14.7888704790207</v>
      </c>
      <c r="X239" s="33" t="n">
        <f aca="false">Z_Value*W239*SQRT(D239)</f>
        <v>42.1330491108564</v>
      </c>
      <c r="Y239" s="33" t="n">
        <f aca="false">V239*D239+X239</f>
        <v>502.633049110856</v>
      </c>
      <c r="Z239" s="33" t="n">
        <f aca="false">SQRT((2*V239*Weeks_Per_Year*F239)/(E239*Holding_Rate))</f>
        <v>773.724757261909</v>
      </c>
      <c r="AA239" s="46" t="n">
        <f aca="false">ROUNDUP(Z239/G239,0)*G239</f>
        <v>780</v>
      </c>
      <c r="AB239" s="46" t="n">
        <f aca="false">SUMIFS(AF$229:AF238,$B$229:$B238,$B239-$D239)</f>
        <v>0</v>
      </c>
      <c r="AC239" s="46" t="n">
        <f aca="false">AI238+AB239</f>
        <v>290</v>
      </c>
      <c r="AD239" s="46" t="n">
        <f aca="false">SUMIFS(AF$229:AF238,$B$229:$B238,"&gt;"&amp;($B239-$D239))</f>
        <v>760</v>
      </c>
      <c r="AE239" s="46" t="n">
        <f aca="false">AC239+AD239</f>
        <v>1050</v>
      </c>
      <c r="AF239" s="47" t="n">
        <f aca="false">IF(AE239&lt;=Y239,AA239,0)</f>
        <v>0</v>
      </c>
      <c r="AG239" s="46" t="n">
        <f aca="false">MIN(AC239,I239)</f>
        <v>121</v>
      </c>
      <c r="AH239" s="46" t="n">
        <f aca="false">I239-AG239</f>
        <v>0</v>
      </c>
      <c r="AI239" s="46" t="n">
        <f aca="false">AC239-AG239</f>
        <v>169</v>
      </c>
      <c r="AJ239" s="46" t="n">
        <f aca="false">IF(AH239&gt;0,1,0)</f>
        <v>0</v>
      </c>
    </row>
    <row r="240" customFormat="false" ht="15" hidden="false" customHeight="false" outlineLevel="0" collapsed="false">
      <c r="A240" s="31" t="str">
        <f aca="false">Inputs!$B$51</f>
        <v>BTH-002</v>
      </c>
      <c r="B240" s="46" t="n">
        <f aca="false">B239+1</f>
        <v>100</v>
      </c>
      <c r="C240" s="46" t="n">
        <f aca="false">MATCH(A240,Inputs!$B$40:$B$87,0)</f>
        <v>12</v>
      </c>
      <c r="D240" s="32" t="n">
        <f aca="false">INDEX(Inputs!$F$40:$F$87,C240)</f>
        <v>3</v>
      </c>
      <c r="E240" s="78" t="n">
        <f aca="false">INDEX(Inputs!$H$40:$H$87,C240)</f>
        <v>6</v>
      </c>
      <c r="F240" s="78" t="n">
        <f aca="false">INDEX(Inputs!$G$40:$G$87,C240)</f>
        <v>45</v>
      </c>
      <c r="G240" s="32" t="n">
        <f aca="false">INDEX(Inputs!$I$40:$I$87,C240)</f>
        <v>20</v>
      </c>
      <c r="H240" s="46" t="n">
        <f aca="false">MATCH(A240,Demand_History!$C:$C,0)+B240-1</f>
        <v>1245</v>
      </c>
      <c r="I240" s="32" t="n">
        <f aca="false">INDEX(Forecast_Walkforward!$C:$C,H240)</f>
        <v>148</v>
      </c>
      <c r="J240" s="79" t="n">
        <f aca="false">INDEX(Forecast_Walkforward!$E:$E,H240)</f>
        <v>147.75</v>
      </c>
      <c r="K240" s="33" t="n">
        <f aca="false">Baseline_Weeks*J240</f>
        <v>591</v>
      </c>
      <c r="L240" s="46" t="n">
        <f aca="false">SUMIFS(P$229:P239,$B$229:$B239,$B240-$D240)</f>
        <v>140</v>
      </c>
      <c r="M240" s="46" t="n">
        <f aca="false">S239+L240</f>
        <v>159</v>
      </c>
      <c r="N240" s="46" t="n">
        <f aca="false">SUMIFS(P$229:P239,$B$229:$B239,"&gt;"&amp;($B240-$D240))</f>
        <v>340</v>
      </c>
      <c r="O240" s="46" t="n">
        <f aca="false">M240+N240</f>
        <v>499</v>
      </c>
      <c r="P240" s="47" t="n">
        <f aca="false">IF(O240&lt;K240,ROUNDUP((K240-O240)/G240,0)*G240,0)</f>
        <v>100</v>
      </c>
      <c r="Q240" s="46" t="n">
        <f aca="false">MIN(M240,I240)</f>
        <v>148</v>
      </c>
      <c r="R240" s="46" t="n">
        <f aca="false">I240-Q240</f>
        <v>0</v>
      </c>
      <c r="S240" s="46" t="n">
        <f aca="false">M240-Q240</f>
        <v>11</v>
      </c>
      <c r="T240" s="46" t="n">
        <f aca="false">IF(R240&gt;0,1,0)</f>
        <v>0</v>
      </c>
      <c r="U240" s="32" t="n">
        <f aca="false">INDEX(Forecast!$AY$7:$AY$54,C240)</f>
        <v>2</v>
      </c>
      <c r="V240" s="33" t="n">
        <f aca="false">CHOOSE(U240,INDEX(Forecast_Walkforward!$D:$D,H240),INDEX(Forecast_Walkforward!$E:$E,H240),INDEX(Forecast_Walkforward!$F:$F,H240),INDEX(Forecast_Walkforward!$G:$G,H240))</f>
        <v>147.75</v>
      </c>
      <c r="W240" s="79" t="n">
        <f aca="false">INDEX(Forecast!$BA$7:$BA$54,C240)</f>
        <v>14.7888704790207</v>
      </c>
      <c r="X240" s="33" t="n">
        <f aca="false">Z_Value*W240*SQRT(D240)</f>
        <v>42.1330491108564</v>
      </c>
      <c r="Y240" s="33" t="n">
        <f aca="false">V240*D240+X240</f>
        <v>485.383049110856</v>
      </c>
      <c r="Z240" s="33" t="n">
        <f aca="false">SQRT((2*V240*Weeks_Per_Year*F240)/(E240*Holding_Rate))</f>
        <v>759.0948557328</v>
      </c>
      <c r="AA240" s="46" t="n">
        <f aca="false">ROUNDUP(Z240/G240,0)*G240</f>
        <v>760</v>
      </c>
      <c r="AB240" s="46" t="n">
        <f aca="false">SUMIFS(AF$229:AF239,$B$229:$B239,$B240-$D240)</f>
        <v>0</v>
      </c>
      <c r="AC240" s="46" t="n">
        <f aca="false">AI239+AB240</f>
        <v>169</v>
      </c>
      <c r="AD240" s="46" t="n">
        <f aca="false">SUMIFS(AF$229:AF239,$B$229:$B239,"&gt;"&amp;($B240-$D240))</f>
        <v>760</v>
      </c>
      <c r="AE240" s="46" t="n">
        <f aca="false">AC240+AD240</f>
        <v>929</v>
      </c>
      <c r="AF240" s="47" t="n">
        <f aca="false">IF(AE240&lt;=Y240,AA240,0)</f>
        <v>0</v>
      </c>
      <c r="AG240" s="46" t="n">
        <f aca="false">MIN(AC240,I240)</f>
        <v>148</v>
      </c>
      <c r="AH240" s="46" t="n">
        <f aca="false">I240-AG240</f>
        <v>0</v>
      </c>
      <c r="AI240" s="46" t="n">
        <f aca="false">AC240-AG240</f>
        <v>21</v>
      </c>
      <c r="AJ240" s="46" t="n">
        <f aca="false">IF(AH240&gt;0,1,0)</f>
        <v>0</v>
      </c>
    </row>
    <row r="241" customFormat="false" ht="15" hidden="false" customHeight="false" outlineLevel="0" collapsed="false">
      <c r="A241" s="31" t="str">
        <f aca="false">Inputs!$B$51</f>
        <v>BTH-002</v>
      </c>
      <c r="B241" s="46" t="n">
        <f aca="false">B240+1</f>
        <v>101</v>
      </c>
      <c r="C241" s="46" t="n">
        <f aca="false">MATCH(A241,Inputs!$B$40:$B$87,0)</f>
        <v>12</v>
      </c>
      <c r="D241" s="32" t="n">
        <f aca="false">INDEX(Inputs!$F$40:$F$87,C241)</f>
        <v>3</v>
      </c>
      <c r="E241" s="78" t="n">
        <f aca="false">INDEX(Inputs!$H$40:$H$87,C241)</f>
        <v>6</v>
      </c>
      <c r="F241" s="78" t="n">
        <f aca="false">INDEX(Inputs!$G$40:$G$87,C241)</f>
        <v>45</v>
      </c>
      <c r="G241" s="32" t="n">
        <f aca="false">INDEX(Inputs!$I$40:$I$87,C241)</f>
        <v>20</v>
      </c>
      <c r="H241" s="46" t="n">
        <f aca="false">MATCH(A241,Demand_History!$C:$C,0)+B241-1</f>
        <v>1246</v>
      </c>
      <c r="I241" s="32" t="n">
        <f aca="false">INDEX(Forecast_Walkforward!$C:$C,H241)</f>
        <v>144</v>
      </c>
      <c r="J241" s="79" t="n">
        <f aca="false">INDEX(Forecast_Walkforward!$E:$E,H241)</f>
        <v>150</v>
      </c>
      <c r="K241" s="33" t="n">
        <f aca="false">Baseline_Weeks*J241</f>
        <v>600</v>
      </c>
      <c r="L241" s="46" t="n">
        <f aca="false">SUMIFS(P$229:P240,$B$229:$B240,$B241-$D241)</f>
        <v>160</v>
      </c>
      <c r="M241" s="46" t="n">
        <f aca="false">S240+L241</f>
        <v>171</v>
      </c>
      <c r="N241" s="46" t="n">
        <f aca="false">SUMIFS(P$229:P240,$B$229:$B240,"&gt;"&amp;($B241-$D241))</f>
        <v>280</v>
      </c>
      <c r="O241" s="46" t="n">
        <f aca="false">M241+N241</f>
        <v>451</v>
      </c>
      <c r="P241" s="47" t="n">
        <f aca="false">IF(O241&lt;K241,ROUNDUP((K241-O241)/G241,0)*G241,0)</f>
        <v>160</v>
      </c>
      <c r="Q241" s="46" t="n">
        <f aca="false">MIN(M241,I241)</f>
        <v>144</v>
      </c>
      <c r="R241" s="46" t="n">
        <f aca="false">I241-Q241</f>
        <v>0</v>
      </c>
      <c r="S241" s="46" t="n">
        <f aca="false">M241-Q241</f>
        <v>27</v>
      </c>
      <c r="T241" s="46" t="n">
        <f aca="false">IF(R241&gt;0,1,0)</f>
        <v>0</v>
      </c>
      <c r="U241" s="32" t="n">
        <f aca="false">INDEX(Forecast!$AY$7:$AY$54,C241)</f>
        <v>2</v>
      </c>
      <c r="V241" s="33" t="n">
        <f aca="false">CHOOSE(U241,INDEX(Forecast_Walkforward!$D:$D,H241),INDEX(Forecast_Walkforward!$E:$E,H241),INDEX(Forecast_Walkforward!$F:$F,H241),INDEX(Forecast_Walkforward!$G:$G,H241))</f>
        <v>150</v>
      </c>
      <c r="W241" s="79" t="n">
        <f aca="false">INDEX(Forecast!$BA$7:$BA$54,C241)</f>
        <v>14.7888704790207</v>
      </c>
      <c r="X241" s="33" t="n">
        <f aca="false">Z_Value*W241*SQRT(D241)</f>
        <v>42.1330491108564</v>
      </c>
      <c r="Y241" s="33" t="n">
        <f aca="false">V241*D241+X241</f>
        <v>492.133049110856</v>
      </c>
      <c r="Z241" s="33" t="n">
        <f aca="false">SQRT((2*V241*Weeks_Per_Year*F241)/(E241*Holding_Rate))</f>
        <v>764.852927038918</v>
      </c>
      <c r="AA241" s="46" t="n">
        <f aca="false">ROUNDUP(Z241/G241,0)*G241</f>
        <v>780</v>
      </c>
      <c r="AB241" s="46" t="n">
        <f aca="false">SUMIFS(AF$229:AF240,$B$229:$B240,$B241-$D241)</f>
        <v>760</v>
      </c>
      <c r="AC241" s="46" t="n">
        <f aca="false">AI240+AB241</f>
        <v>781</v>
      </c>
      <c r="AD241" s="46" t="n">
        <f aca="false">SUMIFS(AF$229:AF240,$B$229:$B240,"&gt;"&amp;($B241-$D241))</f>
        <v>0</v>
      </c>
      <c r="AE241" s="46" t="n">
        <f aca="false">AC241+AD241</f>
        <v>781</v>
      </c>
      <c r="AF241" s="47" t="n">
        <f aca="false">IF(AE241&lt;=Y241,AA241,0)</f>
        <v>0</v>
      </c>
      <c r="AG241" s="46" t="n">
        <f aca="false">MIN(AC241,I241)</f>
        <v>144</v>
      </c>
      <c r="AH241" s="46" t="n">
        <f aca="false">I241-AG241</f>
        <v>0</v>
      </c>
      <c r="AI241" s="46" t="n">
        <f aca="false">AC241-AG241</f>
        <v>637</v>
      </c>
      <c r="AJ241" s="46" t="n">
        <f aca="false">IF(AH241&gt;0,1,0)</f>
        <v>0</v>
      </c>
    </row>
    <row r="242" customFormat="false" ht="15" hidden="false" customHeight="false" outlineLevel="0" collapsed="false">
      <c r="A242" s="31" t="str">
        <f aca="false">Inputs!$B$51</f>
        <v>BTH-002</v>
      </c>
      <c r="B242" s="46" t="n">
        <f aca="false">B241+1</f>
        <v>102</v>
      </c>
      <c r="C242" s="46" t="n">
        <f aca="false">MATCH(A242,Inputs!$B$40:$B$87,0)</f>
        <v>12</v>
      </c>
      <c r="D242" s="32" t="n">
        <f aca="false">INDEX(Inputs!$F$40:$F$87,C242)</f>
        <v>3</v>
      </c>
      <c r="E242" s="78" t="n">
        <f aca="false">INDEX(Inputs!$H$40:$H$87,C242)</f>
        <v>6</v>
      </c>
      <c r="F242" s="78" t="n">
        <f aca="false">INDEX(Inputs!$G$40:$G$87,C242)</f>
        <v>45</v>
      </c>
      <c r="G242" s="32" t="n">
        <f aca="false">INDEX(Inputs!$I$40:$I$87,C242)</f>
        <v>20</v>
      </c>
      <c r="H242" s="46" t="n">
        <f aca="false">MATCH(A242,Demand_History!$C:$C,0)+B242-1</f>
        <v>1247</v>
      </c>
      <c r="I242" s="32" t="n">
        <f aca="false">INDEX(Forecast_Walkforward!$C:$C,H242)</f>
        <v>157</v>
      </c>
      <c r="J242" s="79" t="n">
        <f aca="false">INDEX(Forecast_Walkforward!$E:$E,H242)</f>
        <v>146.5</v>
      </c>
      <c r="K242" s="33" t="n">
        <f aca="false">Baseline_Weeks*J242</f>
        <v>586</v>
      </c>
      <c r="L242" s="46" t="n">
        <f aca="false">SUMIFS(P$229:P241,$B$229:$B241,$B242-$D242)</f>
        <v>180</v>
      </c>
      <c r="M242" s="46" t="n">
        <f aca="false">S241+L242</f>
        <v>207</v>
      </c>
      <c r="N242" s="46" t="n">
        <f aca="false">SUMIFS(P$229:P241,$B$229:$B241,"&gt;"&amp;($B242-$D242))</f>
        <v>260</v>
      </c>
      <c r="O242" s="46" t="n">
        <f aca="false">M242+N242</f>
        <v>467</v>
      </c>
      <c r="P242" s="47" t="n">
        <f aca="false">IF(O242&lt;K242,ROUNDUP((K242-O242)/G242,0)*G242,0)</f>
        <v>120</v>
      </c>
      <c r="Q242" s="46" t="n">
        <f aca="false">MIN(M242,I242)</f>
        <v>157</v>
      </c>
      <c r="R242" s="46" t="n">
        <f aca="false">I242-Q242</f>
        <v>0</v>
      </c>
      <c r="S242" s="46" t="n">
        <f aca="false">M242-Q242</f>
        <v>50</v>
      </c>
      <c r="T242" s="46" t="n">
        <f aca="false">IF(R242&gt;0,1,0)</f>
        <v>0</v>
      </c>
      <c r="U242" s="32" t="n">
        <f aca="false">INDEX(Forecast!$AY$7:$AY$54,C242)</f>
        <v>2</v>
      </c>
      <c r="V242" s="33" t="n">
        <f aca="false">CHOOSE(U242,INDEX(Forecast_Walkforward!$D:$D,H242),INDEX(Forecast_Walkforward!$E:$E,H242),INDEX(Forecast_Walkforward!$F:$F,H242),INDEX(Forecast_Walkforward!$G:$G,H242))</f>
        <v>146.5</v>
      </c>
      <c r="W242" s="79" t="n">
        <f aca="false">INDEX(Forecast!$BA$7:$BA$54,C242)</f>
        <v>14.7888704790207</v>
      </c>
      <c r="X242" s="33" t="n">
        <f aca="false">Z_Value*W242*SQRT(D242)</f>
        <v>42.1330491108564</v>
      </c>
      <c r="Y242" s="33" t="n">
        <f aca="false">V242*D242+X242</f>
        <v>481.633049110856</v>
      </c>
      <c r="Z242" s="33" t="n">
        <f aca="false">SQRT((2*V242*Weeks_Per_Year*F242)/(E242*Holding_Rate))</f>
        <v>755.87697411682</v>
      </c>
      <c r="AA242" s="46" t="n">
        <f aca="false">ROUNDUP(Z242/G242,0)*G242</f>
        <v>760</v>
      </c>
      <c r="AB242" s="46" t="n">
        <f aca="false">SUMIFS(AF$229:AF241,$B$229:$B241,$B242-$D242)</f>
        <v>0</v>
      </c>
      <c r="AC242" s="46" t="n">
        <f aca="false">AI241+AB242</f>
        <v>637</v>
      </c>
      <c r="AD242" s="46" t="n">
        <f aca="false">SUMIFS(AF$229:AF241,$B$229:$B241,"&gt;"&amp;($B242-$D242))</f>
        <v>0</v>
      </c>
      <c r="AE242" s="46" t="n">
        <f aca="false">AC242+AD242</f>
        <v>637</v>
      </c>
      <c r="AF242" s="47" t="n">
        <f aca="false">IF(AE242&lt;=Y242,AA242,0)</f>
        <v>0</v>
      </c>
      <c r="AG242" s="46" t="n">
        <f aca="false">MIN(AC242,I242)</f>
        <v>157</v>
      </c>
      <c r="AH242" s="46" t="n">
        <f aca="false">I242-AG242</f>
        <v>0</v>
      </c>
      <c r="AI242" s="46" t="n">
        <f aca="false">AC242-AG242</f>
        <v>480</v>
      </c>
      <c r="AJ242" s="46" t="n">
        <f aca="false">IF(AH242&gt;0,1,0)</f>
        <v>0</v>
      </c>
    </row>
    <row r="243" customFormat="false" ht="15" hidden="false" customHeight="false" outlineLevel="0" collapsed="false">
      <c r="A243" s="31" t="str">
        <f aca="false">Inputs!$B$51</f>
        <v>BTH-002</v>
      </c>
      <c r="B243" s="46" t="n">
        <f aca="false">B242+1</f>
        <v>103</v>
      </c>
      <c r="C243" s="46" t="n">
        <f aca="false">MATCH(A243,Inputs!$B$40:$B$87,0)</f>
        <v>12</v>
      </c>
      <c r="D243" s="32" t="n">
        <f aca="false">INDEX(Inputs!$F$40:$F$87,C243)</f>
        <v>3</v>
      </c>
      <c r="E243" s="78" t="n">
        <f aca="false">INDEX(Inputs!$H$40:$H$87,C243)</f>
        <v>6</v>
      </c>
      <c r="F243" s="78" t="n">
        <f aca="false">INDEX(Inputs!$G$40:$G$87,C243)</f>
        <v>45</v>
      </c>
      <c r="G243" s="32" t="n">
        <f aca="false">INDEX(Inputs!$I$40:$I$87,C243)</f>
        <v>20</v>
      </c>
      <c r="H243" s="46" t="n">
        <f aca="false">MATCH(A243,Demand_History!$C:$C,0)+B243-1</f>
        <v>1248</v>
      </c>
      <c r="I243" s="32" t="n">
        <f aca="false">INDEX(Forecast_Walkforward!$C:$C,H243)</f>
        <v>136</v>
      </c>
      <c r="J243" s="79" t="n">
        <f aca="false">INDEX(Forecast_Walkforward!$E:$E,H243)</f>
        <v>142.5</v>
      </c>
      <c r="K243" s="33" t="n">
        <f aca="false">Baseline_Weeks*J243</f>
        <v>570</v>
      </c>
      <c r="L243" s="46" t="n">
        <f aca="false">SUMIFS(P$229:P242,$B$229:$B242,$B243-$D243)</f>
        <v>100</v>
      </c>
      <c r="M243" s="46" t="n">
        <f aca="false">S242+L243</f>
        <v>150</v>
      </c>
      <c r="N243" s="46" t="n">
        <f aca="false">SUMIFS(P$229:P242,$B$229:$B242,"&gt;"&amp;($B243-$D243))</f>
        <v>280</v>
      </c>
      <c r="O243" s="46" t="n">
        <f aca="false">M243+N243</f>
        <v>430</v>
      </c>
      <c r="P243" s="47" t="n">
        <f aca="false">IF(O243&lt;K243,ROUNDUP((K243-O243)/G243,0)*G243,0)</f>
        <v>140</v>
      </c>
      <c r="Q243" s="46" t="n">
        <f aca="false">MIN(M243,I243)</f>
        <v>136</v>
      </c>
      <c r="R243" s="46" t="n">
        <f aca="false">I243-Q243</f>
        <v>0</v>
      </c>
      <c r="S243" s="46" t="n">
        <f aca="false">M243-Q243</f>
        <v>14</v>
      </c>
      <c r="T243" s="46" t="n">
        <f aca="false">IF(R243&gt;0,1,0)</f>
        <v>0</v>
      </c>
      <c r="U243" s="32" t="n">
        <f aca="false">INDEX(Forecast!$AY$7:$AY$54,C243)</f>
        <v>2</v>
      </c>
      <c r="V243" s="33" t="n">
        <f aca="false">CHOOSE(U243,INDEX(Forecast_Walkforward!$D:$D,H243),INDEX(Forecast_Walkforward!$E:$E,H243),INDEX(Forecast_Walkforward!$F:$F,H243),INDEX(Forecast_Walkforward!$G:$G,H243))</f>
        <v>142.5</v>
      </c>
      <c r="W243" s="79" t="n">
        <f aca="false">INDEX(Forecast!$BA$7:$BA$54,C243)</f>
        <v>14.7888704790207</v>
      </c>
      <c r="X243" s="33" t="n">
        <f aca="false">Z_Value*W243*SQRT(D243)</f>
        <v>42.1330491108564</v>
      </c>
      <c r="Y243" s="33" t="n">
        <f aca="false">V243*D243+X243</f>
        <v>469.633049110856</v>
      </c>
      <c r="Z243" s="33" t="n">
        <f aca="false">SQRT((2*V243*Weeks_Per_Year*F243)/(E243*Holding_Rate))</f>
        <v>745.486418387351</v>
      </c>
      <c r="AA243" s="46" t="n">
        <f aca="false">ROUNDUP(Z243/G243,0)*G243</f>
        <v>760</v>
      </c>
      <c r="AB243" s="46" t="n">
        <f aca="false">SUMIFS(AF$229:AF242,$B$229:$B242,$B243-$D243)</f>
        <v>0</v>
      </c>
      <c r="AC243" s="46" t="n">
        <f aca="false">AI242+AB243</f>
        <v>480</v>
      </c>
      <c r="AD243" s="46" t="n">
        <f aca="false">SUMIFS(AF$229:AF242,$B$229:$B242,"&gt;"&amp;($B243-$D243))</f>
        <v>0</v>
      </c>
      <c r="AE243" s="46" t="n">
        <f aca="false">AC243+AD243</f>
        <v>480</v>
      </c>
      <c r="AF243" s="47" t="n">
        <f aca="false">IF(AE243&lt;=Y243,AA243,0)</f>
        <v>0</v>
      </c>
      <c r="AG243" s="46" t="n">
        <f aca="false">MIN(AC243,I243)</f>
        <v>136</v>
      </c>
      <c r="AH243" s="46" t="n">
        <f aca="false">I243-AG243</f>
        <v>0</v>
      </c>
      <c r="AI243" s="46" t="n">
        <f aca="false">AC243-AG243</f>
        <v>344</v>
      </c>
      <c r="AJ243" s="46" t="n">
        <f aca="false">IF(AH243&gt;0,1,0)</f>
        <v>0</v>
      </c>
    </row>
    <row r="244" customFormat="false" ht="15" hidden="false" customHeight="false" outlineLevel="0" collapsed="false">
      <c r="A244" s="80" t="str">
        <f aca="false">Inputs!$B$51</f>
        <v>BTH-002</v>
      </c>
      <c r="B244" s="81" t="n">
        <f aca="false">B243+1</f>
        <v>104</v>
      </c>
      <c r="C244" s="81" t="n">
        <f aca="false">MATCH(A244,Inputs!$B$40:$B$87,0)</f>
        <v>12</v>
      </c>
      <c r="D244" s="82" t="n">
        <f aca="false">INDEX(Inputs!$F$40:$F$87,C244)</f>
        <v>3</v>
      </c>
      <c r="E244" s="83" t="n">
        <f aca="false">INDEX(Inputs!$H$40:$H$87,C244)</f>
        <v>6</v>
      </c>
      <c r="F244" s="83" t="n">
        <f aca="false">INDEX(Inputs!$G$40:$G$87,C244)</f>
        <v>45</v>
      </c>
      <c r="G244" s="82" t="n">
        <f aca="false">INDEX(Inputs!$I$40:$I$87,C244)</f>
        <v>20</v>
      </c>
      <c r="H244" s="81" t="n">
        <f aca="false">MATCH(A244,Demand_History!$C:$C,0)+B244-1</f>
        <v>1249</v>
      </c>
      <c r="I244" s="82" t="n">
        <f aca="false">INDEX(Forecast_Walkforward!$C:$C,H244)</f>
        <v>148</v>
      </c>
      <c r="J244" s="84" t="n">
        <f aca="false">INDEX(Forecast_Walkforward!$E:$E,H244)</f>
        <v>146.25</v>
      </c>
      <c r="K244" s="85" t="n">
        <f aca="false">Baseline_Weeks*J244</f>
        <v>585</v>
      </c>
      <c r="L244" s="81" t="n">
        <f aca="false">SUMIFS(P$229:P243,$B$229:$B243,$B244-$D244)</f>
        <v>160</v>
      </c>
      <c r="M244" s="81" t="n">
        <f aca="false">S243+L244</f>
        <v>174</v>
      </c>
      <c r="N244" s="81" t="n">
        <f aca="false">SUMIFS(P$229:P243,$B$229:$B243,"&gt;"&amp;($B244-$D244))</f>
        <v>260</v>
      </c>
      <c r="O244" s="81" t="n">
        <f aca="false">M244+N244</f>
        <v>434</v>
      </c>
      <c r="P244" s="86" t="n">
        <f aca="false">IF(O244&lt;K244,ROUNDUP((K244-O244)/G244,0)*G244,0)</f>
        <v>160</v>
      </c>
      <c r="Q244" s="81" t="n">
        <f aca="false">MIN(M244,I244)</f>
        <v>148</v>
      </c>
      <c r="R244" s="81" t="n">
        <f aca="false">I244-Q244</f>
        <v>0</v>
      </c>
      <c r="S244" s="81" t="n">
        <f aca="false">M244-Q244</f>
        <v>26</v>
      </c>
      <c r="T244" s="81" t="n">
        <f aca="false">IF(R244&gt;0,1,0)</f>
        <v>0</v>
      </c>
      <c r="U244" s="82" t="n">
        <f aca="false">INDEX(Forecast!$AY$7:$AY$54,C244)</f>
        <v>2</v>
      </c>
      <c r="V244" s="85" t="n">
        <f aca="false">CHOOSE(U244,INDEX(Forecast_Walkforward!$D:$D,H244),INDEX(Forecast_Walkforward!$E:$E,H244),INDEX(Forecast_Walkforward!$F:$F,H244),INDEX(Forecast_Walkforward!$G:$G,H244))</f>
        <v>146.25</v>
      </c>
      <c r="W244" s="84" t="n">
        <f aca="false">INDEX(Forecast!$BA$7:$BA$54,C244)</f>
        <v>14.7888704790207</v>
      </c>
      <c r="X244" s="85" t="n">
        <f aca="false">Z_Value*W244*SQRT(D244)</f>
        <v>42.1330491108564</v>
      </c>
      <c r="Y244" s="85" t="n">
        <f aca="false">V244*D244+X244</f>
        <v>480.883049110856</v>
      </c>
      <c r="Z244" s="85" t="n">
        <f aca="false">SQRT((2*V244*Weeks_Per_Year*F244)/(E244*Holding_Rate))</f>
        <v>755.231752510446</v>
      </c>
      <c r="AA244" s="81" t="n">
        <f aca="false">ROUNDUP(Z244/G244,0)*G244</f>
        <v>760</v>
      </c>
      <c r="AB244" s="81" t="n">
        <f aca="false">SUMIFS(AF$229:AF243,$B$229:$B243,$B244-$D244)</f>
        <v>0</v>
      </c>
      <c r="AC244" s="81" t="n">
        <f aca="false">AI243+AB244</f>
        <v>344</v>
      </c>
      <c r="AD244" s="81" t="n">
        <f aca="false">SUMIFS(AF$229:AF243,$B$229:$B243,"&gt;"&amp;($B244-$D244))</f>
        <v>0</v>
      </c>
      <c r="AE244" s="81" t="n">
        <f aca="false">AC244+AD244</f>
        <v>344</v>
      </c>
      <c r="AF244" s="86" t="n">
        <f aca="false">IF(AE244&lt;=Y244,AA244,0)</f>
        <v>760</v>
      </c>
      <c r="AG244" s="81" t="n">
        <f aca="false">MIN(AC244,I244)</f>
        <v>148</v>
      </c>
      <c r="AH244" s="81" t="n">
        <f aca="false">I244-AG244</f>
        <v>0</v>
      </c>
      <c r="AI244" s="81" t="n">
        <f aca="false">AC244-AG244</f>
        <v>196</v>
      </c>
      <c r="AJ244" s="81" t="n">
        <f aca="false">IF(AH244&gt;0,1,0)</f>
        <v>0</v>
      </c>
    </row>
    <row r="245" customFormat="false" ht="15" hidden="false" customHeight="false" outlineLevel="0" collapsed="false">
      <c r="A245" s="31" t="str">
        <f aca="false">Inputs!$B$52</f>
        <v>BTH-003</v>
      </c>
      <c r="B245" s="46" t="n">
        <f aca="false">BT_Start_Week</f>
        <v>89</v>
      </c>
      <c r="C245" s="46" t="n">
        <f aca="false">MATCH(A245,Inputs!$B$40:$B$87,0)</f>
        <v>13</v>
      </c>
      <c r="D245" s="32" t="n">
        <f aca="false">INDEX(Inputs!$F$40:$F$87,C245)</f>
        <v>3</v>
      </c>
      <c r="E245" s="78" t="n">
        <f aca="false">INDEX(Inputs!$H$40:$H$87,C245)</f>
        <v>14</v>
      </c>
      <c r="F245" s="78" t="n">
        <f aca="false">INDEX(Inputs!$G$40:$G$87,C245)</f>
        <v>45</v>
      </c>
      <c r="G245" s="32" t="n">
        <f aca="false">INDEX(Inputs!$I$40:$I$87,C245)</f>
        <v>8</v>
      </c>
      <c r="H245" s="46" t="n">
        <f aca="false">MATCH(A245,Demand_History!$C:$C,0)+B245-1</f>
        <v>1338</v>
      </c>
      <c r="I245" s="32" t="n">
        <f aca="false">INDEX(Forecast_Walkforward!$C:$C,H245)</f>
        <v>62</v>
      </c>
      <c r="J245" s="79" t="n">
        <f aca="false">INDEX(Forecast_Walkforward!$E:$E,H245)</f>
        <v>34.5</v>
      </c>
      <c r="K245" s="33" t="n">
        <f aca="false">Baseline_Weeks*J245</f>
        <v>138</v>
      </c>
      <c r="L245" s="46" t="n">
        <f aca="false">0</f>
        <v>0</v>
      </c>
      <c r="M245" s="46" t="n">
        <f aca="false">ROUND(BT_Open_Cover*INDEX(Forecast_Walkforward!$F:$F,H245),0)+L245</f>
        <v>249</v>
      </c>
      <c r="N245" s="46" t="n">
        <f aca="false">0</f>
        <v>0</v>
      </c>
      <c r="O245" s="46" t="n">
        <f aca="false">M245+N245</f>
        <v>249</v>
      </c>
      <c r="P245" s="47" t="n">
        <f aca="false">IF(O245&lt;K245,ROUNDUP((K245-O245)/G245,0)*G245,0)</f>
        <v>0</v>
      </c>
      <c r="Q245" s="46" t="n">
        <f aca="false">MIN(M245,I245)</f>
        <v>62</v>
      </c>
      <c r="R245" s="46" t="n">
        <f aca="false">I245-Q245</f>
        <v>0</v>
      </c>
      <c r="S245" s="46" t="n">
        <f aca="false">M245-Q245</f>
        <v>187</v>
      </c>
      <c r="T245" s="46" t="n">
        <f aca="false">IF(R245&gt;0,1,0)</f>
        <v>0</v>
      </c>
      <c r="U245" s="32" t="n">
        <f aca="false">INDEX(Forecast!$AY$7:$AY$54,C245)</f>
        <v>3</v>
      </c>
      <c r="V245" s="33" t="n">
        <f aca="false">CHOOSE(U245,INDEX(Forecast_Walkforward!$D:$D,H245),INDEX(Forecast_Walkforward!$E:$E,H245),INDEX(Forecast_Walkforward!$F:$F,H245),INDEX(Forecast_Walkforward!$G:$G,H245))</f>
        <v>41.5</v>
      </c>
      <c r="W245" s="79" t="n">
        <f aca="false">INDEX(Forecast!$BA$7:$BA$54,C245)</f>
        <v>16.6647833117642</v>
      </c>
      <c r="X245" s="33" t="n">
        <f aca="false">Z_Value*W245*SQRT(D245)</f>
        <v>47.4774685931821</v>
      </c>
      <c r="Y245" s="33" t="n">
        <f aca="false">V245*D245+X245</f>
        <v>171.977468593182</v>
      </c>
      <c r="Z245" s="33" t="n">
        <f aca="false">SQRT((2*V245*Weeks_Per_Year*F245)/(E245*Holding_Rate))</f>
        <v>263.371003936055</v>
      </c>
      <c r="AA245" s="46" t="n">
        <f aca="false">ROUNDUP(Z245/G245,0)*G245</f>
        <v>264</v>
      </c>
      <c r="AB245" s="46" t="n">
        <f aca="false">0</f>
        <v>0</v>
      </c>
      <c r="AC245" s="46" t="n">
        <f aca="false">ROUND(BT_Open_Cover*INDEX(Forecast_Walkforward!$F:$F,H245),0)+AB245</f>
        <v>249</v>
      </c>
      <c r="AD245" s="46" t="n">
        <f aca="false">0</f>
        <v>0</v>
      </c>
      <c r="AE245" s="46" t="n">
        <f aca="false">AC245+AD245</f>
        <v>249</v>
      </c>
      <c r="AF245" s="47" t="n">
        <f aca="false">IF(AE245&lt;=Y245,AA245,0)</f>
        <v>0</v>
      </c>
      <c r="AG245" s="46" t="n">
        <f aca="false">MIN(AC245,I245)</f>
        <v>62</v>
      </c>
      <c r="AH245" s="46" t="n">
        <f aca="false">I245-AG245</f>
        <v>0</v>
      </c>
      <c r="AI245" s="46" t="n">
        <f aca="false">AC245-AG245</f>
        <v>187</v>
      </c>
      <c r="AJ245" s="46" t="n">
        <f aca="false">IF(AH245&gt;0,1,0)</f>
        <v>0</v>
      </c>
    </row>
    <row r="246" customFormat="false" ht="15" hidden="false" customHeight="false" outlineLevel="0" collapsed="false">
      <c r="A246" s="31" t="str">
        <f aca="false">Inputs!$B$52</f>
        <v>BTH-003</v>
      </c>
      <c r="B246" s="46" t="n">
        <f aca="false">B245+1</f>
        <v>90</v>
      </c>
      <c r="C246" s="46" t="n">
        <f aca="false">MATCH(A246,Inputs!$B$40:$B$87,0)</f>
        <v>13</v>
      </c>
      <c r="D246" s="32" t="n">
        <f aca="false">INDEX(Inputs!$F$40:$F$87,C246)</f>
        <v>3</v>
      </c>
      <c r="E246" s="78" t="n">
        <f aca="false">INDEX(Inputs!$H$40:$H$87,C246)</f>
        <v>14</v>
      </c>
      <c r="F246" s="78" t="n">
        <f aca="false">INDEX(Inputs!$G$40:$G$87,C246)</f>
        <v>45</v>
      </c>
      <c r="G246" s="32" t="n">
        <f aca="false">INDEX(Inputs!$I$40:$I$87,C246)</f>
        <v>8</v>
      </c>
      <c r="H246" s="46" t="n">
        <f aca="false">MATCH(A246,Demand_History!$C:$C,0)+B246-1</f>
        <v>1339</v>
      </c>
      <c r="I246" s="32" t="n">
        <f aca="false">INDEX(Forecast_Walkforward!$C:$C,H246)</f>
        <v>52</v>
      </c>
      <c r="J246" s="79" t="n">
        <f aca="false">INDEX(Forecast_Walkforward!$E:$E,H246)</f>
        <v>42.75</v>
      </c>
      <c r="K246" s="33" t="n">
        <f aca="false">Baseline_Weeks*J246</f>
        <v>171</v>
      </c>
      <c r="L246" s="46" t="n">
        <f aca="false">SUMIFS(P$245:P245,$B$245:$B245,$B246-$D246)</f>
        <v>0</v>
      </c>
      <c r="M246" s="46" t="n">
        <f aca="false">S245+L246</f>
        <v>187</v>
      </c>
      <c r="N246" s="46" t="n">
        <f aca="false">SUMIFS(P$245:P245,$B$245:$B245,"&gt;"&amp;($B246-$D246))</f>
        <v>0</v>
      </c>
      <c r="O246" s="46" t="n">
        <f aca="false">M246+N246</f>
        <v>187</v>
      </c>
      <c r="P246" s="47" t="n">
        <f aca="false">IF(O246&lt;K246,ROUNDUP((K246-O246)/G246,0)*G246,0)</f>
        <v>0</v>
      </c>
      <c r="Q246" s="46" t="n">
        <f aca="false">MIN(M246,I246)</f>
        <v>52</v>
      </c>
      <c r="R246" s="46" t="n">
        <f aca="false">I246-Q246</f>
        <v>0</v>
      </c>
      <c r="S246" s="46" t="n">
        <f aca="false">M246-Q246</f>
        <v>135</v>
      </c>
      <c r="T246" s="46" t="n">
        <f aca="false">IF(R246&gt;0,1,0)</f>
        <v>0</v>
      </c>
      <c r="U246" s="32" t="n">
        <f aca="false">INDEX(Forecast!$AY$7:$AY$54,C246)</f>
        <v>3</v>
      </c>
      <c r="V246" s="33" t="n">
        <f aca="false">CHOOSE(U246,INDEX(Forecast_Walkforward!$D:$D,H246),INDEX(Forecast_Walkforward!$E:$E,H246),INDEX(Forecast_Walkforward!$F:$F,H246),INDEX(Forecast_Walkforward!$G:$G,H246))</f>
        <v>45.875</v>
      </c>
      <c r="W246" s="79" t="n">
        <f aca="false">INDEX(Forecast!$BA$7:$BA$54,C246)</f>
        <v>16.6647833117642</v>
      </c>
      <c r="X246" s="33" t="n">
        <f aca="false">Z_Value*W246*SQRT(D246)</f>
        <v>47.4774685931821</v>
      </c>
      <c r="Y246" s="33" t="n">
        <f aca="false">V246*D246+X246</f>
        <v>185.102468593182</v>
      </c>
      <c r="Z246" s="33" t="n">
        <f aca="false">SQRT((2*V246*Weeks_Per_Year*F246)/(E246*Holding_Rate))</f>
        <v>276.905734347062</v>
      </c>
      <c r="AA246" s="46" t="n">
        <f aca="false">ROUNDUP(Z246/G246,0)*G246</f>
        <v>280</v>
      </c>
      <c r="AB246" s="46" t="n">
        <f aca="false">SUMIFS(AF$245:AF245,$B$245:$B245,$B246-$D246)</f>
        <v>0</v>
      </c>
      <c r="AC246" s="46" t="n">
        <f aca="false">AI245+AB246</f>
        <v>187</v>
      </c>
      <c r="AD246" s="46" t="n">
        <f aca="false">SUMIFS(AF$245:AF245,$B$245:$B245,"&gt;"&amp;($B246-$D246))</f>
        <v>0</v>
      </c>
      <c r="AE246" s="46" t="n">
        <f aca="false">AC246+AD246</f>
        <v>187</v>
      </c>
      <c r="AF246" s="47" t="n">
        <f aca="false">IF(AE246&lt;=Y246,AA246,0)</f>
        <v>0</v>
      </c>
      <c r="AG246" s="46" t="n">
        <f aca="false">MIN(AC246,I246)</f>
        <v>52</v>
      </c>
      <c r="AH246" s="46" t="n">
        <f aca="false">I246-AG246</f>
        <v>0</v>
      </c>
      <c r="AI246" s="46" t="n">
        <f aca="false">AC246-AG246</f>
        <v>135</v>
      </c>
      <c r="AJ246" s="46" t="n">
        <f aca="false">IF(AH246&gt;0,1,0)</f>
        <v>0</v>
      </c>
    </row>
    <row r="247" customFormat="false" ht="15" hidden="false" customHeight="false" outlineLevel="0" collapsed="false">
      <c r="A247" s="31" t="str">
        <f aca="false">Inputs!$B$52</f>
        <v>BTH-003</v>
      </c>
      <c r="B247" s="46" t="n">
        <f aca="false">B246+1</f>
        <v>91</v>
      </c>
      <c r="C247" s="46" t="n">
        <f aca="false">MATCH(A247,Inputs!$B$40:$B$87,0)</f>
        <v>13</v>
      </c>
      <c r="D247" s="32" t="n">
        <f aca="false">INDEX(Inputs!$F$40:$F$87,C247)</f>
        <v>3</v>
      </c>
      <c r="E247" s="78" t="n">
        <f aca="false">INDEX(Inputs!$H$40:$H$87,C247)</f>
        <v>14</v>
      </c>
      <c r="F247" s="78" t="n">
        <f aca="false">INDEX(Inputs!$G$40:$G$87,C247)</f>
        <v>45</v>
      </c>
      <c r="G247" s="32" t="n">
        <f aca="false">INDEX(Inputs!$I$40:$I$87,C247)</f>
        <v>8</v>
      </c>
      <c r="H247" s="46" t="n">
        <f aca="false">MATCH(A247,Demand_History!$C:$C,0)+B247-1</f>
        <v>1340</v>
      </c>
      <c r="I247" s="32" t="n">
        <f aca="false">INDEX(Forecast_Walkforward!$C:$C,H247)</f>
        <v>43</v>
      </c>
      <c r="J247" s="79" t="n">
        <f aca="false">INDEX(Forecast_Walkforward!$E:$E,H247)</f>
        <v>42</v>
      </c>
      <c r="K247" s="33" t="n">
        <f aca="false">Baseline_Weeks*J247</f>
        <v>168</v>
      </c>
      <c r="L247" s="46" t="n">
        <f aca="false">SUMIFS(P$245:P246,$B$245:$B246,$B247-$D247)</f>
        <v>0</v>
      </c>
      <c r="M247" s="46" t="n">
        <f aca="false">S246+L247</f>
        <v>135</v>
      </c>
      <c r="N247" s="46" t="n">
        <f aca="false">SUMIFS(P$245:P246,$B$245:$B246,"&gt;"&amp;($B247-$D247))</f>
        <v>0</v>
      </c>
      <c r="O247" s="46" t="n">
        <f aca="false">M247+N247</f>
        <v>135</v>
      </c>
      <c r="P247" s="47" t="n">
        <f aca="false">IF(O247&lt;K247,ROUNDUP((K247-O247)/G247,0)*G247,0)</f>
        <v>40</v>
      </c>
      <c r="Q247" s="46" t="n">
        <f aca="false">MIN(M247,I247)</f>
        <v>43</v>
      </c>
      <c r="R247" s="46" t="n">
        <f aca="false">I247-Q247</f>
        <v>0</v>
      </c>
      <c r="S247" s="46" t="n">
        <f aca="false">M247-Q247</f>
        <v>92</v>
      </c>
      <c r="T247" s="46" t="n">
        <f aca="false">IF(R247&gt;0,1,0)</f>
        <v>0</v>
      </c>
      <c r="U247" s="32" t="n">
        <f aca="false">INDEX(Forecast!$AY$7:$AY$54,C247)</f>
        <v>3</v>
      </c>
      <c r="V247" s="33" t="n">
        <f aca="false">CHOOSE(U247,INDEX(Forecast_Walkforward!$D:$D,H247),INDEX(Forecast_Walkforward!$E:$E,H247),INDEX(Forecast_Walkforward!$F:$F,H247),INDEX(Forecast_Walkforward!$G:$G,H247))</f>
        <v>44.375</v>
      </c>
      <c r="W247" s="79" t="n">
        <f aca="false">INDEX(Forecast!$BA$7:$BA$54,C247)</f>
        <v>16.6647833117642</v>
      </c>
      <c r="X247" s="33" t="n">
        <f aca="false">Z_Value*W247*SQRT(D247)</f>
        <v>47.4774685931821</v>
      </c>
      <c r="Y247" s="33" t="n">
        <f aca="false">V247*D247+X247</f>
        <v>180.602468593182</v>
      </c>
      <c r="Z247" s="33" t="n">
        <f aca="false">SQRT((2*V247*Weeks_Per_Year*F247)/(E247*Holding_Rate))</f>
        <v>272.341041448297</v>
      </c>
      <c r="AA247" s="46" t="n">
        <f aca="false">ROUNDUP(Z247/G247,0)*G247</f>
        <v>280</v>
      </c>
      <c r="AB247" s="46" t="n">
        <f aca="false">SUMIFS(AF$245:AF246,$B$245:$B246,$B247-$D247)</f>
        <v>0</v>
      </c>
      <c r="AC247" s="46" t="n">
        <f aca="false">AI246+AB247</f>
        <v>135</v>
      </c>
      <c r="AD247" s="46" t="n">
        <f aca="false">SUMIFS(AF$245:AF246,$B$245:$B246,"&gt;"&amp;($B247-$D247))</f>
        <v>0</v>
      </c>
      <c r="AE247" s="46" t="n">
        <f aca="false">AC247+AD247</f>
        <v>135</v>
      </c>
      <c r="AF247" s="47" t="n">
        <f aca="false">IF(AE247&lt;=Y247,AA247,0)</f>
        <v>280</v>
      </c>
      <c r="AG247" s="46" t="n">
        <f aca="false">MIN(AC247,I247)</f>
        <v>43</v>
      </c>
      <c r="AH247" s="46" t="n">
        <f aca="false">I247-AG247</f>
        <v>0</v>
      </c>
      <c r="AI247" s="46" t="n">
        <f aca="false">AC247-AG247</f>
        <v>92</v>
      </c>
      <c r="AJ247" s="46" t="n">
        <f aca="false">IF(AH247&gt;0,1,0)</f>
        <v>0</v>
      </c>
    </row>
    <row r="248" customFormat="false" ht="15" hidden="false" customHeight="false" outlineLevel="0" collapsed="false">
      <c r="A248" s="31" t="str">
        <f aca="false">Inputs!$B$52</f>
        <v>BTH-003</v>
      </c>
      <c r="B248" s="46" t="n">
        <f aca="false">B247+1</f>
        <v>92</v>
      </c>
      <c r="C248" s="46" t="n">
        <f aca="false">MATCH(A248,Inputs!$B$40:$B$87,0)</f>
        <v>13</v>
      </c>
      <c r="D248" s="32" t="n">
        <f aca="false">INDEX(Inputs!$F$40:$F$87,C248)</f>
        <v>3</v>
      </c>
      <c r="E248" s="78" t="n">
        <f aca="false">INDEX(Inputs!$H$40:$H$87,C248)</f>
        <v>14</v>
      </c>
      <c r="F248" s="78" t="n">
        <f aca="false">INDEX(Inputs!$G$40:$G$87,C248)</f>
        <v>45</v>
      </c>
      <c r="G248" s="32" t="n">
        <f aca="false">INDEX(Inputs!$I$40:$I$87,C248)</f>
        <v>8</v>
      </c>
      <c r="H248" s="46" t="n">
        <f aca="false">MATCH(A248,Demand_History!$C:$C,0)+B248-1</f>
        <v>1341</v>
      </c>
      <c r="I248" s="32" t="n">
        <f aca="false">INDEX(Forecast_Walkforward!$C:$C,H248)</f>
        <v>82</v>
      </c>
      <c r="J248" s="79" t="n">
        <f aca="false">INDEX(Forecast_Walkforward!$E:$E,H248)</f>
        <v>42.75</v>
      </c>
      <c r="K248" s="33" t="n">
        <f aca="false">Baseline_Weeks*J248</f>
        <v>171</v>
      </c>
      <c r="L248" s="46" t="n">
        <f aca="false">SUMIFS(P$245:P247,$B$245:$B247,$B248-$D248)</f>
        <v>0</v>
      </c>
      <c r="M248" s="46" t="n">
        <f aca="false">S247+L248</f>
        <v>92</v>
      </c>
      <c r="N248" s="46" t="n">
        <f aca="false">SUMIFS(P$245:P247,$B$245:$B247,"&gt;"&amp;($B248-$D248))</f>
        <v>40</v>
      </c>
      <c r="O248" s="46" t="n">
        <f aca="false">M248+N248</f>
        <v>132</v>
      </c>
      <c r="P248" s="47" t="n">
        <f aca="false">IF(O248&lt;K248,ROUNDUP((K248-O248)/G248,0)*G248,0)</f>
        <v>40</v>
      </c>
      <c r="Q248" s="46" t="n">
        <f aca="false">MIN(M248,I248)</f>
        <v>82</v>
      </c>
      <c r="R248" s="46" t="n">
        <f aca="false">I248-Q248</f>
        <v>0</v>
      </c>
      <c r="S248" s="46" t="n">
        <f aca="false">M248-Q248</f>
        <v>10</v>
      </c>
      <c r="T248" s="46" t="n">
        <f aca="false">IF(R248&gt;0,1,0)</f>
        <v>0</v>
      </c>
      <c r="U248" s="32" t="n">
        <f aca="false">INDEX(Forecast!$AY$7:$AY$54,C248)</f>
        <v>3</v>
      </c>
      <c r="V248" s="33" t="n">
        <f aca="false">CHOOSE(U248,INDEX(Forecast_Walkforward!$D:$D,H248),INDEX(Forecast_Walkforward!$E:$E,H248),INDEX(Forecast_Walkforward!$F:$F,H248),INDEX(Forecast_Walkforward!$G:$G,H248))</f>
        <v>41</v>
      </c>
      <c r="W248" s="79" t="n">
        <f aca="false">INDEX(Forecast!$BA$7:$BA$54,C248)</f>
        <v>16.6647833117642</v>
      </c>
      <c r="X248" s="33" t="n">
        <f aca="false">Z_Value*W248*SQRT(D248)</f>
        <v>47.4774685931821</v>
      </c>
      <c r="Y248" s="33" t="n">
        <f aca="false">V248*D248+X248</f>
        <v>170.477468593182</v>
      </c>
      <c r="Z248" s="33" t="n">
        <f aca="false">SQRT((2*V248*Weeks_Per_Year*F248)/(E248*Holding_Rate))</f>
        <v>261.779623784151</v>
      </c>
      <c r="AA248" s="46" t="n">
        <f aca="false">ROUNDUP(Z248/G248,0)*G248</f>
        <v>264</v>
      </c>
      <c r="AB248" s="46" t="n">
        <f aca="false">SUMIFS(AF$245:AF247,$B$245:$B247,$B248-$D248)</f>
        <v>0</v>
      </c>
      <c r="AC248" s="46" t="n">
        <f aca="false">AI247+AB248</f>
        <v>92</v>
      </c>
      <c r="AD248" s="46" t="n">
        <f aca="false">SUMIFS(AF$245:AF247,$B$245:$B247,"&gt;"&amp;($B248-$D248))</f>
        <v>280</v>
      </c>
      <c r="AE248" s="46" t="n">
        <f aca="false">AC248+AD248</f>
        <v>372</v>
      </c>
      <c r="AF248" s="47" t="n">
        <f aca="false">IF(AE248&lt;=Y248,AA248,0)</f>
        <v>0</v>
      </c>
      <c r="AG248" s="46" t="n">
        <f aca="false">MIN(AC248,I248)</f>
        <v>82</v>
      </c>
      <c r="AH248" s="46" t="n">
        <f aca="false">I248-AG248</f>
        <v>0</v>
      </c>
      <c r="AI248" s="46" t="n">
        <f aca="false">AC248-AG248</f>
        <v>10</v>
      </c>
      <c r="AJ248" s="46" t="n">
        <f aca="false">IF(AH248&gt;0,1,0)</f>
        <v>0</v>
      </c>
    </row>
    <row r="249" customFormat="false" ht="15" hidden="false" customHeight="false" outlineLevel="0" collapsed="false">
      <c r="A249" s="31" t="str">
        <f aca="false">Inputs!$B$52</f>
        <v>BTH-003</v>
      </c>
      <c r="B249" s="46" t="n">
        <f aca="false">B248+1</f>
        <v>93</v>
      </c>
      <c r="C249" s="46" t="n">
        <f aca="false">MATCH(A249,Inputs!$B$40:$B$87,0)</f>
        <v>13</v>
      </c>
      <c r="D249" s="32" t="n">
        <f aca="false">INDEX(Inputs!$F$40:$F$87,C249)</f>
        <v>3</v>
      </c>
      <c r="E249" s="78" t="n">
        <f aca="false">INDEX(Inputs!$H$40:$H$87,C249)</f>
        <v>14</v>
      </c>
      <c r="F249" s="78" t="n">
        <f aca="false">INDEX(Inputs!$G$40:$G$87,C249)</f>
        <v>45</v>
      </c>
      <c r="G249" s="32" t="n">
        <f aca="false">INDEX(Inputs!$I$40:$I$87,C249)</f>
        <v>8</v>
      </c>
      <c r="H249" s="46" t="n">
        <f aca="false">MATCH(A249,Demand_History!$C:$C,0)+B249-1</f>
        <v>1342</v>
      </c>
      <c r="I249" s="32" t="n">
        <f aca="false">INDEX(Forecast_Walkforward!$C:$C,H249)</f>
        <v>52</v>
      </c>
      <c r="J249" s="79" t="n">
        <f aca="false">INDEX(Forecast_Walkforward!$E:$E,H249)</f>
        <v>59.75</v>
      </c>
      <c r="K249" s="33" t="n">
        <f aca="false">Baseline_Weeks*J249</f>
        <v>239</v>
      </c>
      <c r="L249" s="46" t="n">
        <f aca="false">SUMIFS(P$245:P248,$B$245:$B248,$B249-$D249)</f>
        <v>0</v>
      </c>
      <c r="M249" s="46" t="n">
        <f aca="false">S248+L249</f>
        <v>10</v>
      </c>
      <c r="N249" s="46" t="n">
        <f aca="false">SUMIFS(P$245:P248,$B$245:$B248,"&gt;"&amp;($B249-$D249))</f>
        <v>80</v>
      </c>
      <c r="O249" s="46" t="n">
        <f aca="false">M249+N249</f>
        <v>90</v>
      </c>
      <c r="P249" s="47" t="n">
        <f aca="false">IF(O249&lt;K249,ROUNDUP((K249-O249)/G249,0)*G249,0)</f>
        <v>152</v>
      </c>
      <c r="Q249" s="46" t="n">
        <f aca="false">MIN(M249,I249)</f>
        <v>10</v>
      </c>
      <c r="R249" s="46" t="n">
        <f aca="false">I249-Q249</f>
        <v>42</v>
      </c>
      <c r="S249" s="46" t="n">
        <f aca="false">M249-Q249</f>
        <v>0</v>
      </c>
      <c r="T249" s="46" t="n">
        <f aca="false">IF(R249&gt;0,1,0)</f>
        <v>1</v>
      </c>
      <c r="U249" s="32" t="n">
        <f aca="false">INDEX(Forecast!$AY$7:$AY$54,C249)</f>
        <v>3</v>
      </c>
      <c r="V249" s="33" t="n">
        <f aca="false">CHOOSE(U249,INDEX(Forecast_Walkforward!$D:$D,H249),INDEX(Forecast_Walkforward!$E:$E,H249),INDEX(Forecast_Walkforward!$F:$F,H249),INDEX(Forecast_Walkforward!$G:$G,H249))</f>
        <v>47.125</v>
      </c>
      <c r="W249" s="79" t="n">
        <f aca="false">INDEX(Forecast!$BA$7:$BA$54,C249)</f>
        <v>16.6647833117642</v>
      </c>
      <c r="X249" s="33" t="n">
        <f aca="false">Z_Value*W249*SQRT(D249)</f>
        <v>47.4774685931821</v>
      </c>
      <c r="Y249" s="33" t="n">
        <f aca="false">V249*D249+X249</f>
        <v>188.852468593182</v>
      </c>
      <c r="Z249" s="33" t="n">
        <f aca="false">SQRT((2*V249*Weeks_Per_Year*F249)/(E249*Holding_Rate))</f>
        <v>280.652937680281</v>
      </c>
      <c r="AA249" s="46" t="n">
        <f aca="false">ROUNDUP(Z249/G249,0)*G249</f>
        <v>288</v>
      </c>
      <c r="AB249" s="46" t="n">
        <f aca="false">SUMIFS(AF$245:AF248,$B$245:$B248,$B249-$D249)</f>
        <v>0</v>
      </c>
      <c r="AC249" s="46" t="n">
        <f aca="false">AI248+AB249</f>
        <v>10</v>
      </c>
      <c r="AD249" s="46" t="n">
        <f aca="false">SUMIFS(AF$245:AF248,$B$245:$B248,"&gt;"&amp;($B249-$D249))</f>
        <v>280</v>
      </c>
      <c r="AE249" s="46" t="n">
        <f aca="false">AC249+AD249</f>
        <v>290</v>
      </c>
      <c r="AF249" s="47" t="n">
        <f aca="false">IF(AE249&lt;=Y249,AA249,0)</f>
        <v>0</v>
      </c>
      <c r="AG249" s="46" t="n">
        <f aca="false">MIN(AC249,I249)</f>
        <v>10</v>
      </c>
      <c r="AH249" s="46" t="n">
        <f aca="false">I249-AG249</f>
        <v>42</v>
      </c>
      <c r="AI249" s="46" t="n">
        <f aca="false">AC249-AG249</f>
        <v>0</v>
      </c>
      <c r="AJ249" s="46" t="n">
        <f aca="false">IF(AH249&gt;0,1,0)</f>
        <v>1</v>
      </c>
    </row>
    <row r="250" customFormat="false" ht="15" hidden="false" customHeight="false" outlineLevel="0" collapsed="false">
      <c r="A250" s="31" t="str">
        <f aca="false">Inputs!$B$52</f>
        <v>BTH-003</v>
      </c>
      <c r="B250" s="46" t="n">
        <f aca="false">B249+1</f>
        <v>94</v>
      </c>
      <c r="C250" s="46" t="n">
        <f aca="false">MATCH(A250,Inputs!$B$40:$B$87,0)</f>
        <v>13</v>
      </c>
      <c r="D250" s="32" t="n">
        <f aca="false">INDEX(Inputs!$F$40:$F$87,C250)</f>
        <v>3</v>
      </c>
      <c r="E250" s="78" t="n">
        <f aca="false">INDEX(Inputs!$H$40:$H$87,C250)</f>
        <v>14</v>
      </c>
      <c r="F250" s="78" t="n">
        <f aca="false">INDEX(Inputs!$G$40:$G$87,C250)</f>
        <v>45</v>
      </c>
      <c r="G250" s="32" t="n">
        <f aca="false">INDEX(Inputs!$I$40:$I$87,C250)</f>
        <v>8</v>
      </c>
      <c r="H250" s="46" t="n">
        <f aca="false">MATCH(A250,Demand_History!$C:$C,0)+B250-1</f>
        <v>1343</v>
      </c>
      <c r="I250" s="32" t="n">
        <f aca="false">INDEX(Forecast_Walkforward!$C:$C,H250)</f>
        <v>39</v>
      </c>
      <c r="J250" s="79" t="n">
        <f aca="false">INDEX(Forecast_Walkforward!$E:$E,H250)</f>
        <v>57.25</v>
      </c>
      <c r="K250" s="33" t="n">
        <f aca="false">Baseline_Weeks*J250</f>
        <v>229</v>
      </c>
      <c r="L250" s="46" t="n">
        <f aca="false">SUMIFS(P$245:P249,$B$245:$B249,$B250-$D250)</f>
        <v>40</v>
      </c>
      <c r="M250" s="46" t="n">
        <f aca="false">S249+L250</f>
        <v>40</v>
      </c>
      <c r="N250" s="46" t="n">
        <f aca="false">SUMIFS(P$245:P249,$B$245:$B249,"&gt;"&amp;($B250-$D250))</f>
        <v>192</v>
      </c>
      <c r="O250" s="46" t="n">
        <f aca="false">M250+N250</f>
        <v>232</v>
      </c>
      <c r="P250" s="47" t="n">
        <f aca="false">IF(O250&lt;K250,ROUNDUP((K250-O250)/G250,0)*G250,0)</f>
        <v>0</v>
      </c>
      <c r="Q250" s="46" t="n">
        <f aca="false">MIN(M250,I250)</f>
        <v>39</v>
      </c>
      <c r="R250" s="46" t="n">
        <f aca="false">I250-Q250</f>
        <v>0</v>
      </c>
      <c r="S250" s="46" t="n">
        <f aca="false">M250-Q250</f>
        <v>1</v>
      </c>
      <c r="T250" s="46" t="n">
        <f aca="false">IF(R250&gt;0,1,0)</f>
        <v>0</v>
      </c>
      <c r="U250" s="32" t="n">
        <f aca="false">INDEX(Forecast!$AY$7:$AY$54,C250)</f>
        <v>3</v>
      </c>
      <c r="V250" s="33" t="n">
        <f aca="false">CHOOSE(U250,INDEX(Forecast_Walkforward!$D:$D,H250),INDEX(Forecast_Walkforward!$E:$E,H250),INDEX(Forecast_Walkforward!$F:$F,H250),INDEX(Forecast_Walkforward!$G:$G,H250))</f>
        <v>50</v>
      </c>
      <c r="W250" s="79" t="n">
        <f aca="false">INDEX(Forecast!$BA$7:$BA$54,C250)</f>
        <v>16.6647833117642</v>
      </c>
      <c r="X250" s="33" t="n">
        <f aca="false">Z_Value*W250*SQRT(D250)</f>
        <v>47.4774685931821</v>
      </c>
      <c r="Y250" s="33" t="n">
        <f aca="false">V250*D250+X250</f>
        <v>197.477468593182</v>
      </c>
      <c r="Z250" s="33" t="n">
        <f aca="false">SQRT((2*V250*Weeks_Per_Year*F250)/(E250*Holding_Rate))</f>
        <v>289.087233497829</v>
      </c>
      <c r="AA250" s="46" t="n">
        <f aca="false">ROUNDUP(Z250/G250,0)*G250</f>
        <v>296</v>
      </c>
      <c r="AB250" s="46" t="n">
        <f aca="false">SUMIFS(AF$245:AF249,$B$245:$B249,$B250-$D250)</f>
        <v>280</v>
      </c>
      <c r="AC250" s="46" t="n">
        <f aca="false">AI249+AB250</f>
        <v>280</v>
      </c>
      <c r="AD250" s="46" t="n">
        <f aca="false">SUMIFS(AF$245:AF249,$B$245:$B249,"&gt;"&amp;($B250-$D250))</f>
        <v>0</v>
      </c>
      <c r="AE250" s="46" t="n">
        <f aca="false">AC250+AD250</f>
        <v>280</v>
      </c>
      <c r="AF250" s="47" t="n">
        <f aca="false">IF(AE250&lt;=Y250,AA250,0)</f>
        <v>0</v>
      </c>
      <c r="AG250" s="46" t="n">
        <f aca="false">MIN(AC250,I250)</f>
        <v>39</v>
      </c>
      <c r="AH250" s="46" t="n">
        <f aca="false">I250-AG250</f>
        <v>0</v>
      </c>
      <c r="AI250" s="46" t="n">
        <f aca="false">AC250-AG250</f>
        <v>241</v>
      </c>
      <c r="AJ250" s="46" t="n">
        <f aca="false">IF(AH250&gt;0,1,0)</f>
        <v>0</v>
      </c>
    </row>
    <row r="251" customFormat="false" ht="15" hidden="false" customHeight="false" outlineLevel="0" collapsed="false">
      <c r="A251" s="31" t="str">
        <f aca="false">Inputs!$B$52</f>
        <v>BTH-003</v>
      </c>
      <c r="B251" s="46" t="n">
        <f aca="false">B250+1</f>
        <v>95</v>
      </c>
      <c r="C251" s="46" t="n">
        <f aca="false">MATCH(A251,Inputs!$B$40:$B$87,0)</f>
        <v>13</v>
      </c>
      <c r="D251" s="32" t="n">
        <f aca="false">INDEX(Inputs!$F$40:$F$87,C251)</f>
        <v>3</v>
      </c>
      <c r="E251" s="78" t="n">
        <f aca="false">INDEX(Inputs!$H$40:$H$87,C251)</f>
        <v>14</v>
      </c>
      <c r="F251" s="78" t="n">
        <f aca="false">INDEX(Inputs!$G$40:$G$87,C251)</f>
        <v>45</v>
      </c>
      <c r="G251" s="32" t="n">
        <f aca="false">INDEX(Inputs!$I$40:$I$87,C251)</f>
        <v>8</v>
      </c>
      <c r="H251" s="46" t="n">
        <f aca="false">MATCH(A251,Demand_History!$C:$C,0)+B251-1</f>
        <v>1344</v>
      </c>
      <c r="I251" s="32" t="n">
        <f aca="false">INDEX(Forecast_Walkforward!$C:$C,H251)</f>
        <v>52</v>
      </c>
      <c r="J251" s="79" t="n">
        <f aca="false">INDEX(Forecast_Walkforward!$E:$E,H251)</f>
        <v>54</v>
      </c>
      <c r="K251" s="33" t="n">
        <f aca="false">Baseline_Weeks*J251</f>
        <v>216</v>
      </c>
      <c r="L251" s="46" t="n">
        <f aca="false">SUMIFS(P$245:P250,$B$245:$B250,$B251-$D251)</f>
        <v>40</v>
      </c>
      <c r="M251" s="46" t="n">
        <f aca="false">S250+L251</f>
        <v>41</v>
      </c>
      <c r="N251" s="46" t="n">
        <f aca="false">SUMIFS(P$245:P250,$B$245:$B250,"&gt;"&amp;($B251-$D251))</f>
        <v>152</v>
      </c>
      <c r="O251" s="46" t="n">
        <f aca="false">M251+N251</f>
        <v>193</v>
      </c>
      <c r="P251" s="47" t="n">
        <f aca="false">IF(O251&lt;K251,ROUNDUP((K251-O251)/G251,0)*G251,0)</f>
        <v>24</v>
      </c>
      <c r="Q251" s="46" t="n">
        <f aca="false">MIN(M251,I251)</f>
        <v>41</v>
      </c>
      <c r="R251" s="46" t="n">
        <f aca="false">I251-Q251</f>
        <v>11</v>
      </c>
      <c r="S251" s="46" t="n">
        <f aca="false">M251-Q251</f>
        <v>0</v>
      </c>
      <c r="T251" s="46" t="n">
        <f aca="false">IF(R251&gt;0,1,0)</f>
        <v>1</v>
      </c>
      <c r="U251" s="32" t="n">
        <f aca="false">INDEX(Forecast!$AY$7:$AY$54,C251)</f>
        <v>3</v>
      </c>
      <c r="V251" s="33" t="n">
        <f aca="false">CHOOSE(U251,INDEX(Forecast_Walkforward!$D:$D,H251),INDEX(Forecast_Walkforward!$E:$E,H251),INDEX(Forecast_Walkforward!$F:$F,H251),INDEX(Forecast_Walkforward!$G:$G,H251))</f>
        <v>48</v>
      </c>
      <c r="W251" s="79" t="n">
        <f aca="false">INDEX(Forecast!$BA$7:$BA$54,C251)</f>
        <v>16.6647833117642</v>
      </c>
      <c r="X251" s="33" t="n">
        <f aca="false">Z_Value*W251*SQRT(D251)</f>
        <v>47.4774685931821</v>
      </c>
      <c r="Y251" s="33" t="n">
        <f aca="false">V251*D251+X251</f>
        <v>191.477468593182</v>
      </c>
      <c r="Z251" s="33" t="n">
        <f aca="false">SQRT((2*V251*Weeks_Per_Year*F251)/(E251*Holding_Rate))</f>
        <v>283.246485289</v>
      </c>
      <c r="AA251" s="46" t="n">
        <f aca="false">ROUNDUP(Z251/G251,0)*G251</f>
        <v>288</v>
      </c>
      <c r="AB251" s="46" t="n">
        <f aca="false">SUMIFS(AF$245:AF250,$B$245:$B250,$B251-$D251)</f>
        <v>0</v>
      </c>
      <c r="AC251" s="46" t="n">
        <f aca="false">AI250+AB251</f>
        <v>241</v>
      </c>
      <c r="AD251" s="46" t="n">
        <f aca="false">SUMIFS(AF$245:AF250,$B$245:$B250,"&gt;"&amp;($B251-$D251))</f>
        <v>0</v>
      </c>
      <c r="AE251" s="46" t="n">
        <f aca="false">AC251+AD251</f>
        <v>241</v>
      </c>
      <c r="AF251" s="47" t="n">
        <f aca="false">IF(AE251&lt;=Y251,AA251,0)</f>
        <v>0</v>
      </c>
      <c r="AG251" s="46" t="n">
        <f aca="false">MIN(AC251,I251)</f>
        <v>52</v>
      </c>
      <c r="AH251" s="46" t="n">
        <f aca="false">I251-AG251</f>
        <v>0</v>
      </c>
      <c r="AI251" s="46" t="n">
        <f aca="false">AC251-AG251</f>
        <v>189</v>
      </c>
      <c r="AJ251" s="46" t="n">
        <f aca="false">IF(AH251&gt;0,1,0)</f>
        <v>0</v>
      </c>
    </row>
    <row r="252" customFormat="false" ht="15" hidden="false" customHeight="false" outlineLevel="0" collapsed="false">
      <c r="A252" s="31" t="str">
        <f aca="false">Inputs!$B$52</f>
        <v>BTH-003</v>
      </c>
      <c r="B252" s="46" t="n">
        <f aca="false">B251+1</f>
        <v>96</v>
      </c>
      <c r="C252" s="46" t="n">
        <f aca="false">MATCH(A252,Inputs!$B$40:$B$87,0)</f>
        <v>13</v>
      </c>
      <c r="D252" s="32" t="n">
        <f aca="false">INDEX(Inputs!$F$40:$F$87,C252)</f>
        <v>3</v>
      </c>
      <c r="E252" s="78" t="n">
        <f aca="false">INDEX(Inputs!$H$40:$H$87,C252)</f>
        <v>14</v>
      </c>
      <c r="F252" s="78" t="n">
        <f aca="false">INDEX(Inputs!$G$40:$G$87,C252)</f>
        <v>45</v>
      </c>
      <c r="G252" s="32" t="n">
        <f aca="false">INDEX(Inputs!$I$40:$I$87,C252)</f>
        <v>8</v>
      </c>
      <c r="H252" s="46" t="n">
        <f aca="false">MATCH(A252,Demand_History!$C:$C,0)+B252-1</f>
        <v>1345</v>
      </c>
      <c r="I252" s="32" t="n">
        <f aca="false">INDEX(Forecast_Walkforward!$C:$C,H252)</f>
        <v>34</v>
      </c>
      <c r="J252" s="79" t="n">
        <f aca="false">INDEX(Forecast_Walkforward!$E:$E,H252)</f>
        <v>56.25</v>
      </c>
      <c r="K252" s="33" t="n">
        <f aca="false">Baseline_Weeks*J252</f>
        <v>225</v>
      </c>
      <c r="L252" s="46" t="n">
        <f aca="false">SUMIFS(P$245:P251,$B$245:$B251,$B252-$D252)</f>
        <v>152</v>
      </c>
      <c r="M252" s="46" t="n">
        <f aca="false">S251+L252</f>
        <v>152</v>
      </c>
      <c r="N252" s="46" t="n">
        <f aca="false">SUMIFS(P$245:P251,$B$245:$B251,"&gt;"&amp;($B252-$D252))</f>
        <v>24</v>
      </c>
      <c r="O252" s="46" t="n">
        <f aca="false">M252+N252</f>
        <v>176</v>
      </c>
      <c r="P252" s="47" t="n">
        <f aca="false">IF(O252&lt;K252,ROUNDUP((K252-O252)/G252,0)*G252,0)</f>
        <v>56</v>
      </c>
      <c r="Q252" s="46" t="n">
        <f aca="false">MIN(M252,I252)</f>
        <v>34</v>
      </c>
      <c r="R252" s="46" t="n">
        <f aca="false">I252-Q252</f>
        <v>0</v>
      </c>
      <c r="S252" s="46" t="n">
        <f aca="false">M252-Q252</f>
        <v>118</v>
      </c>
      <c r="T252" s="46" t="n">
        <f aca="false">IF(R252&gt;0,1,0)</f>
        <v>0</v>
      </c>
      <c r="U252" s="32" t="n">
        <f aca="false">INDEX(Forecast!$AY$7:$AY$54,C252)</f>
        <v>3</v>
      </c>
      <c r="V252" s="33" t="n">
        <f aca="false">CHOOSE(U252,INDEX(Forecast_Walkforward!$D:$D,H252),INDEX(Forecast_Walkforward!$E:$E,H252),INDEX(Forecast_Walkforward!$F:$F,H252),INDEX(Forecast_Walkforward!$G:$G,H252))</f>
        <v>49.5</v>
      </c>
      <c r="W252" s="79" t="n">
        <f aca="false">INDEX(Forecast!$BA$7:$BA$54,C252)</f>
        <v>16.6647833117642</v>
      </c>
      <c r="X252" s="33" t="n">
        <f aca="false">Z_Value*W252*SQRT(D252)</f>
        <v>47.4774685931821</v>
      </c>
      <c r="Y252" s="33" t="n">
        <f aca="false">V252*D252+X252</f>
        <v>195.977468593182</v>
      </c>
      <c r="Z252" s="33" t="n">
        <f aca="false">SQRT((2*V252*Weeks_Per_Year*F252)/(E252*Holding_Rate))</f>
        <v>287.638165558248</v>
      </c>
      <c r="AA252" s="46" t="n">
        <f aca="false">ROUNDUP(Z252/G252,0)*G252</f>
        <v>288</v>
      </c>
      <c r="AB252" s="46" t="n">
        <f aca="false">SUMIFS(AF$245:AF251,$B$245:$B251,$B252-$D252)</f>
        <v>0</v>
      </c>
      <c r="AC252" s="46" t="n">
        <f aca="false">AI251+AB252</f>
        <v>189</v>
      </c>
      <c r="AD252" s="46" t="n">
        <f aca="false">SUMIFS(AF$245:AF251,$B$245:$B251,"&gt;"&amp;($B252-$D252))</f>
        <v>0</v>
      </c>
      <c r="AE252" s="46" t="n">
        <f aca="false">AC252+AD252</f>
        <v>189</v>
      </c>
      <c r="AF252" s="47" t="n">
        <f aca="false">IF(AE252&lt;=Y252,AA252,0)</f>
        <v>288</v>
      </c>
      <c r="AG252" s="46" t="n">
        <f aca="false">MIN(AC252,I252)</f>
        <v>34</v>
      </c>
      <c r="AH252" s="46" t="n">
        <f aca="false">I252-AG252</f>
        <v>0</v>
      </c>
      <c r="AI252" s="46" t="n">
        <f aca="false">AC252-AG252</f>
        <v>155</v>
      </c>
      <c r="AJ252" s="46" t="n">
        <f aca="false">IF(AH252&gt;0,1,0)</f>
        <v>0</v>
      </c>
    </row>
    <row r="253" customFormat="false" ht="15" hidden="false" customHeight="false" outlineLevel="0" collapsed="false">
      <c r="A253" s="31" t="str">
        <f aca="false">Inputs!$B$52</f>
        <v>BTH-003</v>
      </c>
      <c r="B253" s="46" t="n">
        <f aca="false">B252+1</f>
        <v>97</v>
      </c>
      <c r="C253" s="46" t="n">
        <f aca="false">MATCH(A253,Inputs!$B$40:$B$87,0)</f>
        <v>13</v>
      </c>
      <c r="D253" s="32" t="n">
        <f aca="false">INDEX(Inputs!$F$40:$F$87,C253)</f>
        <v>3</v>
      </c>
      <c r="E253" s="78" t="n">
        <f aca="false">INDEX(Inputs!$H$40:$H$87,C253)</f>
        <v>14</v>
      </c>
      <c r="F253" s="78" t="n">
        <f aca="false">INDEX(Inputs!$G$40:$G$87,C253)</f>
        <v>45</v>
      </c>
      <c r="G253" s="32" t="n">
        <f aca="false">INDEX(Inputs!$I$40:$I$87,C253)</f>
        <v>8</v>
      </c>
      <c r="H253" s="46" t="n">
        <f aca="false">MATCH(A253,Demand_History!$C:$C,0)+B253-1</f>
        <v>1346</v>
      </c>
      <c r="I253" s="32" t="n">
        <f aca="false">INDEX(Forecast_Walkforward!$C:$C,H253)</f>
        <v>38</v>
      </c>
      <c r="J253" s="79" t="n">
        <f aca="false">INDEX(Forecast_Walkforward!$E:$E,H253)</f>
        <v>44.25</v>
      </c>
      <c r="K253" s="33" t="n">
        <f aca="false">Baseline_Weeks*J253</f>
        <v>177</v>
      </c>
      <c r="L253" s="46" t="n">
        <f aca="false">SUMIFS(P$245:P252,$B$245:$B252,$B253-$D253)</f>
        <v>0</v>
      </c>
      <c r="M253" s="46" t="n">
        <f aca="false">S252+L253</f>
        <v>118</v>
      </c>
      <c r="N253" s="46" t="n">
        <f aca="false">SUMIFS(P$245:P252,$B$245:$B252,"&gt;"&amp;($B253-$D253))</f>
        <v>80</v>
      </c>
      <c r="O253" s="46" t="n">
        <f aca="false">M253+N253</f>
        <v>198</v>
      </c>
      <c r="P253" s="47" t="n">
        <f aca="false">IF(O253&lt;K253,ROUNDUP((K253-O253)/G253,0)*G253,0)</f>
        <v>0</v>
      </c>
      <c r="Q253" s="46" t="n">
        <f aca="false">MIN(M253,I253)</f>
        <v>38</v>
      </c>
      <c r="R253" s="46" t="n">
        <f aca="false">I253-Q253</f>
        <v>0</v>
      </c>
      <c r="S253" s="46" t="n">
        <f aca="false">M253-Q253</f>
        <v>80</v>
      </c>
      <c r="T253" s="46" t="n">
        <f aca="false">IF(R253&gt;0,1,0)</f>
        <v>0</v>
      </c>
      <c r="U253" s="32" t="n">
        <f aca="false">INDEX(Forecast!$AY$7:$AY$54,C253)</f>
        <v>3</v>
      </c>
      <c r="V253" s="33" t="n">
        <f aca="false">CHOOSE(U253,INDEX(Forecast_Walkforward!$D:$D,H253),INDEX(Forecast_Walkforward!$E:$E,H253),INDEX(Forecast_Walkforward!$F:$F,H253),INDEX(Forecast_Walkforward!$G:$G,H253))</f>
        <v>52</v>
      </c>
      <c r="W253" s="79" t="n">
        <f aca="false">INDEX(Forecast!$BA$7:$BA$54,C253)</f>
        <v>16.6647833117642</v>
      </c>
      <c r="X253" s="33" t="n">
        <f aca="false">Z_Value*W253*SQRT(D253)</f>
        <v>47.4774685931821</v>
      </c>
      <c r="Y253" s="33" t="n">
        <f aca="false">V253*D253+X253</f>
        <v>203.477468593182</v>
      </c>
      <c r="Z253" s="33" t="n">
        <f aca="false">SQRT((2*V253*Weeks_Per_Year*F253)/(E253*Holding_Rate))</f>
        <v>294.812288947197</v>
      </c>
      <c r="AA253" s="46" t="n">
        <f aca="false">ROUNDUP(Z253/G253,0)*G253</f>
        <v>296</v>
      </c>
      <c r="AB253" s="46" t="n">
        <f aca="false">SUMIFS(AF$245:AF252,$B$245:$B252,$B253-$D253)</f>
        <v>0</v>
      </c>
      <c r="AC253" s="46" t="n">
        <f aca="false">AI252+AB253</f>
        <v>155</v>
      </c>
      <c r="AD253" s="46" t="n">
        <f aca="false">SUMIFS(AF$245:AF252,$B$245:$B252,"&gt;"&amp;($B253-$D253))</f>
        <v>288</v>
      </c>
      <c r="AE253" s="46" t="n">
        <f aca="false">AC253+AD253</f>
        <v>443</v>
      </c>
      <c r="AF253" s="47" t="n">
        <f aca="false">IF(AE253&lt;=Y253,AA253,0)</f>
        <v>0</v>
      </c>
      <c r="AG253" s="46" t="n">
        <f aca="false">MIN(AC253,I253)</f>
        <v>38</v>
      </c>
      <c r="AH253" s="46" t="n">
        <f aca="false">I253-AG253</f>
        <v>0</v>
      </c>
      <c r="AI253" s="46" t="n">
        <f aca="false">AC253-AG253</f>
        <v>117</v>
      </c>
      <c r="AJ253" s="46" t="n">
        <f aca="false">IF(AH253&gt;0,1,0)</f>
        <v>0</v>
      </c>
    </row>
    <row r="254" customFormat="false" ht="15" hidden="false" customHeight="false" outlineLevel="0" collapsed="false">
      <c r="A254" s="31" t="str">
        <f aca="false">Inputs!$B$52</f>
        <v>BTH-003</v>
      </c>
      <c r="B254" s="46" t="n">
        <f aca="false">B253+1</f>
        <v>98</v>
      </c>
      <c r="C254" s="46" t="n">
        <f aca="false">MATCH(A254,Inputs!$B$40:$B$87,0)</f>
        <v>13</v>
      </c>
      <c r="D254" s="32" t="n">
        <f aca="false">INDEX(Inputs!$F$40:$F$87,C254)</f>
        <v>3</v>
      </c>
      <c r="E254" s="78" t="n">
        <f aca="false">INDEX(Inputs!$H$40:$H$87,C254)</f>
        <v>14</v>
      </c>
      <c r="F254" s="78" t="n">
        <f aca="false">INDEX(Inputs!$G$40:$G$87,C254)</f>
        <v>45</v>
      </c>
      <c r="G254" s="32" t="n">
        <f aca="false">INDEX(Inputs!$I$40:$I$87,C254)</f>
        <v>8</v>
      </c>
      <c r="H254" s="46" t="n">
        <f aca="false">MATCH(A254,Demand_History!$C:$C,0)+B254-1</f>
        <v>1347</v>
      </c>
      <c r="I254" s="32" t="n">
        <f aca="false">INDEX(Forecast_Walkforward!$C:$C,H254)</f>
        <v>56</v>
      </c>
      <c r="J254" s="79" t="n">
        <f aca="false">INDEX(Forecast_Walkforward!$E:$E,H254)</f>
        <v>40.75</v>
      </c>
      <c r="K254" s="33" t="n">
        <f aca="false">Baseline_Weeks*J254</f>
        <v>163</v>
      </c>
      <c r="L254" s="46" t="n">
        <f aca="false">SUMIFS(P$245:P253,$B$245:$B253,$B254-$D254)</f>
        <v>24</v>
      </c>
      <c r="M254" s="46" t="n">
        <f aca="false">S253+L254</f>
        <v>104</v>
      </c>
      <c r="N254" s="46" t="n">
        <f aca="false">SUMIFS(P$245:P253,$B$245:$B253,"&gt;"&amp;($B254-$D254))</f>
        <v>56</v>
      </c>
      <c r="O254" s="46" t="n">
        <f aca="false">M254+N254</f>
        <v>160</v>
      </c>
      <c r="P254" s="47" t="n">
        <f aca="false">IF(O254&lt;K254,ROUNDUP((K254-O254)/G254,0)*G254,0)</f>
        <v>8</v>
      </c>
      <c r="Q254" s="46" t="n">
        <f aca="false">MIN(M254,I254)</f>
        <v>56</v>
      </c>
      <c r="R254" s="46" t="n">
        <f aca="false">I254-Q254</f>
        <v>0</v>
      </c>
      <c r="S254" s="46" t="n">
        <f aca="false">M254-Q254</f>
        <v>48</v>
      </c>
      <c r="T254" s="46" t="n">
        <f aca="false">IF(R254&gt;0,1,0)</f>
        <v>0</v>
      </c>
      <c r="U254" s="32" t="n">
        <f aca="false">INDEX(Forecast!$AY$7:$AY$54,C254)</f>
        <v>3</v>
      </c>
      <c r="V254" s="33" t="n">
        <f aca="false">CHOOSE(U254,INDEX(Forecast_Walkforward!$D:$D,H254),INDEX(Forecast_Walkforward!$E:$E,H254),INDEX(Forecast_Walkforward!$F:$F,H254),INDEX(Forecast_Walkforward!$G:$G,H254))</f>
        <v>49</v>
      </c>
      <c r="W254" s="79" t="n">
        <f aca="false">INDEX(Forecast!$BA$7:$BA$54,C254)</f>
        <v>16.6647833117642</v>
      </c>
      <c r="X254" s="33" t="n">
        <f aca="false">Z_Value*W254*SQRT(D254)</f>
        <v>47.4774685931821</v>
      </c>
      <c r="Y254" s="33" t="n">
        <f aca="false">V254*D254+X254</f>
        <v>194.477468593182</v>
      </c>
      <c r="Z254" s="33" t="n">
        <f aca="false">SQRT((2*V254*Weeks_Per_Year*F254)/(E254*Holding_Rate))</f>
        <v>286.181760425084</v>
      </c>
      <c r="AA254" s="46" t="n">
        <f aca="false">ROUNDUP(Z254/G254,0)*G254</f>
        <v>288</v>
      </c>
      <c r="AB254" s="46" t="n">
        <f aca="false">SUMIFS(AF$245:AF253,$B$245:$B253,$B254-$D254)</f>
        <v>0</v>
      </c>
      <c r="AC254" s="46" t="n">
        <f aca="false">AI253+AB254</f>
        <v>117</v>
      </c>
      <c r="AD254" s="46" t="n">
        <f aca="false">SUMIFS(AF$245:AF253,$B$245:$B253,"&gt;"&amp;($B254-$D254))</f>
        <v>288</v>
      </c>
      <c r="AE254" s="46" t="n">
        <f aca="false">AC254+AD254</f>
        <v>405</v>
      </c>
      <c r="AF254" s="47" t="n">
        <f aca="false">IF(AE254&lt;=Y254,AA254,0)</f>
        <v>0</v>
      </c>
      <c r="AG254" s="46" t="n">
        <f aca="false">MIN(AC254,I254)</f>
        <v>56</v>
      </c>
      <c r="AH254" s="46" t="n">
        <f aca="false">I254-AG254</f>
        <v>0</v>
      </c>
      <c r="AI254" s="46" t="n">
        <f aca="false">AC254-AG254</f>
        <v>61</v>
      </c>
      <c r="AJ254" s="46" t="n">
        <f aca="false">IF(AH254&gt;0,1,0)</f>
        <v>0</v>
      </c>
    </row>
    <row r="255" customFormat="false" ht="15" hidden="false" customHeight="false" outlineLevel="0" collapsed="false">
      <c r="A255" s="31" t="str">
        <f aca="false">Inputs!$B$52</f>
        <v>BTH-003</v>
      </c>
      <c r="B255" s="46" t="n">
        <f aca="false">B254+1</f>
        <v>99</v>
      </c>
      <c r="C255" s="46" t="n">
        <f aca="false">MATCH(A255,Inputs!$B$40:$B$87,0)</f>
        <v>13</v>
      </c>
      <c r="D255" s="32" t="n">
        <f aca="false">INDEX(Inputs!$F$40:$F$87,C255)</f>
        <v>3</v>
      </c>
      <c r="E255" s="78" t="n">
        <f aca="false">INDEX(Inputs!$H$40:$H$87,C255)</f>
        <v>14</v>
      </c>
      <c r="F255" s="78" t="n">
        <f aca="false">INDEX(Inputs!$G$40:$G$87,C255)</f>
        <v>45</v>
      </c>
      <c r="G255" s="32" t="n">
        <f aca="false">INDEX(Inputs!$I$40:$I$87,C255)</f>
        <v>8</v>
      </c>
      <c r="H255" s="46" t="n">
        <f aca="false">MATCH(A255,Demand_History!$C:$C,0)+B255-1</f>
        <v>1348</v>
      </c>
      <c r="I255" s="32" t="n">
        <f aca="false">INDEX(Forecast_Walkforward!$C:$C,H255)</f>
        <v>42</v>
      </c>
      <c r="J255" s="79" t="n">
        <f aca="false">INDEX(Forecast_Walkforward!$E:$E,H255)</f>
        <v>45</v>
      </c>
      <c r="K255" s="33" t="n">
        <f aca="false">Baseline_Weeks*J255</f>
        <v>180</v>
      </c>
      <c r="L255" s="46" t="n">
        <f aca="false">SUMIFS(P$245:P254,$B$245:$B254,$B255-$D255)</f>
        <v>56</v>
      </c>
      <c r="M255" s="46" t="n">
        <f aca="false">S254+L255</f>
        <v>104</v>
      </c>
      <c r="N255" s="46" t="n">
        <f aca="false">SUMIFS(P$245:P254,$B$245:$B254,"&gt;"&amp;($B255-$D255))</f>
        <v>8</v>
      </c>
      <c r="O255" s="46" t="n">
        <f aca="false">M255+N255</f>
        <v>112</v>
      </c>
      <c r="P255" s="47" t="n">
        <f aca="false">IF(O255&lt;K255,ROUNDUP((K255-O255)/G255,0)*G255,0)</f>
        <v>72</v>
      </c>
      <c r="Q255" s="46" t="n">
        <f aca="false">MIN(M255,I255)</f>
        <v>42</v>
      </c>
      <c r="R255" s="46" t="n">
        <f aca="false">I255-Q255</f>
        <v>0</v>
      </c>
      <c r="S255" s="46" t="n">
        <f aca="false">M255-Q255</f>
        <v>62</v>
      </c>
      <c r="T255" s="46" t="n">
        <f aca="false">IF(R255&gt;0,1,0)</f>
        <v>0</v>
      </c>
      <c r="U255" s="32" t="n">
        <f aca="false">INDEX(Forecast!$AY$7:$AY$54,C255)</f>
        <v>3</v>
      </c>
      <c r="V255" s="33" t="n">
        <f aca="false">CHOOSE(U255,INDEX(Forecast_Walkforward!$D:$D,H255),INDEX(Forecast_Walkforward!$E:$E,H255),INDEX(Forecast_Walkforward!$F:$F,H255),INDEX(Forecast_Walkforward!$G:$G,H255))</f>
        <v>49.5</v>
      </c>
      <c r="W255" s="79" t="n">
        <f aca="false">INDEX(Forecast!$BA$7:$BA$54,C255)</f>
        <v>16.6647833117642</v>
      </c>
      <c r="X255" s="33" t="n">
        <f aca="false">Z_Value*W255*SQRT(D255)</f>
        <v>47.4774685931821</v>
      </c>
      <c r="Y255" s="33" t="n">
        <f aca="false">V255*D255+X255</f>
        <v>195.977468593182</v>
      </c>
      <c r="Z255" s="33" t="n">
        <f aca="false">SQRT((2*V255*Weeks_Per_Year*F255)/(E255*Holding_Rate))</f>
        <v>287.638165558248</v>
      </c>
      <c r="AA255" s="46" t="n">
        <f aca="false">ROUNDUP(Z255/G255,0)*G255</f>
        <v>288</v>
      </c>
      <c r="AB255" s="46" t="n">
        <f aca="false">SUMIFS(AF$245:AF254,$B$245:$B254,$B255-$D255)</f>
        <v>288</v>
      </c>
      <c r="AC255" s="46" t="n">
        <f aca="false">AI254+AB255</f>
        <v>349</v>
      </c>
      <c r="AD255" s="46" t="n">
        <f aca="false">SUMIFS(AF$245:AF254,$B$245:$B254,"&gt;"&amp;($B255-$D255))</f>
        <v>0</v>
      </c>
      <c r="AE255" s="46" t="n">
        <f aca="false">AC255+AD255</f>
        <v>349</v>
      </c>
      <c r="AF255" s="47" t="n">
        <f aca="false">IF(AE255&lt;=Y255,AA255,0)</f>
        <v>0</v>
      </c>
      <c r="AG255" s="46" t="n">
        <f aca="false">MIN(AC255,I255)</f>
        <v>42</v>
      </c>
      <c r="AH255" s="46" t="n">
        <f aca="false">I255-AG255</f>
        <v>0</v>
      </c>
      <c r="AI255" s="46" t="n">
        <f aca="false">AC255-AG255</f>
        <v>307</v>
      </c>
      <c r="AJ255" s="46" t="n">
        <f aca="false">IF(AH255&gt;0,1,0)</f>
        <v>0</v>
      </c>
    </row>
    <row r="256" customFormat="false" ht="15" hidden="false" customHeight="false" outlineLevel="0" collapsed="false">
      <c r="A256" s="31" t="str">
        <f aca="false">Inputs!$B$52</f>
        <v>BTH-003</v>
      </c>
      <c r="B256" s="46" t="n">
        <f aca="false">B255+1</f>
        <v>100</v>
      </c>
      <c r="C256" s="46" t="n">
        <f aca="false">MATCH(A256,Inputs!$B$40:$B$87,0)</f>
        <v>13</v>
      </c>
      <c r="D256" s="32" t="n">
        <f aca="false">INDEX(Inputs!$F$40:$F$87,C256)</f>
        <v>3</v>
      </c>
      <c r="E256" s="78" t="n">
        <f aca="false">INDEX(Inputs!$H$40:$H$87,C256)</f>
        <v>14</v>
      </c>
      <c r="F256" s="78" t="n">
        <f aca="false">INDEX(Inputs!$G$40:$G$87,C256)</f>
        <v>45</v>
      </c>
      <c r="G256" s="32" t="n">
        <f aca="false">INDEX(Inputs!$I$40:$I$87,C256)</f>
        <v>8</v>
      </c>
      <c r="H256" s="46" t="n">
        <f aca="false">MATCH(A256,Demand_History!$C:$C,0)+B256-1</f>
        <v>1349</v>
      </c>
      <c r="I256" s="32" t="n">
        <f aca="false">INDEX(Forecast_Walkforward!$C:$C,H256)</f>
        <v>43</v>
      </c>
      <c r="J256" s="79" t="n">
        <f aca="false">INDEX(Forecast_Walkforward!$E:$E,H256)</f>
        <v>42.5</v>
      </c>
      <c r="K256" s="33" t="n">
        <f aca="false">Baseline_Weeks*J256</f>
        <v>170</v>
      </c>
      <c r="L256" s="46" t="n">
        <f aca="false">SUMIFS(P$245:P255,$B$245:$B255,$B256-$D256)</f>
        <v>0</v>
      </c>
      <c r="M256" s="46" t="n">
        <f aca="false">S255+L256</f>
        <v>62</v>
      </c>
      <c r="N256" s="46" t="n">
        <f aca="false">SUMIFS(P$245:P255,$B$245:$B255,"&gt;"&amp;($B256-$D256))</f>
        <v>80</v>
      </c>
      <c r="O256" s="46" t="n">
        <f aca="false">M256+N256</f>
        <v>142</v>
      </c>
      <c r="P256" s="47" t="n">
        <f aca="false">IF(O256&lt;K256,ROUNDUP((K256-O256)/G256,0)*G256,0)</f>
        <v>32</v>
      </c>
      <c r="Q256" s="46" t="n">
        <f aca="false">MIN(M256,I256)</f>
        <v>43</v>
      </c>
      <c r="R256" s="46" t="n">
        <f aca="false">I256-Q256</f>
        <v>0</v>
      </c>
      <c r="S256" s="46" t="n">
        <f aca="false">M256-Q256</f>
        <v>19</v>
      </c>
      <c r="T256" s="46" t="n">
        <f aca="false">IF(R256&gt;0,1,0)</f>
        <v>0</v>
      </c>
      <c r="U256" s="32" t="n">
        <f aca="false">INDEX(Forecast!$AY$7:$AY$54,C256)</f>
        <v>3</v>
      </c>
      <c r="V256" s="33" t="n">
        <f aca="false">CHOOSE(U256,INDEX(Forecast_Walkforward!$D:$D,H256),INDEX(Forecast_Walkforward!$E:$E,H256),INDEX(Forecast_Walkforward!$F:$F,H256),INDEX(Forecast_Walkforward!$G:$G,H256))</f>
        <v>49.375</v>
      </c>
      <c r="W256" s="79" t="n">
        <f aca="false">INDEX(Forecast!$BA$7:$BA$54,C256)</f>
        <v>16.6647833117642</v>
      </c>
      <c r="X256" s="33" t="n">
        <f aca="false">Z_Value*W256*SQRT(D256)</f>
        <v>47.4774685931821</v>
      </c>
      <c r="Y256" s="33" t="n">
        <f aca="false">V256*D256+X256</f>
        <v>195.602468593182</v>
      </c>
      <c r="Z256" s="33" t="n">
        <f aca="false">SQRT((2*V256*Weeks_Per_Year*F256)/(E256*Holding_Rate))</f>
        <v>287.27475648634</v>
      </c>
      <c r="AA256" s="46" t="n">
        <f aca="false">ROUNDUP(Z256/G256,0)*G256</f>
        <v>288</v>
      </c>
      <c r="AB256" s="46" t="n">
        <f aca="false">SUMIFS(AF$245:AF255,$B$245:$B255,$B256-$D256)</f>
        <v>0</v>
      </c>
      <c r="AC256" s="46" t="n">
        <f aca="false">AI255+AB256</f>
        <v>307</v>
      </c>
      <c r="AD256" s="46" t="n">
        <f aca="false">SUMIFS(AF$245:AF255,$B$245:$B255,"&gt;"&amp;($B256-$D256))</f>
        <v>0</v>
      </c>
      <c r="AE256" s="46" t="n">
        <f aca="false">AC256+AD256</f>
        <v>307</v>
      </c>
      <c r="AF256" s="47" t="n">
        <f aca="false">IF(AE256&lt;=Y256,AA256,0)</f>
        <v>0</v>
      </c>
      <c r="AG256" s="46" t="n">
        <f aca="false">MIN(AC256,I256)</f>
        <v>43</v>
      </c>
      <c r="AH256" s="46" t="n">
        <f aca="false">I256-AG256</f>
        <v>0</v>
      </c>
      <c r="AI256" s="46" t="n">
        <f aca="false">AC256-AG256</f>
        <v>264</v>
      </c>
      <c r="AJ256" s="46" t="n">
        <f aca="false">IF(AH256&gt;0,1,0)</f>
        <v>0</v>
      </c>
    </row>
    <row r="257" customFormat="false" ht="15" hidden="false" customHeight="false" outlineLevel="0" collapsed="false">
      <c r="A257" s="31" t="str">
        <f aca="false">Inputs!$B$52</f>
        <v>BTH-003</v>
      </c>
      <c r="B257" s="46" t="n">
        <f aca="false">B256+1</f>
        <v>101</v>
      </c>
      <c r="C257" s="46" t="n">
        <f aca="false">MATCH(A257,Inputs!$B$40:$B$87,0)</f>
        <v>13</v>
      </c>
      <c r="D257" s="32" t="n">
        <f aca="false">INDEX(Inputs!$F$40:$F$87,C257)</f>
        <v>3</v>
      </c>
      <c r="E257" s="78" t="n">
        <f aca="false">INDEX(Inputs!$H$40:$H$87,C257)</f>
        <v>14</v>
      </c>
      <c r="F257" s="78" t="n">
        <f aca="false">INDEX(Inputs!$G$40:$G$87,C257)</f>
        <v>45</v>
      </c>
      <c r="G257" s="32" t="n">
        <f aca="false">INDEX(Inputs!$I$40:$I$87,C257)</f>
        <v>8</v>
      </c>
      <c r="H257" s="46" t="n">
        <f aca="false">MATCH(A257,Demand_History!$C:$C,0)+B257-1</f>
        <v>1350</v>
      </c>
      <c r="I257" s="32" t="n">
        <f aca="false">INDEX(Forecast_Walkforward!$C:$C,H257)</f>
        <v>75</v>
      </c>
      <c r="J257" s="79" t="n">
        <f aca="false">INDEX(Forecast_Walkforward!$E:$E,H257)</f>
        <v>44.75</v>
      </c>
      <c r="K257" s="33" t="n">
        <f aca="false">Baseline_Weeks*J257</f>
        <v>179</v>
      </c>
      <c r="L257" s="46" t="n">
        <f aca="false">SUMIFS(P$245:P256,$B$245:$B256,$B257-$D257)</f>
        <v>8</v>
      </c>
      <c r="M257" s="46" t="n">
        <f aca="false">S256+L257</f>
        <v>27</v>
      </c>
      <c r="N257" s="46" t="n">
        <f aca="false">SUMIFS(P$245:P256,$B$245:$B256,"&gt;"&amp;($B257-$D257))</f>
        <v>104</v>
      </c>
      <c r="O257" s="46" t="n">
        <f aca="false">M257+N257</f>
        <v>131</v>
      </c>
      <c r="P257" s="47" t="n">
        <f aca="false">IF(O257&lt;K257,ROUNDUP((K257-O257)/G257,0)*G257,0)</f>
        <v>48</v>
      </c>
      <c r="Q257" s="46" t="n">
        <f aca="false">MIN(M257,I257)</f>
        <v>27</v>
      </c>
      <c r="R257" s="46" t="n">
        <f aca="false">I257-Q257</f>
        <v>48</v>
      </c>
      <c r="S257" s="46" t="n">
        <f aca="false">M257-Q257</f>
        <v>0</v>
      </c>
      <c r="T257" s="46" t="n">
        <f aca="false">IF(R257&gt;0,1,0)</f>
        <v>1</v>
      </c>
      <c r="U257" s="32" t="n">
        <f aca="false">INDEX(Forecast!$AY$7:$AY$54,C257)</f>
        <v>3</v>
      </c>
      <c r="V257" s="33" t="n">
        <f aca="false">CHOOSE(U257,INDEX(Forecast_Walkforward!$D:$D,H257),INDEX(Forecast_Walkforward!$E:$E,H257),INDEX(Forecast_Walkforward!$F:$F,H257),INDEX(Forecast_Walkforward!$G:$G,H257))</f>
        <v>44.5</v>
      </c>
      <c r="W257" s="79" t="n">
        <f aca="false">INDEX(Forecast!$BA$7:$BA$54,C257)</f>
        <v>16.6647833117642</v>
      </c>
      <c r="X257" s="33" t="n">
        <f aca="false">Z_Value*W257*SQRT(D257)</f>
        <v>47.4774685931821</v>
      </c>
      <c r="Y257" s="33" t="n">
        <f aca="false">V257*D257+X257</f>
        <v>180.977468593182</v>
      </c>
      <c r="Z257" s="33" t="n">
        <f aca="false">SQRT((2*V257*Weeks_Per_Year*F257)/(E257*Holding_Rate))</f>
        <v>272.724350633697</v>
      </c>
      <c r="AA257" s="46" t="n">
        <f aca="false">ROUNDUP(Z257/G257,0)*G257</f>
        <v>280</v>
      </c>
      <c r="AB257" s="46" t="n">
        <f aca="false">SUMIFS(AF$245:AF256,$B$245:$B256,$B257-$D257)</f>
        <v>0</v>
      </c>
      <c r="AC257" s="46" t="n">
        <f aca="false">AI256+AB257</f>
        <v>264</v>
      </c>
      <c r="AD257" s="46" t="n">
        <f aca="false">SUMIFS(AF$245:AF256,$B$245:$B256,"&gt;"&amp;($B257-$D257))</f>
        <v>0</v>
      </c>
      <c r="AE257" s="46" t="n">
        <f aca="false">AC257+AD257</f>
        <v>264</v>
      </c>
      <c r="AF257" s="47" t="n">
        <f aca="false">IF(AE257&lt;=Y257,AA257,0)</f>
        <v>0</v>
      </c>
      <c r="AG257" s="46" t="n">
        <f aca="false">MIN(AC257,I257)</f>
        <v>75</v>
      </c>
      <c r="AH257" s="46" t="n">
        <f aca="false">I257-AG257</f>
        <v>0</v>
      </c>
      <c r="AI257" s="46" t="n">
        <f aca="false">AC257-AG257</f>
        <v>189</v>
      </c>
      <c r="AJ257" s="46" t="n">
        <f aca="false">IF(AH257&gt;0,1,0)</f>
        <v>0</v>
      </c>
    </row>
    <row r="258" customFormat="false" ht="15" hidden="false" customHeight="false" outlineLevel="0" collapsed="false">
      <c r="A258" s="31" t="str">
        <f aca="false">Inputs!$B$52</f>
        <v>BTH-003</v>
      </c>
      <c r="B258" s="46" t="n">
        <f aca="false">B257+1</f>
        <v>102</v>
      </c>
      <c r="C258" s="46" t="n">
        <f aca="false">MATCH(A258,Inputs!$B$40:$B$87,0)</f>
        <v>13</v>
      </c>
      <c r="D258" s="32" t="n">
        <f aca="false">INDEX(Inputs!$F$40:$F$87,C258)</f>
        <v>3</v>
      </c>
      <c r="E258" s="78" t="n">
        <f aca="false">INDEX(Inputs!$H$40:$H$87,C258)</f>
        <v>14</v>
      </c>
      <c r="F258" s="78" t="n">
        <f aca="false">INDEX(Inputs!$G$40:$G$87,C258)</f>
        <v>45</v>
      </c>
      <c r="G258" s="32" t="n">
        <f aca="false">INDEX(Inputs!$I$40:$I$87,C258)</f>
        <v>8</v>
      </c>
      <c r="H258" s="46" t="n">
        <f aca="false">MATCH(A258,Demand_History!$C:$C,0)+B258-1</f>
        <v>1351</v>
      </c>
      <c r="I258" s="32" t="n">
        <f aca="false">INDEX(Forecast_Walkforward!$C:$C,H258)</f>
        <v>63</v>
      </c>
      <c r="J258" s="79" t="n">
        <f aca="false">INDEX(Forecast_Walkforward!$E:$E,H258)</f>
        <v>54</v>
      </c>
      <c r="K258" s="33" t="n">
        <f aca="false">Baseline_Weeks*J258</f>
        <v>216</v>
      </c>
      <c r="L258" s="46" t="n">
        <f aca="false">SUMIFS(P$245:P257,$B$245:$B257,$B258-$D258)</f>
        <v>72</v>
      </c>
      <c r="M258" s="46" t="n">
        <f aca="false">S257+L258</f>
        <v>72</v>
      </c>
      <c r="N258" s="46" t="n">
        <f aca="false">SUMIFS(P$245:P257,$B$245:$B257,"&gt;"&amp;($B258-$D258))</f>
        <v>80</v>
      </c>
      <c r="O258" s="46" t="n">
        <f aca="false">M258+N258</f>
        <v>152</v>
      </c>
      <c r="P258" s="47" t="n">
        <f aca="false">IF(O258&lt;K258,ROUNDUP((K258-O258)/G258,0)*G258,0)</f>
        <v>64</v>
      </c>
      <c r="Q258" s="46" t="n">
        <f aca="false">MIN(M258,I258)</f>
        <v>63</v>
      </c>
      <c r="R258" s="46" t="n">
        <f aca="false">I258-Q258</f>
        <v>0</v>
      </c>
      <c r="S258" s="46" t="n">
        <f aca="false">M258-Q258</f>
        <v>9</v>
      </c>
      <c r="T258" s="46" t="n">
        <f aca="false">IF(R258&gt;0,1,0)</f>
        <v>0</v>
      </c>
      <c r="U258" s="32" t="n">
        <f aca="false">INDEX(Forecast!$AY$7:$AY$54,C258)</f>
        <v>3</v>
      </c>
      <c r="V258" s="33" t="n">
        <f aca="false">CHOOSE(U258,INDEX(Forecast_Walkforward!$D:$D,H258),INDEX(Forecast_Walkforward!$E:$E,H258),INDEX(Forecast_Walkforward!$F:$F,H258),INDEX(Forecast_Walkforward!$G:$G,H258))</f>
        <v>47.375</v>
      </c>
      <c r="W258" s="79" t="n">
        <f aca="false">INDEX(Forecast!$BA$7:$BA$54,C258)</f>
        <v>16.6647833117642</v>
      </c>
      <c r="X258" s="33" t="n">
        <f aca="false">Z_Value*W258*SQRT(D258)</f>
        <v>47.4774685931821</v>
      </c>
      <c r="Y258" s="33" t="n">
        <f aca="false">V258*D258+X258</f>
        <v>189.602468593182</v>
      </c>
      <c r="Z258" s="33" t="n">
        <f aca="false">SQRT((2*V258*Weeks_Per_Year*F258)/(E258*Holding_Rate))</f>
        <v>281.396390473347</v>
      </c>
      <c r="AA258" s="46" t="n">
        <f aca="false">ROUNDUP(Z258/G258,0)*G258</f>
        <v>288</v>
      </c>
      <c r="AB258" s="46" t="n">
        <f aca="false">SUMIFS(AF$245:AF257,$B$245:$B257,$B258-$D258)</f>
        <v>0</v>
      </c>
      <c r="AC258" s="46" t="n">
        <f aca="false">AI257+AB258</f>
        <v>189</v>
      </c>
      <c r="AD258" s="46" t="n">
        <f aca="false">SUMIFS(AF$245:AF257,$B$245:$B257,"&gt;"&amp;($B258-$D258))</f>
        <v>0</v>
      </c>
      <c r="AE258" s="46" t="n">
        <f aca="false">AC258+AD258</f>
        <v>189</v>
      </c>
      <c r="AF258" s="47" t="n">
        <f aca="false">IF(AE258&lt;=Y258,AA258,0)</f>
        <v>288</v>
      </c>
      <c r="AG258" s="46" t="n">
        <f aca="false">MIN(AC258,I258)</f>
        <v>63</v>
      </c>
      <c r="AH258" s="46" t="n">
        <f aca="false">I258-AG258</f>
        <v>0</v>
      </c>
      <c r="AI258" s="46" t="n">
        <f aca="false">AC258-AG258</f>
        <v>126</v>
      </c>
      <c r="AJ258" s="46" t="n">
        <f aca="false">IF(AH258&gt;0,1,0)</f>
        <v>0</v>
      </c>
    </row>
    <row r="259" customFormat="false" ht="15" hidden="false" customHeight="false" outlineLevel="0" collapsed="false">
      <c r="A259" s="31" t="str">
        <f aca="false">Inputs!$B$52</f>
        <v>BTH-003</v>
      </c>
      <c r="B259" s="46" t="n">
        <f aca="false">B258+1</f>
        <v>103</v>
      </c>
      <c r="C259" s="46" t="n">
        <f aca="false">MATCH(A259,Inputs!$B$40:$B$87,0)</f>
        <v>13</v>
      </c>
      <c r="D259" s="32" t="n">
        <f aca="false">INDEX(Inputs!$F$40:$F$87,C259)</f>
        <v>3</v>
      </c>
      <c r="E259" s="78" t="n">
        <f aca="false">INDEX(Inputs!$H$40:$H$87,C259)</f>
        <v>14</v>
      </c>
      <c r="F259" s="78" t="n">
        <f aca="false">INDEX(Inputs!$G$40:$G$87,C259)</f>
        <v>45</v>
      </c>
      <c r="G259" s="32" t="n">
        <f aca="false">INDEX(Inputs!$I$40:$I$87,C259)</f>
        <v>8</v>
      </c>
      <c r="H259" s="46" t="n">
        <f aca="false">MATCH(A259,Demand_History!$C:$C,0)+B259-1</f>
        <v>1352</v>
      </c>
      <c r="I259" s="32" t="n">
        <f aca="false">INDEX(Forecast_Walkforward!$C:$C,H259)</f>
        <v>62</v>
      </c>
      <c r="J259" s="79" t="n">
        <f aca="false">INDEX(Forecast_Walkforward!$E:$E,H259)</f>
        <v>55.75</v>
      </c>
      <c r="K259" s="33" t="n">
        <f aca="false">Baseline_Weeks*J259</f>
        <v>223</v>
      </c>
      <c r="L259" s="46" t="n">
        <f aca="false">SUMIFS(P$245:P258,$B$245:$B258,$B259-$D259)</f>
        <v>32</v>
      </c>
      <c r="M259" s="46" t="n">
        <f aca="false">S258+L259</f>
        <v>41</v>
      </c>
      <c r="N259" s="46" t="n">
        <f aca="false">SUMIFS(P$245:P258,$B$245:$B258,"&gt;"&amp;($B259-$D259))</f>
        <v>112</v>
      </c>
      <c r="O259" s="46" t="n">
        <f aca="false">M259+N259</f>
        <v>153</v>
      </c>
      <c r="P259" s="47" t="n">
        <f aca="false">IF(O259&lt;K259,ROUNDUP((K259-O259)/G259,0)*G259,0)</f>
        <v>72</v>
      </c>
      <c r="Q259" s="46" t="n">
        <f aca="false">MIN(M259,I259)</f>
        <v>41</v>
      </c>
      <c r="R259" s="46" t="n">
        <f aca="false">I259-Q259</f>
        <v>21</v>
      </c>
      <c r="S259" s="46" t="n">
        <f aca="false">M259-Q259</f>
        <v>0</v>
      </c>
      <c r="T259" s="46" t="n">
        <f aca="false">IF(R259&gt;0,1,0)</f>
        <v>1</v>
      </c>
      <c r="U259" s="32" t="n">
        <f aca="false">INDEX(Forecast!$AY$7:$AY$54,C259)</f>
        <v>3</v>
      </c>
      <c r="V259" s="33" t="n">
        <f aca="false">CHOOSE(U259,INDEX(Forecast_Walkforward!$D:$D,H259),INDEX(Forecast_Walkforward!$E:$E,H259),INDEX(Forecast_Walkforward!$F:$F,H259),INDEX(Forecast_Walkforward!$G:$G,H259))</f>
        <v>50.375</v>
      </c>
      <c r="W259" s="79" t="n">
        <f aca="false">INDEX(Forecast!$BA$7:$BA$54,C259)</f>
        <v>16.6647833117642</v>
      </c>
      <c r="X259" s="33" t="n">
        <f aca="false">Z_Value*W259*SQRT(D259)</f>
        <v>47.4774685931821</v>
      </c>
      <c r="Y259" s="33" t="n">
        <f aca="false">V259*D259+X259</f>
        <v>198.602468593182</v>
      </c>
      <c r="Z259" s="33" t="n">
        <f aca="false">SQRT((2*V259*Weeks_Per_Year*F259)/(E259*Holding_Rate))</f>
        <v>290.16928556571</v>
      </c>
      <c r="AA259" s="46" t="n">
        <f aca="false">ROUNDUP(Z259/G259,0)*G259</f>
        <v>296</v>
      </c>
      <c r="AB259" s="46" t="n">
        <f aca="false">SUMIFS(AF$245:AF258,$B$245:$B258,$B259-$D259)</f>
        <v>0</v>
      </c>
      <c r="AC259" s="46" t="n">
        <f aca="false">AI258+AB259</f>
        <v>126</v>
      </c>
      <c r="AD259" s="46" t="n">
        <f aca="false">SUMIFS(AF$245:AF258,$B$245:$B258,"&gt;"&amp;($B259-$D259))</f>
        <v>288</v>
      </c>
      <c r="AE259" s="46" t="n">
        <f aca="false">AC259+AD259</f>
        <v>414</v>
      </c>
      <c r="AF259" s="47" t="n">
        <f aca="false">IF(AE259&lt;=Y259,AA259,0)</f>
        <v>0</v>
      </c>
      <c r="AG259" s="46" t="n">
        <f aca="false">MIN(AC259,I259)</f>
        <v>62</v>
      </c>
      <c r="AH259" s="46" t="n">
        <f aca="false">I259-AG259</f>
        <v>0</v>
      </c>
      <c r="AI259" s="46" t="n">
        <f aca="false">AC259-AG259</f>
        <v>64</v>
      </c>
      <c r="AJ259" s="46" t="n">
        <f aca="false">IF(AH259&gt;0,1,0)</f>
        <v>0</v>
      </c>
    </row>
    <row r="260" customFormat="false" ht="15" hidden="false" customHeight="false" outlineLevel="0" collapsed="false">
      <c r="A260" s="80" t="str">
        <f aca="false">Inputs!$B$52</f>
        <v>BTH-003</v>
      </c>
      <c r="B260" s="81" t="n">
        <f aca="false">B259+1</f>
        <v>104</v>
      </c>
      <c r="C260" s="81" t="n">
        <f aca="false">MATCH(A260,Inputs!$B$40:$B$87,0)</f>
        <v>13</v>
      </c>
      <c r="D260" s="82" t="n">
        <f aca="false">INDEX(Inputs!$F$40:$F$87,C260)</f>
        <v>3</v>
      </c>
      <c r="E260" s="83" t="n">
        <f aca="false">INDEX(Inputs!$H$40:$H$87,C260)</f>
        <v>14</v>
      </c>
      <c r="F260" s="83" t="n">
        <f aca="false">INDEX(Inputs!$G$40:$G$87,C260)</f>
        <v>45</v>
      </c>
      <c r="G260" s="82" t="n">
        <f aca="false">INDEX(Inputs!$I$40:$I$87,C260)</f>
        <v>8</v>
      </c>
      <c r="H260" s="81" t="n">
        <f aca="false">MATCH(A260,Demand_History!$C:$C,0)+B260-1</f>
        <v>1353</v>
      </c>
      <c r="I260" s="82" t="n">
        <f aca="false">INDEX(Forecast_Walkforward!$C:$C,H260)</f>
        <v>58</v>
      </c>
      <c r="J260" s="84" t="n">
        <f aca="false">INDEX(Forecast_Walkforward!$E:$E,H260)</f>
        <v>60.75</v>
      </c>
      <c r="K260" s="85" t="n">
        <f aca="false">Baseline_Weeks*J260</f>
        <v>243</v>
      </c>
      <c r="L260" s="81" t="n">
        <f aca="false">SUMIFS(P$245:P259,$B$245:$B259,$B260-$D260)</f>
        <v>48</v>
      </c>
      <c r="M260" s="81" t="n">
        <f aca="false">S259+L260</f>
        <v>48</v>
      </c>
      <c r="N260" s="81" t="n">
        <f aca="false">SUMIFS(P$245:P259,$B$245:$B259,"&gt;"&amp;($B260-$D260))</f>
        <v>136</v>
      </c>
      <c r="O260" s="81" t="n">
        <f aca="false">M260+N260</f>
        <v>184</v>
      </c>
      <c r="P260" s="86" t="n">
        <f aca="false">IF(O260&lt;K260,ROUNDUP((K260-O260)/G260,0)*G260,0)</f>
        <v>64</v>
      </c>
      <c r="Q260" s="81" t="n">
        <f aca="false">MIN(M260,I260)</f>
        <v>48</v>
      </c>
      <c r="R260" s="81" t="n">
        <f aca="false">I260-Q260</f>
        <v>10</v>
      </c>
      <c r="S260" s="81" t="n">
        <f aca="false">M260-Q260</f>
        <v>0</v>
      </c>
      <c r="T260" s="81" t="n">
        <f aca="false">IF(R260&gt;0,1,0)</f>
        <v>1</v>
      </c>
      <c r="U260" s="82" t="n">
        <f aca="false">INDEX(Forecast!$AY$7:$AY$54,C260)</f>
        <v>3</v>
      </c>
      <c r="V260" s="85" t="n">
        <f aca="false">CHOOSE(U260,INDEX(Forecast_Walkforward!$D:$D,H260),INDEX(Forecast_Walkforward!$E:$E,H260),INDEX(Forecast_Walkforward!$F:$F,H260),INDEX(Forecast_Walkforward!$G:$G,H260))</f>
        <v>51.625</v>
      </c>
      <c r="W260" s="84" t="n">
        <f aca="false">INDEX(Forecast!$BA$7:$BA$54,C260)</f>
        <v>16.6647833117642</v>
      </c>
      <c r="X260" s="85" t="n">
        <f aca="false">Z_Value*W260*SQRT(D260)</f>
        <v>47.4774685931821</v>
      </c>
      <c r="Y260" s="85" t="n">
        <f aca="false">V260*D260+X260</f>
        <v>202.352468593182</v>
      </c>
      <c r="Z260" s="85" t="n">
        <f aca="false">SQRT((2*V260*Weeks_Per_Year*F260)/(E260*Holding_Rate))</f>
        <v>293.747340413492</v>
      </c>
      <c r="AA260" s="81" t="n">
        <f aca="false">ROUNDUP(Z260/G260,0)*G260</f>
        <v>296</v>
      </c>
      <c r="AB260" s="81" t="n">
        <f aca="false">SUMIFS(AF$245:AF259,$B$245:$B259,$B260-$D260)</f>
        <v>0</v>
      </c>
      <c r="AC260" s="81" t="n">
        <f aca="false">AI259+AB260</f>
        <v>64</v>
      </c>
      <c r="AD260" s="81" t="n">
        <f aca="false">SUMIFS(AF$245:AF259,$B$245:$B259,"&gt;"&amp;($B260-$D260))</f>
        <v>288</v>
      </c>
      <c r="AE260" s="81" t="n">
        <f aca="false">AC260+AD260</f>
        <v>352</v>
      </c>
      <c r="AF260" s="86" t="n">
        <f aca="false">IF(AE260&lt;=Y260,AA260,0)</f>
        <v>0</v>
      </c>
      <c r="AG260" s="81" t="n">
        <f aca="false">MIN(AC260,I260)</f>
        <v>58</v>
      </c>
      <c r="AH260" s="81" t="n">
        <f aca="false">I260-AG260</f>
        <v>0</v>
      </c>
      <c r="AI260" s="81" t="n">
        <f aca="false">AC260-AG260</f>
        <v>6</v>
      </c>
      <c r="AJ260" s="81" t="n">
        <f aca="false">IF(AH260&gt;0,1,0)</f>
        <v>0</v>
      </c>
    </row>
    <row r="261" customFormat="false" ht="15" hidden="false" customHeight="false" outlineLevel="0" collapsed="false">
      <c r="A261" s="31" t="str">
        <f aca="false">Inputs!$B$53</f>
        <v>BTH-004</v>
      </c>
      <c r="B261" s="46" t="n">
        <f aca="false">BT_Start_Week</f>
        <v>89</v>
      </c>
      <c r="C261" s="46" t="n">
        <f aca="false">MATCH(A261,Inputs!$B$40:$B$87,0)</f>
        <v>14</v>
      </c>
      <c r="D261" s="32" t="n">
        <f aca="false">INDEX(Inputs!$F$40:$F$87,C261)</f>
        <v>3</v>
      </c>
      <c r="E261" s="78" t="n">
        <f aca="false">INDEX(Inputs!$H$40:$H$87,C261)</f>
        <v>16</v>
      </c>
      <c r="F261" s="78" t="n">
        <f aca="false">INDEX(Inputs!$G$40:$G$87,C261)</f>
        <v>45</v>
      </c>
      <c r="G261" s="32" t="n">
        <f aca="false">INDEX(Inputs!$I$40:$I$87,C261)</f>
        <v>10</v>
      </c>
      <c r="H261" s="46" t="n">
        <f aca="false">MATCH(A261,Demand_History!$C:$C,0)+B261-1</f>
        <v>1442</v>
      </c>
      <c r="I261" s="32" t="n">
        <f aca="false">INDEX(Forecast_Walkforward!$C:$C,H261)</f>
        <v>31</v>
      </c>
      <c r="J261" s="79" t="n">
        <f aca="false">INDEX(Forecast_Walkforward!$E:$E,H261)</f>
        <v>31.75</v>
      </c>
      <c r="K261" s="33" t="n">
        <f aca="false">Baseline_Weeks*J261</f>
        <v>127</v>
      </c>
      <c r="L261" s="46" t="n">
        <f aca="false">0</f>
        <v>0</v>
      </c>
      <c r="M261" s="46" t="n">
        <f aca="false">ROUND(BT_Open_Cover*INDEX(Forecast_Walkforward!$F:$F,H261),0)+L261</f>
        <v>194</v>
      </c>
      <c r="N261" s="46" t="n">
        <f aca="false">0</f>
        <v>0</v>
      </c>
      <c r="O261" s="46" t="n">
        <f aca="false">M261+N261</f>
        <v>194</v>
      </c>
      <c r="P261" s="47" t="n">
        <f aca="false">IF(O261&lt;K261,ROUNDUP((K261-O261)/G261,0)*G261,0)</f>
        <v>0</v>
      </c>
      <c r="Q261" s="46" t="n">
        <f aca="false">MIN(M261,I261)</f>
        <v>31</v>
      </c>
      <c r="R261" s="46" t="n">
        <f aca="false">I261-Q261</f>
        <v>0</v>
      </c>
      <c r="S261" s="46" t="n">
        <f aca="false">M261-Q261</f>
        <v>163</v>
      </c>
      <c r="T261" s="46" t="n">
        <f aca="false">IF(R261&gt;0,1,0)</f>
        <v>0</v>
      </c>
      <c r="U261" s="32" t="n">
        <f aca="false">INDEX(Forecast!$AY$7:$AY$54,C261)</f>
        <v>3</v>
      </c>
      <c r="V261" s="33" t="n">
        <f aca="false">CHOOSE(U261,INDEX(Forecast_Walkforward!$D:$D,H261),INDEX(Forecast_Walkforward!$E:$E,H261),INDEX(Forecast_Walkforward!$F:$F,H261),INDEX(Forecast_Walkforward!$G:$G,H261))</f>
        <v>32.25</v>
      </c>
      <c r="W261" s="79" t="n">
        <f aca="false">INDEX(Forecast!$BA$7:$BA$54,C261)</f>
        <v>6.01853440716728</v>
      </c>
      <c r="X261" s="33" t="n">
        <f aca="false">Z_Value*W261*SQRT(D261)</f>
        <v>17.1466242883311</v>
      </c>
      <c r="Y261" s="33" t="n">
        <f aca="false">V261*D261+X261</f>
        <v>113.896624288331</v>
      </c>
      <c r="Z261" s="33" t="n">
        <f aca="false">SQRT((2*V261*Weeks_Per_Year*F261)/(E261*Holding_Rate))</f>
        <v>217.176483533554</v>
      </c>
      <c r="AA261" s="46" t="n">
        <f aca="false">ROUNDUP(Z261/G261,0)*G261</f>
        <v>220</v>
      </c>
      <c r="AB261" s="46" t="n">
        <f aca="false">0</f>
        <v>0</v>
      </c>
      <c r="AC261" s="46" t="n">
        <f aca="false">ROUND(BT_Open_Cover*INDEX(Forecast_Walkforward!$F:$F,H261),0)+AB261</f>
        <v>194</v>
      </c>
      <c r="AD261" s="46" t="n">
        <f aca="false">0</f>
        <v>0</v>
      </c>
      <c r="AE261" s="46" t="n">
        <f aca="false">AC261+AD261</f>
        <v>194</v>
      </c>
      <c r="AF261" s="47" t="n">
        <f aca="false">IF(AE261&lt;=Y261,AA261,0)</f>
        <v>0</v>
      </c>
      <c r="AG261" s="46" t="n">
        <f aca="false">MIN(AC261,I261)</f>
        <v>31</v>
      </c>
      <c r="AH261" s="46" t="n">
        <f aca="false">I261-AG261</f>
        <v>0</v>
      </c>
      <c r="AI261" s="46" t="n">
        <f aca="false">AC261-AG261</f>
        <v>163</v>
      </c>
      <c r="AJ261" s="46" t="n">
        <f aca="false">IF(AH261&gt;0,1,0)</f>
        <v>0</v>
      </c>
    </row>
    <row r="262" customFormat="false" ht="15" hidden="false" customHeight="false" outlineLevel="0" collapsed="false">
      <c r="A262" s="31" t="str">
        <f aca="false">Inputs!$B$53</f>
        <v>BTH-004</v>
      </c>
      <c r="B262" s="46" t="n">
        <f aca="false">B261+1</f>
        <v>90</v>
      </c>
      <c r="C262" s="46" t="n">
        <f aca="false">MATCH(A262,Inputs!$B$40:$B$87,0)</f>
        <v>14</v>
      </c>
      <c r="D262" s="32" t="n">
        <f aca="false">INDEX(Inputs!$F$40:$F$87,C262)</f>
        <v>3</v>
      </c>
      <c r="E262" s="78" t="n">
        <f aca="false">INDEX(Inputs!$H$40:$H$87,C262)</f>
        <v>16</v>
      </c>
      <c r="F262" s="78" t="n">
        <f aca="false">INDEX(Inputs!$G$40:$G$87,C262)</f>
        <v>45</v>
      </c>
      <c r="G262" s="32" t="n">
        <f aca="false">INDEX(Inputs!$I$40:$I$87,C262)</f>
        <v>10</v>
      </c>
      <c r="H262" s="46" t="n">
        <f aca="false">MATCH(A262,Demand_History!$C:$C,0)+B262-1</f>
        <v>1443</v>
      </c>
      <c r="I262" s="32" t="n">
        <f aca="false">INDEX(Forecast_Walkforward!$C:$C,H262)</f>
        <v>35</v>
      </c>
      <c r="J262" s="79" t="n">
        <f aca="false">INDEX(Forecast_Walkforward!$E:$E,H262)</f>
        <v>30.25</v>
      </c>
      <c r="K262" s="33" t="n">
        <f aca="false">Baseline_Weeks*J262</f>
        <v>121</v>
      </c>
      <c r="L262" s="46" t="n">
        <f aca="false">SUMIFS(P$261:P261,$B$261:$B261,$B262-$D262)</f>
        <v>0</v>
      </c>
      <c r="M262" s="46" t="n">
        <f aca="false">S261+L262</f>
        <v>163</v>
      </c>
      <c r="N262" s="46" t="n">
        <f aca="false">SUMIFS(P$261:P261,$B$261:$B261,"&gt;"&amp;($B262-$D262))</f>
        <v>0</v>
      </c>
      <c r="O262" s="46" t="n">
        <f aca="false">M262+N262</f>
        <v>163</v>
      </c>
      <c r="P262" s="47" t="n">
        <f aca="false">IF(O262&lt;K262,ROUNDUP((K262-O262)/G262,0)*G262,0)</f>
        <v>0</v>
      </c>
      <c r="Q262" s="46" t="n">
        <f aca="false">MIN(M262,I262)</f>
        <v>35</v>
      </c>
      <c r="R262" s="46" t="n">
        <f aca="false">I262-Q262</f>
        <v>0</v>
      </c>
      <c r="S262" s="46" t="n">
        <f aca="false">M262-Q262</f>
        <v>128</v>
      </c>
      <c r="T262" s="46" t="n">
        <f aca="false">IF(R262&gt;0,1,0)</f>
        <v>0</v>
      </c>
      <c r="U262" s="32" t="n">
        <f aca="false">INDEX(Forecast!$AY$7:$AY$54,C262)</f>
        <v>3</v>
      </c>
      <c r="V262" s="33" t="n">
        <f aca="false">CHOOSE(U262,INDEX(Forecast_Walkforward!$D:$D,H262),INDEX(Forecast_Walkforward!$E:$E,H262),INDEX(Forecast_Walkforward!$F:$F,H262),INDEX(Forecast_Walkforward!$G:$G,H262))</f>
        <v>32</v>
      </c>
      <c r="W262" s="79" t="n">
        <f aca="false">INDEX(Forecast!$BA$7:$BA$54,C262)</f>
        <v>6.01853440716728</v>
      </c>
      <c r="X262" s="33" t="n">
        <f aca="false">Z_Value*W262*SQRT(D262)</f>
        <v>17.1466242883311</v>
      </c>
      <c r="Y262" s="33" t="n">
        <f aca="false">V262*D262+X262</f>
        <v>113.146624288331</v>
      </c>
      <c r="Z262" s="33" t="n">
        <f aca="false">SQRT((2*V262*Weeks_Per_Year*F262)/(E262*Holding_Rate))</f>
        <v>216.333076527839</v>
      </c>
      <c r="AA262" s="46" t="n">
        <f aca="false">ROUNDUP(Z262/G262,0)*G262</f>
        <v>220</v>
      </c>
      <c r="AB262" s="46" t="n">
        <f aca="false">SUMIFS(AF$261:AF261,$B$261:$B261,$B262-$D262)</f>
        <v>0</v>
      </c>
      <c r="AC262" s="46" t="n">
        <f aca="false">AI261+AB262</f>
        <v>163</v>
      </c>
      <c r="AD262" s="46" t="n">
        <f aca="false">SUMIFS(AF$261:AF261,$B$261:$B261,"&gt;"&amp;($B262-$D262))</f>
        <v>0</v>
      </c>
      <c r="AE262" s="46" t="n">
        <f aca="false">AC262+AD262</f>
        <v>163</v>
      </c>
      <c r="AF262" s="47" t="n">
        <f aca="false">IF(AE262&lt;=Y262,AA262,0)</f>
        <v>0</v>
      </c>
      <c r="AG262" s="46" t="n">
        <f aca="false">MIN(AC262,I262)</f>
        <v>35</v>
      </c>
      <c r="AH262" s="46" t="n">
        <f aca="false">I262-AG262</f>
        <v>0</v>
      </c>
      <c r="AI262" s="46" t="n">
        <f aca="false">AC262-AG262</f>
        <v>128</v>
      </c>
      <c r="AJ262" s="46" t="n">
        <f aca="false">IF(AH262&gt;0,1,0)</f>
        <v>0</v>
      </c>
    </row>
    <row r="263" customFormat="false" ht="15" hidden="false" customHeight="false" outlineLevel="0" collapsed="false">
      <c r="A263" s="31" t="str">
        <f aca="false">Inputs!$B$53</f>
        <v>BTH-004</v>
      </c>
      <c r="B263" s="46" t="n">
        <f aca="false">B262+1</f>
        <v>91</v>
      </c>
      <c r="C263" s="46" t="n">
        <f aca="false">MATCH(A263,Inputs!$B$40:$B$87,0)</f>
        <v>14</v>
      </c>
      <c r="D263" s="32" t="n">
        <f aca="false">INDEX(Inputs!$F$40:$F$87,C263)</f>
        <v>3</v>
      </c>
      <c r="E263" s="78" t="n">
        <f aca="false">INDEX(Inputs!$H$40:$H$87,C263)</f>
        <v>16</v>
      </c>
      <c r="F263" s="78" t="n">
        <f aca="false">INDEX(Inputs!$G$40:$G$87,C263)</f>
        <v>45</v>
      </c>
      <c r="G263" s="32" t="n">
        <f aca="false">INDEX(Inputs!$I$40:$I$87,C263)</f>
        <v>10</v>
      </c>
      <c r="H263" s="46" t="n">
        <f aca="false">MATCH(A263,Demand_History!$C:$C,0)+B263-1</f>
        <v>1444</v>
      </c>
      <c r="I263" s="32" t="n">
        <f aca="false">INDEX(Forecast_Walkforward!$C:$C,H263)</f>
        <v>32</v>
      </c>
      <c r="J263" s="79" t="n">
        <f aca="false">INDEX(Forecast_Walkforward!$E:$E,H263)</f>
        <v>32.25</v>
      </c>
      <c r="K263" s="33" t="n">
        <f aca="false">Baseline_Weeks*J263</f>
        <v>129</v>
      </c>
      <c r="L263" s="46" t="n">
        <f aca="false">SUMIFS(P$261:P262,$B$261:$B262,$B263-$D263)</f>
        <v>0</v>
      </c>
      <c r="M263" s="46" t="n">
        <f aca="false">S262+L263</f>
        <v>128</v>
      </c>
      <c r="N263" s="46" t="n">
        <f aca="false">SUMIFS(P$261:P262,$B$261:$B262,"&gt;"&amp;($B263-$D263))</f>
        <v>0</v>
      </c>
      <c r="O263" s="46" t="n">
        <f aca="false">M263+N263</f>
        <v>128</v>
      </c>
      <c r="P263" s="47" t="n">
        <f aca="false">IF(O263&lt;K263,ROUNDUP((K263-O263)/G263,0)*G263,0)</f>
        <v>10</v>
      </c>
      <c r="Q263" s="46" t="n">
        <f aca="false">MIN(M263,I263)</f>
        <v>32</v>
      </c>
      <c r="R263" s="46" t="n">
        <f aca="false">I263-Q263</f>
        <v>0</v>
      </c>
      <c r="S263" s="46" t="n">
        <f aca="false">M263-Q263</f>
        <v>96</v>
      </c>
      <c r="T263" s="46" t="n">
        <f aca="false">IF(R263&gt;0,1,0)</f>
        <v>0</v>
      </c>
      <c r="U263" s="32" t="n">
        <f aca="false">INDEX(Forecast!$AY$7:$AY$54,C263)</f>
        <v>3</v>
      </c>
      <c r="V263" s="33" t="n">
        <f aca="false">CHOOSE(U263,INDEX(Forecast_Walkforward!$D:$D,H263),INDEX(Forecast_Walkforward!$E:$E,H263),INDEX(Forecast_Walkforward!$F:$F,H263),INDEX(Forecast_Walkforward!$G:$G,H263))</f>
        <v>32.5</v>
      </c>
      <c r="W263" s="79" t="n">
        <f aca="false">INDEX(Forecast!$BA$7:$BA$54,C263)</f>
        <v>6.01853440716728</v>
      </c>
      <c r="X263" s="33" t="n">
        <f aca="false">Z_Value*W263*SQRT(D263)</f>
        <v>17.1466242883311</v>
      </c>
      <c r="Y263" s="33" t="n">
        <f aca="false">V263*D263+X263</f>
        <v>114.646624288331</v>
      </c>
      <c r="Z263" s="33" t="n">
        <f aca="false">SQRT((2*V263*Weeks_Per_Year*F263)/(E263*Holding_Rate))</f>
        <v>218.01662780623</v>
      </c>
      <c r="AA263" s="46" t="n">
        <f aca="false">ROUNDUP(Z263/G263,0)*G263</f>
        <v>220</v>
      </c>
      <c r="AB263" s="46" t="n">
        <f aca="false">SUMIFS(AF$261:AF262,$B$261:$B262,$B263-$D263)</f>
        <v>0</v>
      </c>
      <c r="AC263" s="46" t="n">
        <f aca="false">AI262+AB263</f>
        <v>128</v>
      </c>
      <c r="AD263" s="46" t="n">
        <f aca="false">SUMIFS(AF$261:AF262,$B$261:$B262,"&gt;"&amp;($B263-$D263))</f>
        <v>0</v>
      </c>
      <c r="AE263" s="46" t="n">
        <f aca="false">AC263+AD263</f>
        <v>128</v>
      </c>
      <c r="AF263" s="47" t="n">
        <f aca="false">IF(AE263&lt;=Y263,AA263,0)</f>
        <v>0</v>
      </c>
      <c r="AG263" s="46" t="n">
        <f aca="false">MIN(AC263,I263)</f>
        <v>32</v>
      </c>
      <c r="AH263" s="46" t="n">
        <f aca="false">I263-AG263</f>
        <v>0</v>
      </c>
      <c r="AI263" s="46" t="n">
        <f aca="false">AC263-AG263</f>
        <v>96</v>
      </c>
      <c r="AJ263" s="46" t="n">
        <f aca="false">IF(AH263&gt;0,1,0)</f>
        <v>0</v>
      </c>
    </row>
    <row r="264" customFormat="false" ht="15" hidden="false" customHeight="false" outlineLevel="0" collapsed="false">
      <c r="A264" s="31" t="str">
        <f aca="false">Inputs!$B$53</f>
        <v>BTH-004</v>
      </c>
      <c r="B264" s="46" t="n">
        <f aca="false">B263+1</f>
        <v>92</v>
      </c>
      <c r="C264" s="46" t="n">
        <f aca="false">MATCH(A264,Inputs!$B$40:$B$87,0)</f>
        <v>14</v>
      </c>
      <c r="D264" s="32" t="n">
        <f aca="false">INDEX(Inputs!$F$40:$F$87,C264)</f>
        <v>3</v>
      </c>
      <c r="E264" s="78" t="n">
        <f aca="false">INDEX(Inputs!$H$40:$H$87,C264)</f>
        <v>16</v>
      </c>
      <c r="F264" s="78" t="n">
        <f aca="false">INDEX(Inputs!$G$40:$G$87,C264)</f>
        <v>45</v>
      </c>
      <c r="G264" s="32" t="n">
        <f aca="false">INDEX(Inputs!$I$40:$I$87,C264)</f>
        <v>10</v>
      </c>
      <c r="H264" s="46" t="n">
        <f aca="false">MATCH(A264,Demand_History!$C:$C,0)+B264-1</f>
        <v>1445</v>
      </c>
      <c r="I264" s="32" t="n">
        <f aca="false">INDEX(Forecast_Walkforward!$C:$C,H264)</f>
        <v>25</v>
      </c>
      <c r="J264" s="79" t="n">
        <f aca="false">INDEX(Forecast_Walkforward!$E:$E,H264)</f>
        <v>31</v>
      </c>
      <c r="K264" s="33" t="n">
        <f aca="false">Baseline_Weeks*J264</f>
        <v>124</v>
      </c>
      <c r="L264" s="46" t="n">
        <f aca="false">SUMIFS(P$261:P263,$B$261:$B263,$B264-$D264)</f>
        <v>0</v>
      </c>
      <c r="M264" s="46" t="n">
        <f aca="false">S263+L264</f>
        <v>96</v>
      </c>
      <c r="N264" s="46" t="n">
        <f aca="false">SUMIFS(P$261:P263,$B$261:$B263,"&gt;"&amp;($B264-$D264))</f>
        <v>10</v>
      </c>
      <c r="O264" s="46" t="n">
        <f aca="false">M264+N264</f>
        <v>106</v>
      </c>
      <c r="P264" s="47" t="n">
        <f aca="false">IF(O264&lt;K264,ROUNDUP((K264-O264)/G264,0)*G264,0)</f>
        <v>20</v>
      </c>
      <c r="Q264" s="46" t="n">
        <f aca="false">MIN(M264,I264)</f>
        <v>25</v>
      </c>
      <c r="R264" s="46" t="n">
        <f aca="false">I264-Q264</f>
        <v>0</v>
      </c>
      <c r="S264" s="46" t="n">
        <f aca="false">M264-Q264</f>
        <v>71</v>
      </c>
      <c r="T264" s="46" t="n">
        <f aca="false">IF(R264&gt;0,1,0)</f>
        <v>0</v>
      </c>
      <c r="U264" s="32" t="n">
        <f aca="false">INDEX(Forecast!$AY$7:$AY$54,C264)</f>
        <v>3</v>
      </c>
      <c r="V264" s="33" t="n">
        <f aca="false">CHOOSE(U264,INDEX(Forecast_Walkforward!$D:$D,H264),INDEX(Forecast_Walkforward!$E:$E,H264),INDEX(Forecast_Walkforward!$F:$F,H264),INDEX(Forecast_Walkforward!$G:$G,H264))</f>
        <v>32.375</v>
      </c>
      <c r="W264" s="79" t="n">
        <f aca="false">INDEX(Forecast!$BA$7:$BA$54,C264)</f>
        <v>6.01853440716728</v>
      </c>
      <c r="X264" s="33" t="n">
        <f aca="false">Z_Value*W264*SQRT(D264)</f>
        <v>17.1466242883311</v>
      </c>
      <c r="Y264" s="33" t="n">
        <f aca="false">V264*D264+X264</f>
        <v>114.271624288331</v>
      </c>
      <c r="Z264" s="33" t="n">
        <f aca="false">SQRT((2*V264*Weeks_Per_Year*F264)/(E264*Holding_Rate))</f>
        <v>217.59696114606</v>
      </c>
      <c r="AA264" s="46" t="n">
        <f aca="false">ROUNDUP(Z264/G264,0)*G264</f>
        <v>220</v>
      </c>
      <c r="AB264" s="46" t="n">
        <f aca="false">SUMIFS(AF$261:AF263,$B$261:$B263,$B264-$D264)</f>
        <v>0</v>
      </c>
      <c r="AC264" s="46" t="n">
        <f aca="false">AI263+AB264</f>
        <v>96</v>
      </c>
      <c r="AD264" s="46" t="n">
        <f aca="false">SUMIFS(AF$261:AF263,$B$261:$B263,"&gt;"&amp;($B264-$D264))</f>
        <v>0</v>
      </c>
      <c r="AE264" s="46" t="n">
        <f aca="false">AC264+AD264</f>
        <v>96</v>
      </c>
      <c r="AF264" s="47" t="n">
        <f aca="false">IF(AE264&lt;=Y264,AA264,0)</f>
        <v>220</v>
      </c>
      <c r="AG264" s="46" t="n">
        <f aca="false">MIN(AC264,I264)</f>
        <v>25</v>
      </c>
      <c r="AH264" s="46" t="n">
        <f aca="false">I264-AG264</f>
        <v>0</v>
      </c>
      <c r="AI264" s="46" t="n">
        <f aca="false">AC264-AG264</f>
        <v>71</v>
      </c>
      <c r="AJ264" s="46" t="n">
        <f aca="false">IF(AH264&gt;0,1,0)</f>
        <v>0</v>
      </c>
    </row>
    <row r="265" customFormat="false" ht="15" hidden="false" customHeight="false" outlineLevel="0" collapsed="false">
      <c r="A265" s="31" t="str">
        <f aca="false">Inputs!$B$53</f>
        <v>BTH-004</v>
      </c>
      <c r="B265" s="46" t="n">
        <f aca="false">B264+1</f>
        <v>93</v>
      </c>
      <c r="C265" s="46" t="n">
        <f aca="false">MATCH(A265,Inputs!$B$40:$B$87,0)</f>
        <v>14</v>
      </c>
      <c r="D265" s="32" t="n">
        <f aca="false">INDEX(Inputs!$F$40:$F$87,C265)</f>
        <v>3</v>
      </c>
      <c r="E265" s="78" t="n">
        <f aca="false">INDEX(Inputs!$H$40:$H$87,C265)</f>
        <v>16</v>
      </c>
      <c r="F265" s="78" t="n">
        <f aca="false">INDEX(Inputs!$G$40:$G$87,C265)</f>
        <v>45</v>
      </c>
      <c r="G265" s="32" t="n">
        <f aca="false">INDEX(Inputs!$I$40:$I$87,C265)</f>
        <v>10</v>
      </c>
      <c r="H265" s="46" t="n">
        <f aca="false">MATCH(A265,Demand_History!$C:$C,0)+B265-1</f>
        <v>1446</v>
      </c>
      <c r="I265" s="32" t="n">
        <f aca="false">INDEX(Forecast_Walkforward!$C:$C,H265)</f>
        <v>26</v>
      </c>
      <c r="J265" s="79" t="n">
        <f aca="false">INDEX(Forecast_Walkforward!$E:$E,H265)</f>
        <v>30.75</v>
      </c>
      <c r="K265" s="33" t="n">
        <f aca="false">Baseline_Weeks*J265</f>
        <v>123</v>
      </c>
      <c r="L265" s="46" t="n">
        <f aca="false">SUMIFS(P$261:P264,$B$261:$B264,$B265-$D265)</f>
        <v>0</v>
      </c>
      <c r="M265" s="46" t="n">
        <f aca="false">S264+L265</f>
        <v>71</v>
      </c>
      <c r="N265" s="46" t="n">
        <f aca="false">SUMIFS(P$261:P264,$B$261:$B264,"&gt;"&amp;($B265-$D265))</f>
        <v>30</v>
      </c>
      <c r="O265" s="46" t="n">
        <f aca="false">M265+N265</f>
        <v>101</v>
      </c>
      <c r="P265" s="47" t="n">
        <f aca="false">IF(O265&lt;K265,ROUNDUP((K265-O265)/G265,0)*G265,0)</f>
        <v>30</v>
      </c>
      <c r="Q265" s="46" t="n">
        <f aca="false">MIN(M265,I265)</f>
        <v>26</v>
      </c>
      <c r="R265" s="46" t="n">
        <f aca="false">I265-Q265</f>
        <v>0</v>
      </c>
      <c r="S265" s="46" t="n">
        <f aca="false">M265-Q265</f>
        <v>45</v>
      </c>
      <c r="T265" s="46" t="n">
        <f aca="false">IF(R265&gt;0,1,0)</f>
        <v>0</v>
      </c>
      <c r="U265" s="32" t="n">
        <f aca="false">INDEX(Forecast!$AY$7:$AY$54,C265)</f>
        <v>3</v>
      </c>
      <c r="V265" s="33" t="n">
        <f aca="false">CHOOSE(U265,INDEX(Forecast_Walkforward!$D:$D,H265),INDEX(Forecast_Walkforward!$E:$E,H265),INDEX(Forecast_Walkforward!$F:$F,H265),INDEX(Forecast_Walkforward!$G:$G,H265))</f>
        <v>31.25</v>
      </c>
      <c r="W265" s="79" t="n">
        <f aca="false">INDEX(Forecast!$BA$7:$BA$54,C265)</f>
        <v>6.01853440716728</v>
      </c>
      <c r="X265" s="33" t="n">
        <f aca="false">Z_Value*W265*SQRT(D265)</f>
        <v>17.1466242883311</v>
      </c>
      <c r="Y265" s="33" t="n">
        <f aca="false">V265*D265+X265</f>
        <v>110.896624288331</v>
      </c>
      <c r="Z265" s="33" t="n">
        <f aca="false">SQRT((2*V265*Weeks_Per_Year*F265)/(E265*Holding_Rate))</f>
        <v>213.782892206088</v>
      </c>
      <c r="AA265" s="46" t="n">
        <f aca="false">ROUNDUP(Z265/G265,0)*G265</f>
        <v>220</v>
      </c>
      <c r="AB265" s="46" t="n">
        <f aca="false">SUMIFS(AF$261:AF264,$B$261:$B264,$B265-$D265)</f>
        <v>0</v>
      </c>
      <c r="AC265" s="46" t="n">
        <f aca="false">AI264+AB265</f>
        <v>71</v>
      </c>
      <c r="AD265" s="46" t="n">
        <f aca="false">SUMIFS(AF$261:AF264,$B$261:$B264,"&gt;"&amp;($B265-$D265))</f>
        <v>220</v>
      </c>
      <c r="AE265" s="46" t="n">
        <f aca="false">AC265+AD265</f>
        <v>291</v>
      </c>
      <c r="AF265" s="47" t="n">
        <f aca="false">IF(AE265&lt;=Y265,AA265,0)</f>
        <v>0</v>
      </c>
      <c r="AG265" s="46" t="n">
        <f aca="false">MIN(AC265,I265)</f>
        <v>26</v>
      </c>
      <c r="AH265" s="46" t="n">
        <f aca="false">I265-AG265</f>
        <v>0</v>
      </c>
      <c r="AI265" s="46" t="n">
        <f aca="false">AC265-AG265</f>
        <v>45</v>
      </c>
      <c r="AJ265" s="46" t="n">
        <f aca="false">IF(AH265&gt;0,1,0)</f>
        <v>0</v>
      </c>
    </row>
    <row r="266" customFormat="false" ht="15" hidden="false" customHeight="false" outlineLevel="0" collapsed="false">
      <c r="A266" s="31" t="str">
        <f aca="false">Inputs!$B$53</f>
        <v>BTH-004</v>
      </c>
      <c r="B266" s="46" t="n">
        <f aca="false">B265+1</f>
        <v>94</v>
      </c>
      <c r="C266" s="46" t="n">
        <f aca="false">MATCH(A266,Inputs!$B$40:$B$87,0)</f>
        <v>14</v>
      </c>
      <c r="D266" s="32" t="n">
        <f aca="false">INDEX(Inputs!$F$40:$F$87,C266)</f>
        <v>3</v>
      </c>
      <c r="E266" s="78" t="n">
        <f aca="false">INDEX(Inputs!$H$40:$H$87,C266)</f>
        <v>16</v>
      </c>
      <c r="F266" s="78" t="n">
        <f aca="false">INDEX(Inputs!$G$40:$G$87,C266)</f>
        <v>45</v>
      </c>
      <c r="G266" s="32" t="n">
        <f aca="false">INDEX(Inputs!$I$40:$I$87,C266)</f>
        <v>10</v>
      </c>
      <c r="H266" s="46" t="n">
        <f aca="false">MATCH(A266,Demand_History!$C:$C,0)+B266-1</f>
        <v>1447</v>
      </c>
      <c r="I266" s="32" t="n">
        <f aca="false">INDEX(Forecast_Walkforward!$C:$C,H266)</f>
        <v>27</v>
      </c>
      <c r="J266" s="79" t="n">
        <f aca="false">INDEX(Forecast_Walkforward!$E:$E,H266)</f>
        <v>29.5</v>
      </c>
      <c r="K266" s="33" t="n">
        <f aca="false">Baseline_Weeks*J266</f>
        <v>118</v>
      </c>
      <c r="L266" s="46" t="n">
        <f aca="false">SUMIFS(P$261:P265,$B$261:$B265,$B266-$D266)</f>
        <v>10</v>
      </c>
      <c r="M266" s="46" t="n">
        <f aca="false">S265+L266</f>
        <v>55</v>
      </c>
      <c r="N266" s="46" t="n">
        <f aca="false">SUMIFS(P$261:P265,$B$261:$B265,"&gt;"&amp;($B266-$D266))</f>
        <v>50</v>
      </c>
      <c r="O266" s="46" t="n">
        <f aca="false">M266+N266</f>
        <v>105</v>
      </c>
      <c r="P266" s="47" t="n">
        <f aca="false">IF(O266&lt;K266,ROUNDUP((K266-O266)/G266,0)*G266,0)</f>
        <v>20</v>
      </c>
      <c r="Q266" s="46" t="n">
        <f aca="false">MIN(M266,I266)</f>
        <v>27</v>
      </c>
      <c r="R266" s="46" t="n">
        <f aca="false">I266-Q266</f>
        <v>0</v>
      </c>
      <c r="S266" s="46" t="n">
        <f aca="false">M266-Q266</f>
        <v>28</v>
      </c>
      <c r="T266" s="46" t="n">
        <f aca="false">IF(R266&gt;0,1,0)</f>
        <v>0</v>
      </c>
      <c r="U266" s="32" t="n">
        <f aca="false">INDEX(Forecast!$AY$7:$AY$54,C266)</f>
        <v>3</v>
      </c>
      <c r="V266" s="33" t="n">
        <f aca="false">CHOOSE(U266,INDEX(Forecast_Walkforward!$D:$D,H266),INDEX(Forecast_Walkforward!$E:$E,H266),INDEX(Forecast_Walkforward!$F:$F,H266),INDEX(Forecast_Walkforward!$G:$G,H266))</f>
        <v>29.875</v>
      </c>
      <c r="W266" s="79" t="n">
        <f aca="false">INDEX(Forecast!$BA$7:$BA$54,C266)</f>
        <v>6.01853440716728</v>
      </c>
      <c r="X266" s="33" t="n">
        <f aca="false">Z_Value*W266*SQRT(D266)</f>
        <v>17.1466242883311</v>
      </c>
      <c r="Y266" s="33" t="n">
        <f aca="false">V266*D266+X266</f>
        <v>106.771624288331</v>
      </c>
      <c r="Z266" s="33" t="n">
        <f aca="false">SQRT((2*V266*Weeks_Per_Year*F266)/(E266*Holding_Rate))</f>
        <v>209.026762640577</v>
      </c>
      <c r="AA266" s="46" t="n">
        <f aca="false">ROUNDUP(Z266/G266,0)*G266</f>
        <v>210</v>
      </c>
      <c r="AB266" s="46" t="n">
        <f aca="false">SUMIFS(AF$261:AF265,$B$261:$B265,$B266-$D266)</f>
        <v>0</v>
      </c>
      <c r="AC266" s="46" t="n">
        <f aca="false">AI265+AB266</f>
        <v>45</v>
      </c>
      <c r="AD266" s="46" t="n">
        <f aca="false">SUMIFS(AF$261:AF265,$B$261:$B265,"&gt;"&amp;($B266-$D266))</f>
        <v>220</v>
      </c>
      <c r="AE266" s="46" t="n">
        <f aca="false">AC266+AD266</f>
        <v>265</v>
      </c>
      <c r="AF266" s="47" t="n">
        <f aca="false">IF(AE266&lt;=Y266,AA266,0)</f>
        <v>0</v>
      </c>
      <c r="AG266" s="46" t="n">
        <f aca="false">MIN(AC266,I266)</f>
        <v>27</v>
      </c>
      <c r="AH266" s="46" t="n">
        <f aca="false">I266-AG266</f>
        <v>0</v>
      </c>
      <c r="AI266" s="46" t="n">
        <f aca="false">AC266-AG266</f>
        <v>18</v>
      </c>
      <c r="AJ266" s="46" t="n">
        <f aca="false">IF(AH266&gt;0,1,0)</f>
        <v>0</v>
      </c>
    </row>
    <row r="267" customFormat="false" ht="15" hidden="false" customHeight="false" outlineLevel="0" collapsed="false">
      <c r="A267" s="31" t="str">
        <f aca="false">Inputs!$B$53</f>
        <v>BTH-004</v>
      </c>
      <c r="B267" s="46" t="n">
        <f aca="false">B266+1</f>
        <v>95</v>
      </c>
      <c r="C267" s="46" t="n">
        <f aca="false">MATCH(A267,Inputs!$B$40:$B$87,0)</f>
        <v>14</v>
      </c>
      <c r="D267" s="32" t="n">
        <f aca="false">INDEX(Inputs!$F$40:$F$87,C267)</f>
        <v>3</v>
      </c>
      <c r="E267" s="78" t="n">
        <f aca="false">INDEX(Inputs!$H$40:$H$87,C267)</f>
        <v>16</v>
      </c>
      <c r="F267" s="78" t="n">
        <f aca="false">INDEX(Inputs!$G$40:$G$87,C267)</f>
        <v>45</v>
      </c>
      <c r="G267" s="32" t="n">
        <f aca="false">INDEX(Inputs!$I$40:$I$87,C267)</f>
        <v>10</v>
      </c>
      <c r="H267" s="46" t="n">
        <f aca="false">MATCH(A267,Demand_History!$C:$C,0)+B267-1</f>
        <v>1448</v>
      </c>
      <c r="I267" s="32" t="n">
        <f aca="false">INDEX(Forecast_Walkforward!$C:$C,H267)</f>
        <v>28</v>
      </c>
      <c r="J267" s="79" t="n">
        <f aca="false">INDEX(Forecast_Walkforward!$E:$E,H267)</f>
        <v>27.5</v>
      </c>
      <c r="K267" s="33" t="n">
        <f aca="false">Baseline_Weeks*J267</f>
        <v>110</v>
      </c>
      <c r="L267" s="46" t="n">
        <f aca="false">SUMIFS(P$261:P266,$B$261:$B266,$B267-$D267)</f>
        <v>20</v>
      </c>
      <c r="M267" s="46" t="n">
        <f aca="false">S266+L267</f>
        <v>48</v>
      </c>
      <c r="N267" s="46" t="n">
        <f aca="false">SUMIFS(P$261:P266,$B$261:$B266,"&gt;"&amp;($B267-$D267))</f>
        <v>50</v>
      </c>
      <c r="O267" s="46" t="n">
        <f aca="false">M267+N267</f>
        <v>98</v>
      </c>
      <c r="P267" s="47" t="n">
        <f aca="false">IF(O267&lt;K267,ROUNDUP((K267-O267)/G267,0)*G267,0)</f>
        <v>20</v>
      </c>
      <c r="Q267" s="46" t="n">
        <f aca="false">MIN(M267,I267)</f>
        <v>28</v>
      </c>
      <c r="R267" s="46" t="n">
        <f aca="false">I267-Q267</f>
        <v>0</v>
      </c>
      <c r="S267" s="46" t="n">
        <f aca="false">M267-Q267</f>
        <v>20</v>
      </c>
      <c r="T267" s="46" t="n">
        <f aca="false">IF(R267&gt;0,1,0)</f>
        <v>0</v>
      </c>
      <c r="U267" s="32" t="n">
        <f aca="false">INDEX(Forecast!$AY$7:$AY$54,C267)</f>
        <v>3</v>
      </c>
      <c r="V267" s="33" t="n">
        <f aca="false">CHOOSE(U267,INDEX(Forecast_Walkforward!$D:$D,H267),INDEX(Forecast_Walkforward!$E:$E,H267),INDEX(Forecast_Walkforward!$F:$F,H267),INDEX(Forecast_Walkforward!$G:$G,H267))</f>
        <v>29.875</v>
      </c>
      <c r="W267" s="79" t="n">
        <f aca="false">INDEX(Forecast!$BA$7:$BA$54,C267)</f>
        <v>6.01853440716728</v>
      </c>
      <c r="X267" s="33" t="n">
        <f aca="false">Z_Value*W267*SQRT(D267)</f>
        <v>17.1466242883311</v>
      </c>
      <c r="Y267" s="33" t="n">
        <f aca="false">V267*D267+X267</f>
        <v>106.771624288331</v>
      </c>
      <c r="Z267" s="33" t="n">
        <f aca="false">SQRT((2*V267*Weeks_Per_Year*F267)/(E267*Holding_Rate))</f>
        <v>209.026762640577</v>
      </c>
      <c r="AA267" s="46" t="n">
        <f aca="false">ROUNDUP(Z267/G267,0)*G267</f>
        <v>210</v>
      </c>
      <c r="AB267" s="46" t="n">
        <f aca="false">SUMIFS(AF$261:AF266,$B$261:$B266,$B267-$D267)</f>
        <v>220</v>
      </c>
      <c r="AC267" s="46" t="n">
        <f aca="false">AI266+AB267</f>
        <v>238</v>
      </c>
      <c r="AD267" s="46" t="n">
        <f aca="false">SUMIFS(AF$261:AF266,$B$261:$B266,"&gt;"&amp;($B267-$D267))</f>
        <v>0</v>
      </c>
      <c r="AE267" s="46" t="n">
        <f aca="false">AC267+AD267</f>
        <v>238</v>
      </c>
      <c r="AF267" s="47" t="n">
        <f aca="false">IF(AE267&lt;=Y267,AA267,0)</f>
        <v>0</v>
      </c>
      <c r="AG267" s="46" t="n">
        <f aca="false">MIN(AC267,I267)</f>
        <v>28</v>
      </c>
      <c r="AH267" s="46" t="n">
        <f aca="false">I267-AG267</f>
        <v>0</v>
      </c>
      <c r="AI267" s="46" t="n">
        <f aca="false">AC267-AG267</f>
        <v>210</v>
      </c>
      <c r="AJ267" s="46" t="n">
        <f aca="false">IF(AH267&gt;0,1,0)</f>
        <v>0</v>
      </c>
    </row>
    <row r="268" customFormat="false" ht="15" hidden="false" customHeight="false" outlineLevel="0" collapsed="false">
      <c r="A268" s="31" t="str">
        <f aca="false">Inputs!$B$53</f>
        <v>BTH-004</v>
      </c>
      <c r="B268" s="46" t="n">
        <f aca="false">B267+1</f>
        <v>96</v>
      </c>
      <c r="C268" s="46" t="n">
        <f aca="false">MATCH(A268,Inputs!$B$40:$B$87,0)</f>
        <v>14</v>
      </c>
      <c r="D268" s="32" t="n">
        <f aca="false">INDEX(Inputs!$F$40:$F$87,C268)</f>
        <v>3</v>
      </c>
      <c r="E268" s="78" t="n">
        <f aca="false">INDEX(Inputs!$H$40:$H$87,C268)</f>
        <v>16</v>
      </c>
      <c r="F268" s="78" t="n">
        <f aca="false">INDEX(Inputs!$G$40:$G$87,C268)</f>
        <v>45</v>
      </c>
      <c r="G268" s="32" t="n">
        <f aca="false">INDEX(Inputs!$I$40:$I$87,C268)</f>
        <v>10</v>
      </c>
      <c r="H268" s="46" t="n">
        <f aca="false">MATCH(A268,Demand_History!$C:$C,0)+B268-1</f>
        <v>1449</v>
      </c>
      <c r="I268" s="32" t="n">
        <f aca="false">INDEX(Forecast_Walkforward!$C:$C,H268)</f>
        <v>33</v>
      </c>
      <c r="J268" s="79" t="n">
        <f aca="false">INDEX(Forecast_Walkforward!$E:$E,H268)</f>
        <v>26.5</v>
      </c>
      <c r="K268" s="33" t="n">
        <f aca="false">Baseline_Weeks*J268</f>
        <v>106</v>
      </c>
      <c r="L268" s="46" t="n">
        <f aca="false">SUMIFS(P$261:P267,$B$261:$B267,$B268-$D268)</f>
        <v>30</v>
      </c>
      <c r="M268" s="46" t="n">
        <f aca="false">S267+L268</f>
        <v>50</v>
      </c>
      <c r="N268" s="46" t="n">
        <f aca="false">SUMIFS(P$261:P267,$B$261:$B267,"&gt;"&amp;($B268-$D268))</f>
        <v>40</v>
      </c>
      <c r="O268" s="46" t="n">
        <f aca="false">M268+N268</f>
        <v>90</v>
      </c>
      <c r="P268" s="47" t="n">
        <f aca="false">IF(O268&lt;K268,ROUNDUP((K268-O268)/G268,0)*G268,0)</f>
        <v>20</v>
      </c>
      <c r="Q268" s="46" t="n">
        <f aca="false">MIN(M268,I268)</f>
        <v>33</v>
      </c>
      <c r="R268" s="46" t="n">
        <f aca="false">I268-Q268</f>
        <v>0</v>
      </c>
      <c r="S268" s="46" t="n">
        <f aca="false">M268-Q268</f>
        <v>17</v>
      </c>
      <c r="T268" s="46" t="n">
        <f aca="false">IF(R268&gt;0,1,0)</f>
        <v>0</v>
      </c>
      <c r="U268" s="32" t="n">
        <f aca="false">INDEX(Forecast!$AY$7:$AY$54,C268)</f>
        <v>3</v>
      </c>
      <c r="V268" s="33" t="n">
        <f aca="false">CHOOSE(U268,INDEX(Forecast_Walkforward!$D:$D,H268),INDEX(Forecast_Walkforward!$E:$E,H268),INDEX(Forecast_Walkforward!$F:$F,H268),INDEX(Forecast_Walkforward!$G:$G,H268))</f>
        <v>28.75</v>
      </c>
      <c r="W268" s="79" t="n">
        <f aca="false">INDEX(Forecast!$BA$7:$BA$54,C268)</f>
        <v>6.01853440716728</v>
      </c>
      <c r="X268" s="33" t="n">
        <f aca="false">Z_Value*W268*SQRT(D268)</f>
        <v>17.1466242883311</v>
      </c>
      <c r="Y268" s="33" t="n">
        <f aca="false">V268*D268+X268</f>
        <v>103.396624288331</v>
      </c>
      <c r="Z268" s="33" t="n">
        <f aca="false">SQRT((2*V268*Weeks_Per_Year*F268)/(E268*Holding_Rate))</f>
        <v>205.053346717385</v>
      </c>
      <c r="AA268" s="46" t="n">
        <f aca="false">ROUNDUP(Z268/G268,0)*G268</f>
        <v>210</v>
      </c>
      <c r="AB268" s="46" t="n">
        <f aca="false">SUMIFS(AF$261:AF267,$B$261:$B267,$B268-$D268)</f>
        <v>0</v>
      </c>
      <c r="AC268" s="46" t="n">
        <f aca="false">AI267+AB268</f>
        <v>210</v>
      </c>
      <c r="AD268" s="46" t="n">
        <f aca="false">SUMIFS(AF$261:AF267,$B$261:$B267,"&gt;"&amp;($B268-$D268))</f>
        <v>0</v>
      </c>
      <c r="AE268" s="46" t="n">
        <f aca="false">AC268+AD268</f>
        <v>210</v>
      </c>
      <c r="AF268" s="47" t="n">
        <f aca="false">IF(AE268&lt;=Y268,AA268,0)</f>
        <v>0</v>
      </c>
      <c r="AG268" s="46" t="n">
        <f aca="false">MIN(AC268,I268)</f>
        <v>33</v>
      </c>
      <c r="AH268" s="46" t="n">
        <f aca="false">I268-AG268</f>
        <v>0</v>
      </c>
      <c r="AI268" s="46" t="n">
        <f aca="false">AC268-AG268</f>
        <v>177</v>
      </c>
      <c r="AJ268" s="46" t="n">
        <f aca="false">IF(AH268&gt;0,1,0)</f>
        <v>0</v>
      </c>
    </row>
    <row r="269" customFormat="false" ht="15" hidden="false" customHeight="false" outlineLevel="0" collapsed="false">
      <c r="A269" s="31" t="str">
        <f aca="false">Inputs!$B$53</f>
        <v>BTH-004</v>
      </c>
      <c r="B269" s="46" t="n">
        <f aca="false">B268+1</f>
        <v>97</v>
      </c>
      <c r="C269" s="46" t="n">
        <f aca="false">MATCH(A269,Inputs!$B$40:$B$87,0)</f>
        <v>14</v>
      </c>
      <c r="D269" s="32" t="n">
        <f aca="false">INDEX(Inputs!$F$40:$F$87,C269)</f>
        <v>3</v>
      </c>
      <c r="E269" s="78" t="n">
        <f aca="false">INDEX(Inputs!$H$40:$H$87,C269)</f>
        <v>16</v>
      </c>
      <c r="F269" s="78" t="n">
        <f aca="false">INDEX(Inputs!$G$40:$G$87,C269)</f>
        <v>45</v>
      </c>
      <c r="G269" s="32" t="n">
        <f aca="false">INDEX(Inputs!$I$40:$I$87,C269)</f>
        <v>10</v>
      </c>
      <c r="H269" s="46" t="n">
        <f aca="false">MATCH(A269,Demand_History!$C:$C,0)+B269-1</f>
        <v>1450</v>
      </c>
      <c r="I269" s="32" t="n">
        <f aca="false">INDEX(Forecast_Walkforward!$C:$C,H269)</f>
        <v>23</v>
      </c>
      <c r="J269" s="79" t="n">
        <f aca="false">INDEX(Forecast_Walkforward!$E:$E,H269)</f>
        <v>28.5</v>
      </c>
      <c r="K269" s="33" t="n">
        <f aca="false">Baseline_Weeks*J269</f>
        <v>114</v>
      </c>
      <c r="L269" s="46" t="n">
        <f aca="false">SUMIFS(P$261:P268,$B$261:$B268,$B269-$D269)</f>
        <v>20</v>
      </c>
      <c r="M269" s="46" t="n">
        <f aca="false">S268+L269</f>
        <v>37</v>
      </c>
      <c r="N269" s="46" t="n">
        <f aca="false">SUMIFS(P$261:P268,$B$261:$B268,"&gt;"&amp;($B269-$D269))</f>
        <v>40</v>
      </c>
      <c r="O269" s="46" t="n">
        <f aca="false">M269+N269</f>
        <v>77</v>
      </c>
      <c r="P269" s="47" t="n">
        <f aca="false">IF(O269&lt;K269,ROUNDUP((K269-O269)/G269,0)*G269,0)</f>
        <v>40</v>
      </c>
      <c r="Q269" s="46" t="n">
        <f aca="false">MIN(M269,I269)</f>
        <v>23</v>
      </c>
      <c r="R269" s="46" t="n">
        <f aca="false">I269-Q269</f>
        <v>0</v>
      </c>
      <c r="S269" s="46" t="n">
        <f aca="false">M269-Q269</f>
        <v>14</v>
      </c>
      <c r="T269" s="46" t="n">
        <f aca="false">IF(R269&gt;0,1,0)</f>
        <v>0</v>
      </c>
      <c r="U269" s="32" t="n">
        <f aca="false">INDEX(Forecast!$AY$7:$AY$54,C269)</f>
        <v>3</v>
      </c>
      <c r="V269" s="33" t="n">
        <f aca="false">CHOOSE(U269,INDEX(Forecast_Walkforward!$D:$D,H269),INDEX(Forecast_Walkforward!$E:$E,H269),INDEX(Forecast_Walkforward!$F:$F,H269),INDEX(Forecast_Walkforward!$G:$G,H269))</f>
        <v>29.625</v>
      </c>
      <c r="W269" s="79" t="n">
        <f aca="false">INDEX(Forecast!$BA$7:$BA$54,C269)</f>
        <v>6.01853440716728</v>
      </c>
      <c r="X269" s="33" t="n">
        <f aca="false">Z_Value*W269*SQRT(D269)</f>
        <v>17.1466242883311</v>
      </c>
      <c r="Y269" s="33" t="n">
        <f aca="false">V269*D269+X269</f>
        <v>106.021624288331</v>
      </c>
      <c r="Z269" s="33" t="n">
        <f aca="false">SQRT((2*V269*Weeks_Per_Year*F269)/(E269*Holding_Rate))</f>
        <v>208.150336295669</v>
      </c>
      <c r="AA269" s="46" t="n">
        <f aca="false">ROUNDUP(Z269/G269,0)*G269</f>
        <v>210</v>
      </c>
      <c r="AB269" s="46" t="n">
        <f aca="false">SUMIFS(AF$261:AF268,$B$261:$B268,$B269-$D269)</f>
        <v>0</v>
      </c>
      <c r="AC269" s="46" t="n">
        <f aca="false">AI268+AB269</f>
        <v>177</v>
      </c>
      <c r="AD269" s="46" t="n">
        <f aca="false">SUMIFS(AF$261:AF268,$B$261:$B268,"&gt;"&amp;($B269-$D269))</f>
        <v>0</v>
      </c>
      <c r="AE269" s="46" t="n">
        <f aca="false">AC269+AD269</f>
        <v>177</v>
      </c>
      <c r="AF269" s="47" t="n">
        <f aca="false">IF(AE269&lt;=Y269,AA269,0)</f>
        <v>0</v>
      </c>
      <c r="AG269" s="46" t="n">
        <f aca="false">MIN(AC269,I269)</f>
        <v>23</v>
      </c>
      <c r="AH269" s="46" t="n">
        <f aca="false">I269-AG269</f>
        <v>0</v>
      </c>
      <c r="AI269" s="46" t="n">
        <f aca="false">AC269-AG269</f>
        <v>154</v>
      </c>
      <c r="AJ269" s="46" t="n">
        <f aca="false">IF(AH269&gt;0,1,0)</f>
        <v>0</v>
      </c>
    </row>
    <row r="270" customFormat="false" ht="15" hidden="false" customHeight="false" outlineLevel="0" collapsed="false">
      <c r="A270" s="31" t="str">
        <f aca="false">Inputs!$B$53</f>
        <v>BTH-004</v>
      </c>
      <c r="B270" s="46" t="n">
        <f aca="false">B269+1</f>
        <v>98</v>
      </c>
      <c r="C270" s="46" t="n">
        <f aca="false">MATCH(A270,Inputs!$B$40:$B$87,0)</f>
        <v>14</v>
      </c>
      <c r="D270" s="32" t="n">
        <f aca="false">INDEX(Inputs!$F$40:$F$87,C270)</f>
        <v>3</v>
      </c>
      <c r="E270" s="78" t="n">
        <f aca="false">INDEX(Inputs!$H$40:$H$87,C270)</f>
        <v>16</v>
      </c>
      <c r="F270" s="78" t="n">
        <f aca="false">INDEX(Inputs!$G$40:$G$87,C270)</f>
        <v>45</v>
      </c>
      <c r="G270" s="32" t="n">
        <f aca="false">INDEX(Inputs!$I$40:$I$87,C270)</f>
        <v>10</v>
      </c>
      <c r="H270" s="46" t="n">
        <f aca="false">MATCH(A270,Demand_History!$C:$C,0)+B270-1</f>
        <v>1451</v>
      </c>
      <c r="I270" s="32" t="n">
        <f aca="false">INDEX(Forecast_Walkforward!$C:$C,H270)</f>
        <v>29</v>
      </c>
      <c r="J270" s="79" t="n">
        <f aca="false">INDEX(Forecast_Walkforward!$E:$E,H270)</f>
        <v>27.75</v>
      </c>
      <c r="K270" s="33" t="n">
        <f aca="false">Baseline_Weeks*J270</f>
        <v>111</v>
      </c>
      <c r="L270" s="46" t="n">
        <f aca="false">SUMIFS(P$261:P269,$B$261:$B269,$B270-$D270)</f>
        <v>20</v>
      </c>
      <c r="M270" s="46" t="n">
        <f aca="false">S269+L270</f>
        <v>34</v>
      </c>
      <c r="N270" s="46" t="n">
        <f aca="false">SUMIFS(P$261:P269,$B$261:$B269,"&gt;"&amp;($B270-$D270))</f>
        <v>60</v>
      </c>
      <c r="O270" s="46" t="n">
        <f aca="false">M270+N270</f>
        <v>94</v>
      </c>
      <c r="P270" s="47" t="n">
        <f aca="false">IF(O270&lt;K270,ROUNDUP((K270-O270)/G270,0)*G270,0)</f>
        <v>20</v>
      </c>
      <c r="Q270" s="46" t="n">
        <f aca="false">MIN(M270,I270)</f>
        <v>29</v>
      </c>
      <c r="R270" s="46" t="n">
        <f aca="false">I270-Q270</f>
        <v>0</v>
      </c>
      <c r="S270" s="46" t="n">
        <f aca="false">M270-Q270</f>
        <v>5</v>
      </c>
      <c r="T270" s="46" t="n">
        <f aca="false">IF(R270&gt;0,1,0)</f>
        <v>0</v>
      </c>
      <c r="U270" s="32" t="n">
        <f aca="false">INDEX(Forecast!$AY$7:$AY$54,C270)</f>
        <v>3</v>
      </c>
      <c r="V270" s="33" t="n">
        <f aca="false">CHOOSE(U270,INDEX(Forecast_Walkforward!$D:$D,H270),INDEX(Forecast_Walkforward!$E:$E,H270),INDEX(Forecast_Walkforward!$F:$F,H270),INDEX(Forecast_Walkforward!$G:$G,H270))</f>
        <v>28.625</v>
      </c>
      <c r="W270" s="79" t="n">
        <f aca="false">INDEX(Forecast!$BA$7:$BA$54,C270)</f>
        <v>6.01853440716728</v>
      </c>
      <c r="X270" s="33" t="n">
        <f aca="false">Z_Value*W270*SQRT(D270)</f>
        <v>17.1466242883311</v>
      </c>
      <c r="Y270" s="33" t="n">
        <f aca="false">V270*D270+X270</f>
        <v>103.021624288331</v>
      </c>
      <c r="Z270" s="33" t="n">
        <f aca="false">SQRT((2*V270*Weeks_Per_Year*F270)/(E270*Holding_Rate))</f>
        <v>204.607092985556</v>
      </c>
      <c r="AA270" s="46" t="n">
        <f aca="false">ROUNDUP(Z270/G270,0)*G270</f>
        <v>210</v>
      </c>
      <c r="AB270" s="46" t="n">
        <f aca="false">SUMIFS(AF$261:AF269,$B$261:$B269,$B270-$D270)</f>
        <v>0</v>
      </c>
      <c r="AC270" s="46" t="n">
        <f aca="false">AI269+AB270</f>
        <v>154</v>
      </c>
      <c r="AD270" s="46" t="n">
        <f aca="false">SUMIFS(AF$261:AF269,$B$261:$B269,"&gt;"&amp;($B270-$D270))</f>
        <v>0</v>
      </c>
      <c r="AE270" s="46" t="n">
        <f aca="false">AC270+AD270</f>
        <v>154</v>
      </c>
      <c r="AF270" s="47" t="n">
        <f aca="false">IF(AE270&lt;=Y270,AA270,0)</f>
        <v>0</v>
      </c>
      <c r="AG270" s="46" t="n">
        <f aca="false">MIN(AC270,I270)</f>
        <v>29</v>
      </c>
      <c r="AH270" s="46" t="n">
        <f aca="false">I270-AG270</f>
        <v>0</v>
      </c>
      <c r="AI270" s="46" t="n">
        <f aca="false">AC270-AG270</f>
        <v>125</v>
      </c>
      <c r="AJ270" s="46" t="n">
        <f aca="false">IF(AH270&gt;0,1,0)</f>
        <v>0</v>
      </c>
    </row>
    <row r="271" customFormat="false" ht="15" hidden="false" customHeight="false" outlineLevel="0" collapsed="false">
      <c r="A271" s="31" t="str">
        <f aca="false">Inputs!$B$53</f>
        <v>BTH-004</v>
      </c>
      <c r="B271" s="46" t="n">
        <f aca="false">B270+1</f>
        <v>99</v>
      </c>
      <c r="C271" s="46" t="n">
        <f aca="false">MATCH(A271,Inputs!$B$40:$B$87,0)</f>
        <v>14</v>
      </c>
      <c r="D271" s="32" t="n">
        <f aca="false">INDEX(Inputs!$F$40:$F$87,C271)</f>
        <v>3</v>
      </c>
      <c r="E271" s="78" t="n">
        <f aca="false">INDEX(Inputs!$H$40:$H$87,C271)</f>
        <v>16</v>
      </c>
      <c r="F271" s="78" t="n">
        <f aca="false">INDEX(Inputs!$G$40:$G$87,C271)</f>
        <v>45</v>
      </c>
      <c r="G271" s="32" t="n">
        <f aca="false">INDEX(Inputs!$I$40:$I$87,C271)</f>
        <v>10</v>
      </c>
      <c r="H271" s="46" t="n">
        <f aca="false">MATCH(A271,Demand_History!$C:$C,0)+B271-1</f>
        <v>1452</v>
      </c>
      <c r="I271" s="32" t="n">
        <f aca="false">INDEX(Forecast_Walkforward!$C:$C,H271)</f>
        <v>30</v>
      </c>
      <c r="J271" s="79" t="n">
        <f aca="false">INDEX(Forecast_Walkforward!$E:$E,H271)</f>
        <v>28.25</v>
      </c>
      <c r="K271" s="33" t="n">
        <f aca="false">Baseline_Weeks*J271</f>
        <v>113</v>
      </c>
      <c r="L271" s="46" t="n">
        <f aca="false">SUMIFS(P$261:P270,$B$261:$B270,$B271-$D271)</f>
        <v>20</v>
      </c>
      <c r="M271" s="46" t="n">
        <f aca="false">S270+L271</f>
        <v>25</v>
      </c>
      <c r="N271" s="46" t="n">
        <f aca="false">SUMIFS(P$261:P270,$B$261:$B270,"&gt;"&amp;($B271-$D271))</f>
        <v>60</v>
      </c>
      <c r="O271" s="46" t="n">
        <f aca="false">M271+N271</f>
        <v>85</v>
      </c>
      <c r="P271" s="47" t="n">
        <f aca="false">IF(O271&lt;K271,ROUNDUP((K271-O271)/G271,0)*G271,0)</f>
        <v>30</v>
      </c>
      <c r="Q271" s="46" t="n">
        <f aca="false">MIN(M271,I271)</f>
        <v>25</v>
      </c>
      <c r="R271" s="46" t="n">
        <f aca="false">I271-Q271</f>
        <v>5</v>
      </c>
      <c r="S271" s="46" t="n">
        <f aca="false">M271-Q271</f>
        <v>0</v>
      </c>
      <c r="T271" s="46" t="n">
        <f aca="false">IF(R271&gt;0,1,0)</f>
        <v>1</v>
      </c>
      <c r="U271" s="32" t="n">
        <f aca="false">INDEX(Forecast!$AY$7:$AY$54,C271)</f>
        <v>3</v>
      </c>
      <c r="V271" s="33" t="n">
        <f aca="false">CHOOSE(U271,INDEX(Forecast_Walkforward!$D:$D,H271),INDEX(Forecast_Walkforward!$E:$E,H271),INDEX(Forecast_Walkforward!$F:$F,H271),INDEX(Forecast_Walkforward!$G:$G,H271))</f>
        <v>27.875</v>
      </c>
      <c r="W271" s="79" t="n">
        <f aca="false">INDEX(Forecast!$BA$7:$BA$54,C271)</f>
        <v>6.01853440716728</v>
      </c>
      <c r="X271" s="33" t="n">
        <f aca="false">Z_Value*W271*SQRT(D271)</f>
        <v>17.1466242883311</v>
      </c>
      <c r="Y271" s="33" t="n">
        <f aca="false">V271*D271+X271</f>
        <v>100.771624288331</v>
      </c>
      <c r="Z271" s="33" t="n">
        <f aca="false">SQRT((2*V271*Weeks_Per_Year*F271)/(E271*Holding_Rate))</f>
        <v>201.908859389577</v>
      </c>
      <c r="AA271" s="46" t="n">
        <f aca="false">ROUNDUP(Z271/G271,0)*G271</f>
        <v>210</v>
      </c>
      <c r="AB271" s="46" t="n">
        <f aca="false">SUMIFS(AF$261:AF270,$B$261:$B270,$B271-$D271)</f>
        <v>0</v>
      </c>
      <c r="AC271" s="46" t="n">
        <f aca="false">AI270+AB271</f>
        <v>125</v>
      </c>
      <c r="AD271" s="46" t="n">
        <f aca="false">SUMIFS(AF$261:AF270,$B$261:$B270,"&gt;"&amp;($B271-$D271))</f>
        <v>0</v>
      </c>
      <c r="AE271" s="46" t="n">
        <f aca="false">AC271+AD271</f>
        <v>125</v>
      </c>
      <c r="AF271" s="47" t="n">
        <f aca="false">IF(AE271&lt;=Y271,AA271,0)</f>
        <v>0</v>
      </c>
      <c r="AG271" s="46" t="n">
        <f aca="false">MIN(AC271,I271)</f>
        <v>30</v>
      </c>
      <c r="AH271" s="46" t="n">
        <f aca="false">I271-AG271</f>
        <v>0</v>
      </c>
      <c r="AI271" s="46" t="n">
        <f aca="false">AC271-AG271</f>
        <v>95</v>
      </c>
      <c r="AJ271" s="46" t="n">
        <f aca="false">IF(AH271&gt;0,1,0)</f>
        <v>0</v>
      </c>
    </row>
    <row r="272" customFormat="false" ht="15" hidden="false" customHeight="false" outlineLevel="0" collapsed="false">
      <c r="A272" s="31" t="str">
        <f aca="false">Inputs!$B$53</f>
        <v>BTH-004</v>
      </c>
      <c r="B272" s="46" t="n">
        <f aca="false">B271+1</f>
        <v>100</v>
      </c>
      <c r="C272" s="46" t="n">
        <f aca="false">MATCH(A272,Inputs!$B$40:$B$87,0)</f>
        <v>14</v>
      </c>
      <c r="D272" s="32" t="n">
        <f aca="false">INDEX(Inputs!$F$40:$F$87,C272)</f>
        <v>3</v>
      </c>
      <c r="E272" s="78" t="n">
        <f aca="false">INDEX(Inputs!$H$40:$H$87,C272)</f>
        <v>16</v>
      </c>
      <c r="F272" s="78" t="n">
        <f aca="false">INDEX(Inputs!$G$40:$G$87,C272)</f>
        <v>45</v>
      </c>
      <c r="G272" s="32" t="n">
        <f aca="false">INDEX(Inputs!$I$40:$I$87,C272)</f>
        <v>10</v>
      </c>
      <c r="H272" s="46" t="n">
        <f aca="false">MATCH(A272,Demand_History!$C:$C,0)+B272-1</f>
        <v>1453</v>
      </c>
      <c r="I272" s="32" t="n">
        <f aca="false">INDEX(Forecast_Walkforward!$C:$C,H272)</f>
        <v>29</v>
      </c>
      <c r="J272" s="79" t="n">
        <f aca="false">INDEX(Forecast_Walkforward!$E:$E,H272)</f>
        <v>28.75</v>
      </c>
      <c r="K272" s="33" t="n">
        <f aca="false">Baseline_Weeks*J272</f>
        <v>115</v>
      </c>
      <c r="L272" s="46" t="n">
        <f aca="false">SUMIFS(P$261:P271,$B$261:$B271,$B272-$D272)</f>
        <v>40</v>
      </c>
      <c r="M272" s="46" t="n">
        <f aca="false">S271+L272</f>
        <v>40</v>
      </c>
      <c r="N272" s="46" t="n">
        <f aca="false">SUMIFS(P$261:P271,$B$261:$B271,"&gt;"&amp;($B272-$D272))</f>
        <v>50</v>
      </c>
      <c r="O272" s="46" t="n">
        <f aca="false">M272+N272</f>
        <v>90</v>
      </c>
      <c r="P272" s="47" t="n">
        <f aca="false">IF(O272&lt;K272,ROUNDUP((K272-O272)/G272,0)*G272,0)</f>
        <v>30</v>
      </c>
      <c r="Q272" s="46" t="n">
        <f aca="false">MIN(M272,I272)</f>
        <v>29</v>
      </c>
      <c r="R272" s="46" t="n">
        <f aca="false">I272-Q272</f>
        <v>0</v>
      </c>
      <c r="S272" s="46" t="n">
        <f aca="false">M272-Q272</f>
        <v>11</v>
      </c>
      <c r="T272" s="46" t="n">
        <f aca="false">IF(R272&gt;0,1,0)</f>
        <v>0</v>
      </c>
      <c r="U272" s="32" t="n">
        <f aca="false">INDEX(Forecast!$AY$7:$AY$54,C272)</f>
        <v>3</v>
      </c>
      <c r="V272" s="33" t="n">
        <f aca="false">CHOOSE(U272,INDEX(Forecast_Walkforward!$D:$D,H272),INDEX(Forecast_Walkforward!$E:$E,H272),INDEX(Forecast_Walkforward!$F:$F,H272),INDEX(Forecast_Walkforward!$G:$G,H272))</f>
        <v>27.625</v>
      </c>
      <c r="W272" s="79" t="n">
        <f aca="false">INDEX(Forecast!$BA$7:$BA$54,C272)</f>
        <v>6.01853440716728</v>
      </c>
      <c r="X272" s="33" t="n">
        <f aca="false">Z_Value*W272*SQRT(D272)</f>
        <v>17.1466242883311</v>
      </c>
      <c r="Y272" s="33" t="n">
        <f aca="false">V272*D272+X272</f>
        <v>100.021624288331</v>
      </c>
      <c r="Z272" s="33" t="n">
        <f aca="false">SQRT((2*V272*Weeks_Per_Year*F272)/(E272*Holding_Rate))</f>
        <v>201.001399248861</v>
      </c>
      <c r="AA272" s="46" t="n">
        <f aca="false">ROUNDUP(Z272/G272,0)*G272</f>
        <v>210</v>
      </c>
      <c r="AB272" s="46" t="n">
        <f aca="false">SUMIFS(AF$261:AF271,$B$261:$B271,$B272-$D272)</f>
        <v>0</v>
      </c>
      <c r="AC272" s="46" t="n">
        <f aca="false">AI271+AB272</f>
        <v>95</v>
      </c>
      <c r="AD272" s="46" t="n">
        <f aca="false">SUMIFS(AF$261:AF271,$B$261:$B271,"&gt;"&amp;($B272-$D272))</f>
        <v>0</v>
      </c>
      <c r="AE272" s="46" t="n">
        <f aca="false">AC272+AD272</f>
        <v>95</v>
      </c>
      <c r="AF272" s="47" t="n">
        <f aca="false">IF(AE272&lt;=Y272,AA272,0)</f>
        <v>210</v>
      </c>
      <c r="AG272" s="46" t="n">
        <f aca="false">MIN(AC272,I272)</f>
        <v>29</v>
      </c>
      <c r="AH272" s="46" t="n">
        <f aca="false">I272-AG272</f>
        <v>0</v>
      </c>
      <c r="AI272" s="46" t="n">
        <f aca="false">AC272-AG272</f>
        <v>66</v>
      </c>
      <c r="AJ272" s="46" t="n">
        <f aca="false">IF(AH272&gt;0,1,0)</f>
        <v>0</v>
      </c>
    </row>
    <row r="273" customFormat="false" ht="15" hidden="false" customHeight="false" outlineLevel="0" collapsed="false">
      <c r="A273" s="31" t="str">
        <f aca="false">Inputs!$B$53</f>
        <v>BTH-004</v>
      </c>
      <c r="B273" s="46" t="n">
        <f aca="false">B272+1</f>
        <v>101</v>
      </c>
      <c r="C273" s="46" t="n">
        <f aca="false">MATCH(A273,Inputs!$B$40:$B$87,0)</f>
        <v>14</v>
      </c>
      <c r="D273" s="32" t="n">
        <f aca="false">INDEX(Inputs!$F$40:$F$87,C273)</f>
        <v>3</v>
      </c>
      <c r="E273" s="78" t="n">
        <f aca="false">INDEX(Inputs!$H$40:$H$87,C273)</f>
        <v>16</v>
      </c>
      <c r="F273" s="78" t="n">
        <f aca="false">INDEX(Inputs!$G$40:$G$87,C273)</f>
        <v>45</v>
      </c>
      <c r="G273" s="32" t="n">
        <f aca="false">INDEX(Inputs!$I$40:$I$87,C273)</f>
        <v>10</v>
      </c>
      <c r="H273" s="46" t="n">
        <f aca="false">MATCH(A273,Demand_History!$C:$C,0)+B273-1</f>
        <v>1454</v>
      </c>
      <c r="I273" s="32" t="n">
        <f aca="false">INDEX(Forecast_Walkforward!$C:$C,H273)</f>
        <v>29</v>
      </c>
      <c r="J273" s="79" t="n">
        <f aca="false">INDEX(Forecast_Walkforward!$E:$E,H273)</f>
        <v>27.75</v>
      </c>
      <c r="K273" s="33" t="n">
        <f aca="false">Baseline_Weeks*J273</f>
        <v>111</v>
      </c>
      <c r="L273" s="46" t="n">
        <f aca="false">SUMIFS(P$261:P272,$B$261:$B272,$B273-$D273)</f>
        <v>20</v>
      </c>
      <c r="M273" s="46" t="n">
        <f aca="false">S272+L273</f>
        <v>31</v>
      </c>
      <c r="N273" s="46" t="n">
        <f aca="false">SUMIFS(P$261:P272,$B$261:$B272,"&gt;"&amp;($B273-$D273))</f>
        <v>60</v>
      </c>
      <c r="O273" s="46" t="n">
        <f aca="false">M273+N273</f>
        <v>91</v>
      </c>
      <c r="P273" s="47" t="n">
        <f aca="false">IF(O273&lt;K273,ROUNDUP((K273-O273)/G273,0)*G273,0)</f>
        <v>20</v>
      </c>
      <c r="Q273" s="46" t="n">
        <f aca="false">MIN(M273,I273)</f>
        <v>29</v>
      </c>
      <c r="R273" s="46" t="n">
        <f aca="false">I273-Q273</f>
        <v>0</v>
      </c>
      <c r="S273" s="46" t="n">
        <f aca="false">M273-Q273</f>
        <v>2</v>
      </c>
      <c r="T273" s="46" t="n">
        <f aca="false">IF(R273&gt;0,1,0)</f>
        <v>0</v>
      </c>
      <c r="U273" s="32" t="n">
        <f aca="false">INDEX(Forecast!$AY$7:$AY$54,C273)</f>
        <v>3</v>
      </c>
      <c r="V273" s="33" t="n">
        <f aca="false">CHOOSE(U273,INDEX(Forecast_Walkforward!$D:$D,H273),INDEX(Forecast_Walkforward!$E:$E,H273),INDEX(Forecast_Walkforward!$F:$F,H273),INDEX(Forecast_Walkforward!$G:$G,H273))</f>
        <v>28.125</v>
      </c>
      <c r="W273" s="79" t="n">
        <f aca="false">INDEX(Forecast!$BA$7:$BA$54,C273)</f>
        <v>6.01853440716728</v>
      </c>
      <c r="X273" s="33" t="n">
        <f aca="false">Z_Value*W273*SQRT(D273)</f>
        <v>17.1466242883311</v>
      </c>
      <c r="Y273" s="33" t="n">
        <f aca="false">V273*D273+X273</f>
        <v>101.521624288331</v>
      </c>
      <c r="Z273" s="33" t="n">
        <f aca="false">SQRT((2*V273*Weeks_Per_Year*F273)/(E273*Holding_Rate))</f>
        <v>202.812259244849</v>
      </c>
      <c r="AA273" s="46" t="n">
        <f aca="false">ROUNDUP(Z273/G273,0)*G273</f>
        <v>210</v>
      </c>
      <c r="AB273" s="46" t="n">
        <f aca="false">SUMIFS(AF$261:AF272,$B$261:$B272,$B273-$D273)</f>
        <v>0</v>
      </c>
      <c r="AC273" s="46" t="n">
        <f aca="false">AI272+AB273</f>
        <v>66</v>
      </c>
      <c r="AD273" s="46" t="n">
        <f aca="false">SUMIFS(AF$261:AF272,$B$261:$B272,"&gt;"&amp;($B273-$D273))</f>
        <v>210</v>
      </c>
      <c r="AE273" s="46" t="n">
        <f aca="false">AC273+AD273</f>
        <v>276</v>
      </c>
      <c r="AF273" s="47" t="n">
        <f aca="false">IF(AE273&lt;=Y273,AA273,0)</f>
        <v>0</v>
      </c>
      <c r="AG273" s="46" t="n">
        <f aca="false">MIN(AC273,I273)</f>
        <v>29</v>
      </c>
      <c r="AH273" s="46" t="n">
        <f aca="false">I273-AG273</f>
        <v>0</v>
      </c>
      <c r="AI273" s="46" t="n">
        <f aca="false">AC273-AG273</f>
        <v>37</v>
      </c>
      <c r="AJ273" s="46" t="n">
        <f aca="false">IF(AH273&gt;0,1,0)</f>
        <v>0</v>
      </c>
    </row>
    <row r="274" customFormat="false" ht="15" hidden="false" customHeight="false" outlineLevel="0" collapsed="false">
      <c r="A274" s="31" t="str">
        <f aca="false">Inputs!$B$53</f>
        <v>BTH-004</v>
      </c>
      <c r="B274" s="46" t="n">
        <f aca="false">B273+1</f>
        <v>102</v>
      </c>
      <c r="C274" s="46" t="n">
        <f aca="false">MATCH(A274,Inputs!$B$40:$B$87,0)</f>
        <v>14</v>
      </c>
      <c r="D274" s="32" t="n">
        <f aca="false">INDEX(Inputs!$F$40:$F$87,C274)</f>
        <v>3</v>
      </c>
      <c r="E274" s="78" t="n">
        <f aca="false">INDEX(Inputs!$H$40:$H$87,C274)</f>
        <v>16</v>
      </c>
      <c r="F274" s="78" t="n">
        <f aca="false">INDEX(Inputs!$G$40:$G$87,C274)</f>
        <v>45</v>
      </c>
      <c r="G274" s="32" t="n">
        <f aca="false">INDEX(Inputs!$I$40:$I$87,C274)</f>
        <v>10</v>
      </c>
      <c r="H274" s="46" t="n">
        <f aca="false">MATCH(A274,Demand_History!$C:$C,0)+B274-1</f>
        <v>1455</v>
      </c>
      <c r="I274" s="32" t="n">
        <f aca="false">INDEX(Forecast_Walkforward!$C:$C,H274)</f>
        <v>32</v>
      </c>
      <c r="J274" s="79" t="n">
        <f aca="false">INDEX(Forecast_Walkforward!$E:$E,H274)</f>
        <v>29.25</v>
      </c>
      <c r="K274" s="33" t="n">
        <f aca="false">Baseline_Weeks*J274</f>
        <v>117</v>
      </c>
      <c r="L274" s="46" t="n">
        <f aca="false">SUMIFS(P$261:P273,$B$261:$B273,$B274-$D274)</f>
        <v>30</v>
      </c>
      <c r="M274" s="46" t="n">
        <f aca="false">S273+L274</f>
        <v>32</v>
      </c>
      <c r="N274" s="46" t="n">
        <f aca="false">SUMIFS(P$261:P273,$B$261:$B273,"&gt;"&amp;($B274-$D274))</f>
        <v>50</v>
      </c>
      <c r="O274" s="46" t="n">
        <f aca="false">M274+N274</f>
        <v>82</v>
      </c>
      <c r="P274" s="47" t="n">
        <f aca="false">IF(O274&lt;K274,ROUNDUP((K274-O274)/G274,0)*G274,0)</f>
        <v>40</v>
      </c>
      <c r="Q274" s="46" t="n">
        <f aca="false">MIN(M274,I274)</f>
        <v>32</v>
      </c>
      <c r="R274" s="46" t="n">
        <f aca="false">I274-Q274</f>
        <v>0</v>
      </c>
      <c r="S274" s="46" t="n">
        <f aca="false">M274-Q274</f>
        <v>0</v>
      </c>
      <c r="T274" s="46" t="n">
        <f aca="false">IF(R274&gt;0,1,0)</f>
        <v>0</v>
      </c>
      <c r="U274" s="32" t="n">
        <f aca="false">INDEX(Forecast!$AY$7:$AY$54,C274)</f>
        <v>3</v>
      </c>
      <c r="V274" s="33" t="n">
        <f aca="false">CHOOSE(U274,INDEX(Forecast_Walkforward!$D:$D,H274),INDEX(Forecast_Walkforward!$E:$E,H274),INDEX(Forecast_Walkforward!$F:$F,H274),INDEX(Forecast_Walkforward!$G:$G,H274))</f>
        <v>28.5</v>
      </c>
      <c r="W274" s="79" t="n">
        <f aca="false">INDEX(Forecast!$BA$7:$BA$54,C274)</f>
        <v>6.01853440716728</v>
      </c>
      <c r="X274" s="33" t="n">
        <f aca="false">Z_Value*W274*SQRT(D274)</f>
        <v>17.1466242883311</v>
      </c>
      <c r="Y274" s="33" t="n">
        <f aca="false">V274*D274+X274</f>
        <v>102.646624288331</v>
      </c>
      <c r="Z274" s="33" t="n">
        <f aca="false">SQRT((2*V274*Weeks_Per_Year*F274)/(E274*Holding_Rate))</f>
        <v>204.159863832243</v>
      </c>
      <c r="AA274" s="46" t="n">
        <f aca="false">ROUNDUP(Z274/G274,0)*G274</f>
        <v>210</v>
      </c>
      <c r="AB274" s="46" t="n">
        <f aca="false">SUMIFS(AF$261:AF273,$B$261:$B273,$B274-$D274)</f>
        <v>0</v>
      </c>
      <c r="AC274" s="46" t="n">
        <f aca="false">AI273+AB274</f>
        <v>37</v>
      </c>
      <c r="AD274" s="46" t="n">
        <f aca="false">SUMIFS(AF$261:AF273,$B$261:$B273,"&gt;"&amp;($B274-$D274))</f>
        <v>210</v>
      </c>
      <c r="AE274" s="46" t="n">
        <f aca="false">AC274+AD274</f>
        <v>247</v>
      </c>
      <c r="AF274" s="47" t="n">
        <f aca="false">IF(AE274&lt;=Y274,AA274,0)</f>
        <v>0</v>
      </c>
      <c r="AG274" s="46" t="n">
        <f aca="false">MIN(AC274,I274)</f>
        <v>32</v>
      </c>
      <c r="AH274" s="46" t="n">
        <f aca="false">I274-AG274</f>
        <v>0</v>
      </c>
      <c r="AI274" s="46" t="n">
        <f aca="false">AC274-AG274</f>
        <v>5</v>
      </c>
      <c r="AJ274" s="46" t="n">
        <f aca="false">IF(AH274&gt;0,1,0)</f>
        <v>0</v>
      </c>
    </row>
    <row r="275" customFormat="false" ht="15" hidden="false" customHeight="false" outlineLevel="0" collapsed="false">
      <c r="A275" s="31" t="str">
        <f aca="false">Inputs!$B$53</f>
        <v>BTH-004</v>
      </c>
      <c r="B275" s="46" t="n">
        <f aca="false">B274+1</f>
        <v>103</v>
      </c>
      <c r="C275" s="46" t="n">
        <f aca="false">MATCH(A275,Inputs!$B$40:$B$87,0)</f>
        <v>14</v>
      </c>
      <c r="D275" s="32" t="n">
        <f aca="false">INDEX(Inputs!$F$40:$F$87,C275)</f>
        <v>3</v>
      </c>
      <c r="E275" s="78" t="n">
        <f aca="false">INDEX(Inputs!$H$40:$H$87,C275)</f>
        <v>16</v>
      </c>
      <c r="F275" s="78" t="n">
        <f aca="false">INDEX(Inputs!$G$40:$G$87,C275)</f>
        <v>45</v>
      </c>
      <c r="G275" s="32" t="n">
        <f aca="false">INDEX(Inputs!$I$40:$I$87,C275)</f>
        <v>10</v>
      </c>
      <c r="H275" s="46" t="n">
        <f aca="false">MATCH(A275,Demand_History!$C:$C,0)+B275-1</f>
        <v>1456</v>
      </c>
      <c r="I275" s="32" t="n">
        <f aca="false">INDEX(Forecast_Walkforward!$C:$C,H275)</f>
        <v>28</v>
      </c>
      <c r="J275" s="79" t="n">
        <f aca="false">INDEX(Forecast_Walkforward!$E:$E,H275)</f>
        <v>30</v>
      </c>
      <c r="K275" s="33" t="n">
        <f aca="false">Baseline_Weeks*J275</f>
        <v>120</v>
      </c>
      <c r="L275" s="46" t="n">
        <f aca="false">SUMIFS(P$261:P274,$B$261:$B274,$B275-$D275)</f>
        <v>30</v>
      </c>
      <c r="M275" s="46" t="n">
        <f aca="false">S274+L275</f>
        <v>30</v>
      </c>
      <c r="N275" s="46" t="n">
        <f aca="false">SUMIFS(P$261:P274,$B$261:$B274,"&gt;"&amp;($B275-$D275))</f>
        <v>60</v>
      </c>
      <c r="O275" s="46" t="n">
        <f aca="false">M275+N275</f>
        <v>90</v>
      </c>
      <c r="P275" s="47" t="n">
        <f aca="false">IF(O275&lt;K275,ROUNDUP((K275-O275)/G275,0)*G275,0)</f>
        <v>30</v>
      </c>
      <c r="Q275" s="46" t="n">
        <f aca="false">MIN(M275,I275)</f>
        <v>28</v>
      </c>
      <c r="R275" s="46" t="n">
        <f aca="false">I275-Q275</f>
        <v>0</v>
      </c>
      <c r="S275" s="46" t="n">
        <f aca="false">M275-Q275</f>
        <v>2</v>
      </c>
      <c r="T275" s="46" t="n">
        <f aca="false">IF(R275&gt;0,1,0)</f>
        <v>0</v>
      </c>
      <c r="U275" s="32" t="n">
        <f aca="false">INDEX(Forecast!$AY$7:$AY$54,C275)</f>
        <v>3</v>
      </c>
      <c r="V275" s="33" t="n">
        <f aca="false">CHOOSE(U275,INDEX(Forecast_Walkforward!$D:$D,H275),INDEX(Forecast_Walkforward!$E:$E,H275),INDEX(Forecast_Walkforward!$F:$F,H275),INDEX(Forecast_Walkforward!$G:$G,H275))</f>
        <v>29.125</v>
      </c>
      <c r="W275" s="79" t="n">
        <f aca="false">INDEX(Forecast!$BA$7:$BA$54,C275)</f>
        <v>6.01853440716728</v>
      </c>
      <c r="X275" s="33" t="n">
        <f aca="false">Z_Value*W275*SQRT(D275)</f>
        <v>17.1466242883311</v>
      </c>
      <c r="Y275" s="33" t="n">
        <f aca="false">V275*D275+X275</f>
        <v>104.521624288331</v>
      </c>
      <c r="Z275" s="33" t="n">
        <f aca="false">SQRT((2*V275*Weeks_Per_Year*F275)/(E275*Holding_Rate))</f>
        <v>206.386318587255</v>
      </c>
      <c r="AA275" s="46" t="n">
        <f aca="false">ROUNDUP(Z275/G275,0)*G275</f>
        <v>210</v>
      </c>
      <c r="AB275" s="46" t="n">
        <f aca="false">SUMIFS(AF$261:AF274,$B$261:$B274,$B275-$D275)</f>
        <v>210</v>
      </c>
      <c r="AC275" s="46" t="n">
        <f aca="false">AI274+AB275</f>
        <v>215</v>
      </c>
      <c r="AD275" s="46" t="n">
        <f aca="false">SUMIFS(AF$261:AF274,$B$261:$B274,"&gt;"&amp;($B275-$D275))</f>
        <v>0</v>
      </c>
      <c r="AE275" s="46" t="n">
        <f aca="false">AC275+AD275</f>
        <v>215</v>
      </c>
      <c r="AF275" s="47" t="n">
        <f aca="false">IF(AE275&lt;=Y275,AA275,0)</f>
        <v>0</v>
      </c>
      <c r="AG275" s="46" t="n">
        <f aca="false">MIN(AC275,I275)</f>
        <v>28</v>
      </c>
      <c r="AH275" s="46" t="n">
        <f aca="false">I275-AG275</f>
        <v>0</v>
      </c>
      <c r="AI275" s="46" t="n">
        <f aca="false">AC275-AG275</f>
        <v>187</v>
      </c>
      <c r="AJ275" s="46" t="n">
        <f aca="false">IF(AH275&gt;0,1,0)</f>
        <v>0</v>
      </c>
    </row>
    <row r="276" customFormat="false" ht="15" hidden="false" customHeight="false" outlineLevel="0" collapsed="false">
      <c r="A276" s="80" t="str">
        <f aca="false">Inputs!$B$53</f>
        <v>BTH-004</v>
      </c>
      <c r="B276" s="81" t="n">
        <f aca="false">B275+1</f>
        <v>104</v>
      </c>
      <c r="C276" s="81" t="n">
        <f aca="false">MATCH(A276,Inputs!$B$40:$B$87,0)</f>
        <v>14</v>
      </c>
      <c r="D276" s="82" t="n">
        <f aca="false">INDEX(Inputs!$F$40:$F$87,C276)</f>
        <v>3</v>
      </c>
      <c r="E276" s="83" t="n">
        <f aca="false">INDEX(Inputs!$H$40:$H$87,C276)</f>
        <v>16</v>
      </c>
      <c r="F276" s="83" t="n">
        <f aca="false">INDEX(Inputs!$G$40:$G$87,C276)</f>
        <v>45</v>
      </c>
      <c r="G276" s="82" t="n">
        <f aca="false">INDEX(Inputs!$I$40:$I$87,C276)</f>
        <v>10</v>
      </c>
      <c r="H276" s="81" t="n">
        <f aca="false">MATCH(A276,Demand_History!$C:$C,0)+B276-1</f>
        <v>1457</v>
      </c>
      <c r="I276" s="82" t="n">
        <f aca="false">INDEX(Forecast_Walkforward!$C:$C,H276)</f>
        <v>29</v>
      </c>
      <c r="J276" s="84" t="n">
        <f aca="false">INDEX(Forecast_Walkforward!$E:$E,H276)</f>
        <v>29.5</v>
      </c>
      <c r="K276" s="85" t="n">
        <f aca="false">Baseline_Weeks*J276</f>
        <v>118</v>
      </c>
      <c r="L276" s="81" t="n">
        <f aca="false">SUMIFS(P$261:P275,$B$261:$B275,$B276-$D276)</f>
        <v>20</v>
      </c>
      <c r="M276" s="81" t="n">
        <f aca="false">S275+L276</f>
        <v>22</v>
      </c>
      <c r="N276" s="81" t="n">
        <f aca="false">SUMIFS(P$261:P275,$B$261:$B275,"&gt;"&amp;($B276-$D276))</f>
        <v>70</v>
      </c>
      <c r="O276" s="81" t="n">
        <f aca="false">M276+N276</f>
        <v>92</v>
      </c>
      <c r="P276" s="86" t="n">
        <f aca="false">IF(O276&lt;K276,ROUNDUP((K276-O276)/G276,0)*G276,0)</f>
        <v>30</v>
      </c>
      <c r="Q276" s="81" t="n">
        <f aca="false">MIN(M276,I276)</f>
        <v>22</v>
      </c>
      <c r="R276" s="81" t="n">
        <f aca="false">I276-Q276</f>
        <v>7</v>
      </c>
      <c r="S276" s="81" t="n">
        <f aca="false">M276-Q276</f>
        <v>0</v>
      </c>
      <c r="T276" s="81" t="n">
        <f aca="false">IF(R276&gt;0,1,0)</f>
        <v>1</v>
      </c>
      <c r="U276" s="82" t="n">
        <f aca="false">INDEX(Forecast!$AY$7:$AY$54,C276)</f>
        <v>3</v>
      </c>
      <c r="V276" s="85" t="n">
        <f aca="false">CHOOSE(U276,INDEX(Forecast_Walkforward!$D:$D,H276),INDEX(Forecast_Walkforward!$E:$E,H276),INDEX(Forecast_Walkforward!$F:$F,H276),INDEX(Forecast_Walkforward!$G:$G,H276))</f>
        <v>29.125</v>
      </c>
      <c r="W276" s="84" t="n">
        <f aca="false">INDEX(Forecast!$BA$7:$BA$54,C276)</f>
        <v>6.01853440716728</v>
      </c>
      <c r="X276" s="85" t="n">
        <f aca="false">Z_Value*W276*SQRT(D276)</f>
        <v>17.1466242883311</v>
      </c>
      <c r="Y276" s="85" t="n">
        <f aca="false">V276*D276+X276</f>
        <v>104.521624288331</v>
      </c>
      <c r="Z276" s="85" t="n">
        <f aca="false">SQRT((2*V276*Weeks_Per_Year*F276)/(E276*Holding_Rate))</f>
        <v>206.386318587255</v>
      </c>
      <c r="AA276" s="81" t="n">
        <f aca="false">ROUNDUP(Z276/G276,0)*G276</f>
        <v>210</v>
      </c>
      <c r="AB276" s="81" t="n">
        <f aca="false">SUMIFS(AF$261:AF275,$B$261:$B275,$B276-$D276)</f>
        <v>0</v>
      </c>
      <c r="AC276" s="81" t="n">
        <f aca="false">AI275+AB276</f>
        <v>187</v>
      </c>
      <c r="AD276" s="81" t="n">
        <f aca="false">SUMIFS(AF$261:AF275,$B$261:$B275,"&gt;"&amp;($B276-$D276))</f>
        <v>0</v>
      </c>
      <c r="AE276" s="81" t="n">
        <f aca="false">AC276+AD276</f>
        <v>187</v>
      </c>
      <c r="AF276" s="86" t="n">
        <f aca="false">IF(AE276&lt;=Y276,AA276,0)</f>
        <v>0</v>
      </c>
      <c r="AG276" s="81" t="n">
        <f aca="false">MIN(AC276,I276)</f>
        <v>29</v>
      </c>
      <c r="AH276" s="81" t="n">
        <f aca="false">I276-AG276</f>
        <v>0</v>
      </c>
      <c r="AI276" s="81" t="n">
        <f aca="false">AC276-AG276</f>
        <v>158</v>
      </c>
      <c r="AJ276" s="81" t="n">
        <f aca="false">IF(AH276&gt;0,1,0)</f>
        <v>0</v>
      </c>
    </row>
    <row r="277" customFormat="false" ht="15" hidden="false" customHeight="false" outlineLevel="0" collapsed="false">
      <c r="A277" s="31" t="str">
        <f aca="false">Inputs!$B$54</f>
        <v>BTH-005</v>
      </c>
      <c r="B277" s="46" t="n">
        <f aca="false">BT_Start_Week</f>
        <v>89</v>
      </c>
      <c r="C277" s="46" t="n">
        <f aca="false">MATCH(A277,Inputs!$B$40:$B$87,0)</f>
        <v>15</v>
      </c>
      <c r="D277" s="32" t="n">
        <f aca="false">INDEX(Inputs!$F$40:$F$87,C277)</f>
        <v>3</v>
      </c>
      <c r="E277" s="78" t="n">
        <f aca="false">INDEX(Inputs!$H$40:$H$87,C277)</f>
        <v>32</v>
      </c>
      <c r="F277" s="78" t="n">
        <f aca="false">INDEX(Inputs!$G$40:$G$87,C277)</f>
        <v>45</v>
      </c>
      <c r="G277" s="32" t="n">
        <f aca="false">INDEX(Inputs!$I$40:$I$87,C277)</f>
        <v>5</v>
      </c>
      <c r="H277" s="46" t="n">
        <f aca="false">MATCH(A277,Demand_History!$C:$C,0)+B277-1</f>
        <v>1546</v>
      </c>
      <c r="I277" s="32" t="n">
        <f aca="false">INDEX(Forecast_Walkforward!$C:$C,H277)</f>
        <v>17</v>
      </c>
      <c r="J277" s="79" t="n">
        <f aca="false">INDEX(Forecast_Walkforward!$E:$E,H277)</f>
        <v>24.5</v>
      </c>
      <c r="K277" s="33" t="n">
        <f aca="false">Baseline_Weeks*J277</f>
        <v>98</v>
      </c>
      <c r="L277" s="46" t="n">
        <f aca="false">0</f>
        <v>0</v>
      </c>
      <c r="M277" s="46" t="n">
        <f aca="false">ROUND(BT_Open_Cover*INDEX(Forecast_Walkforward!$F:$F,H277),0)+L277</f>
        <v>129</v>
      </c>
      <c r="N277" s="46" t="n">
        <f aca="false">0</f>
        <v>0</v>
      </c>
      <c r="O277" s="46" t="n">
        <f aca="false">M277+N277</f>
        <v>129</v>
      </c>
      <c r="P277" s="47" t="n">
        <f aca="false">IF(O277&lt;K277,ROUNDUP((K277-O277)/G277,0)*G277,0)</f>
        <v>0</v>
      </c>
      <c r="Q277" s="46" t="n">
        <f aca="false">MIN(M277,I277)</f>
        <v>17</v>
      </c>
      <c r="R277" s="46" t="n">
        <f aca="false">I277-Q277</f>
        <v>0</v>
      </c>
      <c r="S277" s="46" t="n">
        <f aca="false">M277-Q277</f>
        <v>112</v>
      </c>
      <c r="T277" s="46" t="n">
        <f aca="false">IF(R277&gt;0,1,0)</f>
        <v>0</v>
      </c>
      <c r="U277" s="32" t="n">
        <f aca="false">INDEX(Forecast!$AY$7:$AY$54,C277)</f>
        <v>3</v>
      </c>
      <c r="V277" s="33" t="n">
        <f aca="false">CHOOSE(U277,INDEX(Forecast_Walkforward!$D:$D,H277),INDEX(Forecast_Walkforward!$E:$E,H277),INDEX(Forecast_Walkforward!$F:$F,H277),INDEX(Forecast_Walkforward!$G:$G,H277))</f>
        <v>21.5</v>
      </c>
      <c r="W277" s="79" t="n">
        <f aca="false">INDEX(Forecast!$BA$7:$BA$54,C277)</f>
        <v>7.29315824541637</v>
      </c>
      <c r="X277" s="33" t="n">
        <f aca="false">Z_Value*W277*SQRT(D277)</f>
        <v>20.7779894322074</v>
      </c>
      <c r="Y277" s="33" t="n">
        <f aca="false">V277*D277+X277</f>
        <v>85.2779894322074</v>
      </c>
      <c r="Z277" s="33" t="n">
        <f aca="false">SQRT((2*V277*Weeks_Per_Year*F277)/(E277*Holding_Rate))</f>
        <v>125.386901229754</v>
      </c>
      <c r="AA277" s="46" t="n">
        <f aca="false">ROUNDUP(Z277/G277,0)*G277</f>
        <v>130</v>
      </c>
      <c r="AB277" s="46" t="n">
        <f aca="false">0</f>
        <v>0</v>
      </c>
      <c r="AC277" s="46" t="n">
        <f aca="false">ROUND(BT_Open_Cover*INDEX(Forecast_Walkforward!$F:$F,H277),0)+AB277</f>
        <v>129</v>
      </c>
      <c r="AD277" s="46" t="n">
        <f aca="false">0</f>
        <v>0</v>
      </c>
      <c r="AE277" s="46" t="n">
        <f aca="false">AC277+AD277</f>
        <v>129</v>
      </c>
      <c r="AF277" s="47" t="n">
        <f aca="false">IF(AE277&lt;=Y277,AA277,0)</f>
        <v>0</v>
      </c>
      <c r="AG277" s="46" t="n">
        <f aca="false">MIN(AC277,I277)</f>
        <v>17</v>
      </c>
      <c r="AH277" s="46" t="n">
        <f aca="false">I277-AG277</f>
        <v>0</v>
      </c>
      <c r="AI277" s="46" t="n">
        <f aca="false">AC277-AG277</f>
        <v>112</v>
      </c>
      <c r="AJ277" s="46" t="n">
        <f aca="false">IF(AH277&gt;0,1,0)</f>
        <v>0</v>
      </c>
    </row>
    <row r="278" customFormat="false" ht="15" hidden="false" customHeight="false" outlineLevel="0" collapsed="false">
      <c r="A278" s="31" t="str">
        <f aca="false">Inputs!$B$54</f>
        <v>BTH-005</v>
      </c>
      <c r="B278" s="46" t="n">
        <f aca="false">B277+1</f>
        <v>90</v>
      </c>
      <c r="C278" s="46" t="n">
        <f aca="false">MATCH(A278,Inputs!$B$40:$B$87,0)</f>
        <v>15</v>
      </c>
      <c r="D278" s="32" t="n">
        <f aca="false">INDEX(Inputs!$F$40:$F$87,C278)</f>
        <v>3</v>
      </c>
      <c r="E278" s="78" t="n">
        <f aca="false">INDEX(Inputs!$H$40:$H$87,C278)</f>
        <v>32</v>
      </c>
      <c r="F278" s="78" t="n">
        <f aca="false">INDEX(Inputs!$G$40:$G$87,C278)</f>
        <v>45</v>
      </c>
      <c r="G278" s="32" t="n">
        <f aca="false">INDEX(Inputs!$I$40:$I$87,C278)</f>
        <v>5</v>
      </c>
      <c r="H278" s="46" t="n">
        <f aca="false">MATCH(A278,Demand_History!$C:$C,0)+B278-1</f>
        <v>1547</v>
      </c>
      <c r="I278" s="32" t="n">
        <f aca="false">INDEX(Forecast_Walkforward!$C:$C,H278)</f>
        <v>27</v>
      </c>
      <c r="J278" s="79" t="n">
        <f aca="false">INDEX(Forecast_Walkforward!$E:$E,H278)</f>
        <v>22</v>
      </c>
      <c r="K278" s="33" t="n">
        <f aca="false">Baseline_Weeks*J278</f>
        <v>88</v>
      </c>
      <c r="L278" s="46" t="n">
        <f aca="false">SUMIFS(P$277:P277,$B$277:$B277,$B278-$D278)</f>
        <v>0</v>
      </c>
      <c r="M278" s="46" t="n">
        <f aca="false">S277+L278</f>
        <v>112</v>
      </c>
      <c r="N278" s="46" t="n">
        <f aca="false">SUMIFS(P$277:P277,$B$277:$B277,"&gt;"&amp;($B278-$D278))</f>
        <v>0</v>
      </c>
      <c r="O278" s="46" t="n">
        <f aca="false">M278+N278</f>
        <v>112</v>
      </c>
      <c r="P278" s="47" t="n">
        <f aca="false">IF(O278&lt;K278,ROUNDUP((K278-O278)/G278,0)*G278,0)</f>
        <v>0</v>
      </c>
      <c r="Q278" s="46" t="n">
        <f aca="false">MIN(M278,I278)</f>
        <v>27</v>
      </c>
      <c r="R278" s="46" t="n">
        <f aca="false">I278-Q278</f>
        <v>0</v>
      </c>
      <c r="S278" s="46" t="n">
        <f aca="false">M278-Q278</f>
        <v>85</v>
      </c>
      <c r="T278" s="46" t="n">
        <f aca="false">IF(R278&gt;0,1,0)</f>
        <v>0</v>
      </c>
      <c r="U278" s="32" t="n">
        <f aca="false">INDEX(Forecast!$AY$7:$AY$54,C278)</f>
        <v>3</v>
      </c>
      <c r="V278" s="33" t="n">
        <f aca="false">CHOOSE(U278,INDEX(Forecast_Walkforward!$D:$D,H278),INDEX(Forecast_Walkforward!$E:$E,H278),INDEX(Forecast_Walkforward!$F:$F,H278),INDEX(Forecast_Walkforward!$G:$G,H278))</f>
        <v>19.625</v>
      </c>
      <c r="W278" s="79" t="n">
        <f aca="false">INDEX(Forecast!$BA$7:$BA$54,C278)</f>
        <v>7.29315824541637</v>
      </c>
      <c r="X278" s="33" t="n">
        <f aca="false">Z_Value*W278*SQRT(D278)</f>
        <v>20.7779894322074</v>
      </c>
      <c r="Y278" s="33" t="n">
        <f aca="false">V278*D278+X278</f>
        <v>79.6529894322074</v>
      </c>
      <c r="Z278" s="33" t="n">
        <f aca="false">SQRT((2*V278*Weeks_Per_Year*F278)/(E278*Holding_Rate))</f>
        <v>119.794746337225</v>
      </c>
      <c r="AA278" s="46" t="n">
        <f aca="false">ROUNDUP(Z278/G278,0)*G278</f>
        <v>120</v>
      </c>
      <c r="AB278" s="46" t="n">
        <f aca="false">SUMIFS(AF$277:AF277,$B$277:$B277,$B278-$D278)</f>
        <v>0</v>
      </c>
      <c r="AC278" s="46" t="n">
        <f aca="false">AI277+AB278</f>
        <v>112</v>
      </c>
      <c r="AD278" s="46" t="n">
        <f aca="false">SUMIFS(AF$277:AF277,$B$277:$B277,"&gt;"&amp;($B278-$D278))</f>
        <v>0</v>
      </c>
      <c r="AE278" s="46" t="n">
        <f aca="false">AC278+AD278</f>
        <v>112</v>
      </c>
      <c r="AF278" s="47" t="n">
        <f aca="false">IF(AE278&lt;=Y278,AA278,0)</f>
        <v>0</v>
      </c>
      <c r="AG278" s="46" t="n">
        <f aca="false">MIN(AC278,I278)</f>
        <v>27</v>
      </c>
      <c r="AH278" s="46" t="n">
        <f aca="false">I278-AG278</f>
        <v>0</v>
      </c>
      <c r="AI278" s="46" t="n">
        <f aca="false">AC278-AG278</f>
        <v>85</v>
      </c>
      <c r="AJ278" s="46" t="n">
        <f aca="false">IF(AH278&gt;0,1,0)</f>
        <v>0</v>
      </c>
    </row>
    <row r="279" customFormat="false" ht="15" hidden="false" customHeight="false" outlineLevel="0" collapsed="false">
      <c r="A279" s="31" t="str">
        <f aca="false">Inputs!$B$54</f>
        <v>BTH-005</v>
      </c>
      <c r="B279" s="46" t="n">
        <f aca="false">B278+1</f>
        <v>91</v>
      </c>
      <c r="C279" s="46" t="n">
        <f aca="false">MATCH(A279,Inputs!$B$40:$B$87,0)</f>
        <v>15</v>
      </c>
      <c r="D279" s="32" t="n">
        <f aca="false">INDEX(Inputs!$F$40:$F$87,C279)</f>
        <v>3</v>
      </c>
      <c r="E279" s="78" t="n">
        <f aca="false">INDEX(Inputs!$H$40:$H$87,C279)</f>
        <v>32</v>
      </c>
      <c r="F279" s="78" t="n">
        <f aca="false">INDEX(Inputs!$G$40:$G$87,C279)</f>
        <v>45</v>
      </c>
      <c r="G279" s="32" t="n">
        <f aca="false">INDEX(Inputs!$I$40:$I$87,C279)</f>
        <v>5</v>
      </c>
      <c r="H279" s="46" t="n">
        <f aca="false">MATCH(A279,Demand_History!$C:$C,0)+B279-1</f>
        <v>1548</v>
      </c>
      <c r="I279" s="32" t="n">
        <f aca="false">INDEX(Forecast_Walkforward!$C:$C,H279)</f>
        <v>14</v>
      </c>
      <c r="J279" s="79" t="n">
        <f aca="false">INDEX(Forecast_Walkforward!$E:$E,H279)</f>
        <v>20.5</v>
      </c>
      <c r="K279" s="33" t="n">
        <f aca="false">Baseline_Weeks*J279</f>
        <v>82</v>
      </c>
      <c r="L279" s="46" t="n">
        <f aca="false">SUMIFS(P$277:P278,$B$277:$B278,$B279-$D279)</f>
        <v>0</v>
      </c>
      <c r="M279" s="46" t="n">
        <f aca="false">S278+L279</f>
        <v>85</v>
      </c>
      <c r="N279" s="46" t="n">
        <f aca="false">SUMIFS(P$277:P278,$B$277:$B278,"&gt;"&amp;($B279-$D279))</f>
        <v>0</v>
      </c>
      <c r="O279" s="46" t="n">
        <f aca="false">M279+N279</f>
        <v>85</v>
      </c>
      <c r="P279" s="47" t="n">
        <f aca="false">IF(O279&lt;K279,ROUNDUP((K279-O279)/G279,0)*G279,0)</f>
        <v>0</v>
      </c>
      <c r="Q279" s="46" t="n">
        <f aca="false">MIN(M279,I279)</f>
        <v>14</v>
      </c>
      <c r="R279" s="46" t="n">
        <f aca="false">I279-Q279</f>
        <v>0</v>
      </c>
      <c r="S279" s="46" t="n">
        <f aca="false">M279-Q279</f>
        <v>71</v>
      </c>
      <c r="T279" s="46" t="n">
        <f aca="false">IF(R279&gt;0,1,0)</f>
        <v>0</v>
      </c>
      <c r="U279" s="32" t="n">
        <f aca="false">INDEX(Forecast!$AY$7:$AY$54,C279)</f>
        <v>3</v>
      </c>
      <c r="V279" s="33" t="n">
        <f aca="false">CHOOSE(U279,INDEX(Forecast_Walkforward!$D:$D,H279),INDEX(Forecast_Walkforward!$E:$E,H279),INDEX(Forecast_Walkforward!$F:$F,H279),INDEX(Forecast_Walkforward!$G:$G,H279))</f>
        <v>21.375</v>
      </c>
      <c r="W279" s="79" t="n">
        <f aca="false">INDEX(Forecast!$BA$7:$BA$54,C279)</f>
        <v>7.29315824541637</v>
      </c>
      <c r="X279" s="33" t="n">
        <f aca="false">Z_Value*W279*SQRT(D279)</f>
        <v>20.7779894322074</v>
      </c>
      <c r="Y279" s="33" t="n">
        <f aca="false">V279*D279+X279</f>
        <v>84.9029894322074</v>
      </c>
      <c r="Z279" s="33" t="n">
        <f aca="false">SQRT((2*V279*Weeks_Per_Year*F279)/(E279*Holding_Rate))</f>
        <v>125.021873086272</v>
      </c>
      <c r="AA279" s="46" t="n">
        <f aca="false">ROUNDUP(Z279/G279,0)*G279</f>
        <v>130</v>
      </c>
      <c r="AB279" s="46" t="n">
        <f aca="false">SUMIFS(AF$277:AF278,$B$277:$B278,$B279-$D279)</f>
        <v>0</v>
      </c>
      <c r="AC279" s="46" t="n">
        <f aca="false">AI278+AB279</f>
        <v>85</v>
      </c>
      <c r="AD279" s="46" t="n">
        <f aca="false">SUMIFS(AF$277:AF278,$B$277:$B278,"&gt;"&amp;($B279-$D279))</f>
        <v>0</v>
      </c>
      <c r="AE279" s="46" t="n">
        <f aca="false">AC279+AD279</f>
        <v>85</v>
      </c>
      <c r="AF279" s="47" t="n">
        <f aca="false">IF(AE279&lt;=Y279,AA279,0)</f>
        <v>0</v>
      </c>
      <c r="AG279" s="46" t="n">
        <f aca="false">MIN(AC279,I279)</f>
        <v>14</v>
      </c>
      <c r="AH279" s="46" t="n">
        <f aca="false">I279-AG279</f>
        <v>0</v>
      </c>
      <c r="AI279" s="46" t="n">
        <f aca="false">AC279-AG279</f>
        <v>71</v>
      </c>
      <c r="AJ279" s="46" t="n">
        <f aca="false">IF(AH279&gt;0,1,0)</f>
        <v>0</v>
      </c>
    </row>
    <row r="280" customFormat="false" ht="15" hidden="false" customHeight="false" outlineLevel="0" collapsed="false">
      <c r="A280" s="31" t="str">
        <f aca="false">Inputs!$B$54</f>
        <v>BTH-005</v>
      </c>
      <c r="B280" s="46" t="n">
        <f aca="false">B279+1</f>
        <v>92</v>
      </c>
      <c r="C280" s="46" t="n">
        <f aca="false">MATCH(A280,Inputs!$B$40:$B$87,0)</f>
        <v>15</v>
      </c>
      <c r="D280" s="32" t="n">
        <f aca="false">INDEX(Inputs!$F$40:$F$87,C280)</f>
        <v>3</v>
      </c>
      <c r="E280" s="78" t="n">
        <f aca="false">INDEX(Inputs!$H$40:$H$87,C280)</f>
        <v>32</v>
      </c>
      <c r="F280" s="78" t="n">
        <f aca="false">INDEX(Inputs!$G$40:$G$87,C280)</f>
        <v>45</v>
      </c>
      <c r="G280" s="32" t="n">
        <f aca="false">INDEX(Inputs!$I$40:$I$87,C280)</f>
        <v>5</v>
      </c>
      <c r="H280" s="46" t="n">
        <f aca="false">MATCH(A280,Demand_History!$C:$C,0)+B280-1</f>
        <v>1549</v>
      </c>
      <c r="I280" s="32" t="n">
        <f aca="false">INDEX(Forecast_Walkforward!$C:$C,H280)</f>
        <v>29</v>
      </c>
      <c r="J280" s="79" t="n">
        <f aca="false">INDEX(Forecast_Walkforward!$E:$E,H280)</f>
        <v>18.5</v>
      </c>
      <c r="K280" s="33" t="n">
        <f aca="false">Baseline_Weeks*J280</f>
        <v>74</v>
      </c>
      <c r="L280" s="46" t="n">
        <f aca="false">SUMIFS(P$277:P279,$B$277:$B279,$B280-$D280)</f>
        <v>0</v>
      </c>
      <c r="M280" s="46" t="n">
        <f aca="false">S279+L280</f>
        <v>71</v>
      </c>
      <c r="N280" s="46" t="n">
        <f aca="false">SUMIFS(P$277:P279,$B$277:$B279,"&gt;"&amp;($B280-$D280))</f>
        <v>0</v>
      </c>
      <c r="O280" s="46" t="n">
        <f aca="false">M280+N280</f>
        <v>71</v>
      </c>
      <c r="P280" s="47" t="n">
        <f aca="false">IF(O280&lt;K280,ROUNDUP((K280-O280)/G280,0)*G280,0)</f>
        <v>5</v>
      </c>
      <c r="Q280" s="46" t="n">
        <f aca="false">MIN(M280,I280)</f>
        <v>29</v>
      </c>
      <c r="R280" s="46" t="n">
        <f aca="false">I280-Q280</f>
        <v>0</v>
      </c>
      <c r="S280" s="46" t="n">
        <f aca="false">M280-Q280</f>
        <v>42</v>
      </c>
      <c r="T280" s="46" t="n">
        <f aca="false">IF(R280&gt;0,1,0)</f>
        <v>0</v>
      </c>
      <c r="U280" s="32" t="n">
        <f aca="false">INDEX(Forecast!$AY$7:$AY$54,C280)</f>
        <v>3</v>
      </c>
      <c r="V280" s="33" t="n">
        <f aca="false">CHOOSE(U280,INDEX(Forecast_Walkforward!$D:$D,H280),INDEX(Forecast_Walkforward!$E:$E,H280),INDEX(Forecast_Walkforward!$F:$F,H280),INDEX(Forecast_Walkforward!$G:$G,H280))</f>
        <v>21.375</v>
      </c>
      <c r="W280" s="79" t="n">
        <f aca="false">INDEX(Forecast!$BA$7:$BA$54,C280)</f>
        <v>7.29315824541637</v>
      </c>
      <c r="X280" s="33" t="n">
        <f aca="false">Z_Value*W280*SQRT(D280)</f>
        <v>20.7779894322074</v>
      </c>
      <c r="Y280" s="33" t="n">
        <f aca="false">V280*D280+X280</f>
        <v>84.9029894322074</v>
      </c>
      <c r="Z280" s="33" t="n">
        <f aca="false">SQRT((2*V280*Weeks_Per_Year*F280)/(E280*Holding_Rate))</f>
        <v>125.021873086272</v>
      </c>
      <c r="AA280" s="46" t="n">
        <f aca="false">ROUNDUP(Z280/G280,0)*G280</f>
        <v>130</v>
      </c>
      <c r="AB280" s="46" t="n">
        <f aca="false">SUMIFS(AF$277:AF279,$B$277:$B279,$B280-$D280)</f>
        <v>0</v>
      </c>
      <c r="AC280" s="46" t="n">
        <f aca="false">AI279+AB280</f>
        <v>71</v>
      </c>
      <c r="AD280" s="46" t="n">
        <f aca="false">SUMIFS(AF$277:AF279,$B$277:$B279,"&gt;"&amp;($B280-$D280))</f>
        <v>0</v>
      </c>
      <c r="AE280" s="46" t="n">
        <f aca="false">AC280+AD280</f>
        <v>71</v>
      </c>
      <c r="AF280" s="47" t="n">
        <f aca="false">IF(AE280&lt;=Y280,AA280,0)</f>
        <v>130</v>
      </c>
      <c r="AG280" s="46" t="n">
        <f aca="false">MIN(AC280,I280)</f>
        <v>29</v>
      </c>
      <c r="AH280" s="46" t="n">
        <f aca="false">I280-AG280</f>
        <v>0</v>
      </c>
      <c r="AI280" s="46" t="n">
        <f aca="false">AC280-AG280</f>
        <v>42</v>
      </c>
      <c r="AJ280" s="46" t="n">
        <f aca="false">IF(AH280&gt;0,1,0)</f>
        <v>0</v>
      </c>
    </row>
    <row r="281" customFormat="false" ht="15" hidden="false" customHeight="false" outlineLevel="0" collapsed="false">
      <c r="A281" s="31" t="str">
        <f aca="false">Inputs!$B$54</f>
        <v>BTH-005</v>
      </c>
      <c r="B281" s="46" t="n">
        <f aca="false">B280+1</f>
        <v>93</v>
      </c>
      <c r="C281" s="46" t="n">
        <f aca="false">MATCH(A281,Inputs!$B$40:$B$87,0)</f>
        <v>15</v>
      </c>
      <c r="D281" s="32" t="n">
        <f aca="false">INDEX(Inputs!$F$40:$F$87,C281)</f>
        <v>3</v>
      </c>
      <c r="E281" s="78" t="n">
        <f aca="false">INDEX(Inputs!$H$40:$H$87,C281)</f>
        <v>32</v>
      </c>
      <c r="F281" s="78" t="n">
        <f aca="false">INDEX(Inputs!$G$40:$G$87,C281)</f>
        <v>45</v>
      </c>
      <c r="G281" s="32" t="n">
        <f aca="false">INDEX(Inputs!$I$40:$I$87,C281)</f>
        <v>5</v>
      </c>
      <c r="H281" s="46" t="n">
        <f aca="false">MATCH(A281,Demand_History!$C:$C,0)+B281-1</f>
        <v>1550</v>
      </c>
      <c r="I281" s="32" t="n">
        <f aca="false">INDEX(Forecast_Walkforward!$C:$C,H281)</f>
        <v>29</v>
      </c>
      <c r="J281" s="79" t="n">
        <f aca="false">INDEX(Forecast_Walkforward!$E:$E,H281)</f>
        <v>21.75</v>
      </c>
      <c r="K281" s="33" t="n">
        <f aca="false">Baseline_Weeks*J281</f>
        <v>87</v>
      </c>
      <c r="L281" s="46" t="n">
        <f aca="false">SUMIFS(P$277:P280,$B$277:$B280,$B281-$D281)</f>
        <v>0</v>
      </c>
      <c r="M281" s="46" t="n">
        <f aca="false">S280+L281</f>
        <v>42</v>
      </c>
      <c r="N281" s="46" t="n">
        <f aca="false">SUMIFS(P$277:P280,$B$277:$B280,"&gt;"&amp;($B281-$D281))</f>
        <v>5</v>
      </c>
      <c r="O281" s="46" t="n">
        <f aca="false">M281+N281</f>
        <v>47</v>
      </c>
      <c r="P281" s="47" t="n">
        <f aca="false">IF(O281&lt;K281,ROUNDUP((K281-O281)/G281,0)*G281,0)</f>
        <v>40</v>
      </c>
      <c r="Q281" s="46" t="n">
        <f aca="false">MIN(M281,I281)</f>
        <v>29</v>
      </c>
      <c r="R281" s="46" t="n">
        <f aca="false">I281-Q281</f>
        <v>0</v>
      </c>
      <c r="S281" s="46" t="n">
        <f aca="false">M281-Q281</f>
        <v>13</v>
      </c>
      <c r="T281" s="46" t="n">
        <f aca="false">IF(R281&gt;0,1,0)</f>
        <v>0</v>
      </c>
      <c r="U281" s="32" t="n">
        <f aca="false">INDEX(Forecast!$AY$7:$AY$54,C281)</f>
        <v>3</v>
      </c>
      <c r="V281" s="33" t="n">
        <f aca="false">CHOOSE(U281,INDEX(Forecast_Walkforward!$D:$D,H281),INDEX(Forecast_Walkforward!$E:$E,H281),INDEX(Forecast_Walkforward!$F:$F,H281),INDEX(Forecast_Walkforward!$G:$G,H281))</f>
        <v>23.125</v>
      </c>
      <c r="W281" s="79" t="n">
        <f aca="false">INDEX(Forecast!$BA$7:$BA$54,C281)</f>
        <v>7.29315824541637</v>
      </c>
      <c r="X281" s="33" t="n">
        <f aca="false">Z_Value*W281*SQRT(D281)</f>
        <v>20.7779894322074</v>
      </c>
      <c r="Y281" s="33" t="n">
        <f aca="false">V281*D281+X281</f>
        <v>90.1529894322074</v>
      </c>
      <c r="Z281" s="33" t="n">
        <f aca="false">SQRT((2*V281*Weeks_Per_Year*F281)/(E281*Holding_Rate))</f>
        <v>130.039056632998</v>
      </c>
      <c r="AA281" s="46" t="n">
        <f aca="false">ROUNDUP(Z281/G281,0)*G281</f>
        <v>135</v>
      </c>
      <c r="AB281" s="46" t="n">
        <f aca="false">SUMIFS(AF$277:AF280,$B$277:$B280,$B281-$D281)</f>
        <v>0</v>
      </c>
      <c r="AC281" s="46" t="n">
        <f aca="false">AI280+AB281</f>
        <v>42</v>
      </c>
      <c r="AD281" s="46" t="n">
        <f aca="false">SUMIFS(AF$277:AF280,$B$277:$B280,"&gt;"&amp;($B281-$D281))</f>
        <v>130</v>
      </c>
      <c r="AE281" s="46" t="n">
        <f aca="false">AC281+AD281</f>
        <v>172</v>
      </c>
      <c r="AF281" s="47" t="n">
        <f aca="false">IF(AE281&lt;=Y281,AA281,0)</f>
        <v>0</v>
      </c>
      <c r="AG281" s="46" t="n">
        <f aca="false">MIN(AC281,I281)</f>
        <v>29</v>
      </c>
      <c r="AH281" s="46" t="n">
        <f aca="false">I281-AG281</f>
        <v>0</v>
      </c>
      <c r="AI281" s="46" t="n">
        <f aca="false">AC281-AG281</f>
        <v>13</v>
      </c>
      <c r="AJ281" s="46" t="n">
        <f aca="false">IF(AH281&gt;0,1,0)</f>
        <v>0</v>
      </c>
    </row>
    <row r="282" customFormat="false" ht="15" hidden="false" customHeight="false" outlineLevel="0" collapsed="false">
      <c r="A282" s="31" t="str">
        <f aca="false">Inputs!$B$54</f>
        <v>BTH-005</v>
      </c>
      <c r="B282" s="46" t="n">
        <f aca="false">B281+1</f>
        <v>94</v>
      </c>
      <c r="C282" s="46" t="n">
        <f aca="false">MATCH(A282,Inputs!$B$40:$B$87,0)</f>
        <v>15</v>
      </c>
      <c r="D282" s="32" t="n">
        <f aca="false">INDEX(Inputs!$F$40:$F$87,C282)</f>
        <v>3</v>
      </c>
      <c r="E282" s="78" t="n">
        <f aca="false">INDEX(Inputs!$H$40:$H$87,C282)</f>
        <v>32</v>
      </c>
      <c r="F282" s="78" t="n">
        <f aca="false">INDEX(Inputs!$G$40:$G$87,C282)</f>
        <v>45</v>
      </c>
      <c r="G282" s="32" t="n">
        <f aca="false">INDEX(Inputs!$I$40:$I$87,C282)</f>
        <v>5</v>
      </c>
      <c r="H282" s="46" t="n">
        <f aca="false">MATCH(A282,Demand_History!$C:$C,0)+B282-1</f>
        <v>1551</v>
      </c>
      <c r="I282" s="32" t="n">
        <f aca="false">INDEX(Forecast_Walkforward!$C:$C,H282)</f>
        <v>20</v>
      </c>
      <c r="J282" s="79" t="n">
        <f aca="false">INDEX(Forecast_Walkforward!$E:$E,H282)</f>
        <v>24.75</v>
      </c>
      <c r="K282" s="33" t="n">
        <f aca="false">Baseline_Weeks*J282</f>
        <v>99</v>
      </c>
      <c r="L282" s="46" t="n">
        <f aca="false">SUMIFS(P$277:P281,$B$277:$B281,$B282-$D282)</f>
        <v>0</v>
      </c>
      <c r="M282" s="46" t="n">
        <f aca="false">S281+L282</f>
        <v>13</v>
      </c>
      <c r="N282" s="46" t="n">
        <f aca="false">SUMIFS(P$277:P281,$B$277:$B281,"&gt;"&amp;($B282-$D282))</f>
        <v>45</v>
      </c>
      <c r="O282" s="46" t="n">
        <f aca="false">M282+N282</f>
        <v>58</v>
      </c>
      <c r="P282" s="47" t="n">
        <f aca="false">IF(O282&lt;K282,ROUNDUP((K282-O282)/G282,0)*G282,0)</f>
        <v>45</v>
      </c>
      <c r="Q282" s="46" t="n">
        <f aca="false">MIN(M282,I282)</f>
        <v>13</v>
      </c>
      <c r="R282" s="46" t="n">
        <f aca="false">I282-Q282</f>
        <v>7</v>
      </c>
      <c r="S282" s="46" t="n">
        <f aca="false">M282-Q282</f>
        <v>0</v>
      </c>
      <c r="T282" s="46" t="n">
        <f aca="false">IF(R282&gt;0,1,0)</f>
        <v>1</v>
      </c>
      <c r="U282" s="32" t="n">
        <f aca="false">INDEX(Forecast!$AY$7:$AY$54,C282)</f>
        <v>3</v>
      </c>
      <c r="V282" s="33" t="n">
        <f aca="false">CHOOSE(U282,INDEX(Forecast_Walkforward!$D:$D,H282),INDEX(Forecast_Walkforward!$E:$E,H282),INDEX(Forecast_Walkforward!$F:$F,H282),INDEX(Forecast_Walkforward!$G:$G,H282))</f>
        <v>23.375</v>
      </c>
      <c r="W282" s="79" t="n">
        <f aca="false">INDEX(Forecast!$BA$7:$BA$54,C282)</f>
        <v>7.29315824541637</v>
      </c>
      <c r="X282" s="33" t="n">
        <f aca="false">Z_Value*W282*SQRT(D282)</f>
        <v>20.7779894322074</v>
      </c>
      <c r="Y282" s="33" t="n">
        <f aca="false">V282*D282+X282</f>
        <v>90.9029894322074</v>
      </c>
      <c r="Z282" s="33" t="n">
        <f aca="false">SQRT((2*V282*Weeks_Per_Year*F282)/(E282*Holding_Rate))</f>
        <v>130.740080885702</v>
      </c>
      <c r="AA282" s="46" t="n">
        <f aca="false">ROUNDUP(Z282/G282,0)*G282</f>
        <v>135</v>
      </c>
      <c r="AB282" s="46" t="n">
        <f aca="false">SUMIFS(AF$277:AF281,$B$277:$B281,$B282-$D282)</f>
        <v>0</v>
      </c>
      <c r="AC282" s="46" t="n">
        <f aca="false">AI281+AB282</f>
        <v>13</v>
      </c>
      <c r="AD282" s="46" t="n">
        <f aca="false">SUMIFS(AF$277:AF281,$B$277:$B281,"&gt;"&amp;($B282-$D282))</f>
        <v>130</v>
      </c>
      <c r="AE282" s="46" t="n">
        <f aca="false">AC282+AD282</f>
        <v>143</v>
      </c>
      <c r="AF282" s="47" t="n">
        <f aca="false">IF(AE282&lt;=Y282,AA282,0)</f>
        <v>0</v>
      </c>
      <c r="AG282" s="46" t="n">
        <f aca="false">MIN(AC282,I282)</f>
        <v>13</v>
      </c>
      <c r="AH282" s="46" t="n">
        <f aca="false">I282-AG282</f>
        <v>7</v>
      </c>
      <c r="AI282" s="46" t="n">
        <f aca="false">AC282-AG282</f>
        <v>0</v>
      </c>
      <c r="AJ282" s="46" t="n">
        <f aca="false">IF(AH282&gt;0,1,0)</f>
        <v>1</v>
      </c>
    </row>
    <row r="283" customFormat="false" ht="15" hidden="false" customHeight="false" outlineLevel="0" collapsed="false">
      <c r="A283" s="31" t="str">
        <f aca="false">Inputs!$B$54</f>
        <v>BTH-005</v>
      </c>
      <c r="B283" s="46" t="n">
        <f aca="false">B282+1</f>
        <v>95</v>
      </c>
      <c r="C283" s="46" t="n">
        <f aca="false">MATCH(A283,Inputs!$B$40:$B$87,0)</f>
        <v>15</v>
      </c>
      <c r="D283" s="32" t="n">
        <f aca="false">INDEX(Inputs!$F$40:$F$87,C283)</f>
        <v>3</v>
      </c>
      <c r="E283" s="78" t="n">
        <f aca="false">INDEX(Inputs!$H$40:$H$87,C283)</f>
        <v>32</v>
      </c>
      <c r="F283" s="78" t="n">
        <f aca="false">INDEX(Inputs!$G$40:$G$87,C283)</f>
        <v>45</v>
      </c>
      <c r="G283" s="32" t="n">
        <f aca="false">INDEX(Inputs!$I$40:$I$87,C283)</f>
        <v>5</v>
      </c>
      <c r="H283" s="46" t="n">
        <f aca="false">MATCH(A283,Demand_History!$C:$C,0)+B283-1</f>
        <v>1552</v>
      </c>
      <c r="I283" s="32" t="n">
        <f aca="false">INDEX(Forecast_Walkforward!$C:$C,H283)</f>
        <v>24</v>
      </c>
      <c r="J283" s="79" t="n">
        <f aca="false">INDEX(Forecast_Walkforward!$E:$E,H283)</f>
        <v>23</v>
      </c>
      <c r="K283" s="33" t="n">
        <f aca="false">Baseline_Weeks*J283</f>
        <v>92</v>
      </c>
      <c r="L283" s="46" t="n">
        <f aca="false">SUMIFS(P$277:P282,$B$277:$B282,$B283-$D283)</f>
        <v>5</v>
      </c>
      <c r="M283" s="46" t="n">
        <f aca="false">S282+L283</f>
        <v>5</v>
      </c>
      <c r="N283" s="46" t="n">
        <f aca="false">SUMIFS(P$277:P282,$B$277:$B282,"&gt;"&amp;($B283-$D283))</f>
        <v>85</v>
      </c>
      <c r="O283" s="46" t="n">
        <f aca="false">M283+N283</f>
        <v>90</v>
      </c>
      <c r="P283" s="47" t="n">
        <f aca="false">IF(O283&lt;K283,ROUNDUP((K283-O283)/G283,0)*G283,0)</f>
        <v>5</v>
      </c>
      <c r="Q283" s="46" t="n">
        <f aca="false">MIN(M283,I283)</f>
        <v>5</v>
      </c>
      <c r="R283" s="46" t="n">
        <f aca="false">I283-Q283</f>
        <v>19</v>
      </c>
      <c r="S283" s="46" t="n">
        <f aca="false">M283-Q283</f>
        <v>0</v>
      </c>
      <c r="T283" s="46" t="n">
        <f aca="false">IF(R283&gt;0,1,0)</f>
        <v>1</v>
      </c>
      <c r="U283" s="32" t="n">
        <f aca="false">INDEX(Forecast!$AY$7:$AY$54,C283)</f>
        <v>3</v>
      </c>
      <c r="V283" s="33" t="n">
        <f aca="false">CHOOSE(U283,INDEX(Forecast_Walkforward!$D:$D,H283),INDEX(Forecast_Walkforward!$E:$E,H283),INDEX(Forecast_Walkforward!$F:$F,H283),INDEX(Forecast_Walkforward!$G:$G,H283))</f>
        <v>21.75</v>
      </c>
      <c r="W283" s="79" t="n">
        <f aca="false">INDEX(Forecast!$BA$7:$BA$54,C283)</f>
        <v>7.29315824541637</v>
      </c>
      <c r="X283" s="33" t="n">
        <f aca="false">Z_Value*W283*SQRT(D283)</f>
        <v>20.7779894322074</v>
      </c>
      <c r="Y283" s="33" t="n">
        <f aca="false">V283*D283+X283</f>
        <v>86.0279894322074</v>
      </c>
      <c r="Z283" s="33" t="n">
        <f aca="false">SQRT((2*V283*Weeks_Per_Year*F283)/(E283*Holding_Rate))</f>
        <v>126.113787906002</v>
      </c>
      <c r="AA283" s="46" t="n">
        <f aca="false">ROUNDUP(Z283/G283,0)*G283</f>
        <v>130</v>
      </c>
      <c r="AB283" s="46" t="n">
        <f aca="false">SUMIFS(AF$277:AF282,$B$277:$B282,$B283-$D283)</f>
        <v>130</v>
      </c>
      <c r="AC283" s="46" t="n">
        <f aca="false">AI282+AB283</f>
        <v>130</v>
      </c>
      <c r="AD283" s="46" t="n">
        <f aca="false">SUMIFS(AF$277:AF282,$B$277:$B282,"&gt;"&amp;($B283-$D283))</f>
        <v>0</v>
      </c>
      <c r="AE283" s="46" t="n">
        <f aca="false">AC283+AD283</f>
        <v>130</v>
      </c>
      <c r="AF283" s="47" t="n">
        <f aca="false">IF(AE283&lt;=Y283,AA283,0)</f>
        <v>0</v>
      </c>
      <c r="AG283" s="46" t="n">
        <f aca="false">MIN(AC283,I283)</f>
        <v>24</v>
      </c>
      <c r="AH283" s="46" t="n">
        <f aca="false">I283-AG283</f>
        <v>0</v>
      </c>
      <c r="AI283" s="46" t="n">
        <f aca="false">AC283-AG283</f>
        <v>106</v>
      </c>
      <c r="AJ283" s="46" t="n">
        <f aca="false">IF(AH283&gt;0,1,0)</f>
        <v>0</v>
      </c>
    </row>
    <row r="284" customFormat="false" ht="15" hidden="false" customHeight="false" outlineLevel="0" collapsed="false">
      <c r="A284" s="31" t="str">
        <f aca="false">Inputs!$B$54</f>
        <v>BTH-005</v>
      </c>
      <c r="B284" s="46" t="n">
        <f aca="false">B283+1</f>
        <v>96</v>
      </c>
      <c r="C284" s="46" t="n">
        <f aca="false">MATCH(A284,Inputs!$B$40:$B$87,0)</f>
        <v>15</v>
      </c>
      <c r="D284" s="32" t="n">
        <f aca="false">INDEX(Inputs!$F$40:$F$87,C284)</f>
        <v>3</v>
      </c>
      <c r="E284" s="78" t="n">
        <f aca="false">INDEX(Inputs!$H$40:$H$87,C284)</f>
        <v>32</v>
      </c>
      <c r="F284" s="78" t="n">
        <f aca="false">INDEX(Inputs!$G$40:$G$87,C284)</f>
        <v>45</v>
      </c>
      <c r="G284" s="32" t="n">
        <f aca="false">INDEX(Inputs!$I$40:$I$87,C284)</f>
        <v>5</v>
      </c>
      <c r="H284" s="46" t="n">
        <f aca="false">MATCH(A284,Demand_History!$C:$C,0)+B284-1</f>
        <v>1553</v>
      </c>
      <c r="I284" s="32" t="n">
        <f aca="false">INDEX(Forecast_Walkforward!$C:$C,H284)</f>
        <v>25</v>
      </c>
      <c r="J284" s="79" t="n">
        <f aca="false">INDEX(Forecast_Walkforward!$E:$E,H284)</f>
        <v>25.5</v>
      </c>
      <c r="K284" s="33" t="n">
        <f aca="false">Baseline_Weeks*J284</f>
        <v>102</v>
      </c>
      <c r="L284" s="46" t="n">
        <f aca="false">SUMIFS(P$277:P283,$B$277:$B283,$B284-$D284)</f>
        <v>40</v>
      </c>
      <c r="M284" s="46" t="n">
        <f aca="false">S283+L284</f>
        <v>40</v>
      </c>
      <c r="N284" s="46" t="n">
        <f aca="false">SUMIFS(P$277:P283,$B$277:$B283,"&gt;"&amp;($B284-$D284))</f>
        <v>50</v>
      </c>
      <c r="O284" s="46" t="n">
        <f aca="false">M284+N284</f>
        <v>90</v>
      </c>
      <c r="P284" s="47" t="n">
        <f aca="false">IF(O284&lt;K284,ROUNDUP((K284-O284)/G284,0)*G284,0)</f>
        <v>15</v>
      </c>
      <c r="Q284" s="46" t="n">
        <f aca="false">MIN(M284,I284)</f>
        <v>25</v>
      </c>
      <c r="R284" s="46" t="n">
        <f aca="false">I284-Q284</f>
        <v>0</v>
      </c>
      <c r="S284" s="46" t="n">
        <f aca="false">M284-Q284</f>
        <v>15</v>
      </c>
      <c r="T284" s="46" t="n">
        <f aca="false">IF(R284&gt;0,1,0)</f>
        <v>0</v>
      </c>
      <c r="U284" s="32" t="n">
        <f aca="false">INDEX(Forecast!$AY$7:$AY$54,C284)</f>
        <v>3</v>
      </c>
      <c r="V284" s="33" t="n">
        <f aca="false">CHOOSE(U284,INDEX(Forecast_Walkforward!$D:$D,H284),INDEX(Forecast_Walkforward!$E:$E,H284),INDEX(Forecast_Walkforward!$F:$F,H284),INDEX(Forecast_Walkforward!$G:$G,H284))</f>
        <v>22</v>
      </c>
      <c r="W284" s="79" t="n">
        <f aca="false">INDEX(Forecast!$BA$7:$BA$54,C284)</f>
        <v>7.29315824541637</v>
      </c>
      <c r="X284" s="33" t="n">
        <f aca="false">Z_Value*W284*SQRT(D284)</f>
        <v>20.7779894322074</v>
      </c>
      <c r="Y284" s="33" t="n">
        <f aca="false">V284*D284+X284</f>
        <v>86.7779894322074</v>
      </c>
      <c r="Z284" s="33" t="n">
        <f aca="false">SQRT((2*V284*Weeks_Per_Year*F284)/(E284*Holding_Rate))</f>
        <v>126.836508939658</v>
      </c>
      <c r="AA284" s="46" t="n">
        <f aca="false">ROUNDUP(Z284/G284,0)*G284</f>
        <v>130</v>
      </c>
      <c r="AB284" s="46" t="n">
        <f aca="false">SUMIFS(AF$277:AF283,$B$277:$B283,$B284-$D284)</f>
        <v>0</v>
      </c>
      <c r="AC284" s="46" t="n">
        <f aca="false">AI283+AB284</f>
        <v>106</v>
      </c>
      <c r="AD284" s="46" t="n">
        <f aca="false">SUMIFS(AF$277:AF283,$B$277:$B283,"&gt;"&amp;($B284-$D284))</f>
        <v>0</v>
      </c>
      <c r="AE284" s="46" t="n">
        <f aca="false">AC284+AD284</f>
        <v>106</v>
      </c>
      <c r="AF284" s="47" t="n">
        <f aca="false">IF(AE284&lt;=Y284,AA284,0)</f>
        <v>0</v>
      </c>
      <c r="AG284" s="46" t="n">
        <f aca="false">MIN(AC284,I284)</f>
        <v>25</v>
      </c>
      <c r="AH284" s="46" t="n">
        <f aca="false">I284-AG284</f>
        <v>0</v>
      </c>
      <c r="AI284" s="46" t="n">
        <f aca="false">AC284-AG284</f>
        <v>81</v>
      </c>
      <c r="AJ284" s="46" t="n">
        <f aca="false">IF(AH284&gt;0,1,0)</f>
        <v>0</v>
      </c>
    </row>
    <row r="285" customFormat="false" ht="15" hidden="false" customHeight="false" outlineLevel="0" collapsed="false">
      <c r="A285" s="31" t="str">
        <f aca="false">Inputs!$B$54</f>
        <v>BTH-005</v>
      </c>
      <c r="B285" s="46" t="n">
        <f aca="false">B284+1</f>
        <v>97</v>
      </c>
      <c r="C285" s="46" t="n">
        <f aca="false">MATCH(A285,Inputs!$B$40:$B$87,0)</f>
        <v>15</v>
      </c>
      <c r="D285" s="32" t="n">
        <f aca="false">INDEX(Inputs!$F$40:$F$87,C285)</f>
        <v>3</v>
      </c>
      <c r="E285" s="78" t="n">
        <f aca="false">INDEX(Inputs!$H$40:$H$87,C285)</f>
        <v>32</v>
      </c>
      <c r="F285" s="78" t="n">
        <f aca="false">INDEX(Inputs!$G$40:$G$87,C285)</f>
        <v>45</v>
      </c>
      <c r="G285" s="32" t="n">
        <f aca="false">INDEX(Inputs!$I$40:$I$87,C285)</f>
        <v>5</v>
      </c>
      <c r="H285" s="46" t="n">
        <f aca="false">MATCH(A285,Demand_History!$C:$C,0)+B285-1</f>
        <v>1554</v>
      </c>
      <c r="I285" s="32" t="n">
        <f aca="false">INDEX(Forecast_Walkforward!$C:$C,H285)</f>
        <v>30</v>
      </c>
      <c r="J285" s="79" t="n">
        <f aca="false">INDEX(Forecast_Walkforward!$E:$E,H285)</f>
        <v>24.5</v>
      </c>
      <c r="K285" s="33" t="n">
        <f aca="false">Baseline_Weeks*J285</f>
        <v>98</v>
      </c>
      <c r="L285" s="46" t="n">
        <f aca="false">SUMIFS(P$277:P284,$B$277:$B284,$B285-$D285)</f>
        <v>45</v>
      </c>
      <c r="M285" s="46" t="n">
        <f aca="false">S284+L285</f>
        <v>60</v>
      </c>
      <c r="N285" s="46" t="n">
        <f aca="false">SUMIFS(P$277:P284,$B$277:$B284,"&gt;"&amp;($B285-$D285))</f>
        <v>20</v>
      </c>
      <c r="O285" s="46" t="n">
        <f aca="false">M285+N285</f>
        <v>80</v>
      </c>
      <c r="P285" s="47" t="n">
        <f aca="false">IF(O285&lt;K285,ROUNDUP((K285-O285)/G285,0)*G285,0)</f>
        <v>20</v>
      </c>
      <c r="Q285" s="46" t="n">
        <f aca="false">MIN(M285,I285)</f>
        <v>30</v>
      </c>
      <c r="R285" s="46" t="n">
        <f aca="false">I285-Q285</f>
        <v>0</v>
      </c>
      <c r="S285" s="46" t="n">
        <f aca="false">M285-Q285</f>
        <v>30</v>
      </c>
      <c r="T285" s="46" t="n">
        <f aca="false">IF(R285&gt;0,1,0)</f>
        <v>0</v>
      </c>
      <c r="U285" s="32" t="n">
        <f aca="false">INDEX(Forecast!$AY$7:$AY$54,C285)</f>
        <v>3</v>
      </c>
      <c r="V285" s="33" t="n">
        <f aca="false">CHOOSE(U285,INDEX(Forecast_Walkforward!$D:$D,H285),INDEX(Forecast_Walkforward!$E:$E,H285),INDEX(Forecast_Walkforward!$F:$F,H285),INDEX(Forecast_Walkforward!$G:$G,H285))</f>
        <v>23.125</v>
      </c>
      <c r="W285" s="79" t="n">
        <f aca="false">INDEX(Forecast!$BA$7:$BA$54,C285)</f>
        <v>7.29315824541637</v>
      </c>
      <c r="X285" s="33" t="n">
        <f aca="false">Z_Value*W285*SQRT(D285)</f>
        <v>20.7779894322074</v>
      </c>
      <c r="Y285" s="33" t="n">
        <f aca="false">V285*D285+X285</f>
        <v>90.1529894322074</v>
      </c>
      <c r="Z285" s="33" t="n">
        <f aca="false">SQRT((2*V285*Weeks_Per_Year*F285)/(E285*Holding_Rate))</f>
        <v>130.039056632998</v>
      </c>
      <c r="AA285" s="46" t="n">
        <f aca="false">ROUNDUP(Z285/G285,0)*G285</f>
        <v>135</v>
      </c>
      <c r="AB285" s="46" t="n">
        <f aca="false">SUMIFS(AF$277:AF284,$B$277:$B284,$B285-$D285)</f>
        <v>0</v>
      </c>
      <c r="AC285" s="46" t="n">
        <f aca="false">AI284+AB285</f>
        <v>81</v>
      </c>
      <c r="AD285" s="46" t="n">
        <f aca="false">SUMIFS(AF$277:AF284,$B$277:$B284,"&gt;"&amp;($B285-$D285))</f>
        <v>0</v>
      </c>
      <c r="AE285" s="46" t="n">
        <f aca="false">AC285+AD285</f>
        <v>81</v>
      </c>
      <c r="AF285" s="47" t="n">
        <f aca="false">IF(AE285&lt;=Y285,AA285,0)</f>
        <v>135</v>
      </c>
      <c r="AG285" s="46" t="n">
        <f aca="false">MIN(AC285,I285)</f>
        <v>30</v>
      </c>
      <c r="AH285" s="46" t="n">
        <f aca="false">I285-AG285</f>
        <v>0</v>
      </c>
      <c r="AI285" s="46" t="n">
        <f aca="false">AC285-AG285</f>
        <v>51</v>
      </c>
      <c r="AJ285" s="46" t="n">
        <f aca="false">IF(AH285&gt;0,1,0)</f>
        <v>0</v>
      </c>
    </row>
    <row r="286" customFormat="false" ht="15" hidden="false" customHeight="false" outlineLevel="0" collapsed="false">
      <c r="A286" s="31" t="str">
        <f aca="false">Inputs!$B$54</f>
        <v>BTH-005</v>
      </c>
      <c r="B286" s="46" t="n">
        <f aca="false">B285+1</f>
        <v>98</v>
      </c>
      <c r="C286" s="46" t="n">
        <f aca="false">MATCH(A286,Inputs!$B$40:$B$87,0)</f>
        <v>15</v>
      </c>
      <c r="D286" s="32" t="n">
        <f aca="false">INDEX(Inputs!$F$40:$F$87,C286)</f>
        <v>3</v>
      </c>
      <c r="E286" s="78" t="n">
        <f aca="false">INDEX(Inputs!$H$40:$H$87,C286)</f>
        <v>32</v>
      </c>
      <c r="F286" s="78" t="n">
        <f aca="false">INDEX(Inputs!$G$40:$G$87,C286)</f>
        <v>45</v>
      </c>
      <c r="G286" s="32" t="n">
        <f aca="false">INDEX(Inputs!$I$40:$I$87,C286)</f>
        <v>5</v>
      </c>
      <c r="H286" s="46" t="n">
        <f aca="false">MATCH(A286,Demand_History!$C:$C,0)+B286-1</f>
        <v>1555</v>
      </c>
      <c r="I286" s="32" t="n">
        <f aca="false">INDEX(Forecast_Walkforward!$C:$C,H286)</f>
        <v>14</v>
      </c>
      <c r="J286" s="79" t="n">
        <f aca="false">INDEX(Forecast_Walkforward!$E:$E,H286)</f>
        <v>24.75</v>
      </c>
      <c r="K286" s="33" t="n">
        <f aca="false">Baseline_Weeks*J286</f>
        <v>99</v>
      </c>
      <c r="L286" s="46" t="n">
        <f aca="false">SUMIFS(P$277:P285,$B$277:$B285,$B286-$D286)</f>
        <v>5</v>
      </c>
      <c r="M286" s="46" t="n">
        <f aca="false">S285+L286</f>
        <v>35</v>
      </c>
      <c r="N286" s="46" t="n">
        <f aca="false">SUMIFS(P$277:P285,$B$277:$B285,"&gt;"&amp;($B286-$D286))</f>
        <v>35</v>
      </c>
      <c r="O286" s="46" t="n">
        <f aca="false">M286+N286</f>
        <v>70</v>
      </c>
      <c r="P286" s="47" t="n">
        <f aca="false">IF(O286&lt;K286,ROUNDUP((K286-O286)/G286,0)*G286,0)</f>
        <v>30</v>
      </c>
      <c r="Q286" s="46" t="n">
        <f aca="false">MIN(M286,I286)</f>
        <v>14</v>
      </c>
      <c r="R286" s="46" t="n">
        <f aca="false">I286-Q286</f>
        <v>0</v>
      </c>
      <c r="S286" s="46" t="n">
        <f aca="false">M286-Q286</f>
        <v>21</v>
      </c>
      <c r="T286" s="46" t="n">
        <f aca="false">IF(R286&gt;0,1,0)</f>
        <v>0</v>
      </c>
      <c r="U286" s="32" t="n">
        <f aca="false">INDEX(Forecast!$AY$7:$AY$54,C286)</f>
        <v>3</v>
      </c>
      <c r="V286" s="33" t="n">
        <f aca="false">CHOOSE(U286,INDEX(Forecast_Walkforward!$D:$D,H286),INDEX(Forecast_Walkforward!$E:$E,H286),INDEX(Forecast_Walkforward!$F:$F,H286),INDEX(Forecast_Walkforward!$G:$G,H286))</f>
        <v>24.75</v>
      </c>
      <c r="W286" s="79" t="n">
        <f aca="false">INDEX(Forecast!$BA$7:$BA$54,C286)</f>
        <v>7.29315824541637</v>
      </c>
      <c r="X286" s="33" t="n">
        <f aca="false">Z_Value*W286*SQRT(D286)</f>
        <v>20.7779894322074</v>
      </c>
      <c r="Y286" s="33" t="n">
        <f aca="false">V286*D286+X286</f>
        <v>95.0279894322074</v>
      </c>
      <c r="Z286" s="33" t="n">
        <f aca="false">SQRT((2*V286*Weeks_Per_Year*F286)/(E286*Holding_Rate))</f>
        <v>134.530433359891</v>
      </c>
      <c r="AA286" s="46" t="n">
        <f aca="false">ROUNDUP(Z286/G286,0)*G286</f>
        <v>135</v>
      </c>
      <c r="AB286" s="46" t="n">
        <f aca="false">SUMIFS(AF$277:AF285,$B$277:$B285,$B286-$D286)</f>
        <v>0</v>
      </c>
      <c r="AC286" s="46" t="n">
        <f aca="false">AI285+AB286</f>
        <v>51</v>
      </c>
      <c r="AD286" s="46" t="n">
        <f aca="false">SUMIFS(AF$277:AF285,$B$277:$B285,"&gt;"&amp;($B286-$D286))</f>
        <v>135</v>
      </c>
      <c r="AE286" s="46" t="n">
        <f aca="false">AC286+AD286</f>
        <v>186</v>
      </c>
      <c r="AF286" s="47" t="n">
        <f aca="false">IF(AE286&lt;=Y286,AA286,0)</f>
        <v>0</v>
      </c>
      <c r="AG286" s="46" t="n">
        <f aca="false">MIN(AC286,I286)</f>
        <v>14</v>
      </c>
      <c r="AH286" s="46" t="n">
        <f aca="false">I286-AG286</f>
        <v>0</v>
      </c>
      <c r="AI286" s="46" t="n">
        <f aca="false">AC286-AG286</f>
        <v>37</v>
      </c>
      <c r="AJ286" s="46" t="n">
        <f aca="false">IF(AH286&gt;0,1,0)</f>
        <v>0</v>
      </c>
    </row>
    <row r="287" customFormat="false" ht="15" hidden="false" customHeight="false" outlineLevel="0" collapsed="false">
      <c r="A287" s="31" t="str">
        <f aca="false">Inputs!$B$54</f>
        <v>BTH-005</v>
      </c>
      <c r="B287" s="46" t="n">
        <f aca="false">B286+1</f>
        <v>99</v>
      </c>
      <c r="C287" s="46" t="n">
        <f aca="false">MATCH(A287,Inputs!$B$40:$B$87,0)</f>
        <v>15</v>
      </c>
      <c r="D287" s="32" t="n">
        <f aca="false">INDEX(Inputs!$F$40:$F$87,C287)</f>
        <v>3</v>
      </c>
      <c r="E287" s="78" t="n">
        <f aca="false">INDEX(Inputs!$H$40:$H$87,C287)</f>
        <v>32</v>
      </c>
      <c r="F287" s="78" t="n">
        <f aca="false">INDEX(Inputs!$G$40:$G$87,C287)</f>
        <v>45</v>
      </c>
      <c r="G287" s="32" t="n">
        <f aca="false">INDEX(Inputs!$I$40:$I$87,C287)</f>
        <v>5</v>
      </c>
      <c r="H287" s="46" t="n">
        <f aca="false">MATCH(A287,Demand_History!$C:$C,0)+B287-1</f>
        <v>1556</v>
      </c>
      <c r="I287" s="32" t="n">
        <f aca="false">INDEX(Forecast_Walkforward!$C:$C,H287)</f>
        <v>27</v>
      </c>
      <c r="J287" s="79" t="n">
        <f aca="false">INDEX(Forecast_Walkforward!$E:$E,H287)</f>
        <v>23.25</v>
      </c>
      <c r="K287" s="33" t="n">
        <f aca="false">Baseline_Weeks*J287</f>
        <v>93</v>
      </c>
      <c r="L287" s="46" t="n">
        <f aca="false">SUMIFS(P$277:P286,$B$277:$B286,$B287-$D287)</f>
        <v>15</v>
      </c>
      <c r="M287" s="46" t="n">
        <f aca="false">S286+L287</f>
        <v>36</v>
      </c>
      <c r="N287" s="46" t="n">
        <f aca="false">SUMIFS(P$277:P286,$B$277:$B286,"&gt;"&amp;($B287-$D287))</f>
        <v>50</v>
      </c>
      <c r="O287" s="46" t="n">
        <f aca="false">M287+N287</f>
        <v>86</v>
      </c>
      <c r="P287" s="47" t="n">
        <f aca="false">IF(O287&lt;K287,ROUNDUP((K287-O287)/G287,0)*G287,0)</f>
        <v>10</v>
      </c>
      <c r="Q287" s="46" t="n">
        <f aca="false">MIN(M287,I287)</f>
        <v>27</v>
      </c>
      <c r="R287" s="46" t="n">
        <f aca="false">I287-Q287</f>
        <v>0</v>
      </c>
      <c r="S287" s="46" t="n">
        <f aca="false">M287-Q287</f>
        <v>9</v>
      </c>
      <c r="T287" s="46" t="n">
        <f aca="false">IF(R287&gt;0,1,0)</f>
        <v>0</v>
      </c>
      <c r="U287" s="32" t="n">
        <f aca="false">INDEX(Forecast!$AY$7:$AY$54,C287)</f>
        <v>3</v>
      </c>
      <c r="V287" s="33" t="n">
        <f aca="false">CHOOSE(U287,INDEX(Forecast_Walkforward!$D:$D,H287),INDEX(Forecast_Walkforward!$E:$E,H287),INDEX(Forecast_Walkforward!$F:$F,H287),INDEX(Forecast_Walkforward!$G:$G,H287))</f>
        <v>23.125</v>
      </c>
      <c r="W287" s="79" t="n">
        <f aca="false">INDEX(Forecast!$BA$7:$BA$54,C287)</f>
        <v>7.29315824541637</v>
      </c>
      <c r="X287" s="33" t="n">
        <f aca="false">Z_Value*W287*SQRT(D287)</f>
        <v>20.7779894322074</v>
      </c>
      <c r="Y287" s="33" t="n">
        <f aca="false">V287*D287+X287</f>
        <v>90.1529894322074</v>
      </c>
      <c r="Z287" s="33" t="n">
        <f aca="false">SQRT((2*V287*Weeks_Per_Year*F287)/(E287*Holding_Rate))</f>
        <v>130.039056632998</v>
      </c>
      <c r="AA287" s="46" t="n">
        <f aca="false">ROUNDUP(Z287/G287,0)*G287</f>
        <v>135</v>
      </c>
      <c r="AB287" s="46" t="n">
        <f aca="false">SUMIFS(AF$277:AF286,$B$277:$B286,$B287-$D287)</f>
        <v>0</v>
      </c>
      <c r="AC287" s="46" t="n">
        <f aca="false">AI286+AB287</f>
        <v>37</v>
      </c>
      <c r="AD287" s="46" t="n">
        <f aca="false">SUMIFS(AF$277:AF286,$B$277:$B286,"&gt;"&amp;($B287-$D287))</f>
        <v>135</v>
      </c>
      <c r="AE287" s="46" t="n">
        <f aca="false">AC287+AD287</f>
        <v>172</v>
      </c>
      <c r="AF287" s="47" t="n">
        <f aca="false">IF(AE287&lt;=Y287,AA287,0)</f>
        <v>0</v>
      </c>
      <c r="AG287" s="46" t="n">
        <f aca="false">MIN(AC287,I287)</f>
        <v>27</v>
      </c>
      <c r="AH287" s="46" t="n">
        <f aca="false">I287-AG287</f>
        <v>0</v>
      </c>
      <c r="AI287" s="46" t="n">
        <f aca="false">AC287-AG287</f>
        <v>10</v>
      </c>
      <c r="AJ287" s="46" t="n">
        <f aca="false">IF(AH287&gt;0,1,0)</f>
        <v>0</v>
      </c>
    </row>
    <row r="288" customFormat="false" ht="15" hidden="false" customHeight="false" outlineLevel="0" collapsed="false">
      <c r="A288" s="31" t="str">
        <f aca="false">Inputs!$B$54</f>
        <v>BTH-005</v>
      </c>
      <c r="B288" s="46" t="n">
        <f aca="false">B287+1</f>
        <v>100</v>
      </c>
      <c r="C288" s="46" t="n">
        <f aca="false">MATCH(A288,Inputs!$B$40:$B$87,0)</f>
        <v>15</v>
      </c>
      <c r="D288" s="32" t="n">
        <f aca="false">INDEX(Inputs!$F$40:$F$87,C288)</f>
        <v>3</v>
      </c>
      <c r="E288" s="78" t="n">
        <f aca="false">INDEX(Inputs!$H$40:$H$87,C288)</f>
        <v>32</v>
      </c>
      <c r="F288" s="78" t="n">
        <f aca="false">INDEX(Inputs!$G$40:$G$87,C288)</f>
        <v>45</v>
      </c>
      <c r="G288" s="32" t="n">
        <f aca="false">INDEX(Inputs!$I$40:$I$87,C288)</f>
        <v>5</v>
      </c>
      <c r="H288" s="46" t="n">
        <f aca="false">MATCH(A288,Demand_History!$C:$C,0)+B288-1</f>
        <v>1557</v>
      </c>
      <c r="I288" s="32" t="n">
        <f aca="false">INDEX(Forecast_Walkforward!$C:$C,H288)</f>
        <v>18</v>
      </c>
      <c r="J288" s="79" t="n">
        <f aca="false">INDEX(Forecast_Walkforward!$E:$E,H288)</f>
        <v>24</v>
      </c>
      <c r="K288" s="33" t="n">
        <f aca="false">Baseline_Weeks*J288</f>
        <v>96</v>
      </c>
      <c r="L288" s="46" t="n">
        <f aca="false">SUMIFS(P$277:P287,$B$277:$B287,$B288-$D288)</f>
        <v>20</v>
      </c>
      <c r="M288" s="46" t="n">
        <f aca="false">S287+L288</f>
        <v>29</v>
      </c>
      <c r="N288" s="46" t="n">
        <f aca="false">SUMIFS(P$277:P287,$B$277:$B287,"&gt;"&amp;($B288-$D288))</f>
        <v>40</v>
      </c>
      <c r="O288" s="46" t="n">
        <f aca="false">M288+N288</f>
        <v>69</v>
      </c>
      <c r="P288" s="47" t="n">
        <f aca="false">IF(O288&lt;K288,ROUNDUP((K288-O288)/G288,0)*G288,0)</f>
        <v>30</v>
      </c>
      <c r="Q288" s="46" t="n">
        <f aca="false">MIN(M288,I288)</f>
        <v>18</v>
      </c>
      <c r="R288" s="46" t="n">
        <f aca="false">I288-Q288</f>
        <v>0</v>
      </c>
      <c r="S288" s="46" t="n">
        <f aca="false">M288-Q288</f>
        <v>11</v>
      </c>
      <c r="T288" s="46" t="n">
        <f aca="false">IF(R288&gt;0,1,0)</f>
        <v>0</v>
      </c>
      <c r="U288" s="32" t="n">
        <f aca="false">INDEX(Forecast!$AY$7:$AY$54,C288)</f>
        <v>3</v>
      </c>
      <c r="V288" s="33" t="n">
        <f aca="false">CHOOSE(U288,INDEX(Forecast_Walkforward!$D:$D,H288),INDEX(Forecast_Walkforward!$E:$E,H288),INDEX(Forecast_Walkforward!$F:$F,H288),INDEX(Forecast_Walkforward!$G:$G,H288))</f>
        <v>24.75</v>
      </c>
      <c r="W288" s="79" t="n">
        <f aca="false">INDEX(Forecast!$BA$7:$BA$54,C288)</f>
        <v>7.29315824541637</v>
      </c>
      <c r="X288" s="33" t="n">
        <f aca="false">Z_Value*W288*SQRT(D288)</f>
        <v>20.7779894322074</v>
      </c>
      <c r="Y288" s="33" t="n">
        <f aca="false">V288*D288+X288</f>
        <v>95.0279894322074</v>
      </c>
      <c r="Z288" s="33" t="n">
        <f aca="false">SQRT((2*V288*Weeks_Per_Year*F288)/(E288*Holding_Rate))</f>
        <v>134.530433359891</v>
      </c>
      <c r="AA288" s="46" t="n">
        <f aca="false">ROUNDUP(Z288/G288,0)*G288</f>
        <v>135</v>
      </c>
      <c r="AB288" s="46" t="n">
        <f aca="false">SUMIFS(AF$277:AF287,$B$277:$B287,$B288-$D288)</f>
        <v>135</v>
      </c>
      <c r="AC288" s="46" t="n">
        <f aca="false">AI287+AB288</f>
        <v>145</v>
      </c>
      <c r="AD288" s="46" t="n">
        <f aca="false">SUMIFS(AF$277:AF287,$B$277:$B287,"&gt;"&amp;($B288-$D288))</f>
        <v>0</v>
      </c>
      <c r="AE288" s="46" t="n">
        <f aca="false">AC288+AD288</f>
        <v>145</v>
      </c>
      <c r="AF288" s="47" t="n">
        <f aca="false">IF(AE288&lt;=Y288,AA288,0)</f>
        <v>0</v>
      </c>
      <c r="AG288" s="46" t="n">
        <f aca="false">MIN(AC288,I288)</f>
        <v>18</v>
      </c>
      <c r="AH288" s="46" t="n">
        <f aca="false">I288-AG288</f>
        <v>0</v>
      </c>
      <c r="AI288" s="46" t="n">
        <f aca="false">AC288-AG288</f>
        <v>127</v>
      </c>
      <c r="AJ288" s="46" t="n">
        <f aca="false">IF(AH288&gt;0,1,0)</f>
        <v>0</v>
      </c>
    </row>
    <row r="289" customFormat="false" ht="15" hidden="false" customHeight="false" outlineLevel="0" collapsed="false">
      <c r="A289" s="31" t="str">
        <f aca="false">Inputs!$B$54</f>
        <v>BTH-005</v>
      </c>
      <c r="B289" s="46" t="n">
        <f aca="false">B288+1</f>
        <v>101</v>
      </c>
      <c r="C289" s="46" t="n">
        <f aca="false">MATCH(A289,Inputs!$B$40:$B$87,0)</f>
        <v>15</v>
      </c>
      <c r="D289" s="32" t="n">
        <f aca="false">INDEX(Inputs!$F$40:$F$87,C289)</f>
        <v>3</v>
      </c>
      <c r="E289" s="78" t="n">
        <f aca="false">INDEX(Inputs!$H$40:$H$87,C289)</f>
        <v>32</v>
      </c>
      <c r="F289" s="78" t="n">
        <f aca="false">INDEX(Inputs!$G$40:$G$87,C289)</f>
        <v>45</v>
      </c>
      <c r="G289" s="32" t="n">
        <f aca="false">INDEX(Inputs!$I$40:$I$87,C289)</f>
        <v>5</v>
      </c>
      <c r="H289" s="46" t="n">
        <f aca="false">MATCH(A289,Demand_History!$C:$C,0)+B289-1</f>
        <v>1558</v>
      </c>
      <c r="I289" s="32" t="n">
        <f aca="false">INDEX(Forecast_Walkforward!$C:$C,H289)</f>
        <v>15</v>
      </c>
      <c r="J289" s="79" t="n">
        <f aca="false">INDEX(Forecast_Walkforward!$E:$E,H289)</f>
        <v>22.25</v>
      </c>
      <c r="K289" s="33" t="n">
        <f aca="false">Baseline_Weeks*J289</f>
        <v>89</v>
      </c>
      <c r="L289" s="46" t="n">
        <f aca="false">SUMIFS(P$277:P288,$B$277:$B288,$B289-$D289)</f>
        <v>30</v>
      </c>
      <c r="M289" s="46" t="n">
        <f aca="false">S288+L289</f>
        <v>41</v>
      </c>
      <c r="N289" s="46" t="n">
        <f aca="false">SUMIFS(P$277:P288,$B$277:$B288,"&gt;"&amp;($B289-$D289))</f>
        <v>40</v>
      </c>
      <c r="O289" s="46" t="n">
        <f aca="false">M289+N289</f>
        <v>81</v>
      </c>
      <c r="P289" s="47" t="n">
        <f aca="false">IF(O289&lt;K289,ROUNDUP((K289-O289)/G289,0)*G289,0)</f>
        <v>10</v>
      </c>
      <c r="Q289" s="46" t="n">
        <f aca="false">MIN(M289,I289)</f>
        <v>15</v>
      </c>
      <c r="R289" s="46" t="n">
        <f aca="false">I289-Q289</f>
        <v>0</v>
      </c>
      <c r="S289" s="46" t="n">
        <f aca="false">M289-Q289</f>
        <v>26</v>
      </c>
      <c r="T289" s="46" t="n">
        <f aca="false">IF(R289&gt;0,1,0)</f>
        <v>0</v>
      </c>
      <c r="U289" s="32" t="n">
        <f aca="false">INDEX(Forecast!$AY$7:$AY$54,C289)</f>
        <v>3</v>
      </c>
      <c r="V289" s="33" t="n">
        <f aca="false">CHOOSE(U289,INDEX(Forecast_Walkforward!$D:$D,H289),INDEX(Forecast_Walkforward!$E:$E,H289),INDEX(Forecast_Walkforward!$F:$F,H289),INDEX(Forecast_Walkforward!$G:$G,H289))</f>
        <v>23.375</v>
      </c>
      <c r="W289" s="79" t="n">
        <f aca="false">INDEX(Forecast!$BA$7:$BA$54,C289)</f>
        <v>7.29315824541637</v>
      </c>
      <c r="X289" s="33" t="n">
        <f aca="false">Z_Value*W289*SQRT(D289)</f>
        <v>20.7779894322074</v>
      </c>
      <c r="Y289" s="33" t="n">
        <f aca="false">V289*D289+X289</f>
        <v>90.9029894322074</v>
      </c>
      <c r="Z289" s="33" t="n">
        <f aca="false">SQRT((2*V289*Weeks_Per_Year*F289)/(E289*Holding_Rate))</f>
        <v>130.740080885702</v>
      </c>
      <c r="AA289" s="46" t="n">
        <f aca="false">ROUNDUP(Z289/G289,0)*G289</f>
        <v>135</v>
      </c>
      <c r="AB289" s="46" t="n">
        <f aca="false">SUMIFS(AF$277:AF288,$B$277:$B288,$B289-$D289)</f>
        <v>0</v>
      </c>
      <c r="AC289" s="46" t="n">
        <f aca="false">AI288+AB289</f>
        <v>127</v>
      </c>
      <c r="AD289" s="46" t="n">
        <f aca="false">SUMIFS(AF$277:AF288,$B$277:$B288,"&gt;"&amp;($B289-$D289))</f>
        <v>0</v>
      </c>
      <c r="AE289" s="46" t="n">
        <f aca="false">AC289+AD289</f>
        <v>127</v>
      </c>
      <c r="AF289" s="47" t="n">
        <f aca="false">IF(AE289&lt;=Y289,AA289,0)</f>
        <v>0</v>
      </c>
      <c r="AG289" s="46" t="n">
        <f aca="false">MIN(AC289,I289)</f>
        <v>15</v>
      </c>
      <c r="AH289" s="46" t="n">
        <f aca="false">I289-AG289</f>
        <v>0</v>
      </c>
      <c r="AI289" s="46" t="n">
        <f aca="false">AC289-AG289</f>
        <v>112</v>
      </c>
      <c r="AJ289" s="46" t="n">
        <f aca="false">IF(AH289&gt;0,1,0)</f>
        <v>0</v>
      </c>
    </row>
    <row r="290" customFormat="false" ht="15" hidden="false" customHeight="false" outlineLevel="0" collapsed="false">
      <c r="A290" s="31" t="str">
        <f aca="false">Inputs!$B$54</f>
        <v>BTH-005</v>
      </c>
      <c r="B290" s="46" t="n">
        <f aca="false">B289+1</f>
        <v>102</v>
      </c>
      <c r="C290" s="46" t="n">
        <f aca="false">MATCH(A290,Inputs!$B$40:$B$87,0)</f>
        <v>15</v>
      </c>
      <c r="D290" s="32" t="n">
        <f aca="false">INDEX(Inputs!$F$40:$F$87,C290)</f>
        <v>3</v>
      </c>
      <c r="E290" s="78" t="n">
        <f aca="false">INDEX(Inputs!$H$40:$H$87,C290)</f>
        <v>32</v>
      </c>
      <c r="F290" s="78" t="n">
        <f aca="false">INDEX(Inputs!$G$40:$G$87,C290)</f>
        <v>45</v>
      </c>
      <c r="G290" s="32" t="n">
        <f aca="false">INDEX(Inputs!$I$40:$I$87,C290)</f>
        <v>5</v>
      </c>
      <c r="H290" s="46" t="n">
        <f aca="false">MATCH(A290,Demand_History!$C:$C,0)+B290-1</f>
        <v>1559</v>
      </c>
      <c r="I290" s="32" t="n">
        <f aca="false">INDEX(Forecast_Walkforward!$C:$C,H290)</f>
        <v>21</v>
      </c>
      <c r="J290" s="79" t="n">
        <f aca="false">INDEX(Forecast_Walkforward!$E:$E,H290)</f>
        <v>18.5</v>
      </c>
      <c r="K290" s="33" t="n">
        <f aca="false">Baseline_Weeks*J290</f>
        <v>74</v>
      </c>
      <c r="L290" s="46" t="n">
        <f aca="false">SUMIFS(P$277:P289,$B$277:$B289,$B290-$D290)</f>
        <v>10</v>
      </c>
      <c r="M290" s="46" t="n">
        <f aca="false">S289+L290</f>
        <v>36</v>
      </c>
      <c r="N290" s="46" t="n">
        <f aca="false">SUMIFS(P$277:P289,$B$277:$B289,"&gt;"&amp;($B290-$D290))</f>
        <v>40</v>
      </c>
      <c r="O290" s="46" t="n">
        <f aca="false">M290+N290</f>
        <v>76</v>
      </c>
      <c r="P290" s="47" t="n">
        <f aca="false">IF(O290&lt;K290,ROUNDUP((K290-O290)/G290,0)*G290,0)</f>
        <v>0</v>
      </c>
      <c r="Q290" s="46" t="n">
        <f aca="false">MIN(M290,I290)</f>
        <v>21</v>
      </c>
      <c r="R290" s="46" t="n">
        <f aca="false">I290-Q290</f>
        <v>0</v>
      </c>
      <c r="S290" s="46" t="n">
        <f aca="false">M290-Q290</f>
        <v>15</v>
      </c>
      <c r="T290" s="46" t="n">
        <f aca="false">IF(R290&gt;0,1,0)</f>
        <v>0</v>
      </c>
      <c r="U290" s="32" t="n">
        <f aca="false">INDEX(Forecast!$AY$7:$AY$54,C290)</f>
        <v>3</v>
      </c>
      <c r="V290" s="33" t="n">
        <f aca="false">CHOOSE(U290,INDEX(Forecast_Walkforward!$D:$D,H290),INDEX(Forecast_Walkforward!$E:$E,H290),INDEX(Forecast_Walkforward!$F:$F,H290),INDEX(Forecast_Walkforward!$G:$G,H290))</f>
        <v>21.625</v>
      </c>
      <c r="W290" s="79" t="n">
        <f aca="false">INDEX(Forecast!$BA$7:$BA$54,C290)</f>
        <v>7.29315824541637</v>
      </c>
      <c r="X290" s="33" t="n">
        <f aca="false">Z_Value*W290*SQRT(D290)</f>
        <v>20.7779894322074</v>
      </c>
      <c r="Y290" s="33" t="n">
        <f aca="false">V290*D290+X290</f>
        <v>85.6529894322074</v>
      </c>
      <c r="Z290" s="33" t="n">
        <f aca="false">SQRT((2*V290*Weeks_Per_Year*F290)/(E290*Holding_Rate))</f>
        <v>125.750869778304</v>
      </c>
      <c r="AA290" s="46" t="n">
        <f aca="false">ROUNDUP(Z290/G290,0)*G290</f>
        <v>130</v>
      </c>
      <c r="AB290" s="46" t="n">
        <f aca="false">SUMIFS(AF$277:AF289,$B$277:$B289,$B290-$D290)</f>
        <v>0</v>
      </c>
      <c r="AC290" s="46" t="n">
        <f aca="false">AI289+AB290</f>
        <v>112</v>
      </c>
      <c r="AD290" s="46" t="n">
        <f aca="false">SUMIFS(AF$277:AF289,$B$277:$B289,"&gt;"&amp;($B290-$D290))</f>
        <v>0</v>
      </c>
      <c r="AE290" s="46" t="n">
        <f aca="false">AC290+AD290</f>
        <v>112</v>
      </c>
      <c r="AF290" s="47" t="n">
        <f aca="false">IF(AE290&lt;=Y290,AA290,0)</f>
        <v>0</v>
      </c>
      <c r="AG290" s="46" t="n">
        <f aca="false">MIN(AC290,I290)</f>
        <v>21</v>
      </c>
      <c r="AH290" s="46" t="n">
        <f aca="false">I290-AG290</f>
        <v>0</v>
      </c>
      <c r="AI290" s="46" t="n">
        <f aca="false">AC290-AG290</f>
        <v>91</v>
      </c>
      <c r="AJ290" s="46" t="n">
        <f aca="false">IF(AH290&gt;0,1,0)</f>
        <v>0</v>
      </c>
    </row>
    <row r="291" customFormat="false" ht="15" hidden="false" customHeight="false" outlineLevel="0" collapsed="false">
      <c r="A291" s="31" t="str">
        <f aca="false">Inputs!$B$54</f>
        <v>BTH-005</v>
      </c>
      <c r="B291" s="46" t="n">
        <f aca="false">B290+1</f>
        <v>103</v>
      </c>
      <c r="C291" s="46" t="n">
        <f aca="false">MATCH(A291,Inputs!$B$40:$B$87,0)</f>
        <v>15</v>
      </c>
      <c r="D291" s="32" t="n">
        <f aca="false">INDEX(Inputs!$F$40:$F$87,C291)</f>
        <v>3</v>
      </c>
      <c r="E291" s="78" t="n">
        <f aca="false">INDEX(Inputs!$H$40:$H$87,C291)</f>
        <v>32</v>
      </c>
      <c r="F291" s="78" t="n">
        <f aca="false">INDEX(Inputs!$G$40:$G$87,C291)</f>
        <v>45</v>
      </c>
      <c r="G291" s="32" t="n">
        <f aca="false">INDEX(Inputs!$I$40:$I$87,C291)</f>
        <v>5</v>
      </c>
      <c r="H291" s="46" t="n">
        <f aca="false">MATCH(A291,Demand_History!$C:$C,0)+B291-1</f>
        <v>1560</v>
      </c>
      <c r="I291" s="32" t="n">
        <f aca="false">INDEX(Forecast_Walkforward!$C:$C,H291)</f>
        <v>19</v>
      </c>
      <c r="J291" s="79" t="n">
        <f aca="false">INDEX(Forecast_Walkforward!$E:$E,H291)</f>
        <v>20.25</v>
      </c>
      <c r="K291" s="33" t="n">
        <f aca="false">Baseline_Weeks*J291</f>
        <v>81</v>
      </c>
      <c r="L291" s="46" t="n">
        <f aca="false">SUMIFS(P$277:P290,$B$277:$B290,$B291-$D291)</f>
        <v>30</v>
      </c>
      <c r="M291" s="46" t="n">
        <f aca="false">S290+L291</f>
        <v>45</v>
      </c>
      <c r="N291" s="46" t="n">
        <f aca="false">SUMIFS(P$277:P290,$B$277:$B290,"&gt;"&amp;($B291-$D291))</f>
        <v>10</v>
      </c>
      <c r="O291" s="46" t="n">
        <f aca="false">M291+N291</f>
        <v>55</v>
      </c>
      <c r="P291" s="47" t="n">
        <f aca="false">IF(O291&lt;K291,ROUNDUP((K291-O291)/G291,0)*G291,0)</f>
        <v>30</v>
      </c>
      <c r="Q291" s="46" t="n">
        <f aca="false">MIN(M291,I291)</f>
        <v>19</v>
      </c>
      <c r="R291" s="46" t="n">
        <f aca="false">I291-Q291</f>
        <v>0</v>
      </c>
      <c r="S291" s="46" t="n">
        <f aca="false">M291-Q291</f>
        <v>26</v>
      </c>
      <c r="T291" s="46" t="n">
        <f aca="false">IF(R291&gt;0,1,0)</f>
        <v>0</v>
      </c>
      <c r="U291" s="32" t="n">
        <f aca="false">INDEX(Forecast!$AY$7:$AY$54,C291)</f>
        <v>3</v>
      </c>
      <c r="V291" s="33" t="n">
        <f aca="false">CHOOSE(U291,INDEX(Forecast_Walkforward!$D:$D,H291),INDEX(Forecast_Walkforward!$E:$E,H291),INDEX(Forecast_Walkforward!$F:$F,H291),INDEX(Forecast_Walkforward!$G:$G,H291))</f>
        <v>21.75</v>
      </c>
      <c r="W291" s="79" t="n">
        <f aca="false">INDEX(Forecast!$BA$7:$BA$54,C291)</f>
        <v>7.29315824541637</v>
      </c>
      <c r="X291" s="33" t="n">
        <f aca="false">Z_Value*W291*SQRT(D291)</f>
        <v>20.7779894322074</v>
      </c>
      <c r="Y291" s="33" t="n">
        <f aca="false">V291*D291+X291</f>
        <v>86.0279894322074</v>
      </c>
      <c r="Z291" s="33" t="n">
        <f aca="false">SQRT((2*V291*Weeks_Per_Year*F291)/(E291*Holding_Rate))</f>
        <v>126.113787906002</v>
      </c>
      <c r="AA291" s="46" t="n">
        <f aca="false">ROUNDUP(Z291/G291,0)*G291</f>
        <v>130</v>
      </c>
      <c r="AB291" s="46" t="n">
        <f aca="false">SUMIFS(AF$277:AF290,$B$277:$B290,$B291-$D291)</f>
        <v>0</v>
      </c>
      <c r="AC291" s="46" t="n">
        <f aca="false">AI290+AB291</f>
        <v>91</v>
      </c>
      <c r="AD291" s="46" t="n">
        <f aca="false">SUMIFS(AF$277:AF290,$B$277:$B290,"&gt;"&amp;($B291-$D291))</f>
        <v>0</v>
      </c>
      <c r="AE291" s="46" t="n">
        <f aca="false">AC291+AD291</f>
        <v>91</v>
      </c>
      <c r="AF291" s="47" t="n">
        <f aca="false">IF(AE291&lt;=Y291,AA291,0)</f>
        <v>0</v>
      </c>
      <c r="AG291" s="46" t="n">
        <f aca="false">MIN(AC291,I291)</f>
        <v>19</v>
      </c>
      <c r="AH291" s="46" t="n">
        <f aca="false">I291-AG291</f>
        <v>0</v>
      </c>
      <c r="AI291" s="46" t="n">
        <f aca="false">AC291-AG291</f>
        <v>72</v>
      </c>
      <c r="AJ291" s="46" t="n">
        <f aca="false">IF(AH291&gt;0,1,0)</f>
        <v>0</v>
      </c>
    </row>
    <row r="292" customFormat="false" ht="15" hidden="false" customHeight="false" outlineLevel="0" collapsed="false">
      <c r="A292" s="80" t="str">
        <f aca="false">Inputs!$B$54</f>
        <v>BTH-005</v>
      </c>
      <c r="B292" s="81" t="n">
        <f aca="false">B291+1</f>
        <v>104</v>
      </c>
      <c r="C292" s="81" t="n">
        <f aca="false">MATCH(A292,Inputs!$B$40:$B$87,0)</f>
        <v>15</v>
      </c>
      <c r="D292" s="82" t="n">
        <f aca="false">INDEX(Inputs!$F$40:$F$87,C292)</f>
        <v>3</v>
      </c>
      <c r="E292" s="83" t="n">
        <f aca="false">INDEX(Inputs!$H$40:$H$87,C292)</f>
        <v>32</v>
      </c>
      <c r="F292" s="83" t="n">
        <f aca="false">INDEX(Inputs!$G$40:$G$87,C292)</f>
        <v>45</v>
      </c>
      <c r="G292" s="82" t="n">
        <f aca="false">INDEX(Inputs!$I$40:$I$87,C292)</f>
        <v>5</v>
      </c>
      <c r="H292" s="81" t="n">
        <f aca="false">MATCH(A292,Demand_History!$C:$C,0)+B292-1</f>
        <v>1561</v>
      </c>
      <c r="I292" s="82" t="n">
        <f aca="false">INDEX(Forecast_Walkforward!$C:$C,H292)</f>
        <v>14</v>
      </c>
      <c r="J292" s="84" t="n">
        <f aca="false">INDEX(Forecast_Walkforward!$E:$E,H292)</f>
        <v>18.25</v>
      </c>
      <c r="K292" s="85" t="n">
        <f aca="false">Baseline_Weeks*J292</f>
        <v>73</v>
      </c>
      <c r="L292" s="81" t="n">
        <f aca="false">SUMIFS(P$277:P291,$B$277:$B291,$B292-$D292)</f>
        <v>10</v>
      </c>
      <c r="M292" s="81" t="n">
        <f aca="false">S291+L292</f>
        <v>36</v>
      </c>
      <c r="N292" s="81" t="n">
        <f aca="false">SUMIFS(P$277:P291,$B$277:$B291,"&gt;"&amp;($B292-$D292))</f>
        <v>30</v>
      </c>
      <c r="O292" s="81" t="n">
        <f aca="false">M292+N292</f>
        <v>66</v>
      </c>
      <c r="P292" s="86" t="n">
        <f aca="false">IF(O292&lt;K292,ROUNDUP((K292-O292)/G292,0)*G292,0)</f>
        <v>10</v>
      </c>
      <c r="Q292" s="81" t="n">
        <f aca="false">MIN(M292,I292)</f>
        <v>14</v>
      </c>
      <c r="R292" s="81" t="n">
        <f aca="false">I292-Q292</f>
        <v>0</v>
      </c>
      <c r="S292" s="81" t="n">
        <f aca="false">M292-Q292</f>
        <v>22</v>
      </c>
      <c r="T292" s="81" t="n">
        <f aca="false">IF(R292&gt;0,1,0)</f>
        <v>0</v>
      </c>
      <c r="U292" s="82" t="n">
        <f aca="false">INDEX(Forecast!$AY$7:$AY$54,C292)</f>
        <v>3</v>
      </c>
      <c r="V292" s="85" t="n">
        <f aca="false">CHOOSE(U292,INDEX(Forecast_Walkforward!$D:$D,H292),INDEX(Forecast_Walkforward!$E:$E,H292),INDEX(Forecast_Walkforward!$F:$F,H292),INDEX(Forecast_Walkforward!$G:$G,H292))</f>
        <v>21.125</v>
      </c>
      <c r="W292" s="84" t="n">
        <f aca="false">INDEX(Forecast!$BA$7:$BA$54,C292)</f>
        <v>7.29315824541637</v>
      </c>
      <c r="X292" s="85" t="n">
        <f aca="false">Z_Value*W292*SQRT(D292)</f>
        <v>20.7779894322074</v>
      </c>
      <c r="Y292" s="85" t="n">
        <f aca="false">V292*D292+X292</f>
        <v>84.1529894322074</v>
      </c>
      <c r="Z292" s="85" t="n">
        <f aca="false">SQRT((2*V292*Weeks_Per_Year*F292)/(E292*Holding_Rate))</f>
        <v>124.288600643824</v>
      </c>
      <c r="AA292" s="81" t="n">
        <f aca="false">ROUNDUP(Z292/G292,0)*G292</f>
        <v>125</v>
      </c>
      <c r="AB292" s="81" t="n">
        <f aca="false">SUMIFS(AF$277:AF291,$B$277:$B291,$B292-$D292)</f>
        <v>0</v>
      </c>
      <c r="AC292" s="81" t="n">
        <f aca="false">AI291+AB292</f>
        <v>72</v>
      </c>
      <c r="AD292" s="81" t="n">
        <f aca="false">SUMIFS(AF$277:AF291,$B$277:$B291,"&gt;"&amp;($B292-$D292))</f>
        <v>0</v>
      </c>
      <c r="AE292" s="81" t="n">
        <f aca="false">AC292+AD292</f>
        <v>72</v>
      </c>
      <c r="AF292" s="86" t="n">
        <f aca="false">IF(AE292&lt;=Y292,AA292,0)</f>
        <v>125</v>
      </c>
      <c r="AG292" s="81" t="n">
        <f aca="false">MIN(AC292,I292)</f>
        <v>14</v>
      </c>
      <c r="AH292" s="81" t="n">
        <f aca="false">I292-AG292</f>
        <v>0</v>
      </c>
      <c r="AI292" s="81" t="n">
        <f aca="false">AC292-AG292</f>
        <v>58</v>
      </c>
      <c r="AJ292" s="81" t="n">
        <f aca="false">IF(AH292&gt;0,1,0)</f>
        <v>0</v>
      </c>
    </row>
    <row r="293" customFormat="false" ht="15" hidden="false" customHeight="false" outlineLevel="0" collapsed="false">
      <c r="A293" s="31" t="str">
        <f aca="false">Inputs!$B$55</f>
        <v>BTH-006</v>
      </c>
      <c r="B293" s="46" t="n">
        <f aca="false">BT_Start_Week</f>
        <v>89</v>
      </c>
      <c r="C293" s="46" t="n">
        <f aca="false">MATCH(A293,Inputs!$B$40:$B$87,0)</f>
        <v>16</v>
      </c>
      <c r="D293" s="32" t="n">
        <f aca="false">INDEX(Inputs!$F$40:$F$87,C293)</f>
        <v>3</v>
      </c>
      <c r="E293" s="78" t="n">
        <f aca="false">INDEX(Inputs!$H$40:$H$87,C293)</f>
        <v>16</v>
      </c>
      <c r="F293" s="78" t="n">
        <f aca="false">INDEX(Inputs!$G$40:$G$87,C293)</f>
        <v>45</v>
      </c>
      <c r="G293" s="32" t="n">
        <f aca="false">INDEX(Inputs!$I$40:$I$87,C293)</f>
        <v>12</v>
      </c>
      <c r="H293" s="46" t="n">
        <f aca="false">MATCH(A293,Demand_History!$C:$C,0)+B293-1</f>
        <v>1650</v>
      </c>
      <c r="I293" s="32" t="n">
        <f aca="false">INDEX(Forecast_Walkforward!$C:$C,H293)</f>
        <v>30</v>
      </c>
      <c r="J293" s="79" t="n">
        <f aca="false">INDEX(Forecast_Walkforward!$E:$E,H293)</f>
        <v>34.25</v>
      </c>
      <c r="K293" s="33" t="n">
        <f aca="false">Baseline_Weeks*J293</f>
        <v>137</v>
      </c>
      <c r="L293" s="46" t="n">
        <f aca="false">0</f>
        <v>0</v>
      </c>
      <c r="M293" s="46" t="n">
        <f aca="false">ROUND(BT_Open_Cover*INDEX(Forecast_Walkforward!$F:$F,H293),0)+L293</f>
        <v>201</v>
      </c>
      <c r="N293" s="46" t="n">
        <f aca="false">0</f>
        <v>0</v>
      </c>
      <c r="O293" s="46" t="n">
        <f aca="false">M293+N293</f>
        <v>201</v>
      </c>
      <c r="P293" s="47" t="n">
        <f aca="false">IF(O293&lt;K293,ROUNDUP((K293-O293)/G293,0)*G293,0)</f>
        <v>0</v>
      </c>
      <c r="Q293" s="46" t="n">
        <f aca="false">MIN(M293,I293)</f>
        <v>30</v>
      </c>
      <c r="R293" s="46" t="n">
        <f aca="false">I293-Q293</f>
        <v>0</v>
      </c>
      <c r="S293" s="46" t="n">
        <f aca="false">M293-Q293</f>
        <v>171</v>
      </c>
      <c r="T293" s="46" t="n">
        <f aca="false">IF(R293&gt;0,1,0)</f>
        <v>0</v>
      </c>
      <c r="U293" s="32" t="n">
        <f aca="false">INDEX(Forecast!$AY$7:$AY$54,C293)</f>
        <v>2</v>
      </c>
      <c r="V293" s="33" t="n">
        <f aca="false">CHOOSE(U293,INDEX(Forecast_Walkforward!$D:$D,H293),INDEX(Forecast_Walkforward!$E:$E,H293),INDEX(Forecast_Walkforward!$F:$F,H293),INDEX(Forecast_Walkforward!$G:$G,H293))</f>
        <v>34.25</v>
      </c>
      <c r="W293" s="79" t="n">
        <f aca="false">INDEX(Forecast!$BA$7:$BA$54,C293)</f>
        <v>3.914720642318</v>
      </c>
      <c r="X293" s="33" t="n">
        <f aca="false">Z_Value*W293*SQRT(D293)</f>
        <v>11.1529218754095</v>
      </c>
      <c r="Y293" s="33" t="n">
        <f aca="false">V293*D293+X293</f>
        <v>113.90292187541</v>
      </c>
      <c r="Z293" s="33" t="n">
        <f aca="false">SQRT((2*V293*Weeks_Per_Year*F293)/(E293*Holding_Rate))</f>
        <v>223.809349670652</v>
      </c>
      <c r="AA293" s="46" t="n">
        <f aca="false">ROUNDUP(Z293/G293,0)*G293</f>
        <v>228</v>
      </c>
      <c r="AB293" s="46" t="n">
        <f aca="false">0</f>
        <v>0</v>
      </c>
      <c r="AC293" s="46" t="n">
        <f aca="false">ROUND(BT_Open_Cover*INDEX(Forecast_Walkforward!$F:$F,H293),0)+AB293</f>
        <v>201</v>
      </c>
      <c r="AD293" s="46" t="n">
        <f aca="false">0</f>
        <v>0</v>
      </c>
      <c r="AE293" s="46" t="n">
        <f aca="false">AC293+AD293</f>
        <v>201</v>
      </c>
      <c r="AF293" s="47" t="n">
        <f aca="false">IF(AE293&lt;=Y293,AA293,0)</f>
        <v>0</v>
      </c>
      <c r="AG293" s="46" t="n">
        <f aca="false">MIN(AC293,I293)</f>
        <v>30</v>
      </c>
      <c r="AH293" s="46" t="n">
        <f aca="false">I293-AG293</f>
        <v>0</v>
      </c>
      <c r="AI293" s="46" t="n">
        <f aca="false">AC293-AG293</f>
        <v>171</v>
      </c>
      <c r="AJ293" s="46" t="n">
        <f aca="false">IF(AH293&gt;0,1,0)</f>
        <v>0</v>
      </c>
    </row>
    <row r="294" customFormat="false" ht="15" hidden="false" customHeight="false" outlineLevel="0" collapsed="false">
      <c r="A294" s="31" t="str">
        <f aca="false">Inputs!$B$55</f>
        <v>BTH-006</v>
      </c>
      <c r="B294" s="46" t="n">
        <f aca="false">B293+1</f>
        <v>90</v>
      </c>
      <c r="C294" s="46" t="n">
        <f aca="false">MATCH(A294,Inputs!$B$40:$B$87,0)</f>
        <v>16</v>
      </c>
      <c r="D294" s="32" t="n">
        <f aca="false">INDEX(Inputs!$F$40:$F$87,C294)</f>
        <v>3</v>
      </c>
      <c r="E294" s="78" t="n">
        <f aca="false">INDEX(Inputs!$H$40:$H$87,C294)</f>
        <v>16</v>
      </c>
      <c r="F294" s="78" t="n">
        <f aca="false">INDEX(Inputs!$G$40:$G$87,C294)</f>
        <v>45</v>
      </c>
      <c r="G294" s="32" t="n">
        <f aca="false">INDEX(Inputs!$I$40:$I$87,C294)</f>
        <v>12</v>
      </c>
      <c r="H294" s="46" t="n">
        <f aca="false">MATCH(A294,Demand_History!$C:$C,0)+B294-1</f>
        <v>1651</v>
      </c>
      <c r="I294" s="32" t="n">
        <f aca="false">INDEX(Forecast_Walkforward!$C:$C,H294)</f>
        <v>34</v>
      </c>
      <c r="J294" s="79" t="n">
        <f aca="false">INDEX(Forecast_Walkforward!$E:$E,H294)</f>
        <v>32.75</v>
      </c>
      <c r="K294" s="33" t="n">
        <f aca="false">Baseline_Weeks*J294</f>
        <v>131</v>
      </c>
      <c r="L294" s="46" t="n">
        <f aca="false">SUMIFS(P$293:P293,$B$293:$B293,$B294-$D294)</f>
        <v>0</v>
      </c>
      <c r="M294" s="46" t="n">
        <f aca="false">S293+L294</f>
        <v>171</v>
      </c>
      <c r="N294" s="46" t="n">
        <f aca="false">SUMIFS(P$293:P293,$B$293:$B293,"&gt;"&amp;($B294-$D294))</f>
        <v>0</v>
      </c>
      <c r="O294" s="46" t="n">
        <f aca="false">M294+N294</f>
        <v>171</v>
      </c>
      <c r="P294" s="47" t="n">
        <f aca="false">IF(O294&lt;K294,ROUNDUP((K294-O294)/G294,0)*G294,0)</f>
        <v>0</v>
      </c>
      <c r="Q294" s="46" t="n">
        <f aca="false">MIN(M294,I294)</f>
        <v>34</v>
      </c>
      <c r="R294" s="46" t="n">
        <f aca="false">I294-Q294</f>
        <v>0</v>
      </c>
      <c r="S294" s="46" t="n">
        <f aca="false">M294-Q294</f>
        <v>137</v>
      </c>
      <c r="T294" s="46" t="n">
        <f aca="false">IF(R294&gt;0,1,0)</f>
        <v>0</v>
      </c>
      <c r="U294" s="32" t="n">
        <f aca="false">INDEX(Forecast!$AY$7:$AY$54,C294)</f>
        <v>2</v>
      </c>
      <c r="V294" s="33" t="n">
        <f aca="false">CHOOSE(U294,INDEX(Forecast_Walkforward!$D:$D,H294),INDEX(Forecast_Walkforward!$E:$E,H294),INDEX(Forecast_Walkforward!$F:$F,H294),INDEX(Forecast_Walkforward!$G:$G,H294))</f>
        <v>32.75</v>
      </c>
      <c r="W294" s="79" t="n">
        <f aca="false">INDEX(Forecast!$BA$7:$BA$54,C294)</f>
        <v>3.914720642318</v>
      </c>
      <c r="X294" s="33" t="n">
        <f aca="false">Z_Value*W294*SQRT(D294)</f>
        <v>11.1529218754095</v>
      </c>
      <c r="Y294" s="33" t="n">
        <f aca="false">V294*D294+X294</f>
        <v>109.40292187541</v>
      </c>
      <c r="Z294" s="33" t="n">
        <f aca="false">SQRT((2*V294*Weeks_Per_Year*F294)/(E294*Holding_Rate))</f>
        <v>218.853546921223</v>
      </c>
      <c r="AA294" s="46" t="n">
        <f aca="false">ROUNDUP(Z294/G294,0)*G294</f>
        <v>228</v>
      </c>
      <c r="AB294" s="46" t="n">
        <f aca="false">SUMIFS(AF$293:AF293,$B$293:$B293,$B294-$D294)</f>
        <v>0</v>
      </c>
      <c r="AC294" s="46" t="n">
        <f aca="false">AI293+AB294</f>
        <v>171</v>
      </c>
      <c r="AD294" s="46" t="n">
        <f aca="false">SUMIFS(AF$293:AF293,$B$293:$B293,"&gt;"&amp;($B294-$D294))</f>
        <v>0</v>
      </c>
      <c r="AE294" s="46" t="n">
        <f aca="false">AC294+AD294</f>
        <v>171</v>
      </c>
      <c r="AF294" s="47" t="n">
        <f aca="false">IF(AE294&lt;=Y294,AA294,0)</f>
        <v>0</v>
      </c>
      <c r="AG294" s="46" t="n">
        <f aca="false">MIN(AC294,I294)</f>
        <v>34</v>
      </c>
      <c r="AH294" s="46" t="n">
        <f aca="false">I294-AG294</f>
        <v>0</v>
      </c>
      <c r="AI294" s="46" t="n">
        <f aca="false">AC294-AG294</f>
        <v>137</v>
      </c>
      <c r="AJ294" s="46" t="n">
        <f aca="false">IF(AH294&gt;0,1,0)</f>
        <v>0</v>
      </c>
    </row>
    <row r="295" customFormat="false" ht="15" hidden="false" customHeight="false" outlineLevel="0" collapsed="false">
      <c r="A295" s="31" t="str">
        <f aca="false">Inputs!$B$55</f>
        <v>BTH-006</v>
      </c>
      <c r="B295" s="46" t="n">
        <f aca="false">B294+1</f>
        <v>91</v>
      </c>
      <c r="C295" s="46" t="n">
        <f aca="false">MATCH(A295,Inputs!$B$40:$B$87,0)</f>
        <v>16</v>
      </c>
      <c r="D295" s="32" t="n">
        <f aca="false">INDEX(Inputs!$F$40:$F$87,C295)</f>
        <v>3</v>
      </c>
      <c r="E295" s="78" t="n">
        <f aca="false">INDEX(Inputs!$H$40:$H$87,C295)</f>
        <v>16</v>
      </c>
      <c r="F295" s="78" t="n">
        <f aca="false">INDEX(Inputs!$G$40:$G$87,C295)</f>
        <v>45</v>
      </c>
      <c r="G295" s="32" t="n">
        <f aca="false">INDEX(Inputs!$I$40:$I$87,C295)</f>
        <v>12</v>
      </c>
      <c r="H295" s="46" t="n">
        <f aca="false">MATCH(A295,Demand_History!$C:$C,0)+B295-1</f>
        <v>1652</v>
      </c>
      <c r="I295" s="32" t="n">
        <f aca="false">INDEX(Forecast_Walkforward!$C:$C,H295)</f>
        <v>30</v>
      </c>
      <c r="J295" s="79" t="n">
        <f aca="false">INDEX(Forecast_Walkforward!$E:$E,H295)</f>
        <v>32.25</v>
      </c>
      <c r="K295" s="33" t="n">
        <f aca="false">Baseline_Weeks*J295</f>
        <v>129</v>
      </c>
      <c r="L295" s="46" t="n">
        <f aca="false">SUMIFS(P$293:P294,$B$293:$B294,$B295-$D295)</f>
        <v>0</v>
      </c>
      <c r="M295" s="46" t="n">
        <f aca="false">S294+L295</f>
        <v>137</v>
      </c>
      <c r="N295" s="46" t="n">
        <f aca="false">SUMIFS(P$293:P294,$B$293:$B294,"&gt;"&amp;($B295-$D295))</f>
        <v>0</v>
      </c>
      <c r="O295" s="46" t="n">
        <f aca="false">M295+N295</f>
        <v>137</v>
      </c>
      <c r="P295" s="47" t="n">
        <f aca="false">IF(O295&lt;K295,ROUNDUP((K295-O295)/G295,0)*G295,0)</f>
        <v>0</v>
      </c>
      <c r="Q295" s="46" t="n">
        <f aca="false">MIN(M295,I295)</f>
        <v>30</v>
      </c>
      <c r="R295" s="46" t="n">
        <f aca="false">I295-Q295</f>
        <v>0</v>
      </c>
      <c r="S295" s="46" t="n">
        <f aca="false">M295-Q295</f>
        <v>107</v>
      </c>
      <c r="T295" s="46" t="n">
        <f aca="false">IF(R295&gt;0,1,0)</f>
        <v>0</v>
      </c>
      <c r="U295" s="32" t="n">
        <f aca="false">INDEX(Forecast!$AY$7:$AY$54,C295)</f>
        <v>2</v>
      </c>
      <c r="V295" s="33" t="n">
        <f aca="false">CHOOSE(U295,INDEX(Forecast_Walkforward!$D:$D,H295),INDEX(Forecast_Walkforward!$E:$E,H295),INDEX(Forecast_Walkforward!$F:$F,H295),INDEX(Forecast_Walkforward!$G:$G,H295))</f>
        <v>32.25</v>
      </c>
      <c r="W295" s="79" t="n">
        <f aca="false">INDEX(Forecast!$BA$7:$BA$54,C295)</f>
        <v>3.914720642318</v>
      </c>
      <c r="X295" s="33" t="n">
        <f aca="false">Z_Value*W295*SQRT(D295)</f>
        <v>11.1529218754095</v>
      </c>
      <c r="Y295" s="33" t="n">
        <f aca="false">V295*D295+X295</f>
        <v>107.90292187541</v>
      </c>
      <c r="Z295" s="33" t="n">
        <f aca="false">SQRT((2*V295*Weeks_Per_Year*F295)/(E295*Holding_Rate))</f>
        <v>217.176483533554</v>
      </c>
      <c r="AA295" s="46" t="n">
        <f aca="false">ROUNDUP(Z295/G295,0)*G295</f>
        <v>228</v>
      </c>
      <c r="AB295" s="46" t="n">
        <f aca="false">SUMIFS(AF$293:AF294,$B$293:$B294,$B295-$D295)</f>
        <v>0</v>
      </c>
      <c r="AC295" s="46" t="n">
        <f aca="false">AI294+AB295</f>
        <v>137</v>
      </c>
      <c r="AD295" s="46" t="n">
        <f aca="false">SUMIFS(AF$293:AF294,$B$293:$B294,"&gt;"&amp;($B295-$D295))</f>
        <v>0</v>
      </c>
      <c r="AE295" s="46" t="n">
        <f aca="false">AC295+AD295</f>
        <v>137</v>
      </c>
      <c r="AF295" s="47" t="n">
        <f aca="false">IF(AE295&lt;=Y295,AA295,0)</f>
        <v>0</v>
      </c>
      <c r="AG295" s="46" t="n">
        <f aca="false">MIN(AC295,I295)</f>
        <v>30</v>
      </c>
      <c r="AH295" s="46" t="n">
        <f aca="false">I295-AG295</f>
        <v>0</v>
      </c>
      <c r="AI295" s="46" t="n">
        <f aca="false">AC295-AG295</f>
        <v>107</v>
      </c>
      <c r="AJ295" s="46" t="n">
        <f aca="false">IF(AH295&gt;0,1,0)</f>
        <v>0</v>
      </c>
    </row>
    <row r="296" customFormat="false" ht="15" hidden="false" customHeight="false" outlineLevel="0" collapsed="false">
      <c r="A296" s="31" t="str">
        <f aca="false">Inputs!$B$55</f>
        <v>BTH-006</v>
      </c>
      <c r="B296" s="46" t="n">
        <f aca="false">B295+1</f>
        <v>92</v>
      </c>
      <c r="C296" s="46" t="n">
        <f aca="false">MATCH(A296,Inputs!$B$40:$B$87,0)</f>
        <v>16</v>
      </c>
      <c r="D296" s="32" t="n">
        <f aca="false">INDEX(Inputs!$F$40:$F$87,C296)</f>
        <v>3</v>
      </c>
      <c r="E296" s="78" t="n">
        <f aca="false">INDEX(Inputs!$H$40:$H$87,C296)</f>
        <v>16</v>
      </c>
      <c r="F296" s="78" t="n">
        <f aca="false">INDEX(Inputs!$G$40:$G$87,C296)</f>
        <v>45</v>
      </c>
      <c r="G296" s="32" t="n">
        <f aca="false">INDEX(Inputs!$I$40:$I$87,C296)</f>
        <v>12</v>
      </c>
      <c r="H296" s="46" t="n">
        <f aca="false">MATCH(A296,Demand_History!$C:$C,0)+B296-1</f>
        <v>1653</v>
      </c>
      <c r="I296" s="32" t="n">
        <f aca="false">INDEX(Forecast_Walkforward!$C:$C,H296)</f>
        <v>38</v>
      </c>
      <c r="J296" s="79" t="n">
        <f aca="false">INDEX(Forecast_Walkforward!$E:$E,H296)</f>
        <v>31.25</v>
      </c>
      <c r="K296" s="33" t="n">
        <f aca="false">Baseline_Weeks*J296</f>
        <v>125</v>
      </c>
      <c r="L296" s="46" t="n">
        <f aca="false">SUMIFS(P$293:P295,$B$293:$B295,$B296-$D296)</f>
        <v>0</v>
      </c>
      <c r="M296" s="46" t="n">
        <f aca="false">S295+L296</f>
        <v>107</v>
      </c>
      <c r="N296" s="46" t="n">
        <f aca="false">SUMIFS(P$293:P295,$B$293:$B295,"&gt;"&amp;($B296-$D296))</f>
        <v>0</v>
      </c>
      <c r="O296" s="46" t="n">
        <f aca="false">M296+N296</f>
        <v>107</v>
      </c>
      <c r="P296" s="47" t="n">
        <f aca="false">IF(O296&lt;K296,ROUNDUP((K296-O296)/G296,0)*G296,0)</f>
        <v>24</v>
      </c>
      <c r="Q296" s="46" t="n">
        <f aca="false">MIN(M296,I296)</f>
        <v>38</v>
      </c>
      <c r="R296" s="46" t="n">
        <f aca="false">I296-Q296</f>
        <v>0</v>
      </c>
      <c r="S296" s="46" t="n">
        <f aca="false">M296-Q296</f>
        <v>69</v>
      </c>
      <c r="T296" s="46" t="n">
        <f aca="false">IF(R296&gt;0,1,0)</f>
        <v>0</v>
      </c>
      <c r="U296" s="32" t="n">
        <f aca="false">INDEX(Forecast!$AY$7:$AY$54,C296)</f>
        <v>2</v>
      </c>
      <c r="V296" s="33" t="n">
        <f aca="false">CHOOSE(U296,INDEX(Forecast_Walkforward!$D:$D,H296),INDEX(Forecast_Walkforward!$E:$E,H296),INDEX(Forecast_Walkforward!$F:$F,H296),INDEX(Forecast_Walkforward!$G:$G,H296))</f>
        <v>31.25</v>
      </c>
      <c r="W296" s="79" t="n">
        <f aca="false">INDEX(Forecast!$BA$7:$BA$54,C296)</f>
        <v>3.914720642318</v>
      </c>
      <c r="X296" s="33" t="n">
        <f aca="false">Z_Value*W296*SQRT(D296)</f>
        <v>11.1529218754095</v>
      </c>
      <c r="Y296" s="33" t="n">
        <f aca="false">V296*D296+X296</f>
        <v>104.90292187541</v>
      </c>
      <c r="Z296" s="33" t="n">
        <f aca="false">SQRT((2*V296*Weeks_Per_Year*F296)/(E296*Holding_Rate))</f>
        <v>213.782892206088</v>
      </c>
      <c r="AA296" s="46" t="n">
        <f aca="false">ROUNDUP(Z296/G296,0)*G296</f>
        <v>216</v>
      </c>
      <c r="AB296" s="46" t="n">
        <f aca="false">SUMIFS(AF$293:AF295,$B$293:$B295,$B296-$D296)</f>
        <v>0</v>
      </c>
      <c r="AC296" s="46" t="n">
        <f aca="false">AI295+AB296</f>
        <v>107</v>
      </c>
      <c r="AD296" s="46" t="n">
        <f aca="false">SUMIFS(AF$293:AF295,$B$293:$B295,"&gt;"&amp;($B296-$D296))</f>
        <v>0</v>
      </c>
      <c r="AE296" s="46" t="n">
        <f aca="false">AC296+AD296</f>
        <v>107</v>
      </c>
      <c r="AF296" s="47" t="n">
        <f aca="false">IF(AE296&lt;=Y296,AA296,0)</f>
        <v>0</v>
      </c>
      <c r="AG296" s="46" t="n">
        <f aca="false">MIN(AC296,I296)</f>
        <v>38</v>
      </c>
      <c r="AH296" s="46" t="n">
        <f aca="false">I296-AG296</f>
        <v>0</v>
      </c>
      <c r="AI296" s="46" t="n">
        <f aca="false">AC296-AG296</f>
        <v>69</v>
      </c>
      <c r="AJ296" s="46" t="n">
        <f aca="false">IF(AH296&gt;0,1,0)</f>
        <v>0</v>
      </c>
    </row>
    <row r="297" customFormat="false" ht="15" hidden="false" customHeight="false" outlineLevel="0" collapsed="false">
      <c r="A297" s="31" t="str">
        <f aca="false">Inputs!$B$55</f>
        <v>BTH-006</v>
      </c>
      <c r="B297" s="46" t="n">
        <f aca="false">B296+1</f>
        <v>93</v>
      </c>
      <c r="C297" s="46" t="n">
        <f aca="false">MATCH(A297,Inputs!$B$40:$B$87,0)</f>
        <v>16</v>
      </c>
      <c r="D297" s="32" t="n">
        <f aca="false">INDEX(Inputs!$F$40:$F$87,C297)</f>
        <v>3</v>
      </c>
      <c r="E297" s="78" t="n">
        <f aca="false">INDEX(Inputs!$H$40:$H$87,C297)</f>
        <v>16</v>
      </c>
      <c r="F297" s="78" t="n">
        <f aca="false">INDEX(Inputs!$G$40:$G$87,C297)</f>
        <v>45</v>
      </c>
      <c r="G297" s="32" t="n">
        <f aca="false">INDEX(Inputs!$I$40:$I$87,C297)</f>
        <v>12</v>
      </c>
      <c r="H297" s="46" t="n">
        <f aca="false">MATCH(A297,Demand_History!$C:$C,0)+B297-1</f>
        <v>1654</v>
      </c>
      <c r="I297" s="32" t="n">
        <f aca="false">INDEX(Forecast_Walkforward!$C:$C,H297)</f>
        <v>39</v>
      </c>
      <c r="J297" s="79" t="n">
        <f aca="false">INDEX(Forecast_Walkforward!$E:$E,H297)</f>
        <v>33</v>
      </c>
      <c r="K297" s="33" t="n">
        <f aca="false">Baseline_Weeks*J297</f>
        <v>132</v>
      </c>
      <c r="L297" s="46" t="n">
        <f aca="false">SUMIFS(P$293:P296,$B$293:$B296,$B297-$D297)</f>
        <v>0</v>
      </c>
      <c r="M297" s="46" t="n">
        <f aca="false">S296+L297</f>
        <v>69</v>
      </c>
      <c r="N297" s="46" t="n">
        <f aca="false">SUMIFS(P$293:P296,$B$293:$B296,"&gt;"&amp;($B297-$D297))</f>
        <v>24</v>
      </c>
      <c r="O297" s="46" t="n">
        <f aca="false">M297+N297</f>
        <v>93</v>
      </c>
      <c r="P297" s="47" t="n">
        <f aca="false">IF(O297&lt;K297,ROUNDUP((K297-O297)/G297,0)*G297,0)</f>
        <v>48</v>
      </c>
      <c r="Q297" s="46" t="n">
        <f aca="false">MIN(M297,I297)</f>
        <v>39</v>
      </c>
      <c r="R297" s="46" t="n">
        <f aca="false">I297-Q297</f>
        <v>0</v>
      </c>
      <c r="S297" s="46" t="n">
        <f aca="false">M297-Q297</f>
        <v>30</v>
      </c>
      <c r="T297" s="46" t="n">
        <f aca="false">IF(R297&gt;0,1,0)</f>
        <v>0</v>
      </c>
      <c r="U297" s="32" t="n">
        <f aca="false">INDEX(Forecast!$AY$7:$AY$54,C297)</f>
        <v>2</v>
      </c>
      <c r="V297" s="33" t="n">
        <f aca="false">CHOOSE(U297,INDEX(Forecast_Walkforward!$D:$D,H297),INDEX(Forecast_Walkforward!$E:$E,H297),INDEX(Forecast_Walkforward!$F:$F,H297),INDEX(Forecast_Walkforward!$G:$G,H297))</f>
        <v>33</v>
      </c>
      <c r="W297" s="79" t="n">
        <f aca="false">INDEX(Forecast!$BA$7:$BA$54,C297)</f>
        <v>3.914720642318</v>
      </c>
      <c r="X297" s="33" t="n">
        <f aca="false">Z_Value*W297*SQRT(D297)</f>
        <v>11.1529218754095</v>
      </c>
      <c r="Y297" s="33" t="n">
        <f aca="false">V297*D297+X297</f>
        <v>110.15292187541</v>
      </c>
      <c r="Z297" s="33" t="n">
        <f aca="false">SQRT((2*V297*Weeks_Per_Year*F297)/(E297*Holding_Rate))</f>
        <v>219.687277738152</v>
      </c>
      <c r="AA297" s="46" t="n">
        <f aca="false">ROUNDUP(Z297/G297,0)*G297</f>
        <v>228</v>
      </c>
      <c r="AB297" s="46" t="n">
        <f aca="false">SUMIFS(AF$293:AF296,$B$293:$B296,$B297-$D297)</f>
        <v>0</v>
      </c>
      <c r="AC297" s="46" t="n">
        <f aca="false">AI296+AB297</f>
        <v>69</v>
      </c>
      <c r="AD297" s="46" t="n">
        <f aca="false">SUMIFS(AF$293:AF296,$B$293:$B296,"&gt;"&amp;($B297-$D297))</f>
        <v>0</v>
      </c>
      <c r="AE297" s="46" t="n">
        <f aca="false">AC297+AD297</f>
        <v>69</v>
      </c>
      <c r="AF297" s="47" t="n">
        <f aca="false">IF(AE297&lt;=Y297,AA297,0)</f>
        <v>228</v>
      </c>
      <c r="AG297" s="46" t="n">
        <f aca="false">MIN(AC297,I297)</f>
        <v>39</v>
      </c>
      <c r="AH297" s="46" t="n">
        <f aca="false">I297-AG297</f>
        <v>0</v>
      </c>
      <c r="AI297" s="46" t="n">
        <f aca="false">AC297-AG297</f>
        <v>30</v>
      </c>
      <c r="AJ297" s="46" t="n">
        <f aca="false">IF(AH297&gt;0,1,0)</f>
        <v>0</v>
      </c>
    </row>
    <row r="298" customFormat="false" ht="15" hidden="false" customHeight="false" outlineLevel="0" collapsed="false">
      <c r="A298" s="31" t="str">
        <f aca="false">Inputs!$B$55</f>
        <v>BTH-006</v>
      </c>
      <c r="B298" s="46" t="n">
        <f aca="false">B297+1</f>
        <v>94</v>
      </c>
      <c r="C298" s="46" t="n">
        <f aca="false">MATCH(A298,Inputs!$B$40:$B$87,0)</f>
        <v>16</v>
      </c>
      <c r="D298" s="32" t="n">
        <f aca="false">INDEX(Inputs!$F$40:$F$87,C298)</f>
        <v>3</v>
      </c>
      <c r="E298" s="78" t="n">
        <f aca="false">INDEX(Inputs!$H$40:$H$87,C298)</f>
        <v>16</v>
      </c>
      <c r="F298" s="78" t="n">
        <f aca="false">INDEX(Inputs!$G$40:$G$87,C298)</f>
        <v>45</v>
      </c>
      <c r="G298" s="32" t="n">
        <f aca="false">INDEX(Inputs!$I$40:$I$87,C298)</f>
        <v>12</v>
      </c>
      <c r="H298" s="46" t="n">
        <f aca="false">MATCH(A298,Demand_History!$C:$C,0)+B298-1</f>
        <v>1655</v>
      </c>
      <c r="I298" s="32" t="n">
        <f aca="false">INDEX(Forecast_Walkforward!$C:$C,H298)</f>
        <v>45</v>
      </c>
      <c r="J298" s="79" t="n">
        <f aca="false">INDEX(Forecast_Walkforward!$E:$E,H298)</f>
        <v>35.25</v>
      </c>
      <c r="K298" s="33" t="n">
        <f aca="false">Baseline_Weeks*J298</f>
        <v>141</v>
      </c>
      <c r="L298" s="46" t="n">
        <f aca="false">SUMIFS(P$293:P297,$B$293:$B297,$B298-$D298)</f>
        <v>0</v>
      </c>
      <c r="M298" s="46" t="n">
        <f aca="false">S297+L298</f>
        <v>30</v>
      </c>
      <c r="N298" s="46" t="n">
        <f aca="false">SUMIFS(P$293:P297,$B$293:$B297,"&gt;"&amp;($B298-$D298))</f>
        <v>72</v>
      </c>
      <c r="O298" s="46" t="n">
        <f aca="false">M298+N298</f>
        <v>102</v>
      </c>
      <c r="P298" s="47" t="n">
        <f aca="false">IF(O298&lt;K298,ROUNDUP((K298-O298)/G298,0)*G298,0)</f>
        <v>48</v>
      </c>
      <c r="Q298" s="46" t="n">
        <f aca="false">MIN(M298,I298)</f>
        <v>30</v>
      </c>
      <c r="R298" s="46" t="n">
        <f aca="false">I298-Q298</f>
        <v>15</v>
      </c>
      <c r="S298" s="46" t="n">
        <f aca="false">M298-Q298</f>
        <v>0</v>
      </c>
      <c r="T298" s="46" t="n">
        <f aca="false">IF(R298&gt;0,1,0)</f>
        <v>1</v>
      </c>
      <c r="U298" s="32" t="n">
        <f aca="false">INDEX(Forecast!$AY$7:$AY$54,C298)</f>
        <v>2</v>
      </c>
      <c r="V298" s="33" t="n">
        <f aca="false">CHOOSE(U298,INDEX(Forecast_Walkforward!$D:$D,H298),INDEX(Forecast_Walkforward!$E:$E,H298),INDEX(Forecast_Walkforward!$F:$F,H298),INDEX(Forecast_Walkforward!$G:$G,H298))</f>
        <v>35.25</v>
      </c>
      <c r="W298" s="79" t="n">
        <f aca="false">INDEX(Forecast!$BA$7:$BA$54,C298)</f>
        <v>3.914720642318</v>
      </c>
      <c r="X298" s="33" t="n">
        <f aca="false">Z_Value*W298*SQRT(D298)</f>
        <v>11.1529218754095</v>
      </c>
      <c r="Y298" s="33" t="n">
        <f aca="false">V298*D298+X298</f>
        <v>116.90292187541</v>
      </c>
      <c r="Z298" s="33" t="n">
        <f aca="false">SQRT((2*V298*Weeks_Per_Year*F298)/(E298*Holding_Rate))</f>
        <v>227.053132548309</v>
      </c>
      <c r="AA298" s="46" t="n">
        <f aca="false">ROUNDUP(Z298/G298,0)*G298</f>
        <v>228</v>
      </c>
      <c r="AB298" s="46" t="n">
        <f aca="false">SUMIFS(AF$293:AF297,$B$293:$B297,$B298-$D298)</f>
        <v>0</v>
      </c>
      <c r="AC298" s="46" t="n">
        <f aca="false">AI297+AB298</f>
        <v>30</v>
      </c>
      <c r="AD298" s="46" t="n">
        <f aca="false">SUMIFS(AF$293:AF297,$B$293:$B297,"&gt;"&amp;($B298-$D298))</f>
        <v>228</v>
      </c>
      <c r="AE298" s="46" t="n">
        <f aca="false">AC298+AD298</f>
        <v>258</v>
      </c>
      <c r="AF298" s="47" t="n">
        <f aca="false">IF(AE298&lt;=Y298,AA298,0)</f>
        <v>0</v>
      </c>
      <c r="AG298" s="46" t="n">
        <f aca="false">MIN(AC298,I298)</f>
        <v>30</v>
      </c>
      <c r="AH298" s="46" t="n">
        <f aca="false">I298-AG298</f>
        <v>15</v>
      </c>
      <c r="AI298" s="46" t="n">
        <f aca="false">AC298-AG298</f>
        <v>0</v>
      </c>
      <c r="AJ298" s="46" t="n">
        <f aca="false">IF(AH298&gt;0,1,0)</f>
        <v>1</v>
      </c>
    </row>
    <row r="299" customFormat="false" ht="15" hidden="false" customHeight="false" outlineLevel="0" collapsed="false">
      <c r="A299" s="31" t="str">
        <f aca="false">Inputs!$B$55</f>
        <v>BTH-006</v>
      </c>
      <c r="B299" s="46" t="n">
        <f aca="false">B298+1</f>
        <v>95</v>
      </c>
      <c r="C299" s="46" t="n">
        <f aca="false">MATCH(A299,Inputs!$B$40:$B$87,0)</f>
        <v>16</v>
      </c>
      <c r="D299" s="32" t="n">
        <f aca="false">INDEX(Inputs!$F$40:$F$87,C299)</f>
        <v>3</v>
      </c>
      <c r="E299" s="78" t="n">
        <f aca="false">INDEX(Inputs!$H$40:$H$87,C299)</f>
        <v>16</v>
      </c>
      <c r="F299" s="78" t="n">
        <f aca="false">INDEX(Inputs!$G$40:$G$87,C299)</f>
        <v>45</v>
      </c>
      <c r="G299" s="32" t="n">
        <f aca="false">INDEX(Inputs!$I$40:$I$87,C299)</f>
        <v>12</v>
      </c>
      <c r="H299" s="46" t="n">
        <f aca="false">MATCH(A299,Demand_History!$C:$C,0)+B299-1</f>
        <v>1656</v>
      </c>
      <c r="I299" s="32" t="n">
        <f aca="false">INDEX(Forecast_Walkforward!$C:$C,H299)</f>
        <v>38</v>
      </c>
      <c r="J299" s="79" t="n">
        <f aca="false">INDEX(Forecast_Walkforward!$E:$E,H299)</f>
        <v>38</v>
      </c>
      <c r="K299" s="33" t="n">
        <f aca="false">Baseline_Weeks*J299</f>
        <v>152</v>
      </c>
      <c r="L299" s="46" t="n">
        <f aca="false">SUMIFS(P$293:P298,$B$293:$B298,$B299-$D299)</f>
        <v>24</v>
      </c>
      <c r="M299" s="46" t="n">
        <f aca="false">S298+L299</f>
        <v>24</v>
      </c>
      <c r="N299" s="46" t="n">
        <f aca="false">SUMIFS(P$293:P298,$B$293:$B298,"&gt;"&amp;($B299-$D299))</f>
        <v>96</v>
      </c>
      <c r="O299" s="46" t="n">
        <f aca="false">M299+N299</f>
        <v>120</v>
      </c>
      <c r="P299" s="47" t="n">
        <f aca="false">IF(O299&lt;K299,ROUNDUP((K299-O299)/G299,0)*G299,0)</f>
        <v>36</v>
      </c>
      <c r="Q299" s="46" t="n">
        <f aca="false">MIN(M299,I299)</f>
        <v>24</v>
      </c>
      <c r="R299" s="46" t="n">
        <f aca="false">I299-Q299</f>
        <v>14</v>
      </c>
      <c r="S299" s="46" t="n">
        <f aca="false">M299-Q299</f>
        <v>0</v>
      </c>
      <c r="T299" s="46" t="n">
        <f aca="false">IF(R299&gt;0,1,0)</f>
        <v>1</v>
      </c>
      <c r="U299" s="32" t="n">
        <f aca="false">INDEX(Forecast!$AY$7:$AY$54,C299)</f>
        <v>2</v>
      </c>
      <c r="V299" s="33" t="n">
        <f aca="false">CHOOSE(U299,INDEX(Forecast_Walkforward!$D:$D,H299),INDEX(Forecast_Walkforward!$E:$E,H299),INDEX(Forecast_Walkforward!$F:$F,H299),INDEX(Forecast_Walkforward!$G:$G,H299))</f>
        <v>38</v>
      </c>
      <c r="W299" s="79" t="n">
        <f aca="false">INDEX(Forecast!$BA$7:$BA$54,C299)</f>
        <v>3.914720642318</v>
      </c>
      <c r="X299" s="33" t="n">
        <f aca="false">Z_Value*W299*SQRT(D299)</f>
        <v>11.1529218754095</v>
      </c>
      <c r="Y299" s="33" t="n">
        <f aca="false">V299*D299+X299</f>
        <v>125.15292187541</v>
      </c>
      <c r="Z299" s="33" t="n">
        <f aca="false">SQRT((2*V299*Weeks_Per_Year*F299)/(E299*Holding_Rate))</f>
        <v>235.743504682526</v>
      </c>
      <c r="AA299" s="46" t="n">
        <f aca="false">ROUNDUP(Z299/G299,0)*G299</f>
        <v>240</v>
      </c>
      <c r="AB299" s="46" t="n">
        <f aca="false">SUMIFS(AF$293:AF298,$B$293:$B298,$B299-$D299)</f>
        <v>0</v>
      </c>
      <c r="AC299" s="46" t="n">
        <f aca="false">AI298+AB299</f>
        <v>0</v>
      </c>
      <c r="AD299" s="46" t="n">
        <f aca="false">SUMIFS(AF$293:AF298,$B$293:$B298,"&gt;"&amp;($B299-$D299))</f>
        <v>228</v>
      </c>
      <c r="AE299" s="46" t="n">
        <f aca="false">AC299+AD299</f>
        <v>228</v>
      </c>
      <c r="AF299" s="47" t="n">
        <f aca="false">IF(AE299&lt;=Y299,AA299,0)</f>
        <v>0</v>
      </c>
      <c r="AG299" s="46" t="n">
        <f aca="false">MIN(AC299,I299)</f>
        <v>0</v>
      </c>
      <c r="AH299" s="46" t="n">
        <f aca="false">I299-AG299</f>
        <v>38</v>
      </c>
      <c r="AI299" s="46" t="n">
        <f aca="false">AC299-AG299</f>
        <v>0</v>
      </c>
      <c r="AJ299" s="46" t="n">
        <f aca="false">IF(AH299&gt;0,1,0)</f>
        <v>1</v>
      </c>
    </row>
    <row r="300" customFormat="false" ht="15" hidden="false" customHeight="false" outlineLevel="0" collapsed="false">
      <c r="A300" s="31" t="str">
        <f aca="false">Inputs!$B$55</f>
        <v>BTH-006</v>
      </c>
      <c r="B300" s="46" t="n">
        <f aca="false">B299+1</f>
        <v>96</v>
      </c>
      <c r="C300" s="46" t="n">
        <f aca="false">MATCH(A300,Inputs!$B$40:$B$87,0)</f>
        <v>16</v>
      </c>
      <c r="D300" s="32" t="n">
        <f aca="false">INDEX(Inputs!$F$40:$F$87,C300)</f>
        <v>3</v>
      </c>
      <c r="E300" s="78" t="n">
        <f aca="false">INDEX(Inputs!$H$40:$H$87,C300)</f>
        <v>16</v>
      </c>
      <c r="F300" s="78" t="n">
        <f aca="false">INDEX(Inputs!$G$40:$G$87,C300)</f>
        <v>45</v>
      </c>
      <c r="G300" s="32" t="n">
        <f aca="false">INDEX(Inputs!$I$40:$I$87,C300)</f>
        <v>12</v>
      </c>
      <c r="H300" s="46" t="n">
        <f aca="false">MATCH(A300,Demand_History!$C:$C,0)+B300-1</f>
        <v>1657</v>
      </c>
      <c r="I300" s="32" t="n">
        <f aca="false">INDEX(Forecast_Walkforward!$C:$C,H300)</f>
        <v>33</v>
      </c>
      <c r="J300" s="79" t="n">
        <f aca="false">INDEX(Forecast_Walkforward!$E:$E,H300)</f>
        <v>40</v>
      </c>
      <c r="K300" s="33" t="n">
        <f aca="false">Baseline_Weeks*J300</f>
        <v>160</v>
      </c>
      <c r="L300" s="46" t="n">
        <f aca="false">SUMIFS(P$293:P299,$B$293:$B299,$B300-$D300)</f>
        <v>48</v>
      </c>
      <c r="M300" s="46" t="n">
        <f aca="false">S299+L300</f>
        <v>48</v>
      </c>
      <c r="N300" s="46" t="n">
        <f aca="false">SUMIFS(P$293:P299,$B$293:$B299,"&gt;"&amp;($B300-$D300))</f>
        <v>84</v>
      </c>
      <c r="O300" s="46" t="n">
        <f aca="false">M300+N300</f>
        <v>132</v>
      </c>
      <c r="P300" s="47" t="n">
        <f aca="false">IF(O300&lt;K300,ROUNDUP((K300-O300)/G300,0)*G300,0)</f>
        <v>36</v>
      </c>
      <c r="Q300" s="46" t="n">
        <f aca="false">MIN(M300,I300)</f>
        <v>33</v>
      </c>
      <c r="R300" s="46" t="n">
        <f aca="false">I300-Q300</f>
        <v>0</v>
      </c>
      <c r="S300" s="46" t="n">
        <f aca="false">M300-Q300</f>
        <v>15</v>
      </c>
      <c r="T300" s="46" t="n">
        <f aca="false">IF(R300&gt;0,1,0)</f>
        <v>0</v>
      </c>
      <c r="U300" s="32" t="n">
        <f aca="false">INDEX(Forecast!$AY$7:$AY$54,C300)</f>
        <v>2</v>
      </c>
      <c r="V300" s="33" t="n">
        <f aca="false">CHOOSE(U300,INDEX(Forecast_Walkforward!$D:$D,H300),INDEX(Forecast_Walkforward!$E:$E,H300),INDEX(Forecast_Walkforward!$F:$F,H300),INDEX(Forecast_Walkforward!$G:$G,H300))</f>
        <v>40</v>
      </c>
      <c r="W300" s="79" t="n">
        <f aca="false">INDEX(Forecast!$BA$7:$BA$54,C300)</f>
        <v>3.914720642318</v>
      </c>
      <c r="X300" s="33" t="n">
        <f aca="false">Z_Value*W300*SQRT(D300)</f>
        <v>11.1529218754095</v>
      </c>
      <c r="Y300" s="33" t="n">
        <f aca="false">V300*D300+X300</f>
        <v>131.15292187541</v>
      </c>
      <c r="Z300" s="33" t="n">
        <f aca="false">SQRT((2*V300*Weeks_Per_Year*F300)/(E300*Holding_Rate))</f>
        <v>241.867732448957</v>
      </c>
      <c r="AA300" s="46" t="n">
        <f aca="false">ROUNDUP(Z300/G300,0)*G300</f>
        <v>252</v>
      </c>
      <c r="AB300" s="46" t="n">
        <f aca="false">SUMIFS(AF$293:AF299,$B$293:$B299,$B300-$D300)</f>
        <v>228</v>
      </c>
      <c r="AC300" s="46" t="n">
        <f aca="false">AI299+AB300</f>
        <v>228</v>
      </c>
      <c r="AD300" s="46" t="n">
        <f aca="false">SUMIFS(AF$293:AF299,$B$293:$B299,"&gt;"&amp;($B300-$D300))</f>
        <v>0</v>
      </c>
      <c r="AE300" s="46" t="n">
        <f aca="false">AC300+AD300</f>
        <v>228</v>
      </c>
      <c r="AF300" s="47" t="n">
        <f aca="false">IF(AE300&lt;=Y300,AA300,0)</f>
        <v>0</v>
      </c>
      <c r="AG300" s="46" t="n">
        <f aca="false">MIN(AC300,I300)</f>
        <v>33</v>
      </c>
      <c r="AH300" s="46" t="n">
        <f aca="false">I300-AG300</f>
        <v>0</v>
      </c>
      <c r="AI300" s="46" t="n">
        <f aca="false">AC300-AG300</f>
        <v>195</v>
      </c>
      <c r="AJ300" s="46" t="n">
        <f aca="false">IF(AH300&gt;0,1,0)</f>
        <v>0</v>
      </c>
    </row>
    <row r="301" customFormat="false" ht="15" hidden="false" customHeight="false" outlineLevel="0" collapsed="false">
      <c r="A301" s="31" t="str">
        <f aca="false">Inputs!$B$55</f>
        <v>BTH-006</v>
      </c>
      <c r="B301" s="46" t="n">
        <f aca="false">B300+1</f>
        <v>97</v>
      </c>
      <c r="C301" s="46" t="n">
        <f aca="false">MATCH(A301,Inputs!$B$40:$B$87,0)</f>
        <v>16</v>
      </c>
      <c r="D301" s="32" t="n">
        <f aca="false">INDEX(Inputs!$F$40:$F$87,C301)</f>
        <v>3</v>
      </c>
      <c r="E301" s="78" t="n">
        <f aca="false">INDEX(Inputs!$H$40:$H$87,C301)</f>
        <v>16</v>
      </c>
      <c r="F301" s="78" t="n">
        <f aca="false">INDEX(Inputs!$G$40:$G$87,C301)</f>
        <v>45</v>
      </c>
      <c r="G301" s="32" t="n">
        <f aca="false">INDEX(Inputs!$I$40:$I$87,C301)</f>
        <v>12</v>
      </c>
      <c r="H301" s="46" t="n">
        <f aca="false">MATCH(A301,Demand_History!$C:$C,0)+B301-1</f>
        <v>1658</v>
      </c>
      <c r="I301" s="32" t="n">
        <f aca="false">INDEX(Forecast_Walkforward!$C:$C,H301)</f>
        <v>32</v>
      </c>
      <c r="J301" s="79" t="n">
        <f aca="false">INDEX(Forecast_Walkforward!$E:$E,H301)</f>
        <v>38.75</v>
      </c>
      <c r="K301" s="33" t="n">
        <f aca="false">Baseline_Weeks*J301</f>
        <v>155</v>
      </c>
      <c r="L301" s="46" t="n">
        <f aca="false">SUMIFS(P$293:P300,$B$293:$B300,$B301-$D301)</f>
        <v>48</v>
      </c>
      <c r="M301" s="46" t="n">
        <f aca="false">S300+L301</f>
        <v>63</v>
      </c>
      <c r="N301" s="46" t="n">
        <f aca="false">SUMIFS(P$293:P300,$B$293:$B300,"&gt;"&amp;($B301-$D301))</f>
        <v>72</v>
      </c>
      <c r="O301" s="46" t="n">
        <f aca="false">M301+N301</f>
        <v>135</v>
      </c>
      <c r="P301" s="47" t="n">
        <f aca="false">IF(O301&lt;K301,ROUNDUP((K301-O301)/G301,0)*G301,0)</f>
        <v>24</v>
      </c>
      <c r="Q301" s="46" t="n">
        <f aca="false">MIN(M301,I301)</f>
        <v>32</v>
      </c>
      <c r="R301" s="46" t="n">
        <f aca="false">I301-Q301</f>
        <v>0</v>
      </c>
      <c r="S301" s="46" t="n">
        <f aca="false">M301-Q301</f>
        <v>31</v>
      </c>
      <c r="T301" s="46" t="n">
        <f aca="false">IF(R301&gt;0,1,0)</f>
        <v>0</v>
      </c>
      <c r="U301" s="32" t="n">
        <f aca="false">INDEX(Forecast!$AY$7:$AY$54,C301)</f>
        <v>2</v>
      </c>
      <c r="V301" s="33" t="n">
        <f aca="false">CHOOSE(U301,INDEX(Forecast_Walkforward!$D:$D,H301),INDEX(Forecast_Walkforward!$E:$E,H301),INDEX(Forecast_Walkforward!$F:$F,H301),INDEX(Forecast_Walkforward!$G:$G,H301))</f>
        <v>38.75</v>
      </c>
      <c r="W301" s="79" t="n">
        <f aca="false">INDEX(Forecast!$BA$7:$BA$54,C301)</f>
        <v>3.914720642318</v>
      </c>
      <c r="X301" s="33" t="n">
        <f aca="false">Z_Value*W301*SQRT(D301)</f>
        <v>11.1529218754095</v>
      </c>
      <c r="Y301" s="33" t="n">
        <f aca="false">V301*D301+X301</f>
        <v>127.40292187541</v>
      </c>
      <c r="Z301" s="33" t="n">
        <f aca="false">SQRT((2*V301*Weeks_Per_Year*F301)/(E301*Holding_Rate))</f>
        <v>238.058553721558</v>
      </c>
      <c r="AA301" s="46" t="n">
        <f aca="false">ROUNDUP(Z301/G301,0)*G301</f>
        <v>240</v>
      </c>
      <c r="AB301" s="46" t="n">
        <f aca="false">SUMIFS(AF$293:AF300,$B$293:$B300,$B301-$D301)</f>
        <v>0</v>
      </c>
      <c r="AC301" s="46" t="n">
        <f aca="false">AI300+AB301</f>
        <v>195</v>
      </c>
      <c r="AD301" s="46" t="n">
        <f aca="false">SUMIFS(AF$293:AF300,$B$293:$B300,"&gt;"&amp;($B301-$D301))</f>
        <v>0</v>
      </c>
      <c r="AE301" s="46" t="n">
        <f aca="false">AC301+AD301</f>
        <v>195</v>
      </c>
      <c r="AF301" s="47" t="n">
        <f aca="false">IF(AE301&lt;=Y301,AA301,0)</f>
        <v>0</v>
      </c>
      <c r="AG301" s="46" t="n">
        <f aca="false">MIN(AC301,I301)</f>
        <v>32</v>
      </c>
      <c r="AH301" s="46" t="n">
        <f aca="false">I301-AG301</f>
        <v>0</v>
      </c>
      <c r="AI301" s="46" t="n">
        <f aca="false">AC301-AG301</f>
        <v>163</v>
      </c>
      <c r="AJ301" s="46" t="n">
        <f aca="false">IF(AH301&gt;0,1,0)</f>
        <v>0</v>
      </c>
    </row>
    <row r="302" customFormat="false" ht="15" hidden="false" customHeight="false" outlineLevel="0" collapsed="false">
      <c r="A302" s="31" t="str">
        <f aca="false">Inputs!$B$55</f>
        <v>BTH-006</v>
      </c>
      <c r="B302" s="46" t="n">
        <f aca="false">B301+1</f>
        <v>98</v>
      </c>
      <c r="C302" s="46" t="n">
        <f aca="false">MATCH(A302,Inputs!$B$40:$B$87,0)</f>
        <v>16</v>
      </c>
      <c r="D302" s="32" t="n">
        <f aca="false">INDEX(Inputs!$F$40:$F$87,C302)</f>
        <v>3</v>
      </c>
      <c r="E302" s="78" t="n">
        <f aca="false">INDEX(Inputs!$H$40:$H$87,C302)</f>
        <v>16</v>
      </c>
      <c r="F302" s="78" t="n">
        <f aca="false">INDEX(Inputs!$G$40:$G$87,C302)</f>
        <v>45</v>
      </c>
      <c r="G302" s="32" t="n">
        <f aca="false">INDEX(Inputs!$I$40:$I$87,C302)</f>
        <v>12</v>
      </c>
      <c r="H302" s="46" t="n">
        <f aca="false">MATCH(A302,Demand_History!$C:$C,0)+B302-1</f>
        <v>1659</v>
      </c>
      <c r="I302" s="32" t="n">
        <f aca="false">INDEX(Forecast_Walkforward!$C:$C,H302)</f>
        <v>22</v>
      </c>
      <c r="J302" s="79" t="n">
        <f aca="false">INDEX(Forecast_Walkforward!$E:$E,H302)</f>
        <v>37</v>
      </c>
      <c r="K302" s="33" t="n">
        <f aca="false">Baseline_Weeks*J302</f>
        <v>148</v>
      </c>
      <c r="L302" s="46" t="n">
        <f aca="false">SUMIFS(P$293:P301,$B$293:$B301,$B302-$D302)</f>
        <v>36</v>
      </c>
      <c r="M302" s="46" t="n">
        <f aca="false">S301+L302</f>
        <v>67</v>
      </c>
      <c r="N302" s="46" t="n">
        <f aca="false">SUMIFS(P$293:P301,$B$293:$B301,"&gt;"&amp;($B302-$D302))</f>
        <v>60</v>
      </c>
      <c r="O302" s="46" t="n">
        <f aca="false">M302+N302</f>
        <v>127</v>
      </c>
      <c r="P302" s="47" t="n">
        <f aca="false">IF(O302&lt;K302,ROUNDUP((K302-O302)/G302,0)*G302,0)</f>
        <v>24</v>
      </c>
      <c r="Q302" s="46" t="n">
        <f aca="false">MIN(M302,I302)</f>
        <v>22</v>
      </c>
      <c r="R302" s="46" t="n">
        <f aca="false">I302-Q302</f>
        <v>0</v>
      </c>
      <c r="S302" s="46" t="n">
        <f aca="false">M302-Q302</f>
        <v>45</v>
      </c>
      <c r="T302" s="46" t="n">
        <f aca="false">IF(R302&gt;0,1,0)</f>
        <v>0</v>
      </c>
      <c r="U302" s="32" t="n">
        <f aca="false">INDEX(Forecast!$AY$7:$AY$54,C302)</f>
        <v>2</v>
      </c>
      <c r="V302" s="33" t="n">
        <f aca="false">CHOOSE(U302,INDEX(Forecast_Walkforward!$D:$D,H302),INDEX(Forecast_Walkforward!$E:$E,H302),INDEX(Forecast_Walkforward!$F:$F,H302),INDEX(Forecast_Walkforward!$G:$G,H302))</f>
        <v>37</v>
      </c>
      <c r="W302" s="79" t="n">
        <f aca="false">INDEX(Forecast!$BA$7:$BA$54,C302)</f>
        <v>3.914720642318</v>
      </c>
      <c r="X302" s="33" t="n">
        <f aca="false">Z_Value*W302*SQRT(D302)</f>
        <v>11.1529218754095</v>
      </c>
      <c r="Y302" s="33" t="n">
        <f aca="false">V302*D302+X302</f>
        <v>122.15292187541</v>
      </c>
      <c r="Z302" s="33" t="n">
        <f aca="false">SQRT((2*V302*Weeks_Per_Year*F302)/(E302*Holding_Rate))</f>
        <v>232.620936289062</v>
      </c>
      <c r="AA302" s="46" t="n">
        <f aca="false">ROUNDUP(Z302/G302,0)*G302</f>
        <v>240</v>
      </c>
      <c r="AB302" s="46" t="n">
        <f aca="false">SUMIFS(AF$293:AF301,$B$293:$B301,$B302-$D302)</f>
        <v>0</v>
      </c>
      <c r="AC302" s="46" t="n">
        <f aca="false">AI301+AB302</f>
        <v>163</v>
      </c>
      <c r="AD302" s="46" t="n">
        <f aca="false">SUMIFS(AF$293:AF301,$B$293:$B301,"&gt;"&amp;($B302-$D302))</f>
        <v>0</v>
      </c>
      <c r="AE302" s="46" t="n">
        <f aca="false">AC302+AD302</f>
        <v>163</v>
      </c>
      <c r="AF302" s="47" t="n">
        <f aca="false">IF(AE302&lt;=Y302,AA302,0)</f>
        <v>0</v>
      </c>
      <c r="AG302" s="46" t="n">
        <f aca="false">MIN(AC302,I302)</f>
        <v>22</v>
      </c>
      <c r="AH302" s="46" t="n">
        <f aca="false">I302-AG302</f>
        <v>0</v>
      </c>
      <c r="AI302" s="46" t="n">
        <f aca="false">AC302-AG302</f>
        <v>141</v>
      </c>
      <c r="AJ302" s="46" t="n">
        <f aca="false">IF(AH302&gt;0,1,0)</f>
        <v>0</v>
      </c>
    </row>
    <row r="303" customFormat="false" ht="15" hidden="false" customHeight="false" outlineLevel="0" collapsed="false">
      <c r="A303" s="31" t="str">
        <f aca="false">Inputs!$B$55</f>
        <v>BTH-006</v>
      </c>
      <c r="B303" s="46" t="n">
        <f aca="false">B302+1</f>
        <v>99</v>
      </c>
      <c r="C303" s="46" t="n">
        <f aca="false">MATCH(A303,Inputs!$B$40:$B$87,0)</f>
        <v>16</v>
      </c>
      <c r="D303" s="32" t="n">
        <f aca="false">INDEX(Inputs!$F$40:$F$87,C303)</f>
        <v>3</v>
      </c>
      <c r="E303" s="78" t="n">
        <f aca="false">INDEX(Inputs!$H$40:$H$87,C303)</f>
        <v>16</v>
      </c>
      <c r="F303" s="78" t="n">
        <f aca="false">INDEX(Inputs!$G$40:$G$87,C303)</f>
        <v>45</v>
      </c>
      <c r="G303" s="32" t="n">
        <f aca="false">INDEX(Inputs!$I$40:$I$87,C303)</f>
        <v>12</v>
      </c>
      <c r="H303" s="46" t="n">
        <f aca="false">MATCH(A303,Demand_History!$C:$C,0)+B303-1</f>
        <v>1660</v>
      </c>
      <c r="I303" s="32" t="n">
        <f aca="false">INDEX(Forecast_Walkforward!$C:$C,H303)</f>
        <v>33</v>
      </c>
      <c r="J303" s="79" t="n">
        <f aca="false">INDEX(Forecast_Walkforward!$E:$E,H303)</f>
        <v>31.25</v>
      </c>
      <c r="K303" s="33" t="n">
        <f aca="false">Baseline_Weeks*J303</f>
        <v>125</v>
      </c>
      <c r="L303" s="46" t="n">
        <f aca="false">SUMIFS(P$293:P302,$B$293:$B302,$B303-$D303)</f>
        <v>36</v>
      </c>
      <c r="M303" s="46" t="n">
        <f aca="false">S302+L303</f>
        <v>81</v>
      </c>
      <c r="N303" s="46" t="n">
        <f aca="false">SUMIFS(P$293:P302,$B$293:$B302,"&gt;"&amp;($B303-$D303))</f>
        <v>48</v>
      </c>
      <c r="O303" s="46" t="n">
        <f aca="false">M303+N303</f>
        <v>129</v>
      </c>
      <c r="P303" s="47" t="n">
        <f aca="false">IF(O303&lt;K303,ROUNDUP((K303-O303)/G303,0)*G303,0)</f>
        <v>0</v>
      </c>
      <c r="Q303" s="46" t="n">
        <f aca="false">MIN(M303,I303)</f>
        <v>33</v>
      </c>
      <c r="R303" s="46" t="n">
        <f aca="false">I303-Q303</f>
        <v>0</v>
      </c>
      <c r="S303" s="46" t="n">
        <f aca="false">M303-Q303</f>
        <v>48</v>
      </c>
      <c r="T303" s="46" t="n">
        <f aca="false">IF(R303&gt;0,1,0)</f>
        <v>0</v>
      </c>
      <c r="U303" s="32" t="n">
        <f aca="false">INDEX(Forecast!$AY$7:$AY$54,C303)</f>
        <v>2</v>
      </c>
      <c r="V303" s="33" t="n">
        <f aca="false">CHOOSE(U303,INDEX(Forecast_Walkforward!$D:$D,H303),INDEX(Forecast_Walkforward!$E:$E,H303),INDEX(Forecast_Walkforward!$F:$F,H303),INDEX(Forecast_Walkforward!$G:$G,H303))</f>
        <v>31.25</v>
      </c>
      <c r="W303" s="79" t="n">
        <f aca="false">INDEX(Forecast!$BA$7:$BA$54,C303)</f>
        <v>3.914720642318</v>
      </c>
      <c r="X303" s="33" t="n">
        <f aca="false">Z_Value*W303*SQRT(D303)</f>
        <v>11.1529218754095</v>
      </c>
      <c r="Y303" s="33" t="n">
        <f aca="false">V303*D303+X303</f>
        <v>104.90292187541</v>
      </c>
      <c r="Z303" s="33" t="n">
        <f aca="false">SQRT((2*V303*Weeks_Per_Year*F303)/(E303*Holding_Rate))</f>
        <v>213.782892206088</v>
      </c>
      <c r="AA303" s="46" t="n">
        <f aca="false">ROUNDUP(Z303/G303,0)*G303</f>
        <v>216</v>
      </c>
      <c r="AB303" s="46" t="n">
        <f aca="false">SUMIFS(AF$293:AF302,$B$293:$B302,$B303-$D303)</f>
        <v>0</v>
      </c>
      <c r="AC303" s="46" t="n">
        <f aca="false">AI302+AB303</f>
        <v>141</v>
      </c>
      <c r="AD303" s="46" t="n">
        <f aca="false">SUMIFS(AF$293:AF302,$B$293:$B302,"&gt;"&amp;($B303-$D303))</f>
        <v>0</v>
      </c>
      <c r="AE303" s="46" t="n">
        <f aca="false">AC303+AD303</f>
        <v>141</v>
      </c>
      <c r="AF303" s="47" t="n">
        <f aca="false">IF(AE303&lt;=Y303,AA303,0)</f>
        <v>0</v>
      </c>
      <c r="AG303" s="46" t="n">
        <f aca="false">MIN(AC303,I303)</f>
        <v>33</v>
      </c>
      <c r="AH303" s="46" t="n">
        <f aca="false">I303-AG303</f>
        <v>0</v>
      </c>
      <c r="AI303" s="46" t="n">
        <f aca="false">AC303-AG303</f>
        <v>108</v>
      </c>
      <c r="AJ303" s="46" t="n">
        <f aca="false">IF(AH303&gt;0,1,0)</f>
        <v>0</v>
      </c>
    </row>
    <row r="304" customFormat="false" ht="15" hidden="false" customHeight="false" outlineLevel="0" collapsed="false">
      <c r="A304" s="31" t="str">
        <f aca="false">Inputs!$B$55</f>
        <v>BTH-006</v>
      </c>
      <c r="B304" s="46" t="n">
        <f aca="false">B303+1</f>
        <v>100</v>
      </c>
      <c r="C304" s="46" t="n">
        <f aca="false">MATCH(A304,Inputs!$B$40:$B$87,0)</f>
        <v>16</v>
      </c>
      <c r="D304" s="32" t="n">
        <f aca="false">INDEX(Inputs!$F$40:$F$87,C304)</f>
        <v>3</v>
      </c>
      <c r="E304" s="78" t="n">
        <f aca="false">INDEX(Inputs!$H$40:$H$87,C304)</f>
        <v>16</v>
      </c>
      <c r="F304" s="78" t="n">
        <f aca="false">INDEX(Inputs!$G$40:$G$87,C304)</f>
        <v>45</v>
      </c>
      <c r="G304" s="32" t="n">
        <f aca="false">INDEX(Inputs!$I$40:$I$87,C304)</f>
        <v>12</v>
      </c>
      <c r="H304" s="46" t="n">
        <f aca="false">MATCH(A304,Demand_History!$C:$C,0)+B304-1</f>
        <v>1661</v>
      </c>
      <c r="I304" s="32" t="n">
        <f aca="false">INDEX(Forecast_Walkforward!$C:$C,H304)</f>
        <v>34</v>
      </c>
      <c r="J304" s="79" t="n">
        <f aca="false">INDEX(Forecast_Walkforward!$E:$E,H304)</f>
        <v>30</v>
      </c>
      <c r="K304" s="33" t="n">
        <f aca="false">Baseline_Weeks*J304</f>
        <v>120</v>
      </c>
      <c r="L304" s="46" t="n">
        <f aca="false">SUMIFS(P$293:P303,$B$293:$B303,$B304-$D304)</f>
        <v>24</v>
      </c>
      <c r="M304" s="46" t="n">
        <f aca="false">S303+L304</f>
        <v>72</v>
      </c>
      <c r="N304" s="46" t="n">
        <f aca="false">SUMIFS(P$293:P303,$B$293:$B303,"&gt;"&amp;($B304-$D304))</f>
        <v>24</v>
      </c>
      <c r="O304" s="46" t="n">
        <f aca="false">M304+N304</f>
        <v>96</v>
      </c>
      <c r="P304" s="47" t="n">
        <f aca="false">IF(O304&lt;K304,ROUNDUP((K304-O304)/G304,0)*G304,0)</f>
        <v>24</v>
      </c>
      <c r="Q304" s="46" t="n">
        <f aca="false">MIN(M304,I304)</f>
        <v>34</v>
      </c>
      <c r="R304" s="46" t="n">
        <f aca="false">I304-Q304</f>
        <v>0</v>
      </c>
      <c r="S304" s="46" t="n">
        <f aca="false">M304-Q304</f>
        <v>38</v>
      </c>
      <c r="T304" s="46" t="n">
        <f aca="false">IF(R304&gt;0,1,0)</f>
        <v>0</v>
      </c>
      <c r="U304" s="32" t="n">
        <f aca="false">INDEX(Forecast!$AY$7:$AY$54,C304)</f>
        <v>2</v>
      </c>
      <c r="V304" s="33" t="n">
        <f aca="false">CHOOSE(U304,INDEX(Forecast_Walkforward!$D:$D,H304),INDEX(Forecast_Walkforward!$E:$E,H304),INDEX(Forecast_Walkforward!$F:$F,H304),INDEX(Forecast_Walkforward!$G:$G,H304))</f>
        <v>30</v>
      </c>
      <c r="W304" s="79" t="n">
        <f aca="false">INDEX(Forecast!$BA$7:$BA$54,C304)</f>
        <v>3.914720642318</v>
      </c>
      <c r="X304" s="33" t="n">
        <f aca="false">Z_Value*W304*SQRT(D304)</f>
        <v>11.1529218754095</v>
      </c>
      <c r="Y304" s="33" t="n">
        <f aca="false">V304*D304+X304</f>
        <v>101.15292187541</v>
      </c>
      <c r="Z304" s="33" t="n">
        <f aca="false">SQRT((2*V304*Weeks_Per_Year*F304)/(E304*Holding_Rate))</f>
        <v>209.463600656534</v>
      </c>
      <c r="AA304" s="46" t="n">
        <f aca="false">ROUNDUP(Z304/G304,0)*G304</f>
        <v>216</v>
      </c>
      <c r="AB304" s="46" t="n">
        <f aca="false">SUMIFS(AF$293:AF303,$B$293:$B303,$B304-$D304)</f>
        <v>0</v>
      </c>
      <c r="AC304" s="46" t="n">
        <f aca="false">AI303+AB304</f>
        <v>108</v>
      </c>
      <c r="AD304" s="46" t="n">
        <f aca="false">SUMIFS(AF$293:AF303,$B$293:$B303,"&gt;"&amp;($B304-$D304))</f>
        <v>0</v>
      </c>
      <c r="AE304" s="46" t="n">
        <f aca="false">AC304+AD304</f>
        <v>108</v>
      </c>
      <c r="AF304" s="47" t="n">
        <f aca="false">IF(AE304&lt;=Y304,AA304,0)</f>
        <v>0</v>
      </c>
      <c r="AG304" s="46" t="n">
        <f aca="false">MIN(AC304,I304)</f>
        <v>34</v>
      </c>
      <c r="AH304" s="46" t="n">
        <f aca="false">I304-AG304</f>
        <v>0</v>
      </c>
      <c r="AI304" s="46" t="n">
        <f aca="false">AC304-AG304</f>
        <v>74</v>
      </c>
      <c r="AJ304" s="46" t="n">
        <f aca="false">IF(AH304&gt;0,1,0)</f>
        <v>0</v>
      </c>
    </row>
    <row r="305" customFormat="false" ht="15" hidden="false" customHeight="false" outlineLevel="0" collapsed="false">
      <c r="A305" s="31" t="str">
        <f aca="false">Inputs!$B$55</f>
        <v>BTH-006</v>
      </c>
      <c r="B305" s="46" t="n">
        <f aca="false">B304+1</f>
        <v>101</v>
      </c>
      <c r="C305" s="46" t="n">
        <f aca="false">MATCH(A305,Inputs!$B$40:$B$87,0)</f>
        <v>16</v>
      </c>
      <c r="D305" s="32" t="n">
        <f aca="false">INDEX(Inputs!$F$40:$F$87,C305)</f>
        <v>3</v>
      </c>
      <c r="E305" s="78" t="n">
        <f aca="false">INDEX(Inputs!$H$40:$H$87,C305)</f>
        <v>16</v>
      </c>
      <c r="F305" s="78" t="n">
        <f aca="false">INDEX(Inputs!$G$40:$G$87,C305)</f>
        <v>45</v>
      </c>
      <c r="G305" s="32" t="n">
        <f aca="false">INDEX(Inputs!$I$40:$I$87,C305)</f>
        <v>12</v>
      </c>
      <c r="H305" s="46" t="n">
        <f aca="false">MATCH(A305,Demand_History!$C:$C,0)+B305-1</f>
        <v>1662</v>
      </c>
      <c r="I305" s="32" t="n">
        <f aca="false">INDEX(Forecast_Walkforward!$C:$C,H305)</f>
        <v>39</v>
      </c>
      <c r="J305" s="79" t="n">
        <f aca="false">INDEX(Forecast_Walkforward!$E:$E,H305)</f>
        <v>30.25</v>
      </c>
      <c r="K305" s="33" t="n">
        <f aca="false">Baseline_Weeks*J305</f>
        <v>121</v>
      </c>
      <c r="L305" s="46" t="n">
        <f aca="false">SUMIFS(P$293:P304,$B$293:$B304,$B305-$D305)</f>
        <v>24</v>
      </c>
      <c r="M305" s="46" t="n">
        <f aca="false">S304+L305</f>
        <v>62</v>
      </c>
      <c r="N305" s="46" t="n">
        <f aca="false">SUMIFS(P$293:P304,$B$293:$B304,"&gt;"&amp;($B305-$D305))</f>
        <v>24</v>
      </c>
      <c r="O305" s="46" t="n">
        <f aca="false">M305+N305</f>
        <v>86</v>
      </c>
      <c r="P305" s="47" t="n">
        <f aca="false">IF(O305&lt;K305,ROUNDUP((K305-O305)/G305,0)*G305,0)</f>
        <v>36</v>
      </c>
      <c r="Q305" s="46" t="n">
        <f aca="false">MIN(M305,I305)</f>
        <v>39</v>
      </c>
      <c r="R305" s="46" t="n">
        <f aca="false">I305-Q305</f>
        <v>0</v>
      </c>
      <c r="S305" s="46" t="n">
        <f aca="false">M305-Q305</f>
        <v>23</v>
      </c>
      <c r="T305" s="46" t="n">
        <f aca="false">IF(R305&gt;0,1,0)</f>
        <v>0</v>
      </c>
      <c r="U305" s="32" t="n">
        <f aca="false">INDEX(Forecast!$AY$7:$AY$54,C305)</f>
        <v>2</v>
      </c>
      <c r="V305" s="33" t="n">
        <f aca="false">CHOOSE(U305,INDEX(Forecast_Walkforward!$D:$D,H305),INDEX(Forecast_Walkforward!$E:$E,H305),INDEX(Forecast_Walkforward!$F:$F,H305),INDEX(Forecast_Walkforward!$G:$G,H305))</f>
        <v>30.25</v>
      </c>
      <c r="W305" s="79" t="n">
        <f aca="false">INDEX(Forecast!$BA$7:$BA$54,C305)</f>
        <v>3.914720642318</v>
      </c>
      <c r="X305" s="33" t="n">
        <f aca="false">Z_Value*W305*SQRT(D305)</f>
        <v>11.1529218754095</v>
      </c>
      <c r="Y305" s="33" t="n">
        <f aca="false">V305*D305+X305</f>
        <v>101.90292187541</v>
      </c>
      <c r="Z305" s="33" t="n">
        <f aca="false">SQRT((2*V305*Weeks_Per_Year*F305)/(E305*Holding_Rate))</f>
        <v>210.334554935702</v>
      </c>
      <c r="AA305" s="46" t="n">
        <f aca="false">ROUNDUP(Z305/G305,0)*G305</f>
        <v>216</v>
      </c>
      <c r="AB305" s="46" t="n">
        <f aca="false">SUMIFS(AF$293:AF304,$B$293:$B304,$B305-$D305)</f>
        <v>0</v>
      </c>
      <c r="AC305" s="46" t="n">
        <f aca="false">AI304+AB305</f>
        <v>74</v>
      </c>
      <c r="AD305" s="46" t="n">
        <f aca="false">SUMIFS(AF$293:AF304,$B$293:$B304,"&gt;"&amp;($B305-$D305))</f>
        <v>0</v>
      </c>
      <c r="AE305" s="46" t="n">
        <f aca="false">AC305+AD305</f>
        <v>74</v>
      </c>
      <c r="AF305" s="47" t="n">
        <f aca="false">IF(AE305&lt;=Y305,AA305,0)</f>
        <v>216</v>
      </c>
      <c r="AG305" s="46" t="n">
        <f aca="false">MIN(AC305,I305)</f>
        <v>39</v>
      </c>
      <c r="AH305" s="46" t="n">
        <f aca="false">I305-AG305</f>
        <v>0</v>
      </c>
      <c r="AI305" s="46" t="n">
        <f aca="false">AC305-AG305</f>
        <v>35</v>
      </c>
      <c r="AJ305" s="46" t="n">
        <f aca="false">IF(AH305&gt;0,1,0)</f>
        <v>0</v>
      </c>
    </row>
    <row r="306" customFormat="false" ht="15" hidden="false" customHeight="false" outlineLevel="0" collapsed="false">
      <c r="A306" s="31" t="str">
        <f aca="false">Inputs!$B$55</f>
        <v>BTH-006</v>
      </c>
      <c r="B306" s="46" t="n">
        <f aca="false">B305+1</f>
        <v>102</v>
      </c>
      <c r="C306" s="46" t="n">
        <f aca="false">MATCH(A306,Inputs!$B$40:$B$87,0)</f>
        <v>16</v>
      </c>
      <c r="D306" s="32" t="n">
        <f aca="false">INDEX(Inputs!$F$40:$F$87,C306)</f>
        <v>3</v>
      </c>
      <c r="E306" s="78" t="n">
        <f aca="false">INDEX(Inputs!$H$40:$H$87,C306)</f>
        <v>16</v>
      </c>
      <c r="F306" s="78" t="n">
        <f aca="false">INDEX(Inputs!$G$40:$G$87,C306)</f>
        <v>45</v>
      </c>
      <c r="G306" s="32" t="n">
        <f aca="false">INDEX(Inputs!$I$40:$I$87,C306)</f>
        <v>12</v>
      </c>
      <c r="H306" s="46" t="n">
        <f aca="false">MATCH(A306,Demand_History!$C:$C,0)+B306-1</f>
        <v>1663</v>
      </c>
      <c r="I306" s="32" t="n">
        <f aca="false">INDEX(Forecast_Walkforward!$C:$C,H306)</f>
        <v>37</v>
      </c>
      <c r="J306" s="79" t="n">
        <f aca="false">INDEX(Forecast_Walkforward!$E:$E,H306)</f>
        <v>32</v>
      </c>
      <c r="K306" s="33" t="n">
        <f aca="false">Baseline_Weeks*J306</f>
        <v>128</v>
      </c>
      <c r="L306" s="46" t="n">
        <f aca="false">SUMIFS(P$293:P305,$B$293:$B305,$B306-$D306)</f>
        <v>0</v>
      </c>
      <c r="M306" s="46" t="n">
        <f aca="false">S305+L306</f>
        <v>23</v>
      </c>
      <c r="N306" s="46" t="n">
        <f aca="false">SUMIFS(P$293:P305,$B$293:$B305,"&gt;"&amp;($B306-$D306))</f>
        <v>60</v>
      </c>
      <c r="O306" s="46" t="n">
        <f aca="false">M306+N306</f>
        <v>83</v>
      </c>
      <c r="P306" s="47" t="n">
        <f aca="false">IF(O306&lt;K306,ROUNDUP((K306-O306)/G306,0)*G306,0)</f>
        <v>48</v>
      </c>
      <c r="Q306" s="46" t="n">
        <f aca="false">MIN(M306,I306)</f>
        <v>23</v>
      </c>
      <c r="R306" s="46" t="n">
        <f aca="false">I306-Q306</f>
        <v>14</v>
      </c>
      <c r="S306" s="46" t="n">
        <f aca="false">M306-Q306</f>
        <v>0</v>
      </c>
      <c r="T306" s="46" t="n">
        <f aca="false">IF(R306&gt;0,1,0)</f>
        <v>1</v>
      </c>
      <c r="U306" s="32" t="n">
        <f aca="false">INDEX(Forecast!$AY$7:$AY$54,C306)</f>
        <v>2</v>
      </c>
      <c r="V306" s="33" t="n">
        <f aca="false">CHOOSE(U306,INDEX(Forecast_Walkforward!$D:$D,H306),INDEX(Forecast_Walkforward!$E:$E,H306),INDEX(Forecast_Walkforward!$F:$F,H306),INDEX(Forecast_Walkforward!$G:$G,H306))</f>
        <v>32</v>
      </c>
      <c r="W306" s="79" t="n">
        <f aca="false">INDEX(Forecast!$BA$7:$BA$54,C306)</f>
        <v>3.914720642318</v>
      </c>
      <c r="X306" s="33" t="n">
        <f aca="false">Z_Value*W306*SQRT(D306)</f>
        <v>11.1529218754095</v>
      </c>
      <c r="Y306" s="33" t="n">
        <f aca="false">V306*D306+X306</f>
        <v>107.15292187541</v>
      </c>
      <c r="Z306" s="33" t="n">
        <f aca="false">SQRT((2*V306*Weeks_Per_Year*F306)/(E306*Holding_Rate))</f>
        <v>216.333076527839</v>
      </c>
      <c r="AA306" s="46" t="n">
        <f aca="false">ROUNDUP(Z306/G306,0)*G306</f>
        <v>228</v>
      </c>
      <c r="AB306" s="46" t="n">
        <f aca="false">SUMIFS(AF$293:AF305,$B$293:$B305,$B306-$D306)</f>
        <v>0</v>
      </c>
      <c r="AC306" s="46" t="n">
        <f aca="false">AI305+AB306</f>
        <v>35</v>
      </c>
      <c r="AD306" s="46" t="n">
        <f aca="false">SUMIFS(AF$293:AF305,$B$293:$B305,"&gt;"&amp;($B306-$D306))</f>
        <v>216</v>
      </c>
      <c r="AE306" s="46" t="n">
        <f aca="false">AC306+AD306</f>
        <v>251</v>
      </c>
      <c r="AF306" s="47" t="n">
        <f aca="false">IF(AE306&lt;=Y306,AA306,0)</f>
        <v>0</v>
      </c>
      <c r="AG306" s="46" t="n">
        <f aca="false">MIN(AC306,I306)</f>
        <v>35</v>
      </c>
      <c r="AH306" s="46" t="n">
        <f aca="false">I306-AG306</f>
        <v>2</v>
      </c>
      <c r="AI306" s="46" t="n">
        <f aca="false">AC306-AG306</f>
        <v>0</v>
      </c>
      <c r="AJ306" s="46" t="n">
        <f aca="false">IF(AH306&gt;0,1,0)</f>
        <v>1</v>
      </c>
    </row>
    <row r="307" customFormat="false" ht="15" hidden="false" customHeight="false" outlineLevel="0" collapsed="false">
      <c r="A307" s="31" t="str">
        <f aca="false">Inputs!$B$55</f>
        <v>BTH-006</v>
      </c>
      <c r="B307" s="46" t="n">
        <f aca="false">B306+1</f>
        <v>103</v>
      </c>
      <c r="C307" s="46" t="n">
        <f aca="false">MATCH(A307,Inputs!$B$40:$B$87,0)</f>
        <v>16</v>
      </c>
      <c r="D307" s="32" t="n">
        <f aca="false">INDEX(Inputs!$F$40:$F$87,C307)</f>
        <v>3</v>
      </c>
      <c r="E307" s="78" t="n">
        <f aca="false">INDEX(Inputs!$H$40:$H$87,C307)</f>
        <v>16</v>
      </c>
      <c r="F307" s="78" t="n">
        <f aca="false">INDEX(Inputs!$G$40:$G$87,C307)</f>
        <v>45</v>
      </c>
      <c r="G307" s="32" t="n">
        <f aca="false">INDEX(Inputs!$I$40:$I$87,C307)</f>
        <v>12</v>
      </c>
      <c r="H307" s="46" t="n">
        <f aca="false">MATCH(A307,Demand_History!$C:$C,0)+B307-1</f>
        <v>1664</v>
      </c>
      <c r="I307" s="32" t="n">
        <f aca="false">INDEX(Forecast_Walkforward!$C:$C,H307)</f>
        <v>37</v>
      </c>
      <c r="J307" s="79" t="n">
        <f aca="false">INDEX(Forecast_Walkforward!$E:$E,H307)</f>
        <v>35.75</v>
      </c>
      <c r="K307" s="33" t="n">
        <f aca="false">Baseline_Weeks*J307</f>
        <v>143</v>
      </c>
      <c r="L307" s="46" t="n">
        <f aca="false">SUMIFS(P$293:P306,$B$293:$B306,$B307-$D307)</f>
        <v>24</v>
      </c>
      <c r="M307" s="46" t="n">
        <f aca="false">S306+L307</f>
        <v>24</v>
      </c>
      <c r="N307" s="46" t="n">
        <f aca="false">SUMIFS(P$293:P306,$B$293:$B306,"&gt;"&amp;($B307-$D307))</f>
        <v>84</v>
      </c>
      <c r="O307" s="46" t="n">
        <f aca="false">M307+N307</f>
        <v>108</v>
      </c>
      <c r="P307" s="47" t="n">
        <f aca="false">IF(O307&lt;K307,ROUNDUP((K307-O307)/G307,0)*G307,0)</f>
        <v>36</v>
      </c>
      <c r="Q307" s="46" t="n">
        <f aca="false">MIN(M307,I307)</f>
        <v>24</v>
      </c>
      <c r="R307" s="46" t="n">
        <f aca="false">I307-Q307</f>
        <v>13</v>
      </c>
      <c r="S307" s="46" t="n">
        <f aca="false">M307-Q307</f>
        <v>0</v>
      </c>
      <c r="T307" s="46" t="n">
        <f aca="false">IF(R307&gt;0,1,0)</f>
        <v>1</v>
      </c>
      <c r="U307" s="32" t="n">
        <f aca="false">INDEX(Forecast!$AY$7:$AY$54,C307)</f>
        <v>2</v>
      </c>
      <c r="V307" s="33" t="n">
        <f aca="false">CHOOSE(U307,INDEX(Forecast_Walkforward!$D:$D,H307),INDEX(Forecast_Walkforward!$E:$E,H307),INDEX(Forecast_Walkforward!$F:$F,H307),INDEX(Forecast_Walkforward!$G:$G,H307))</f>
        <v>35.75</v>
      </c>
      <c r="W307" s="79" t="n">
        <f aca="false">INDEX(Forecast!$BA$7:$BA$54,C307)</f>
        <v>3.914720642318</v>
      </c>
      <c r="X307" s="33" t="n">
        <f aca="false">Z_Value*W307*SQRT(D307)</f>
        <v>11.1529218754095</v>
      </c>
      <c r="Y307" s="33" t="n">
        <f aca="false">V307*D307+X307</f>
        <v>118.40292187541</v>
      </c>
      <c r="Z307" s="33" t="n">
        <f aca="false">SQRT((2*V307*Weeks_Per_Year*F307)/(E307*Holding_Rate))</f>
        <v>228.657768291392</v>
      </c>
      <c r="AA307" s="46" t="n">
        <f aca="false">ROUNDUP(Z307/G307,0)*G307</f>
        <v>240</v>
      </c>
      <c r="AB307" s="46" t="n">
        <f aca="false">SUMIFS(AF$293:AF306,$B$293:$B306,$B307-$D307)</f>
        <v>0</v>
      </c>
      <c r="AC307" s="46" t="n">
        <f aca="false">AI306+AB307</f>
        <v>0</v>
      </c>
      <c r="AD307" s="46" t="n">
        <f aca="false">SUMIFS(AF$293:AF306,$B$293:$B306,"&gt;"&amp;($B307-$D307))</f>
        <v>216</v>
      </c>
      <c r="AE307" s="46" t="n">
        <f aca="false">AC307+AD307</f>
        <v>216</v>
      </c>
      <c r="AF307" s="47" t="n">
        <f aca="false">IF(AE307&lt;=Y307,AA307,0)</f>
        <v>0</v>
      </c>
      <c r="AG307" s="46" t="n">
        <f aca="false">MIN(AC307,I307)</f>
        <v>0</v>
      </c>
      <c r="AH307" s="46" t="n">
        <f aca="false">I307-AG307</f>
        <v>37</v>
      </c>
      <c r="AI307" s="46" t="n">
        <f aca="false">AC307-AG307</f>
        <v>0</v>
      </c>
      <c r="AJ307" s="46" t="n">
        <f aca="false">IF(AH307&gt;0,1,0)</f>
        <v>1</v>
      </c>
    </row>
    <row r="308" customFormat="false" ht="15" hidden="false" customHeight="false" outlineLevel="0" collapsed="false">
      <c r="A308" s="80" t="str">
        <f aca="false">Inputs!$B$55</f>
        <v>BTH-006</v>
      </c>
      <c r="B308" s="81" t="n">
        <f aca="false">B307+1</f>
        <v>104</v>
      </c>
      <c r="C308" s="81" t="n">
        <f aca="false">MATCH(A308,Inputs!$B$40:$B$87,0)</f>
        <v>16</v>
      </c>
      <c r="D308" s="82" t="n">
        <f aca="false">INDEX(Inputs!$F$40:$F$87,C308)</f>
        <v>3</v>
      </c>
      <c r="E308" s="83" t="n">
        <f aca="false">INDEX(Inputs!$H$40:$H$87,C308)</f>
        <v>16</v>
      </c>
      <c r="F308" s="83" t="n">
        <f aca="false">INDEX(Inputs!$G$40:$G$87,C308)</f>
        <v>45</v>
      </c>
      <c r="G308" s="82" t="n">
        <f aca="false">INDEX(Inputs!$I$40:$I$87,C308)</f>
        <v>12</v>
      </c>
      <c r="H308" s="81" t="n">
        <f aca="false">MATCH(A308,Demand_History!$C:$C,0)+B308-1</f>
        <v>1665</v>
      </c>
      <c r="I308" s="82" t="n">
        <f aca="false">INDEX(Forecast_Walkforward!$C:$C,H308)</f>
        <v>36</v>
      </c>
      <c r="J308" s="84" t="n">
        <f aca="false">INDEX(Forecast_Walkforward!$E:$E,H308)</f>
        <v>36.75</v>
      </c>
      <c r="K308" s="85" t="n">
        <f aca="false">Baseline_Weeks*J308</f>
        <v>147</v>
      </c>
      <c r="L308" s="81" t="n">
        <f aca="false">SUMIFS(P$293:P307,$B$293:$B307,$B308-$D308)</f>
        <v>36</v>
      </c>
      <c r="M308" s="81" t="n">
        <f aca="false">S307+L308</f>
        <v>36</v>
      </c>
      <c r="N308" s="81" t="n">
        <f aca="false">SUMIFS(P$293:P307,$B$293:$B307,"&gt;"&amp;($B308-$D308))</f>
        <v>84</v>
      </c>
      <c r="O308" s="81" t="n">
        <f aca="false">M308+N308</f>
        <v>120</v>
      </c>
      <c r="P308" s="86" t="n">
        <f aca="false">IF(O308&lt;K308,ROUNDUP((K308-O308)/G308,0)*G308,0)</f>
        <v>36</v>
      </c>
      <c r="Q308" s="81" t="n">
        <f aca="false">MIN(M308,I308)</f>
        <v>36</v>
      </c>
      <c r="R308" s="81" t="n">
        <f aca="false">I308-Q308</f>
        <v>0</v>
      </c>
      <c r="S308" s="81" t="n">
        <f aca="false">M308-Q308</f>
        <v>0</v>
      </c>
      <c r="T308" s="81" t="n">
        <f aca="false">IF(R308&gt;0,1,0)</f>
        <v>0</v>
      </c>
      <c r="U308" s="82" t="n">
        <f aca="false">INDEX(Forecast!$AY$7:$AY$54,C308)</f>
        <v>2</v>
      </c>
      <c r="V308" s="85" t="n">
        <f aca="false">CHOOSE(U308,INDEX(Forecast_Walkforward!$D:$D,H308),INDEX(Forecast_Walkforward!$E:$E,H308),INDEX(Forecast_Walkforward!$F:$F,H308),INDEX(Forecast_Walkforward!$G:$G,H308))</f>
        <v>36.75</v>
      </c>
      <c r="W308" s="84" t="n">
        <f aca="false">INDEX(Forecast!$BA$7:$BA$54,C308)</f>
        <v>3.914720642318</v>
      </c>
      <c r="X308" s="85" t="n">
        <f aca="false">Z_Value*W308*SQRT(D308)</f>
        <v>11.1529218754095</v>
      </c>
      <c r="Y308" s="85" t="n">
        <f aca="false">V308*D308+X308</f>
        <v>121.40292187541</v>
      </c>
      <c r="Z308" s="85" t="n">
        <f aca="false">SQRT((2*V308*Weeks_Per_Year*F308)/(E308*Holding_Rate))</f>
        <v>231.833722741106</v>
      </c>
      <c r="AA308" s="81" t="n">
        <f aca="false">ROUNDUP(Z308/G308,0)*G308</f>
        <v>240</v>
      </c>
      <c r="AB308" s="81" t="n">
        <f aca="false">SUMIFS(AF$293:AF307,$B$293:$B307,$B308-$D308)</f>
        <v>216</v>
      </c>
      <c r="AC308" s="81" t="n">
        <f aca="false">AI307+AB308</f>
        <v>216</v>
      </c>
      <c r="AD308" s="81" t="n">
        <f aca="false">SUMIFS(AF$293:AF307,$B$293:$B307,"&gt;"&amp;($B308-$D308))</f>
        <v>0</v>
      </c>
      <c r="AE308" s="81" t="n">
        <f aca="false">AC308+AD308</f>
        <v>216</v>
      </c>
      <c r="AF308" s="86" t="n">
        <f aca="false">IF(AE308&lt;=Y308,AA308,0)</f>
        <v>0</v>
      </c>
      <c r="AG308" s="81" t="n">
        <f aca="false">MIN(AC308,I308)</f>
        <v>36</v>
      </c>
      <c r="AH308" s="81" t="n">
        <f aca="false">I308-AG308</f>
        <v>0</v>
      </c>
      <c r="AI308" s="81" t="n">
        <f aca="false">AC308-AG308</f>
        <v>180</v>
      </c>
      <c r="AJ308" s="81" t="n">
        <f aca="false">IF(AH308&gt;0,1,0)</f>
        <v>0</v>
      </c>
    </row>
    <row r="309" customFormat="false" ht="15" hidden="false" customHeight="false" outlineLevel="0" collapsed="false">
      <c r="A309" s="31" t="str">
        <f aca="false">Inputs!$B$56</f>
        <v>BTH-007</v>
      </c>
      <c r="B309" s="46" t="n">
        <f aca="false">BT_Start_Week</f>
        <v>89</v>
      </c>
      <c r="C309" s="46" t="n">
        <f aca="false">MATCH(A309,Inputs!$B$40:$B$87,0)</f>
        <v>17</v>
      </c>
      <c r="D309" s="32" t="n">
        <f aca="false">INDEX(Inputs!$F$40:$F$87,C309)</f>
        <v>3</v>
      </c>
      <c r="E309" s="78" t="n">
        <f aca="false">INDEX(Inputs!$H$40:$H$87,C309)</f>
        <v>12</v>
      </c>
      <c r="F309" s="78" t="n">
        <f aca="false">INDEX(Inputs!$G$40:$G$87,C309)</f>
        <v>45</v>
      </c>
      <c r="G309" s="32" t="n">
        <f aca="false">INDEX(Inputs!$I$40:$I$87,C309)</f>
        <v>12</v>
      </c>
      <c r="H309" s="46" t="n">
        <f aca="false">MATCH(A309,Demand_History!$C:$C,0)+B309-1</f>
        <v>1754</v>
      </c>
      <c r="I309" s="32" t="n">
        <f aca="false">INDEX(Forecast_Walkforward!$C:$C,H309)</f>
        <v>59</v>
      </c>
      <c r="J309" s="79" t="n">
        <f aca="false">INDEX(Forecast_Walkforward!$E:$E,H309)</f>
        <v>57.25</v>
      </c>
      <c r="K309" s="33" t="n">
        <f aca="false">Baseline_Weeks*J309</f>
        <v>229</v>
      </c>
      <c r="L309" s="46" t="n">
        <f aca="false">0</f>
        <v>0</v>
      </c>
      <c r="M309" s="46" t="n">
        <f aca="false">ROUND(BT_Open_Cover*INDEX(Forecast_Walkforward!$F:$F,H309),0)+L309</f>
        <v>312</v>
      </c>
      <c r="N309" s="46" t="n">
        <f aca="false">0</f>
        <v>0</v>
      </c>
      <c r="O309" s="46" t="n">
        <f aca="false">M309+N309</f>
        <v>312</v>
      </c>
      <c r="P309" s="47" t="n">
        <f aca="false">IF(O309&lt;K309,ROUNDUP((K309-O309)/G309,0)*G309,0)</f>
        <v>0</v>
      </c>
      <c r="Q309" s="46" t="n">
        <f aca="false">MIN(M309,I309)</f>
        <v>59</v>
      </c>
      <c r="R309" s="46" t="n">
        <f aca="false">I309-Q309</f>
        <v>0</v>
      </c>
      <c r="S309" s="46" t="n">
        <f aca="false">M309-Q309</f>
        <v>253</v>
      </c>
      <c r="T309" s="46" t="n">
        <f aca="false">IF(R309&gt;0,1,0)</f>
        <v>0</v>
      </c>
      <c r="U309" s="32" t="n">
        <f aca="false">INDEX(Forecast!$AY$7:$AY$54,C309)</f>
        <v>2</v>
      </c>
      <c r="V309" s="33" t="n">
        <f aca="false">CHOOSE(U309,INDEX(Forecast_Walkforward!$D:$D,H309),INDEX(Forecast_Walkforward!$E:$E,H309),INDEX(Forecast_Walkforward!$F:$F,H309),INDEX(Forecast_Walkforward!$G:$G,H309))</f>
        <v>57.25</v>
      </c>
      <c r="W309" s="79" t="n">
        <f aca="false">INDEX(Forecast!$BA$7:$BA$54,C309)</f>
        <v>7.24376910174508</v>
      </c>
      <c r="X309" s="33" t="n">
        <f aca="false">Z_Value*W309*SQRT(D309)</f>
        <v>20.6372812409498</v>
      </c>
      <c r="Y309" s="33" t="n">
        <f aca="false">V309*D309+X309</f>
        <v>192.38728124095</v>
      </c>
      <c r="Z309" s="33" t="n">
        <f aca="false">SQRT((2*V309*Weeks_Per_Year*F309)/(E309*Holding_Rate))</f>
        <v>334.121983712536</v>
      </c>
      <c r="AA309" s="46" t="n">
        <f aca="false">ROUNDUP(Z309/G309,0)*G309</f>
        <v>336</v>
      </c>
      <c r="AB309" s="46" t="n">
        <f aca="false">0</f>
        <v>0</v>
      </c>
      <c r="AC309" s="46" t="n">
        <f aca="false">ROUND(BT_Open_Cover*INDEX(Forecast_Walkforward!$F:$F,H309),0)+AB309</f>
        <v>312</v>
      </c>
      <c r="AD309" s="46" t="n">
        <f aca="false">0</f>
        <v>0</v>
      </c>
      <c r="AE309" s="46" t="n">
        <f aca="false">AC309+AD309</f>
        <v>312</v>
      </c>
      <c r="AF309" s="47" t="n">
        <f aca="false">IF(AE309&lt;=Y309,AA309,0)</f>
        <v>0</v>
      </c>
      <c r="AG309" s="46" t="n">
        <f aca="false">MIN(AC309,I309)</f>
        <v>59</v>
      </c>
      <c r="AH309" s="46" t="n">
        <f aca="false">I309-AG309</f>
        <v>0</v>
      </c>
      <c r="AI309" s="46" t="n">
        <f aca="false">AC309-AG309</f>
        <v>253</v>
      </c>
      <c r="AJ309" s="46" t="n">
        <f aca="false">IF(AH309&gt;0,1,0)</f>
        <v>0</v>
      </c>
    </row>
    <row r="310" customFormat="false" ht="15" hidden="false" customHeight="false" outlineLevel="0" collapsed="false">
      <c r="A310" s="31" t="str">
        <f aca="false">Inputs!$B$56</f>
        <v>BTH-007</v>
      </c>
      <c r="B310" s="46" t="n">
        <f aca="false">B309+1</f>
        <v>90</v>
      </c>
      <c r="C310" s="46" t="n">
        <f aca="false">MATCH(A310,Inputs!$B$40:$B$87,0)</f>
        <v>17</v>
      </c>
      <c r="D310" s="32" t="n">
        <f aca="false">INDEX(Inputs!$F$40:$F$87,C310)</f>
        <v>3</v>
      </c>
      <c r="E310" s="78" t="n">
        <f aca="false">INDEX(Inputs!$H$40:$H$87,C310)</f>
        <v>12</v>
      </c>
      <c r="F310" s="78" t="n">
        <f aca="false">INDEX(Inputs!$G$40:$G$87,C310)</f>
        <v>45</v>
      </c>
      <c r="G310" s="32" t="n">
        <f aca="false">INDEX(Inputs!$I$40:$I$87,C310)</f>
        <v>12</v>
      </c>
      <c r="H310" s="46" t="n">
        <f aca="false">MATCH(A310,Demand_History!$C:$C,0)+B310-1</f>
        <v>1755</v>
      </c>
      <c r="I310" s="32" t="n">
        <f aca="false">INDEX(Forecast_Walkforward!$C:$C,H310)</f>
        <v>72</v>
      </c>
      <c r="J310" s="79" t="n">
        <f aca="false">INDEX(Forecast_Walkforward!$E:$E,H310)</f>
        <v>57.75</v>
      </c>
      <c r="K310" s="33" t="n">
        <f aca="false">Baseline_Weeks*J310</f>
        <v>231</v>
      </c>
      <c r="L310" s="46" t="n">
        <f aca="false">SUMIFS(P$309:P309,$B$309:$B309,$B310-$D310)</f>
        <v>0</v>
      </c>
      <c r="M310" s="46" t="n">
        <f aca="false">S309+L310</f>
        <v>253</v>
      </c>
      <c r="N310" s="46" t="n">
        <f aca="false">SUMIFS(P$309:P309,$B$309:$B309,"&gt;"&amp;($B310-$D310))</f>
        <v>0</v>
      </c>
      <c r="O310" s="46" t="n">
        <f aca="false">M310+N310</f>
        <v>253</v>
      </c>
      <c r="P310" s="47" t="n">
        <f aca="false">IF(O310&lt;K310,ROUNDUP((K310-O310)/G310,0)*G310,0)</f>
        <v>0</v>
      </c>
      <c r="Q310" s="46" t="n">
        <f aca="false">MIN(M310,I310)</f>
        <v>72</v>
      </c>
      <c r="R310" s="46" t="n">
        <f aca="false">I310-Q310</f>
        <v>0</v>
      </c>
      <c r="S310" s="46" t="n">
        <f aca="false">M310-Q310</f>
        <v>181</v>
      </c>
      <c r="T310" s="46" t="n">
        <f aca="false">IF(R310&gt;0,1,0)</f>
        <v>0</v>
      </c>
      <c r="U310" s="32" t="n">
        <f aca="false">INDEX(Forecast!$AY$7:$AY$54,C310)</f>
        <v>2</v>
      </c>
      <c r="V310" s="33" t="n">
        <f aca="false">CHOOSE(U310,INDEX(Forecast_Walkforward!$D:$D,H310),INDEX(Forecast_Walkforward!$E:$E,H310),INDEX(Forecast_Walkforward!$F:$F,H310),INDEX(Forecast_Walkforward!$G:$G,H310))</f>
        <v>57.75</v>
      </c>
      <c r="W310" s="79" t="n">
        <f aca="false">INDEX(Forecast!$BA$7:$BA$54,C310)</f>
        <v>7.24376910174508</v>
      </c>
      <c r="X310" s="33" t="n">
        <f aca="false">Z_Value*W310*SQRT(D310)</f>
        <v>20.6372812409498</v>
      </c>
      <c r="Y310" s="33" t="n">
        <f aca="false">V310*D310+X310</f>
        <v>193.88728124095</v>
      </c>
      <c r="Z310" s="33" t="n">
        <f aca="false">SQRT((2*V310*Weeks_Per_Year*F310)/(E310*Holding_Rate))</f>
        <v>335.577859817956</v>
      </c>
      <c r="AA310" s="46" t="n">
        <f aca="false">ROUNDUP(Z310/G310,0)*G310</f>
        <v>336</v>
      </c>
      <c r="AB310" s="46" t="n">
        <f aca="false">SUMIFS(AF$309:AF309,$B$309:$B309,$B310-$D310)</f>
        <v>0</v>
      </c>
      <c r="AC310" s="46" t="n">
        <f aca="false">AI309+AB310</f>
        <v>253</v>
      </c>
      <c r="AD310" s="46" t="n">
        <f aca="false">SUMIFS(AF$309:AF309,$B$309:$B309,"&gt;"&amp;($B310-$D310))</f>
        <v>0</v>
      </c>
      <c r="AE310" s="46" t="n">
        <f aca="false">AC310+AD310</f>
        <v>253</v>
      </c>
      <c r="AF310" s="47" t="n">
        <f aca="false">IF(AE310&lt;=Y310,AA310,0)</f>
        <v>0</v>
      </c>
      <c r="AG310" s="46" t="n">
        <f aca="false">MIN(AC310,I310)</f>
        <v>72</v>
      </c>
      <c r="AH310" s="46" t="n">
        <f aca="false">I310-AG310</f>
        <v>0</v>
      </c>
      <c r="AI310" s="46" t="n">
        <f aca="false">AC310-AG310</f>
        <v>181</v>
      </c>
      <c r="AJ310" s="46" t="n">
        <f aca="false">IF(AH310&gt;0,1,0)</f>
        <v>0</v>
      </c>
    </row>
    <row r="311" customFormat="false" ht="15" hidden="false" customHeight="false" outlineLevel="0" collapsed="false">
      <c r="A311" s="31" t="str">
        <f aca="false">Inputs!$B$56</f>
        <v>BTH-007</v>
      </c>
      <c r="B311" s="46" t="n">
        <f aca="false">B310+1</f>
        <v>91</v>
      </c>
      <c r="C311" s="46" t="n">
        <f aca="false">MATCH(A311,Inputs!$B$40:$B$87,0)</f>
        <v>17</v>
      </c>
      <c r="D311" s="32" t="n">
        <f aca="false">INDEX(Inputs!$F$40:$F$87,C311)</f>
        <v>3</v>
      </c>
      <c r="E311" s="78" t="n">
        <f aca="false">INDEX(Inputs!$H$40:$H$87,C311)</f>
        <v>12</v>
      </c>
      <c r="F311" s="78" t="n">
        <f aca="false">INDEX(Inputs!$G$40:$G$87,C311)</f>
        <v>45</v>
      </c>
      <c r="G311" s="32" t="n">
        <f aca="false">INDEX(Inputs!$I$40:$I$87,C311)</f>
        <v>12</v>
      </c>
      <c r="H311" s="46" t="n">
        <f aca="false">MATCH(A311,Demand_History!$C:$C,0)+B311-1</f>
        <v>1756</v>
      </c>
      <c r="I311" s="32" t="n">
        <f aca="false">INDEX(Forecast_Walkforward!$C:$C,H311)</f>
        <v>74</v>
      </c>
      <c r="J311" s="79" t="n">
        <f aca="false">INDEX(Forecast_Walkforward!$E:$E,H311)</f>
        <v>64.75</v>
      </c>
      <c r="K311" s="33" t="n">
        <f aca="false">Baseline_Weeks*J311</f>
        <v>259</v>
      </c>
      <c r="L311" s="46" t="n">
        <f aca="false">SUMIFS(P$309:P310,$B$309:$B310,$B311-$D311)</f>
        <v>0</v>
      </c>
      <c r="M311" s="46" t="n">
        <f aca="false">S310+L311</f>
        <v>181</v>
      </c>
      <c r="N311" s="46" t="n">
        <f aca="false">SUMIFS(P$309:P310,$B$309:$B310,"&gt;"&amp;($B311-$D311))</f>
        <v>0</v>
      </c>
      <c r="O311" s="46" t="n">
        <f aca="false">M311+N311</f>
        <v>181</v>
      </c>
      <c r="P311" s="47" t="n">
        <f aca="false">IF(O311&lt;K311,ROUNDUP((K311-O311)/G311,0)*G311,0)</f>
        <v>84</v>
      </c>
      <c r="Q311" s="46" t="n">
        <f aca="false">MIN(M311,I311)</f>
        <v>74</v>
      </c>
      <c r="R311" s="46" t="n">
        <f aca="false">I311-Q311</f>
        <v>0</v>
      </c>
      <c r="S311" s="46" t="n">
        <f aca="false">M311-Q311</f>
        <v>107</v>
      </c>
      <c r="T311" s="46" t="n">
        <f aca="false">IF(R311&gt;0,1,0)</f>
        <v>0</v>
      </c>
      <c r="U311" s="32" t="n">
        <f aca="false">INDEX(Forecast!$AY$7:$AY$54,C311)</f>
        <v>2</v>
      </c>
      <c r="V311" s="33" t="n">
        <f aca="false">CHOOSE(U311,INDEX(Forecast_Walkforward!$D:$D,H311),INDEX(Forecast_Walkforward!$E:$E,H311),INDEX(Forecast_Walkforward!$F:$F,H311),INDEX(Forecast_Walkforward!$G:$G,H311))</f>
        <v>64.75</v>
      </c>
      <c r="W311" s="79" t="n">
        <f aca="false">INDEX(Forecast!$BA$7:$BA$54,C311)</f>
        <v>7.24376910174508</v>
      </c>
      <c r="X311" s="33" t="n">
        <f aca="false">Z_Value*W311*SQRT(D311)</f>
        <v>20.6372812409498</v>
      </c>
      <c r="Y311" s="33" t="n">
        <f aca="false">V311*D311+X311</f>
        <v>214.88728124095</v>
      </c>
      <c r="Z311" s="33" t="n">
        <f aca="false">SQRT((2*V311*Weeks_Per_Year*F311)/(E311*Holding_Rate))</f>
        <v>355.334349592043</v>
      </c>
      <c r="AA311" s="46" t="n">
        <f aca="false">ROUNDUP(Z311/G311,0)*G311</f>
        <v>360</v>
      </c>
      <c r="AB311" s="46" t="n">
        <f aca="false">SUMIFS(AF$309:AF310,$B$309:$B310,$B311-$D311)</f>
        <v>0</v>
      </c>
      <c r="AC311" s="46" t="n">
        <f aca="false">AI310+AB311</f>
        <v>181</v>
      </c>
      <c r="AD311" s="46" t="n">
        <f aca="false">SUMIFS(AF$309:AF310,$B$309:$B310,"&gt;"&amp;($B311-$D311))</f>
        <v>0</v>
      </c>
      <c r="AE311" s="46" t="n">
        <f aca="false">AC311+AD311</f>
        <v>181</v>
      </c>
      <c r="AF311" s="47" t="n">
        <f aca="false">IF(AE311&lt;=Y311,AA311,0)</f>
        <v>360</v>
      </c>
      <c r="AG311" s="46" t="n">
        <f aca="false">MIN(AC311,I311)</f>
        <v>74</v>
      </c>
      <c r="AH311" s="46" t="n">
        <f aca="false">I311-AG311</f>
        <v>0</v>
      </c>
      <c r="AI311" s="46" t="n">
        <f aca="false">AC311-AG311</f>
        <v>107</v>
      </c>
      <c r="AJ311" s="46" t="n">
        <f aca="false">IF(AH311&gt;0,1,0)</f>
        <v>0</v>
      </c>
    </row>
    <row r="312" customFormat="false" ht="15" hidden="false" customHeight="false" outlineLevel="0" collapsed="false">
      <c r="A312" s="31" t="str">
        <f aca="false">Inputs!$B$56</f>
        <v>BTH-007</v>
      </c>
      <c r="B312" s="46" t="n">
        <f aca="false">B311+1</f>
        <v>92</v>
      </c>
      <c r="C312" s="46" t="n">
        <f aca="false">MATCH(A312,Inputs!$B$40:$B$87,0)</f>
        <v>17</v>
      </c>
      <c r="D312" s="32" t="n">
        <f aca="false">INDEX(Inputs!$F$40:$F$87,C312)</f>
        <v>3</v>
      </c>
      <c r="E312" s="78" t="n">
        <f aca="false">INDEX(Inputs!$H$40:$H$87,C312)</f>
        <v>12</v>
      </c>
      <c r="F312" s="78" t="n">
        <f aca="false">INDEX(Inputs!$G$40:$G$87,C312)</f>
        <v>45</v>
      </c>
      <c r="G312" s="32" t="n">
        <f aca="false">INDEX(Inputs!$I$40:$I$87,C312)</f>
        <v>12</v>
      </c>
      <c r="H312" s="46" t="n">
        <f aca="false">MATCH(A312,Demand_History!$C:$C,0)+B312-1</f>
        <v>1757</v>
      </c>
      <c r="I312" s="32" t="n">
        <f aca="false">INDEX(Forecast_Walkforward!$C:$C,H312)</f>
        <v>49</v>
      </c>
      <c r="J312" s="79" t="n">
        <f aca="false">INDEX(Forecast_Walkforward!$E:$E,H312)</f>
        <v>67.5</v>
      </c>
      <c r="K312" s="33" t="n">
        <f aca="false">Baseline_Weeks*J312</f>
        <v>270</v>
      </c>
      <c r="L312" s="46" t="n">
        <f aca="false">SUMIFS(P$309:P311,$B$309:$B311,$B312-$D312)</f>
        <v>0</v>
      </c>
      <c r="M312" s="46" t="n">
        <f aca="false">S311+L312</f>
        <v>107</v>
      </c>
      <c r="N312" s="46" t="n">
        <f aca="false">SUMIFS(P$309:P311,$B$309:$B311,"&gt;"&amp;($B312-$D312))</f>
        <v>84</v>
      </c>
      <c r="O312" s="46" t="n">
        <f aca="false">M312+N312</f>
        <v>191</v>
      </c>
      <c r="P312" s="47" t="n">
        <f aca="false">IF(O312&lt;K312,ROUNDUP((K312-O312)/G312,0)*G312,0)</f>
        <v>84</v>
      </c>
      <c r="Q312" s="46" t="n">
        <f aca="false">MIN(M312,I312)</f>
        <v>49</v>
      </c>
      <c r="R312" s="46" t="n">
        <f aca="false">I312-Q312</f>
        <v>0</v>
      </c>
      <c r="S312" s="46" t="n">
        <f aca="false">M312-Q312</f>
        <v>58</v>
      </c>
      <c r="T312" s="46" t="n">
        <f aca="false">IF(R312&gt;0,1,0)</f>
        <v>0</v>
      </c>
      <c r="U312" s="32" t="n">
        <f aca="false">INDEX(Forecast!$AY$7:$AY$54,C312)</f>
        <v>2</v>
      </c>
      <c r="V312" s="33" t="n">
        <f aca="false">CHOOSE(U312,INDEX(Forecast_Walkforward!$D:$D,H312),INDEX(Forecast_Walkforward!$E:$E,H312),INDEX(Forecast_Walkforward!$F:$F,H312),INDEX(Forecast_Walkforward!$G:$G,H312))</f>
        <v>67.5</v>
      </c>
      <c r="W312" s="79" t="n">
        <f aca="false">INDEX(Forecast!$BA$7:$BA$54,C312)</f>
        <v>7.24376910174508</v>
      </c>
      <c r="X312" s="33" t="n">
        <f aca="false">Z_Value*W312*SQRT(D312)</f>
        <v>20.6372812409498</v>
      </c>
      <c r="Y312" s="33" t="n">
        <f aca="false">V312*D312+X312</f>
        <v>223.13728124095</v>
      </c>
      <c r="Z312" s="33" t="n">
        <f aca="false">SQRT((2*V312*Weeks_Per_Year*F312)/(E312*Holding_Rate))</f>
        <v>362.801598673435</v>
      </c>
      <c r="AA312" s="46" t="n">
        <f aca="false">ROUNDUP(Z312/G312,0)*G312</f>
        <v>372</v>
      </c>
      <c r="AB312" s="46" t="n">
        <f aca="false">SUMIFS(AF$309:AF311,$B$309:$B311,$B312-$D312)</f>
        <v>0</v>
      </c>
      <c r="AC312" s="46" t="n">
        <f aca="false">AI311+AB312</f>
        <v>107</v>
      </c>
      <c r="AD312" s="46" t="n">
        <f aca="false">SUMIFS(AF$309:AF311,$B$309:$B311,"&gt;"&amp;($B312-$D312))</f>
        <v>360</v>
      </c>
      <c r="AE312" s="46" t="n">
        <f aca="false">AC312+AD312</f>
        <v>467</v>
      </c>
      <c r="AF312" s="47" t="n">
        <f aca="false">IF(AE312&lt;=Y312,AA312,0)</f>
        <v>0</v>
      </c>
      <c r="AG312" s="46" t="n">
        <f aca="false">MIN(AC312,I312)</f>
        <v>49</v>
      </c>
      <c r="AH312" s="46" t="n">
        <f aca="false">I312-AG312</f>
        <v>0</v>
      </c>
      <c r="AI312" s="46" t="n">
        <f aca="false">AC312-AG312</f>
        <v>58</v>
      </c>
      <c r="AJ312" s="46" t="n">
        <f aca="false">IF(AH312&gt;0,1,0)</f>
        <v>0</v>
      </c>
    </row>
    <row r="313" customFormat="false" ht="15" hidden="false" customHeight="false" outlineLevel="0" collapsed="false">
      <c r="A313" s="31" t="str">
        <f aca="false">Inputs!$B$56</f>
        <v>BTH-007</v>
      </c>
      <c r="B313" s="46" t="n">
        <f aca="false">B312+1</f>
        <v>93</v>
      </c>
      <c r="C313" s="46" t="n">
        <f aca="false">MATCH(A313,Inputs!$B$40:$B$87,0)</f>
        <v>17</v>
      </c>
      <c r="D313" s="32" t="n">
        <f aca="false">INDEX(Inputs!$F$40:$F$87,C313)</f>
        <v>3</v>
      </c>
      <c r="E313" s="78" t="n">
        <f aca="false">INDEX(Inputs!$H$40:$H$87,C313)</f>
        <v>12</v>
      </c>
      <c r="F313" s="78" t="n">
        <f aca="false">INDEX(Inputs!$G$40:$G$87,C313)</f>
        <v>45</v>
      </c>
      <c r="G313" s="32" t="n">
        <f aca="false">INDEX(Inputs!$I$40:$I$87,C313)</f>
        <v>12</v>
      </c>
      <c r="H313" s="46" t="n">
        <f aca="false">MATCH(A313,Demand_History!$C:$C,0)+B313-1</f>
        <v>1758</v>
      </c>
      <c r="I313" s="32" t="n">
        <f aca="false">INDEX(Forecast_Walkforward!$C:$C,H313)</f>
        <v>68</v>
      </c>
      <c r="J313" s="79" t="n">
        <f aca="false">INDEX(Forecast_Walkforward!$E:$E,H313)</f>
        <v>63.5</v>
      </c>
      <c r="K313" s="33" t="n">
        <f aca="false">Baseline_Weeks*J313</f>
        <v>254</v>
      </c>
      <c r="L313" s="46" t="n">
        <f aca="false">SUMIFS(P$309:P312,$B$309:$B312,$B313-$D313)</f>
        <v>0</v>
      </c>
      <c r="M313" s="46" t="n">
        <f aca="false">S312+L313</f>
        <v>58</v>
      </c>
      <c r="N313" s="46" t="n">
        <f aca="false">SUMIFS(P$309:P312,$B$309:$B312,"&gt;"&amp;($B313-$D313))</f>
        <v>168</v>
      </c>
      <c r="O313" s="46" t="n">
        <f aca="false">M313+N313</f>
        <v>226</v>
      </c>
      <c r="P313" s="47" t="n">
        <f aca="false">IF(O313&lt;K313,ROUNDUP((K313-O313)/G313,0)*G313,0)</f>
        <v>36</v>
      </c>
      <c r="Q313" s="46" t="n">
        <f aca="false">MIN(M313,I313)</f>
        <v>58</v>
      </c>
      <c r="R313" s="46" t="n">
        <f aca="false">I313-Q313</f>
        <v>10</v>
      </c>
      <c r="S313" s="46" t="n">
        <f aca="false">M313-Q313</f>
        <v>0</v>
      </c>
      <c r="T313" s="46" t="n">
        <f aca="false">IF(R313&gt;0,1,0)</f>
        <v>1</v>
      </c>
      <c r="U313" s="32" t="n">
        <f aca="false">INDEX(Forecast!$AY$7:$AY$54,C313)</f>
        <v>2</v>
      </c>
      <c r="V313" s="33" t="n">
        <f aca="false">CHOOSE(U313,INDEX(Forecast_Walkforward!$D:$D,H313),INDEX(Forecast_Walkforward!$E:$E,H313),INDEX(Forecast_Walkforward!$F:$F,H313),INDEX(Forecast_Walkforward!$G:$G,H313))</f>
        <v>63.5</v>
      </c>
      <c r="W313" s="79" t="n">
        <f aca="false">INDEX(Forecast!$BA$7:$BA$54,C313)</f>
        <v>7.24376910174508</v>
      </c>
      <c r="X313" s="33" t="n">
        <f aca="false">Z_Value*W313*SQRT(D313)</f>
        <v>20.6372812409498</v>
      </c>
      <c r="Y313" s="33" t="n">
        <f aca="false">V313*D313+X313</f>
        <v>211.13728124095</v>
      </c>
      <c r="Z313" s="33" t="n">
        <f aca="false">SQRT((2*V313*Weeks_Per_Year*F313)/(E313*Holding_Rate))</f>
        <v>351.887766198258</v>
      </c>
      <c r="AA313" s="46" t="n">
        <f aca="false">ROUNDUP(Z313/G313,0)*G313</f>
        <v>360</v>
      </c>
      <c r="AB313" s="46" t="n">
        <f aca="false">SUMIFS(AF$309:AF312,$B$309:$B312,$B313-$D313)</f>
        <v>0</v>
      </c>
      <c r="AC313" s="46" t="n">
        <f aca="false">AI312+AB313</f>
        <v>58</v>
      </c>
      <c r="AD313" s="46" t="n">
        <f aca="false">SUMIFS(AF$309:AF312,$B$309:$B312,"&gt;"&amp;($B313-$D313))</f>
        <v>360</v>
      </c>
      <c r="AE313" s="46" t="n">
        <f aca="false">AC313+AD313</f>
        <v>418</v>
      </c>
      <c r="AF313" s="47" t="n">
        <f aca="false">IF(AE313&lt;=Y313,AA313,0)</f>
        <v>0</v>
      </c>
      <c r="AG313" s="46" t="n">
        <f aca="false">MIN(AC313,I313)</f>
        <v>58</v>
      </c>
      <c r="AH313" s="46" t="n">
        <f aca="false">I313-AG313</f>
        <v>10</v>
      </c>
      <c r="AI313" s="46" t="n">
        <f aca="false">AC313-AG313</f>
        <v>0</v>
      </c>
      <c r="AJ313" s="46" t="n">
        <f aca="false">IF(AH313&gt;0,1,0)</f>
        <v>1</v>
      </c>
    </row>
    <row r="314" customFormat="false" ht="15" hidden="false" customHeight="false" outlineLevel="0" collapsed="false">
      <c r="A314" s="31" t="str">
        <f aca="false">Inputs!$B$56</f>
        <v>BTH-007</v>
      </c>
      <c r="B314" s="46" t="n">
        <f aca="false">B313+1</f>
        <v>94</v>
      </c>
      <c r="C314" s="46" t="n">
        <f aca="false">MATCH(A314,Inputs!$B$40:$B$87,0)</f>
        <v>17</v>
      </c>
      <c r="D314" s="32" t="n">
        <f aca="false">INDEX(Inputs!$F$40:$F$87,C314)</f>
        <v>3</v>
      </c>
      <c r="E314" s="78" t="n">
        <f aca="false">INDEX(Inputs!$H$40:$H$87,C314)</f>
        <v>12</v>
      </c>
      <c r="F314" s="78" t="n">
        <f aca="false">INDEX(Inputs!$G$40:$G$87,C314)</f>
        <v>45</v>
      </c>
      <c r="G314" s="32" t="n">
        <f aca="false">INDEX(Inputs!$I$40:$I$87,C314)</f>
        <v>12</v>
      </c>
      <c r="H314" s="46" t="n">
        <f aca="false">MATCH(A314,Demand_History!$C:$C,0)+B314-1</f>
        <v>1759</v>
      </c>
      <c r="I314" s="32" t="n">
        <f aca="false">INDEX(Forecast_Walkforward!$C:$C,H314)</f>
        <v>63</v>
      </c>
      <c r="J314" s="79" t="n">
        <f aca="false">INDEX(Forecast_Walkforward!$E:$E,H314)</f>
        <v>65.75</v>
      </c>
      <c r="K314" s="33" t="n">
        <f aca="false">Baseline_Weeks*J314</f>
        <v>263</v>
      </c>
      <c r="L314" s="46" t="n">
        <f aca="false">SUMIFS(P$309:P313,$B$309:$B313,$B314-$D314)</f>
        <v>84</v>
      </c>
      <c r="M314" s="46" t="n">
        <f aca="false">S313+L314</f>
        <v>84</v>
      </c>
      <c r="N314" s="46" t="n">
        <f aca="false">SUMIFS(P$309:P313,$B$309:$B313,"&gt;"&amp;($B314-$D314))</f>
        <v>120</v>
      </c>
      <c r="O314" s="46" t="n">
        <f aca="false">M314+N314</f>
        <v>204</v>
      </c>
      <c r="P314" s="47" t="n">
        <f aca="false">IF(O314&lt;K314,ROUNDUP((K314-O314)/G314,0)*G314,0)</f>
        <v>60</v>
      </c>
      <c r="Q314" s="46" t="n">
        <f aca="false">MIN(M314,I314)</f>
        <v>63</v>
      </c>
      <c r="R314" s="46" t="n">
        <f aca="false">I314-Q314</f>
        <v>0</v>
      </c>
      <c r="S314" s="46" t="n">
        <f aca="false">M314-Q314</f>
        <v>21</v>
      </c>
      <c r="T314" s="46" t="n">
        <f aca="false">IF(R314&gt;0,1,0)</f>
        <v>0</v>
      </c>
      <c r="U314" s="32" t="n">
        <f aca="false">INDEX(Forecast!$AY$7:$AY$54,C314)</f>
        <v>2</v>
      </c>
      <c r="V314" s="33" t="n">
        <f aca="false">CHOOSE(U314,INDEX(Forecast_Walkforward!$D:$D,H314),INDEX(Forecast_Walkforward!$E:$E,H314),INDEX(Forecast_Walkforward!$F:$F,H314),INDEX(Forecast_Walkforward!$G:$G,H314))</f>
        <v>65.75</v>
      </c>
      <c r="W314" s="79" t="n">
        <f aca="false">INDEX(Forecast!$BA$7:$BA$54,C314)</f>
        <v>7.24376910174508</v>
      </c>
      <c r="X314" s="33" t="n">
        <f aca="false">Z_Value*W314*SQRT(D314)</f>
        <v>20.6372812409498</v>
      </c>
      <c r="Y314" s="33" t="n">
        <f aca="false">V314*D314+X314</f>
        <v>217.88728124095</v>
      </c>
      <c r="Z314" s="33" t="n">
        <f aca="false">SQRT((2*V314*Weeks_Per_Year*F314)/(E314*Holding_Rate))</f>
        <v>358.067731023057</v>
      </c>
      <c r="AA314" s="46" t="n">
        <f aca="false">ROUNDUP(Z314/G314,0)*G314</f>
        <v>360</v>
      </c>
      <c r="AB314" s="46" t="n">
        <f aca="false">SUMIFS(AF$309:AF313,$B$309:$B313,$B314-$D314)</f>
        <v>360</v>
      </c>
      <c r="AC314" s="46" t="n">
        <f aca="false">AI313+AB314</f>
        <v>360</v>
      </c>
      <c r="AD314" s="46" t="n">
        <f aca="false">SUMIFS(AF$309:AF313,$B$309:$B313,"&gt;"&amp;($B314-$D314))</f>
        <v>0</v>
      </c>
      <c r="AE314" s="46" t="n">
        <f aca="false">AC314+AD314</f>
        <v>360</v>
      </c>
      <c r="AF314" s="47" t="n">
        <f aca="false">IF(AE314&lt;=Y314,AA314,0)</f>
        <v>0</v>
      </c>
      <c r="AG314" s="46" t="n">
        <f aca="false">MIN(AC314,I314)</f>
        <v>63</v>
      </c>
      <c r="AH314" s="46" t="n">
        <f aca="false">I314-AG314</f>
        <v>0</v>
      </c>
      <c r="AI314" s="46" t="n">
        <f aca="false">AC314-AG314</f>
        <v>297</v>
      </c>
      <c r="AJ314" s="46" t="n">
        <f aca="false">IF(AH314&gt;0,1,0)</f>
        <v>0</v>
      </c>
    </row>
    <row r="315" customFormat="false" ht="15" hidden="false" customHeight="false" outlineLevel="0" collapsed="false">
      <c r="A315" s="31" t="str">
        <f aca="false">Inputs!$B$56</f>
        <v>BTH-007</v>
      </c>
      <c r="B315" s="46" t="n">
        <f aca="false">B314+1</f>
        <v>95</v>
      </c>
      <c r="C315" s="46" t="n">
        <f aca="false">MATCH(A315,Inputs!$B$40:$B$87,0)</f>
        <v>17</v>
      </c>
      <c r="D315" s="32" t="n">
        <f aca="false">INDEX(Inputs!$F$40:$F$87,C315)</f>
        <v>3</v>
      </c>
      <c r="E315" s="78" t="n">
        <f aca="false">INDEX(Inputs!$H$40:$H$87,C315)</f>
        <v>12</v>
      </c>
      <c r="F315" s="78" t="n">
        <f aca="false">INDEX(Inputs!$G$40:$G$87,C315)</f>
        <v>45</v>
      </c>
      <c r="G315" s="32" t="n">
        <f aca="false">INDEX(Inputs!$I$40:$I$87,C315)</f>
        <v>12</v>
      </c>
      <c r="H315" s="46" t="n">
        <f aca="false">MATCH(A315,Demand_History!$C:$C,0)+B315-1</f>
        <v>1760</v>
      </c>
      <c r="I315" s="32" t="n">
        <f aca="false">INDEX(Forecast_Walkforward!$C:$C,H315)</f>
        <v>64</v>
      </c>
      <c r="J315" s="79" t="n">
        <f aca="false">INDEX(Forecast_Walkforward!$E:$E,H315)</f>
        <v>63.5</v>
      </c>
      <c r="K315" s="33" t="n">
        <f aca="false">Baseline_Weeks*J315</f>
        <v>254</v>
      </c>
      <c r="L315" s="46" t="n">
        <f aca="false">SUMIFS(P$309:P314,$B$309:$B314,$B315-$D315)</f>
        <v>84</v>
      </c>
      <c r="M315" s="46" t="n">
        <f aca="false">S314+L315</f>
        <v>105</v>
      </c>
      <c r="N315" s="46" t="n">
        <f aca="false">SUMIFS(P$309:P314,$B$309:$B314,"&gt;"&amp;($B315-$D315))</f>
        <v>96</v>
      </c>
      <c r="O315" s="46" t="n">
        <f aca="false">M315+N315</f>
        <v>201</v>
      </c>
      <c r="P315" s="47" t="n">
        <f aca="false">IF(O315&lt;K315,ROUNDUP((K315-O315)/G315,0)*G315,0)</f>
        <v>60</v>
      </c>
      <c r="Q315" s="46" t="n">
        <f aca="false">MIN(M315,I315)</f>
        <v>64</v>
      </c>
      <c r="R315" s="46" t="n">
        <f aca="false">I315-Q315</f>
        <v>0</v>
      </c>
      <c r="S315" s="46" t="n">
        <f aca="false">M315-Q315</f>
        <v>41</v>
      </c>
      <c r="T315" s="46" t="n">
        <f aca="false">IF(R315&gt;0,1,0)</f>
        <v>0</v>
      </c>
      <c r="U315" s="32" t="n">
        <f aca="false">INDEX(Forecast!$AY$7:$AY$54,C315)</f>
        <v>2</v>
      </c>
      <c r="V315" s="33" t="n">
        <f aca="false">CHOOSE(U315,INDEX(Forecast_Walkforward!$D:$D,H315),INDEX(Forecast_Walkforward!$E:$E,H315),INDEX(Forecast_Walkforward!$F:$F,H315),INDEX(Forecast_Walkforward!$G:$G,H315))</f>
        <v>63.5</v>
      </c>
      <c r="W315" s="79" t="n">
        <f aca="false">INDEX(Forecast!$BA$7:$BA$54,C315)</f>
        <v>7.24376910174508</v>
      </c>
      <c r="X315" s="33" t="n">
        <f aca="false">Z_Value*W315*SQRT(D315)</f>
        <v>20.6372812409498</v>
      </c>
      <c r="Y315" s="33" t="n">
        <f aca="false">V315*D315+X315</f>
        <v>211.13728124095</v>
      </c>
      <c r="Z315" s="33" t="n">
        <f aca="false">SQRT((2*V315*Weeks_Per_Year*F315)/(E315*Holding_Rate))</f>
        <v>351.887766198258</v>
      </c>
      <c r="AA315" s="46" t="n">
        <f aca="false">ROUNDUP(Z315/G315,0)*G315</f>
        <v>360</v>
      </c>
      <c r="AB315" s="46" t="n">
        <f aca="false">SUMIFS(AF$309:AF314,$B$309:$B314,$B315-$D315)</f>
        <v>0</v>
      </c>
      <c r="AC315" s="46" t="n">
        <f aca="false">AI314+AB315</f>
        <v>297</v>
      </c>
      <c r="AD315" s="46" t="n">
        <f aca="false">SUMIFS(AF$309:AF314,$B$309:$B314,"&gt;"&amp;($B315-$D315))</f>
        <v>0</v>
      </c>
      <c r="AE315" s="46" t="n">
        <f aca="false">AC315+AD315</f>
        <v>297</v>
      </c>
      <c r="AF315" s="47" t="n">
        <f aca="false">IF(AE315&lt;=Y315,AA315,0)</f>
        <v>0</v>
      </c>
      <c r="AG315" s="46" t="n">
        <f aca="false">MIN(AC315,I315)</f>
        <v>64</v>
      </c>
      <c r="AH315" s="46" t="n">
        <f aca="false">I315-AG315</f>
        <v>0</v>
      </c>
      <c r="AI315" s="46" t="n">
        <f aca="false">AC315-AG315</f>
        <v>233</v>
      </c>
      <c r="AJ315" s="46" t="n">
        <f aca="false">IF(AH315&gt;0,1,0)</f>
        <v>0</v>
      </c>
    </row>
    <row r="316" customFormat="false" ht="15" hidden="false" customHeight="false" outlineLevel="0" collapsed="false">
      <c r="A316" s="31" t="str">
        <f aca="false">Inputs!$B$56</f>
        <v>BTH-007</v>
      </c>
      <c r="B316" s="46" t="n">
        <f aca="false">B315+1</f>
        <v>96</v>
      </c>
      <c r="C316" s="46" t="n">
        <f aca="false">MATCH(A316,Inputs!$B$40:$B$87,0)</f>
        <v>17</v>
      </c>
      <c r="D316" s="32" t="n">
        <f aca="false">INDEX(Inputs!$F$40:$F$87,C316)</f>
        <v>3</v>
      </c>
      <c r="E316" s="78" t="n">
        <f aca="false">INDEX(Inputs!$H$40:$H$87,C316)</f>
        <v>12</v>
      </c>
      <c r="F316" s="78" t="n">
        <f aca="false">INDEX(Inputs!$G$40:$G$87,C316)</f>
        <v>45</v>
      </c>
      <c r="G316" s="32" t="n">
        <f aca="false">INDEX(Inputs!$I$40:$I$87,C316)</f>
        <v>12</v>
      </c>
      <c r="H316" s="46" t="n">
        <f aca="false">MATCH(A316,Demand_History!$C:$C,0)+B316-1</f>
        <v>1761</v>
      </c>
      <c r="I316" s="32" t="n">
        <f aca="false">INDEX(Forecast_Walkforward!$C:$C,H316)</f>
        <v>68</v>
      </c>
      <c r="J316" s="79" t="n">
        <f aca="false">INDEX(Forecast_Walkforward!$E:$E,H316)</f>
        <v>61</v>
      </c>
      <c r="K316" s="33" t="n">
        <f aca="false">Baseline_Weeks*J316</f>
        <v>244</v>
      </c>
      <c r="L316" s="46" t="n">
        <f aca="false">SUMIFS(P$309:P315,$B$309:$B315,$B316-$D316)</f>
        <v>36</v>
      </c>
      <c r="M316" s="46" t="n">
        <f aca="false">S315+L316</f>
        <v>77</v>
      </c>
      <c r="N316" s="46" t="n">
        <f aca="false">SUMIFS(P$309:P315,$B$309:$B315,"&gt;"&amp;($B316-$D316))</f>
        <v>120</v>
      </c>
      <c r="O316" s="46" t="n">
        <f aca="false">M316+N316</f>
        <v>197</v>
      </c>
      <c r="P316" s="47" t="n">
        <f aca="false">IF(O316&lt;K316,ROUNDUP((K316-O316)/G316,0)*G316,0)</f>
        <v>48</v>
      </c>
      <c r="Q316" s="46" t="n">
        <f aca="false">MIN(M316,I316)</f>
        <v>68</v>
      </c>
      <c r="R316" s="46" t="n">
        <f aca="false">I316-Q316</f>
        <v>0</v>
      </c>
      <c r="S316" s="46" t="n">
        <f aca="false">M316-Q316</f>
        <v>9</v>
      </c>
      <c r="T316" s="46" t="n">
        <f aca="false">IF(R316&gt;0,1,0)</f>
        <v>0</v>
      </c>
      <c r="U316" s="32" t="n">
        <f aca="false">INDEX(Forecast!$AY$7:$AY$54,C316)</f>
        <v>2</v>
      </c>
      <c r="V316" s="33" t="n">
        <f aca="false">CHOOSE(U316,INDEX(Forecast_Walkforward!$D:$D,H316),INDEX(Forecast_Walkforward!$E:$E,H316),INDEX(Forecast_Walkforward!$F:$F,H316),INDEX(Forecast_Walkforward!$G:$G,H316))</f>
        <v>61</v>
      </c>
      <c r="W316" s="79" t="n">
        <f aca="false">INDEX(Forecast!$BA$7:$BA$54,C316)</f>
        <v>7.24376910174508</v>
      </c>
      <c r="X316" s="33" t="n">
        <f aca="false">Z_Value*W316*SQRT(D316)</f>
        <v>20.6372812409498</v>
      </c>
      <c r="Y316" s="33" t="n">
        <f aca="false">V316*D316+X316</f>
        <v>203.63728124095</v>
      </c>
      <c r="Z316" s="33" t="n">
        <f aca="false">SQRT((2*V316*Weeks_Per_Year*F316)/(E316*Holding_Rate))</f>
        <v>344.891287219611</v>
      </c>
      <c r="AA316" s="46" t="n">
        <f aca="false">ROUNDUP(Z316/G316,0)*G316</f>
        <v>348</v>
      </c>
      <c r="AB316" s="46" t="n">
        <f aca="false">SUMIFS(AF$309:AF315,$B$309:$B315,$B316-$D316)</f>
        <v>0</v>
      </c>
      <c r="AC316" s="46" t="n">
        <f aca="false">AI315+AB316</f>
        <v>233</v>
      </c>
      <c r="AD316" s="46" t="n">
        <f aca="false">SUMIFS(AF$309:AF315,$B$309:$B315,"&gt;"&amp;($B316-$D316))</f>
        <v>0</v>
      </c>
      <c r="AE316" s="46" t="n">
        <f aca="false">AC316+AD316</f>
        <v>233</v>
      </c>
      <c r="AF316" s="47" t="n">
        <f aca="false">IF(AE316&lt;=Y316,AA316,0)</f>
        <v>0</v>
      </c>
      <c r="AG316" s="46" t="n">
        <f aca="false">MIN(AC316,I316)</f>
        <v>68</v>
      </c>
      <c r="AH316" s="46" t="n">
        <f aca="false">I316-AG316</f>
        <v>0</v>
      </c>
      <c r="AI316" s="46" t="n">
        <f aca="false">AC316-AG316</f>
        <v>165</v>
      </c>
      <c r="AJ316" s="46" t="n">
        <f aca="false">IF(AH316&gt;0,1,0)</f>
        <v>0</v>
      </c>
    </row>
    <row r="317" customFormat="false" ht="15" hidden="false" customHeight="false" outlineLevel="0" collapsed="false">
      <c r="A317" s="31" t="str">
        <f aca="false">Inputs!$B$56</f>
        <v>BTH-007</v>
      </c>
      <c r="B317" s="46" t="n">
        <f aca="false">B316+1</f>
        <v>97</v>
      </c>
      <c r="C317" s="46" t="n">
        <f aca="false">MATCH(A317,Inputs!$B$40:$B$87,0)</f>
        <v>17</v>
      </c>
      <c r="D317" s="32" t="n">
        <f aca="false">INDEX(Inputs!$F$40:$F$87,C317)</f>
        <v>3</v>
      </c>
      <c r="E317" s="78" t="n">
        <f aca="false">INDEX(Inputs!$H$40:$H$87,C317)</f>
        <v>12</v>
      </c>
      <c r="F317" s="78" t="n">
        <f aca="false">INDEX(Inputs!$G$40:$G$87,C317)</f>
        <v>45</v>
      </c>
      <c r="G317" s="32" t="n">
        <f aca="false">INDEX(Inputs!$I$40:$I$87,C317)</f>
        <v>12</v>
      </c>
      <c r="H317" s="46" t="n">
        <f aca="false">MATCH(A317,Demand_History!$C:$C,0)+B317-1</f>
        <v>1762</v>
      </c>
      <c r="I317" s="32" t="n">
        <f aca="false">INDEX(Forecast_Walkforward!$C:$C,H317)</f>
        <v>55</v>
      </c>
      <c r="J317" s="79" t="n">
        <f aca="false">INDEX(Forecast_Walkforward!$E:$E,H317)</f>
        <v>65.75</v>
      </c>
      <c r="K317" s="33" t="n">
        <f aca="false">Baseline_Weeks*J317</f>
        <v>263</v>
      </c>
      <c r="L317" s="46" t="n">
        <f aca="false">SUMIFS(P$309:P316,$B$309:$B316,$B317-$D317)</f>
        <v>60</v>
      </c>
      <c r="M317" s="46" t="n">
        <f aca="false">S316+L317</f>
        <v>69</v>
      </c>
      <c r="N317" s="46" t="n">
        <f aca="false">SUMIFS(P$309:P316,$B$309:$B316,"&gt;"&amp;($B317-$D317))</f>
        <v>108</v>
      </c>
      <c r="O317" s="46" t="n">
        <f aca="false">M317+N317</f>
        <v>177</v>
      </c>
      <c r="P317" s="47" t="n">
        <f aca="false">IF(O317&lt;K317,ROUNDUP((K317-O317)/G317,0)*G317,0)</f>
        <v>96</v>
      </c>
      <c r="Q317" s="46" t="n">
        <f aca="false">MIN(M317,I317)</f>
        <v>55</v>
      </c>
      <c r="R317" s="46" t="n">
        <f aca="false">I317-Q317</f>
        <v>0</v>
      </c>
      <c r="S317" s="46" t="n">
        <f aca="false">M317-Q317</f>
        <v>14</v>
      </c>
      <c r="T317" s="46" t="n">
        <f aca="false">IF(R317&gt;0,1,0)</f>
        <v>0</v>
      </c>
      <c r="U317" s="32" t="n">
        <f aca="false">INDEX(Forecast!$AY$7:$AY$54,C317)</f>
        <v>2</v>
      </c>
      <c r="V317" s="33" t="n">
        <f aca="false">CHOOSE(U317,INDEX(Forecast_Walkforward!$D:$D,H317),INDEX(Forecast_Walkforward!$E:$E,H317),INDEX(Forecast_Walkforward!$F:$F,H317),INDEX(Forecast_Walkforward!$G:$G,H317))</f>
        <v>65.75</v>
      </c>
      <c r="W317" s="79" t="n">
        <f aca="false">INDEX(Forecast!$BA$7:$BA$54,C317)</f>
        <v>7.24376910174508</v>
      </c>
      <c r="X317" s="33" t="n">
        <f aca="false">Z_Value*W317*SQRT(D317)</f>
        <v>20.6372812409498</v>
      </c>
      <c r="Y317" s="33" t="n">
        <f aca="false">V317*D317+X317</f>
        <v>217.88728124095</v>
      </c>
      <c r="Z317" s="33" t="n">
        <f aca="false">SQRT((2*V317*Weeks_Per_Year*F317)/(E317*Holding_Rate))</f>
        <v>358.067731023057</v>
      </c>
      <c r="AA317" s="46" t="n">
        <f aca="false">ROUNDUP(Z317/G317,0)*G317</f>
        <v>360</v>
      </c>
      <c r="AB317" s="46" t="n">
        <f aca="false">SUMIFS(AF$309:AF316,$B$309:$B316,$B317-$D317)</f>
        <v>0</v>
      </c>
      <c r="AC317" s="46" t="n">
        <f aca="false">AI316+AB317</f>
        <v>165</v>
      </c>
      <c r="AD317" s="46" t="n">
        <f aca="false">SUMIFS(AF$309:AF316,$B$309:$B316,"&gt;"&amp;($B317-$D317))</f>
        <v>0</v>
      </c>
      <c r="AE317" s="46" t="n">
        <f aca="false">AC317+AD317</f>
        <v>165</v>
      </c>
      <c r="AF317" s="47" t="n">
        <f aca="false">IF(AE317&lt;=Y317,AA317,0)</f>
        <v>360</v>
      </c>
      <c r="AG317" s="46" t="n">
        <f aca="false">MIN(AC317,I317)</f>
        <v>55</v>
      </c>
      <c r="AH317" s="46" t="n">
        <f aca="false">I317-AG317</f>
        <v>0</v>
      </c>
      <c r="AI317" s="46" t="n">
        <f aca="false">AC317-AG317</f>
        <v>110</v>
      </c>
      <c r="AJ317" s="46" t="n">
        <f aca="false">IF(AH317&gt;0,1,0)</f>
        <v>0</v>
      </c>
    </row>
    <row r="318" customFormat="false" ht="15" hidden="false" customHeight="false" outlineLevel="0" collapsed="false">
      <c r="A318" s="31" t="str">
        <f aca="false">Inputs!$B$56</f>
        <v>BTH-007</v>
      </c>
      <c r="B318" s="46" t="n">
        <f aca="false">B317+1</f>
        <v>98</v>
      </c>
      <c r="C318" s="46" t="n">
        <f aca="false">MATCH(A318,Inputs!$B$40:$B$87,0)</f>
        <v>17</v>
      </c>
      <c r="D318" s="32" t="n">
        <f aca="false">INDEX(Inputs!$F$40:$F$87,C318)</f>
        <v>3</v>
      </c>
      <c r="E318" s="78" t="n">
        <f aca="false">INDEX(Inputs!$H$40:$H$87,C318)</f>
        <v>12</v>
      </c>
      <c r="F318" s="78" t="n">
        <f aca="false">INDEX(Inputs!$G$40:$G$87,C318)</f>
        <v>45</v>
      </c>
      <c r="G318" s="32" t="n">
        <f aca="false">INDEX(Inputs!$I$40:$I$87,C318)</f>
        <v>12</v>
      </c>
      <c r="H318" s="46" t="n">
        <f aca="false">MATCH(A318,Demand_History!$C:$C,0)+B318-1</f>
        <v>1763</v>
      </c>
      <c r="I318" s="32" t="n">
        <f aca="false">INDEX(Forecast_Walkforward!$C:$C,H318)</f>
        <v>56</v>
      </c>
      <c r="J318" s="79" t="n">
        <f aca="false">INDEX(Forecast_Walkforward!$E:$E,H318)</f>
        <v>62.5</v>
      </c>
      <c r="K318" s="33" t="n">
        <f aca="false">Baseline_Weeks*J318</f>
        <v>250</v>
      </c>
      <c r="L318" s="46" t="n">
        <f aca="false">SUMIFS(P$309:P317,$B$309:$B317,$B318-$D318)</f>
        <v>60</v>
      </c>
      <c r="M318" s="46" t="n">
        <f aca="false">S317+L318</f>
        <v>74</v>
      </c>
      <c r="N318" s="46" t="n">
        <f aca="false">SUMIFS(P$309:P317,$B$309:$B317,"&gt;"&amp;($B318-$D318))</f>
        <v>144</v>
      </c>
      <c r="O318" s="46" t="n">
        <f aca="false">M318+N318</f>
        <v>218</v>
      </c>
      <c r="P318" s="47" t="n">
        <f aca="false">IF(O318&lt;K318,ROUNDUP((K318-O318)/G318,0)*G318,0)</f>
        <v>36</v>
      </c>
      <c r="Q318" s="46" t="n">
        <f aca="false">MIN(M318,I318)</f>
        <v>56</v>
      </c>
      <c r="R318" s="46" t="n">
        <f aca="false">I318-Q318</f>
        <v>0</v>
      </c>
      <c r="S318" s="46" t="n">
        <f aca="false">M318-Q318</f>
        <v>18</v>
      </c>
      <c r="T318" s="46" t="n">
        <f aca="false">IF(R318&gt;0,1,0)</f>
        <v>0</v>
      </c>
      <c r="U318" s="32" t="n">
        <f aca="false">INDEX(Forecast!$AY$7:$AY$54,C318)</f>
        <v>2</v>
      </c>
      <c r="V318" s="33" t="n">
        <f aca="false">CHOOSE(U318,INDEX(Forecast_Walkforward!$D:$D,H318),INDEX(Forecast_Walkforward!$E:$E,H318),INDEX(Forecast_Walkforward!$F:$F,H318),INDEX(Forecast_Walkforward!$G:$G,H318))</f>
        <v>62.5</v>
      </c>
      <c r="W318" s="79" t="n">
        <f aca="false">INDEX(Forecast!$BA$7:$BA$54,C318)</f>
        <v>7.24376910174508</v>
      </c>
      <c r="X318" s="33" t="n">
        <f aca="false">Z_Value*W318*SQRT(D318)</f>
        <v>20.6372812409498</v>
      </c>
      <c r="Y318" s="33" t="n">
        <f aca="false">V318*D318+X318</f>
        <v>208.13728124095</v>
      </c>
      <c r="Z318" s="33" t="n">
        <f aca="false">SQRT((2*V318*Weeks_Per_Year*F318)/(E318*Holding_Rate))</f>
        <v>349.106001094224</v>
      </c>
      <c r="AA318" s="46" t="n">
        <f aca="false">ROUNDUP(Z318/G318,0)*G318</f>
        <v>360</v>
      </c>
      <c r="AB318" s="46" t="n">
        <f aca="false">SUMIFS(AF$309:AF317,$B$309:$B317,$B318-$D318)</f>
        <v>0</v>
      </c>
      <c r="AC318" s="46" t="n">
        <f aca="false">AI317+AB318</f>
        <v>110</v>
      </c>
      <c r="AD318" s="46" t="n">
        <f aca="false">SUMIFS(AF$309:AF317,$B$309:$B317,"&gt;"&amp;($B318-$D318))</f>
        <v>360</v>
      </c>
      <c r="AE318" s="46" t="n">
        <f aca="false">AC318+AD318</f>
        <v>470</v>
      </c>
      <c r="AF318" s="47" t="n">
        <f aca="false">IF(AE318&lt;=Y318,AA318,0)</f>
        <v>0</v>
      </c>
      <c r="AG318" s="46" t="n">
        <f aca="false">MIN(AC318,I318)</f>
        <v>56</v>
      </c>
      <c r="AH318" s="46" t="n">
        <f aca="false">I318-AG318</f>
        <v>0</v>
      </c>
      <c r="AI318" s="46" t="n">
        <f aca="false">AC318-AG318</f>
        <v>54</v>
      </c>
      <c r="AJ318" s="46" t="n">
        <f aca="false">IF(AH318&gt;0,1,0)</f>
        <v>0</v>
      </c>
    </row>
    <row r="319" customFormat="false" ht="15" hidden="false" customHeight="false" outlineLevel="0" collapsed="false">
      <c r="A319" s="31" t="str">
        <f aca="false">Inputs!$B$56</f>
        <v>BTH-007</v>
      </c>
      <c r="B319" s="46" t="n">
        <f aca="false">B318+1</f>
        <v>99</v>
      </c>
      <c r="C319" s="46" t="n">
        <f aca="false">MATCH(A319,Inputs!$B$40:$B$87,0)</f>
        <v>17</v>
      </c>
      <c r="D319" s="32" t="n">
        <f aca="false">INDEX(Inputs!$F$40:$F$87,C319)</f>
        <v>3</v>
      </c>
      <c r="E319" s="78" t="n">
        <f aca="false">INDEX(Inputs!$H$40:$H$87,C319)</f>
        <v>12</v>
      </c>
      <c r="F319" s="78" t="n">
        <f aca="false">INDEX(Inputs!$G$40:$G$87,C319)</f>
        <v>45</v>
      </c>
      <c r="G319" s="32" t="n">
        <f aca="false">INDEX(Inputs!$I$40:$I$87,C319)</f>
        <v>12</v>
      </c>
      <c r="H319" s="46" t="n">
        <f aca="false">MATCH(A319,Demand_History!$C:$C,0)+B319-1</f>
        <v>1764</v>
      </c>
      <c r="I319" s="32" t="n">
        <f aca="false">INDEX(Forecast_Walkforward!$C:$C,H319)</f>
        <v>54</v>
      </c>
      <c r="J319" s="79" t="n">
        <f aca="false">INDEX(Forecast_Walkforward!$E:$E,H319)</f>
        <v>60.75</v>
      </c>
      <c r="K319" s="33" t="n">
        <f aca="false">Baseline_Weeks*J319</f>
        <v>243</v>
      </c>
      <c r="L319" s="46" t="n">
        <f aca="false">SUMIFS(P$309:P318,$B$309:$B318,$B319-$D319)</f>
        <v>48</v>
      </c>
      <c r="M319" s="46" t="n">
        <f aca="false">S318+L319</f>
        <v>66</v>
      </c>
      <c r="N319" s="46" t="n">
        <f aca="false">SUMIFS(P$309:P318,$B$309:$B318,"&gt;"&amp;($B319-$D319))</f>
        <v>132</v>
      </c>
      <c r="O319" s="46" t="n">
        <f aca="false">M319+N319</f>
        <v>198</v>
      </c>
      <c r="P319" s="47" t="n">
        <f aca="false">IF(O319&lt;K319,ROUNDUP((K319-O319)/G319,0)*G319,0)</f>
        <v>48</v>
      </c>
      <c r="Q319" s="46" t="n">
        <f aca="false">MIN(M319,I319)</f>
        <v>54</v>
      </c>
      <c r="R319" s="46" t="n">
        <f aca="false">I319-Q319</f>
        <v>0</v>
      </c>
      <c r="S319" s="46" t="n">
        <f aca="false">M319-Q319</f>
        <v>12</v>
      </c>
      <c r="T319" s="46" t="n">
        <f aca="false">IF(R319&gt;0,1,0)</f>
        <v>0</v>
      </c>
      <c r="U319" s="32" t="n">
        <f aca="false">INDEX(Forecast!$AY$7:$AY$54,C319)</f>
        <v>2</v>
      </c>
      <c r="V319" s="33" t="n">
        <f aca="false">CHOOSE(U319,INDEX(Forecast_Walkforward!$D:$D,H319),INDEX(Forecast_Walkforward!$E:$E,H319),INDEX(Forecast_Walkforward!$F:$F,H319),INDEX(Forecast_Walkforward!$G:$G,H319))</f>
        <v>60.75</v>
      </c>
      <c r="W319" s="79" t="n">
        <f aca="false">INDEX(Forecast!$BA$7:$BA$54,C319)</f>
        <v>7.24376910174508</v>
      </c>
      <c r="X319" s="33" t="n">
        <f aca="false">Z_Value*W319*SQRT(D319)</f>
        <v>20.6372812409498</v>
      </c>
      <c r="Y319" s="33" t="n">
        <f aca="false">V319*D319+X319</f>
        <v>202.88728124095</v>
      </c>
      <c r="Z319" s="33" t="n">
        <f aca="false">SQRT((2*V319*Weeks_Per_Year*F319)/(E319*Holding_Rate))</f>
        <v>344.183817167513</v>
      </c>
      <c r="AA319" s="46" t="n">
        <f aca="false">ROUNDUP(Z319/G319,0)*G319</f>
        <v>348</v>
      </c>
      <c r="AB319" s="46" t="n">
        <f aca="false">SUMIFS(AF$309:AF318,$B$309:$B318,$B319-$D319)</f>
        <v>0</v>
      </c>
      <c r="AC319" s="46" t="n">
        <f aca="false">AI318+AB319</f>
        <v>54</v>
      </c>
      <c r="AD319" s="46" t="n">
        <f aca="false">SUMIFS(AF$309:AF318,$B$309:$B318,"&gt;"&amp;($B319-$D319))</f>
        <v>360</v>
      </c>
      <c r="AE319" s="46" t="n">
        <f aca="false">AC319+AD319</f>
        <v>414</v>
      </c>
      <c r="AF319" s="47" t="n">
        <f aca="false">IF(AE319&lt;=Y319,AA319,0)</f>
        <v>0</v>
      </c>
      <c r="AG319" s="46" t="n">
        <f aca="false">MIN(AC319,I319)</f>
        <v>54</v>
      </c>
      <c r="AH319" s="46" t="n">
        <f aca="false">I319-AG319</f>
        <v>0</v>
      </c>
      <c r="AI319" s="46" t="n">
        <f aca="false">AC319-AG319</f>
        <v>0</v>
      </c>
      <c r="AJ319" s="46" t="n">
        <f aca="false">IF(AH319&gt;0,1,0)</f>
        <v>0</v>
      </c>
    </row>
    <row r="320" customFormat="false" ht="15" hidden="false" customHeight="false" outlineLevel="0" collapsed="false">
      <c r="A320" s="31" t="str">
        <f aca="false">Inputs!$B$56</f>
        <v>BTH-007</v>
      </c>
      <c r="B320" s="46" t="n">
        <f aca="false">B319+1</f>
        <v>100</v>
      </c>
      <c r="C320" s="46" t="n">
        <f aca="false">MATCH(A320,Inputs!$B$40:$B$87,0)</f>
        <v>17</v>
      </c>
      <c r="D320" s="32" t="n">
        <f aca="false">INDEX(Inputs!$F$40:$F$87,C320)</f>
        <v>3</v>
      </c>
      <c r="E320" s="78" t="n">
        <f aca="false">INDEX(Inputs!$H$40:$H$87,C320)</f>
        <v>12</v>
      </c>
      <c r="F320" s="78" t="n">
        <f aca="false">INDEX(Inputs!$G$40:$G$87,C320)</f>
        <v>45</v>
      </c>
      <c r="G320" s="32" t="n">
        <f aca="false">INDEX(Inputs!$I$40:$I$87,C320)</f>
        <v>12</v>
      </c>
      <c r="H320" s="46" t="n">
        <f aca="false">MATCH(A320,Demand_History!$C:$C,0)+B320-1</f>
        <v>1765</v>
      </c>
      <c r="I320" s="32" t="n">
        <f aca="false">INDEX(Forecast_Walkforward!$C:$C,H320)</f>
        <v>55</v>
      </c>
      <c r="J320" s="79" t="n">
        <f aca="false">INDEX(Forecast_Walkforward!$E:$E,H320)</f>
        <v>58.25</v>
      </c>
      <c r="K320" s="33" t="n">
        <f aca="false">Baseline_Weeks*J320</f>
        <v>233</v>
      </c>
      <c r="L320" s="46" t="n">
        <f aca="false">SUMIFS(P$309:P319,$B$309:$B319,$B320-$D320)</f>
        <v>96</v>
      </c>
      <c r="M320" s="46" t="n">
        <f aca="false">S319+L320</f>
        <v>108</v>
      </c>
      <c r="N320" s="46" t="n">
        <f aca="false">SUMIFS(P$309:P319,$B$309:$B319,"&gt;"&amp;($B320-$D320))</f>
        <v>84</v>
      </c>
      <c r="O320" s="46" t="n">
        <f aca="false">M320+N320</f>
        <v>192</v>
      </c>
      <c r="P320" s="47" t="n">
        <f aca="false">IF(O320&lt;K320,ROUNDUP((K320-O320)/G320,0)*G320,0)</f>
        <v>48</v>
      </c>
      <c r="Q320" s="46" t="n">
        <f aca="false">MIN(M320,I320)</f>
        <v>55</v>
      </c>
      <c r="R320" s="46" t="n">
        <f aca="false">I320-Q320</f>
        <v>0</v>
      </c>
      <c r="S320" s="46" t="n">
        <f aca="false">M320-Q320</f>
        <v>53</v>
      </c>
      <c r="T320" s="46" t="n">
        <f aca="false">IF(R320&gt;0,1,0)</f>
        <v>0</v>
      </c>
      <c r="U320" s="32" t="n">
        <f aca="false">INDEX(Forecast!$AY$7:$AY$54,C320)</f>
        <v>2</v>
      </c>
      <c r="V320" s="33" t="n">
        <f aca="false">CHOOSE(U320,INDEX(Forecast_Walkforward!$D:$D,H320),INDEX(Forecast_Walkforward!$E:$E,H320),INDEX(Forecast_Walkforward!$F:$F,H320),INDEX(Forecast_Walkforward!$G:$G,H320))</f>
        <v>58.25</v>
      </c>
      <c r="W320" s="79" t="n">
        <f aca="false">INDEX(Forecast!$BA$7:$BA$54,C320)</f>
        <v>7.24376910174508</v>
      </c>
      <c r="X320" s="33" t="n">
        <f aca="false">Z_Value*W320*SQRT(D320)</f>
        <v>20.6372812409498</v>
      </c>
      <c r="Y320" s="33" t="n">
        <f aca="false">V320*D320+X320</f>
        <v>195.38728124095</v>
      </c>
      <c r="Z320" s="33" t="n">
        <f aca="false">SQRT((2*V320*Weeks_Per_Year*F320)/(E320*Holding_Rate))</f>
        <v>337.027446953509</v>
      </c>
      <c r="AA320" s="46" t="n">
        <f aca="false">ROUNDUP(Z320/G320,0)*G320</f>
        <v>348</v>
      </c>
      <c r="AB320" s="46" t="n">
        <f aca="false">SUMIFS(AF$309:AF319,$B$309:$B319,$B320-$D320)</f>
        <v>360</v>
      </c>
      <c r="AC320" s="46" t="n">
        <f aca="false">AI319+AB320</f>
        <v>360</v>
      </c>
      <c r="AD320" s="46" t="n">
        <f aca="false">SUMIFS(AF$309:AF319,$B$309:$B319,"&gt;"&amp;($B320-$D320))</f>
        <v>0</v>
      </c>
      <c r="AE320" s="46" t="n">
        <f aca="false">AC320+AD320</f>
        <v>360</v>
      </c>
      <c r="AF320" s="47" t="n">
        <f aca="false">IF(AE320&lt;=Y320,AA320,0)</f>
        <v>0</v>
      </c>
      <c r="AG320" s="46" t="n">
        <f aca="false">MIN(AC320,I320)</f>
        <v>55</v>
      </c>
      <c r="AH320" s="46" t="n">
        <f aca="false">I320-AG320</f>
        <v>0</v>
      </c>
      <c r="AI320" s="46" t="n">
        <f aca="false">AC320-AG320</f>
        <v>305</v>
      </c>
      <c r="AJ320" s="46" t="n">
        <f aca="false">IF(AH320&gt;0,1,0)</f>
        <v>0</v>
      </c>
    </row>
    <row r="321" customFormat="false" ht="15" hidden="false" customHeight="false" outlineLevel="0" collapsed="false">
      <c r="A321" s="31" t="str">
        <f aca="false">Inputs!$B$56</f>
        <v>BTH-007</v>
      </c>
      <c r="B321" s="46" t="n">
        <f aca="false">B320+1</f>
        <v>101</v>
      </c>
      <c r="C321" s="46" t="n">
        <f aca="false">MATCH(A321,Inputs!$B$40:$B$87,0)</f>
        <v>17</v>
      </c>
      <c r="D321" s="32" t="n">
        <f aca="false">INDEX(Inputs!$F$40:$F$87,C321)</f>
        <v>3</v>
      </c>
      <c r="E321" s="78" t="n">
        <f aca="false">INDEX(Inputs!$H$40:$H$87,C321)</f>
        <v>12</v>
      </c>
      <c r="F321" s="78" t="n">
        <f aca="false">INDEX(Inputs!$G$40:$G$87,C321)</f>
        <v>45</v>
      </c>
      <c r="G321" s="32" t="n">
        <f aca="false">INDEX(Inputs!$I$40:$I$87,C321)</f>
        <v>12</v>
      </c>
      <c r="H321" s="46" t="n">
        <f aca="false">MATCH(A321,Demand_History!$C:$C,0)+B321-1</f>
        <v>1766</v>
      </c>
      <c r="I321" s="32" t="n">
        <f aca="false">INDEX(Forecast_Walkforward!$C:$C,H321)</f>
        <v>61</v>
      </c>
      <c r="J321" s="79" t="n">
        <f aca="false">INDEX(Forecast_Walkforward!$E:$E,H321)</f>
        <v>55</v>
      </c>
      <c r="K321" s="33" t="n">
        <f aca="false">Baseline_Weeks*J321</f>
        <v>220</v>
      </c>
      <c r="L321" s="46" t="n">
        <f aca="false">SUMIFS(P$309:P320,$B$309:$B320,$B321-$D321)</f>
        <v>36</v>
      </c>
      <c r="M321" s="46" t="n">
        <f aca="false">S320+L321</f>
        <v>89</v>
      </c>
      <c r="N321" s="46" t="n">
        <f aca="false">SUMIFS(P$309:P320,$B$309:$B320,"&gt;"&amp;($B321-$D321))</f>
        <v>96</v>
      </c>
      <c r="O321" s="46" t="n">
        <f aca="false">M321+N321</f>
        <v>185</v>
      </c>
      <c r="P321" s="47" t="n">
        <f aca="false">IF(O321&lt;K321,ROUNDUP((K321-O321)/G321,0)*G321,0)</f>
        <v>36</v>
      </c>
      <c r="Q321" s="46" t="n">
        <f aca="false">MIN(M321,I321)</f>
        <v>61</v>
      </c>
      <c r="R321" s="46" t="n">
        <f aca="false">I321-Q321</f>
        <v>0</v>
      </c>
      <c r="S321" s="46" t="n">
        <f aca="false">M321-Q321</f>
        <v>28</v>
      </c>
      <c r="T321" s="46" t="n">
        <f aca="false">IF(R321&gt;0,1,0)</f>
        <v>0</v>
      </c>
      <c r="U321" s="32" t="n">
        <f aca="false">INDEX(Forecast!$AY$7:$AY$54,C321)</f>
        <v>2</v>
      </c>
      <c r="V321" s="33" t="n">
        <f aca="false">CHOOSE(U321,INDEX(Forecast_Walkforward!$D:$D,H321),INDEX(Forecast_Walkforward!$E:$E,H321),INDEX(Forecast_Walkforward!$F:$F,H321),INDEX(Forecast_Walkforward!$G:$G,H321))</f>
        <v>55</v>
      </c>
      <c r="W321" s="79" t="n">
        <f aca="false">INDEX(Forecast!$BA$7:$BA$54,C321)</f>
        <v>7.24376910174508</v>
      </c>
      <c r="X321" s="33" t="n">
        <f aca="false">Z_Value*W321*SQRT(D321)</f>
        <v>20.6372812409498</v>
      </c>
      <c r="Y321" s="33" t="n">
        <f aca="false">V321*D321+X321</f>
        <v>185.63728124095</v>
      </c>
      <c r="Z321" s="33" t="n">
        <f aca="false">SQRT((2*V321*Weeks_Per_Year*F321)/(E321*Holding_Rate))</f>
        <v>327.490457876256</v>
      </c>
      <c r="AA321" s="46" t="n">
        <f aca="false">ROUNDUP(Z321/G321,0)*G321</f>
        <v>336</v>
      </c>
      <c r="AB321" s="46" t="n">
        <f aca="false">SUMIFS(AF$309:AF320,$B$309:$B320,$B321-$D321)</f>
        <v>0</v>
      </c>
      <c r="AC321" s="46" t="n">
        <f aca="false">AI320+AB321</f>
        <v>305</v>
      </c>
      <c r="AD321" s="46" t="n">
        <f aca="false">SUMIFS(AF$309:AF320,$B$309:$B320,"&gt;"&amp;($B321-$D321))</f>
        <v>0</v>
      </c>
      <c r="AE321" s="46" t="n">
        <f aca="false">AC321+AD321</f>
        <v>305</v>
      </c>
      <c r="AF321" s="47" t="n">
        <f aca="false">IF(AE321&lt;=Y321,AA321,0)</f>
        <v>0</v>
      </c>
      <c r="AG321" s="46" t="n">
        <f aca="false">MIN(AC321,I321)</f>
        <v>61</v>
      </c>
      <c r="AH321" s="46" t="n">
        <f aca="false">I321-AG321</f>
        <v>0</v>
      </c>
      <c r="AI321" s="46" t="n">
        <f aca="false">AC321-AG321</f>
        <v>244</v>
      </c>
      <c r="AJ321" s="46" t="n">
        <f aca="false">IF(AH321&gt;0,1,0)</f>
        <v>0</v>
      </c>
    </row>
    <row r="322" customFormat="false" ht="15" hidden="false" customHeight="false" outlineLevel="0" collapsed="false">
      <c r="A322" s="31" t="str">
        <f aca="false">Inputs!$B$56</f>
        <v>BTH-007</v>
      </c>
      <c r="B322" s="46" t="n">
        <f aca="false">B321+1</f>
        <v>102</v>
      </c>
      <c r="C322" s="46" t="n">
        <f aca="false">MATCH(A322,Inputs!$B$40:$B$87,0)</f>
        <v>17</v>
      </c>
      <c r="D322" s="32" t="n">
        <f aca="false">INDEX(Inputs!$F$40:$F$87,C322)</f>
        <v>3</v>
      </c>
      <c r="E322" s="78" t="n">
        <f aca="false">INDEX(Inputs!$H$40:$H$87,C322)</f>
        <v>12</v>
      </c>
      <c r="F322" s="78" t="n">
        <f aca="false">INDEX(Inputs!$G$40:$G$87,C322)</f>
        <v>45</v>
      </c>
      <c r="G322" s="32" t="n">
        <f aca="false">INDEX(Inputs!$I$40:$I$87,C322)</f>
        <v>12</v>
      </c>
      <c r="H322" s="46" t="n">
        <f aca="false">MATCH(A322,Demand_History!$C:$C,0)+B322-1</f>
        <v>1767</v>
      </c>
      <c r="I322" s="32" t="n">
        <f aca="false">INDEX(Forecast_Walkforward!$C:$C,H322)</f>
        <v>50</v>
      </c>
      <c r="J322" s="79" t="n">
        <f aca="false">INDEX(Forecast_Walkforward!$E:$E,H322)</f>
        <v>56.5</v>
      </c>
      <c r="K322" s="33" t="n">
        <f aca="false">Baseline_Weeks*J322</f>
        <v>226</v>
      </c>
      <c r="L322" s="46" t="n">
        <f aca="false">SUMIFS(P$309:P321,$B$309:$B321,$B322-$D322)</f>
        <v>48</v>
      </c>
      <c r="M322" s="46" t="n">
        <f aca="false">S321+L322</f>
        <v>76</v>
      </c>
      <c r="N322" s="46" t="n">
        <f aca="false">SUMIFS(P$309:P321,$B$309:$B321,"&gt;"&amp;($B322-$D322))</f>
        <v>84</v>
      </c>
      <c r="O322" s="46" t="n">
        <f aca="false">M322+N322</f>
        <v>160</v>
      </c>
      <c r="P322" s="47" t="n">
        <f aca="false">IF(O322&lt;K322,ROUNDUP((K322-O322)/G322,0)*G322,0)</f>
        <v>72</v>
      </c>
      <c r="Q322" s="46" t="n">
        <f aca="false">MIN(M322,I322)</f>
        <v>50</v>
      </c>
      <c r="R322" s="46" t="n">
        <f aca="false">I322-Q322</f>
        <v>0</v>
      </c>
      <c r="S322" s="46" t="n">
        <f aca="false">M322-Q322</f>
        <v>26</v>
      </c>
      <c r="T322" s="46" t="n">
        <f aca="false">IF(R322&gt;0,1,0)</f>
        <v>0</v>
      </c>
      <c r="U322" s="32" t="n">
        <f aca="false">INDEX(Forecast!$AY$7:$AY$54,C322)</f>
        <v>2</v>
      </c>
      <c r="V322" s="33" t="n">
        <f aca="false">CHOOSE(U322,INDEX(Forecast_Walkforward!$D:$D,H322),INDEX(Forecast_Walkforward!$E:$E,H322),INDEX(Forecast_Walkforward!$F:$F,H322),INDEX(Forecast_Walkforward!$G:$G,H322))</f>
        <v>56.5</v>
      </c>
      <c r="W322" s="79" t="n">
        <f aca="false">INDEX(Forecast!$BA$7:$BA$54,C322)</f>
        <v>7.24376910174508</v>
      </c>
      <c r="X322" s="33" t="n">
        <f aca="false">Z_Value*W322*SQRT(D322)</f>
        <v>20.6372812409498</v>
      </c>
      <c r="Y322" s="33" t="n">
        <f aca="false">V322*D322+X322</f>
        <v>190.13728124095</v>
      </c>
      <c r="Z322" s="33" t="n">
        <f aca="false">SQRT((2*V322*Weeks_Per_Year*F322)/(E322*Holding_Rate))</f>
        <v>331.926196616055</v>
      </c>
      <c r="AA322" s="46" t="n">
        <f aca="false">ROUNDUP(Z322/G322,0)*G322</f>
        <v>336</v>
      </c>
      <c r="AB322" s="46" t="n">
        <f aca="false">SUMIFS(AF$309:AF321,$B$309:$B321,$B322-$D322)</f>
        <v>0</v>
      </c>
      <c r="AC322" s="46" t="n">
        <f aca="false">AI321+AB322</f>
        <v>244</v>
      </c>
      <c r="AD322" s="46" t="n">
        <f aca="false">SUMIFS(AF$309:AF321,$B$309:$B321,"&gt;"&amp;($B322-$D322))</f>
        <v>0</v>
      </c>
      <c r="AE322" s="46" t="n">
        <f aca="false">AC322+AD322</f>
        <v>244</v>
      </c>
      <c r="AF322" s="47" t="n">
        <f aca="false">IF(AE322&lt;=Y322,AA322,0)</f>
        <v>0</v>
      </c>
      <c r="AG322" s="46" t="n">
        <f aca="false">MIN(AC322,I322)</f>
        <v>50</v>
      </c>
      <c r="AH322" s="46" t="n">
        <f aca="false">I322-AG322</f>
        <v>0</v>
      </c>
      <c r="AI322" s="46" t="n">
        <f aca="false">AC322-AG322</f>
        <v>194</v>
      </c>
      <c r="AJ322" s="46" t="n">
        <f aca="false">IF(AH322&gt;0,1,0)</f>
        <v>0</v>
      </c>
    </row>
    <row r="323" customFormat="false" ht="15" hidden="false" customHeight="false" outlineLevel="0" collapsed="false">
      <c r="A323" s="31" t="str">
        <f aca="false">Inputs!$B$56</f>
        <v>BTH-007</v>
      </c>
      <c r="B323" s="46" t="n">
        <f aca="false">B322+1</f>
        <v>103</v>
      </c>
      <c r="C323" s="46" t="n">
        <f aca="false">MATCH(A323,Inputs!$B$40:$B$87,0)</f>
        <v>17</v>
      </c>
      <c r="D323" s="32" t="n">
        <f aca="false">INDEX(Inputs!$F$40:$F$87,C323)</f>
        <v>3</v>
      </c>
      <c r="E323" s="78" t="n">
        <f aca="false">INDEX(Inputs!$H$40:$H$87,C323)</f>
        <v>12</v>
      </c>
      <c r="F323" s="78" t="n">
        <f aca="false">INDEX(Inputs!$G$40:$G$87,C323)</f>
        <v>45</v>
      </c>
      <c r="G323" s="32" t="n">
        <f aca="false">INDEX(Inputs!$I$40:$I$87,C323)</f>
        <v>12</v>
      </c>
      <c r="H323" s="46" t="n">
        <f aca="false">MATCH(A323,Demand_History!$C:$C,0)+B323-1</f>
        <v>1768</v>
      </c>
      <c r="I323" s="32" t="n">
        <f aca="false">INDEX(Forecast_Walkforward!$C:$C,H323)</f>
        <v>53</v>
      </c>
      <c r="J323" s="79" t="n">
        <f aca="false">INDEX(Forecast_Walkforward!$E:$E,H323)</f>
        <v>55</v>
      </c>
      <c r="K323" s="33" t="n">
        <f aca="false">Baseline_Weeks*J323</f>
        <v>220</v>
      </c>
      <c r="L323" s="46" t="n">
        <f aca="false">SUMIFS(P$309:P322,$B$309:$B322,$B323-$D323)</f>
        <v>48</v>
      </c>
      <c r="M323" s="46" t="n">
        <f aca="false">S322+L323</f>
        <v>74</v>
      </c>
      <c r="N323" s="46" t="n">
        <f aca="false">SUMIFS(P$309:P322,$B$309:$B322,"&gt;"&amp;($B323-$D323))</f>
        <v>108</v>
      </c>
      <c r="O323" s="46" t="n">
        <f aca="false">M323+N323</f>
        <v>182</v>
      </c>
      <c r="P323" s="47" t="n">
        <f aca="false">IF(O323&lt;K323,ROUNDUP((K323-O323)/G323,0)*G323,0)</f>
        <v>48</v>
      </c>
      <c r="Q323" s="46" t="n">
        <f aca="false">MIN(M323,I323)</f>
        <v>53</v>
      </c>
      <c r="R323" s="46" t="n">
        <f aca="false">I323-Q323</f>
        <v>0</v>
      </c>
      <c r="S323" s="46" t="n">
        <f aca="false">M323-Q323</f>
        <v>21</v>
      </c>
      <c r="T323" s="46" t="n">
        <f aca="false">IF(R323&gt;0,1,0)</f>
        <v>0</v>
      </c>
      <c r="U323" s="32" t="n">
        <f aca="false">INDEX(Forecast!$AY$7:$AY$54,C323)</f>
        <v>2</v>
      </c>
      <c r="V323" s="33" t="n">
        <f aca="false">CHOOSE(U323,INDEX(Forecast_Walkforward!$D:$D,H323),INDEX(Forecast_Walkforward!$E:$E,H323),INDEX(Forecast_Walkforward!$F:$F,H323),INDEX(Forecast_Walkforward!$G:$G,H323))</f>
        <v>55</v>
      </c>
      <c r="W323" s="79" t="n">
        <f aca="false">INDEX(Forecast!$BA$7:$BA$54,C323)</f>
        <v>7.24376910174508</v>
      </c>
      <c r="X323" s="33" t="n">
        <f aca="false">Z_Value*W323*SQRT(D323)</f>
        <v>20.6372812409498</v>
      </c>
      <c r="Y323" s="33" t="n">
        <f aca="false">V323*D323+X323</f>
        <v>185.63728124095</v>
      </c>
      <c r="Z323" s="33" t="n">
        <f aca="false">SQRT((2*V323*Weeks_Per_Year*F323)/(E323*Holding_Rate))</f>
        <v>327.490457876256</v>
      </c>
      <c r="AA323" s="46" t="n">
        <f aca="false">ROUNDUP(Z323/G323,0)*G323</f>
        <v>336</v>
      </c>
      <c r="AB323" s="46" t="n">
        <f aca="false">SUMIFS(AF$309:AF322,$B$309:$B322,$B323-$D323)</f>
        <v>0</v>
      </c>
      <c r="AC323" s="46" t="n">
        <f aca="false">AI322+AB323</f>
        <v>194</v>
      </c>
      <c r="AD323" s="46" t="n">
        <f aca="false">SUMIFS(AF$309:AF322,$B$309:$B322,"&gt;"&amp;($B323-$D323))</f>
        <v>0</v>
      </c>
      <c r="AE323" s="46" t="n">
        <f aca="false">AC323+AD323</f>
        <v>194</v>
      </c>
      <c r="AF323" s="47" t="n">
        <f aca="false">IF(AE323&lt;=Y323,AA323,0)</f>
        <v>0</v>
      </c>
      <c r="AG323" s="46" t="n">
        <f aca="false">MIN(AC323,I323)</f>
        <v>53</v>
      </c>
      <c r="AH323" s="46" t="n">
        <f aca="false">I323-AG323</f>
        <v>0</v>
      </c>
      <c r="AI323" s="46" t="n">
        <f aca="false">AC323-AG323</f>
        <v>141</v>
      </c>
      <c r="AJ323" s="46" t="n">
        <f aca="false">IF(AH323&gt;0,1,0)</f>
        <v>0</v>
      </c>
    </row>
    <row r="324" customFormat="false" ht="15" hidden="false" customHeight="false" outlineLevel="0" collapsed="false">
      <c r="A324" s="80" t="str">
        <f aca="false">Inputs!$B$56</f>
        <v>BTH-007</v>
      </c>
      <c r="B324" s="81" t="n">
        <f aca="false">B323+1</f>
        <v>104</v>
      </c>
      <c r="C324" s="81" t="n">
        <f aca="false">MATCH(A324,Inputs!$B$40:$B$87,0)</f>
        <v>17</v>
      </c>
      <c r="D324" s="82" t="n">
        <f aca="false">INDEX(Inputs!$F$40:$F$87,C324)</f>
        <v>3</v>
      </c>
      <c r="E324" s="83" t="n">
        <f aca="false">INDEX(Inputs!$H$40:$H$87,C324)</f>
        <v>12</v>
      </c>
      <c r="F324" s="83" t="n">
        <f aca="false">INDEX(Inputs!$G$40:$G$87,C324)</f>
        <v>45</v>
      </c>
      <c r="G324" s="82" t="n">
        <f aca="false">INDEX(Inputs!$I$40:$I$87,C324)</f>
        <v>12</v>
      </c>
      <c r="H324" s="81" t="n">
        <f aca="false">MATCH(A324,Demand_History!$C:$C,0)+B324-1</f>
        <v>1769</v>
      </c>
      <c r="I324" s="82" t="n">
        <f aca="false">INDEX(Forecast_Walkforward!$C:$C,H324)</f>
        <v>68</v>
      </c>
      <c r="J324" s="84" t="n">
        <f aca="false">INDEX(Forecast_Walkforward!$E:$E,H324)</f>
        <v>54.75</v>
      </c>
      <c r="K324" s="85" t="n">
        <f aca="false">Baseline_Weeks*J324</f>
        <v>219</v>
      </c>
      <c r="L324" s="81" t="n">
        <f aca="false">SUMIFS(P$309:P323,$B$309:$B323,$B324-$D324)</f>
        <v>36</v>
      </c>
      <c r="M324" s="81" t="n">
        <f aca="false">S323+L324</f>
        <v>57</v>
      </c>
      <c r="N324" s="81" t="n">
        <f aca="false">SUMIFS(P$309:P323,$B$309:$B323,"&gt;"&amp;($B324-$D324))</f>
        <v>120</v>
      </c>
      <c r="O324" s="81" t="n">
        <f aca="false">M324+N324</f>
        <v>177</v>
      </c>
      <c r="P324" s="86" t="n">
        <f aca="false">IF(O324&lt;K324,ROUNDUP((K324-O324)/G324,0)*G324,0)</f>
        <v>48</v>
      </c>
      <c r="Q324" s="81" t="n">
        <f aca="false">MIN(M324,I324)</f>
        <v>57</v>
      </c>
      <c r="R324" s="81" t="n">
        <f aca="false">I324-Q324</f>
        <v>11</v>
      </c>
      <c r="S324" s="81" t="n">
        <f aca="false">M324-Q324</f>
        <v>0</v>
      </c>
      <c r="T324" s="81" t="n">
        <f aca="false">IF(R324&gt;0,1,0)</f>
        <v>1</v>
      </c>
      <c r="U324" s="82" t="n">
        <f aca="false">INDEX(Forecast!$AY$7:$AY$54,C324)</f>
        <v>2</v>
      </c>
      <c r="V324" s="85" t="n">
        <f aca="false">CHOOSE(U324,INDEX(Forecast_Walkforward!$D:$D,H324),INDEX(Forecast_Walkforward!$E:$E,H324),INDEX(Forecast_Walkforward!$F:$F,H324),INDEX(Forecast_Walkforward!$G:$G,H324))</f>
        <v>54.75</v>
      </c>
      <c r="W324" s="84" t="n">
        <f aca="false">INDEX(Forecast!$BA$7:$BA$54,C324)</f>
        <v>7.24376910174508</v>
      </c>
      <c r="X324" s="85" t="n">
        <f aca="false">Z_Value*W324*SQRT(D324)</f>
        <v>20.6372812409498</v>
      </c>
      <c r="Y324" s="85" t="n">
        <f aca="false">V324*D324+X324</f>
        <v>184.88728124095</v>
      </c>
      <c r="Z324" s="85" t="n">
        <f aca="false">SQRT((2*V324*Weeks_Per_Year*F324)/(E324*Holding_Rate))</f>
        <v>326.745313661879</v>
      </c>
      <c r="AA324" s="81" t="n">
        <f aca="false">ROUNDUP(Z324/G324,0)*G324</f>
        <v>336</v>
      </c>
      <c r="AB324" s="81" t="n">
        <f aca="false">SUMIFS(AF$309:AF323,$B$309:$B323,$B324-$D324)</f>
        <v>0</v>
      </c>
      <c r="AC324" s="81" t="n">
        <f aca="false">AI323+AB324</f>
        <v>141</v>
      </c>
      <c r="AD324" s="81" t="n">
        <f aca="false">SUMIFS(AF$309:AF323,$B$309:$B323,"&gt;"&amp;($B324-$D324))</f>
        <v>0</v>
      </c>
      <c r="AE324" s="81" t="n">
        <f aca="false">AC324+AD324</f>
        <v>141</v>
      </c>
      <c r="AF324" s="86" t="n">
        <f aca="false">IF(AE324&lt;=Y324,AA324,0)</f>
        <v>336</v>
      </c>
      <c r="AG324" s="81" t="n">
        <f aca="false">MIN(AC324,I324)</f>
        <v>68</v>
      </c>
      <c r="AH324" s="81" t="n">
        <f aca="false">I324-AG324</f>
        <v>0</v>
      </c>
      <c r="AI324" s="81" t="n">
        <f aca="false">AC324-AG324</f>
        <v>73</v>
      </c>
      <c r="AJ324" s="81" t="n">
        <f aca="false">IF(AH324&gt;0,1,0)</f>
        <v>0</v>
      </c>
    </row>
    <row r="325" customFormat="false" ht="15" hidden="false" customHeight="false" outlineLevel="0" collapsed="false">
      <c r="A325" s="31" t="str">
        <f aca="false">Inputs!$B$57</f>
        <v>BTH-008</v>
      </c>
      <c r="B325" s="46" t="n">
        <f aca="false">BT_Start_Week</f>
        <v>89</v>
      </c>
      <c r="C325" s="46" t="n">
        <f aca="false">MATCH(A325,Inputs!$B$40:$B$87,0)</f>
        <v>18</v>
      </c>
      <c r="D325" s="32" t="n">
        <f aca="false">INDEX(Inputs!$F$40:$F$87,C325)</f>
        <v>3</v>
      </c>
      <c r="E325" s="78" t="n">
        <f aca="false">INDEX(Inputs!$H$40:$H$87,C325)</f>
        <v>95</v>
      </c>
      <c r="F325" s="78" t="n">
        <f aca="false">INDEX(Inputs!$G$40:$G$87,C325)</f>
        <v>45</v>
      </c>
      <c r="G325" s="32" t="n">
        <f aca="false">INDEX(Inputs!$I$40:$I$87,C325)</f>
        <v>1</v>
      </c>
      <c r="H325" s="46" t="n">
        <f aca="false">MATCH(A325,Demand_History!$C:$C,0)+B325-1</f>
        <v>1858</v>
      </c>
      <c r="I325" s="32" t="n">
        <f aca="false">INDEX(Forecast_Walkforward!$C:$C,H325)</f>
        <v>3</v>
      </c>
      <c r="J325" s="79" t="n">
        <f aca="false">INDEX(Forecast_Walkforward!$E:$E,H325)</f>
        <v>4.5</v>
      </c>
      <c r="K325" s="33" t="n">
        <f aca="false">Baseline_Weeks*J325</f>
        <v>18</v>
      </c>
      <c r="L325" s="46" t="n">
        <f aca="false">0</f>
        <v>0</v>
      </c>
      <c r="M325" s="46" t="n">
        <f aca="false">ROUND(BT_Open_Cover*INDEX(Forecast_Walkforward!$F:$F,H325),0)+L325</f>
        <v>27</v>
      </c>
      <c r="N325" s="46" t="n">
        <f aca="false">0</f>
        <v>0</v>
      </c>
      <c r="O325" s="46" t="n">
        <f aca="false">M325+N325</f>
        <v>27</v>
      </c>
      <c r="P325" s="47" t="n">
        <f aca="false">IF(O325&lt;K325,ROUNDUP((K325-O325)/G325,0)*G325,0)</f>
        <v>0</v>
      </c>
      <c r="Q325" s="46" t="n">
        <f aca="false">MIN(M325,I325)</f>
        <v>3</v>
      </c>
      <c r="R325" s="46" t="n">
        <f aca="false">I325-Q325</f>
        <v>0</v>
      </c>
      <c r="S325" s="46" t="n">
        <f aca="false">M325-Q325</f>
        <v>24</v>
      </c>
      <c r="T325" s="46" t="n">
        <f aca="false">IF(R325&gt;0,1,0)</f>
        <v>0</v>
      </c>
      <c r="U325" s="32" t="n">
        <f aca="false">INDEX(Forecast!$AY$7:$AY$54,C325)</f>
        <v>2</v>
      </c>
      <c r="V325" s="33" t="n">
        <f aca="false">CHOOSE(U325,INDEX(Forecast_Walkforward!$D:$D,H325),INDEX(Forecast_Walkforward!$E:$E,H325),INDEX(Forecast_Walkforward!$F:$F,H325),INDEX(Forecast_Walkforward!$G:$G,H325))</f>
        <v>4.5</v>
      </c>
      <c r="W325" s="79" t="n">
        <f aca="false">INDEX(Forecast!$BA$7:$BA$54,C325)</f>
        <v>2.49495626206612</v>
      </c>
      <c r="X325" s="33" t="n">
        <f aca="false">Z_Value*W325*SQRT(D325)</f>
        <v>7.10805567390645</v>
      </c>
      <c r="Y325" s="33" t="n">
        <f aca="false">V325*D325+X325</f>
        <v>20.6080556739065</v>
      </c>
      <c r="Z325" s="33" t="n">
        <f aca="false">SQRT((2*V325*Weeks_Per_Year*F325)/(E325*Holding_Rate))</f>
        <v>33.2929580036316</v>
      </c>
      <c r="AA325" s="46" t="n">
        <f aca="false">ROUNDUP(Z325/G325,0)*G325</f>
        <v>34</v>
      </c>
      <c r="AB325" s="46" t="n">
        <f aca="false">0</f>
        <v>0</v>
      </c>
      <c r="AC325" s="46" t="n">
        <f aca="false">ROUND(BT_Open_Cover*INDEX(Forecast_Walkforward!$F:$F,H325),0)+AB325</f>
        <v>27</v>
      </c>
      <c r="AD325" s="46" t="n">
        <f aca="false">0</f>
        <v>0</v>
      </c>
      <c r="AE325" s="46" t="n">
        <f aca="false">AC325+AD325</f>
        <v>27</v>
      </c>
      <c r="AF325" s="47" t="n">
        <f aca="false">IF(AE325&lt;=Y325,AA325,0)</f>
        <v>0</v>
      </c>
      <c r="AG325" s="46" t="n">
        <f aca="false">MIN(AC325,I325)</f>
        <v>3</v>
      </c>
      <c r="AH325" s="46" t="n">
        <f aca="false">I325-AG325</f>
        <v>0</v>
      </c>
      <c r="AI325" s="46" t="n">
        <f aca="false">AC325-AG325</f>
        <v>24</v>
      </c>
      <c r="AJ325" s="46" t="n">
        <f aca="false">IF(AH325&gt;0,1,0)</f>
        <v>0</v>
      </c>
    </row>
    <row r="326" customFormat="false" ht="15" hidden="false" customHeight="false" outlineLevel="0" collapsed="false">
      <c r="A326" s="31" t="str">
        <f aca="false">Inputs!$B$57</f>
        <v>BTH-008</v>
      </c>
      <c r="B326" s="46" t="n">
        <f aca="false">B325+1</f>
        <v>90</v>
      </c>
      <c r="C326" s="46" t="n">
        <f aca="false">MATCH(A326,Inputs!$B$40:$B$87,0)</f>
        <v>18</v>
      </c>
      <c r="D326" s="32" t="n">
        <f aca="false">INDEX(Inputs!$F$40:$F$87,C326)</f>
        <v>3</v>
      </c>
      <c r="E326" s="78" t="n">
        <f aca="false">INDEX(Inputs!$H$40:$H$87,C326)</f>
        <v>95</v>
      </c>
      <c r="F326" s="78" t="n">
        <f aca="false">INDEX(Inputs!$G$40:$G$87,C326)</f>
        <v>45</v>
      </c>
      <c r="G326" s="32" t="n">
        <f aca="false">INDEX(Inputs!$I$40:$I$87,C326)</f>
        <v>1</v>
      </c>
      <c r="H326" s="46" t="n">
        <f aca="false">MATCH(A326,Demand_History!$C:$C,0)+B326-1</f>
        <v>1859</v>
      </c>
      <c r="I326" s="32" t="n">
        <f aca="false">INDEX(Forecast_Walkforward!$C:$C,H326)</f>
        <v>8</v>
      </c>
      <c r="J326" s="79" t="n">
        <f aca="false">INDEX(Forecast_Walkforward!$E:$E,H326)</f>
        <v>4</v>
      </c>
      <c r="K326" s="33" t="n">
        <f aca="false">Baseline_Weeks*J326</f>
        <v>16</v>
      </c>
      <c r="L326" s="46" t="n">
        <f aca="false">SUMIFS(P$325:P325,$B$325:$B325,$B326-$D326)</f>
        <v>0</v>
      </c>
      <c r="M326" s="46" t="n">
        <f aca="false">S325+L326</f>
        <v>24</v>
      </c>
      <c r="N326" s="46" t="n">
        <f aca="false">SUMIFS(P$325:P325,$B$325:$B325,"&gt;"&amp;($B326-$D326))</f>
        <v>0</v>
      </c>
      <c r="O326" s="46" t="n">
        <f aca="false">M326+N326</f>
        <v>24</v>
      </c>
      <c r="P326" s="47" t="n">
        <f aca="false">IF(O326&lt;K326,ROUNDUP((K326-O326)/G326,0)*G326,0)</f>
        <v>0</v>
      </c>
      <c r="Q326" s="46" t="n">
        <f aca="false">MIN(M326,I326)</f>
        <v>8</v>
      </c>
      <c r="R326" s="46" t="n">
        <f aca="false">I326-Q326</f>
        <v>0</v>
      </c>
      <c r="S326" s="46" t="n">
        <f aca="false">M326-Q326</f>
        <v>16</v>
      </c>
      <c r="T326" s="46" t="n">
        <f aca="false">IF(R326&gt;0,1,0)</f>
        <v>0</v>
      </c>
      <c r="U326" s="32" t="n">
        <f aca="false">INDEX(Forecast!$AY$7:$AY$54,C326)</f>
        <v>2</v>
      </c>
      <c r="V326" s="33" t="n">
        <f aca="false">CHOOSE(U326,INDEX(Forecast_Walkforward!$D:$D,H326),INDEX(Forecast_Walkforward!$E:$E,H326),INDEX(Forecast_Walkforward!$F:$F,H326),INDEX(Forecast_Walkforward!$G:$G,H326))</f>
        <v>4</v>
      </c>
      <c r="W326" s="79" t="n">
        <f aca="false">INDEX(Forecast!$BA$7:$BA$54,C326)</f>
        <v>2.49495626206612</v>
      </c>
      <c r="X326" s="33" t="n">
        <f aca="false">Z_Value*W326*SQRT(D326)</f>
        <v>7.10805567390645</v>
      </c>
      <c r="Y326" s="33" t="n">
        <f aca="false">V326*D326+X326</f>
        <v>19.1080556739065</v>
      </c>
      <c r="Z326" s="33" t="n">
        <f aca="false">SQRT((2*V326*Weeks_Per_Year*F326)/(E326*Holding_Rate))</f>
        <v>31.3889018268358</v>
      </c>
      <c r="AA326" s="46" t="n">
        <f aca="false">ROUNDUP(Z326/G326,0)*G326</f>
        <v>32</v>
      </c>
      <c r="AB326" s="46" t="n">
        <f aca="false">SUMIFS(AF$325:AF325,$B$325:$B325,$B326-$D326)</f>
        <v>0</v>
      </c>
      <c r="AC326" s="46" t="n">
        <f aca="false">AI325+AB326</f>
        <v>24</v>
      </c>
      <c r="AD326" s="46" t="n">
        <f aca="false">SUMIFS(AF$325:AF325,$B$325:$B325,"&gt;"&amp;($B326-$D326))</f>
        <v>0</v>
      </c>
      <c r="AE326" s="46" t="n">
        <f aca="false">AC326+AD326</f>
        <v>24</v>
      </c>
      <c r="AF326" s="47" t="n">
        <f aca="false">IF(AE326&lt;=Y326,AA326,0)</f>
        <v>0</v>
      </c>
      <c r="AG326" s="46" t="n">
        <f aca="false">MIN(AC326,I326)</f>
        <v>8</v>
      </c>
      <c r="AH326" s="46" t="n">
        <f aca="false">I326-AG326</f>
        <v>0</v>
      </c>
      <c r="AI326" s="46" t="n">
        <f aca="false">AC326-AG326</f>
        <v>16</v>
      </c>
      <c r="AJ326" s="46" t="n">
        <f aca="false">IF(AH326&gt;0,1,0)</f>
        <v>0</v>
      </c>
    </row>
    <row r="327" customFormat="false" ht="15" hidden="false" customHeight="false" outlineLevel="0" collapsed="false">
      <c r="A327" s="31" t="str">
        <f aca="false">Inputs!$B$57</f>
        <v>BTH-008</v>
      </c>
      <c r="B327" s="46" t="n">
        <f aca="false">B326+1</f>
        <v>91</v>
      </c>
      <c r="C327" s="46" t="n">
        <f aca="false">MATCH(A327,Inputs!$B$40:$B$87,0)</f>
        <v>18</v>
      </c>
      <c r="D327" s="32" t="n">
        <f aca="false">INDEX(Inputs!$F$40:$F$87,C327)</f>
        <v>3</v>
      </c>
      <c r="E327" s="78" t="n">
        <f aca="false">INDEX(Inputs!$H$40:$H$87,C327)</f>
        <v>95</v>
      </c>
      <c r="F327" s="78" t="n">
        <f aca="false">INDEX(Inputs!$G$40:$G$87,C327)</f>
        <v>45</v>
      </c>
      <c r="G327" s="32" t="n">
        <f aca="false">INDEX(Inputs!$I$40:$I$87,C327)</f>
        <v>1</v>
      </c>
      <c r="H327" s="46" t="n">
        <f aca="false">MATCH(A327,Demand_History!$C:$C,0)+B327-1</f>
        <v>1860</v>
      </c>
      <c r="I327" s="32" t="n">
        <f aca="false">INDEX(Forecast_Walkforward!$C:$C,H327)</f>
        <v>7</v>
      </c>
      <c r="J327" s="79" t="n">
        <f aca="false">INDEX(Forecast_Walkforward!$E:$E,H327)</f>
        <v>4.25</v>
      </c>
      <c r="K327" s="33" t="n">
        <f aca="false">Baseline_Weeks*J327</f>
        <v>17</v>
      </c>
      <c r="L327" s="46" t="n">
        <f aca="false">SUMIFS(P$325:P326,$B$325:$B326,$B327-$D327)</f>
        <v>0</v>
      </c>
      <c r="M327" s="46" t="n">
        <f aca="false">S326+L327</f>
        <v>16</v>
      </c>
      <c r="N327" s="46" t="n">
        <f aca="false">SUMIFS(P$325:P326,$B$325:$B326,"&gt;"&amp;($B327-$D327))</f>
        <v>0</v>
      </c>
      <c r="O327" s="46" t="n">
        <f aca="false">M327+N327</f>
        <v>16</v>
      </c>
      <c r="P327" s="47" t="n">
        <f aca="false">IF(O327&lt;K327,ROUNDUP((K327-O327)/G327,0)*G327,0)</f>
        <v>1</v>
      </c>
      <c r="Q327" s="46" t="n">
        <f aca="false">MIN(M327,I327)</f>
        <v>7</v>
      </c>
      <c r="R327" s="46" t="n">
        <f aca="false">I327-Q327</f>
        <v>0</v>
      </c>
      <c r="S327" s="46" t="n">
        <f aca="false">M327-Q327</f>
        <v>9</v>
      </c>
      <c r="T327" s="46" t="n">
        <f aca="false">IF(R327&gt;0,1,0)</f>
        <v>0</v>
      </c>
      <c r="U327" s="32" t="n">
        <f aca="false">INDEX(Forecast!$AY$7:$AY$54,C327)</f>
        <v>2</v>
      </c>
      <c r="V327" s="33" t="n">
        <f aca="false">CHOOSE(U327,INDEX(Forecast_Walkforward!$D:$D,H327),INDEX(Forecast_Walkforward!$E:$E,H327),INDEX(Forecast_Walkforward!$F:$F,H327),INDEX(Forecast_Walkforward!$G:$G,H327))</f>
        <v>4.25</v>
      </c>
      <c r="W327" s="79" t="n">
        <f aca="false">INDEX(Forecast!$BA$7:$BA$54,C327)</f>
        <v>2.49495626206612</v>
      </c>
      <c r="X327" s="33" t="n">
        <f aca="false">Z_Value*W327*SQRT(D327)</f>
        <v>7.10805567390645</v>
      </c>
      <c r="Y327" s="33" t="n">
        <f aca="false">V327*D327+X327</f>
        <v>19.8580556739065</v>
      </c>
      <c r="Z327" s="33" t="n">
        <f aca="false">SQRT((2*V327*Weeks_Per_Year*F327)/(E327*Holding_Rate))</f>
        <v>32.3549394260468</v>
      </c>
      <c r="AA327" s="46" t="n">
        <f aca="false">ROUNDUP(Z327/G327,0)*G327</f>
        <v>33</v>
      </c>
      <c r="AB327" s="46" t="n">
        <f aca="false">SUMIFS(AF$325:AF326,$B$325:$B326,$B327-$D327)</f>
        <v>0</v>
      </c>
      <c r="AC327" s="46" t="n">
        <f aca="false">AI326+AB327</f>
        <v>16</v>
      </c>
      <c r="AD327" s="46" t="n">
        <f aca="false">SUMIFS(AF$325:AF326,$B$325:$B326,"&gt;"&amp;($B327-$D327))</f>
        <v>0</v>
      </c>
      <c r="AE327" s="46" t="n">
        <f aca="false">AC327+AD327</f>
        <v>16</v>
      </c>
      <c r="AF327" s="47" t="n">
        <f aca="false">IF(AE327&lt;=Y327,AA327,0)</f>
        <v>33</v>
      </c>
      <c r="AG327" s="46" t="n">
        <f aca="false">MIN(AC327,I327)</f>
        <v>7</v>
      </c>
      <c r="AH327" s="46" t="n">
        <f aca="false">I327-AG327</f>
        <v>0</v>
      </c>
      <c r="AI327" s="46" t="n">
        <f aca="false">AC327-AG327</f>
        <v>9</v>
      </c>
      <c r="AJ327" s="46" t="n">
        <f aca="false">IF(AH327&gt;0,1,0)</f>
        <v>0</v>
      </c>
    </row>
    <row r="328" customFormat="false" ht="15" hidden="false" customHeight="false" outlineLevel="0" collapsed="false">
      <c r="A328" s="31" t="str">
        <f aca="false">Inputs!$B$57</f>
        <v>BTH-008</v>
      </c>
      <c r="B328" s="46" t="n">
        <f aca="false">B327+1</f>
        <v>92</v>
      </c>
      <c r="C328" s="46" t="n">
        <f aca="false">MATCH(A328,Inputs!$B$40:$B$87,0)</f>
        <v>18</v>
      </c>
      <c r="D328" s="32" t="n">
        <f aca="false">INDEX(Inputs!$F$40:$F$87,C328)</f>
        <v>3</v>
      </c>
      <c r="E328" s="78" t="n">
        <f aca="false">INDEX(Inputs!$H$40:$H$87,C328)</f>
        <v>95</v>
      </c>
      <c r="F328" s="78" t="n">
        <f aca="false">INDEX(Inputs!$G$40:$G$87,C328)</f>
        <v>45</v>
      </c>
      <c r="G328" s="32" t="n">
        <f aca="false">INDEX(Inputs!$I$40:$I$87,C328)</f>
        <v>1</v>
      </c>
      <c r="H328" s="46" t="n">
        <f aca="false">MATCH(A328,Demand_History!$C:$C,0)+B328-1</f>
        <v>1861</v>
      </c>
      <c r="I328" s="32" t="n">
        <f aca="false">INDEX(Forecast_Walkforward!$C:$C,H328)</f>
        <v>9</v>
      </c>
      <c r="J328" s="79" t="n">
        <f aca="false">INDEX(Forecast_Walkforward!$E:$E,H328)</f>
        <v>5</v>
      </c>
      <c r="K328" s="33" t="n">
        <f aca="false">Baseline_Weeks*J328</f>
        <v>20</v>
      </c>
      <c r="L328" s="46" t="n">
        <f aca="false">SUMIFS(P$325:P327,$B$325:$B327,$B328-$D328)</f>
        <v>0</v>
      </c>
      <c r="M328" s="46" t="n">
        <f aca="false">S327+L328</f>
        <v>9</v>
      </c>
      <c r="N328" s="46" t="n">
        <f aca="false">SUMIFS(P$325:P327,$B$325:$B327,"&gt;"&amp;($B328-$D328))</f>
        <v>1</v>
      </c>
      <c r="O328" s="46" t="n">
        <f aca="false">M328+N328</f>
        <v>10</v>
      </c>
      <c r="P328" s="47" t="n">
        <f aca="false">IF(O328&lt;K328,ROUNDUP((K328-O328)/G328,0)*G328,0)</f>
        <v>10</v>
      </c>
      <c r="Q328" s="46" t="n">
        <f aca="false">MIN(M328,I328)</f>
        <v>9</v>
      </c>
      <c r="R328" s="46" t="n">
        <f aca="false">I328-Q328</f>
        <v>0</v>
      </c>
      <c r="S328" s="46" t="n">
        <f aca="false">M328-Q328</f>
        <v>0</v>
      </c>
      <c r="T328" s="46" t="n">
        <f aca="false">IF(R328&gt;0,1,0)</f>
        <v>0</v>
      </c>
      <c r="U328" s="32" t="n">
        <f aca="false">INDEX(Forecast!$AY$7:$AY$54,C328)</f>
        <v>2</v>
      </c>
      <c r="V328" s="33" t="n">
        <f aca="false">CHOOSE(U328,INDEX(Forecast_Walkforward!$D:$D,H328),INDEX(Forecast_Walkforward!$E:$E,H328),INDEX(Forecast_Walkforward!$F:$F,H328),INDEX(Forecast_Walkforward!$G:$G,H328))</f>
        <v>5</v>
      </c>
      <c r="W328" s="79" t="n">
        <f aca="false">INDEX(Forecast!$BA$7:$BA$54,C328)</f>
        <v>2.49495626206612</v>
      </c>
      <c r="X328" s="33" t="n">
        <f aca="false">Z_Value*W328*SQRT(D328)</f>
        <v>7.10805567390645</v>
      </c>
      <c r="Y328" s="33" t="n">
        <f aca="false">V328*D328+X328</f>
        <v>22.1080556739065</v>
      </c>
      <c r="Z328" s="33" t="n">
        <f aca="false">SQRT((2*V328*Weeks_Per_Year*F328)/(E328*Holding_Rate))</f>
        <v>35.0938591119361</v>
      </c>
      <c r="AA328" s="46" t="n">
        <f aca="false">ROUNDUP(Z328/G328,0)*G328</f>
        <v>36</v>
      </c>
      <c r="AB328" s="46" t="n">
        <f aca="false">SUMIFS(AF$325:AF327,$B$325:$B327,$B328-$D328)</f>
        <v>0</v>
      </c>
      <c r="AC328" s="46" t="n">
        <f aca="false">AI327+AB328</f>
        <v>9</v>
      </c>
      <c r="AD328" s="46" t="n">
        <f aca="false">SUMIFS(AF$325:AF327,$B$325:$B327,"&gt;"&amp;($B328-$D328))</f>
        <v>33</v>
      </c>
      <c r="AE328" s="46" t="n">
        <f aca="false">AC328+AD328</f>
        <v>42</v>
      </c>
      <c r="AF328" s="47" t="n">
        <f aca="false">IF(AE328&lt;=Y328,AA328,0)</f>
        <v>0</v>
      </c>
      <c r="AG328" s="46" t="n">
        <f aca="false">MIN(AC328,I328)</f>
        <v>9</v>
      </c>
      <c r="AH328" s="46" t="n">
        <f aca="false">I328-AG328</f>
        <v>0</v>
      </c>
      <c r="AI328" s="46" t="n">
        <f aca="false">AC328-AG328</f>
        <v>0</v>
      </c>
      <c r="AJ328" s="46" t="n">
        <f aca="false">IF(AH328&gt;0,1,0)</f>
        <v>0</v>
      </c>
    </row>
    <row r="329" customFormat="false" ht="15" hidden="false" customHeight="false" outlineLevel="0" collapsed="false">
      <c r="A329" s="31" t="str">
        <f aca="false">Inputs!$B$57</f>
        <v>BTH-008</v>
      </c>
      <c r="B329" s="46" t="n">
        <f aca="false">B328+1</f>
        <v>93</v>
      </c>
      <c r="C329" s="46" t="n">
        <f aca="false">MATCH(A329,Inputs!$B$40:$B$87,0)</f>
        <v>18</v>
      </c>
      <c r="D329" s="32" t="n">
        <f aca="false">INDEX(Inputs!$F$40:$F$87,C329)</f>
        <v>3</v>
      </c>
      <c r="E329" s="78" t="n">
        <f aca="false">INDEX(Inputs!$H$40:$H$87,C329)</f>
        <v>95</v>
      </c>
      <c r="F329" s="78" t="n">
        <f aca="false">INDEX(Inputs!$G$40:$G$87,C329)</f>
        <v>45</v>
      </c>
      <c r="G329" s="32" t="n">
        <f aca="false">INDEX(Inputs!$I$40:$I$87,C329)</f>
        <v>1</v>
      </c>
      <c r="H329" s="46" t="n">
        <f aca="false">MATCH(A329,Demand_History!$C:$C,0)+B329-1</f>
        <v>1862</v>
      </c>
      <c r="I329" s="32" t="n">
        <f aca="false">INDEX(Forecast_Walkforward!$C:$C,H329)</f>
        <v>5</v>
      </c>
      <c r="J329" s="79" t="n">
        <f aca="false">INDEX(Forecast_Walkforward!$E:$E,H329)</f>
        <v>6.75</v>
      </c>
      <c r="K329" s="33" t="n">
        <f aca="false">Baseline_Weeks*J329</f>
        <v>27</v>
      </c>
      <c r="L329" s="46" t="n">
        <f aca="false">SUMIFS(P$325:P328,$B$325:$B328,$B329-$D329)</f>
        <v>0</v>
      </c>
      <c r="M329" s="46" t="n">
        <f aca="false">S328+L329</f>
        <v>0</v>
      </c>
      <c r="N329" s="46" t="n">
        <f aca="false">SUMIFS(P$325:P328,$B$325:$B328,"&gt;"&amp;($B329-$D329))</f>
        <v>11</v>
      </c>
      <c r="O329" s="46" t="n">
        <f aca="false">M329+N329</f>
        <v>11</v>
      </c>
      <c r="P329" s="47" t="n">
        <f aca="false">IF(O329&lt;K329,ROUNDUP((K329-O329)/G329,0)*G329,0)</f>
        <v>16</v>
      </c>
      <c r="Q329" s="46" t="n">
        <f aca="false">MIN(M329,I329)</f>
        <v>0</v>
      </c>
      <c r="R329" s="46" t="n">
        <f aca="false">I329-Q329</f>
        <v>5</v>
      </c>
      <c r="S329" s="46" t="n">
        <f aca="false">M329-Q329</f>
        <v>0</v>
      </c>
      <c r="T329" s="46" t="n">
        <f aca="false">IF(R329&gt;0,1,0)</f>
        <v>1</v>
      </c>
      <c r="U329" s="32" t="n">
        <f aca="false">INDEX(Forecast!$AY$7:$AY$54,C329)</f>
        <v>2</v>
      </c>
      <c r="V329" s="33" t="n">
        <f aca="false">CHOOSE(U329,INDEX(Forecast_Walkforward!$D:$D,H329),INDEX(Forecast_Walkforward!$E:$E,H329),INDEX(Forecast_Walkforward!$F:$F,H329),INDEX(Forecast_Walkforward!$G:$G,H329))</f>
        <v>6.75</v>
      </c>
      <c r="W329" s="79" t="n">
        <f aca="false">INDEX(Forecast!$BA$7:$BA$54,C329)</f>
        <v>2.49495626206612</v>
      </c>
      <c r="X329" s="33" t="n">
        <f aca="false">Z_Value*W329*SQRT(D329)</f>
        <v>7.10805567390645</v>
      </c>
      <c r="Y329" s="33" t="n">
        <f aca="false">V329*D329+X329</f>
        <v>27.3580556739065</v>
      </c>
      <c r="Z329" s="33" t="n">
        <f aca="false">SQRT((2*V329*Weeks_Per_Year*F329)/(E329*Holding_Rate))</f>
        <v>40.7753795684034</v>
      </c>
      <c r="AA329" s="46" t="n">
        <f aca="false">ROUNDUP(Z329/G329,0)*G329</f>
        <v>41</v>
      </c>
      <c r="AB329" s="46" t="n">
        <f aca="false">SUMIFS(AF$325:AF328,$B$325:$B328,$B329-$D329)</f>
        <v>0</v>
      </c>
      <c r="AC329" s="46" t="n">
        <f aca="false">AI328+AB329</f>
        <v>0</v>
      </c>
      <c r="AD329" s="46" t="n">
        <f aca="false">SUMIFS(AF$325:AF328,$B$325:$B328,"&gt;"&amp;($B329-$D329))</f>
        <v>33</v>
      </c>
      <c r="AE329" s="46" t="n">
        <f aca="false">AC329+AD329</f>
        <v>33</v>
      </c>
      <c r="AF329" s="47" t="n">
        <f aca="false">IF(AE329&lt;=Y329,AA329,0)</f>
        <v>0</v>
      </c>
      <c r="AG329" s="46" t="n">
        <f aca="false">MIN(AC329,I329)</f>
        <v>0</v>
      </c>
      <c r="AH329" s="46" t="n">
        <f aca="false">I329-AG329</f>
        <v>5</v>
      </c>
      <c r="AI329" s="46" t="n">
        <f aca="false">AC329-AG329</f>
        <v>0</v>
      </c>
      <c r="AJ329" s="46" t="n">
        <f aca="false">IF(AH329&gt;0,1,0)</f>
        <v>1</v>
      </c>
    </row>
    <row r="330" customFormat="false" ht="15" hidden="false" customHeight="false" outlineLevel="0" collapsed="false">
      <c r="A330" s="31" t="str">
        <f aca="false">Inputs!$B$57</f>
        <v>BTH-008</v>
      </c>
      <c r="B330" s="46" t="n">
        <f aca="false">B329+1</f>
        <v>94</v>
      </c>
      <c r="C330" s="46" t="n">
        <f aca="false">MATCH(A330,Inputs!$B$40:$B$87,0)</f>
        <v>18</v>
      </c>
      <c r="D330" s="32" t="n">
        <f aca="false">INDEX(Inputs!$F$40:$F$87,C330)</f>
        <v>3</v>
      </c>
      <c r="E330" s="78" t="n">
        <f aca="false">INDEX(Inputs!$H$40:$H$87,C330)</f>
        <v>95</v>
      </c>
      <c r="F330" s="78" t="n">
        <f aca="false">INDEX(Inputs!$G$40:$G$87,C330)</f>
        <v>45</v>
      </c>
      <c r="G330" s="32" t="n">
        <f aca="false">INDEX(Inputs!$I$40:$I$87,C330)</f>
        <v>1</v>
      </c>
      <c r="H330" s="46" t="n">
        <f aca="false">MATCH(A330,Demand_History!$C:$C,0)+B330-1</f>
        <v>1863</v>
      </c>
      <c r="I330" s="32" t="n">
        <f aca="false">INDEX(Forecast_Walkforward!$C:$C,H330)</f>
        <v>4</v>
      </c>
      <c r="J330" s="79" t="n">
        <f aca="false">INDEX(Forecast_Walkforward!$E:$E,H330)</f>
        <v>7.25</v>
      </c>
      <c r="K330" s="33" t="n">
        <f aca="false">Baseline_Weeks*J330</f>
        <v>29</v>
      </c>
      <c r="L330" s="46" t="n">
        <f aca="false">SUMIFS(P$325:P329,$B$325:$B329,$B330-$D330)</f>
        <v>1</v>
      </c>
      <c r="M330" s="46" t="n">
        <f aca="false">S329+L330</f>
        <v>1</v>
      </c>
      <c r="N330" s="46" t="n">
        <f aca="false">SUMIFS(P$325:P329,$B$325:$B329,"&gt;"&amp;($B330-$D330))</f>
        <v>26</v>
      </c>
      <c r="O330" s="46" t="n">
        <f aca="false">M330+N330</f>
        <v>27</v>
      </c>
      <c r="P330" s="47" t="n">
        <f aca="false">IF(O330&lt;K330,ROUNDUP((K330-O330)/G330,0)*G330,0)</f>
        <v>2</v>
      </c>
      <c r="Q330" s="46" t="n">
        <f aca="false">MIN(M330,I330)</f>
        <v>1</v>
      </c>
      <c r="R330" s="46" t="n">
        <f aca="false">I330-Q330</f>
        <v>3</v>
      </c>
      <c r="S330" s="46" t="n">
        <f aca="false">M330-Q330</f>
        <v>0</v>
      </c>
      <c r="T330" s="46" t="n">
        <f aca="false">IF(R330&gt;0,1,0)</f>
        <v>1</v>
      </c>
      <c r="U330" s="32" t="n">
        <f aca="false">INDEX(Forecast!$AY$7:$AY$54,C330)</f>
        <v>2</v>
      </c>
      <c r="V330" s="33" t="n">
        <f aca="false">CHOOSE(U330,INDEX(Forecast_Walkforward!$D:$D,H330),INDEX(Forecast_Walkforward!$E:$E,H330),INDEX(Forecast_Walkforward!$F:$F,H330),INDEX(Forecast_Walkforward!$G:$G,H330))</f>
        <v>7.25</v>
      </c>
      <c r="W330" s="79" t="n">
        <f aca="false">INDEX(Forecast!$BA$7:$BA$54,C330)</f>
        <v>2.49495626206612</v>
      </c>
      <c r="X330" s="33" t="n">
        <f aca="false">Z_Value*W330*SQRT(D330)</f>
        <v>7.10805567390645</v>
      </c>
      <c r="Y330" s="33" t="n">
        <f aca="false">V330*D330+X330</f>
        <v>28.8580556739065</v>
      </c>
      <c r="Z330" s="33" t="n">
        <f aca="false">SQRT((2*V330*Weeks_Per_Year*F330)/(E330*Holding_Rate))</f>
        <v>42.258602363119</v>
      </c>
      <c r="AA330" s="46" t="n">
        <f aca="false">ROUNDUP(Z330/G330,0)*G330</f>
        <v>43</v>
      </c>
      <c r="AB330" s="46" t="n">
        <f aca="false">SUMIFS(AF$325:AF329,$B$325:$B329,$B330-$D330)</f>
        <v>33</v>
      </c>
      <c r="AC330" s="46" t="n">
        <f aca="false">AI329+AB330</f>
        <v>33</v>
      </c>
      <c r="AD330" s="46" t="n">
        <f aca="false">SUMIFS(AF$325:AF329,$B$325:$B329,"&gt;"&amp;($B330-$D330))</f>
        <v>0</v>
      </c>
      <c r="AE330" s="46" t="n">
        <f aca="false">AC330+AD330</f>
        <v>33</v>
      </c>
      <c r="AF330" s="47" t="n">
        <f aca="false">IF(AE330&lt;=Y330,AA330,0)</f>
        <v>0</v>
      </c>
      <c r="AG330" s="46" t="n">
        <f aca="false">MIN(AC330,I330)</f>
        <v>4</v>
      </c>
      <c r="AH330" s="46" t="n">
        <f aca="false">I330-AG330</f>
        <v>0</v>
      </c>
      <c r="AI330" s="46" t="n">
        <f aca="false">AC330-AG330</f>
        <v>29</v>
      </c>
      <c r="AJ330" s="46" t="n">
        <f aca="false">IF(AH330&gt;0,1,0)</f>
        <v>0</v>
      </c>
    </row>
    <row r="331" customFormat="false" ht="15" hidden="false" customHeight="false" outlineLevel="0" collapsed="false">
      <c r="A331" s="31" t="str">
        <f aca="false">Inputs!$B$57</f>
        <v>BTH-008</v>
      </c>
      <c r="B331" s="46" t="n">
        <f aca="false">B330+1</f>
        <v>95</v>
      </c>
      <c r="C331" s="46" t="n">
        <f aca="false">MATCH(A331,Inputs!$B$40:$B$87,0)</f>
        <v>18</v>
      </c>
      <c r="D331" s="32" t="n">
        <f aca="false">INDEX(Inputs!$F$40:$F$87,C331)</f>
        <v>3</v>
      </c>
      <c r="E331" s="78" t="n">
        <f aca="false">INDEX(Inputs!$H$40:$H$87,C331)</f>
        <v>95</v>
      </c>
      <c r="F331" s="78" t="n">
        <f aca="false">INDEX(Inputs!$G$40:$G$87,C331)</f>
        <v>45</v>
      </c>
      <c r="G331" s="32" t="n">
        <f aca="false">INDEX(Inputs!$I$40:$I$87,C331)</f>
        <v>1</v>
      </c>
      <c r="H331" s="46" t="n">
        <f aca="false">MATCH(A331,Demand_History!$C:$C,0)+B331-1</f>
        <v>1864</v>
      </c>
      <c r="I331" s="32" t="n">
        <f aca="false">INDEX(Forecast_Walkforward!$C:$C,H331)</f>
        <v>3</v>
      </c>
      <c r="J331" s="79" t="n">
        <f aca="false">INDEX(Forecast_Walkforward!$E:$E,H331)</f>
        <v>6.25</v>
      </c>
      <c r="K331" s="33" t="n">
        <f aca="false">Baseline_Weeks*J331</f>
        <v>25</v>
      </c>
      <c r="L331" s="46" t="n">
        <f aca="false">SUMIFS(P$325:P330,$B$325:$B330,$B331-$D331)</f>
        <v>10</v>
      </c>
      <c r="M331" s="46" t="n">
        <f aca="false">S330+L331</f>
        <v>10</v>
      </c>
      <c r="N331" s="46" t="n">
        <f aca="false">SUMIFS(P$325:P330,$B$325:$B330,"&gt;"&amp;($B331-$D331))</f>
        <v>18</v>
      </c>
      <c r="O331" s="46" t="n">
        <f aca="false">M331+N331</f>
        <v>28</v>
      </c>
      <c r="P331" s="47" t="n">
        <f aca="false">IF(O331&lt;K331,ROUNDUP((K331-O331)/G331,0)*G331,0)</f>
        <v>0</v>
      </c>
      <c r="Q331" s="46" t="n">
        <f aca="false">MIN(M331,I331)</f>
        <v>3</v>
      </c>
      <c r="R331" s="46" t="n">
        <f aca="false">I331-Q331</f>
        <v>0</v>
      </c>
      <c r="S331" s="46" t="n">
        <f aca="false">M331-Q331</f>
        <v>7</v>
      </c>
      <c r="T331" s="46" t="n">
        <f aca="false">IF(R331&gt;0,1,0)</f>
        <v>0</v>
      </c>
      <c r="U331" s="32" t="n">
        <f aca="false">INDEX(Forecast!$AY$7:$AY$54,C331)</f>
        <v>2</v>
      </c>
      <c r="V331" s="33" t="n">
        <f aca="false">CHOOSE(U331,INDEX(Forecast_Walkforward!$D:$D,H331),INDEX(Forecast_Walkforward!$E:$E,H331),INDEX(Forecast_Walkforward!$F:$F,H331),INDEX(Forecast_Walkforward!$G:$G,H331))</f>
        <v>6.25</v>
      </c>
      <c r="W331" s="79" t="n">
        <f aca="false">INDEX(Forecast!$BA$7:$BA$54,C331)</f>
        <v>2.49495626206612</v>
      </c>
      <c r="X331" s="33" t="n">
        <f aca="false">Z_Value*W331*SQRT(D331)</f>
        <v>7.10805567390645</v>
      </c>
      <c r="Y331" s="33" t="n">
        <f aca="false">V331*D331+X331</f>
        <v>25.8580556739065</v>
      </c>
      <c r="Z331" s="33" t="n">
        <f aca="false">SQRT((2*V331*Weeks_Per_Year*F331)/(E331*Holding_Rate))</f>
        <v>39.2361272835448</v>
      </c>
      <c r="AA331" s="46" t="n">
        <f aca="false">ROUNDUP(Z331/G331,0)*G331</f>
        <v>40</v>
      </c>
      <c r="AB331" s="46" t="n">
        <f aca="false">SUMIFS(AF$325:AF330,$B$325:$B330,$B331-$D331)</f>
        <v>0</v>
      </c>
      <c r="AC331" s="46" t="n">
        <f aca="false">AI330+AB331</f>
        <v>29</v>
      </c>
      <c r="AD331" s="46" t="n">
        <f aca="false">SUMIFS(AF$325:AF330,$B$325:$B330,"&gt;"&amp;($B331-$D331))</f>
        <v>0</v>
      </c>
      <c r="AE331" s="46" t="n">
        <f aca="false">AC331+AD331</f>
        <v>29</v>
      </c>
      <c r="AF331" s="47" t="n">
        <f aca="false">IF(AE331&lt;=Y331,AA331,0)</f>
        <v>0</v>
      </c>
      <c r="AG331" s="46" t="n">
        <f aca="false">MIN(AC331,I331)</f>
        <v>3</v>
      </c>
      <c r="AH331" s="46" t="n">
        <f aca="false">I331-AG331</f>
        <v>0</v>
      </c>
      <c r="AI331" s="46" t="n">
        <f aca="false">AC331-AG331</f>
        <v>26</v>
      </c>
      <c r="AJ331" s="46" t="n">
        <f aca="false">IF(AH331&gt;0,1,0)</f>
        <v>0</v>
      </c>
    </row>
    <row r="332" customFormat="false" ht="15" hidden="false" customHeight="false" outlineLevel="0" collapsed="false">
      <c r="A332" s="31" t="str">
        <f aca="false">Inputs!$B$57</f>
        <v>BTH-008</v>
      </c>
      <c r="B332" s="46" t="n">
        <f aca="false">B331+1</f>
        <v>96</v>
      </c>
      <c r="C332" s="46" t="n">
        <f aca="false">MATCH(A332,Inputs!$B$40:$B$87,0)</f>
        <v>18</v>
      </c>
      <c r="D332" s="32" t="n">
        <f aca="false">INDEX(Inputs!$F$40:$F$87,C332)</f>
        <v>3</v>
      </c>
      <c r="E332" s="78" t="n">
        <f aca="false">INDEX(Inputs!$H$40:$H$87,C332)</f>
        <v>95</v>
      </c>
      <c r="F332" s="78" t="n">
        <f aca="false">INDEX(Inputs!$G$40:$G$87,C332)</f>
        <v>45</v>
      </c>
      <c r="G332" s="32" t="n">
        <f aca="false">INDEX(Inputs!$I$40:$I$87,C332)</f>
        <v>1</v>
      </c>
      <c r="H332" s="46" t="n">
        <f aca="false">MATCH(A332,Demand_History!$C:$C,0)+B332-1</f>
        <v>1865</v>
      </c>
      <c r="I332" s="32" t="n">
        <f aca="false">INDEX(Forecast_Walkforward!$C:$C,H332)</f>
        <v>8</v>
      </c>
      <c r="J332" s="79" t="n">
        <f aca="false">INDEX(Forecast_Walkforward!$E:$E,H332)</f>
        <v>5.25</v>
      </c>
      <c r="K332" s="33" t="n">
        <f aca="false">Baseline_Weeks*J332</f>
        <v>21</v>
      </c>
      <c r="L332" s="46" t="n">
        <f aca="false">SUMIFS(P$325:P331,$B$325:$B331,$B332-$D332)</f>
        <v>16</v>
      </c>
      <c r="M332" s="46" t="n">
        <f aca="false">S331+L332</f>
        <v>23</v>
      </c>
      <c r="N332" s="46" t="n">
        <f aca="false">SUMIFS(P$325:P331,$B$325:$B331,"&gt;"&amp;($B332-$D332))</f>
        <v>2</v>
      </c>
      <c r="O332" s="46" t="n">
        <f aca="false">M332+N332</f>
        <v>25</v>
      </c>
      <c r="P332" s="47" t="n">
        <f aca="false">IF(O332&lt;K332,ROUNDUP((K332-O332)/G332,0)*G332,0)</f>
        <v>0</v>
      </c>
      <c r="Q332" s="46" t="n">
        <f aca="false">MIN(M332,I332)</f>
        <v>8</v>
      </c>
      <c r="R332" s="46" t="n">
        <f aca="false">I332-Q332</f>
        <v>0</v>
      </c>
      <c r="S332" s="46" t="n">
        <f aca="false">M332-Q332</f>
        <v>15</v>
      </c>
      <c r="T332" s="46" t="n">
        <f aca="false">IF(R332&gt;0,1,0)</f>
        <v>0</v>
      </c>
      <c r="U332" s="32" t="n">
        <f aca="false">INDEX(Forecast!$AY$7:$AY$54,C332)</f>
        <v>2</v>
      </c>
      <c r="V332" s="33" t="n">
        <f aca="false">CHOOSE(U332,INDEX(Forecast_Walkforward!$D:$D,H332),INDEX(Forecast_Walkforward!$E:$E,H332),INDEX(Forecast_Walkforward!$F:$F,H332),INDEX(Forecast_Walkforward!$G:$G,H332))</f>
        <v>5.25</v>
      </c>
      <c r="W332" s="79" t="n">
        <f aca="false">INDEX(Forecast!$BA$7:$BA$54,C332)</f>
        <v>2.49495626206612</v>
      </c>
      <c r="X332" s="33" t="n">
        <f aca="false">Z_Value*W332*SQRT(D332)</f>
        <v>7.10805567390645</v>
      </c>
      <c r="Y332" s="33" t="n">
        <f aca="false">V332*D332+X332</f>
        <v>22.8580556739065</v>
      </c>
      <c r="Z332" s="33" t="n">
        <f aca="false">SQRT((2*V332*Weeks_Per_Year*F332)/(E332*Holding_Rate))</f>
        <v>35.9605046507532</v>
      </c>
      <c r="AA332" s="46" t="n">
        <f aca="false">ROUNDUP(Z332/G332,0)*G332</f>
        <v>36</v>
      </c>
      <c r="AB332" s="46" t="n">
        <f aca="false">SUMIFS(AF$325:AF331,$B$325:$B331,$B332-$D332)</f>
        <v>0</v>
      </c>
      <c r="AC332" s="46" t="n">
        <f aca="false">AI331+AB332</f>
        <v>26</v>
      </c>
      <c r="AD332" s="46" t="n">
        <f aca="false">SUMIFS(AF$325:AF331,$B$325:$B331,"&gt;"&amp;($B332-$D332))</f>
        <v>0</v>
      </c>
      <c r="AE332" s="46" t="n">
        <f aca="false">AC332+AD332</f>
        <v>26</v>
      </c>
      <c r="AF332" s="47" t="n">
        <f aca="false">IF(AE332&lt;=Y332,AA332,0)</f>
        <v>0</v>
      </c>
      <c r="AG332" s="46" t="n">
        <f aca="false">MIN(AC332,I332)</f>
        <v>8</v>
      </c>
      <c r="AH332" s="46" t="n">
        <f aca="false">I332-AG332</f>
        <v>0</v>
      </c>
      <c r="AI332" s="46" t="n">
        <f aca="false">AC332-AG332</f>
        <v>18</v>
      </c>
      <c r="AJ332" s="46" t="n">
        <f aca="false">IF(AH332&gt;0,1,0)</f>
        <v>0</v>
      </c>
    </row>
    <row r="333" customFormat="false" ht="15" hidden="false" customHeight="false" outlineLevel="0" collapsed="false">
      <c r="A333" s="31" t="str">
        <f aca="false">Inputs!$B$57</f>
        <v>BTH-008</v>
      </c>
      <c r="B333" s="46" t="n">
        <f aca="false">B332+1</f>
        <v>97</v>
      </c>
      <c r="C333" s="46" t="n">
        <f aca="false">MATCH(A333,Inputs!$B$40:$B$87,0)</f>
        <v>18</v>
      </c>
      <c r="D333" s="32" t="n">
        <f aca="false">INDEX(Inputs!$F$40:$F$87,C333)</f>
        <v>3</v>
      </c>
      <c r="E333" s="78" t="n">
        <f aca="false">INDEX(Inputs!$H$40:$H$87,C333)</f>
        <v>95</v>
      </c>
      <c r="F333" s="78" t="n">
        <f aca="false">INDEX(Inputs!$G$40:$G$87,C333)</f>
        <v>45</v>
      </c>
      <c r="G333" s="32" t="n">
        <f aca="false">INDEX(Inputs!$I$40:$I$87,C333)</f>
        <v>1</v>
      </c>
      <c r="H333" s="46" t="n">
        <f aca="false">MATCH(A333,Demand_History!$C:$C,0)+B333-1</f>
        <v>1866</v>
      </c>
      <c r="I333" s="32" t="n">
        <f aca="false">INDEX(Forecast_Walkforward!$C:$C,H333)</f>
        <v>8</v>
      </c>
      <c r="J333" s="79" t="n">
        <f aca="false">INDEX(Forecast_Walkforward!$E:$E,H333)</f>
        <v>5</v>
      </c>
      <c r="K333" s="33" t="n">
        <f aca="false">Baseline_Weeks*J333</f>
        <v>20</v>
      </c>
      <c r="L333" s="46" t="n">
        <f aca="false">SUMIFS(P$325:P332,$B$325:$B332,$B333-$D333)</f>
        <v>2</v>
      </c>
      <c r="M333" s="46" t="n">
        <f aca="false">S332+L333</f>
        <v>17</v>
      </c>
      <c r="N333" s="46" t="n">
        <f aca="false">SUMIFS(P$325:P332,$B$325:$B332,"&gt;"&amp;($B333-$D333))</f>
        <v>0</v>
      </c>
      <c r="O333" s="46" t="n">
        <f aca="false">M333+N333</f>
        <v>17</v>
      </c>
      <c r="P333" s="47" t="n">
        <f aca="false">IF(O333&lt;K333,ROUNDUP((K333-O333)/G333,0)*G333,0)</f>
        <v>3</v>
      </c>
      <c r="Q333" s="46" t="n">
        <f aca="false">MIN(M333,I333)</f>
        <v>8</v>
      </c>
      <c r="R333" s="46" t="n">
        <f aca="false">I333-Q333</f>
        <v>0</v>
      </c>
      <c r="S333" s="46" t="n">
        <f aca="false">M333-Q333</f>
        <v>9</v>
      </c>
      <c r="T333" s="46" t="n">
        <f aca="false">IF(R333&gt;0,1,0)</f>
        <v>0</v>
      </c>
      <c r="U333" s="32" t="n">
        <f aca="false">INDEX(Forecast!$AY$7:$AY$54,C333)</f>
        <v>2</v>
      </c>
      <c r="V333" s="33" t="n">
        <f aca="false">CHOOSE(U333,INDEX(Forecast_Walkforward!$D:$D,H333),INDEX(Forecast_Walkforward!$E:$E,H333),INDEX(Forecast_Walkforward!$F:$F,H333),INDEX(Forecast_Walkforward!$G:$G,H333))</f>
        <v>5</v>
      </c>
      <c r="W333" s="79" t="n">
        <f aca="false">INDEX(Forecast!$BA$7:$BA$54,C333)</f>
        <v>2.49495626206612</v>
      </c>
      <c r="X333" s="33" t="n">
        <f aca="false">Z_Value*W333*SQRT(D333)</f>
        <v>7.10805567390645</v>
      </c>
      <c r="Y333" s="33" t="n">
        <f aca="false">V333*D333+X333</f>
        <v>22.1080556739065</v>
      </c>
      <c r="Z333" s="33" t="n">
        <f aca="false">SQRT((2*V333*Weeks_Per_Year*F333)/(E333*Holding_Rate))</f>
        <v>35.0938591119361</v>
      </c>
      <c r="AA333" s="46" t="n">
        <f aca="false">ROUNDUP(Z333/G333,0)*G333</f>
        <v>36</v>
      </c>
      <c r="AB333" s="46" t="n">
        <f aca="false">SUMIFS(AF$325:AF332,$B$325:$B332,$B333-$D333)</f>
        <v>0</v>
      </c>
      <c r="AC333" s="46" t="n">
        <f aca="false">AI332+AB333</f>
        <v>18</v>
      </c>
      <c r="AD333" s="46" t="n">
        <f aca="false">SUMIFS(AF$325:AF332,$B$325:$B332,"&gt;"&amp;($B333-$D333))</f>
        <v>0</v>
      </c>
      <c r="AE333" s="46" t="n">
        <f aca="false">AC333+AD333</f>
        <v>18</v>
      </c>
      <c r="AF333" s="47" t="n">
        <f aca="false">IF(AE333&lt;=Y333,AA333,0)</f>
        <v>36</v>
      </c>
      <c r="AG333" s="46" t="n">
        <f aca="false">MIN(AC333,I333)</f>
        <v>8</v>
      </c>
      <c r="AH333" s="46" t="n">
        <f aca="false">I333-AG333</f>
        <v>0</v>
      </c>
      <c r="AI333" s="46" t="n">
        <f aca="false">AC333-AG333</f>
        <v>10</v>
      </c>
      <c r="AJ333" s="46" t="n">
        <f aca="false">IF(AH333&gt;0,1,0)</f>
        <v>0</v>
      </c>
    </row>
    <row r="334" customFormat="false" ht="15" hidden="false" customHeight="false" outlineLevel="0" collapsed="false">
      <c r="A334" s="31" t="str">
        <f aca="false">Inputs!$B$57</f>
        <v>BTH-008</v>
      </c>
      <c r="B334" s="46" t="n">
        <f aca="false">B333+1</f>
        <v>98</v>
      </c>
      <c r="C334" s="46" t="n">
        <f aca="false">MATCH(A334,Inputs!$B$40:$B$87,0)</f>
        <v>18</v>
      </c>
      <c r="D334" s="32" t="n">
        <f aca="false">INDEX(Inputs!$F$40:$F$87,C334)</f>
        <v>3</v>
      </c>
      <c r="E334" s="78" t="n">
        <f aca="false">INDEX(Inputs!$H$40:$H$87,C334)</f>
        <v>95</v>
      </c>
      <c r="F334" s="78" t="n">
        <f aca="false">INDEX(Inputs!$G$40:$G$87,C334)</f>
        <v>45</v>
      </c>
      <c r="G334" s="32" t="n">
        <f aca="false">INDEX(Inputs!$I$40:$I$87,C334)</f>
        <v>1</v>
      </c>
      <c r="H334" s="46" t="n">
        <f aca="false">MATCH(A334,Demand_History!$C:$C,0)+B334-1</f>
        <v>1867</v>
      </c>
      <c r="I334" s="32" t="n">
        <f aca="false">INDEX(Forecast_Walkforward!$C:$C,H334)</f>
        <v>10</v>
      </c>
      <c r="J334" s="79" t="n">
        <f aca="false">INDEX(Forecast_Walkforward!$E:$E,H334)</f>
        <v>5.75</v>
      </c>
      <c r="K334" s="33" t="n">
        <f aca="false">Baseline_Weeks*J334</f>
        <v>23</v>
      </c>
      <c r="L334" s="46" t="n">
        <f aca="false">SUMIFS(P$325:P333,$B$325:$B333,$B334-$D334)</f>
        <v>0</v>
      </c>
      <c r="M334" s="46" t="n">
        <f aca="false">S333+L334</f>
        <v>9</v>
      </c>
      <c r="N334" s="46" t="n">
        <f aca="false">SUMIFS(P$325:P333,$B$325:$B333,"&gt;"&amp;($B334-$D334))</f>
        <v>3</v>
      </c>
      <c r="O334" s="46" t="n">
        <f aca="false">M334+N334</f>
        <v>12</v>
      </c>
      <c r="P334" s="47" t="n">
        <f aca="false">IF(O334&lt;K334,ROUNDUP((K334-O334)/G334,0)*G334,0)</f>
        <v>11</v>
      </c>
      <c r="Q334" s="46" t="n">
        <f aca="false">MIN(M334,I334)</f>
        <v>9</v>
      </c>
      <c r="R334" s="46" t="n">
        <f aca="false">I334-Q334</f>
        <v>1</v>
      </c>
      <c r="S334" s="46" t="n">
        <f aca="false">M334-Q334</f>
        <v>0</v>
      </c>
      <c r="T334" s="46" t="n">
        <f aca="false">IF(R334&gt;0,1,0)</f>
        <v>1</v>
      </c>
      <c r="U334" s="32" t="n">
        <f aca="false">INDEX(Forecast!$AY$7:$AY$54,C334)</f>
        <v>2</v>
      </c>
      <c r="V334" s="33" t="n">
        <f aca="false">CHOOSE(U334,INDEX(Forecast_Walkforward!$D:$D,H334),INDEX(Forecast_Walkforward!$E:$E,H334),INDEX(Forecast_Walkforward!$F:$F,H334),INDEX(Forecast_Walkforward!$G:$G,H334))</f>
        <v>5.75</v>
      </c>
      <c r="W334" s="79" t="n">
        <f aca="false">INDEX(Forecast!$BA$7:$BA$54,C334)</f>
        <v>2.49495626206612</v>
      </c>
      <c r="X334" s="33" t="n">
        <f aca="false">Z_Value*W334*SQRT(D334)</f>
        <v>7.10805567390645</v>
      </c>
      <c r="Y334" s="33" t="n">
        <f aca="false">V334*D334+X334</f>
        <v>24.3580556739065</v>
      </c>
      <c r="Z334" s="33" t="n">
        <f aca="false">SQRT((2*V334*Weeks_Per_Year*F334)/(E334*Holding_Rate))</f>
        <v>37.6339712158269</v>
      </c>
      <c r="AA334" s="46" t="n">
        <f aca="false">ROUNDUP(Z334/G334,0)*G334</f>
        <v>38</v>
      </c>
      <c r="AB334" s="46" t="n">
        <f aca="false">SUMIFS(AF$325:AF333,$B$325:$B333,$B334-$D334)</f>
        <v>0</v>
      </c>
      <c r="AC334" s="46" t="n">
        <f aca="false">AI333+AB334</f>
        <v>10</v>
      </c>
      <c r="AD334" s="46" t="n">
        <f aca="false">SUMIFS(AF$325:AF333,$B$325:$B333,"&gt;"&amp;($B334-$D334))</f>
        <v>36</v>
      </c>
      <c r="AE334" s="46" t="n">
        <f aca="false">AC334+AD334</f>
        <v>46</v>
      </c>
      <c r="AF334" s="47" t="n">
        <f aca="false">IF(AE334&lt;=Y334,AA334,0)</f>
        <v>0</v>
      </c>
      <c r="AG334" s="46" t="n">
        <f aca="false">MIN(AC334,I334)</f>
        <v>10</v>
      </c>
      <c r="AH334" s="46" t="n">
        <f aca="false">I334-AG334</f>
        <v>0</v>
      </c>
      <c r="AI334" s="46" t="n">
        <f aca="false">AC334-AG334</f>
        <v>0</v>
      </c>
      <c r="AJ334" s="46" t="n">
        <f aca="false">IF(AH334&gt;0,1,0)</f>
        <v>0</v>
      </c>
    </row>
    <row r="335" customFormat="false" ht="15" hidden="false" customHeight="false" outlineLevel="0" collapsed="false">
      <c r="A335" s="31" t="str">
        <f aca="false">Inputs!$B$57</f>
        <v>BTH-008</v>
      </c>
      <c r="B335" s="46" t="n">
        <f aca="false">B334+1</f>
        <v>99</v>
      </c>
      <c r="C335" s="46" t="n">
        <f aca="false">MATCH(A335,Inputs!$B$40:$B$87,0)</f>
        <v>18</v>
      </c>
      <c r="D335" s="32" t="n">
        <f aca="false">INDEX(Inputs!$F$40:$F$87,C335)</f>
        <v>3</v>
      </c>
      <c r="E335" s="78" t="n">
        <f aca="false">INDEX(Inputs!$H$40:$H$87,C335)</f>
        <v>95</v>
      </c>
      <c r="F335" s="78" t="n">
        <f aca="false">INDEX(Inputs!$G$40:$G$87,C335)</f>
        <v>45</v>
      </c>
      <c r="G335" s="32" t="n">
        <f aca="false">INDEX(Inputs!$I$40:$I$87,C335)</f>
        <v>1</v>
      </c>
      <c r="H335" s="46" t="n">
        <f aca="false">MATCH(A335,Demand_History!$C:$C,0)+B335-1</f>
        <v>1868</v>
      </c>
      <c r="I335" s="32" t="n">
        <f aca="false">INDEX(Forecast_Walkforward!$C:$C,H335)</f>
        <v>6</v>
      </c>
      <c r="J335" s="79" t="n">
        <f aca="false">INDEX(Forecast_Walkforward!$E:$E,H335)</f>
        <v>7.25</v>
      </c>
      <c r="K335" s="33" t="n">
        <f aca="false">Baseline_Weeks*J335</f>
        <v>29</v>
      </c>
      <c r="L335" s="46" t="n">
        <f aca="false">SUMIFS(P$325:P334,$B$325:$B334,$B335-$D335)</f>
        <v>0</v>
      </c>
      <c r="M335" s="46" t="n">
        <f aca="false">S334+L335</f>
        <v>0</v>
      </c>
      <c r="N335" s="46" t="n">
        <f aca="false">SUMIFS(P$325:P334,$B$325:$B334,"&gt;"&amp;($B335-$D335))</f>
        <v>14</v>
      </c>
      <c r="O335" s="46" t="n">
        <f aca="false">M335+N335</f>
        <v>14</v>
      </c>
      <c r="P335" s="47" t="n">
        <f aca="false">IF(O335&lt;K335,ROUNDUP((K335-O335)/G335,0)*G335,0)</f>
        <v>15</v>
      </c>
      <c r="Q335" s="46" t="n">
        <f aca="false">MIN(M335,I335)</f>
        <v>0</v>
      </c>
      <c r="R335" s="46" t="n">
        <f aca="false">I335-Q335</f>
        <v>6</v>
      </c>
      <c r="S335" s="46" t="n">
        <f aca="false">M335-Q335</f>
        <v>0</v>
      </c>
      <c r="T335" s="46" t="n">
        <f aca="false">IF(R335&gt;0,1,0)</f>
        <v>1</v>
      </c>
      <c r="U335" s="32" t="n">
        <f aca="false">INDEX(Forecast!$AY$7:$AY$54,C335)</f>
        <v>2</v>
      </c>
      <c r="V335" s="33" t="n">
        <f aca="false">CHOOSE(U335,INDEX(Forecast_Walkforward!$D:$D,H335),INDEX(Forecast_Walkforward!$E:$E,H335),INDEX(Forecast_Walkforward!$F:$F,H335),INDEX(Forecast_Walkforward!$G:$G,H335))</f>
        <v>7.25</v>
      </c>
      <c r="W335" s="79" t="n">
        <f aca="false">INDEX(Forecast!$BA$7:$BA$54,C335)</f>
        <v>2.49495626206612</v>
      </c>
      <c r="X335" s="33" t="n">
        <f aca="false">Z_Value*W335*SQRT(D335)</f>
        <v>7.10805567390645</v>
      </c>
      <c r="Y335" s="33" t="n">
        <f aca="false">V335*D335+X335</f>
        <v>28.8580556739065</v>
      </c>
      <c r="Z335" s="33" t="n">
        <f aca="false">SQRT((2*V335*Weeks_Per_Year*F335)/(E335*Holding_Rate))</f>
        <v>42.258602363119</v>
      </c>
      <c r="AA335" s="46" t="n">
        <f aca="false">ROUNDUP(Z335/G335,0)*G335</f>
        <v>43</v>
      </c>
      <c r="AB335" s="46" t="n">
        <f aca="false">SUMIFS(AF$325:AF334,$B$325:$B334,$B335-$D335)</f>
        <v>0</v>
      </c>
      <c r="AC335" s="46" t="n">
        <f aca="false">AI334+AB335</f>
        <v>0</v>
      </c>
      <c r="AD335" s="46" t="n">
        <f aca="false">SUMIFS(AF$325:AF334,$B$325:$B334,"&gt;"&amp;($B335-$D335))</f>
        <v>36</v>
      </c>
      <c r="AE335" s="46" t="n">
        <f aca="false">AC335+AD335</f>
        <v>36</v>
      </c>
      <c r="AF335" s="47" t="n">
        <f aca="false">IF(AE335&lt;=Y335,AA335,0)</f>
        <v>0</v>
      </c>
      <c r="AG335" s="46" t="n">
        <f aca="false">MIN(AC335,I335)</f>
        <v>0</v>
      </c>
      <c r="AH335" s="46" t="n">
        <f aca="false">I335-AG335</f>
        <v>6</v>
      </c>
      <c r="AI335" s="46" t="n">
        <f aca="false">AC335-AG335</f>
        <v>0</v>
      </c>
      <c r="AJ335" s="46" t="n">
        <f aca="false">IF(AH335&gt;0,1,0)</f>
        <v>1</v>
      </c>
    </row>
    <row r="336" customFormat="false" ht="15" hidden="false" customHeight="false" outlineLevel="0" collapsed="false">
      <c r="A336" s="31" t="str">
        <f aca="false">Inputs!$B$57</f>
        <v>BTH-008</v>
      </c>
      <c r="B336" s="46" t="n">
        <f aca="false">B335+1</f>
        <v>100</v>
      </c>
      <c r="C336" s="46" t="n">
        <f aca="false">MATCH(A336,Inputs!$B$40:$B$87,0)</f>
        <v>18</v>
      </c>
      <c r="D336" s="32" t="n">
        <f aca="false">INDEX(Inputs!$F$40:$F$87,C336)</f>
        <v>3</v>
      </c>
      <c r="E336" s="78" t="n">
        <f aca="false">INDEX(Inputs!$H$40:$H$87,C336)</f>
        <v>95</v>
      </c>
      <c r="F336" s="78" t="n">
        <f aca="false">INDEX(Inputs!$G$40:$G$87,C336)</f>
        <v>45</v>
      </c>
      <c r="G336" s="32" t="n">
        <f aca="false">INDEX(Inputs!$I$40:$I$87,C336)</f>
        <v>1</v>
      </c>
      <c r="H336" s="46" t="n">
        <f aca="false">MATCH(A336,Demand_History!$C:$C,0)+B336-1</f>
        <v>1869</v>
      </c>
      <c r="I336" s="32" t="n">
        <f aca="false">INDEX(Forecast_Walkforward!$C:$C,H336)</f>
        <v>7</v>
      </c>
      <c r="J336" s="79" t="n">
        <f aca="false">INDEX(Forecast_Walkforward!$E:$E,H336)</f>
        <v>8</v>
      </c>
      <c r="K336" s="33" t="n">
        <f aca="false">Baseline_Weeks*J336</f>
        <v>32</v>
      </c>
      <c r="L336" s="46" t="n">
        <f aca="false">SUMIFS(P$325:P335,$B$325:$B335,$B336-$D336)</f>
        <v>3</v>
      </c>
      <c r="M336" s="46" t="n">
        <f aca="false">S335+L336</f>
        <v>3</v>
      </c>
      <c r="N336" s="46" t="n">
        <f aca="false">SUMIFS(P$325:P335,$B$325:$B335,"&gt;"&amp;($B336-$D336))</f>
        <v>26</v>
      </c>
      <c r="O336" s="46" t="n">
        <f aca="false">M336+N336</f>
        <v>29</v>
      </c>
      <c r="P336" s="47" t="n">
        <f aca="false">IF(O336&lt;K336,ROUNDUP((K336-O336)/G336,0)*G336,0)</f>
        <v>3</v>
      </c>
      <c r="Q336" s="46" t="n">
        <f aca="false">MIN(M336,I336)</f>
        <v>3</v>
      </c>
      <c r="R336" s="46" t="n">
        <f aca="false">I336-Q336</f>
        <v>4</v>
      </c>
      <c r="S336" s="46" t="n">
        <f aca="false">M336-Q336</f>
        <v>0</v>
      </c>
      <c r="T336" s="46" t="n">
        <f aca="false">IF(R336&gt;0,1,0)</f>
        <v>1</v>
      </c>
      <c r="U336" s="32" t="n">
        <f aca="false">INDEX(Forecast!$AY$7:$AY$54,C336)</f>
        <v>2</v>
      </c>
      <c r="V336" s="33" t="n">
        <f aca="false">CHOOSE(U336,INDEX(Forecast_Walkforward!$D:$D,H336),INDEX(Forecast_Walkforward!$E:$E,H336),INDEX(Forecast_Walkforward!$F:$F,H336),INDEX(Forecast_Walkforward!$G:$G,H336))</f>
        <v>8</v>
      </c>
      <c r="W336" s="79" t="n">
        <f aca="false">INDEX(Forecast!$BA$7:$BA$54,C336)</f>
        <v>2.49495626206612</v>
      </c>
      <c r="X336" s="33" t="n">
        <f aca="false">Z_Value*W336*SQRT(D336)</f>
        <v>7.10805567390645</v>
      </c>
      <c r="Y336" s="33" t="n">
        <f aca="false">V336*D336+X336</f>
        <v>31.1080556739065</v>
      </c>
      <c r="Z336" s="33" t="n">
        <f aca="false">SQRT((2*V336*Weeks_Per_Year*F336)/(E336*Holding_Rate))</f>
        <v>44.3906106715088</v>
      </c>
      <c r="AA336" s="46" t="n">
        <f aca="false">ROUNDUP(Z336/G336,0)*G336</f>
        <v>45</v>
      </c>
      <c r="AB336" s="46" t="n">
        <f aca="false">SUMIFS(AF$325:AF335,$B$325:$B335,$B336-$D336)</f>
        <v>36</v>
      </c>
      <c r="AC336" s="46" t="n">
        <f aca="false">AI335+AB336</f>
        <v>36</v>
      </c>
      <c r="AD336" s="46" t="n">
        <f aca="false">SUMIFS(AF$325:AF335,$B$325:$B335,"&gt;"&amp;($B336-$D336))</f>
        <v>0</v>
      </c>
      <c r="AE336" s="46" t="n">
        <f aca="false">AC336+AD336</f>
        <v>36</v>
      </c>
      <c r="AF336" s="47" t="n">
        <f aca="false">IF(AE336&lt;=Y336,AA336,0)</f>
        <v>0</v>
      </c>
      <c r="AG336" s="46" t="n">
        <f aca="false">MIN(AC336,I336)</f>
        <v>7</v>
      </c>
      <c r="AH336" s="46" t="n">
        <f aca="false">I336-AG336</f>
        <v>0</v>
      </c>
      <c r="AI336" s="46" t="n">
        <f aca="false">AC336-AG336</f>
        <v>29</v>
      </c>
      <c r="AJ336" s="46" t="n">
        <f aca="false">IF(AH336&gt;0,1,0)</f>
        <v>0</v>
      </c>
    </row>
    <row r="337" customFormat="false" ht="15" hidden="false" customHeight="false" outlineLevel="0" collapsed="false">
      <c r="A337" s="31" t="str">
        <f aca="false">Inputs!$B$57</f>
        <v>BTH-008</v>
      </c>
      <c r="B337" s="46" t="n">
        <f aca="false">B336+1</f>
        <v>101</v>
      </c>
      <c r="C337" s="46" t="n">
        <f aca="false">MATCH(A337,Inputs!$B$40:$B$87,0)</f>
        <v>18</v>
      </c>
      <c r="D337" s="32" t="n">
        <f aca="false">INDEX(Inputs!$F$40:$F$87,C337)</f>
        <v>3</v>
      </c>
      <c r="E337" s="78" t="n">
        <f aca="false">INDEX(Inputs!$H$40:$H$87,C337)</f>
        <v>95</v>
      </c>
      <c r="F337" s="78" t="n">
        <f aca="false">INDEX(Inputs!$G$40:$G$87,C337)</f>
        <v>45</v>
      </c>
      <c r="G337" s="32" t="n">
        <f aca="false">INDEX(Inputs!$I$40:$I$87,C337)</f>
        <v>1</v>
      </c>
      <c r="H337" s="46" t="n">
        <f aca="false">MATCH(A337,Demand_History!$C:$C,0)+B337-1</f>
        <v>1870</v>
      </c>
      <c r="I337" s="32" t="n">
        <f aca="false">INDEX(Forecast_Walkforward!$C:$C,H337)</f>
        <v>3</v>
      </c>
      <c r="J337" s="79" t="n">
        <f aca="false">INDEX(Forecast_Walkforward!$E:$E,H337)</f>
        <v>7.75</v>
      </c>
      <c r="K337" s="33" t="n">
        <f aca="false">Baseline_Weeks*J337</f>
        <v>31</v>
      </c>
      <c r="L337" s="46" t="n">
        <f aca="false">SUMIFS(P$325:P336,$B$325:$B336,$B337-$D337)</f>
        <v>11</v>
      </c>
      <c r="M337" s="46" t="n">
        <f aca="false">S336+L337</f>
        <v>11</v>
      </c>
      <c r="N337" s="46" t="n">
        <f aca="false">SUMIFS(P$325:P336,$B$325:$B336,"&gt;"&amp;($B337-$D337))</f>
        <v>18</v>
      </c>
      <c r="O337" s="46" t="n">
        <f aca="false">M337+N337</f>
        <v>29</v>
      </c>
      <c r="P337" s="47" t="n">
        <f aca="false">IF(O337&lt;K337,ROUNDUP((K337-O337)/G337,0)*G337,0)</f>
        <v>2</v>
      </c>
      <c r="Q337" s="46" t="n">
        <f aca="false">MIN(M337,I337)</f>
        <v>3</v>
      </c>
      <c r="R337" s="46" t="n">
        <f aca="false">I337-Q337</f>
        <v>0</v>
      </c>
      <c r="S337" s="46" t="n">
        <f aca="false">M337-Q337</f>
        <v>8</v>
      </c>
      <c r="T337" s="46" t="n">
        <f aca="false">IF(R337&gt;0,1,0)</f>
        <v>0</v>
      </c>
      <c r="U337" s="32" t="n">
        <f aca="false">INDEX(Forecast!$AY$7:$AY$54,C337)</f>
        <v>2</v>
      </c>
      <c r="V337" s="33" t="n">
        <f aca="false">CHOOSE(U337,INDEX(Forecast_Walkforward!$D:$D,H337),INDEX(Forecast_Walkforward!$E:$E,H337),INDEX(Forecast_Walkforward!$F:$F,H337),INDEX(Forecast_Walkforward!$G:$G,H337))</f>
        <v>7.75</v>
      </c>
      <c r="W337" s="79" t="n">
        <f aca="false">INDEX(Forecast!$BA$7:$BA$54,C337)</f>
        <v>2.49495626206612</v>
      </c>
      <c r="X337" s="33" t="n">
        <f aca="false">Z_Value*W337*SQRT(D337)</f>
        <v>7.10805567390645</v>
      </c>
      <c r="Y337" s="33" t="n">
        <f aca="false">V337*D337+X337</f>
        <v>30.3580556739065</v>
      </c>
      <c r="Z337" s="33" t="n">
        <f aca="false">SQRT((2*V337*Weeks_Per_Year*F337)/(E337*Holding_Rate))</f>
        <v>43.6915022449567</v>
      </c>
      <c r="AA337" s="46" t="n">
        <f aca="false">ROUNDUP(Z337/G337,0)*G337</f>
        <v>44</v>
      </c>
      <c r="AB337" s="46" t="n">
        <f aca="false">SUMIFS(AF$325:AF336,$B$325:$B336,$B337-$D337)</f>
        <v>0</v>
      </c>
      <c r="AC337" s="46" t="n">
        <f aca="false">AI336+AB337</f>
        <v>29</v>
      </c>
      <c r="AD337" s="46" t="n">
        <f aca="false">SUMIFS(AF$325:AF336,$B$325:$B336,"&gt;"&amp;($B337-$D337))</f>
        <v>0</v>
      </c>
      <c r="AE337" s="46" t="n">
        <f aca="false">AC337+AD337</f>
        <v>29</v>
      </c>
      <c r="AF337" s="47" t="n">
        <f aca="false">IF(AE337&lt;=Y337,AA337,0)</f>
        <v>44</v>
      </c>
      <c r="AG337" s="46" t="n">
        <f aca="false">MIN(AC337,I337)</f>
        <v>3</v>
      </c>
      <c r="AH337" s="46" t="n">
        <f aca="false">I337-AG337</f>
        <v>0</v>
      </c>
      <c r="AI337" s="46" t="n">
        <f aca="false">AC337-AG337</f>
        <v>26</v>
      </c>
      <c r="AJ337" s="46" t="n">
        <f aca="false">IF(AH337&gt;0,1,0)</f>
        <v>0</v>
      </c>
    </row>
    <row r="338" customFormat="false" ht="15" hidden="false" customHeight="false" outlineLevel="0" collapsed="false">
      <c r="A338" s="31" t="str">
        <f aca="false">Inputs!$B$57</f>
        <v>BTH-008</v>
      </c>
      <c r="B338" s="46" t="n">
        <f aca="false">B337+1</f>
        <v>102</v>
      </c>
      <c r="C338" s="46" t="n">
        <f aca="false">MATCH(A338,Inputs!$B$40:$B$87,0)</f>
        <v>18</v>
      </c>
      <c r="D338" s="32" t="n">
        <f aca="false">INDEX(Inputs!$F$40:$F$87,C338)</f>
        <v>3</v>
      </c>
      <c r="E338" s="78" t="n">
        <f aca="false">INDEX(Inputs!$H$40:$H$87,C338)</f>
        <v>95</v>
      </c>
      <c r="F338" s="78" t="n">
        <f aca="false">INDEX(Inputs!$G$40:$G$87,C338)</f>
        <v>45</v>
      </c>
      <c r="G338" s="32" t="n">
        <f aca="false">INDEX(Inputs!$I$40:$I$87,C338)</f>
        <v>1</v>
      </c>
      <c r="H338" s="46" t="n">
        <f aca="false">MATCH(A338,Demand_History!$C:$C,0)+B338-1</f>
        <v>1871</v>
      </c>
      <c r="I338" s="32" t="n">
        <f aca="false">INDEX(Forecast_Walkforward!$C:$C,H338)</f>
        <v>7</v>
      </c>
      <c r="J338" s="79" t="n">
        <f aca="false">INDEX(Forecast_Walkforward!$E:$E,H338)</f>
        <v>6.5</v>
      </c>
      <c r="K338" s="33" t="n">
        <f aca="false">Baseline_Weeks*J338</f>
        <v>26</v>
      </c>
      <c r="L338" s="46" t="n">
        <f aca="false">SUMIFS(P$325:P337,$B$325:$B337,$B338-$D338)</f>
        <v>15</v>
      </c>
      <c r="M338" s="46" t="n">
        <f aca="false">S337+L338</f>
        <v>23</v>
      </c>
      <c r="N338" s="46" t="n">
        <f aca="false">SUMIFS(P$325:P337,$B$325:$B337,"&gt;"&amp;($B338-$D338))</f>
        <v>5</v>
      </c>
      <c r="O338" s="46" t="n">
        <f aca="false">M338+N338</f>
        <v>28</v>
      </c>
      <c r="P338" s="47" t="n">
        <f aca="false">IF(O338&lt;K338,ROUNDUP((K338-O338)/G338,0)*G338,0)</f>
        <v>0</v>
      </c>
      <c r="Q338" s="46" t="n">
        <f aca="false">MIN(M338,I338)</f>
        <v>7</v>
      </c>
      <c r="R338" s="46" t="n">
        <f aca="false">I338-Q338</f>
        <v>0</v>
      </c>
      <c r="S338" s="46" t="n">
        <f aca="false">M338-Q338</f>
        <v>16</v>
      </c>
      <c r="T338" s="46" t="n">
        <f aca="false">IF(R338&gt;0,1,0)</f>
        <v>0</v>
      </c>
      <c r="U338" s="32" t="n">
        <f aca="false">INDEX(Forecast!$AY$7:$AY$54,C338)</f>
        <v>2</v>
      </c>
      <c r="V338" s="33" t="n">
        <f aca="false">CHOOSE(U338,INDEX(Forecast_Walkforward!$D:$D,H338),INDEX(Forecast_Walkforward!$E:$E,H338),INDEX(Forecast_Walkforward!$F:$F,H338),INDEX(Forecast_Walkforward!$G:$G,H338))</f>
        <v>6.5</v>
      </c>
      <c r="W338" s="79" t="n">
        <f aca="false">INDEX(Forecast!$BA$7:$BA$54,C338)</f>
        <v>2.49495626206612</v>
      </c>
      <c r="X338" s="33" t="n">
        <f aca="false">Z_Value*W338*SQRT(D338)</f>
        <v>7.10805567390645</v>
      </c>
      <c r="Y338" s="33" t="n">
        <f aca="false">V338*D338+X338</f>
        <v>26.6080556739065</v>
      </c>
      <c r="Z338" s="33" t="n">
        <f aca="false">SQRT((2*V338*Weeks_Per_Year*F338)/(E338*Holding_Rate))</f>
        <v>40.013155731321</v>
      </c>
      <c r="AA338" s="46" t="n">
        <f aca="false">ROUNDUP(Z338/G338,0)*G338</f>
        <v>41</v>
      </c>
      <c r="AB338" s="46" t="n">
        <f aca="false">SUMIFS(AF$325:AF337,$B$325:$B337,$B338-$D338)</f>
        <v>0</v>
      </c>
      <c r="AC338" s="46" t="n">
        <f aca="false">AI337+AB338</f>
        <v>26</v>
      </c>
      <c r="AD338" s="46" t="n">
        <f aca="false">SUMIFS(AF$325:AF337,$B$325:$B337,"&gt;"&amp;($B338-$D338))</f>
        <v>44</v>
      </c>
      <c r="AE338" s="46" t="n">
        <f aca="false">AC338+AD338</f>
        <v>70</v>
      </c>
      <c r="AF338" s="47" t="n">
        <f aca="false">IF(AE338&lt;=Y338,AA338,0)</f>
        <v>0</v>
      </c>
      <c r="AG338" s="46" t="n">
        <f aca="false">MIN(AC338,I338)</f>
        <v>7</v>
      </c>
      <c r="AH338" s="46" t="n">
        <f aca="false">I338-AG338</f>
        <v>0</v>
      </c>
      <c r="AI338" s="46" t="n">
        <f aca="false">AC338-AG338</f>
        <v>19</v>
      </c>
      <c r="AJ338" s="46" t="n">
        <f aca="false">IF(AH338&gt;0,1,0)</f>
        <v>0</v>
      </c>
    </row>
    <row r="339" customFormat="false" ht="15" hidden="false" customHeight="false" outlineLevel="0" collapsed="false">
      <c r="A339" s="31" t="str">
        <f aca="false">Inputs!$B$57</f>
        <v>BTH-008</v>
      </c>
      <c r="B339" s="46" t="n">
        <f aca="false">B338+1</f>
        <v>103</v>
      </c>
      <c r="C339" s="46" t="n">
        <f aca="false">MATCH(A339,Inputs!$B$40:$B$87,0)</f>
        <v>18</v>
      </c>
      <c r="D339" s="32" t="n">
        <f aca="false">INDEX(Inputs!$F$40:$F$87,C339)</f>
        <v>3</v>
      </c>
      <c r="E339" s="78" t="n">
        <f aca="false">INDEX(Inputs!$H$40:$H$87,C339)</f>
        <v>95</v>
      </c>
      <c r="F339" s="78" t="n">
        <f aca="false">INDEX(Inputs!$G$40:$G$87,C339)</f>
        <v>45</v>
      </c>
      <c r="G339" s="32" t="n">
        <f aca="false">INDEX(Inputs!$I$40:$I$87,C339)</f>
        <v>1</v>
      </c>
      <c r="H339" s="46" t="n">
        <f aca="false">MATCH(A339,Demand_History!$C:$C,0)+B339-1</f>
        <v>1872</v>
      </c>
      <c r="I339" s="32" t="n">
        <f aca="false">INDEX(Forecast_Walkforward!$C:$C,H339)</f>
        <v>6</v>
      </c>
      <c r="J339" s="79" t="n">
        <f aca="false">INDEX(Forecast_Walkforward!$E:$E,H339)</f>
        <v>5.75</v>
      </c>
      <c r="K339" s="33" t="n">
        <f aca="false">Baseline_Weeks*J339</f>
        <v>23</v>
      </c>
      <c r="L339" s="46" t="n">
        <f aca="false">SUMIFS(P$325:P338,$B$325:$B338,$B339-$D339)</f>
        <v>3</v>
      </c>
      <c r="M339" s="46" t="n">
        <f aca="false">S338+L339</f>
        <v>19</v>
      </c>
      <c r="N339" s="46" t="n">
        <f aca="false">SUMIFS(P$325:P338,$B$325:$B338,"&gt;"&amp;($B339-$D339))</f>
        <v>2</v>
      </c>
      <c r="O339" s="46" t="n">
        <f aca="false">M339+N339</f>
        <v>21</v>
      </c>
      <c r="P339" s="47" t="n">
        <f aca="false">IF(O339&lt;K339,ROUNDUP((K339-O339)/G339,0)*G339,0)</f>
        <v>2</v>
      </c>
      <c r="Q339" s="46" t="n">
        <f aca="false">MIN(M339,I339)</f>
        <v>6</v>
      </c>
      <c r="R339" s="46" t="n">
        <f aca="false">I339-Q339</f>
        <v>0</v>
      </c>
      <c r="S339" s="46" t="n">
        <f aca="false">M339-Q339</f>
        <v>13</v>
      </c>
      <c r="T339" s="46" t="n">
        <f aca="false">IF(R339&gt;0,1,0)</f>
        <v>0</v>
      </c>
      <c r="U339" s="32" t="n">
        <f aca="false">INDEX(Forecast!$AY$7:$AY$54,C339)</f>
        <v>2</v>
      </c>
      <c r="V339" s="33" t="n">
        <f aca="false">CHOOSE(U339,INDEX(Forecast_Walkforward!$D:$D,H339),INDEX(Forecast_Walkforward!$E:$E,H339),INDEX(Forecast_Walkforward!$F:$F,H339),INDEX(Forecast_Walkforward!$G:$G,H339))</f>
        <v>5.75</v>
      </c>
      <c r="W339" s="79" t="n">
        <f aca="false">INDEX(Forecast!$BA$7:$BA$54,C339)</f>
        <v>2.49495626206612</v>
      </c>
      <c r="X339" s="33" t="n">
        <f aca="false">Z_Value*W339*SQRT(D339)</f>
        <v>7.10805567390645</v>
      </c>
      <c r="Y339" s="33" t="n">
        <f aca="false">V339*D339+X339</f>
        <v>24.3580556739065</v>
      </c>
      <c r="Z339" s="33" t="n">
        <f aca="false">SQRT((2*V339*Weeks_Per_Year*F339)/(E339*Holding_Rate))</f>
        <v>37.6339712158269</v>
      </c>
      <c r="AA339" s="46" t="n">
        <f aca="false">ROUNDUP(Z339/G339,0)*G339</f>
        <v>38</v>
      </c>
      <c r="AB339" s="46" t="n">
        <f aca="false">SUMIFS(AF$325:AF338,$B$325:$B338,$B339-$D339)</f>
        <v>0</v>
      </c>
      <c r="AC339" s="46" t="n">
        <f aca="false">AI338+AB339</f>
        <v>19</v>
      </c>
      <c r="AD339" s="46" t="n">
        <f aca="false">SUMIFS(AF$325:AF338,$B$325:$B338,"&gt;"&amp;($B339-$D339))</f>
        <v>44</v>
      </c>
      <c r="AE339" s="46" t="n">
        <f aca="false">AC339+AD339</f>
        <v>63</v>
      </c>
      <c r="AF339" s="47" t="n">
        <f aca="false">IF(AE339&lt;=Y339,AA339,0)</f>
        <v>0</v>
      </c>
      <c r="AG339" s="46" t="n">
        <f aca="false">MIN(AC339,I339)</f>
        <v>6</v>
      </c>
      <c r="AH339" s="46" t="n">
        <f aca="false">I339-AG339</f>
        <v>0</v>
      </c>
      <c r="AI339" s="46" t="n">
        <f aca="false">AC339-AG339</f>
        <v>13</v>
      </c>
      <c r="AJ339" s="46" t="n">
        <f aca="false">IF(AH339&gt;0,1,0)</f>
        <v>0</v>
      </c>
    </row>
    <row r="340" customFormat="false" ht="15" hidden="false" customHeight="false" outlineLevel="0" collapsed="false">
      <c r="A340" s="80" t="str">
        <f aca="false">Inputs!$B$57</f>
        <v>BTH-008</v>
      </c>
      <c r="B340" s="81" t="n">
        <f aca="false">B339+1</f>
        <v>104</v>
      </c>
      <c r="C340" s="81" t="n">
        <f aca="false">MATCH(A340,Inputs!$B$40:$B$87,0)</f>
        <v>18</v>
      </c>
      <c r="D340" s="82" t="n">
        <f aca="false">INDEX(Inputs!$F$40:$F$87,C340)</f>
        <v>3</v>
      </c>
      <c r="E340" s="83" t="n">
        <f aca="false">INDEX(Inputs!$H$40:$H$87,C340)</f>
        <v>95</v>
      </c>
      <c r="F340" s="83" t="n">
        <f aca="false">INDEX(Inputs!$G$40:$G$87,C340)</f>
        <v>45</v>
      </c>
      <c r="G340" s="82" t="n">
        <f aca="false">INDEX(Inputs!$I$40:$I$87,C340)</f>
        <v>1</v>
      </c>
      <c r="H340" s="81" t="n">
        <f aca="false">MATCH(A340,Demand_History!$C:$C,0)+B340-1</f>
        <v>1873</v>
      </c>
      <c r="I340" s="82" t="n">
        <f aca="false">INDEX(Forecast_Walkforward!$C:$C,H340)</f>
        <v>5</v>
      </c>
      <c r="J340" s="84" t="n">
        <f aca="false">INDEX(Forecast_Walkforward!$E:$E,H340)</f>
        <v>5.75</v>
      </c>
      <c r="K340" s="85" t="n">
        <f aca="false">Baseline_Weeks*J340</f>
        <v>23</v>
      </c>
      <c r="L340" s="81" t="n">
        <f aca="false">SUMIFS(P$325:P339,$B$325:$B339,$B340-$D340)</f>
        <v>2</v>
      </c>
      <c r="M340" s="81" t="n">
        <f aca="false">S339+L340</f>
        <v>15</v>
      </c>
      <c r="N340" s="81" t="n">
        <f aca="false">SUMIFS(P$325:P339,$B$325:$B339,"&gt;"&amp;($B340-$D340))</f>
        <v>2</v>
      </c>
      <c r="O340" s="81" t="n">
        <f aca="false">M340+N340</f>
        <v>17</v>
      </c>
      <c r="P340" s="86" t="n">
        <f aca="false">IF(O340&lt;K340,ROUNDUP((K340-O340)/G340,0)*G340,0)</f>
        <v>6</v>
      </c>
      <c r="Q340" s="81" t="n">
        <f aca="false">MIN(M340,I340)</f>
        <v>5</v>
      </c>
      <c r="R340" s="81" t="n">
        <f aca="false">I340-Q340</f>
        <v>0</v>
      </c>
      <c r="S340" s="81" t="n">
        <f aca="false">M340-Q340</f>
        <v>10</v>
      </c>
      <c r="T340" s="81" t="n">
        <f aca="false">IF(R340&gt;0,1,0)</f>
        <v>0</v>
      </c>
      <c r="U340" s="82" t="n">
        <f aca="false">INDEX(Forecast!$AY$7:$AY$54,C340)</f>
        <v>2</v>
      </c>
      <c r="V340" s="85" t="n">
        <f aca="false">CHOOSE(U340,INDEX(Forecast_Walkforward!$D:$D,H340),INDEX(Forecast_Walkforward!$E:$E,H340),INDEX(Forecast_Walkforward!$F:$F,H340),INDEX(Forecast_Walkforward!$G:$G,H340))</f>
        <v>5.75</v>
      </c>
      <c r="W340" s="84" t="n">
        <f aca="false">INDEX(Forecast!$BA$7:$BA$54,C340)</f>
        <v>2.49495626206612</v>
      </c>
      <c r="X340" s="85" t="n">
        <f aca="false">Z_Value*W340*SQRT(D340)</f>
        <v>7.10805567390645</v>
      </c>
      <c r="Y340" s="85" t="n">
        <f aca="false">V340*D340+X340</f>
        <v>24.3580556739065</v>
      </c>
      <c r="Z340" s="85" t="n">
        <f aca="false">SQRT((2*V340*Weeks_Per_Year*F340)/(E340*Holding_Rate))</f>
        <v>37.6339712158269</v>
      </c>
      <c r="AA340" s="81" t="n">
        <f aca="false">ROUNDUP(Z340/G340,0)*G340</f>
        <v>38</v>
      </c>
      <c r="AB340" s="81" t="n">
        <f aca="false">SUMIFS(AF$325:AF339,$B$325:$B339,$B340-$D340)</f>
        <v>44</v>
      </c>
      <c r="AC340" s="81" t="n">
        <f aca="false">AI339+AB340</f>
        <v>57</v>
      </c>
      <c r="AD340" s="81" t="n">
        <f aca="false">SUMIFS(AF$325:AF339,$B$325:$B339,"&gt;"&amp;($B340-$D340))</f>
        <v>0</v>
      </c>
      <c r="AE340" s="81" t="n">
        <f aca="false">AC340+AD340</f>
        <v>57</v>
      </c>
      <c r="AF340" s="86" t="n">
        <f aca="false">IF(AE340&lt;=Y340,AA340,0)</f>
        <v>0</v>
      </c>
      <c r="AG340" s="81" t="n">
        <f aca="false">MIN(AC340,I340)</f>
        <v>5</v>
      </c>
      <c r="AH340" s="81" t="n">
        <f aca="false">I340-AG340</f>
        <v>0</v>
      </c>
      <c r="AI340" s="81" t="n">
        <f aca="false">AC340-AG340</f>
        <v>52</v>
      </c>
      <c r="AJ340" s="81" t="n">
        <f aca="false">IF(AH340&gt;0,1,0)</f>
        <v>0</v>
      </c>
    </row>
    <row r="341" customFormat="false" ht="15" hidden="false" customHeight="false" outlineLevel="0" collapsed="false">
      <c r="A341" s="31" t="str">
        <f aca="false">Inputs!$B$58</f>
        <v>BTH-009</v>
      </c>
      <c r="B341" s="46" t="n">
        <f aca="false">BT_Start_Week</f>
        <v>89</v>
      </c>
      <c r="C341" s="46" t="n">
        <f aca="false">MATCH(A341,Inputs!$B$40:$B$87,0)</f>
        <v>19</v>
      </c>
      <c r="D341" s="32" t="n">
        <f aca="false">INDEX(Inputs!$F$40:$F$87,C341)</f>
        <v>3</v>
      </c>
      <c r="E341" s="78" t="n">
        <f aca="false">INDEX(Inputs!$H$40:$H$87,C341)</f>
        <v>21</v>
      </c>
      <c r="F341" s="78" t="n">
        <f aca="false">INDEX(Inputs!$G$40:$G$87,C341)</f>
        <v>45</v>
      </c>
      <c r="G341" s="32" t="n">
        <f aca="false">INDEX(Inputs!$I$40:$I$87,C341)</f>
        <v>4</v>
      </c>
      <c r="H341" s="46" t="n">
        <f aca="false">MATCH(A341,Demand_History!$C:$C,0)+B341-1</f>
        <v>1962</v>
      </c>
      <c r="I341" s="32" t="n">
        <f aca="false">INDEX(Forecast_Walkforward!$C:$C,H341)</f>
        <v>37</v>
      </c>
      <c r="J341" s="79" t="n">
        <f aca="false">INDEX(Forecast_Walkforward!$E:$E,H341)</f>
        <v>32</v>
      </c>
      <c r="K341" s="33" t="n">
        <f aca="false">Baseline_Weeks*J341</f>
        <v>128</v>
      </c>
      <c r="L341" s="46" t="n">
        <f aca="false">0</f>
        <v>0</v>
      </c>
      <c r="M341" s="46" t="n">
        <f aca="false">ROUND(BT_Open_Cover*INDEX(Forecast_Walkforward!$F:$F,H341),0)+L341</f>
        <v>182</v>
      </c>
      <c r="N341" s="46" t="n">
        <f aca="false">0</f>
        <v>0</v>
      </c>
      <c r="O341" s="46" t="n">
        <f aca="false">M341+N341</f>
        <v>182</v>
      </c>
      <c r="P341" s="47" t="n">
        <f aca="false">IF(O341&lt;K341,ROUNDUP((K341-O341)/G341,0)*G341,0)</f>
        <v>0</v>
      </c>
      <c r="Q341" s="46" t="n">
        <f aca="false">MIN(M341,I341)</f>
        <v>37</v>
      </c>
      <c r="R341" s="46" t="n">
        <f aca="false">I341-Q341</f>
        <v>0</v>
      </c>
      <c r="S341" s="46" t="n">
        <f aca="false">M341-Q341</f>
        <v>145</v>
      </c>
      <c r="T341" s="46" t="n">
        <f aca="false">IF(R341&gt;0,1,0)</f>
        <v>0</v>
      </c>
      <c r="U341" s="32" t="n">
        <f aca="false">INDEX(Forecast!$AY$7:$AY$54,C341)</f>
        <v>3</v>
      </c>
      <c r="V341" s="33" t="n">
        <f aca="false">CHOOSE(U341,INDEX(Forecast_Walkforward!$D:$D,H341),INDEX(Forecast_Walkforward!$E:$E,H341),INDEX(Forecast_Walkforward!$F:$F,H341),INDEX(Forecast_Walkforward!$G:$G,H341))</f>
        <v>30.25</v>
      </c>
      <c r="W341" s="79" t="n">
        <f aca="false">INDEX(Forecast!$BA$7:$BA$54,C341)</f>
        <v>10.4821712076205</v>
      </c>
      <c r="X341" s="33" t="n">
        <f aca="false">Z_Value*W341*SQRT(D341)</f>
        <v>29.8633918598173</v>
      </c>
      <c r="Y341" s="33" t="n">
        <f aca="false">V341*D341+X341</f>
        <v>120.613391859817</v>
      </c>
      <c r="Z341" s="33" t="n">
        <f aca="false">SQRT((2*V341*Weeks_Per_Year*F341)/(E341*Holding_Rate))</f>
        <v>183.595051287182</v>
      </c>
      <c r="AA341" s="46" t="n">
        <f aca="false">ROUNDUP(Z341/G341,0)*G341</f>
        <v>184</v>
      </c>
      <c r="AB341" s="46" t="n">
        <f aca="false">0</f>
        <v>0</v>
      </c>
      <c r="AC341" s="46" t="n">
        <f aca="false">ROUND(BT_Open_Cover*INDEX(Forecast_Walkforward!$F:$F,H341),0)+AB341</f>
        <v>182</v>
      </c>
      <c r="AD341" s="46" t="n">
        <f aca="false">0</f>
        <v>0</v>
      </c>
      <c r="AE341" s="46" t="n">
        <f aca="false">AC341+AD341</f>
        <v>182</v>
      </c>
      <c r="AF341" s="47" t="n">
        <f aca="false">IF(AE341&lt;=Y341,AA341,0)</f>
        <v>0</v>
      </c>
      <c r="AG341" s="46" t="n">
        <f aca="false">MIN(AC341,I341)</f>
        <v>37</v>
      </c>
      <c r="AH341" s="46" t="n">
        <f aca="false">I341-AG341</f>
        <v>0</v>
      </c>
      <c r="AI341" s="46" t="n">
        <f aca="false">AC341-AG341</f>
        <v>145</v>
      </c>
      <c r="AJ341" s="46" t="n">
        <f aca="false">IF(AH341&gt;0,1,0)</f>
        <v>0</v>
      </c>
    </row>
    <row r="342" customFormat="false" ht="15" hidden="false" customHeight="false" outlineLevel="0" collapsed="false">
      <c r="A342" s="31" t="str">
        <f aca="false">Inputs!$B$58</f>
        <v>BTH-009</v>
      </c>
      <c r="B342" s="46" t="n">
        <f aca="false">B341+1</f>
        <v>90</v>
      </c>
      <c r="C342" s="46" t="n">
        <f aca="false">MATCH(A342,Inputs!$B$40:$B$87,0)</f>
        <v>19</v>
      </c>
      <c r="D342" s="32" t="n">
        <f aca="false">INDEX(Inputs!$F$40:$F$87,C342)</f>
        <v>3</v>
      </c>
      <c r="E342" s="78" t="n">
        <f aca="false">INDEX(Inputs!$H$40:$H$87,C342)</f>
        <v>21</v>
      </c>
      <c r="F342" s="78" t="n">
        <f aca="false">INDEX(Inputs!$G$40:$G$87,C342)</f>
        <v>45</v>
      </c>
      <c r="G342" s="32" t="n">
        <f aca="false">INDEX(Inputs!$I$40:$I$87,C342)</f>
        <v>4</v>
      </c>
      <c r="H342" s="46" t="n">
        <f aca="false">MATCH(A342,Demand_History!$C:$C,0)+B342-1</f>
        <v>1963</v>
      </c>
      <c r="I342" s="32" t="n">
        <f aca="false">INDEX(Forecast_Walkforward!$C:$C,H342)</f>
        <v>24</v>
      </c>
      <c r="J342" s="79" t="n">
        <f aca="false">INDEX(Forecast_Walkforward!$E:$E,H342)</f>
        <v>32.25</v>
      </c>
      <c r="K342" s="33" t="n">
        <f aca="false">Baseline_Weeks*J342</f>
        <v>129</v>
      </c>
      <c r="L342" s="46" t="n">
        <f aca="false">SUMIFS(P$341:P341,$B$341:$B341,$B342-$D342)</f>
        <v>0</v>
      </c>
      <c r="M342" s="46" t="n">
        <f aca="false">S341+L342</f>
        <v>145</v>
      </c>
      <c r="N342" s="46" t="n">
        <f aca="false">SUMIFS(P$341:P341,$B$341:$B341,"&gt;"&amp;($B342-$D342))</f>
        <v>0</v>
      </c>
      <c r="O342" s="46" t="n">
        <f aca="false">M342+N342</f>
        <v>145</v>
      </c>
      <c r="P342" s="47" t="n">
        <f aca="false">IF(O342&lt;K342,ROUNDUP((K342-O342)/G342,0)*G342,0)</f>
        <v>0</v>
      </c>
      <c r="Q342" s="46" t="n">
        <f aca="false">MIN(M342,I342)</f>
        <v>24</v>
      </c>
      <c r="R342" s="46" t="n">
        <f aca="false">I342-Q342</f>
        <v>0</v>
      </c>
      <c r="S342" s="46" t="n">
        <f aca="false">M342-Q342</f>
        <v>121</v>
      </c>
      <c r="T342" s="46" t="n">
        <f aca="false">IF(R342&gt;0,1,0)</f>
        <v>0</v>
      </c>
      <c r="U342" s="32" t="n">
        <f aca="false">INDEX(Forecast!$AY$7:$AY$54,C342)</f>
        <v>3</v>
      </c>
      <c r="V342" s="33" t="n">
        <f aca="false">CHOOSE(U342,INDEX(Forecast_Walkforward!$D:$D,H342),INDEX(Forecast_Walkforward!$E:$E,H342),INDEX(Forecast_Walkforward!$F:$F,H342),INDEX(Forecast_Walkforward!$G:$G,H342))</f>
        <v>29.25</v>
      </c>
      <c r="W342" s="79" t="n">
        <f aca="false">INDEX(Forecast!$BA$7:$BA$54,C342)</f>
        <v>10.4821712076205</v>
      </c>
      <c r="X342" s="33" t="n">
        <f aca="false">Z_Value*W342*SQRT(D342)</f>
        <v>29.8633918598173</v>
      </c>
      <c r="Y342" s="33" t="n">
        <f aca="false">V342*D342+X342</f>
        <v>117.613391859817</v>
      </c>
      <c r="Z342" s="33" t="n">
        <f aca="false">SQRT((2*V342*Weeks_Per_Year*F342)/(E342*Holding_Rate))</f>
        <v>180.534919455648</v>
      </c>
      <c r="AA342" s="46" t="n">
        <f aca="false">ROUNDUP(Z342/G342,0)*G342</f>
        <v>184</v>
      </c>
      <c r="AB342" s="46" t="n">
        <f aca="false">SUMIFS(AF$341:AF341,$B$341:$B341,$B342-$D342)</f>
        <v>0</v>
      </c>
      <c r="AC342" s="46" t="n">
        <f aca="false">AI341+AB342</f>
        <v>145</v>
      </c>
      <c r="AD342" s="46" t="n">
        <f aca="false">SUMIFS(AF$341:AF341,$B$341:$B341,"&gt;"&amp;($B342-$D342))</f>
        <v>0</v>
      </c>
      <c r="AE342" s="46" t="n">
        <f aca="false">AC342+AD342</f>
        <v>145</v>
      </c>
      <c r="AF342" s="47" t="n">
        <f aca="false">IF(AE342&lt;=Y342,AA342,0)</f>
        <v>0</v>
      </c>
      <c r="AG342" s="46" t="n">
        <f aca="false">MIN(AC342,I342)</f>
        <v>24</v>
      </c>
      <c r="AH342" s="46" t="n">
        <f aca="false">I342-AG342</f>
        <v>0</v>
      </c>
      <c r="AI342" s="46" t="n">
        <f aca="false">AC342-AG342</f>
        <v>121</v>
      </c>
      <c r="AJ342" s="46" t="n">
        <f aca="false">IF(AH342&gt;0,1,0)</f>
        <v>0</v>
      </c>
    </row>
    <row r="343" customFormat="false" ht="15" hidden="false" customHeight="false" outlineLevel="0" collapsed="false">
      <c r="A343" s="31" t="str">
        <f aca="false">Inputs!$B$58</f>
        <v>BTH-009</v>
      </c>
      <c r="B343" s="46" t="n">
        <f aca="false">B342+1</f>
        <v>91</v>
      </c>
      <c r="C343" s="46" t="n">
        <f aca="false">MATCH(A343,Inputs!$B$40:$B$87,0)</f>
        <v>19</v>
      </c>
      <c r="D343" s="32" t="n">
        <f aca="false">INDEX(Inputs!$F$40:$F$87,C343)</f>
        <v>3</v>
      </c>
      <c r="E343" s="78" t="n">
        <f aca="false">INDEX(Inputs!$H$40:$H$87,C343)</f>
        <v>21</v>
      </c>
      <c r="F343" s="78" t="n">
        <f aca="false">INDEX(Inputs!$G$40:$G$87,C343)</f>
        <v>45</v>
      </c>
      <c r="G343" s="32" t="n">
        <f aca="false">INDEX(Inputs!$I$40:$I$87,C343)</f>
        <v>4</v>
      </c>
      <c r="H343" s="46" t="n">
        <f aca="false">MATCH(A343,Demand_History!$C:$C,0)+B343-1</f>
        <v>1964</v>
      </c>
      <c r="I343" s="32" t="n">
        <f aca="false">INDEX(Forecast_Walkforward!$C:$C,H343)</f>
        <v>44</v>
      </c>
      <c r="J343" s="79" t="n">
        <f aca="false">INDEX(Forecast_Walkforward!$E:$E,H343)</f>
        <v>30.75</v>
      </c>
      <c r="K343" s="33" t="n">
        <f aca="false">Baseline_Weeks*J343</f>
        <v>123</v>
      </c>
      <c r="L343" s="46" t="n">
        <f aca="false">SUMIFS(P$341:P342,$B$341:$B342,$B343-$D343)</f>
        <v>0</v>
      </c>
      <c r="M343" s="46" t="n">
        <f aca="false">S342+L343</f>
        <v>121</v>
      </c>
      <c r="N343" s="46" t="n">
        <f aca="false">SUMIFS(P$341:P342,$B$341:$B342,"&gt;"&amp;($B343-$D343))</f>
        <v>0</v>
      </c>
      <c r="O343" s="46" t="n">
        <f aca="false">M343+N343</f>
        <v>121</v>
      </c>
      <c r="P343" s="47" t="n">
        <f aca="false">IF(O343&lt;K343,ROUNDUP((K343-O343)/G343,0)*G343,0)</f>
        <v>4</v>
      </c>
      <c r="Q343" s="46" t="n">
        <f aca="false">MIN(M343,I343)</f>
        <v>44</v>
      </c>
      <c r="R343" s="46" t="n">
        <f aca="false">I343-Q343</f>
        <v>0</v>
      </c>
      <c r="S343" s="46" t="n">
        <f aca="false">M343-Q343</f>
        <v>77</v>
      </c>
      <c r="T343" s="46" t="n">
        <f aca="false">IF(R343&gt;0,1,0)</f>
        <v>0</v>
      </c>
      <c r="U343" s="32" t="n">
        <f aca="false">INDEX(Forecast!$AY$7:$AY$54,C343)</f>
        <v>3</v>
      </c>
      <c r="V343" s="33" t="n">
        <f aca="false">CHOOSE(U343,INDEX(Forecast_Walkforward!$D:$D,H343),INDEX(Forecast_Walkforward!$E:$E,H343),INDEX(Forecast_Walkforward!$F:$F,H343),INDEX(Forecast_Walkforward!$G:$G,H343))</f>
        <v>28.125</v>
      </c>
      <c r="W343" s="79" t="n">
        <f aca="false">INDEX(Forecast!$BA$7:$BA$54,C343)</f>
        <v>10.4821712076205</v>
      </c>
      <c r="X343" s="33" t="n">
        <f aca="false">Z_Value*W343*SQRT(D343)</f>
        <v>29.8633918598173</v>
      </c>
      <c r="Y343" s="33" t="n">
        <f aca="false">V343*D343+X343</f>
        <v>114.238391859817</v>
      </c>
      <c r="Z343" s="33" t="n">
        <f aca="false">SQRT((2*V343*Weeks_Per_Year*F343)/(E343*Holding_Rate))</f>
        <v>177.029053305625</v>
      </c>
      <c r="AA343" s="46" t="n">
        <f aca="false">ROUNDUP(Z343/G343,0)*G343</f>
        <v>180</v>
      </c>
      <c r="AB343" s="46" t="n">
        <f aca="false">SUMIFS(AF$341:AF342,$B$341:$B342,$B343-$D343)</f>
        <v>0</v>
      </c>
      <c r="AC343" s="46" t="n">
        <f aca="false">AI342+AB343</f>
        <v>121</v>
      </c>
      <c r="AD343" s="46" t="n">
        <f aca="false">SUMIFS(AF$341:AF342,$B$341:$B342,"&gt;"&amp;($B343-$D343))</f>
        <v>0</v>
      </c>
      <c r="AE343" s="46" t="n">
        <f aca="false">AC343+AD343</f>
        <v>121</v>
      </c>
      <c r="AF343" s="47" t="n">
        <f aca="false">IF(AE343&lt;=Y343,AA343,0)</f>
        <v>0</v>
      </c>
      <c r="AG343" s="46" t="n">
        <f aca="false">MIN(AC343,I343)</f>
        <v>44</v>
      </c>
      <c r="AH343" s="46" t="n">
        <f aca="false">I343-AG343</f>
        <v>0</v>
      </c>
      <c r="AI343" s="46" t="n">
        <f aca="false">AC343-AG343</f>
        <v>77</v>
      </c>
      <c r="AJ343" s="46" t="n">
        <f aca="false">IF(AH343&gt;0,1,0)</f>
        <v>0</v>
      </c>
    </row>
    <row r="344" customFormat="false" ht="15" hidden="false" customHeight="false" outlineLevel="0" collapsed="false">
      <c r="A344" s="31" t="str">
        <f aca="false">Inputs!$B$58</f>
        <v>BTH-009</v>
      </c>
      <c r="B344" s="46" t="n">
        <f aca="false">B343+1</f>
        <v>92</v>
      </c>
      <c r="C344" s="46" t="n">
        <f aca="false">MATCH(A344,Inputs!$B$40:$B$87,0)</f>
        <v>19</v>
      </c>
      <c r="D344" s="32" t="n">
        <f aca="false">INDEX(Inputs!$F$40:$F$87,C344)</f>
        <v>3</v>
      </c>
      <c r="E344" s="78" t="n">
        <f aca="false">INDEX(Inputs!$H$40:$H$87,C344)</f>
        <v>21</v>
      </c>
      <c r="F344" s="78" t="n">
        <f aca="false">INDEX(Inputs!$G$40:$G$87,C344)</f>
        <v>45</v>
      </c>
      <c r="G344" s="32" t="n">
        <f aca="false">INDEX(Inputs!$I$40:$I$87,C344)</f>
        <v>4</v>
      </c>
      <c r="H344" s="46" t="n">
        <f aca="false">MATCH(A344,Demand_History!$C:$C,0)+B344-1</f>
        <v>1965</v>
      </c>
      <c r="I344" s="32" t="n">
        <f aca="false">INDEX(Forecast_Walkforward!$C:$C,H344)</f>
        <v>29</v>
      </c>
      <c r="J344" s="79" t="n">
        <f aca="false">INDEX(Forecast_Walkforward!$E:$E,H344)</f>
        <v>30.25</v>
      </c>
      <c r="K344" s="33" t="n">
        <f aca="false">Baseline_Weeks*J344</f>
        <v>121</v>
      </c>
      <c r="L344" s="46" t="n">
        <f aca="false">SUMIFS(P$341:P343,$B$341:$B343,$B344-$D344)</f>
        <v>0</v>
      </c>
      <c r="M344" s="46" t="n">
        <f aca="false">S343+L344</f>
        <v>77</v>
      </c>
      <c r="N344" s="46" t="n">
        <f aca="false">SUMIFS(P$341:P343,$B$341:$B343,"&gt;"&amp;($B344-$D344))</f>
        <v>4</v>
      </c>
      <c r="O344" s="46" t="n">
        <f aca="false">M344+N344</f>
        <v>81</v>
      </c>
      <c r="P344" s="47" t="n">
        <f aca="false">IF(O344&lt;K344,ROUNDUP((K344-O344)/G344,0)*G344,0)</f>
        <v>40</v>
      </c>
      <c r="Q344" s="46" t="n">
        <f aca="false">MIN(M344,I344)</f>
        <v>29</v>
      </c>
      <c r="R344" s="46" t="n">
        <f aca="false">I344-Q344</f>
        <v>0</v>
      </c>
      <c r="S344" s="46" t="n">
        <f aca="false">M344-Q344</f>
        <v>48</v>
      </c>
      <c r="T344" s="46" t="n">
        <f aca="false">IF(R344&gt;0,1,0)</f>
        <v>0</v>
      </c>
      <c r="U344" s="32" t="n">
        <f aca="false">INDEX(Forecast!$AY$7:$AY$54,C344)</f>
        <v>3</v>
      </c>
      <c r="V344" s="33" t="n">
        <f aca="false">CHOOSE(U344,INDEX(Forecast_Walkforward!$D:$D,H344),INDEX(Forecast_Walkforward!$E:$E,H344),INDEX(Forecast_Walkforward!$F:$F,H344),INDEX(Forecast_Walkforward!$G:$G,H344))</f>
        <v>32.125</v>
      </c>
      <c r="W344" s="79" t="n">
        <f aca="false">INDEX(Forecast!$BA$7:$BA$54,C344)</f>
        <v>10.4821712076205</v>
      </c>
      <c r="X344" s="33" t="n">
        <f aca="false">Z_Value*W344*SQRT(D344)</f>
        <v>29.8633918598173</v>
      </c>
      <c r="Y344" s="33" t="n">
        <f aca="false">V344*D344+X344</f>
        <v>126.238391859817</v>
      </c>
      <c r="Z344" s="33" t="n">
        <f aca="false">SQRT((2*V344*Weeks_Per_Year*F344)/(E344*Holding_Rate))</f>
        <v>189.199441255593</v>
      </c>
      <c r="AA344" s="46" t="n">
        <f aca="false">ROUNDUP(Z344/G344,0)*G344</f>
        <v>192</v>
      </c>
      <c r="AB344" s="46" t="n">
        <f aca="false">SUMIFS(AF$341:AF343,$B$341:$B343,$B344-$D344)</f>
        <v>0</v>
      </c>
      <c r="AC344" s="46" t="n">
        <f aca="false">AI343+AB344</f>
        <v>77</v>
      </c>
      <c r="AD344" s="46" t="n">
        <f aca="false">SUMIFS(AF$341:AF343,$B$341:$B343,"&gt;"&amp;($B344-$D344))</f>
        <v>0</v>
      </c>
      <c r="AE344" s="46" t="n">
        <f aca="false">AC344+AD344</f>
        <v>77</v>
      </c>
      <c r="AF344" s="47" t="n">
        <f aca="false">IF(AE344&lt;=Y344,AA344,0)</f>
        <v>192</v>
      </c>
      <c r="AG344" s="46" t="n">
        <f aca="false">MIN(AC344,I344)</f>
        <v>29</v>
      </c>
      <c r="AH344" s="46" t="n">
        <f aca="false">I344-AG344</f>
        <v>0</v>
      </c>
      <c r="AI344" s="46" t="n">
        <f aca="false">AC344-AG344</f>
        <v>48</v>
      </c>
      <c r="AJ344" s="46" t="n">
        <f aca="false">IF(AH344&gt;0,1,0)</f>
        <v>0</v>
      </c>
    </row>
    <row r="345" customFormat="false" ht="15" hidden="false" customHeight="false" outlineLevel="0" collapsed="false">
      <c r="A345" s="31" t="str">
        <f aca="false">Inputs!$B$58</f>
        <v>BTH-009</v>
      </c>
      <c r="B345" s="46" t="n">
        <f aca="false">B344+1</f>
        <v>93</v>
      </c>
      <c r="C345" s="46" t="n">
        <f aca="false">MATCH(A345,Inputs!$B$40:$B$87,0)</f>
        <v>19</v>
      </c>
      <c r="D345" s="32" t="n">
        <f aca="false">INDEX(Inputs!$F$40:$F$87,C345)</f>
        <v>3</v>
      </c>
      <c r="E345" s="78" t="n">
        <f aca="false">INDEX(Inputs!$H$40:$H$87,C345)</f>
        <v>21</v>
      </c>
      <c r="F345" s="78" t="n">
        <f aca="false">INDEX(Inputs!$G$40:$G$87,C345)</f>
        <v>45</v>
      </c>
      <c r="G345" s="32" t="n">
        <f aca="false">INDEX(Inputs!$I$40:$I$87,C345)</f>
        <v>4</v>
      </c>
      <c r="H345" s="46" t="n">
        <f aca="false">MATCH(A345,Demand_History!$C:$C,0)+B345-1</f>
        <v>1966</v>
      </c>
      <c r="I345" s="32" t="n">
        <f aca="false">INDEX(Forecast_Walkforward!$C:$C,H345)</f>
        <v>41</v>
      </c>
      <c r="J345" s="79" t="n">
        <f aca="false">INDEX(Forecast_Walkforward!$E:$E,H345)</f>
        <v>33.5</v>
      </c>
      <c r="K345" s="33" t="n">
        <f aca="false">Baseline_Weeks*J345</f>
        <v>134</v>
      </c>
      <c r="L345" s="46" t="n">
        <f aca="false">SUMIFS(P$341:P344,$B$341:$B344,$B345-$D345)</f>
        <v>0</v>
      </c>
      <c r="M345" s="46" t="n">
        <f aca="false">S344+L345</f>
        <v>48</v>
      </c>
      <c r="N345" s="46" t="n">
        <f aca="false">SUMIFS(P$341:P344,$B$341:$B344,"&gt;"&amp;($B345-$D345))</f>
        <v>44</v>
      </c>
      <c r="O345" s="46" t="n">
        <f aca="false">M345+N345</f>
        <v>92</v>
      </c>
      <c r="P345" s="47" t="n">
        <f aca="false">IF(O345&lt;K345,ROUNDUP((K345-O345)/G345,0)*G345,0)</f>
        <v>44</v>
      </c>
      <c r="Q345" s="46" t="n">
        <f aca="false">MIN(M345,I345)</f>
        <v>41</v>
      </c>
      <c r="R345" s="46" t="n">
        <f aca="false">I345-Q345</f>
        <v>0</v>
      </c>
      <c r="S345" s="46" t="n">
        <f aca="false">M345-Q345</f>
        <v>7</v>
      </c>
      <c r="T345" s="46" t="n">
        <f aca="false">IF(R345&gt;0,1,0)</f>
        <v>0</v>
      </c>
      <c r="U345" s="32" t="n">
        <f aca="false">INDEX(Forecast!$AY$7:$AY$54,C345)</f>
        <v>3</v>
      </c>
      <c r="V345" s="33" t="n">
        <f aca="false">CHOOSE(U345,INDEX(Forecast_Walkforward!$D:$D,H345),INDEX(Forecast_Walkforward!$E:$E,H345),INDEX(Forecast_Walkforward!$F:$F,H345),INDEX(Forecast_Walkforward!$G:$G,H345))</f>
        <v>32.75</v>
      </c>
      <c r="W345" s="79" t="n">
        <f aca="false">INDEX(Forecast!$BA$7:$BA$54,C345)</f>
        <v>10.4821712076205</v>
      </c>
      <c r="X345" s="33" t="n">
        <f aca="false">Z_Value*W345*SQRT(D345)</f>
        <v>29.8633918598173</v>
      </c>
      <c r="Y345" s="33" t="n">
        <f aca="false">V345*D345+X345</f>
        <v>128.113391859817</v>
      </c>
      <c r="Z345" s="33" t="n">
        <f aca="false">SQRT((2*V345*Weeks_Per_Year*F345)/(E345*Holding_Rate))</f>
        <v>191.031037119252</v>
      </c>
      <c r="AA345" s="46" t="n">
        <f aca="false">ROUNDUP(Z345/G345,0)*G345</f>
        <v>192</v>
      </c>
      <c r="AB345" s="46" t="n">
        <f aca="false">SUMIFS(AF$341:AF344,$B$341:$B344,$B345-$D345)</f>
        <v>0</v>
      </c>
      <c r="AC345" s="46" t="n">
        <f aca="false">AI344+AB345</f>
        <v>48</v>
      </c>
      <c r="AD345" s="46" t="n">
        <f aca="false">SUMIFS(AF$341:AF344,$B$341:$B344,"&gt;"&amp;($B345-$D345))</f>
        <v>192</v>
      </c>
      <c r="AE345" s="46" t="n">
        <f aca="false">AC345+AD345</f>
        <v>240</v>
      </c>
      <c r="AF345" s="47" t="n">
        <f aca="false">IF(AE345&lt;=Y345,AA345,0)</f>
        <v>0</v>
      </c>
      <c r="AG345" s="46" t="n">
        <f aca="false">MIN(AC345,I345)</f>
        <v>41</v>
      </c>
      <c r="AH345" s="46" t="n">
        <f aca="false">I345-AG345</f>
        <v>0</v>
      </c>
      <c r="AI345" s="46" t="n">
        <f aca="false">AC345-AG345</f>
        <v>7</v>
      </c>
      <c r="AJ345" s="46" t="n">
        <f aca="false">IF(AH345&gt;0,1,0)</f>
        <v>0</v>
      </c>
    </row>
    <row r="346" customFormat="false" ht="15" hidden="false" customHeight="false" outlineLevel="0" collapsed="false">
      <c r="A346" s="31" t="str">
        <f aca="false">Inputs!$B$58</f>
        <v>BTH-009</v>
      </c>
      <c r="B346" s="46" t="n">
        <f aca="false">B345+1</f>
        <v>94</v>
      </c>
      <c r="C346" s="46" t="n">
        <f aca="false">MATCH(A346,Inputs!$B$40:$B$87,0)</f>
        <v>19</v>
      </c>
      <c r="D346" s="32" t="n">
        <f aca="false">INDEX(Inputs!$F$40:$F$87,C346)</f>
        <v>3</v>
      </c>
      <c r="E346" s="78" t="n">
        <f aca="false">INDEX(Inputs!$H$40:$H$87,C346)</f>
        <v>21</v>
      </c>
      <c r="F346" s="78" t="n">
        <f aca="false">INDEX(Inputs!$G$40:$G$87,C346)</f>
        <v>45</v>
      </c>
      <c r="G346" s="32" t="n">
        <f aca="false">INDEX(Inputs!$I$40:$I$87,C346)</f>
        <v>4</v>
      </c>
      <c r="H346" s="46" t="n">
        <f aca="false">MATCH(A346,Demand_History!$C:$C,0)+B346-1</f>
        <v>1967</v>
      </c>
      <c r="I346" s="32" t="n">
        <f aca="false">INDEX(Forecast_Walkforward!$C:$C,H346)</f>
        <v>23</v>
      </c>
      <c r="J346" s="79" t="n">
        <f aca="false">INDEX(Forecast_Walkforward!$E:$E,H346)</f>
        <v>34.5</v>
      </c>
      <c r="K346" s="33" t="n">
        <f aca="false">Baseline_Weeks*J346</f>
        <v>138</v>
      </c>
      <c r="L346" s="46" t="n">
        <f aca="false">SUMIFS(P$341:P345,$B$341:$B345,$B346-$D346)</f>
        <v>4</v>
      </c>
      <c r="M346" s="46" t="n">
        <f aca="false">S345+L346</f>
        <v>11</v>
      </c>
      <c r="N346" s="46" t="n">
        <f aca="false">SUMIFS(P$341:P345,$B$341:$B345,"&gt;"&amp;($B346-$D346))</f>
        <v>84</v>
      </c>
      <c r="O346" s="46" t="n">
        <f aca="false">M346+N346</f>
        <v>95</v>
      </c>
      <c r="P346" s="47" t="n">
        <f aca="false">IF(O346&lt;K346,ROUNDUP((K346-O346)/G346,0)*G346,0)</f>
        <v>44</v>
      </c>
      <c r="Q346" s="46" t="n">
        <f aca="false">MIN(M346,I346)</f>
        <v>11</v>
      </c>
      <c r="R346" s="46" t="n">
        <f aca="false">I346-Q346</f>
        <v>12</v>
      </c>
      <c r="S346" s="46" t="n">
        <f aca="false">M346-Q346</f>
        <v>0</v>
      </c>
      <c r="T346" s="46" t="n">
        <f aca="false">IF(R346&gt;0,1,0)</f>
        <v>1</v>
      </c>
      <c r="U346" s="32" t="n">
        <f aca="false">INDEX(Forecast!$AY$7:$AY$54,C346)</f>
        <v>3</v>
      </c>
      <c r="V346" s="33" t="n">
        <f aca="false">CHOOSE(U346,INDEX(Forecast_Walkforward!$D:$D,H346),INDEX(Forecast_Walkforward!$E:$E,H346),INDEX(Forecast_Walkforward!$F:$F,H346),INDEX(Forecast_Walkforward!$G:$G,H346))</f>
        <v>33.375</v>
      </c>
      <c r="W346" s="79" t="n">
        <f aca="false">INDEX(Forecast!$BA$7:$BA$54,C346)</f>
        <v>10.4821712076205</v>
      </c>
      <c r="X346" s="33" t="n">
        <f aca="false">Z_Value*W346*SQRT(D346)</f>
        <v>29.8633918598173</v>
      </c>
      <c r="Y346" s="33" t="n">
        <f aca="false">V346*D346+X346</f>
        <v>129.988391859817</v>
      </c>
      <c r="Z346" s="33" t="n">
        <f aca="false">SQRT((2*V346*Weeks_Per_Year*F346)/(E346*Holding_Rate))</f>
        <v>192.845237727784</v>
      </c>
      <c r="AA346" s="46" t="n">
        <f aca="false">ROUNDUP(Z346/G346,0)*G346</f>
        <v>196</v>
      </c>
      <c r="AB346" s="46" t="n">
        <f aca="false">SUMIFS(AF$341:AF345,$B$341:$B345,$B346-$D346)</f>
        <v>0</v>
      </c>
      <c r="AC346" s="46" t="n">
        <f aca="false">AI345+AB346</f>
        <v>7</v>
      </c>
      <c r="AD346" s="46" t="n">
        <f aca="false">SUMIFS(AF$341:AF345,$B$341:$B345,"&gt;"&amp;($B346-$D346))</f>
        <v>192</v>
      </c>
      <c r="AE346" s="46" t="n">
        <f aca="false">AC346+AD346</f>
        <v>199</v>
      </c>
      <c r="AF346" s="47" t="n">
        <f aca="false">IF(AE346&lt;=Y346,AA346,0)</f>
        <v>0</v>
      </c>
      <c r="AG346" s="46" t="n">
        <f aca="false">MIN(AC346,I346)</f>
        <v>7</v>
      </c>
      <c r="AH346" s="46" t="n">
        <f aca="false">I346-AG346</f>
        <v>16</v>
      </c>
      <c r="AI346" s="46" t="n">
        <f aca="false">AC346-AG346</f>
        <v>0</v>
      </c>
      <c r="AJ346" s="46" t="n">
        <f aca="false">IF(AH346&gt;0,1,0)</f>
        <v>1</v>
      </c>
    </row>
    <row r="347" customFormat="false" ht="15" hidden="false" customHeight="false" outlineLevel="0" collapsed="false">
      <c r="A347" s="31" t="str">
        <f aca="false">Inputs!$B$58</f>
        <v>BTH-009</v>
      </c>
      <c r="B347" s="46" t="n">
        <f aca="false">B346+1</f>
        <v>95</v>
      </c>
      <c r="C347" s="46" t="n">
        <f aca="false">MATCH(A347,Inputs!$B$40:$B$87,0)</f>
        <v>19</v>
      </c>
      <c r="D347" s="32" t="n">
        <f aca="false">INDEX(Inputs!$F$40:$F$87,C347)</f>
        <v>3</v>
      </c>
      <c r="E347" s="78" t="n">
        <f aca="false">INDEX(Inputs!$H$40:$H$87,C347)</f>
        <v>21</v>
      </c>
      <c r="F347" s="78" t="n">
        <f aca="false">INDEX(Inputs!$G$40:$G$87,C347)</f>
        <v>45</v>
      </c>
      <c r="G347" s="32" t="n">
        <f aca="false">INDEX(Inputs!$I$40:$I$87,C347)</f>
        <v>4</v>
      </c>
      <c r="H347" s="46" t="n">
        <f aca="false">MATCH(A347,Demand_History!$C:$C,0)+B347-1</f>
        <v>1968</v>
      </c>
      <c r="I347" s="32" t="n">
        <f aca="false">INDEX(Forecast_Walkforward!$C:$C,H347)</f>
        <v>15</v>
      </c>
      <c r="J347" s="79" t="n">
        <f aca="false">INDEX(Forecast_Walkforward!$E:$E,H347)</f>
        <v>34.25</v>
      </c>
      <c r="K347" s="33" t="n">
        <f aca="false">Baseline_Weeks*J347</f>
        <v>137</v>
      </c>
      <c r="L347" s="46" t="n">
        <f aca="false">SUMIFS(P$341:P346,$B$341:$B346,$B347-$D347)</f>
        <v>40</v>
      </c>
      <c r="M347" s="46" t="n">
        <f aca="false">S346+L347</f>
        <v>40</v>
      </c>
      <c r="N347" s="46" t="n">
        <f aca="false">SUMIFS(P$341:P346,$B$341:$B346,"&gt;"&amp;($B347-$D347))</f>
        <v>88</v>
      </c>
      <c r="O347" s="46" t="n">
        <f aca="false">M347+N347</f>
        <v>128</v>
      </c>
      <c r="P347" s="47" t="n">
        <f aca="false">IF(O347&lt;K347,ROUNDUP((K347-O347)/G347,0)*G347,0)</f>
        <v>12</v>
      </c>
      <c r="Q347" s="46" t="n">
        <f aca="false">MIN(M347,I347)</f>
        <v>15</v>
      </c>
      <c r="R347" s="46" t="n">
        <f aca="false">I347-Q347</f>
        <v>0</v>
      </c>
      <c r="S347" s="46" t="n">
        <f aca="false">M347-Q347</f>
        <v>25</v>
      </c>
      <c r="T347" s="46" t="n">
        <f aca="false">IF(R347&gt;0,1,0)</f>
        <v>0</v>
      </c>
      <c r="U347" s="32" t="n">
        <f aca="false">INDEX(Forecast!$AY$7:$AY$54,C347)</f>
        <v>3</v>
      </c>
      <c r="V347" s="33" t="n">
        <f aca="false">CHOOSE(U347,INDEX(Forecast_Walkforward!$D:$D,H347),INDEX(Forecast_Walkforward!$E:$E,H347),INDEX(Forecast_Walkforward!$F:$F,H347),INDEX(Forecast_Walkforward!$G:$G,H347))</f>
        <v>32.5</v>
      </c>
      <c r="W347" s="79" t="n">
        <f aca="false">INDEX(Forecast!$BA$7:$BA$54,C347)</f>
        <v>10.4821712076205</v>
      </c>
      <c r="X347" s="33" t="n">
        <f aca="false">Z_Value*W347*SQRT(D347)</f>
        <v>29.8633918598173</v>
      </c>
      <c r="Y347" s="33" t="n">
        <f aca="false">V347*D347+X347</f>
        <v>127.363391859817</v>
      </c>
      <c r="Z347" s="33" t="n">
        <f aca="false">SQRT((2*V347*Weeks_Per_Year*F347)/(E347*Holding_Rate))</f>
        <v>190.300514224964</v>
      </c>
      <c r="AA347" s="46" t="n">
        <f aca="false">ROUNDUP(Z347/G347,0)*G347</f>
        <v>192</v>
      </c>
      <c r="AB347" s="46" t="n">
        <f aca="false">SUMIFS(AF$341:AF346,$B$341:$B346,$B347-$D347)</f>
        <v>192</v>
      </c>
      <c r="AC347" s="46" t="n">
        <f aca="false">AI346+AB347</f>
        <v>192</v>
      </c>
      <c r="AD347" s="46" t="n">
        <f aca="false">SUMIFS(AF$341:AF346,$B$341:$B346,"&gt;"&amp;($B347-$D347))</f>
        <v>0</v>
      </c>
      <c r="AE347" s="46" t="n">
        <f aca="false">AC347+AD347</f>
        <v>192</v>
      </c>
      <c r="AF347" s="47" t="n">
        <f aca="false">IF(AE347&lt;=Y347,AA347,0)</f>
        <v>0</v>
      </c>
      <c r="AG347" s="46" t="n">
        <f aca="false">MIN(AC347,I347)</f>
        <v>15</v>
      </c>
      <c r="AH347" s="46" t="n">
        <f aca="false">I347-AG347</f>
        <v>0</v>
      </c>
      <c r="AI347" s="46" t="n">
        <f aca="false">AC347-AG347</f>
        <v>177</v>
      </c>
      <c r="AJ347" s="46" t="n">
        <f aca="false">IF(AH347&gt;0,1,0)</f>
        <v>0</v>
      </c>
    </row>
    <row r="348" customFormat="false" ht="15" hidden="false" customHeight="false" outlineLevel="0" collapsed="false">
      <c r="A348" s="31" t="str">
        <f aca="false">Inputs!$B$58</f>
        <v>BTH-009</v>
      </c>
      <c r="B348" s="46" t="n">
        <f aca="false">B347+1</f>
        <v>96</v>
      </c>
      <c r="C348" s="46" t="n">
        <f aca="false">MATCH(A348,Inputs!$B$40:$B$87,0)</f>
        <v>19</v>
      </c>
      <c r="D348" s="32" t="n">
        <f aca="false">INDEX(Inputs!$F$40:$F$87,C348)</f>
        <v>3</v>
      </c>
      <c r="E348" s="78" t="n">
        <f aca="false">INDEX(Inputs!$H$40:$H$87,C348)</f>
        <v>21</v>
      </c>
      <c r="F348" s="78" t="n">
        <f aca="false">INDEX(Inputs!$G$40:$G$87,C348)</f>
        <v>45</v>
      </c>
      <c r="G348" s="32" t="n">
        <f aca="false">INDEX(Inputs!$I$40:$I$87,C348)</f>
        <v>4</v>
      </c>
      <c r="H348" s="46" t="n">
        <f aca="false">MATCH(A348,Demand_History!$C:$C,0)+B348-1</f>
        <v>1969</v>
      </c>
      <c r="I348" s="32" t="n">
        <f aca="false">INDEX(Forecast_Walkforward!$C:$C,H348)</f>
        <v>19</v>
      </c>
      <c r="J348" s="79" t="n">
        <f aca="false">INDEX(Forecast_Walkforward!$E:$E,H348)</f>
        <v>27</v>
      </c>
      <c r="K348" s="33" t="n">
        <f aca="false">Baseline_Weeks*J348</f>
        <v>108</v>
      </c>
      <c r="L348" s="46" t="n">
        <f aca="false">SUMIFS(P$341:P347,$B$341:$B347,$B348-$D348)</f>
        <v>44</v>
      </c>
      <c r="M348" s="46" t="n">
        <f aca="false">S347+L348</f>
        <v>69</v>
      </c>
      <c r="N348" s="46" t="n">
        <f aca="false">SUMIFS(P$341:P347,$B$341:$B347,"&gt;"&amp;($B348-$D348))</f>
        <v>56</v>
      </c>
      <c r="O348" s="46" t="n">
        <f aca="false">M348+N348</f>
        <v>125</v>
      </c>
      <c r="P348" s="47" t="n">
        <f aca="false">IF(O348&lt;K348,ROUNDUP((K348-O348)/G348,0)*G348,0)</f>
        <v>0</v>
      </c>
      <c r="Q348" s="46" t="n">
        <f aca="false">MIN(M348,I348)</f>
        <v>19</v>
      </c>
      <c r="R348" s="46" t="n">
        <f aca="false">I348-Q348</f>
        <v>0</v>
      </c>
      <c r="S348" s="46" t="n">
        <f aca="false">M348-Q348</f>
        <v>50</v>
      </c>
      <c r="T348" s="46" t="n">
        <f aca="false">IF(R348&gt;0,1,0)</f>
        <v>0</v>
      </c>
      <c r="U348" s="32" t="n">
        <f aca="false">INDEX(Forecast!$AY$7:$AY$54,C348)</f>
        <v>3</v>
      </c>
      <c r="V348" s="33" t="n">
        <f aca="false">CHOOSE(U348,INDEX(Forecast_Walkforward!$D:$D,H348),INDEX(Forecast_Walkforward!$E:$E,H348),INDEX(Forecast_Walkforward!$F:$F,H348),INDEX(Forecast_Walkforward!$G:$G,H348))</f>
        <v>28.625</v>
      </c>
      <c r="W348" s="79" t="n">
        <f aca="false">INDEX(Forecast!$BA$7:$BA$54,C348)</f>
        <v>10.4821712076205</v>
      </c>
      <c r="X348" s="33" t="n">
        <f aca="false">Z_Value*W348*SQRT(D348)</f>
        <v>29.8633918598173</v>
      </c>
      <c r="Y348" s="33" t="n">
        <f aca="false">V348*D348+X348</f>
        <v>115.738391859817</v>
      </c>
      <c r="Z348" s="33" t="n">
        <f aca="false">SQRT((2*V348*Weeks_Per_Year*F348)/(E348*Holding_Rate))</f>
        <v>178.59571263451</v>
      </c>
      <c r="AA348" s="46" t="n">
        <f aca="false">ROUNDUP(Z348/G348,0)*G348</f>
        <v>180</v>
      </c>
      <c r="AB348" s="46" t="n">
        <f aca="false">SUMIFS(AF$341:AF347,$B$341:$B347,$B348-$D348)</f>
        <v>0</v>
      </c>
      <c r="AC348" s="46" t="n">
        <f aca="false">AI347+AB348</f>
        <v>177</v>
      </c>
      <c r="AD348" s="46" t="n">
        <f aca="false">SUMIFS(AF$341:AF347,$B$341:$B347,"&gt;"&amp;($B348-$D348))</f>
        <v>0</v>
      </c>
      <c r="AE348" s="46" t="n">
        <f aca="false">AC348+AD348</f>
        <v>177</v>
      </c>
      <c r="AF348" s="47" t="n">
        <f aca="false">IF(AE348&lt;=Y348,AA348,0)</f>
        <v>0</v>
      </c>
      <c r="AG348" s="46" t="n">
        <f aca="false">MIN(AC348,I348)</f>
        <v>19</v>
      </c>
      <c r="AH348" s="46" t="n">
        <f aca="false">I348-AG348</f>
        <v>0</v>
      </c>
      <c r="AI348" s="46" t="n">
        <f aca="false">AC348-AG348</f>
        <v>158</v>
      </c>
      <c r="AJ348" s="46" t="n">
        <f aca="false">IF(AH348&gt;0,1,0)</f>
        <v>0</v>
      </c>
    </row>
    <row r="349" customFormat="false" ht="15" hidden="false" customHeight="false" outlineLevel="0" collapsed="false">
      <c r="A349" s="31" t="str">
        <f aca="false">Inputs!$B$58</f>
        <v>BTH-009</v>
      </c>
      <c r="B349" s="46" t="n">
        <f aca="false">B348+1</f>
        <v>97</v>
      </c>
      <c r="C349" s="46" t="n">
        <f aca="false">MATCH(A349,Inputs!$B$40:$B$87,0)</f>
        <v>19</v>
      </c>
      <c r="D349" s="32" t="n">
        <f aca="false">INDEX(Inputs!$F$40:$F$87,C349)</f>
        <v>3</v>
      </c>
      <c r="E349" s="78" t="n">
        <f aca="false">INDEX(Inputs!$H$40:$H$87,C349)</f>
        <v>21</v>
      </c>
      <c r="F349" s="78" t="n">
        <f aca="false">INDEX(Inputs!$G$40:$G$87,C349)</f>
        <v>45</v>
      </c>
      <c r="G349" s="32" t="n">
        <f aca="false">INDEX(Inputs!$I$40:$I$87,C349)</f>
        <v>4</v>
      </c>
      <c r="H349" s="46" t="n">
        <f aca="false">MATCH(A349,Demand_History!$C:$C,0)+B349-1</f>
        <v>1970</v>
      </c>
      <c r="I349" s="32" t="n">
        <f aca="false">INDEX(Forecast_Walkforward!$C:$C,H349)</f>
        <v>24</v>
      </c>
      <c r="J349" s="79" t="n">
        <f aca="false">INDEX(Forecast_Walkforward!$E:$E,H349)</f>
        <v>24.5</v>
      </c>
      <c r="K349" s="33" t="n">
        <f aca="false">Baseline_Weeks*J349</f>
        <v>98</v>
      </c>
      <c r="L349" s="46" t="n">
        <f aca="false">SUMIFS(P$341:P348,$B$341:$B348,$B349-$D349)</f>
        <v>44</v>
      </c>
      <c r="M349" s="46" t="n">
        <f aca="false">S348+L349</f>
        <v>94</v>
      </c>
      <c r="N349" s="46" t="n">
        <f aca="false">SUMIFS(P$341:P348,$B$341:$B348,"&gt;"&amp;($B349-$D349))</f>
        <v>12</v>
      </c>
      <c r="O349" s="46" t="n">
        <f aca="false">M349+N349</f>
        <v>106</v>
      </c>
      <c r="P349" s="47" t="n">
        <f aca="false">IF(O349&lt;K349,ROUNDUP((K349-O349)/G349,0)*G349,0)</f>
        <v>0</v>
      </c>
      <c r="Q349" s="46" t="n">
        <f aca="false">MIN(M349,I349)</f>
        <v>24</v>
      </c>
      <c r="R349" s="46" t="n">
        <f aca="false">I349-Q349</f>
        <v>0</v>
      </c>
      <c r="S349" s="46" t="n">
        <f aca="false">M349-Q349</f>
        <v>70</v>
      </c>
      <c r="T349" s="46" t="n">
        <f aca="false">IF(R349&gt;0,1,0)</f>
        <v>0</v>
      </c>
      <c r="U349" s="32" t="n">
        <f aca="false">INDEX(Forecast!$AY$7:$AY$54,C349)</f>
        <v>3</v>
      </c>
      <c r="V349" s="33" t="n">
        <f aca="false">CHOOSE(U349,INDEX(Forecast_Walkforward!$D:$D,H349),INDEX(Forecast_Walkforward!$E:$E,H349),INDEX(Forecast_Walkforward!$F:$F,H349),INDEX(Forecast_Walkforward!$G:$G,H349))</f>
        <v>29</v>
      </c>
      <c r="W349" s="79" t="n">
        <f aca="false">INDEX(Forecast!$BA$7:$BA$54,C349)</f>
        <v>10.4821712076205</v>
      </c>
      <c r="X349" s="33" t="n">
        <f aca="false">Z_Value*W349*SQRT(D349)</f>
        <v>29.8633918598173</v>
      </c>
      <c r="Y349" s="33" t="n">
        <f aca="false">V349*D349+X349</f>
        <v>116.863391859817</v>
      </c>
      <c r="Z349" s="33" t="n">
        <f aca="false">SQRT((2*V349*Weeks_Per_Year*F349)/(E349*Holding_Rate))</f>
        <v>179.76174708287</v>
      </c>
      <c r="AA349" s="46" t="n">
        <f aca="false">ROUNDUP(Z349/G349,0)*G349</f>
        <v>180</v>
      </c>
      <c r="AB349" s="46" t="n">
        <f aca="false">SUMIFS(AF$341:AF348,$B$341:$B348,$B349-$D349)</f>
        <v>0</v>
      </c>
      <c r="AC349" s="46" t="n">
        <f aca="false">AI348+AB349</f>
        <v>158</v>
      </c>
      <c r="AD349" s="46" t="n">
        <f aca="false">SUMIFS(AF$341:AF348,$B$341:$B348,"&gt;"&amp;($B349-$D349))</f>
        <v>0</v>
      </c>
      <c r="AE349" s="46" t="n">
        <f aca="false">AC349+AD349</f>
        <v>158</v>
      </c>
      <c r="AF349" s="47" t="n">
        <f aca="false">IF(AE349&lt;=Y349,AA349,0)</f>
        <v>0</v>
      </c>
      <c r="AG349" s="46" t="n">
        <f aca="false">MIN(AC349,I349)</f>
        <v>24</v>
      </c>
      <c r="AH349" s="46" t="n">
        <f aca="false">I349-AG349</f>
        <v>0</v>
      </c>
      <c r="AI349" s="46" t="n">
        <f aca="false">AC349-AG349</f>
        <v>134</v>
      </c>
      <c r="AJ349" s="46" t="n">
        <f aca="false">IF(AH349&gt;0,1,0)</f>
        <v>0</v>
      </c>
    </row>
    <row r="350" customFormat="false" ht="15" hidden="false" customHeight="false" outlineLevel="0" collapsed="false">
      <c r="A350" s="31" t="str">
        <f aca="false">Inputs!$B$58</f>
        <v>BTH-009</v>
      </c>
      <c r="B350" s="46" t="n">
        <f aca="false">B349+1</f>
        <v>98</v>
      </c>
      <c r="C350" s="46" t="n">
        <f aca="false">MATCH(A350,Inputs!$B$40:$B$87,0)</f>
        <v>19</v>
      </c>
      <c r="D350" s="32" t="n">
        <f aca="false">INDEX(Inputs!$F$40:$F$87,C350)</f>
        <v>3</v>
      </c>
      <c r="E350" s="78" t="n">
        <f aca="false">INDEX(Inputs!$H$40:$H$87,C350)</f>
        <v>21</v>
      </c>
      <c r="F350" s="78" t="n">
        <f aca="false">INDEX(Inputs!$G$40:$G$87,C350)</f>
        <v>45</v>
      </c>
      <c r="G350" s="32" t="n">
        <f aca="false">INDEX(Inputs!$I$40:$I$87,C350)</f>
        <v>4</v>
      </c>
      <c r="H350" s="46" t="n">
        <f aca="false">MATCH(A350,Demand_History!$C:$C,0)+B350-1</f>
        <v>1971</v>
      </c>
      <c r="I350" s="32" t="n">
        <f aca="false">INDEX(Forecast_Walkforward!$C:$C,H350)</f>
        <v>19</v>
      </c>
      <c r="J350" s="79" t="n">
        <f aca="false">INDEX(Forecast_Walkforward!$E:$E,H350)</f>
        <v>20.25</v>
      </c>
      <c r="K350" s="33" t="n">
        <f aca="false">Baseline_Weeks*J350</f>
        <v>81</v>
      </c>
      <c r="L350" s="46" t="n">
        <f aca="false">SUMIFS(P$341:P349,$B$341:$B349,$B350-$D350)</f>
        <v>12</v>
      </c>
      <c r="M350" s="46" t="n">
        <f aca="false">S349+L350</f>
        <v>82</v>
      </c>
      <c r="N350" s="46" t="n">
        <f aca="false">SUMIFS(P$341:P349,$B$341:$B349,"&gt;"&amp;($B350-$D350))</f>
        <v>0</v>
      </c>
      <c r="O350" s="46" t="n">
        <f aca="false">M350+N350</f>
        <v>82</v>
      </c>
      <c r="P350" s="47" t="n">
        <f aca="false">IF(O350&lt;K350,ROUNDUP((K350-O350)/G350,0)*G350,0)</f>
        <v>0</v>
      </c>
      <c r="Q350" s="46" t="n">
        <f aca="false">MIN(M350,I350)</f>
        <v>19</v>
      </c>
      <c r="R350" s="46" t="n">
        <f aca="false">I350-Q350</f>
        <v>0</v>
      </c>
      <c r="S350" s="46" t="n">
        <f aca="false">M350-Q350</f>
        <v>63</v>
      </c>
      <c r="T350" s="46" t="n">
        <f aca="false">IF(R350&gt;0,1,0)</f>
        <v>0</v>
      </c>
      <c r="U350" s="32" t="n">
        <f aca="false">INDEX(Forecast!$AY$7:$AY$54,C350)</f>
        <v>3</v>
      </c>
      <c r="V350" s="33" t="n">
        <f aca="false">CHOOSE(U350,INDEX(Forecast_Walkforward!$D:$D,H350),INDEX(Forecast_Walkforward!$E:$E,H350),INDEX(Forecast_Walkforward!$F:$F,H350),INDEX(Forecast_Walkforward!$G:$G,H350))</f>
        <v>27.375</v>
      </c>
      <c r="W350" s="79" t="n">
        <f aca="false">INDEX(Forecast!$BA$7:$BA$54,C350)</f>
        <v>10.4821712076205</v>
      </c>
      <c r="X350" s="33" t="n">
        <f aca="false">Z_Value*W350*SQRT(D350)</f>
        <v>29.8633918598173</v>
      </c>
      <c r="Y350" s="33" t="n">
        <f aca="false">V350*D350+X350</f>
        <v>111.988391859817</v>
      </c>
      <c r="Z350" s="33" t="n">
        <f aca="false">SQRT((2*V350*Weeks_Per_Year*F350)/(E350*Holding_Rate))</f>
        <v>174.652716636677</v>
      </c>
      <c r="AA350" s="46" t="n">
        <f aca="false">ROUNDUP(Z350/G350,0)*G350</f>
        <v>176</v>
      </c>
      <c r="AB350" s="46" t="n">
        <f aca="false">SUMIFS(AF$341:AF349,$B$341:$B349,$B350-$D350)</f>
        <v>0</v>
      </c>
      <c r="AC350" s="46" t="n">
        <f aca="false">AI349+AB350</f>
        <v>134</v>
      </c>
      <c r="AD350" s="46" t="n">
        <f aca="false">SUMIFS(AF$341:AF349,$B$341:$B349,"&gt;"&amp;($B350-$D350))</f>
        <v>0</v>
      </c>
      <c r="AE350" s="46" t="n">
        <f aca="false">AC350+AD350</f>
        <v>134</v>
      </c>
      <c r="AF350" s="47" t="n">
        <f aca="false">IF(AE350&lt;=Y350,AA350,0)</f>
        <v>0</v>
      </c>
      <c r="AG350" s="46" t="n">
        <f aca="false">MIN(AC350,I350)</f>
        <v>19</v>
      </c>
      <c r="AH350" s="46" t="n">
        <f aca="false">I350-AG350</f>
        <v>0</v>
      </c>
      <c r="AI350" s="46" t="n">
        <f aca="false">AC350-AG350</f>
        <v>115</v>
      </c>
      <c r="AJ350" s="46" t="n">
        <f aca="false">IF(AH350&gt;0,1,0)</f>
        <v>0</v>
      </c>
    </row>
    <row r="351" customFormat="false" ht="15" hidden="false" customHeight="false" outlineLevel="0" collapsed="false">
      <c r="A351" s="31" t="str">
        <f aca="false">Inputs!$B$58</f>
        <v>BTH-009</v>
      </c>
      <c r="B351" s="46" t="n">
        <f aca="false">B350+1</f>
        <v>99</v>
      </c>
      <c r="C351" s="46" t="n">
        <f aca="false">MATCH(A351,Inputs!$B$40:$B$87,0)</f>
        <v>19</v>
      </c>
      <c r="D351" s="32" t="n">
        <f aca="false">INDEX(Inputs!$F$40:$F$87,C351)</f>
        <v>3</v>
      </c>
      <c r="E351" s="78" t="n">
        <f aca="false">INDEX(Inputs!$H$40:$H$87,C351)</f>
        <v>21</v>
      </c>
      <c r="F351" s="78" t="n">
        <f aca="false">INDEX(Inputs!$G$40:$G$87,C351)</f>
        <v>45</v>
      </c>
      <c r="G351" s="32" t="n">
        <f aca="false">INDEX(Inputs!$I$40:$I$87,C351)</f>
        <v>4</v>
      </c>
      <c r="H351" s="46" t="n">
        <f aca="false">MATCH(A351,Demand_History!$C:$C,0)+B351-1</f>
        <v>1972</v>
      </c>
      <c r="I351" s="32" t="n">
        <f aca="false">INDEX(Forecast_Walkforward!$C:$C,H351)</f>
        <v>42</v>
      </c>
      <c r="J351" s="79" t="n">
        <f aca="false">INDEX(Forecast_Walkforward!$E:$E,H351)</f>
        <v>19.25</v>
      </c>
      <c r="K351" s="33" t="n">
        <f aca="false">Baseline_Weeks*J351</f>
        <v>77</v>
      </c>
      <c r="L351" s="46" t="n">
        <f aca="false">SUMIFS(P$341:P350,$B$341:$B350,$B351-$D351)</f>
        <v>0</v>
      </c>
      <c r="M351" s="46" t="n">
        <f aca="false">S350+L351</f>
        <v>63</v>
      </c>
      <c r="N351" s="46" t="n">
        <f aca="false">SUMIFS(P$341:P350,$B$341:$B350,"&gt;"&amp;($B351-$D351))</f>
        <v>0</v>
      </c>
      <c r="O351" s="46" t="n">
        <f aca="false">M351+N351</f>
        <v>63</v>
      </c>
      <c r="P351" s="47" t="n">
        <f aca="false">IF(O351&lt;K351,ROUNDUP((K351-O351)/G351,0)*G351,0)</f>
        <v>16</v>
      </c>
      <c r="Q351" s="46" t="n">
        <f aca="false">MIN(M351,I351)</f>
        <v>42</v>
      </c>
      <c r="R351" s="46" t="n">
        <f aca="false">I351-Q351</f>
        <v>0</v>
      </c>
      <c r="S351" s="46" t="n">
        <f aca="false">M351-Q351</f>
        <v>21</v>
      </c>
      <c r="T351" s="46" t="n">
        <f aca="false">IF(R351&gt;0,1,0)</f>
        <v>0</v>
      </c>
      <c r="U351" s="32" t="n">
        <f aca="false">INDEX(Forecast!$AY$7:$AY$54,C351)</f>
        <v>3</v>
      </c>
      <c r="V351" s="33" t="n">
        <f aca="false">CHOOSE(U351,INDEX(Forecast_Walkforward!$D:$D,H351),INDEX(Forecast_Walkforward!$E:$E,H351),INDEX(Forecast_Walkforward!$F:$F,H351),INDEX(Forecast_Walkforward!$G:$G,H351))</f>
        <v>26.75</v>
      </c>
      <c r="W351" s="79" t="n">
        <f aca="false">INDEX(Forecast!$BA$7:$BA$54,C351)</f>
        <v>10.4821712076205</v>
      </c>
      <c r="X351" s="33" t="n">
        <f aca="false">Z_Value*W351*SQRT(D351)</f>
        <v>29.8633918598173</v>
      </c>
      <c r="Y351" s="33" t="n">
        <f aca="false">V351*D351+X351</f>
        <v>110.113391859817</v>
      </c>
      <c r="Z351" s="33" t="n">
        <f aca="false">SQRT((2*V351*Weeks_Per_Year*F351)/(E351*Holding_Rate))</f>
        <v>172.64745250696</v>
      </c>
      <c r="AA351" s="46" t="n">
        <f aca="false">ROUNDUP(Z351/G351,0)*G351</f>
        <v>176</v>
      </c>
      <c r="AB351" s="46" t="n">
        <f aca="false">SUMIFS(AF$341:AF350,$B$341:$B350,$B351-$D351)</f>
        <v>0</v>
      </c>
      <c r="AC351" s="46" t="n">
        <f aca="false">AI350+AB351</f>
        <v>115</v>
      </c>
      <c r="AD351" s="46" t="n">
        <f aca="false">SUMIFS(AF$341:AF350,$B$341:$B350,"&gt;"&amp;($B351-$D351))</f>
        <v>0</v>
      </c>
      <c r="AE351" s="46" t="n">
        <f aca="false">AC351+AD351</f>
        <v>115</v>
      </c>
      <c r="AF351" s="47" t="n">
        <f aca="false">IF(AE351&lt;=Y351,AA351,0)</f>
        <v>0</v>
      </c>
      <c r="AG351" s="46" t="n">
        <f aca="false">MIN(AC351,I351)</f>
        <v>42</v>
      </c>
      <c r="AH351" s="46" t="n">
        <f aca="false">I351-AG351</f>
        <v>0</v>
      </c>
      <c r="AI351" s="46" t="n">
        <f aca="false">AC351-AG351</f>
        <v>73</v>
      </c>
      <c r="AJ351" s="46" t="n">
        <f aca="false">IF(AH351&gt;0,1,0)</f>
        <v>0</v>
      </c>
    </row>
    <row r="352" customFormat="false" ht="15" hidden="false" customHeight="false" outlineLevel="0" collapsed="false">
      <c r="A352" s="31" t="str">
        <f aca="false">Inputs!$B$58</f>
        <v>BTH-009</v>
      </c>
      <c r="B352" s="46" t="n">
        <f aca="false">B351+1</f>
        <v>100</v>
      </c>
      <c r="C352" s="46" t="n">
        <f aca="false">MATCH(A352,Inputs!$B$40:$B$87,0)</f>
        <v>19</v>
      </c>
      <c r="D352" s="32" t="n">
        <f aca="false">INDEX(Inputs!$F$40:$F$87,C352)</f>
        <v>3</v>
      </c>
      <c r="E352" s="78" t="n">
        <f aca="false">INDEX(Inputs!$H$40:$H$87,C352)</f>
        <v>21</v>
      </c>
      <c r="F352" s="78" t="n">
        <f aca="false">INDEX(Inputs!$G$40:$G$87,C352)</f>
        <v>45</v>
      </c>
      <c r="G352" s="32" t="n">
        <f aca="false">INDEX(Inputs!$I$40:$I$87,C352)</f>
        <v>4</v>
      </c>
      <c r="H352" s="46" t="n">
        <f aca="false">MATCH(A352,Demand_History!$C:$C,0)+B352-1</f>
        <v>1973</v>
      </c>
      <c r="I352" s="32" t="n">
        <f aca="false">INDEX(Forecast_Walkforward!$C:$C,H352)</f>
        <v>44</v>
      </c>
      <c r="J352" s="79" t="n">
        <f aca="false">INDEX(Forecast_Walkforward!$E:$E,H352)</f>
        <v>26</v>
      </c>
      <c r="K352" s="33" t="n">
        <f aca="false">Baseline_Weeks*J352</f>
        <v>104</v>
      </c>
      <c r="L352" s="46" t="n">
        <f aca="false">SUMIFS(P$341:P351,$B$341:$B351,$B352-$D352)</f>
        <v>0</v>
      </c>
      <c r="M352" s="46" t="n">
        <f aca="false">S351+L352</f>
        <v>21</v>
      </c>
      <c r="N352" s="46" t="n">
        <f aca="false">SUMIFS(P$341:P351,$B$341:$B351,"&gt;"&amp;($B352-$D352))</f>
        <v>16</v>
      </c>
      <c r="O352" s="46" t="n">
        <f aca="false">M352+N352</f>
        <v>37</v>
      </c>
      <c r="P352" s="47" t="n">
        <f aca="false">IF(O352&lt;K352,ROUNDUP((K352-O352)/G352,0)*G352,0)</f>
        <v>68</v>
      </c>
      <c r="Q352" s="46" t="n">
        <f aca="false">MIN(M352,I352)</f>
        <v>21</v>
      </c>
      <c r="R352" s="46" t="n">
        <f aca="false">I352-Q352</f>
        <v>23</v>
      </c>
      <c r="S352" s="46" t="n">
        <f aca="false">M352-Q352</f>
        <v>0</v>
      </c>
      <c r="T352" s="46" t="n">
        <f aca="false">IF(R352&gt;0,1,0)</f>
        <v>1</v>
      </c>
      <c r="U352" s="32" t="n">
        <f aca="false">INDEX(Forecast!$AY$7:$AY$54,C352)</f>
        <v>3</v>
      </c>
      <c r="V352" s="33" t="n">
        <f aca="false">CHOOSE(U352,INDEX(Forecast_Walkforward!$D:$D,H352),INDEX(Forecast_Walkforward!$E:$E,H352),INDEX(Forecast_Walkforward!$F:$F,H352),INDEX(Forecast_Walkforward!$G:$G,H352))</f>
        <v>26.5</v>
      </c>
      <c r="W352" s="79" t="n">
        <f aca="false">INDEX(Forecast!$BA$7:$BA$54,C352)</f>
        <v>10.4821712076205</v>
      </c>
      <c r="X352" s="33" t="n">
        <f aca="false">Z_Value*W352*SQRT(D352)</f>
        <v>29.8633918598173</v>
      </c>
      <c r="Y352" s="33" t="n">
        <f aca="false">V352*D352+X352</f>
        <v>109.363391859817</v>
      </c>
      <c r="Z352" s="33" t="n">
        <f aca="false">SQRT((2*V352*Weeks_Per_Year*F352)/(E352*Holding_Rate))</f>
        <v>171.838794888033</v>
      </c>
      <c r="AA352" s="46" t="n">
        <f aca="false">ROUNDUP(Z352/G352,0)*G352</f>
        <v>172</v>
      </c>
      <c r="AB352" s="46" t="n">
        <f aca="false">SUMIFS(AF$341:AF351,$B$341:$B351,$B352-$D352)</f>
        <v>0</v>
      </c>
      <c r="AC352" s="46" t="n">
        <f aca="false">AI351+AB352</f>
        <v>73</v>
      </c>
      <c r="AD352" s="46" t="n">
        <f aca="false">SUMIFS(AF$341:AF351,$B$341:$B351,"&gt;"&amp;($B352-$D352))</f>
        <v>0</v>
      </c>
      <c r="AE352" s="46" t="n">
        <f aca="false">AC352+AD352</f>
        <v>73</v>
      </c>
      <c r="AF352" s="47" t="n">
        <f aca="false">IF(AE352&lt;=Y352,AA352,0)</f>
        <v>172</v>
      </c>
      <c r="AG352" s="46" t="n">
        <f aca="false">MIN(AC352,I352)</f>
        <v>44</v>
      </c>
      <c r="AH352" s="46" t="n">
        <f aca="false">I352-AG352</f>
        <v>0</v>
      </c>
      <c r="AI352" s="46" t="n">
        <f aca="false">AC352-AG352</f>
        <v>29</v>
      </c>
      <c r="AJ352" s="46" t="n">
        <f aca="false">IF(AH352&gt;0,1,0)</f>
        <v>0</v>
      </c>
    </row>
    <row r="353" customFormat="false" ht="15" hidden="false" customHeight="false" outlineLevel="0" collapsed="false">
      <c r="A353" s="31" t="str">
        <f aca="false">Inputs!$B$58</f>
        <v>BTH-009</v>
      </c>
      <c r="B353" s="46" t="n">
        <f aca="false">B352+1</f>
        <v>101</v>
      </c>
      <c r="C353" s="46" t="n">
        <f aca="false">MATCH(A353,Inputs!$B$40:$B$87,0)</f>
        <v>19</v>
      </c>
      <c r="D353" s="32" t="n">
        <f aca="false">INDEX(Inputs!$F$40:$F$87,C353)</f>
        <v>3</v>
      </c>
      <c r="E353" s="78" t="n">
        <f aca="false">INDEX(Inputs!$H$40:$H$87,C353)</f>
        <v>21</v>
      </c>
      <c r="F353" s="78" t="n">
        <f aca="false">INDEX(Inputs!$G$40:$G$87,C353)</f>
        <v>45</v>
      </c>
      <c r="G353" s="32" t="n">
        <f aca="false">INDEX(Inputs!$I$40:$I$87,C353)</f>
        <v>4</v>
      </c>
      <c r="H353" s="46" t="n">
        <f aca="false">MATCH(A353,Demand_History!$C:$C,0)+B353-1</f>
        <v>1974</v>
      </c>
      <c r="I353" s="32" t="n">
        <f aca="false">INDEX(Forecast_Walkforward!$C:$C,H353)</f>
        <v>33</v>
      </c>
      <c r="J353" s="79" t="n">
        <f aca="false">INDEX(Forecast_Walkforward!$E:$E,H353)</f>
        <v>32.25</v>
      </c>
      <c r="K353" s="33" t="n">
        <f aca="false">Baseline_Weeks*J353</f>
        <v>129</v>
      </c>
      <c r="L353" s="46" t="n">
        <f aca="false">SUMIFS(P$341:P352,$B$341:$B352,$B353-$D353)</f>
        <v>0</v>
      </c>
      <c r="M353" s="46" t="n">
        <f aca="false">S352+L353</f>
        <v>0</v>
      </c>
      <c r="N353" s="46" t="n">
        <f aca="false">SUMIFS(P$341:P352,$B$341:$B352,"&gt;"&amp;($B353-$D353))</f>
        <v>84</v>
      </c>
      <c r="O353" s="46" t="n">
        <f aca="false">M353+N353</f>
        <v>84</v>
      </c>
      <c r="P353" s="47" t="n">
        <f aca="false">IF(O353&lt;K353,ROUNDUP((K353-O353)/G353,0)*G353,0)</f>
        <v>48</v>
      </c>
      <c r="Q353" s="46" t="n">
        <f aca="false">MIN(M353,I353)</f>
        <v>0</v>
      </c>
      <c r="R353" s="46" t="n">
        <f aca="false">I353-Q353</f>
        <v>33</v>
      </c>
      <c r="S353" s="46" t="n">
        <f aca="false">M353-Q353</f>
        <v>0</v>
      </c>
      <c r="T353" s="46" t="n">
        <f aca="false">IF(R353&gt;0,1,0)</f>
        <v>1</v>
      </c>
      <c r="U353" s="32" t="n">
        <f aca="false">INDEX(Forecast!$AY$7:$AY$54,C353)</f>
        <v>3</v>
      </c>
      <c r="V353" s="33" t="n">
        <f aca="false">CHOOSE(U353,INDEX(Forecast_Walkforward!$D:$D,H353),INDEX(Forecast_Walkforward!$E:$E,H353),INDEX(Forecast_Walkforward!$F:$F,H353),INDEX(Forecast_Walkforward!$G:$G,H353))</f>
        <v>28.375</v>
      </c>
      <c r="W353" s="79" t="n">
        <f aca="false">INDEX(Forecast!$BA$7:$BA$54,C353)</f>
        <v>10.4821712076205</v>
      </c>
      <c r="X353" s="33" t="n">
        <f aca="false">Z_Value*W353*SQRT(D353)</f>
        <v>29.8633918598173</v>
      </c>
      <c r="Y353" s="33" t="n">
        <f aca="false">V353*D353+X353</f>
        <v>114.988391859817</v>
      </c>
      <c r="Z353" s="33" t="n">
        <f aca="false">SQRT((2*V353*Weeks_Per_Year*F353)/(E353*Holding_Rate))</f>
        <v>177.814108390918</v>
      </c>
      <c r="AA353" s="46" t="n">
        <f aca="false">ROUNDUP(Z353/G353,0)*G353</f>
        <v>180</v>
      </c>
      <c r="AB353" s="46" t="n">
        <f aca="false">SUMIFS(AF$341:AF352,$B$341:$B352,$B353-$D353)</f>
        <v>0</v>
      </c>
      <c r="AC353" s="46" t="n">
        <f aca="false">AI352+AB353</f>
        <v>29</v>
      </c>
      <c r="AD353" s="46" t="n">
        <f aca="false">SUMIFS(AF$341:AF352,$B$341:$B352,"&gt;"&amp;($B353-$D353))</f>
        <v>172</v>
      </c>
      <c r="AE353" s="46" t="n">
        <f aca="false">AC353+AD353</f>
        <v>201</v>
      </c>
      <c r="AF353" s="47" t="n">
        <f aca="false">IF(AE353&lt;=Y353,AA353,0)</f>
        <v>0</v>
      </c>
      <c r="AG353" s="46" t="n">
        <f aca="false">MIN(AC353,I353)</f>
        <v>29</v>
      </c>
      <c r="AH353" s="46" t="n">
        <f aca="false">I353-AG353</f>
        <v>4</v>
      </c>
      <c r="AI353" s="46" t="n">
        <f aca="false">AC353-AG353</f>
        <v>0</v>
      </c>
      <c r="AJ353" s="46" t="n">
        <f aca="false">IF(AH353&gt;0,1,0)</f>
        <v>1</v>
      </c>
    </row>
    <row r="354" customFormat="false" ht="15" hidden="false" customHeight="false" outlineLevel="0" collapsed="false">
      <c r="A354" s="31" t="str">
        <f aca="false">Inputs!$B$58</f>
        <v>BTH-009</v>
      </c>
      <c r="B354" s="46" t="n">
        <f aca="false">B353+1</f>
        <v>102</v>
      </c>
      <c r="C354" s="46" t="n">
        <f aca="false">MATCH(A354,Inputs!$B$40:$B$87,0)</f>
        <v>19</v>
      </c>
      <c r="D354" s="32" t="n">
        <f aca="false">INDEX(Inputs!$F$40:$F$87,C354)</f>
        <v>3</v>
      </c>
      <c r="E354" s="78" t="n">
        <f aca="false">INDEX(Inputs!$H$40:$H$87,C354)</f>
        <v>21</v>
      </c>
      <c r="F354" s="78" t="n">
        <f aca="false">INDEX(Inputs!$G$40:$G$87,C354)</f>
        <v>45</v>
      </c>
      <c r="G354" s="32" t="n">
        <f aca="false">INDEX(Inputs!$I$40:$I$87,C354)</f>
        <v>4</v>
      </c>
      <c r="H354" s="46" t="n">
        <f aca="false">MATCH(A354,Demand_History!$C:$C,0)+B354-1</f>
        <v>1975</v>
      </c>
      <c r="I354" s="32" t="n">
        <f aca="false">INDEX(Forecast_Walkforward!$C:$C,H354)</f>
        <v>19</v>
      </c>
      <c r="J354" s="79" t="n">
        <f aca="false">INDEX(Forecast_Walkforward!$E:$E,H354)</f>
        <v>34.5</v>
      </c>
      <c r="K354" s="33" t="n">
        <f aca="false">Baseline_Weeks*J354</f>
        <v>138</v>
      </c>
      <c r="L354" s="46" t="n">
        <f aca="false">SUMIFS(P$341:P353,$B$341:$B353,$B354-$D354)</f>
        <v>16</v>
      </c>
      <c r="M354" s="46" t="n">
        <f aca="false">S353+L354</f>
        <v>16</v>
      </c>
      <c r="N354" s="46" t="n">
        <f aca="false">SUMIFS(P$341:P353,$B$341:$B353,"&gt;"&amp;($B354-$D354))</f>
        <v>116</v>
      </c>
      <c r="O354" s="46" t="n">
        <f aca="false">M354+N354</f>
        <v>132</v>
      </c>
      <c r="P354" s="47" t="n">
        <f aca="false">IF(O354&lt;K354,ROUNDUP((K354-O354)/G354,0)*G354,0)</f>
        <v>8</v>
      </c>
      <c r="Q354" s="46" t="n">
        <f aca="false">MIN(M354,I354)</f>
        <v>16</v>
      </c>
      <c r="R354" s="46" t="n">
        <f aca="false">I354-Q354</f>
        <v>3</v>
      </c>
      <c r="S354" s="46" t="n">
        <f aca="false">M354-Q354</f>
        <v>0</v>
      </c>
      <c r="T354" s="46" t="n">
        <f aca="false">IF(R354&gt;0,1,0)</f>
        <v>1</v>
      </c>
      <c r="U354" s="32" t="n">
        <f aca="false">INDEX(Forecast!$AY$7:$AY$54,C354)</f>
        <v>3</v>
      </c>
      <c r="V354" s="33" t="n">
        <f aca="false">CHOOSE(U354,INDEX(Forecast_Walkforward!$D:$D,H354),INDEX(Forecast_Walkforward!$E:$E,H354),INDEX(Forecast_Walkforward!$F:$F,H354),INDEX(Forecast_Walkforward!$G:$G,H354))</f>
        <v>27.375</v>
      </c>
      <c r="W354" s="79" t="n">
        <f aca="false">INDEX(Forecast!$BA$7:$BA$54,C354)</f>
        <v>10.4821712076205</v>
      </c>
      <c r="X354" s="33" t="n">
        <f aca="false">Z_Value*W354*SQRT(D354)</f>
        <v>29.8633918598173</v>
      </c>
      <c r="Y354" s="33" t="n">
        <f aca="false">V354*D354+X354</f>
        <v>111.988391859817</v>
      </c>
      <c r="Z354" s="33" t="n">
        <f aca="false">SQRT((2*V354*Weeks_Per_Year*F354)/(E354*Holding_Rate))</f>
        <v>174.652716636677</v>
      </c>
      <c r="AA354" s="46" t="n">
        <f aca="false">ROUNDUP(Z354/G354,0)*G354</f>
        <v>176</v>
      </c>
      <c r="AB354" s="46" t="n">
        <f aca="false">SUMIFS(AF$341:AF353,$B$341:$B353,$B354-$D354)</f>
        <v>0</v>
      </c>
      <c r="AC354" s="46" t="n">
        <f aca="false">AI353+AB354</f>
        <v>0</v>
      </c>
      <c r="AD354" s="46" t="n">
        <f aca="false">SUMIFS(AF$341:AF353,$B$341:$B353,"&gt;"&amp;($B354-$D354))</f>
        <v>172</v>
      </c>
      <c r="AE354" s="46" t="n">
        <f aca="false">AC354+AD354</f>
        <v>172</v>
      </c>
      <c r="AF354" s="47" t="n">
        <f aca="false">IF(AE354&lt;=Y354,AA354,0)</f>
        <v>0</v>
      </c>
      <c r="AG354" s="46" t="n">
        <f aca="false">MIN(AC354,I354)</f>
        <v>0</v>
      </c>
      <c r="AH354" s="46" t="n">
        <f aca="false">I354-AG354</f>
        <v>19</v>
      </c>
      <c r="AI354" s="46" t="n">
        <f aca="false">AC354-AG354</f>
        <v>0</v>
      </c>
      <c r="AJ354" s="46" t="n">
        <f aca="false">IF(AH354&gt;0,1,0)</f>
        <v>1</v>
      </c>
    </row>
    <row r="355" customFormat="false" ht="15" hidden="false" customHeight="false" outlineLevel="0" collapsed="false">
      <c r="A355" s="31" t="str">
        <f aca="false">Inputs!$B$58</f>
        <v>BTH-009</v>
      </c>
      <c r="B355" s="46" t="n">
        <f aca="false">B354+1</f>
        <v>103</v>
      </c>
      <c r="C355" s="46" t="n">
        <f aca="false">MATCH(A355,Inputs!$B$40:$B$87,0)</f>
        <v>19</v>
      </c>
      <c r="D355" s="32" t="n">
        <f aca="false">INDEX(Inputs!$F$40:$F$87,C355)</f>
        <v>3</v>
      </c>
      <c r="E355" s="78" t="n">
        <f aca="false">INDEX(Inputs!$H$40:$H$87,C355)</f>
        <v>21</v>
      </c>
      <c r="F355" s="78" t="n">
        <f aca="false">INDEX(Inputs!$G$40:$G$87,C355)</f>
        <v>45</v>
      </c>
      <c r="G355" s="32" t="n">
        <f aca="false">INDEX(Inputs!$I$40:$I$87,C355)</f>
        <v>4</v>
      </c>
      <c r="H355" s="46" t="n">
        <f aca="false">MATCH(A355,Demand_History!$C:$C,0)+B355-1</f>
        <v>1976</v>
      </c>
      <c r="I355" s="32" t="n">
        <f aca="false">INDEX(Forecast_Walkforward!$C:$C,H355)</f>
        <v>29</v>
      </c>
      <c r="J355" s="79" t="n">
        <f aca="false">INDEX(Forecast_Walkforward!$E:$E,H355)</f>
        <v>34.5</v>
      </c>
      <c r="K355" s="33" t="n">
        <f aca="false">Baseline_Weeks*J355</f>
        <v>138</v>
      </c>
      <c r="L355" s="46" t="n">
        <f aca="false">SUMIFS(P$341:P354,$B$341:$B354,$B355-$D355)</f>
        <v>68</v>
      </c>
      <c r="M355" s="46" t="n">
        <f aca="false">S354+L355</f>
        <v>68</v>
      </c>
      <c r="N355" s="46" t="n">
        <f aca="false">SUMIFS(P$341:P354,$B$341:$B354,"&gt;"&amp;($B355-$D355))</f>
        <v>56</v>
      </c>
      <c r="O355" s="46" t="n">
        <f aca="false">M355+N355</f>
        <v>124</v>
      </c>
      <c r="P355" s="47" t="n">
        <f aca="false">IF(O355&lt;K355,ROUNDUP((K355-O355)/G355,0)*G355,0)</f>
        <v>16</v>
      </c>
      <c r="Q355" s="46" t="n">
        <f aca="false">MIN(M355,I355)</f>
        <v>29</v>
      </c>
      <c r="R355" s="46" t="n">
        <f aca="false">I355-Q355</f>
        <v>0</v>
      </c>
      <c r="S355" s="46" t="n">
        <f aca="false">M355-Q355</f>
        <v>39</v>
      </c>
      <c r="T355" s="46" t="n">
        <f aca="false">IF(R355&gt;0,1,0)</f>
        <v>0</v>
      </c>
      <c r="U355" s="32" t="n">
        <f aca="false">INDEX(Forecast!$AY$7:$AY$54,C355)</f>
        <v>3</v>
      </c>
      <c r="V355" s="33" t="n">
        <f aca="false">CHOOSE(U355,INDEX(Forecast_Walkforward!$D:$D,H355),INDEX(Forecast_Walkforward!$E:$E,H355),INDEX(Forecast_Walkforward!$F:$F,H355),INDEX(Forecast_Walkforward!$G:$G,H355))</f>
        <v>26.875</v>
      </c>
      <c r="W355" s="79" t="n">
        <f aca="false">INDEX(Forecast!$BA$7:$BA$54,C355)</f>
        <v>10.4821712076205</v>
      </c>
      <c r="X355" s="33" t="n">
        <f aca="false">Z_Value*W355*SQRT(D355)</f>
        <v>29.8633918598173</v>
      </c>
      <c r="Y355" s="33" t="n">
        <f aca="false">V355*D355+X355</f>
        <v>110.488391859817</v>
      </c>
      <c r="Z355" s="33" t="n">
        <f aca="false">SQRT((2*V355*Weeks_Per_Year*F355)/(E355*Holding_Rate))</f>
        <v>173.050364262629</v>
      </c>
      <c r="AA355" s="46" t="n">
        <f aca="false">ROUNDUP(Z355/G355,0)*G355</f>
        <v>176</v>
      </c>
      <c r="AB355" s="46" t="n">
        <f aca="false">SUMIFS(AF$341:AF354,$B$341:$B354,$B355-$D355)</f>
        <v>172</v>
      </c>
      <c r="AC355" s="46" t="n">
        <f aca="false">AI354+AB355</f>
        <v>172</v>
      </c>
      <c r="AD355" s="46" t="n">
        <f aca="false">SUMIFS(AF$341:AF354,$B$341:$B354,"&gt;"&amp;($B355-$D355))</f>
        <v>0</v>
      </c>
      <c r="AE355" s="46" t="n">
        <f aca="false">AC355+AD355</f>
        <v>172</v>
      </c>
      <c r="AF355" s="47" t="n">
        <f aca="false">IF(AE355&lt;=Y355,AA355,0)</f>
        <v>0</v>
      </c>
      <c r="AG355" s="46" t="n">
        <f aca="false">MIN(AC355,I355)</f>
        <v>29</v>
      </c>
      <c r="AH355" s="46" t="n">
        <f aca="false">I355-AG355</f>
        <v>0</v>
      </c>
      <c r="AI355" s="46" t="n">
        <f aca="false">AC355-AG355</f>
        <v>143</v>
      </c>
      <c r="AJ355" s="46" t="n">
        <f aca="false">IF(AH355&gt;0,1,0)</f>
        <v>0</v>
      </c>
    </row>
    <row r="356" customFormat="false" ht="15" hidden="false" customHeight="false" outlineLevel="0" collapsed="false">
      <c r="A356" s="80" t="str">
        <f aca="false">Inputs!$B$58</f>
        <v>BTH-009</v>
      </c>
      <c r="B356" s="81" t="n">
        <f aca="false">B355+1</f>
        <v>104</v>
      </c>
      <c r="C356" s="81" t="n">
        <f aca="false">MATCH(A356,Inputs!$B$40:$B$87,0)</f>
        <v>19</v>
      </c>
      <c r="D356" s="82" t="n">
        <f aca="false">INDEX(Inputs!$F$40:$F$87,C356)</f>
        <v>3</v>
      </c>
      <c r="E356" s="83" t="n">
        <f aca="false">INDEX(Inputs!$H$40:$H$87,C356)</f>
        <v>21</v>
      </c>
      <c r="F356" s="83" t="n">
        <f aca="false">INDEX(Inputs!$G$40:$G$87,C356)</f>
        <v>45</v>
      </c>
      <c r="G356" s="82" t="n">
        <f aca="false">INDEX(Inputs!$I$40:$I$87,C356)</f>
        <v>4</v>
      </c>
      <c r="H356" s="81" t="n">
        <f aca="false">MATCH(A356,Demand_History!$C:$C,0)+B356-1</f>
        <v>1977</v>
      </c>
      <c r="I356" s="82" t="n">
        <f aca="false">INDEX(Forecast_Walkforward!$C:$C,H356)</f>
        <v>23</v>
      </c>
      <c r="J356" s="84" t="n">
        <f aca="false">INDEX(Forecast_Walkforward!$E:$E,H356)</f>
        <v>31.25</v>
      </c>
      <c r="K356" s="85" t="n">
        <f aca="false">Baseline_Weeks*J356</f>
        <v>125</v>
      </c>
      <c r="L356" s="81" t="n">
        <f aca="false">SUMIFS(P$341:P355,$B$341:$B355,$B356-$D356)</f>
        <v>48</v>
      </c>
      <c r="M356" s="81" t="n">
        <f aca="false">S355+L356</f>
        <v>87</v>
      </c>
      <c r="N356" s="81" t="n">
        <f aca="false">SUMIFS(P$341:P355,$B$341:$B355,"&gt;"&amp;($B356-$D356))</f>
        <v>24</v>
      </c>
      <c r="O356" s="81" t="n">
        <f aca="false">M356+N356</f>
        <v>111</v>
      </c>
      <c r="P356" s="86" t="n">
        <f aca="false">IF(O356&lt;K356,ROUNDUP((K356-O356)/G356,0)*G356,0)</f>
        <v>16</v>
      </c>
      <c r="Q356" s="81" t="n">
        <f aca="false">MIN(M356,I356)</f>
        <v>23</v>
      </c>
      <c r="R356" s="81" t="n">
        <f aca="false">I356-Q356</f>
        <v>0</v>
      </c>
      <c r="S356" s="81" t="n">
        <f aca="false">M356-Q356</f>
        <v>64</v>
      </c>
      <c r="T356" s="81" t="n">
        <f aca="false">IF(R356&gt;0,1,0)</f>
        <v>0</v>
      </c>
      <c r="U356" s="82" t="n">
        <f aca="false">INDEX(Forecast!$AY$7:$AY$54,C356)</f>
        <v>3</v>
      </c>
      <c r="V356" s="85" t="n">
        <f aca="false">CHOOSE(U356,INDEX(Forecast_Walkforward!$D:$D,H356),INDEX(Forecast_Walkforward!$E:$E,H356),INDEX(Forecast_Walkforward!$F:$F,H356),INDEX(Forecast_Walkforward!$G:$G,H356))</f>
        <v>28.625</v>
      </c>
      <c r="W356" s="84" t="n">
        <f aca="false">INDEX(Forecast!$BA$7:$BA$54,C356)</f>
        <v>10.4821712076205</v>
      </c>
      <c r="X356" s="85" t="n">
        <f aca="false">Z_Value*W356*SQRT(D356)</f>
        <v>29.8633918598173</v>
      </c>
      <c r="Y356" s="85" t="n">
        <f aca="false">V356*D356+X356</f>
        <v>115.738391859817</v>
      </c>
      <c r="Z356" s="85" t="n">
        <f aca="false">SQRT((2*V356*Weeks_Per_Year*F356)/(E356*Holding_Rate))</f>
        <v>178.59571263451</v>
      </c>
      <c r="AA356" s="81" t="n">
        <f aca="false">ROUNDUP(Z356/G356,0)*G356</f>
        <v>180</v>
      </c>
      <c r="AB356" s="81" t="n">
        <f aca="false">SUMIFS(AF$341:AF355,$B$341:$B355,$B356-$D356)</f>
        <v>0</v>
      </c>
      <c r="AC356" s="81" t="n">
        <f aca="false">AI355+AB356</f>
        <v>143</v>
      </c>
      <c r="AD356" s="81" t="n">
        <f aca="false">SUMIFS(AF$341:AF355,$B$341:$B355,"&gt;"&amp;($B356-$D356))</f>
        <v>0</v>
      </c>
      <c r="AE356" s="81" t="n">
        <f aca="false">AC356+AD356</f>
        <v>143</v>
      </c>
      <c r="AF356" s="86" t="n">
        <f aca="false">IF(AE356&lt;=Y356,AA356,0)</f>
        <v>0</v>
      </c>
      <c r="AG356" s="81" t="n">
        <f aca="false">MIN(AC356,I356)</f>
        <v>23</v>
      </c>
      <c r="AH356" s="81" t="n">
        <f aca="false">I356-AG356</f>
        <v>0</v>
      </c>
      <c r="AI356" s="81" t="n">
        <f aca="false">AC356-AG356</f>
        <v>120</v>
      </c>
      <c r="AJ356" s="81" t="n">
        <f aca="false">IF(AH356&gt;0,1,0)</f>
        <v>0</v>
      </c>
    </row>
    <row r="357" customFormat="false" ht="15" hidden="false" customHeight="false" outlineLevel="0" collapsed="false">
      <c r="A357" s="31" t="str">
        <f aca="false">Inputs!$B$59</f>
        <v>BTH-010</v>
      </c>
      <c r="B357" s="46" t="n">
        <f aca="false">BT_Start_Week</f>
        <v>89</v>
      </c>
      <c r="C357" s="46" t="n">
        <f aca="false">MATCH(A357,Inputs!$B$40:$B$87,0)</f>
        <v>20</v>
      </c>
      <c r="D357" s="32" t="n">
        <f aca="false">INDEX(Inputs!$F$40:$F$87,C357)</f>
        <v>3</v>
      </c>
      <c r="E357" s="78" t="n">
        <f aca="false">INDEX(Inputs!$H$40:$H$87,C357)</f>
        <v>9</v>
      </c>
      <c r="F357" s="78" t="n">
        <f aca="false">INDEX(Inputs!$G$40:$G$87,C357)</f>
        <v>45</v>
      </c>
      <c r="G357" s="32" t="n">
        <f aca="false">INDEX(Inputs!$I$40:$I$87,C357)</f>
        <v>20</v>
      </c>
      <c r="H357" s="46" t="n">
        <f aca="false">MATCH(A357,Demand_History!$C:$C,0)+B357-1</f>
        <v>2066</v>
      </c>
      <c r="I357" s="32" t="n">
        <f aca="false">INDEX(Forecast_Walkforward!$C:$C,H357)</f>
        <v>70</v>
      </c>
      <c r="J357" s="79" t="n">
        <f aca="false">INDEX(Forecast_Walkforward!$E:$E,H357)</f>
        <v>75</v>
      </c>
      <c r="K357" s="33" t="n">
        <f aca="false">Baseline_Weeks*J357</f>
        <v>300</v>
      </c>
      <c r="L357" s="46" t="n">
        <f aca="false">0</f>
        <v>0</v>
      </c>
      <c r="M357" s="46" t="n">
        <f aca="false">ROUND(BT_Open_Cover*INDEX(Forecast_Walkforward!$F:$F,H357),0)+L357</f>
        <v>461</v>
      </c>
      <c r="N357" s="46" t="n">
        <f aca="false">0</f>
        <v>0</v>
      </c>
      <c r="O357" s="46" t="n">
        <f aca="false">M357+N357</f>
        <v>461</v>
      </c>
      <c r="P357" s="47" t="n">
        <f aca="false">IF(O357&lt;K357,ROUNDUP((K357-O357)/G357,0)*G357,0)</f>
        <v>0</v>
      </c>
      <c r="Q357" s="46" t="n">
        <f aca="false">MIN(M357,I357)</f>
        <v>70</v>
      </c>
      <c r="R357" s="46" t="n">
        <f aca="false">I357-Q357</f>
        <v>0</v>
      </c>
      <c r="S357" s="46" t="n">
        <f aca="false">M357-Q357</f>
        <v>391</v>
      </c>
      <c r="T357" s="46" t="n">
        <f aca="false">IF(R357&gt;0,1,0)</f>
        <v>0</v>
      </c>
      <c r="U357" s="32" t="n">
        <f aca="false">INDEX(Forecast!$AY$7:$AY$54,C357)</f>
        <v>2</v>
      </c>
      <c r="V357" s="33" t="n">
        <f aca="false">CHOOSE(U357,INDEX(Forecast_Walkforward!$D:$D,H357),INDEX(Forecast_Walkforward!$E:$E,H357),INDEX(Forecast_Walkforward!$F:$F,H357),INDEX(Forecast_Walkforward!$G:$G,H357))</f>
        <v>75</v>
      </c>
      <c r="W357" s="79" t="n">
        <f aca="false">INDEX(Forecast!$BA$7:$BA$54,C357)</f>
        <v>9.38876064011997</v>
      </c>
      <c r="X357" s="33" t="n">
        <f aca="false">Z_Value*W357*SQRT(D357)</f>
        <v>26.7482978974907</v>
      </c>
      <c r="Y357" s="33" t="n">
        <f aca="false">V357*D357+X357</f>
        <v>251.748297897491</v>
      </c>
      <c r="Z357" s="33" t="n">
        <f aca="false">SQRT((2*V357*Weeks_Per_Year*F357)/(E357*Holding_Rate))</f>
        <v>441.588043316392</v>
      </c>
      <c r="AA357" s="46" t="n">
        <f aca="false">ROUNDUP(Z357/G357,0)*G357</f>
        <v>460</v>
      </c>
      <c r="AB357" s="46" t="n">
        <f aca="false">0</f>
        <v>0</v>
      </c>
      <c r="AC357" s="46" t="n">
        <f aca="false">ROUND(BT_Open_Cover*INDEX(Forecast_Walkforward!$F:$F,H357),0)+AB357</f>
        <v>461</v>
      </c>
      <c r="AD357" s="46" t="n">
        <f aca="false">0</f>
        <v>0</v>
      </c>
      <c r="AE357" s="46" t="n">
        <f aca="false">AC357+AD357</f>
        <v>461</v>
      </c>
      <c r="AF357" s="47" t="n">
        <f aca="false">IF(AE357&lt;=Y357,AA357,0)</f>
        <v>0</v>
      </c>
      <c r="AG357" s="46" t="n">
        <f aca="false">MIN(AC357,I357)</f>
        <v>70</v>
      </c>
      <c r="AH357" s="46" t="n">
        <f aca="false">I357-AG357</f>
        <v>0</v>
      </c>
      <c r="AI357" s="46" t="n">
        <f aca="false">AC357-AG357</f>
        <v>391</v>
      </c>
      <c r="AJ357" s="46" t="n">
        <f aca="false">IF(AH357&gt;0,1,0)</f>
        <v>0</v>
      </c>
    </row>
    <row r="358" customFormat="false" ht="15" hidden="false" customHeight="false" outlineLevel="0" collapsed="false">
      <c r="A358" s="31" t="str">
        <f aca="false">Inputs!$B$59</f>
        <v>BTH-010</v>
      </c>
      <c r="B358" s="46" t="n">
        <f aca="false">B357+1</f>
        <v>90</v>
      </c>
      <c r="C358" s="46" t="n">
        <f aca="false">MATCH(A358,Inputs!$B$40:$B$87,0)</f>
        <v>20</v>
      </c>
      <c r="D358" s="32" t="n">
        <f aca="false">INDEX(Inputs!$F$40:$F$87,C358)</f>
        <v>3</v>
      </c>
      <c r="E358" s="78" t="n">
        <f aca="false">INDEX(Inputs!$H$40:$H$87,C358)</f>
        <v>9</v>
      </c>
      <c r="F358" s="78" t="n">
        <f aca="false">INDEX(Inputs!$G$40:$G$87,C358)</f>
        <v>45</v>
      </c>
      <c r="G358" s="32" t="n">
        <f aca="false">INDEX(Inputs!$I$40:$I$87,C358)</f>
        <v>20</v>
      </c>
      <c r="H358" s="46" t="n">
        <f aca="false">MATCH(A358,Demand_History!$C:$C,0)+B358-1</f>
        <v>2067</v>
      </c>
      <c r="I358" s="32" t="n">
        <f aca="false">INDEX(Forecast_Walkforward!$C:$C,H358)</f>
        <v>84</v>
      </c>
      <c r="J358" s="79" t="n">
        <f aca="false">INDEX(Forecast_Walkforward!$E:$E,H358)</f>
        <v>74.25</v>
      </c>
      <c r="K358" s="33" t="n">
        <f aca="false">Baseline_Weeks*J358</f>
        <v>297</v>
      </c>
      <c r="L358" s="46" t="n">
        <f aca="false">SUMIFS(P$357:P357,$B$357:$B357,$B358-$D358)</f>
        <v>0</v>
      </c>
      <c r="M358" s="46" t="n">
        <f aca="false">S357+L358</f>
        <v>391</v>
      </c>
      <c r="N358" s="46" t="n">
        <f aca="false">SUMIFS(P$357:P357,$B$357:$B357,"&gt;"&amp;($B358-$D358))</f>
        <v>0</v>
      </c>
      <c r="O358" s="46" t="n">
        <f aca="false">M358+N358</f>
        <v>391</v>
      </c>
      <c r="P358" s="47" t="n">
        <f aca="false">IF(O358&lt;K358,ROUNDUP((K358-O358)/G358,0)*G358,0)</f>
        <v>0</v>
      </c>
      <c r="Q358" s="46" t="n">
        <f aca="false">MIN(M358,I358)</f>
        <v>84</v>
      </c>
      <c r="R358" s="46" t="n">
        <f aca="false">I358-Q358</f>
        <v>0</v>
      </c>
      <c r="S358" s="46" t="n">
        <f aca="false">M358-Q358</f>
        <v>307</v>
      </c>
      <c r="T358" s="46" t="n">
        <f aca="false">IF(R358&gt;0,1,0)</f>
        <v>0</v>
      </c>
      <c r="U358" s="32" t="n">
        <f aca="false">INDEX(Forecast!$AY$7:$AY$54,C358)</f>
        <v>2</v>
      </c>
      <c r="V358" s="33" t="n">
        <f aca="false">CHOOSE(U358,INDEX(Forecast_Walkforward!$D:$D,H358),INDEX(Forecast_Walkforward!$E:$E,H358),INDEX(Forecast_Walkforward!$F:$F,H358),INDEX(Forecast_Walkforward!$G:$G,H358))</f>
        <v>74.25</v>
      </c>
      <c r="W358" s="79" t="n">
        <f aca="false">INDEX(Forecast!$BA$7:$BA$54,C358)</f>
        <v>9.38876064011997</v>
      </c>
      <c r="X358" s="33" t="n">
        <f aca="false">Z_Value*W358*SQRT(D358)</f>
        <v>26.7482978974907</v>
      </c>
      <c r="Y358" s="33" t="n">
        <f aca="false">V358*D358+X358</f>
        <v>249.498297897491</v>
      </c>
      <c r="Z358" s="33" t="n">
        <f aca="false">SQRT((2*V358*Weeks_Per_Year*F358)/(E358*Holding_Rate))</f>
        <v>439.374555476304</v>
      </c>
      <c r="AA358" s="46" t="n">
        <f aca="false">ROUNDUP(Z358/G358,0)*G358</f>
        <v>440</v>
      </c>
      <c r="AB358" s="46" t="n">
        <f aca="false">SUMIFS(AF$357:AF357,$B$357:$B357,$B358-$D358)</f>
        <v>0</v>
      </c>
      <c r="AC358" s="46" t="n">
        <f aca="false">AI357+AB358</f>
        <v>391</v>
      </c>
      <c r="AD358" s="46" t="n">
        <f aca="false">SUMIFS(AF$357:AF357,$B$357:$B357,"&gt;"&amp;($B358-$D358))</f>
        <v>0</v>
      </c>
      <c r="AE358" s="46" t="n">
        <f aca="false">AC358+AD358</f>
        <v>391</v>
      </c>
      <c r="AF358" s="47" t="n">
        <f aca="false">IF(AE358&lt;=Y358,AA358,0)</f>
        <v>0</v>
      </c>
      <c r="AG358" s="46" t="n">
        <f aca="false">MIN(AC358,I358)</f>
        <v>84</v>
      </c>
      <c r="AH358" s="46" t="n">
        <f aca="false">I358-AG358</f>
        <v>0</v>
      </c>
      <c r="AI358" s="46" t="n">
        <f aca="false">AC358-AG358</f>
        <v>307</v>
      </c>
      <c r="AJ358" s="46" t="n">
        <f aca="false">IF(AH358&gt;0,1,0)</f>
        <v>0</v>
      </c>
    </row>
    <row r="359" customFormat="false" ht="15" hidden="false" customHeight="false" outlineLevel="0" collapsed="false">
      <c r="A359" s="31" t="str">
        <f aca="false">Inputs!$B$59</f>
        <v>BTH-010</v>
      </c>
      <c r="B359" s="46" t="n">
        <f aca="false">B358+1</f>
        <v>91</v>
      </c>
      <c r="C359" s="46" t="n">
        <f aca="false">MATCH(A359,Inputs!$B$40:$B$87,0)</f>
        <v>20</v>
      </c>
      <c r="D359" s="32" t="n">
        <f aca="false">INDEX(Inputs!$F$40:$F$87,C359)</f>
        <v>3</v>
      </c>
      <c r="E359" s="78" t="n">
        <f aca="false">INDEX(Inputs!$H$40:$H$87,C359)</f>
        <v>9</v>
      </c>
      <c r="F359" s="78" t="n">
        <f aca="false">INDEX(Inputs!$G$40:$G$87,C359)</f>
        <v>45</v>
      </c>
      <c r="G359" s="32" t="n">
        <f aca="false">INDEX(Inputs!$I$40:$I$87,C359)</f>
        <v>20</v>
      </c>
      <c r="H359" s="46" t="n">
        <f aca="false">MATCH(A359,Demand_History!$C:$C,0)+B359-1</f>
        <v>2068</v>
      </c>
      <c r="I359" s="32" t="n">
        <f aca="false">INDEX(Forecast_Walkforward!$C:$C,H359)</f>
        <v>80</v>
      </c>
      <c r="J359" s="79" t="n">
        <f aca="false">INDEX(Forecast_Walkforward!$E:$E,H359)</f>
        <v>76</v>
      </c>
      <c r="K359" s="33" t="n">
        <f aca="false">Baseline_Weeks*J359</f>
        <v>304</v>
      </c>
      <c r="L359" s="46" t="n">
        <f aca="false">SUMIFS(P$357:P358,$B$357:$B358,$B359-$D359)</f>
        <v>0</v>
      </c>
      <c r="M359" s="46" t="n">
        <f aca="false">S358+L359</f>
        <v>307</v>
      </c>
      <c r="N359" s="46" t="n">
        <f aca="false">SUMIFS(P$357:P358,$B$357:$B358,"&gt;"&amp;($B359-$D359))</f>
        <v>0</v>
      </c>
      <c r="O359" s="46" t="n">
        <f aca="false">M359+N359</f>
        <v>307</v>
      </c>
      <c r="P359" s="47" t="n">
        <f aca="false">IF(O359&lt;K359,ROUNDUP((K359-O359)/G359,0)*G359,0)</f>
        <v>0</v>
      </c>
      <c r="Q359" s="46" t="n">
        <f aca="false">MIN(M359,I359)</f>
        <v>80</v>
      </c>
      <c r="R359" s="46" t="n">
        <f aca="false">I359-Q359</f>
        <v>0</v>
      </c>
      <c r="S359" s="46" t="n">
        <f aca="false">M359-Q359</f>
        <v>227</v>
      </c>
      <c r="T359" s="46" t="n">
        <f aca="false">IF(R359&gt;0,1,0)</f>
        <v>0</v>
      </c>
      <c r="U359" s="32" t="n">
        <f aca="false">INDEX(Forecast!$AY$7:$AY$54,C359)</f>
        <v>2</v>
      </c>
      <c r="V359" s="33" t="n">
        <f aca="false">CHOOSE(U359,INDEX(Forecast_Walkforward!$D:$D,H359),INDEX(Forecast_Walkforward!$E:$E,H359),INDEX(Forecast_Walkforward!$F:$F,H359),INDEX(Forecast_Walkforward!$G:$G,H359))</f>
        <v>76</v>
      </c>
      <c r="W359" s="79" t="n">
        <f aca="false">INDEX(Forecast!$BA$7:$BA$54,C359)</f>
        <v>9.38876064011997</v>
      </c>
      <c r="X359" s="33" t="n">
        <f aca="false">Z_Value*W359*SQRT(D359)</f>
        <v>26.7482978974907</v>
      </c>
      <c r="Y359" s="33" t="n">
        <f aca="false">V359*D359+X359</f>
        <v>254.748297897491</v>
      </c>
      <c r="Z359" s="33" t="n">
        <f aca="false">SQRT((2*V359*Weeks_Per_Year*F359)/(E359*Holding_Rate))</f>
        <v>444.522215417857</v>
      </c>
      <c r="AA359" s="46" t="n">
        <f aca="false">ROUNDUP(Z359/G359,0)*G359</f>
        <v>460</v>
      </c>
      <c r="AB359" s="46" t="n">
        <f aca="false">SUMIFS(AF$357:AF358,$B$357:$B358,$B359-$D359)</f>
        <v>0</v>
      </c>
      <c r="AC359" s="46" t="n">
        <f aca="false">AI358+AB359</f>
        <v>307</v>
      </c>
      <c r="AD359" s="46" t="n">
        <f aca="false">SUMIFS(AF$357:AF358,$B$357:$B358,"&gt;"&amp;($B359-$D359))</f>
        <v>0</v>
      </c>
      <c r="AE359" s="46" t="n">
        <f aca="false">AC359+AD359</f>
        <v>307</v>
      </c>
      <c r="AF359" s="47" t="n">
        <f aca="false">IF(AE359&lt;=Y359,AA359,0)</f>
        <v>0</v>
      </c>
      <c r="AG359" s="46" t="n">
        <f aca="false">MIN(AC359,I359)</f>
        <v>80</v>
      </c>
      <c r="AH359" s="46" t="n">
        <f aca="false">I359-AG359</f>
        <v>0</v>
      </c>
      <c r="AI359" s="46" t="n">
        <f aca="false">AC359-AG359</f>
        <v>227</v>
      </c>
      <c r="AJ359" s="46" t="n">
        <f aca="false">IF(AH359&gt;0,1,0)</f>
        <v>0</v>
      </c>
    </row>
    <row r="360" customFormat="false" ht="15" hidden="false" customHeight="false" outlineLevel="0" collapsed="false">
      <c r="A360" s="31" t="str">
        <f aca="false">Inputs!$B$59</f>
        <v>BTH-010</v>
      </c>
      <c r="B360" s="46" t="n">
        <f aca="false">B359+1</f>
        <v>92</v>
      </c>
      <c r="C360" s="46" t="n">
        <f aca="false">MATCH(A360,Inputs!$B$40:$B$87,0)</f>
        <v>20</v>
      </c>
      <c r="D360" s="32" t="n">
        <f aca="false">INDEX(Inputs!$F$40:$F$87,C360)</f>
        <v>3</v>
      </c>
      <c r="E360" s="78" t="n">
        <f aca="false">INDEX(Inputs!$H$40:$H$87,C360)</f>
        <v>9</v>
      </c>
      <c r="F360" s="78" t="n">
        <f aca="false">INDEX(Inputs!$G$40:$G$87,C360)</f>
        <v>45</v>
      </c>
      <c r="G360" s="32" t="n">
        <f aca="false">INDEX(Inputs!$I$40:$I$87,C360)</f>
        <v>20</v>
      </c>
      <c r="H360" s="46" t="n">
        <f aca="false">MATCH(A360,Demand_History!$C:$C,0)+B360-1</f>
        <v>2069</v>
      </c>
      <c r="I360" s="32" t="n">
        <f aca="false">INDEX(Forecast_Walkforward!$C:$C,H360)</f>
        <v>91</v>
      </c>
      <c r="J360" s="79" t="n">
        <f aca="false">INDEX(Forecast_Walkforward!$E:$E,H360)</f>
        <v>79.5</v>
      </c>
      <c r="K360" s="33" t="n">
        <f aca="false">Baseline_Weeks*J360</f>
        <v>318</v>
      </c>
      <c r="L360" s="46" t="n">
        <f aca="false">SUMIFS(P$357:P359,$B$357:$B359,$B360-$D360)</f>
        <v>0</v>
      </c>
      <c r="M360" s="46" t="n">
        <f aca="false">S359+L360</f>
        <v>227</v>
      </c>
      <c r="N360" s="46" t="n">
        <f aca="false">SUMIFS(P$357:P359,$B$357:$B359,"&gt;"&amp;($B360-$D360))</f>
        <v>0</v>
      </c>
      <c r="O360" s="46" t="n">
        <f aca="false">M360+N360</f>
        <v>227</v>
      </c>
      <c r="P360" s="47" t="n">
        <f aca="false">IF(O360&lt;K360,ROUNDUP((K360-O360)/G360,0)*G360,0)</f>
        <v>100</v>
      </c>
      <c r="Q360" s="46" t="n">
        <f aca="false">MIN(M360,I360)</f>
        <v>91</v>
      </c>
      <c r="R360" s="46" t="n">
        <f aca="false">I360-Q360</f>
        <v>0</v>
      </c>
      <c r="S360" s="46" t="n">
        <f aca="false">M360-Q360</f>
        <v>136</v>
      </c>
      <c r="T360" s="46" t="n">
        <f aca="false">IF(R360&gt;0,1,0)</f>
        <v>0</v>
      </c>
      <c r="U360" s="32" t="n">
        <f aca="false">INDEX(Forecast!$AY$7:$AY$54,C360)</f>
        <v>2</v>
      </c>
      <c r="V360" s="33" t="n">
        <f aca="false">CHOOSE(U360,INDEX(Forecast_Walkforward!$D:$D,H360),INDEX(Forecast_Walkforward!$E:$E,H360),INDEX(Forecast_Walkforward!$F:$F,H360),INDEX(Forecast_Walkforward!$G:$G,H360))</f>
        <v>79.5</v>
      </c>
      <c r="W360" s="79" t="n">
        <f aca="false">INDEX(Forecast!$BA$7:$BA$54,C360)</f>
        <v>9.38876064011997</v>
      </c>
      <c r="X360" s="33" t="n">
        <f aca="false">Z_Value*W360*SQRT(D360)</f>
        <v>26.7482978974907</v>
      </c>
      <c r="Y360" s="33" t="n">
        <f aca="false">V360*D360+X360</f>
        <v>265.248297897491</v>
      </c>
      <c r="Z360" s="33" t="n">
        <f aca="false">SQRT((2*V360*Weeks_Per_Year*F360)/(E360*Holding_Rate))</f>
        <v>454.642716866772</v>
      </c>
      <c r="AA360" s="46" t="n">
        <f aca="false">ROUNDUP(Z360/G360,0)*G360</f>
        <v>460</v>
      </c>
      <c r="AB360" s="46" t="n">
        <f aca="false">SUMIFS(AF$357:AF359,$B$357:$B359,$B360-$D360)</f>
        <v>0</v>
      </c>
      <c r="AC360" s="46" t="n">
        <f aca="false">AI359+AB360</f>
        <v>227</v>
      </c>
      <c r="AD360" s="46" t="n">
        <f aca="false">SUMIFS(AF$357:AF359,$B$357:$B359,"&gt;"&amp;($B360-$D360))</f>
        <v>0</v>
      </c>
      <c r="AE360" s="46" t="n">
        <f aca="false">AC360+AD360</f>
        <v>227</v>
      </c>
      <c r="AF360" s="47" t="n">
        <f aca="false">IF(AE360&lt;=Y360,AA360,0)</f>
        <v>460</v>
      </c>
      <c r="AG360" s="46" t="n">
        <f aca="false">MIN(AC360,I360)</f>
        <v>91</v>
      </c>
      <c r="AH360" s="46" t="n">
        <f aca="false">I360-AG360</f>
        <v>0</v>
      </c>
      <c r="AI360" s="46" t="n">
        <f aca="false">AC360-AG360</f>
        <v>136</v>
      </c>
      <c r="AJ360" s="46" t="n">
        <f aca="false">IF(AH360&gt;0,1,0)</f>
        <v>0</v>
      </c>
    </row>
    <row r="361" customFormat="false" ht="15" hidden="false" customHeight="false" outlineLevel="0" collapsed="false">
      <c r="A361" s="31" t="str">
        <f aca="false">Inputs!$B$59</f>
        <v>BTH-010</v>
      </c>
      <c r="B361" s="46" t="n">
        <f aca="false">B360+1</f>
        <v>93</v>
      </c>
      <c r="C361" s="46" t="n">
        <f aca="false">MATCH(A361,Inputs!$B$40:$B$87,0)</f>
        <v>20</v>
      </c>
      <c r="D361" s="32" t="n">
        <f aca="false">INDEX(Inputs!$F$40:$F$87,C361)</f>
        <v>3</v>
      </c>
      <c r="E361" s="78" t="n">
        <f aca="false">INDEX(Inputs!$H$40:$H$87,C361)</f>
        <v>9</v>
      </c>
      <c r="F361" s="78" t="n">
        <f aca="false">INDEX(Inputs!$G$40:$G$87,C361)</f>
        <v>45</v>
      </c>
      <c r="G361" s="32" t="n">
        <f aca="false">INDEX(Inputs!$I$40:$I$87,C361)</f>
        <v>20</v>
      </c>
      <c r="H361" s="46" t="n">
        <f aca="false">MATCH(A361,Demand_History!$C:$C,0)+B361-1</f>
        <v>2070</v>
      </c>
      <c r="I361" s="32" t="n">
        <f aca="false">INDEX(Forecast_Walkforward!$C:$C,H361)</f>
        <v>79</v>
      </c>
      <c r="J361" s="79" t="n">
        <f aca="false">INDEX(Forecast_Walkforward!$E:$E,H361)</f>
        <v>81.25</v>
      </c>
      <c r="K361" s="33" t="n">
        <f aca="false">Baseline_Weeks*J361</f>
        <v>325</v>
      </c>
      <c r="L361" s="46" t="n">
        <f aca="false">SUMIFS(P$357:P360,$B$357:$B360,$B361-$D361)</f>
        <v>0</v>
      </c>
      <c r="M361" s="46" t="n">
        <f aca="false">S360+L361</f>
        <v>136</v>
      </c>
      <c r="N361" s="46" t="n">
        <f aca="false">SUMIFS(P$357:P360,$B$357:$B360,"&gt;"&amp;($B361-$D361))</f>
        <v>100</v>
      </c>
      <c r="O361" s="46" t="n">
        <f aca="false">M361+N361</f>
        <v>236</v>
      </c>
      <c r="P361" s="47" t="n">
        <f aca="false">IF(O361&lt;K361,ROUNDUP((K361-O361)/G361,0)*G361,0)</f>
        <v>100</v>
      </c>
      <c r="Q361" s="46" t="n">
        <f aca="false">MIN(M361,I361)</f>
        <v>79</v>
      </c>
      <c r="R361" s="46" t="n">
        <f aca="false">I361-Q361</f>
        <v>0</v>
      </c>
      <c r="S361" s="46" t="n">
        <f aca="false">M361-Q361</f>
        <v>57</v>
      </c>
      <c r="T361" s="46" t="n">
        <f aca="false">IF(R361&gt;0,1,0)</f>
        <v>0</v>
      </c>
      <c r="U361" s="32" t="n">
        <f aca="false">INDEX(Forecast!$AY$7:$AY$54,C361)</f>
        <v>2</v>
      </c>
      <c r="V361" s="33" t="n">
        <f aca="false">CHOOSE(U361,INDEX(Forecast_Walkforward!$D:$D,H361),INDEX(Forecast_Walkforward!$E:$E,H361),INDEX(Forecast_Walkforward!$F:$F,H361),INDEX(Forecast_Walkforward!$G:$G,H361))</f>
        <v>81.25</v>
      </c>
      <c r="W361" s="79" t="n">
        <f aca="false">INDEX(Forecast!$BA$7:$BA$54,C361)</f>
        <v>9.38876064011997</v>
      </c>
      <c r="X361" s="33" t="n">
        <f aca="false">Z_Value*W361*SQRT(D361)</f>
        <v>26.7482978974907</v>
      </c>
      <c r="Y361" s="33" t="n">
        <f aca="false">V361*D361+X361</f>
        <v>270.498297897491</v>
      </c>
      <c r="Z361" s="33" t="n">
        <f aca="false">SQRT((2*V361*Weeks_Per_Year*F361)/(E361*Holding_Rate))</f>
        <v>459.619407771256</v>
      </c>
      <c r="AA361" s="46" t="n">
        <f aca="false">ROUNDUP(Z361/G361,0)*G361</f>
        <v>460</v>
      </c>
      <c r="AB361" s="46" t="n">
        <f aca="false">SUMIFS(AF$357:AF360,$B$357:$B360,$B361-$D361)</f>
        <v>0</v>
      </c>
      <c r="AC361" s="46" t="n">
        <f aca="false">AI360+AB361</f>
        <v>136</v>
      </c>
      <c r="AD361" s="46" t="n">
        <f aca="false">SUMIFS(AF$357:AF360,$B$357:$B360,"&gt;"&amp;($B361-$D361))</f>
        <v>460</v>
      </c>
      <c r="AE361" s="46" t="n">
        <f aca="false">AC361+AD361</f>
        <v>596</v>
      </c>
      <c r="AF361" s="47" t="n">
        <f aca="false">IF(AE361&lt;=Y361,AA361,0)</f>
        <v>0</v>
      </c>
      <c r="AG361" s="46" t="n">
        <f aca="false">MIN(AC361,I361)</f>
        <v>79</v>
      </c>
      <c r="AH361" s="46" t="n">
        <f aca="false">I361-AG361</f>
        <v>0</v>
      </c>
      <c r="AI361" s="46" t="n">
        <f aca="false">AC361-AG361</f>
        <v>57</v>
      </c>
      <c r="AJ361" s="46" t="n">
        <f aca="false">IF(AH361&gt;0,1,0)</f>
        <v>0</v>
      </c>
    </row>
    <row r="362" customFormat="false" ht="15" hidden="false" customHeight="false" outlineLevel="0" collapsed="false">
      <c r="A362" s="31" t="str">
        <f aca="false">Inputs!$B$59</f>
        <v>BTH-010</v>
      </c>
      <c r="B362" s="46" t="n">
        <f aca="false">B361+1</f>
        <v>94</v>
      </c>
      <c r="C362" s="46" t="n">
        <f aca="false">MATCH(A362,Inputs!$B$40:$B$87,0)</f>
        <v>20</v>
      </c>
      <c r="D362" s="32" t="n">
        <f aca="false">INDEX(Inputs!$F$40:$F$87,C362)</f>
        <v>3</v>
      </c>
      <c r="E362" s="78" t="n">
        <f aca="false">INDEX(Inputs!$H$40:$H$87,C362)</f>
        <v>9</v>
      </c>
      <c r="F362" s="78" t="n">
        <f aca="false">INDEX(Inputs!$G$40:$G$87,C362)</f>
        <v>45</v>
      </c>
      <c r="G362" s="32" t="n">
        <f aca="false">INDEX(Inputs!$I$40:$I$87,C362)</f>
        <v>20</v>
      </c>
      <c r="H362" s="46" t="n">
        <f aca="false">MATCH(A362,Demand_History!$C:$C,0)+B362-1</f>
        <v>2071</v>
      </c>
      <c r="I362" s="32" t="n">
        <f aca="false">INDEX(Forecast_Walkforward!$C:$C,H362)</f>
        <v>91</v>
      </c>
      <c r="J362" s="79" t="n">
        <f aca="false">INDEX(Forecast_Walkforward!$E:$E,H362)</f>
        <v>83.5</v>
      </c>
      <c r="K362" s="33" t="n">
        <f aca="false">Baseline_Weeks*J362</f>
        <v>334</v>
      </c>
      <c r="L362" s="46" t="n">
        <f aca="false">SUMIFS(P$357:P361,$B$357:$B361,$B362-$D362)</f>
        <v>0</v>
      </c>
      <c r="M362" s="46" t="n">
        <f aca="false">S361+L362</f>
        <v>57</v>
      </c>
      <c r="N362" s="46" t="n">
        <f aca="false">SUMIFS(P$357:P361,$B$357:$B361,"&gt;"&amp;($B362-$D362))</f>
        <v>200</v>
      </c>
      <c r="O362" s="46" t="n">
        <f aca="false">M362+N362</f>
        <v>257</v>
      </c>
      <c r="P362" s="47" t="n">
        <f aca="false">IF(O362&lt;K362,ROUNDUP((K362-O362)/G362,0)*G362,0)</f>
        <v>80</v>
      </c>
      <c r="Q362" s="46" t="n">
        <f aca="false">MIN(M362,I362)</f>
        <v>57</v>
      </c>
      <c r="R362" s="46" t="n">
        <f aca="false">I362-Q362</f>
        <v>34</v>
      </c>
      <c r="S362" s="46" t="n">
        <f aca="false">M362-Q362</f>
        <v>0</v>
      </c>
      <c r="T362" s="46" t="n">
        <f aca="false">IF(R362&gt;0,1,0)</f>
        <v>1</v>
      </c>
      <c r="U362" s="32" t="n">
        <f aca="false">INDEX(Forecast!$AY$7:$AY$54,C362)</f>
        <v>2</v>
      </c>
      <c r="V362" s="33" t="n">
        <f aca="false">CHOOSE(U362,INDEX(Forecast_Walkforward!$D:$D,H362),INDEX(Forecast_Walkforward!$E:$E,H362),INDEX(Forecast_Walkforward!$F:$F,H362),INDEX(Forecast_Walkforward!$G:$G,H362))</f>
        <v>83.5</v>
      </c>
      <c r="W362" s="79" t="n">
        <f aca="false">INDEX(Forecast!$BA$7:$BA$54,C362)</f>
        <v>9.38876064011997</v>
      </c>
      <c r="X362" s="33" t="n">
        <f aca="false">Z_Value*W362*SQRT(D362)</f>
        <v>26.7482978974907</v>
      </c>
      <c r="Y362" s="33" t="n">
        <f aca="false">V362*D362+X362</f>
        <v>277.248297897491</v>
      </c>
      <c r="Z362" s="33" t="n">
        <f aca="false">SQRT((2*V362*Weeks_Per_Year*F362)/(E362*Holding_Rate))</f>
        <v>465.93991028887</v>
      </c>
      <c r="AA362" s="46" t="n">
        <f aca="false">ROUNDUP(Z362/G362,0)*G362</f>
        <v>480</v>
      </c>
      <c r="AB362" s="46" t="n">
        <f aca="false">SUMIFS(AF$357:AF361,$B$357:$B361,$B362-$D362)</f>
        <v>0</v>
      </c>
      <c r="AC362" s="46" t="n">
        <f aca="false">AI361+AB362</f>
        <v>57</v>
      </c>
      <c r="AD362" s="46" t="n">
        <f aca="false">SUMIFS(AF$357:AF361,$B$357:$B361,"&gt;"&amp;($B362-$D362))</f>
        <v>460</v>
      </c>
      <c r="AE362" s="46" t="n">
        <f aca="false">AC362+AD362</f>
        <v>517</v>
      </c>
      <c r="AF362" s="47" t="n">
        <f aca="false">IF(AE362&lt;=Y362,AA362,0)</f>
        <v>0</v>
      </c>
      <c r="AG362" s="46" t="n">
        <f aca="false">MIN(AC362,I362)</f>
        <v>57</v>
      </c>
      <c r="AH362" s="46" t="n">
        <f aca="false">I362-AG362</f>
        <v>34</v>
      </c>
      <c r="AI362" s="46" t="n">
        <f aca="false">AC362-AG362</f>
        <v>0</v>
      </c>
      <c r="AJ362" s="46" t="n">
        <f aca="false">IF(AH362&gt;0,1,0)</f>
        <v>1</v>
      </c>
    </row>
    <row r="363" customFormat="false" ht="15" hidden="false" customHeight="false" outlineLevel="0" collapsed="false">
      <c r="A363" s="31" t="str">
        <f aca="false">Inputs!$B$59</f>
        <v>BTH-010</v>
      </c>
      <c r="B363" s="46" t="n">
        <f aca="false">B362+1</f>
        <v>95</v>
      </c>
      <c r="C363" s="46" t="n">
        <f aca="false">MATCH(A363,Inputs!$B$40:$B$87,0)</f>
        <v>20</v>
      </c>
      <c r="D363" s="32" t="n">
        <f aca="false">INDEX(Inputs!$F$40:$F$87,C363)</f>
        <v>3</v>
      </c>
      <c r="E363" s="78" t="n">
        <f aca="false">INDEX(Inputs!$H$40:$H$87,C363)</f>
        <v>9</v>
      </c>
      <c r="F363" s="78" t="n">
        <f aca="false">INDEX(Inputs!$G$40:$G$87,C363)</f>
        <v>45</v>
      </c>
      <c r="G363" s="32" t="n">
        <f aca="false">INDEX(Inputs!$I$40:$I$87,C363)</f>
        <v>20</v>
      </c>
      <c r="H363" s="46" t="n">
        <f aca="false">MATCH(A363,Demand_History!$C:$C,0)+B363-1</f>
        <v>2072</v>
      </c>
      <c r="I363" s="32" t="n">
        <f aca="false">INDEX(Forecast_Walkforward!$C:$C,H363)</f>
        <v>70</v>
      </c>
      <c r="J363" s="79" t="n">
        <f aca="false">INDEX(Forecast_Walkforward!$E:$E,H363)</f>
        <v>85.25</v>
      </c>
      <c r="K363" s="33" t="n">
        <f aca="false">Baseline_Weeks*J363</f>
        <v>341</v>
      </c>
      <c r="L363" s="46" t="n">
        <f aca="false">SUMIFS(P$357:P362,$B$357:$B362,$B363-$D363)</f>
        <v>100</v>
      </c>
      <c r="M363" s="46" t="n">
        <f aca="false">S362+L363</f>
        <v>100</v>
      </c>
      <c r="N363" s="46" t="n">
        <f aca="false">SUMIFS(P$357:P362,$B$357:$B362,"&gt;"&amp;($B363-$D363))</f>
        <v>180</v>
      </c>
      <c r="O363" s="46" t="n">
        <f aca="false">M363+N363</f>
        <v>280</v>
      </c>
      <c r="P363" s="47" t="n">
        <f aca="false">IF(O363&lt;K363,ROUNDUP((K363-O363)/G363,0)*G363,0)</f>
        <v>80</v>
      </c>
      <c r="Q363" s="46" t="n">
        <f aca="false">MIN(M363,I363)</f>
        <v>70</v>
      </c>
      <c r="R363" s="46" t="n">
        <f aca="false">I363-Q363</f>
        <v>0</v>
      </c>
      <c r="S363" s="46" t="n">
        <f aca="false">M363-Q363</f>
        <v>30</v>
      </c>
      <c r="T363" s="46" t="n">
        <f aca="false">IF(R363&gt;0,1,0)</f>
        <v>0</v>
      </c>
      <c r="U363" s="32" t="n">
        <f aca="false">INDEX(Forecast!$AY$7:$AY$54,C363)</f>
        <v>2</v>
      </c>
      <c r="V363" s="33" t="n">
        <f aca="false">CHOOSE(U363,INDEX(Forecast_Walkforward!$D:$D,H363),INDEX(Forecast_Walkforward!$E:$E,H363),INDEX(Forecast_Walkforward!$F:$F,H363),INDEX(Forecast_Walkforward!$G:$G,H363))</f>
        <v>85.25</v>
      </c>
      <c r="W363" s="79" t="n">
        <f aca="false">INDEX(Forecast!$BA$7:$BA$54,C363)</f>
        <v>9.38876064011997</v>
      </c>
      <c r="X363" s="33" t="n">
        <f aca="false">Z_Value*W363*SQRT(D363)</f>
        <v>26.7482978974907</v>
      </c>
      <c r="Y363" s="33" t="n">
        <f aca="false">V363*D363+X363</f>
        <v>282.498297897491</v>
      </c>
      <c r="Z363" s="33" t="n">
        <f aca="false">SQRT((2*V363*Weeks_Per_Year*F363)/(E363*Holding_Rate))</f>
        <v>470.797196253334</v>
      </c>
      <c r="AA363" s="46" t="n">
        <f aca="false">ROUNDUP(Z363/G363,0)*G363</f>
        <v>480</v>
      </c>
      <c r="AB363" s="46" t="n">
        <f aca="false">SUMIFS(AF$357:AF362,$B$357:$B362,$B363-$D363)</f>
        <v>460</v>
      </c>
      <c r="AC363" s="46" t="n">
        <f aca="false">AI362+AB363</f>
        <v>460</v>
      </c>
      <c r="AD363" s="46" t="n">
        <f aca="false">SUMIFS(AF$357:AF362,$B$357:$B362,"&gt;"&amp;($B363-$D363))</f>
        <v>0</v>
      </c>
      <c r="AE363" s="46" t="n">
        <f aca="false">AC363+AD363</f>
        <v>460</v>
      </c>
      <c r="AF363" s="47" t="n">
        <f aca="false">IF(AE363&lt;=Y363,AA363,0)</f>
        <v>0</v>
      </c>
      <c r="AG363" s="46" t="n">
        <f aca="false">MIN(AC363,I363)</f>
        <v>70</v>
      </c>
      <c r="AH363" s="46" t="n">
        <f aca="false">I363-AG363</f>
        <v>0</v>
      </c>
      <c r="AI363" s="46" t="n">
        <f aca="false">AC363-AG363</f>
        <v>390</v>
      </c>
      <c r="AJ363" s="46" t="n">
        <f aca="false">IF(AH363&gt;0,1,0)</f>
        <v>0</v>
      </c>
    </row>
    <row r="364" customFormat="false" ht="15" hidden="false" customHeight="false" outlineLevel="0" collapsed="false">
      <c r="A364" s="31" t="str">
        <f aca="false">Inputs!$B$59</f>
        <v>BTH-010</v>
      </c>
      <c r="B364" s="46" t="n">
        <f aca="false">B363+1</f>
        <v>96</v>
      </c>
      <c r="C364" s="46" t="n">
        <f aca="false">MATCH(A364,Inputs!$B$40:$B$87,0)</f>
        <v>20</v>
      </c>
      <c r="D364" s="32" t="n">
        <f aca="false">INDEX(Inputs!$F$40:$F$87,C364)</f>
        <v>3</v>
      </c>
      <c r="E364" s="78" t="n">
        <f aca="false">INDEX(Inputs!$H$40:$H$87,C364)</f>
        <v>9</v>
      </c>
      <c r="F364" s="78" t="n">
        <f aca="false">INDEX(Inputs!$G$40:$G$87,C364)</f>
        <v>45</v>
      </c>
      <c r="G364" s="32" t="n">
        <f aca="false">INDEX(Inputs!$I$40:$I$87,C364)</f>
        <v>20</v>
      </c>
      <c r="H364" s="46" t="n">
        <f aca="false">MATCH(A364,Demand_History!$C:$C,0)+B364-1</f>
        <v>2073</v>
      </c>
      <c r="I364" s="32" t="n">
        <f aca="false">INDEX(Forecast_Walkforward!$C:$C,H364)</f>
        <v>87</v>
      </c>
      <c r="J364" s="79" t="n">
        <f aca="false">INDEX(Forecast_Walkforward!$E:$E,H364)</f>
        <v>82.75</v>
      </c>
      <c r="K364" s="33" t="n">
        <f aca="false">Baseline_Weeks*J364</f>
        <v>331</v>
      </c>
      <c r="L364" s="46" t="n">
        <f aca="false">SUMIFS(P$357:P363,$B$357:$B363,$B364-$D364)</f>
        <v>100</v>
      </c>
      <c r="M364" s="46" t="n">
        <f aca="false">S363+L364</f>
        <v>130</v>
      </c>
      <c r="N364" s="46" t="n">
        <f aca="false">SUMIFS(P$357:P363,$B$357:$B363,"&gt;"&amp;($B364-$D364))</f>
        <v>160</v>
      </c>
      <c r="O364" s="46" t="n">
        <f aca="false">M364+N364</f>
        <v>290</v>
      </c>
      <c r="P364" s="47" t="n">
        <f aca="false">IF(O364&lt;K364,ROUNDUP((K364-O364)/G364,0)*G364,0)</f>
        <v>60</v>
      </c>
      <c r="Q364" s="46" t="n">
        <f aca="false">MIN(M364,I364)</f>
        <v>87</v>
      </c>
      <c r="R364" s="46" t="n">
        <f aca="false">I364-Q364</f>
        <v>0</v>
      </c>
      <c r="S364" s="46" t="n">
        <f aca="false">M364-Q364</f>
        <v>43</v>
      </c>
      <c r="T364" s="46" t="n">
        <f aca="false">IF(R364&gt;0,1,0)</f>
        <v>0</v>
      </c>
      <c r="U364" s="32" t="n">
        <f aca="false">INDEX(Forecast!$AY$7:$AY$54,C364)</f>
        <v>2</v>
      </c>
      <c r="V364" s="33" t="n">
        <f aca="false">CHOOSE(U364,INDEX(Forecast_Walkforward!$D:$D,H364),INDEX(Forecast_Walkforward!$E:$E,H364),INDEX(Forecast_Walkforward!$F:$F,H364),INDEX(Forecast_Walkforward!$G:$G,H364))</f>
        <v>82.75</v>
      </c>
      <c r="W364" s="79" t="n">
        <f aca="false">INDEX(Forecast!$BA$7:$BA$54,C364)</f>
        <v>9.38876064011997</v>
      </c>
      <c r="X364" s="33" t="n">
        <f aca="false">Z_Value*W364*SQRT(D364)</f>
        <v>26.7482978974907</v>
      </c>
      <c r="Y364" s="33" t="n">
        <f aca="false">V364*D364+X364</f>
        <v>274.998297897491</v>
      </c>
      <c r="Z364" s="33" t="n">
        <f aca="false">SQRT((2*V364*Weeks_Per_Year*F364)/(E364*Holding_Rate))</f>
        <v>463.842645732365</v>
      </c>
      <c r="AA364" s="46" t="n">
        <f aca="false">ROUNDUP(Z364/G364,0)*G364</f>
        <v>480</v>
      </c>
      <c r="AB364" s="46" t="n">
        <f aca="false">SUMIFS(AF$357:AF363,$B$357:$B363,$B364-$D364)</f>
        <v>0</v>
      </c>
      <c r="AC364" s="46" t="n">
        <f aca="false">AI363+AB364</f>
        <v>390</v>
      </c>
      <c r="AD364" s="46" t="n">
        <f aca="false">SUMIFS(AF$357:AF363,$B$357:$B363,"&gt;"&amp;($B364-$D364))</f>
        <v>0</v>
      </c>
      <c r="AE364" s="46" t="n">
        <f aca="false">AC364+AD364</f>
        <v>390</v>
      </c>
      <c r="AF364" s="47" t="n">
        <f aca="false">IF(AE364&lt;=Y364,AA364,0)</f>
        <v>0</v>
      </c>
      <c r="AG364" s="46" t="n">
        <f aca="false">MIN(AC364,I364)</f>
        <v>87</v>
      </c>
      <c r="AH364" s="46" t="n">
        <f aca="false">I364-AG364</f>
        <v>0</v>
      </c>
      <c r="AI364" s="46" t="n">
        <f aca="false">AC364-AG364</f>
        <v>303</v>
      </c>
      <c r="AJ364" s="46" t="n">
        <f aca="false">IF(AH364&gt;0,1,0)</f>
        <v>0</v>
      </c>
    </row>
    <row r="365" customFormat="false" ht="15" hidden="false" customHeight="false" outlineLevel="0" collapsed="false">
      <c r="A365" s="31" t="str">
        <f aca="false">Inputs!$B$59</f>
        <v>BTH-010</v>
      </c>
      <c r="B365" s="46" t="n">
        <f aca="false">B364+1</f>
        <v>97</v>
      </c>
      <c r="C365" s="46" t="n">
        <f aca="false">MATCH(A365,Inputs!$B$40:$B$87,0)</f>
        <v>20</v>
      </c>
      <c r="D365" s="32" t="n">
        <f aca="false">INDEX(Inputs!$F$40:$F$87,C365)</f>
        <v>3</v>
      </c>
      <c r="E365" s="78" t="n">
        <f aca="false">INDEX(Inputs!$H$40:$H$87,C365)</f>
        <v>9</v>
      </c>
      <c r="F365" s="78" t="n">
        <f aca="false">INDEX(Inputs!$G$40:$G$87,C365)</f>
        <v>45</v>
      </c>
      <c r="G365" s="32" t="n">
        <f aca="false">INDEX(Inputs!$I$40:$I$87,C365)</f>
        <v>20</v>
      </c>
      <c r="H365" s="46" t="n">
        <f aca="false">MATCH(A365,Demand_History!$C:$C,0)+B365-1</f>
        <v>2074</v>
      </c>
      <c r="I365" s="32" t="n">
        <f aca="false">INDEX(Forecast_Walkforward!$C:$C,H365)</f>
        <v>78</v>
      </c>
      <c r="J365" s="79" t="n">
        <f aca="false">INDEX(Forecast_Walkforward!$E:$E,H365)</f>
        <v>81.75</v>
      </c>
      <c r="K365" s="33" t="n">
        <f aca="false">Baseline_Weeks*J365</f>
        <v>327</v>
      </c>
      <c r="L365" s="46" t="n">
        <f aca="false">SUMIFS(P$357:P364,$B$357:$B364,$B365-$D365)</f>
        <v>80</v>
      </c>
      <c r="M365" s="46" t="n">
        <f aca="false">S364+L365</f>
        <v>123</v>
      </c>
      <c r="N365" s="46" t="n">
        <f aca="false">SUMIFS(P$357:P364,$B$357:$B364,"&gt;"&amp;($B365-$D365))</f>
        <v>140</v>
      </c>
      <c r="O365" s="46" t="n">
        <f aca="false">M365+N365</f>
        <v>263</v>
      </c>
      <c r="P365" s="47" t="n">
        <f aca="false">IF(O365&lt;K365,ROUNDUP((K365-O365)/G365,0)*G365,0)</f>
        <v>80</v>
      </c>
      <c r="Q365" s="46" t="n">
        <f aca="false">MIN(M365,I365)</f>
        <v>78</v>
      </c>
      <c r="R365" s="46" t="n">
        <f aca="false">I365-Q365</f>
        <v>0</v>
      </c>
      <c r="S365" s="46" t="n">
        <f aca="false">M365-Q365</f>
        <v>45</v>
      </c>
      <c r="T365" s="46" t="n">
        <f aca="false">IF(R365&gt;0,1,0)</f>
        <v>0</v>
      </c>
      <c r="U365" s="32" t="n">
        <f aca="false">INDEX(Forecast!$AY$7:$AY$54,C365)</f>
        <v>2</v>
      </c>
      <c r="V365" s="33" t="n">
        <f aca="false">CHOOSE(U365,INDEX(Forecast_Walkforward!$D:$D,H365),INDEX(Forecast_Walkforward!$E:$E,H365),INDEX(Forecast_Walkforward!$F:$F,H365),INDEX(Forecast_Walkforward!$G:$G,H365))</f>
        <v>81.75</v>
      </c>
      <c r="W365" s="79" t="n">
        <f aca="false">INDEX(Forecast!$BA$7:$BA$54,C365)</f>
        <v>9.38876064011997</v>
      </c>
      <c r="X365" s="33" t="n">
        <f aca="false">Z_Value*W365*SQRT(D365)</f>
        <v>26.7482978974907</v>
      </c>
      <c r="Y365" s="33" t="n">
        <f aca="false">V365*D365+X365</f>
        <v>271.998297897491</v>
      </c>
      <c r="Z365" s="33" t="n">
        <f aca="false">SQRT((2*V365*Weeks_Per_Year*F365)/(E365*Holding_Rate))</f>
        <v>461.031452289321</v>
      </c>
      <c r="AA365" s="46" t="n">
        <f aca="false">ROUNDUP(Z365/G365,0)*G365</f>
        <v>480</v>
      </c>
      <c r="AB365" s="46" t="n">
        <f aca="false">SUMIFS(AF$357:AF364,$B$357:$B364,$B365-$D365)</f>
        <v>0</v>
      </c>
      <c r="AC365" s="46" t="n">
        <f aca="false">AI364+AB365</f>
        <v>303</v>
      </c>
      <c r="AD365" s="46" t="n">
        <f aca="false">SUMIFS(AF$357:AF364,$B$357:$B364,"&gt;"&amp;($B365-$D365))</f>
        <v>0</v>
      </c>
      <c r="AE365" s="46" t="n">
        <f aca="false">AC365+AD365</f>
        <v>303</v>
      </c>
      <c r="AF365" s="47" t="n">
        <f aca="false">IF(AE365&lt;=Y365,AA365,0)</f>
        <v>0</v>
      </c>
      <c r="AG365" s="46" t="n">
        <f aca="false">MIN(AC365,I365)</f>
        <v>78</v>
      </c>
      <c r="AH365" s="46" t="n">
        <f aca="false">I365-AG365</f>
        <v>0</v>
      </c>
      <c r="AI365" s="46" t="n">
        <f aca="false">AC365-AG365</f>
        <v>225</v>
      </c>
      <c r="AJ365" s="46" t="n">
        <f aca="false">IF(AH365&gt;0,1,0)</f>
        <v>0</v>
      </c>
    </row>
    <row r="366" customFormat="false" ht="15" hidden="false" customHeight="false" outlineLevel="0" collapsed="false">
      <c r="A366" s="31" t="str">
        <f aca="false">Inputs!$B$59</f>
        <v>BTH-010</v>
      </c>
      <c r="B366" s="46" t="n">
        <f aca="false">B365+1</f>
        <v>98</v>
      </c>
      <c r="C366" s="46" t="n">
        <f aca="false">MATCH(A366,Inputs!$B$40:$B$87,0)</f>
        <v>20</v>
      </c>
      <c r="D366" s="32" t="n">
        <f aca="false">INDEX(Inputs!$F$40:$F$87,C366)</f>
        <v>3</v>
      </c>
      <c r="E366" s="78" t="n">
        <f aca="false">INDEX(Inputs!$H$40:$H$87,C366)</f>
        <v>9</v>
      </c>
      <c r="F366" s="78" t="n">
        <f aca="false">INDEX(Inputs!$G$40:$G$87,C366)</f>
        <v>45</v>
      </c>
      <c r="G366" s="32" t="n">
        <f aca="false">INDEX(Inputs!$I$40:$I$87,C366)</f>
        <v>20</v>
      </c>
      <c r="H366" s="46" t="n">
        <f aca="false">MATCH(A366,Demand_History!$C:$C,0)+B366-1</f>
        <v>2075</v>
      </c>
      <c r="I366" s="32" t="n">
        <f aca="false">INDEX(Forecast_Walkforward!$C:$C,H366)</f>
        <v>84</v>
      </c>
      <c r="J366" s="79" t="n">
        <f aca="false">INDEX(Forecast_Walkforward!$E:$E,H366)</f>
        <v>81.5</v>
      </c>
      <c r="K366" s="33" t="n">
        <f aca="false">Baseline_Weeks*J366</f>
        <v>326</v>
      </c>
      <c r="L366" s="46" t="n">
        <f aca="false">SUMIFS(P$357:P365,$B$357:$B365,$B366-$D366)</f>
        <v>80</v>
      </c>
      <c r="M366" s="46" t="n">
        <f aca="false">S365+L366</f>
        <v>125</v>
      </c>
      <c r="N366" s="46" t="n">
        <f aca="false">SUMIFS(P$357:P365,$B$357:$B365,"&gt;"&amp;($B366-$D366))</f>
        <v>140</v>
      </c>
      <c r="O366" s="46" t="n">
        <f aca="false">M366+N366</f>
        <v>265</v>
      </c>
      <c r="P366" s="47" t="n">
        <f aca="false">IF(O366&lt;K366,ROUNDUP((K366-O366)/G366,0)*G366,0)</f>
        <v>80</v>
      </c>
      <c r="Q366" s="46" t="n">
        <f aca="false">MIN(M366,I366)</f>
        <v>84</v>
      </c>
      <c r="R366" s="46" t="n">
        <f aca="false">I366-Q366</f>
        <v>0</v>
      </c>
      <c r="S366" s="46" t="n">
        <f aca="false">M366-Q366</f>
        <v>41</v>
      </c>
      <c r="T366" s="46" t="n">
        <f aca="false">IF(R366&gt;0,1,0)</f>
        <v>0</v>
      </c>
      <c r="U366" s="32" t="n">
        <f aca="false">INDEX(Forecast!$AY$7:$AY$54,C366)</f>
        <v>2</v>
      </c>
      <c r="V366" s="33" t="n">
        <f aca="false">CHOOSE(U366,INDEX(Forecast_Walkforward!$D:$D,H366),INDEX(Forecast_Walkforward!$E:$E,H366),INDEX(Forecast_Walkforward!$F:$F,H366),INDEX(Forecast_Walkforward!$G:$G,H366))</f>
        <v>81.5</v>
      </c>
      <c r="W366" s="79" t="n">
        <f aca="false">INDEX(Forecast!$BA$7:$BA$54,C366)</f>
        <v>9.38876064011997</v>
      </c>
      <c r="X366" s="33" t="n">
        <f aca="false">Z_Value*W366*SQRT(D366)</f>
        <v>26.7482978974907</v>
      </c>
      <c r="Y366" s="33" t="n">
        <f aca="false">V366*D366+X366</f>
        <v>271.248297897491</v>
      </c>
      <c r="Z366" s="33" t="n">
        <f aca="false">SQRT((2*V366*Weeks_Per_Year*F366)/(E366*Holding_Rate))</f>
        <v>460.325971459356</v>
      </c>
      <c r="AA366" s="46" t="n">
        <f aca="false">ROUNDUP(Z366/G366,0)*G366</f>
        <v>480</v>
      </c>
      <c r="AB366" s="46" t="n">
        <f aca="false">SUMIFS(AF$357:AF365,$B$357:$B365,$B366-$D366)</f>
        <v>0</v>
      </c>
      <c r="AC366" s="46" t="n">
        <f aca="false">AI365+AB366</f>
        <v>225</v>
      </c>
      <c r="AD366" s="46" t="n">
        <f aca="false">SUMIFS(AF$357:AF365,$B$357:$B365,"&gt;"&amp;($B366-$D366))</f>
        <v>0</v>
      </c>
      <c r="AE366" s="46" t="n">
        <f aca="false">AC366+AD366</f>
        <v>225</v>
      </c>
      <c r="AF366" s="47" t="n">
        <f aca="false">IF(AE366&lt;=Y366,AA366,0)</f>
        <v>480</v>
      </c>
      <c r="AG366" s="46" t="n">
        <f aca="false">MIN(AC366,I366)</f>
        <v>84</v>
      </c>
      <c r="AH366" s="46" t="n">
        <f aca="false">I366-AG366</f>
        <v>0</v>
      </c>
      <c r="AI366" s="46" t="n">
        <f aca="false">AC366-AG366</f>
        <v>141</v>
      </c>
      <c r="AJ366" s="46" t="n">
        <f aca="false">IF(AH366&gt;0,1,0)</f>
        <v>0</v>
      </c>
    </row>
    <row r="367" customFormat="false" ht="15" hidden="false" customHeight="false" outlineLevel="0" collapsed="false">
      <c r="A367" s="31" t="str">
        <f aca="false">Inputs!$B$59</f>
        <v>BTH-010</v>
      </c>
      <c r="B367" s="46" t="n">
        <f aca="false">B366+1</f>
        <v>99</v>
      </c>
      <c r="C367" s="46" t="n">
        <f aca="false">MATCH(A367,Inputs!$B$40:$B$87,0)</f>
        <v>20</v>
      </c>
      <c r="D367" s="32" t="n">
        <f aca="false">INDEX(Inputs!$F$40:$F$87,C367)</f>
        <v>3</v>
      </c>
      <c r="E367" s="78" t="n">
        <f aca="false">INDEX(Inputs!$H$40:$H$87,C367)</f>
        <v>9</v>
      </c>
      <c r="F367" s="78" t="n">
        <f aca="false">INDEX(Inputs!$G$40:$G$87,C367)</f>
        <v>45</v>
      </c>
      <c r="G367" s="32" t="n">
        <f aca="false">INDEX(Inputs!$I$40:$I$87,C367)</f>
        <v>20</v>
      </c>
      <c r="H367" s="46" t="n">
        <f aca="false">MATCH(A367,Demand_History!$C:$C,0)+B367-1</f>
        <v>2076</v>
      </c>
      <c r="I367" s="32" t="n">
        <f aca="false">INDEX(Forecast_Walkforward!$C:$C,H367)</f>
        <v>83</v>
      </c>
      <c r="J367" s="79" t="n">
        <f aca="false">INDEX(Forecast_Walkforward!$E:$E,H367)</f>
        <v>79.75</v>
      </c>
      <c r="K367" s="33" t="n">
        <f aca="false">Baseline_Weeks*J367</f>
        <v>319</v>
      </c>
      <c r="L367" s="46" t="n">
        <f aca="false">SUMIFS(P$357:P366,$B$357:$B366,$B367-$D367)</f>
        <v>60</v>
      </c>
      <c r="M367" s="46" t="n">
        <f aca="false">S366+L367</f>
        <v>101</v>
      </c>
      <c r="N367" s="46" t="n">
        <f aca="false">SUMIFS(P$357:P366,$B$357:$B366,"&gt;"&amp;($B367-$D367))</f>
        <v>160</v>
      </c>
      <c r="O367" s="46" t="n">
        <f aca="false">M367+N367</f>
        <v>261</v>
      </c>
      <c r="P367" s="47" t="n">
        <f aca="false">IF(O367&lt;K367,ROUNDUP((K367-O367)/G367,0)*G367,0)</f>
        <v>60</v>
      </c>
      <c r="Q367" s="46" t="n">
        <f aca="false">MIN(M367,I367)</f>
        <v>83</v>
      </c>
      <c r="R367" s="46" t="n">
        <f aca="false">I367-Q367</f>
        <v>0</v>
      </c>
      <c r="S367" s="46" t="n">
        <f aca="false">M367-Q367</f>
        <v>18</v>
      </c>
      <c r="T367" s="46" t="n">
        <f aca="false">IF(R367&gt;0,1,0)</f>
        <v>0</v>
      </c>
      <c r="U367" s="32" t="n">
        <f aca="false">INDEX(Forecast!$AY$7:$AY$54,C367)</f>
        <v>2</v>
      </c>
      <c r="V367" s="33" t="n">
        <f aca="false">CHOOSE(U367,INDEX(Forecast_Walkforward!$D:$D,H367),INDEX(Forecast_Walkforward!$E:$E,H367),INDEX(Forecast_Walkforward!$F:$F,H367),INDEX(Forecast_Walkforward!$G:$G,H367))</f>
        <v>79.75</v>
      </c>
      <c r="W367" s="79" t="n">
        <f aca="false">INDEX(Forecast!$BA$7:$BA$54,C367)</f>
        <v>9.38876064011997</v>
      </c>
      <c r="X367" s="33" t="n">
        <f aca="false">Z_Value*W367*SQRT(D367)</f>
        <v>26.7482978974907</v>
      </c>
      <c r="Y367" s="33" t="n">
        <f aca="false">V367*D367+X367</f>
        <v>265.998297897491</v>
      </c>
      <c r="Z367" s="33" t="n">
        <f aca="false">SQRT((2*V367*Weeks_Per_Year*F367)/(E367*Holding_Rate))</f>
        <v>455.357002801099</v>
      </c>
      <c r="AA367" s="46" t="n">
        <f aca="false">ROUNDUP(Z367/G367,0)*G367</f>
        <v>460</v>
      </c>
      <c r="AB367" s="46" t="n">
        <f aca="false">SUMIFS(AF$357:AF366,$B$357:$B366,$B367-$D367)</f>
        <v>0</v>
      </c>
      <c r="AC367" s="46" t="n">
        <f aca="false">AI366+AB367</f>
        <v>141</v>
      </c>
      <c r="AD367" s="46" t="n">
        <f aca="false">SUMIFS(AF$357:AF366,$B$357:$B366,"&gt;"&amp;($B367-$D367))</f>
        <v>480</v>
      </c>
      <c r="AE367" s="46" t="n">
        <f aca="false">AC367+AD367</f>
        <v>621</v>
      </c>
      <c r="AF367" s="47" t="n">
        <f aca="false">IF(AE367&lt;=Y367,AA367,0)</f>
        <v>0</v>
      </c>
      <c r="AG367" s="46" t="n">
        <f aca="false">MIN(AC367,I367)</f>
        <v>83</v>
      </c>
      <c r="AH367" s="46" t="n">
        <f aca="false">I367-AG367</f>
        <v>0</v>
      </c>
      <c r="AI367" s="46" t="n">
        <f aca="false">AC367-AG367</f>
        <v>58</v>
      </c>
      <c r="AJ367" s="46" t="n">
        <f aca="false">IF(AH367&gt;0,1,0)</f>
        <v>0</v>
      </c>
    </row>
    <row r="368" customFormat="false" ht="15" hidden="false" customHeight="false" outlineLevel="0" collapsed="false">
      <c r="A368" s="31" t="str">
        <f aca="false">Inputs!$B$59</f>
        <v>BTH-010</v>
      </c>
      <c r="B368" s="46" t="n">
        <f aca="false">B367+1</f>
        <v>100</v>
      </c>
      <c r="C368" s="46" t="n">
        <f aca="false">MATCH(A368,Inputs!$B$40:$B$87,0)</f>
        <v>20</v>
      </c>
      <c r="D368" s="32" t="n">
        <f aca="false">INDEX(Inputs!$F$40:$F$87,C368)</f>
        <v>3</v>
      </c>
      <c r="E368" s="78" t="n">
        <f aca="false">INDEX(Inputs!$H$40:$H$87,C368)</f>
        <v>9</v>
      </c>
      <c r="F368" s="78" t="n">
        <f aca="false">INDEX(Inputs!$G$40:$G$87,C368)</f>
        <v>45</v>
      </c>
      <c r="G368" s="32" t="n">
        <f aca="false">INDEX(Inputs!$I$40:$I$87,C368)</f>
        <v>20</v>
      </c>
      <c r="H368" s="46" t="n">
        <f aca="false">MATCH(A368,Demand_History!$C:$C,0)+B368-1</f>
        <v>2077</v>
      </c>
      <c r="I368" s="32" t="n">
        <f aca="false">INDEX(Forecast_Walkforward!$C:$C,H368)</f>
        <v>93</v>
      </c>
      <c r="J368" s="79" t="n">
        <f aca="false">INDEX(Forecast_Walkforward!$E:$E,H368)</f>
        <v>83</v>
      </c>
      <c r="K368" s="33" t="n">
        <f aca="false">Baseline_Weeks*J368</f>
        <v>332</v>
      </c>
      <c r="L368" s="46" t="n">
        <f aca="false">SUMIFS(P$357:P367,$B$357:$B367,$B368-$D368)</f>
        <v>80</v>
      </c>
      <c r="M368" s="46" t="n">
        <f aca="false">S367+L368</f>
        <v>98</v>
      </c>
      <c r="N368" s="46" t="n">
        <f aca="false">SUMIFS(P$357:P367,$B$357:$B367,"&gt;"&amp;($B368-$D368))</f>
        <v>140</v>
      </c>
      <c r="O368" s="46" t="n">
        <f aca="false">M368+N368</f>
        <v>238</v>
      </c>
      <c r="P368" s="47" t="n">
        <f aca="false">IF(O368&lt;K368,ROUNDUP((K368-O368)/G368,0)*G368,0)</f>
        <v>100</v>
      </c>
      <c r="Q368" s="46" t="n">
        <f aca="false">MIN(M368,I368)</f>
        <v>93</v>
      </c>
      <c r="R368" s="46" t="n">
        <f aca="false">I368-Q368</f>
        <v>0</v>
      </c>
      <c r="S368" s="46" t="n">
        <f aca="false">M368-Q368</f>
        <v>5</v>
      </c>
      <c r="T368" s="46" t="n">
        <f aca="false">IF(R368&gt;0,1,0)</f>
        <v>0</v>
      </c>
      <c r="U368" s="32" t="n">
        <f aca="false">INDEX(Forecast!$AY$7:$AY$54,C368)</f>
        <v>2</v>
      </c>
      <c r="V368" s="33" t="n">
        <f aca="false">CHOOSE(U368,INDEX(Forecast_Walkforward!$D:$D,H368),INDEX(Forecast_Walkforward!$E:$E,H368),INDEX(Forecast_Walkforward!$F:$F,H368),INDEX(Forecast_Walkforward!$G:$G,H368))</f>
        <v>83</v>
      </c>
      <c r="W368" s="79" t="n">
        <f aca="false">INDEX(Forecast!$BA$7:$BA$54,C368)</f>
        <v>9.38876064011997</v>
      </c>
      <c r="X368" s="33" t="n">
        <f aca="false">Z_Value*W368*SQRT(D368)</f>
        <v>26.7482978974907</v>
      </c>
      <c r="Y368" s="33" t="n">
        <f aca="false">V368*D368+X368</f>
        <v>275.748297897491</v>
      </c>
      <c r="Z368" s="33" t="n">
        <f aca="false">SQRT((2*V368*Weeks_Per_Year*F368)/(E368*Holding_Rate))</f>
        <v>464.542785973477</v>
      </c>
      <c r="AA368" s="46" t="n">
        <f aca="false">ROUNDUP(Z368/G368,0)*G368</f>
        <v>480</v>
      </c>
      <c r="AB368" s="46" t="n">
        <f aca="false">SUMIFS(AF$357:AF367,$B$357:$B367,$B368-$D368)</f>
        <v>0</v>
      </c>
      <c r="AC368" s="46" t="n">
        <f aca="false">AI367+AB368</f>
        <v>58</v>
      </c>
      <c r="AD368" s="46" t="n">
        <f aca="false">SUMIFS(AF$357:AF367,$B$357:$B367,"&gt;"&amp;($B368-$D368))</f>
        <v>480</v>
      </c>
      <c r="AE368" s="46" t="n">
        <f aca="false">AC368+AD368</f>
        <v>538</v>
      </c>
      <c r="AF368" s="47" t="n">
        <f aca="false">IF(AE368&lt;=Y368,AA368,0)</f>
        <v>0</v>
      </c>
      <c r="AG368" s="46" t="n">
        <f aca="false">MIN(AC368,I368)</f>
        <v>58</v>
      </c>
      <c r="AH368" s="46" t="n">
        <f aca="false">I368-AG368</f>
        <v>35</v>
      </c>
      <c r="AI368" s="46" t="n">
        <f aca="false">AC368-AG368</f>
        <v>0</v>
      </c>
      <c r="AJ368" s="46" t="n">
        <f aca="false">IF(AH368&gt;0,1,0)</f>
        <v>1</v>
      </c>
    </row>
    <row r="369" customFormat="false" ht="15" hidden="false" customHeight="false" outlineLevel="0" collapsed="false">
      <c r="A369" s="31" t="str">
        <f aca="false">Inputs!$B$59</f>
        <v>BTH-010</v>
      </c>
      <c r="B369" s="46" t="n">
        <f aca="false">B368+1</f>
        <v>101</v>
      </c>
      <c r="C369" s="46" t="n">
        <f aca="false">MATCH(A369,Inputs!$B$40:$B$87,0)</f>
        <v>20</v>
      </c>
      <c r="D369" s="32" t="n">
        <f aca="false">INDEX(Inputs!$F$40:$F$87,C369)</f>
        <v>3</v>
      </c>
      <c r="E369" s="78" t="n">
        <f aca="false">INDEX(Inputs!$H$40:$H$87,C369)</f>
        <v>9</v>
      </c>
      <c r="F369" s="78" t="n">
        <f aca="false">INDEX(Inputs!$G$40:$G$87,C369)</f>
        <v>45</v>
      </c>
      <c r="G369" s="32" t="n">
        <f aca="false">INDEX(Inputs!$I$40:$I$87,C369)</f>
        <v>20</v>
      </c>
      <c r="H369" s="46" t="n">
        <f aca="false">MATCH(A369,Demand_History!$C:$C,0)+B369-1</f>
        <v>2078</v>
      </c>
      <c r="I369" s="32" t="n">
        <f aca="false">INDEX(Forecast_Walkforward!$C:$C,H369)</f>
        <v>59</v>
      </c>
      <c r="J369" s="79" t="n">
        <f aca="false">INDEX(Forecast_Walkforward!$E:$E,H369)</f>
        <v>84.5</v>
      </c>
      <c r="K369" s="33" t="n">
        <f aca="false">Baseline_Weeks*J369</f>
        <v>338</v>
      </c>
      <c r="L369" s="46" t="n">
        <f aca="false">SUMIFS(P$357:P368,$B$357:$B368,$B369-$D369)</f>
        <v>80</v>
      </c>
      <c r="M369" s="46" t="n">
        <f aca="false">S368+L369</f>
        <v>85</v>
      </c>
      <c r="N369" s="46" t="n">
        <f aca="false">SUMIFS(P$357:P368,$B$357:$B368,"&gt;"&amp;($B369-$D369))</f>
        <v>160</v>
      </c>
      <c r="O369" s="46" t="n">
        <f aca="false">M369+N369</f>
        <v>245</v>
      </c>
      <c r="P369" s="47" t="n">
        <f aca="false">IF(O369&lt;K369,ROUNDUP((K369-O369)/G369,0)*G369,0)</f>
        <v>100</v>
      </c>
      <c r="Q369" s="46" t="n">
        <f aca="false">MIN(M369,I369)</f>
        <v>59</v>
      </c>
      <c r="R369" s="46" t="n">
        <f aca="false">I369-Q369</f>
        <v>0</v>
      </c>
      <c r="S369" s="46" t="n">
        <f aca="false">M369-Q369</f>
        <v>26</v>
      </c>
      <c r="T369" s="46" t="n">
        <f aca="false">IF(R369&gt;0,1,0)</f>
        <v>0</v>
      </c>
      <c r="U369" s="32" t="n">
        <f aca="false">INDEX(Forecast!$AY$7:$AY$54,C369)</f>
        <v>2</v>
      </c>
      <c r="V369" s="33" t="n">
        <f aca="false">CHOOSE(U369,INDEX(Forecast_Walkforward!$D:$D,H369),INDEX(Forecast_Walkforward!$E:$E,H369),INDEX(Forecast_Walkforward!$F:$F,H369),INDEX(Forecast_Walkforward!$G:$G,H369))</f>
        <v>84.5</v>
      </c>
      <c r="W369" s="79" t="n">
        <f aca="false">INDEX(Forecast!$BA$7:$BA$54,C369)</f>
        <v>9.38876064011997</v>
      </c>
      <c r="X369" s="33" t="n">
        <f aca="false">Z_Value*W369*SQRT(D369)</f>
        <v>26.7482978974907</v>
      </c>
      <c r="Y369" s="33" t="n">
        <f aca="false">V369*D369+X369</f>
        <v>280.248297897491</v>
      </c>
      <c r="Z369" s="33" t="n">
        <f aca="false">SQRT((2*V369*Weeks_Per_Year*F369)/(E369*Holding_Rate))</f>
        <v>468.721665810319</v>
      </c>
      <c r="AA369" s="46" t="n">
        <f aca="false">ROUNDUP(Z369/G369,0)*G369</f>
        <v>480</v>
      </c>
      <c r="AB369" s="46" t="n">
        <f aca="false">SUMIFS(AF$357:AF368,$B$357:$B368,$B369-$D369)</f>
        <v>480</v>
      </c>
      <c r="AC369" s="46" t="n">
        <f aca="false">AI368+AB369</f>
        <v>480</v>
      </c>
      <c r="AD369" s="46" t="n">
        <f aca="false">SUMIFS(AF$357:AF368,$B$357:$B368,"&gt;"&amp;($B369-$D369))</f>
        <v>0</v>
      </c>
      <c r="AE369" s="46" t="n">
        <f aca="false">AC369+AD369</f>
        <v>480</v>
      </c>
      <c r="AF369" s="47" t="n">
        <f aca="false">IF(AE369&lt;=Y369,AA369,0)</f>
        <v>0</v>
      </c>
      <c r="AG369" s="46" t="n">
        <f aca="false">MIN(AC369,I369)</f>
        <v>59</v>
      </c>
      <c r="AH369" s="46" t="n">
        <f aca="false">I369-AG369</f>
        <v>0</v>
      </c>
      <c r="AI369" s="46" t="n">
        <f aca="false">AC369-AG369</f>
        <v>421</v>
      </c>
      <c r="AJ369" s="46" t="n">
        <f aca="false">IF(AH369&gt;0,1,0)</f>
        <v>0</v>
      </c>
    </row>
    <row r="370" customFormat="false" ht="15" hidden="false" customHeight="false" outlineLevel="0" collapsed="false">
      <c r="A370" s="31" t="str">
        <f aca="false">Inputs!$B$59</f>
        <v>BTH-010</v>
      </c>
      <c r="B370" s="46" t="n">
        <f aca="false">B369+1</f>
        <v>102</v>
      </c>
      <c r="C370" s="46" t="n">
        <f aca="false">MATCH(A370,Inputs!$B$40:$B$87,0)</f>
        <v>20</v>
      </c>
      <c r="D370" s="32" t="n">
        <f aca="false">INDEX(Inputs!$F$40:$F$87,C370)</f>
        <v>3</v>
      </c>
      <c r="E370" s="78" t="n">
        <f aca="false">INDEX(Inputs!$H$40:$H$87,C370)</f>
        <v>9</v>
      </c>
      <c r="F370" s="78" t="n">
        <f aca="false">INDEX(Inputs!$G$40:$G$87,C370)</f>
        <v>45</v>
      </c>
      <c r="G370" s="32" t="n">
        <f aca="false">INDEX(Inputs!$I$40:$I$87,C370)</f>
        <v>20</v>
      </c>
      <c r="H370" s="46" t="n">
        <f aca="false">MATCH(A370,Demand_History!$C:$C,0)+B370-1</f>
        <v>2079</v>
      </c>
      <c r="I370" s="32" t="n">
        <f aca="false">INDEX(Forecast_Walkforward!$C:$C,H370)</f>
        <v>87</v>
      </c>
      <c r="J370" s="79" t="n">
        <f aca="false">INDEX(Forecast_Walkforward!$E:$E,H370)</f>
        <v>79.75</v>
      </c>
      <c r="K370" s="33" t="n">
        <f aca="false">Baseline_Weeks*J370</f>
        <v>319</v>
      </c>
      <c r="L370" s="46" t="n">
        <f aca="false">SUMIFS(P$357:P369,$B$357:$B369,$B370-$D370)</f>
        <v>60</v>
      </c>
      <c r="M370" s="46" t="n">
        <f aca="false">S369+L370</f>
        <v>86</v>
      </c>
      <c r="N370" s="46" t="n">
        <f aca="false">SUMIFS(P$357:P369,$B$357:$B369,"&gt;"&amp;($B370-$D370))</f>
        <v>200</v>
      </c>
      <c r="O370" s="46" t="n">
        <f aca="false">M370+N370</f>
        <v>286</v>
      </c>
      <c r="P370" s="47" t="n">
        <f aca="false">IF(O370&lt;K370,ROUNDUP((K370-O370)/G370,0)*G370,0)</f>
        <v>40</v>
      </c>
      <c r="Q370" s="46" t="n">
        <f aca="false">MIN(M370,I370)</f>
        <v>86</v>
      </c>
      <c r="R370" s="46" t="n">
        <f aca="false">I370-Q370</f>
        <v>1</v>
      </c>
      <c r="S370" s="46" t="n">
        <f aca="false">M370-Q370</f>
        <v>0</v>
      </c>
      <c r="T370" s="46" t="n">
        <f aca="false">IF(R370&gt;0,1,0)</f>
        <v>1</v>
      </c>
      <c r="U370" s="32" t="n">
        <f aca="false">INDEX(Forecast!$AY$7:$AY$54,C370)</f>
        <v>2</v>
      </c>
      <c r="V370" s="33" t="n">
        <f aca="false">CHOOSE(U370,INDEX(Forecast_Walkforward!$D:$D,H370),INDEX(Forecast_Walkforward!$E:$E,H370),INDEX(Forecast_Walkforward!$F:$F,H370),INDEX(Forecast_Walkforward!$G:$G,H370))</f>
        <v>79.75</v>
      </c>
      <c r="W370" s="79" t="n">
        <f aca="false">INDEX(Forecast!$BA$7:$BA$54,C370)</f>
        <v>9.38876064011997</v>
      </c>
      <c r="X370" s="33" t="n">
        <f aca="false">Z_Value*W370*SQRT(D370)</f>
        <v>26.7482978974907</v>
      </c>
      <c r="Y370" s="33" t="n">
        <f aca="false">V370*D370+X370</f>
        <v>265.998297897491</v>
      </c>
      <c r="Z370" s="33" t="n">
        <f aca="false">SQRT((2*V370*Weeks_Per_Year*F370)/(E370*Holding_Rate))</f>
        <v>455.357002801099</v>
      </c>
      <c r="AA370" s="46" t="n">
        <f aca="false">ROUNDUP(Z370/G370,0)*G370</f>
        <v>460</v>
      </c>
      <c r="AB370" s="46" t="n">
        <f aca="false">SUMIFS(AF$357:AF369,$B$357:$B369,$B370-$D370)</f>
        <v>0</v>
      </c>
      <c r="AC370" s="46" t="n">
        <f aca="false">AI369+AB370</f>
        <v>421</v>
      </c>
      <c r="AD370" s="46" t="n">
        <f aca="false">SUMIFS(AF$357:AF369,$B$357:$B369,"&gt;"&amp;($B370-$D370))</f>
        <v>0</v>
      </c>
      <c r="AE370" s="46" t="n">
        <f aca="false">AC370+AD370</f>
        <v>421</v>
      </c>
      <c r="AF370" s="47" t="n">
        <f aca="false">IF(AE370&lt;=Y370,AA370,0)</f>
        <v>0</v>
      </c>
      <c r="AG370" s="46" t="n">
        <f aca="false">MIN(AC370,I370)</f>
        <v>87</v>
      </c>
      <c r="AH370" s="46" t="n">
        <f aca="false">I370-AG370</f>
        <v>0</v>
      </c>
      <c r="AI370" s="46" t="n">
        <f aca="false">AC370-AG370</f>
        <v>334</v>
      </c>
      <c r="AJ370" s="46" t="n">
        <f aca="false">IF(AH370&gt;0,1,0)</f>
        <v>0</v>
      </c>
    </row>
    <row r="371" customFormat="false" ht="15" hidden="false" customHeight="false" outlineLevel="0" collapsed="false">
      <c r="A371" s="31" t="str">
        <f aca="false">Inputs!$B$59</f>
        <v>BTH-010</v>
      </c>
      <c r="B371" s="46" t="n">
        <f aca="false">B370+1</f>
        <v>103</v>
      </c>
      <c r="C371" s="46" t="n">
        <f aca="false">MATCH(A371,Inputs!$B$40:$B$87,0)</f>
        <v>20</v>
      </c>
      <c r="D371" s="32" t="n">
        <f aca="false">INDEX(Inputs!$F$40:$F$87,C371)</f>
        <v>3</v>
      </c>
      <c r="E371" s="78" t="n">
        <f aca="false">INDEX(Inputs!$H$40:$H$87,C371)</f>
        <v>9</v>
      </c>
      <c r="F371" s="78" t="n">
        <f aca="false">INDEX(Inputs!$G$40:$G$87,C371)</f>
        <v>45</v>
      </c>
      <c r="G371" s="32" t="n">
        <f aca="false">INDEX(Inputs!$I$40:$I$87,C371)</f>
        <v>20</v>
      </c>
      <c r="H371" s="46" t="n">
        <f aca="false">MATCH(A371,Demand_History!$C:$C,0)+B371-1</f>
        <v>2080</v>
      </c>
      <c r="I371" s="32" t="n">
        <f aca="false">INDEX(Forecast_Walkforward!$C:$C,H371)</f>
        <v>66</v>
      </c>
      <c r="J371" s="79" t="n">
        <f aca="false">INDEX(Forecast_Walkforward!$E:$E,H371)</f>
        <v>80.5</v>
      </c>
      <c r="K371" s="33" t="n">
        <f aca="false">Baseline_Weeks*J371</f>
        <v>322</v>
      </c>
      <c r="L371" s="46" t="n">
        <f aca="false">SUMIFS(P$357:P370,$B$357:$B370,$B371-$D371)</f>
        <v>100</v>
      </c>
      <c r="M371" s="46" t="n">
        <f aca="false">S370+L371</f>
        <v>100</v>
      </c>
      <c r="N371" s="46" t="n">
        <f aca="false">SUMIFS(P$357:P370,$B$357:$B370,"&gt;"&amp;($B371-$D371))</f>
        <v>140</v>
      </c>
      <c r="O371" s="46" t="n">
        <f aca="false">M371+N371</f>
        <v>240</v>
      </c>
      <c r="P371" s="47" t="n">
        <f aca="false">IF(O371&lt;K371,ROUNDUP((K371-O371)/G371,0)*G371,0)</f>
        <v>100</v>
      </c>
      <c r="Q371" s="46" t="n">
        <f aca="false">MIN(M371,I371)</f>
        <v>66</v>
      </c>
      <c r="R371" s="46" t="n">
        <f aca="false">I371-Q371</f>
        <v>0</v>
      </c>
      <c r="S371" s="46" t="n">
        <f aca="false">M371-Q371</f>
        <v>34</v>
      </c>
      <c r="T371" s="46" t="n">
        <f aca="false">IF(R371&gt;0,1,0)</f>
        <v>0</v>
      </c>
      <c r="U371" s="32" t="n">
        <f aca="false">INDEX(Forecast!$AY$7:$AY$54,C371)</f>
        <v>2</v>
      </c>
      <c r="V371" s="33" t="n">
        <f aca="false">CHOOSE(U371,INDEX(Forecast_Walkforward!$D:$D,H371),INDEX(Forecast_Walkforward!$E:$E,H371),INDEX(Forecast_Walkforward!$F:$F,H371),INDEX(Forecast_Walkforward!$G:$G,H371))</f>
        <v>80.5</v>
      </c>
      <c r="W371" s="79" t="n">
        <f aca="false">INDEX(Forecast!$BA$7:$BA$54,C371)</f>
        <v>9.38876064011997</v>
      </c>
      <c r="X371" s="33" t="n">
        <f aca="false">Z_Value*W371*SQRT(D371)</f>
        <v>26.7482978974907</v>
      </c>
      <c r="Y371" s="33" t="n">
        <f aca="false">V371*D371+X371</f>
        <v>268.248297897491</v>
      </c>
      <c r="Z371" s="33" t="n">
        <f aca="false">SQRT((2*V371*Weeks_Per_Year*F371)/(E371*Holding_Rate))</f>
        <v>457.493169347915</v>
      </c>
      <c r="AA371" s="46" t="n">
        <f aca="false">ROUNDUP(Z371/G371,0)*G371</f>
        <v>460</v>
      </c>
      <c r="AB371" s="46" t="n">
        <f aca="false">SUMIFS(AF$357:AF370,$B$357:$B370,$B371-$D371)</f>
        <v>0</v>
      </c>
      <c r="AC371" s="46" t="n">
        <f aca="false">AI370+AB371</f>
        <v>334</v>
      </c>
      <c r="AD371" s="46" t="n">
        <f aca="false">SUMIFS(AF$357:AF370,$B$357:$B370,"&gt;"&amp;($B371-$D371))</f>
        <v>0</v>
      </c>
      <c r="AE371" s="46" t="n">
        <f aca="false">AC371+AD371</f>
        <v>334</v>
      </c>
      <c r="AF371" s="47" t="n">
        <f aca="false">IF(AE371&lt;=Y371,AA371,0)</f>
        <v>0</v>
      </c>
      <c r="AG371" s="46" t="n">
        <f aca="false">MIN(AC371,I371)</f>
        <v>66</v>
      </c>
      <c r="AH371" s="46" t="n">
        <f aca="false">I371-AG371</f>
        <v>0</v>
      </c>
      <c r="AI371" s="46" t="n">
        <f aca="false">AC371-AG371</f>
        <v>268</v>
      </c>
      <c r="AJ371" s="46" t="n">
        <f aca="false">IF(AH371&gt;0,1,0)</f>
        <v>0</v>
      </c>
    </row>
    <row r="372" customFormat="false" ht="15" hidden="false" customHeight="false" outlineLevel="0" collapsed="false">
      <c r="A372" s="80" t="str">
        <f aca="false">Inputs!$B$59</f>
        <v>BTH-010</v>
      </c>
      <c r="B372" s="81" t="n">
        <f aca="false">B371+1</f>
        <v>104</v>
      </c>
      <c r="C372" s="81" t="n">
        <f aca="false">MATCH(A372,Inputs!$B$40:$B$87,0)</f>
        <v>20</v>
      </c>
      <c r="D372" s="82" t="n">
        <f aca="false">INDEX(Inputs!$F$40:$F$87,C372)</f>
        <v>3</v>
      </c>
      <c r="E372" s="83" t="n">
        <f aca="false">INDEX(Inputs!$H$40:$H$87,C372)</f>
        <v>9</v>
      </c>
      <c r="F372" s="83" t="n">
        <f aca="false">INDEX(Inputs!$G$40:$G$87,C372)</f>
        <v>45</v>
      </c>
      <c r="G372" s="82" t="n">
        <f aca="false">INDEX(Inputs!$I$40:$I$87,C372)</f>
        <v>20</v>
      </c>
      <c r="H372" s="81" t="n">
        <f aca="false">MATCH(A372,Demand_History!$C:$C,0)+B372-1</f>
        <v>2081</v>
      </c>
      <c r="I372" s="82" t="n">
        <f aca="false">INDEX(Forecast_Walkforward!$C:$C,H372)</f>
        <v>98</v>
      </c>
      <c r="J372" s="84" t="n">
        <f aca="false">INDEX(Forecast_Walkforward!$E:$E,H372)</f>
        <v>76.25</v>
      </c>
      <c r="K372" s="85" t="n">
        <f aca="false">Baseline_Weeks*J372</f>
        <v>305</v>
      </c>
      <c r="L372" s="81" t="n">
        <f aca="false">SUMIFS(P$357:P371,$B$357:$B371,$B372-$D372)</f>
        <v>100</v>
      </c>
      <c r="M372" s="81" t="n">
        <f aca="false">S371+L372</f>
        <v>134</v>
      </c>
      <c r="N372" s="81" t="n">
        <f aca="false">SUMIFS(P$357:P371,$B$357:$B371,"&gt;"&amp;($B372-$D372))</f>
        <v>140</v>
      </c>
      <c r="O372" s="81" t="n">
        <f aca="false">M372+N372</f>
        <v>274</v>
      </c>
      <c r="P372" s="86" t="n">
        <f aca="false">IF(O372&lt;K372,ROUNDUP((K372-O372)/G372,0)*G372,0)</f>
        <v>40</v>
      </c>
      <c r="Q372" s="81" t="n">
        <f aca="false">MIN(M372,I372)</f>
        <v>98</v>
      </c>
      <c r="R372" s="81" t="n">
        <f aca="false">I372-Q372</f>
        <v>0</v>
      </c>
      <c r="S372" s="81" t="n">
        <f aca="false">M372-Q372</f>
        <v>36</v>
      </c>
      <c r="T372" s="81" t="n">
        <f aca="false">IF(R372&gt;0,1,0)</f>
        <v>0</v>
      </c>
      <c r="U372" s="82" t="n">
        <f aca="false">INDEX(Forecast!$AY$7:$AY$54,C372)</f>
        <v>2</v>
      </c>
      <c r="V372" s="85" t="n">
        <f aca="false">CHOOSE(U372,INDEX(Forecast_Walkforward!$D:$D,H372),INDEX(Forecast_Walkforward!$E:$E,H372),INDEX(Forecast_Walkforward!$F:$F,H372),INDEX(Forecast_Walkforward!$G:$G,H372))</f>
        <v>76.25</v>
      </c>
      <c r="W372" s="84" t="n">
        <f aca="false">INDEX(Forecast!$BA$7:$BA$54,C372)</f>
        <v>9.38876064011997</v>
      </c>
      <c r="X372" s="85" t="n">
        <f aca="false">Z_Value*W372*SQRT(D372)</f>
        <v>26.7482978974907</v>
      </c>
      <c r="Y372" s="85" t="n">
        <f aca="false">V372*D372+X372</f>
        <v>255.498297897491</v>
      </c>
      <c r="Z372" s="85" t="n">
        <f aca="false">SQRT((2*V372*Weeks_Per_Year*F372)/(E372*Holding_Rate))</f>
        <v>445.252737217864</v>
      </c>
      <c r="AA372" s="81" t="n">
        <f aca="false">ROUNDUP(Z372/G372,0)*G372</f>
        <v>460</v>
      </c>
      <c r="AB372" s="81" t="n">
        <f aca="false">SUMIFS(AF$357:AF371,$B$357:$B371,$B372-$D372)</f>
        <v>0</v>
      </c>
      <c r="AC372" s="81" t="n">
        <f aca="false">AI371+AB372</f>
        <v>268</v>
      </c>
      <c r="AD372" s="81" t="n">
        <f aca="false">SUMIFS(AF$357:AF371,$B$357:$B371,"&gt;"&amp;($B372-$D372))</f>
        <v>0</v>
      </c>
      <c r="AE372" s="81" t="n">
        <f aca="false">AC372+AD372</f>
        <v>268</v>
      </c>
      <c r="AF372" s="86" t="n">
        <f aca="false">IF(AE372&lt;=Y372,AA372,0)</f>
        <v>0</v>
      </c>
      <c r="AG372" s="81" t="n">
        <f aca="false">MIN(AC372,I372)</f>
        <v>98</v>
      </c>
      <c r="AH372" s="81" t="n">
        <f aca="false">I372-AG372</f>
        <v>0</v>
      </c>
      <c r="AI372" s="81" t="n">
        <f aca="false">AC372-AG372</f>
        <v>170</v>
      </c>
      <c r="AJ372" s="81" t="n">
        <f aca="false">IF(AH372&gt;0,1,0)</f>
        <v>0</v>
      </c>
    </row>
    <row r="373" customFormat="false" ht="15" hidden="false" customHeight="false" outlineLevel="0" collapsed="false">
      <c r="A373" s="31" t="str">
        <f aca="false">Inputs!$B$60</f>
        <v>BED-001</v>
      </c>
      <c r="B373" s="46" t="n">
        <f aca="false">BT_Start_Week</f>
        <v>89</v>
      </c>
      <c r="C373" s="46" t="n">
        <f aca="false">MATCH(A373,Inputs!$B$40:$B$87,0)</f>
        <v>21</v>
      </c>
      <c r="D373" s="32" t="n">
        <f aca="false">INDEX(Inputs!$F$40:$F$87,C373)</f>
        <v>4</v>
      </c>
      <c r="E373" s="78" t="n">
        <f aca="false">INDEX(Inputs!$H$40:$H$87,C373)</f>
        <v>45</v>
      </c>
      <c r="F373" s="78" t="n">
        <f aca="false">INDEX(Inputs!$G$40:$G$87,C373)</f>
        <v>55</v>
      </c>
      <c r="G373" s="32" t="n">
        <f aca="false">INDEX(Inputs!$I$40:$I$87,C373)</f>
        <v>4</v>
      </c>
      <c r="H373" s="46" t="n">
        <f aca="false">MATCH(A373,Demand_History!$C:$C,0)+B373-1</f>
        <v>2170</v>
      </c>
      <c r="I373" s="32" t="n">
        <f aca="false">INDEX(Forecast_Walkforward!$C:$C,H373)</f>
        <v>28</v>
      </c>
      <c r="J373" s="79" t="n">
        <f aca="false">INDEX(Forecast_Walkforward!$E:$E,H373)</f>
        <v>39</v>
      </c>
      <c r="K373" s="33" t="n">
        <f aca="false">Baseline_Weeks*J373</f>
        <v>156</v>
      </c>
      <c r="L373" s="46" t="n">
        <f aca="false">0</f>
        <v>0</v>
      </c>
      <c r="M373" s="46" t="n">
        <f aca="false">ROUND(BT_Open_Cover*INDEX(Forecast_Walkforward!$F:$F,H373),0)+L373</f>
        <v>238</v>
      </c>
      <c r="N373" s="46" t="n">
        <f aca="false">0</f>
        <v>0</v>
      </c>
      <c r="O373" s="46" t="n">
        <f aca="false">M373+N373</f>
        <v>238</v>
      </c>
      <c r="P373" s="47" t="n">
        <f aca="false">IF(O373&lt;K373,ROUNDUP((K373-O373)/G373,0)*G373,0)</f>
        <v>0</v>
      </c>
      <c r="Q373" s="46" t="n">
        <f aca="false">MIN(M373,I373)</f>
        <v>28</v>
      </c>
      <c r="R373" s="46" t="n">
        <f aca="false">I373-Q373</f>
        <v>0</v>
      </c>
      <c r="S373" s="46" t="n">
        <f aca="false">M373-Q373</f>
        <v>210</v>
      </c>
      <c r="T373" s="46" t="n">
        <f aca="false">IF(R373&gt;0,1,0)</f>
        <v>0</v>
      </c>
      <c r="U373" s="32" t="n">
        <f aca="false">INDEX(Forecast!$AY$7:$AY$54,C373)</f>
        <v>2</v>
      </c>
      <c r="V373" s="33" t="n">
        <f aca="false">CHOOSE(U373,INDEX(Forecast_Walkforward!$D:$D,H373),INDEX(Forecast_Walkforward!$E:$E,H373),INDEX(Forecast_Walkforward!$F:$F,H373),INDEX(Forecast_Walkforward!$G:$G,H373))</f>
        <v>39</v>
      </c>
      <c r="W373" s="79" t="n">
        <f aca="false">INDEX(Forecast!$BA$7:$BA$54,C373)</f>
        <v>5.8761150702016</v>
      </c>
      <c r="X373" s="33" t="n">
        <f aca="false">Z_Value*W373*SQRT(D373)</f>
        <v>19.3306983712106</v>
      </c>
      <c r="Y373" s="33" t="n">
        <f aca="false">V373*D373+X373</f>
        <v>175.330698371211</v>
      </c>
      <c r="Z373" s="33" t="n">
        <f aca="false">SQRT((2*V373*Weeks_Per_Year*F373)/(E373*Holding_Rate))</f>
        <v>157.43781841307</v>
      </c>
      <c r="AA373" s="46" t="n">
        <f aca="false">ROUNDUP(Z373/G373,0)*G373</f>
        <v>160</v>
      </c>
      <c r="AB373" s="46" t="n">
        <f aca="false">0</f>
        <v>0</v>
      </c>
      <c r="AC373" s="46" t="n">
        <f aca="false">ROUND(BT_Open_Cover*INDEX(Forecast_Walkforward!$F:$F,H373),0)+AB373</f>
        <v>238</v>
      </c>
      <c r="AD373" s="46" t="n">
        <f aca="false">0</f>
        <v>0</v>
      </c>
      <c r="AE373" s="46" t="n">
        <f aca="false">AC373+AD373</f>
        <v>238</v>
      </c>
      <c r="AF373" s="47" t="n">
        <f aca="false">IF(AE373&lt;=Y373,AA373,0)</f>
        <v>0</v>
      </c>
      <c r="AG373" s="46" t="n">
        <f aca="false">MIN(AC373,I373)</f>
        <v>28</v>
      </c>
      <c r="AH373" s="46" t="n">
        <f aca="false">I373-AG373</f>
        <v>0</v>
      </c>
      <c r="AI373" s="46" t="n">
        <f aca="false">AC373-AG373</f>
        <v>210</v>
      </c>
      <c r="AJ373" s="46" t="n">
        <f aca="false">IF(AH373&gt;0,1,0)</f>
        <v>0</v>
      </c>
    </row>
    <row r="374" customFormat="false" ht="15" hidden="false" customHeight="false" outlineLevel="0" collapsed="false">
      <c r="A374" s="31" t="str">
        <f aca="false">Inputs!$B$60</f>
        <v>BED-001</v>
      </c>
      <c r="B374" s="46" t="n">
        <f aca="false">B373+1</f>
        <v>90</v>
      </c>
      <c r="C374" s="46" t="n">
        <f aca="false">MATCH(A374,Inputs!$B$40:$B$87,0)</f>
        <v>21</v>
      </c>
      <c r="D374" s="32" t="n">
        <f aca="false">INDEX(Inputs!$F$40:$F$87,C374)</f>
        <v>4</v>
      </c>
      <c r="E374" s="78" t="n">
        <f aca="false">INDEX(Inputs!$H$40:$H$87,C374)</f>
        <v>45</v>
      </c>
      <c r="F374" s="78" t="n">
        <f aca="false">INDEX(Inputs!$G$40:$G$87,C374)</f>
        <v>55</v>
      </c>
      <c r="G374" s="32" t="n">
        <f aca="false">INDEX(Inputs!$I$40:$I$87,C374)</f>
        <v>4</v>
      </c>
      <c r="H374" s="46" t="n">
        <f aca="false">MATCH(A374,Demand_History!$C:$C,0)+B374-1</f>
        <v>2171</v>
      </c>
      <c r="I374" s="32" t="n">
        <f aca="false">INDEX(Forecast_Walkforward!$C:$C,H374)</f>
        <v>35</v>
      </c>
      <c r="J374" s="79" t="n">
        <f aca="false">INDEX(Forecast_Walkforward!$E:$E,H374)</f>
        <v>35.5</v>
      </c>
      <c r="K374" s="33" t="n">
        <f aca="false">Baseline_Weeks*J374</f>
        <v>142</v>
      </c>
      <c r="L374" s="46" t="n">
        <f aca="false">SUMIFS(P$373:P373,$B$373:$B373,$B374-$D374)</f>
        <v>0</v>
      </c>
      <c r="M374" s="46" t="n">
        <f aca="false">S373+L374</f>
        <v>210</v>
      </c>
      <c r="N374" s="46" t="n">
        <f aca="false">SUMIFS(P$373:P373,$B$373:$B373,"&gt;"&amp;($B374-$D374))</f>
        <v>0</v>
      </c>
      <c r="O374" s="46" t="n">
        <f aca="false">M374+N374</f>
        <v>210</v>
      </c>
      <c r="P374" s="47" t="n">
        <f aca="false">IF(O374&lt;K374,ROUNDUP((K374-O374)/G374,0)*G374,0)</f>
        <v>0</v>
      </c>
      <c r="Q374" s="46" t="n">
        <f aca="false">MIN(M374,I374)</f>
        <v>35</v>
      </c>
      <c r="R374" s="46" t="n">
        <f aca="false">I374-Q374</f>
        <v>0</v>
      </c>
      <c r="S374" s="46" t="n">
        <f aca="false">M374-Q374</f>
        <v>175</v>
      </c>
      <c r="T374" s="46" t="n">
        <f aca="false">IF(R374&gt;0,1,0)</f>
        <v>0</v>
      </c>
      <c r="U374" s="32" t="n">
        <f aca="false">INDEX(Forecast!$AY$7:$AY$54,C374)</f>
        <v>2</v>
      </c>
      <c r="V374" s="33" t="n">
        <f aca="false">CHOOSE(U374,INDEX(Forecast_Walkforward!$D:$D,H374),INDEX(Forecast_Walkforward!$E:$E,H374),INDEX(Forecast_Walkforward!$F:$F,H374),INDEX(Forecast_Walkforward!$G:$G,H374))</f>
        <v>35.5</v>
      </c>
      <c r="W374" s="79" t="n">
        <f aca="false">INDEX(Forecast!$BA$7:$BA$54,C374)</f>
        <v>5.8761150702016</v>
      </c>
      <c r="X374" s="33" t="n">
        <f aca="false">Z_Value*W374*SQRT(D374)</f>
        <v>19.3306983712106</v>
      </c>
      <c r="Y374" s="33" t="n">
        <f aca="false">V374*D374+X374</f>
        <v>161.330698371211</v>
      </c>
      <c r="Z374" s="33" t="n">
        <f aca="false">SQRT((2*V374*Weeks_Per_Year*F374)/(E374*Holding_Rate))</f>
        <v>150.207264212561</v>
      </c>
      <c r="AA374" s="46" t="n">
        <f aca="false">ROUNDUP(Z374/G374,0)*G374</f>
        <v>152</v>
      </c>
      <c r="AB374" s="46" t="n">
        <f aca="false">SUMIFS(AF$373:AF373,$B$373:$B373,$B374-$D374)</f>
        <v>0</v>
      </c>
      <c r="AC374" s="46" t="n">
        <f aca="false">AI373+AB374</f>
        <v>210</v>
      </c>
      <c r="AD374" s="46" t="n">
        <f aca="false">SUMIFS(AF$373:AF373,$B$373:$B373,"&gt;"&amp;($B374-$D374))</f>
        <v>0</v>
      </c>
      <c r="AE374" s="46" t="n">
        <f aca="false">AC374+AD374</f>
        <v>210</v>
      </c>
      <c r="AF374" s="47" t="n">
        <f aca="false">IF(AE374&lt;=Y374,AA374,0)</f>
        <v>0</v>
      </c>
      <c r="AG374" s="46" t="n">
        <f aca="false">MIN(AC374,I374)</f>
        <v>35</v>
      </c>
      <c r="AH374" s="46" t="n">
        <f aca="false">I374-AG374</f>
        <v>0</v>
      </c>
      <c r="AI374" s="46" t="n">
        <f aca="false">AC374-AG374</f>
        <v>175</v>
      </c>
      <c r="AJ374" s="46" t="n">
        <f aca="false">IF(AH374&gt;0,1,0)</f>
        <v>0</v>
      </c>
    </row>
    <row r="375" customFormat="false" ht="15" hidden="false" customHeight="false" outlineLevel="0" collapsed="false">
      <c r="A375" s="31" t="str">
        <f aca="false">Inputs!$B$60</f>
        <v>BED-001</v>
      </c>
      <c r="B375" s="46" t="n">
        <f aca="false">B374+1</f>
        <v>91</v>
      </c>
      <c r="C375" s="46" t="n">
        <f aca="false">MATCH(A375,Inputs!$B$40:$B$87,0)</f>
        <v>21</v>
      </c>
      <c r="D375" s="32" t="n">
        <f aca="false">INDEX(Inputs!$F$40:$F$87,C375)</f>
        <v>4</v>
      </c>
      <c r="E375" s="78" t="n">
        <f aca="false">INDEX(Inputs!$H$40:$H$87,C375)</f>
        <v>45</v>
      </c>
      <c r="F375" s="78" t="n">
        <f aca="false">INDEX(Inputs!$G$40:$G$87,C375)</f>
        <v>55</v>
      </c>
      <c r="G375" s="32" t="n">
        <f aca="false">INDEX(Inputs!$I$40:$I$87,C375)</f>
        <v>4</v>
      </c>
      <c r="H375" s="46" t="n">
        <f aca="false">MATCH(A375,Demand_History!$C:$C,0)+B375-1</f>
        <v>2172</v>
      </c>
      <c r="I375" s="32" t="n">
        <f aca="false">INDEX(Forecast_Walkforward!$C:$C,H375)</f>
        <v>30</v>
      </c>
      <c r="J375" s="79" t="n">
        <f aca="false">INDEX(Forecast_Walkforward!$E:$E,H375)</f>
        <v>33.75</v>
      </c>
      <c r="K375" s="33" t="n">
        <f aca="false">Baseline_Weeks*J375</f>
        <v>135</v>
      </c>
      <c r="L375" s="46" t="n">
        <f aca="false">SUMIFS(P$373:P374,$B$373:$B374,$B375-$D375)</f>
        <v>0</v>
      </c>
      <c r="M375" s="46" t="n">
        <f aca="false">S374+L375</f>
        <v>175</v>
      </c>
      <c r="N375" s="46" t="n">
        <f aca="false">SUMIFS(P$373:P374,$B$373:$B374,"&gt;"&amp;($B375-$D375))</f>
        <v>0</v>
      </c>
      <c r="O375" s="46" t="n">
        <f aca="false">M375+N375</f>
        <v>175</v>
      </c>
      <c r="P375" s="47" t="n">
        <f aca="false">IF(O375&lt;K375,ROUNDUP((K375-O375)/G375,0)*G375,0)</f>
        <v>0</v>
      </c>
      <c r="Q375" s="46" t="n">
        <f aca="false">MIN(M375,I375)</f>
        <v>30</v>
      </c>
      <c r="R375" s="46" t="n">
        <f aca="false">I375-Q375</f>
        <v>0</v>
      </c>
      <c r="S375" s="46" t="n">
        <f aca="false">M375-Q375</f>
        <v>145</v>
      </c>
      <c r="T375" s="46" t="n">
        <f aca="false">IF(R375&gt;0,1,0)</f>
        <v>0</v>
      </c>
      <c r="U375" s="32" t="n">
        <f aca="false">INDEX(Forecast!$AY$7:$AY$54,C375)</f>
        <v>2</v>
      </c>
      <c r="V375" s="33" t="n">
        <f aca="false">CHOOSE(U375,INDEX(Forecast_Walkforward!$D:$D,H375),INDEX(Forecast_Walkforward!$E:$E,H375),INDEX(Forecast_Walkforward!$F:$F,H375),INDEX(Forecast_Walkforward!$G:$G,H375))</f>
        <v>33.75</v>
      </c>
      <c r="W375" s="79" t="n">
        <f aca="false">INDEX(Forecast!$BA$7:$BA$54,C375)</f>
        <v>5.8761150702016</v>
      </c>
      <c r="X375" s="33" t="n">
        <f aca="false">Z_Value*W375*SQRT(D375)</f>
        <v>19.3306983712106</v>
      </c>
      <c r="Y375" s="33" t="n">
        <f aca="false">V375*D375+X375</f>
        <v>154.330698371211</v>
      </c>
      <c r="Z375" s="33" t="n">
        <f aca="false">SQRT((2*V375*Weeks_Per_Year*F375)/(E375*Holding_Rate))</f>
        <v>146.458185158768</v>
      </c>
      <c r="AA375" s="46" t="n">
        <f aca="false">ROUNDUP(Z375/G375,0)*G375</f>
        <v>148</v>
      </c>
      <c r="AB375" s="46" t="n">
        <f aca="false">SUMIFS(AF$373:AF374,$B$373:$B374,$B375-$D375)</f>
        <v>0</v>
      </c>
      <c r="AC375" s="46" t="n">
        <f aca="false">AI374+AB375</f>
        <v>175</v>
      </c>
      <c r="AD375" s="46" t="n">
        <f aca="false">SUMIFS(AF$373:AF374,$B$373:$B374,"&gt;"&amp;($B375-$D375))</f>
        <v>0</v>
      </c>
      <c r="AE375" s="46" t="n">
        <f aca="false">AC375+AD375</f>
        <v>175</v>
      </c>
      <c r="AF375" s="47" t="n">
        <f aca="false">IF(AE375&lt;=Y375,AA375,0)</f>
        <v>0</v>
      </c>
      <c r="AG375" s="46" t="n">
        <f aca="false">MIN(AC375,I375)</f>
        <v>30</v>
      </c>
      <c r="AH375" s="46" t="n">
        <f aca="false">I375-AG375</f>
        <v>0</v>
      </c>
      <c r="AI375" s="46" t="n">
        <f aca="false">AC375-AG375</f>
        <v>145</v>
      </c>
      <c r="AJ375" s="46" t="n">
        <f aca="false">IF(AH375&gt;0,1,0)</f>
        <v>0</v>
      </c>
    </row>
    <row r="376" customFormat="false" ht="15" hidden="false" customHeight="false" outlineLevel="0" collapsed="false">
      <c r="A376" s="31" t="str">
        <f aca="false">Inputs!$B$60</f>
        <v>BED-001</v>
      </c>
      <c r="B376" s="46" t="n">
        <f aca="false">B375+1</f>
        <v>92</v>
      </c>
      <c r="C376" s="46" t="n">
        <f aca="false">MATCH(A376,Inputs!$B$40:$B$87,0)</f>
        <v>21</v>
      </c>
      <c r="D376" s="32" t="n">
        <f aca="false">INDEX(Inputs!$F$40:$F$87,C376)</f>
        <v>4</v>
      </c>
      <c r="E376" s="78" t="n">
        <f aca="false">INDEX(Inputs!$H$40:$H$87,C376)</f>
        <v>45</v>
      </c>
      <c r="F376" s="78" t="n">
        <f aca="false">INDEX(Inputs!$G$40:$G$87,C376)</f>
        <v>55</v>
      </c>
      <c r="G376" s="32" t="n">
        <f aca="false">INDEX(Inputs!$I$40:$I$87,C376)</f>
        <v>4</v>
      </c>
      <c r="H376" s="46" t="n">
        <f aca="false">MATCH(A376,Demand_History!$C:$C,0)+B376-1</f>
        <v>2173</v>
      </c>
      <c r="I376" s="32" t="n">
        <f aca="false">INDEX(Forecast_Walkforward!$C:$C,H376)</f>
        <v>42</v>
      </c>
      <c r="J376" s="79" t="n">
        <f aca="false">INDEX(Forecast_Walkforward!$E:$E,H376)</f>
        <v>32.5</v>
      </c>
      <c r="K376" s="33" t="n">
        <f aca="false">Baseline_Weeks*J376</f>
        <v>130</v>
      </c>
      <c r="L376" s="46" t="n">
        <f aca="false">SUMIFS(P$373:P375,$B$373:$B375,$B376-$D376)</f>
        <v>0</v>
      </c>
      <c r="M376" s="46" t="n">
        <f aca="false">S375+L376</f>
        <v>145</v>
      </c>
      <c r="N376" s="46" t="n">
        <f aca="false">SUMIFS(P$373:P375,$B$373:$B375,"&gt;"&amp;($B376-$D376))</f>
        <v>0</v>
      </c>
      <c r="O376" s="46" t="n">
        <f aca="false">M376+N376</f>
        <v>145</v>
      </c>
      <c r="P376" s="47" t="n">
        <f aca="false">IF(O376&lt;K376,ROUNDUP((K376-O376)/G376,0)*G376,0)</f>
        <v>0</v>
      </c>
      <c r="Q376" s="46" t="n">
        <f aca="false">MIN(M376,I376)</f>
        <v>42</v>
      </c>
      <c r="R376" s="46" t="n">
        <f aca="false">I376-Q376</f>
        <v>0</v>
      </c>
      <c r="S376" s="46" t="n">
        <f aca="false">M376-Q376</f>
        <v>103</v>
      </c>
      <c r="T376" s="46" t="n">
        <f aca="false">IF(R376&gt;0,1,0)</f>
        <v>0</v>
      </c>
      <c r="U376" s="32" t="n">
        <f aca="false">INDEX(Forecast!$AY$7:$AY$54,C376)</f>
        <v>2</v>
      </c>
      <c r="V376" s="33" t="n">
        <f aca="false">CHOOSE(U376,INDEX(Forecast_Walkforward!$D:$D,H376),INDEX(Forecast_Walkforward!$E:$E,H376),INDEX(Forecast_Walkforward!$F:$F,H376),INDEX(Forecast_Walkforward!$G:$G,H376))</f>
        <v>32.5</v>
      </c>
      <c r="W376" s="79" t="n">
        <f aca="false">INDEX(Forecast!$BA$7:$BA$54,C376)</f>
        <v>5.8761150702016</v>
      </c>
      <c r="X376" s="33" t="n">
        <f aca="false">Z_Value*W376*SQRT(D376)</f>
        <v>19.3306983712106</v>
      </c>
      <c r="Y376" s="33" t="n">
        <f aca="false">V376*D376+X376</f>
        <v>149.330698371211</v>
      </c>
      <c r="Z376" s="33" t="n">
        <f aca="false">SQRT((2*V376*Weeks_Per_Year*F376)/(E376*Holding_Rate))</f>
        <v>143.720407582067</v>
      </c>
      <c r="AA376" s="46" t="n">
        <f aca="false">ROUNDUP(Z376/G376,0)*G376</f>
        <v>144</v>
      </c>
      <c r="AB376" s="46" t="n">
        <f aca="false">SUMIFS(AF$373:AF375,$B$373:$B375,$B376-$D376)</f>
        <v>0</v>
      </c>
      <c r="AC376" s="46" t="n">
        <f aca="false">AI375+AB376</f>
        <v>145</v>
      </c>
      <c r="AD376" s="46" t="n">
        <f aca="false">SUMIFS(AF$373:AF375,$B$373:$B375,"&gt;"&amp;($B376-$D376))</f>
        <v>0</v>
      </c>
      <c r="AE376" s="46" t="n">
        <f aca="false">AC376+AD376</f>
        <v>145</v>
      </c>
      <c r="AF376" s="47" t="n">
        <f aca="false">IF(AE376&lt;=Y376,AA376,0)</f>
        <v>144</v>
      </c>
      <c r="AG376" s="46" t="n">
        <f aca="false">MIN(AC376,I376)</f>
        <v>42</v>
      </c>
      <c r="AH376" s="46" t="n">
        <f aca="false">I376-AG376</f>
        <v>0</v>
      </c>
      <c r="AI376" s="46" t="n">
        <f aca="false">AC376-AG376</f>
        <v>103</v>
      </c>
      <c r="AJ376" s="46" t="n">
        <f aca="false">IF(AH376&gt;0,1,0)</f>
        <v>0</v>
      </c>
    </row>
    <row r="377" customFormat="false" ht="15" hidden="false" customHeight="false" outlineLevel="0" collapsed="false">
      <c r="A377" s="31" t="str">
        <f aca="false">Inputs!$B$60</f>
        <v>BED-001</v>
      </c>
      <c r="B377" s="46" t="n">
        <f aca="false">B376+1</f>
        <v>93</v>
      </c>
      <c r="C377" s="46" t="n">
        <f aca="false">MATCH(A377,Inputs!$B$40:$B$87,0)</f>
        <v>21</v>
      </c>
      <c r="D377" s="32" t="n">
        <f aca="false">INDEX(Inputs!$F$40:$F$87,C377)</f>
        <v>4</v>
      </c>
      <c r="E377" s="78" t="n">
        <f aca="false">INDEX(Inputs!$H$40:$H$87,C377)</f>
        <v>45</v>
      </c>
      <c r="F377" s="78" t="n">
        <f aca="false">INDEX(Inputs!$G$40:$G$87,C377)</f>
        <v>55</v>
      </c>
      <c r="G377" s="32" t="n">
        <f aca="false">INDEX(Inputs!$I$40:$I$87,C377)</f>
        <v>4</v>
      </c>
      <c r="H377" s="46" t="n">
        <f aca="false">MATCH(A377,Demand_History!$C:$C,0)+B377-1</f>
        <v>2174</v>
      </c>
      <c r="I377" s="32" t="n">
        <f aca="false">INDEX(Forecast_Walkforward!$C:$C,H377)</f>
        <v>40</v>
      </c>
      <c r="J377" s="79" t="n">
        <f aca="false">INDEX(Forecast_Walkforward!$E:$E,H377)</f>
        <v>33.75</v>
      </c>
      <c r="K377" s="33" t="n">
        <f aca="false">Baseline_Weeks*J377</f>
        <v>135</v>
      </c>
      <c r="L377" s="46" t="n">
        <f aca="false">SUMIFS(P$373:P376,$B$373:$B376,$B377-$D377)</f>
        <v>0</v>
      </c>
      <c r="M377" s="46" t="n">
        <f aca="false">S376+L377</f>
        <v>103</v>
      </c>
      <c r="N377" s="46" t="n">
        <f aca="false">SUMIFS(P$373:P376,$B$373:$B376,"&gt;"&amp;($B377-$D377))</f>
        <v>0</v>
      </c>
      <c r="O377" s="46" t="n">
        <f aca="false">M377+N377</f>
        <v>103</v>
      </c>
      <c r="P377" s="47" t="n">
        <f aca="false">IF(O377&lt;K377,ROUNDUP((K377-O377)/G377,0)*G377,0)</f>
        <v>32</v>
      </c>
      <c r="Q377" s="46" t="n">
        <f aca="false">MIN(M377,I377)</f>
        <v>40</v>
      </c>
      <c r="R377" s="46" t="n">
        <f aca="false">I377-Q377</f>
        <v>0</v>
      </c>
      <c r="S377" s="46" t="n">
        <f aca="false">M377-Q377</f>
        <v>63</v>
      </c>
      <c r="T377" s="46" t="n">
        <f aca="false">IF(R377&gt;0,1,0)</f>
        <v>0</v>
      </c>
      <c r="U377" s="32" t="n">
        <f aca="false">INDEX(Forecast!$AY$7:$AY$54,C377)</f>
        <v>2</v>
      </c>
      <c r="V377" s="33" t="n">
        <f aca="false">CHOOSE(U377,INDEX(Forecast_Walkforward!$D:$D,H377),INDEX(Forecast_Walkforward!$E:$E,H377),INDEX(Forecast_Walkforward!$F:$F,H377),INDEX(Forecast_Walkforward!$G:$G,H377))</f>
        <v>33.75</v>
      </c>
      <c r="W377" s="79" t="n">
        <f aca="false">INDEX(Forecast!$BA$7:$BA$54,C377)</f>
        <v>5.8761150702016</v>
      </c>
      <c r="X377" s="33" t="n">
        <f aca="false">Z_Value*W377*SQRT(D377)</f>
        <v>19.3306983712106</v>
      </c>
      <c r="Y377" s="33" t="n">
        <f aca="false">V377*D377+X377</f>
        <v>154.330698371211</v>
      </c>
      <c r="Z377" s="33" t="n">
        <f aca="false">SQRT((2*V377*Weeks_Per_Year*F377)/(E377*Holding_Rate))</f>
        <v>146.458185158768</v>
      </c>
      <c r="AA377" s="46" t="n">
        <f aca="false">ROUNDUP(Z377/G377,0)*G377</f>
        <v>148</v>
      </c>
      <c r="AB377" s="46" t="n">
        <f aca="false">SUMIFS(AF$373:AF376,$B$373:$B376,$B377-$D377)</f>
        <v>0</v>
      </c>
      <c r="AC377" s="46" t="n">
        <f aca="false">AI376+AB377</f>
        <v>103</v>
      </c>
      <c r="AD377" s="46" t="n">
        <f aca="false">SUMIFS(AF$373:AF376,$B$373:$B376,"&gt;"&amp;($B377-$D377))</f>
        <v>144</v>
      </c>
      <c r="AE377" s="46" t="n">
        <f aca="false">AC377+AD377</f>
        <v>247</v>
      </c>
      <c r="AF377" s="47" t="n">
        <f aca="false">IF(AE377&lt;=Y377,AA377,0)</f>
        <v>0</v>
      </c>
      <c r="AG377" s="46" t="n">
        <f aca="false">MIN(AC377,I377)</f>
        <v>40</v>
      </c>
      <c r="AH377" s="46" t="n">
        <f aca="false">I377-AG377</f>
        <v>0</v>
      </c>
      <c r="AI377" s="46" t="n">
        <f aca="false">AC377-AG377</f>
        <v>63</v>
      </c>
      <c r="AJ377" s="46" t="n">
        <f aca="false">IF(AH377&gt;0,1,0)</f>
        <v>0</v>
      </c>
    </row>
    <row r="378" customFormat="false" ht="15" hidden="false" customHeight="false" outlineLevel="0" collapsed="false">
      <c r="A378" s="31" t="str">
        <f aca="false">Inputs!$B$60</f>
        <v>BED-001</v>
      </c>
      <c r="B378" s="46" t="n">
        <f aca="false">B377+1</f>
        <v>94</v>
      </c>
      <c r="C378" s="46" t="n">
        <f aca="false">MATCH(A378,Inputs!$B$40:$B$87,0)</f>
        <v>21</v>
      </c>
      <c r="D378" s="32" t="n">
        <f aca="false">INDEX(Inputs!$F$40:$F$87,C378)</f>
        <v>4</v>
      </c>
      <c r="E378" s="78" t="n">
        <f aca="false">INDEX(Inputs!$H$40:$H$87,C378)</f>
        <v>45</v>
      </c>
      <c r="F378" s="78" t="n">
        <f aca="false">INDEX(Inputs!$G$40:$G$87,C378)</f>
        <v>55</v>
      </c>
      <c r="G378" s="32" t="n">
        <f aca="false">INDEX(Inputs!$I$40:$I$87,C378)</f>
        <v>4</v>
      </c>
      <c r="H378" s="46" t="n">
        <f aca="false">MATCH(A378,Demand_History!$C:$C,0)+B378-1</f>
        <v>2175</v>
      </c>
      <c r="I378" s="32" t="n">
        <f aca="false">INDEX(Forecast_Walkforward!$C:$C,H378)</f>
        <v>45</v>
      </c>
      <c r="J378" s="79" t="n">
        <f aca="false">INDEX(Forecast_Walkforward!$E:$E,H378)</f>
        <v>36.75</v>
      </c>
      <c r="K378" s="33" t="n">
        <f aca="false">Baseline_Weeks*J378</f>
        <v>147</v>
      </c>
      <c r="L378" s="46" t="n">
        <f aca="false">SUMIFS(P$373:P377,$B$373:$B377,$B378-$D378)</f>
        <v>0</v>
      </c>
      <c r="M378" s="46" t="n">
        <f aca="false">S377+L378</f>
        <v>63</v>
      </c>
      <c r="N378" s="46" t="n">
        <f aca="false">SUMIFS(P$373:P377,$B$373:$B377,"&gt;"&amp;($B378-$D378))</f>
        <v>32</v>
      </c>
      <c r="O378" s="46" t="n">
        <f aca="false">M378+N378</f>
        <v>95</v>
      </c>
      <c r="P378" s="47" t="n">
        <f aca="false">IF(O378&lt;K378,ROUNDUP((K378-O378)/G378,0)*G378,0)</f>
        <v>52</v>
      </c>
      <c r="Q378" s="46" t="n">
        <f aca="false">MIN(M378,I378)</f>
        <v>45</v>
      </c>
      <c r="R378" s="46" t="n">
        <f aca="false">I378-Q378</f>
        <v>0</v>
      </c>
      <c r="S378" s="46" t="n">
        <f aca="false">M378-Q378</f>
        <v>18</v>
      </c>
      <c r="T378" s="46" t="n">
        <f aca="false">IF(R378&gt;0,1,0)</f>
        <v>0</v>
      </c>
      <c r="U378" s="32" t="n">
        <f aca="false">INDEX(Forecast!$AY$7:$AY$54,C378)</f>
        <v>2</v>
      </c>
      <c r="V378" s="33" t="n">
        <f aca="false">CHOOSE(U378,INDEX(Forecast_Walkforward!$D:$D,H378),INDEX(Forecast_Walkforward!$E:$E,H378),INDEX(Forecast_Walkforward!$F:$F,H378),INDEX(Forecast_Walkforward!$G:$G,H378))</f>
        <v>36.75</v>
      </c>
      <c r="W378" s="79" t="n">
        <f aca="false">INDEX(Forecast!$BA$7:$BA$54,C378)</f>
        <v>5.8761150702016</v>
      </c>
      <c r="X378" s="33" t="n">
        <f aca="false">Z_Value*W378*SQRT(D378)</f>
        <v>19.3306983712106</v>
      </c>
      <c r="Y378" s="33" t="n">
        <f aca="false">V378*D378+X378</f>
        <v>166.330698371211</v>
      </c>
      <c r="Z378" s="33" t="n">
        <f aca="false">SQRT((2*V378*Weeks_Per_Year*F378)/(E378*Holding_Rate))</f>
        <v>152.828880342253</v>
      </c>
      <c r="AA378" s="46" t="n">
        <f aca="false">ROUNDUP(Z378/G378,0)*G378</f>
        <v>156</v>
      </c>
      <c r="AB378" s="46" t="n">
        <f aca="false">SUMIFS(AF$373:AF377,$B$373:$B377,$B378-$D378)</f>
        <v>0</v>
      </c>
      <c r="AC378" s="46" t="n">
        <f aca="false">AI377+AB378</f>
        <v>63</v>
      </c>
      <c r="AD378" s="46" t="n">
        <f aca="false">SUMIFS(AF$373:AF377,$B$373:$B377,"&gt;"&amp;($B378-$D378))</f>
        <v>144</v>
      </c>
      <c r="AE378" s="46" t="n">
        <f aca="false">AC378+AD378</f>
        <v>207</v>
      </c>
      <c r="AF378" s="47" t="n">
        <f aca="false">IF(AE378&lt;=Y378,AA378,0)</f>
        <v>0</v>
      </c>
      <c r="AG378" s="46" t="n">
        <f aca="false">MIN(AC378,I378)</f>
        <v>45</v>
      </c>
      <c r="AH378" s="46" t="n">
        <f aca="false">I378-AG378</f>
        <v>0</v>
      </c>
      <c r="AI378" s="46" t="n">
        <f aca="false">AC378-AG378</f>
        <v>18</v>
      </c>
      <c r="AJ378" s="46" t="n">
        <f aca="false">IF(AH378&gt;0,1,0)</f>
        <v>0</v>
      </c>
    </row>
    <row r="379" customFormat="false" ht="15" hidden="false" customHeight="false" outlineLevel="0" collapsed="false">
      <c r="A379" s="31" t="str">
        <f aca="false">Inputs!$B$60</f>
        <v>BED-001</v>
      </c>
      <c r="B379" s="46" t="n">
        <f aca="false">B378+1</f>
        <v>95</v>
      </c>
      <c r="C379" s="46" t="n">
        <f aca="false">MATCH(A379,Inputs!$B$40:$B$87,0)</f>
        <v>21</v>
      </c>
      <c r="D379" s="32" t="n">
        <f aca="false">INDEX(Inputs!$F$40:$F$87,C379)</f>
        <v>4</v>
      </c>
      <c r="E379" s="78" t="n">
        <f aca="false">INDEX(Inputs!$H$40:$H$87,C379)</f>
        <v>45</v>
      </c>
      <c r="F379" s="78" t="n">
        <f aca="false">INDEX(Inputs!$G$40:$G$87,C379)</f>
        <v>55</v>
      </c>
      <c r="G379" s="32" t="n">
        <f aca="false">INDEX(Inputs!$I$40:$I$87,C379)</f>
        <v>4</v>
      </c>
      <c r="H379" s="46" t="n">
        <f aca="false">MATCH(A379,Demand_History!$C:$C,0)+B379-1</f>
        <v>2176</v>
      </c>
      <c r="I379" s="32" t="n">
        <f aca="false">INDEX(Forecast_Walkforward!$C:$C,H379)</f>
        <v>42</v>
      </c>
      <c r="J379" s="79" t="n">
        <f aca="false">INDEX(Forecast_Walkforward!$E:$E,H379)</f>
        <v>39.25</v>
      </c>
      <c r="K379" s="33" t="n">
        <f aca="false">Baseline_Weeks*J379</f>
        <v>157</v>
      </c>
      <c r="L379" s="46" t="n">
        <f aca="false">SUMIFS(P$373:P378,$B$373:$B378,$B379-$D379)</f>
        <v>0</v>
      </c>
      <c r="M379" s="46" t="n">
        <f aca="false">S378+L379</f>
        <v>18</v>
      </c>
      <c r="N379" s="46" t="n">
        <f aca="false">SUMIFS(P$373:P378,$B$373:$B378,"&gt;"&amp;($B379-$D379))</f>
        <v>84</v>
      </c>
      <c r="O379" s="46" t="n">
        <f aca="false">M379+N379</f>
        <v>102</v>
      </c>
      <c r="P379" s="47" t="n">
        <f aca="false">IF(O379&lt;K379,ROUNDUP((K379-O379)/G379,0)*G379,0)</f>
        <v>56</v>
      </c>
      <c r="Q379" s="46" t="n">
        <f aca="false">MIN(M379,I379)</f>
        <v>18</v>
      </c>
      <c r="R379" s="46" t="n">
        <f aca="false">I379-Q379</f>
        <v>24</v>
      </c>
      <c r="S379" s="46" t="n">
        <f aca="false">M379-Q379</f>
        <v>0</v>
      </c>
      <c r="T379" s="46" t="n">
        <f aca="false">IF(R379&gt;0,1,0)</f>
        <v>1</v>
      </c>
      <c r="U379" s="32" t="n">
        <f aca="false">INDEX(Forecast!$AY$7:$AY$54,C379)</f>
        <v>2</v>
      </c>
      <c r="V379" s="33" t="n">
        <f aca="false">CHOOSE(U379,INDEX(Forecast_Walkforward!$D:$D,H379),INDEX(Forecast_Walkforward!$E:$E,H379),INDEX(Forecast_Walkforward!$F:$F,H379),INDEX(Forecast_Walkforward!$G:$G,H379))</f>
        <v>39.25</v>
      </c>
      <c r="W379" s="79" t="n">
        <f aca="false">INDEX(Forecast!$BA$7:$BA$54,C379)</f>
        <v>5.8761150702016</v>
      </c>
      <c r="X379" s="33" t="n">
        <f aca="false">Z_Value*W379*SQRT(D379)</f>
        <v>19.3306983712106</v>
      </c>
      <c r="Y379" s="33" t="n">
        <f aca="false">V379*D379+X379</f>
        <v>176.330698371211</v>
      </c>
      <c r="Z379" s="33" t="n">
        <f aca="false">SQRT((2*V379*Weeks_Per_Year*F379)/(E379*Holding_Rate))</f>
        <v>157.941620719668</v>
      </c>
      <c r="AA379" s="46" t="n">
        <f aca="false">ROUNDUP(Z379/G379,0)*G379</f>
        <v>160</v>
      </c>
      <c r="AB379" s="46" t="n">
        <f aca="false">SUMIFS(AF$373:AF378,$B$373:$B378,$B379-$D379)</f>
        <v>0</v>
      </c>
      <c r="AC379" s="46" t="n">
        <f aca="false">AI378+AB379</f>
        <v>18</v>
      </c>
      <c r="AD379" s="46" t="n">
        <f aca="false">SUMIFS(AF$373:AF378,$B$373:$B378,"&gt;"&amp;($B379-$D379))</f>
        <v>144</v>
      </c>
      <c r="AE379" s="46" t="n">
        <f aca="false">AC379+AD379</f>
        <v>162</v>
      </c>
      <c r="AF379" s="47" t="n">
        <f aca="false">IF(AE379&lt;=Y379,AA379,0)</f>
        <v>160</v>
      </c>
      <c r="AG379" s="46" t="n">
        <f aca="false">MIN(AC379,I379)</f>
        <v>18</v>
      </c>
      <c r="AH379" s="46" t="n">
        <f aca="false">I379-AG379</f>
        <v>24</v>
      </c>
      <c r="AI379" s="46" t="n">
        <f aca="false">AC379-AG379</f>
        <v>0</v>
      </c>
      <c r="AJ379" s="46" t="n">
        <f aca="false">IF(AH379&gt;0,1,0)</f>
        <v>1</v>
      </c>
    </row>
    <row r="380" customFormat="false" ht="15" hidden="false" customHeight="false" outlineLevel="0" collapsed="false">
      <c r="A380" s="31" t="str">
        <f aca="false">Inputs!$B$60</f>
        <v>BED-001</v>
      </c>
      <c r="B380" s="46" t="n">
        <f aca="false">B379+1</f>
        <v>96</v>
      </c>
      <c r="C380" s="46" t="n">
        <f aca="false">MATCH(A380,Inputs!$B$40:$B$87,0)</f>
        <v>21</v>
      </c>
      <c r="D380" s="32" t="n">
        <f aca="false">INDEX(Inputs!$F$40:$F$87,C380)</f>
        <v>4</v>
      </c>
      <c r="E380" s="78" t="n">
        <f aca="false">INDEX(Inputs!$H$40:$H$87,C380)</f>
        <v>45</v>
      </c>
      <c r="F380" s="78" t="n">
        <f aca="false">INDEX(Inputs!$G$40:$G$87,C380)</f>
        <v>55</v>
      </c>
      <c r="G380" s="32" t="n">
        <f aca="false">INDEX(Inputs!$I$40:$I$87,C380)</f>
        <v>4</v>
      </c>
      <c r="H380" s="46" t="n">
        <f aca="false">MATCH(A380,Demand_History!$C:$C,0)+B380-1</f>
        <v>2177</v>
      </c>
      <c r="I380" s="32" t="n">
        <f aca="false">INDEX(Forecast_Walkforward!$C:$C,H380)</f>
        <v>36</v>
      </c>
      <c r="J380" s="79" t="n">
        <f aca="false">INDEX(Forecast_Walkforward!$E:$E,H380)</f>
        <v>42.25</v>
      </c>
      <c r="K380" s="33" t="n">
        <f aca="false">Baseline_Weeks*J380</f>
        <v>169</v>
      </c>
      <c r="L380" s="46" t="n">
        <f aca="false">SUMIFS(P$373:P379,$B$373:$B379,$B380-$D380)</f>
        <v>0</v>
      </c>
      <c r="M380" s="46" t="n">
        <f aca="false">S379+L380</f>
        <v>0</v>
      </c>
      <c r="N380" s="46" t="n">
        <f aca="false">SUMIFS(P$373:P379,$B$373:$B379,"&gt;"&amp;($B380-$D380))</f>
        <v>140</v>
      </c>
      <c r="O380" s="46" t="n">
        <f aca="false">M380+N380</f>
        <v>140</v>
      </c>
      <c r="P380" s="47" t="n">
        <f aca="false">IF(O380&lt;K380,ROUNDUP((K380-O380)/G380,0)*G380,0)</f>
        <v>32</v>
      </c>
      <c r="Q380" s="46" t="n">
        <f aca="false">MIN(M380,I380)</f>
        <v>0</v>
      </c>
      <c r="R380" s="46" t="n">
        <f aca="false">I380-Q380</f>
        <v>36</v>
      </c>
      <c r="S380" s="46" t="n">
        <f aca="false">M380-Q380</f>
        <v>0</v>
      </c>
      <c r="T380" s="46" t="n">
        <f aca="false">IF(R380&gt;0,1,0)</f>
        <v>1</v>
      </c>
      <c r="U380" s="32" t="n">
        <f aca="false">INDEX(Forecast!$AY$7:$AY$54,C380)</f>
        <v>2</v>
      </c>
      <c r="V380" s="33" t="n">
        <f aca="false">CHOOSE(U380,INDEX(Forecast_Walkforward!$D:$D,H380),INDEX(Forecast_Walkforward!$E:$E,H380),INDEX(Forecast_Walkforward!$F:$F,H380),INDEX(Forecast_Walkforward!$G:$G,H380))</f>
        <v>42.25</v>
      </c>
      <c r="W380" s="79" t="n">
        <f aca="false">INDEX(Forecast!$BA$7:$BA$54,C380)</f>
        <v>5.8761150702016</v>
      </c>
      <c r="X380" s="33" t="n">
        <f aca="false">Z_Value*W380*SQRT(D380)</f>
        <v>19.3306983712106</v>
      </c>
      <c r="Y380" s="33" t="n">
        <f aca="false">V380*D380+X380</f>
        <v>188.330698371211</v>
      </c>
      <c r="Z380" s="33" t="n">
        <f aca="false">SQRT((2*V380*Weeks_Per_Year*F380)/(E380*Holding_Rate))</f>
        <v>163.866476810305</v>
      </c>
      <c r="AA380" s="46" t="n">
        <f aca="false">ROUNDUP(Z380/G380,0)*G380</f>
        <v>164</v>
      </c>
      <c r="AB380" s="46" t="n">
        <f aca="false">SUMIFS(AF$373:AF379,$B$373:$B379,$B380-$D380)</f>
        <v>144</v>
      </c>
      <c r="AC380" s="46" t="n">
        <f aca="false">AI379+AB380</f>
        <v>144</v>
      </c>
      <c r="AD380" s="46" t="n">
        <f aca="false">SUMIFS(AF$373:AF379,$B$373:$B379,"&gt;"&amp;($B380-$D380))</f>
        <v>160</v>
      </c>
      <c r="AE380" s="46" t="n">
        <f aca="false">AC380+AD380</f>
        <v>304</v>
      </c>
      <c r="AF380" s="47" t="n">
        <f aca="false">IF(AE380&lt;=Y380,AA380,0)</f>
        <v>0</v>
      </c>
      <c r="AG380" s="46" t="n">
        <f aca="false">MIN(AC380,I380)</f>
        <v>36</v>
      </c>
      <c r="AH380" s="46" t="n">
        <f aca="false">I380-AG380</f>
        <v>0</v>
      </c>
      <c r="AI380" s="46" t="n">
        <f aca="false">AC380-AG380</f>
        <v>108</v>
      </c>
      <c r="AJ380" s="46" t="n">
        <f aca="false">IF(AH380&gt;0,1,0)</f>
        <v>0</v>
      </c>
    </row>
    <row r="381" customFormat="false" ht="15" hidden="false" customHeight="false" outlineLevel="0" collapsed="false">
      <c r="A381" s="31" t="str">
        <f aca="false">Inputs!$B$60</f>
        <v>BED-001</v>
      </c>
      <c r="B381" s="46" t="n">
        <f aca="false">B380+1</f>
        <v>97</v>
      </c>
      <c r="C381" s="46" t="n">
        <f aca="false">MATCH(A381,Inputs!$B$40:$B$87,0)</f>
        <v>21</v>
      </c>
      <c r="D381" s="32" t="n">
        <f aca="false">INDEX(Inputs!$F$40:$F$87,C381)</f>
        <v>4</v>
      </c>
      <c r="E381" s="78" t="n">
        <f aca="false">INDEX(Inputs!$H$40:$H$87,C381)</f>
        <v>45</v>
      </c>
      <c r="F381" s="78" t="n">
        <f aca="false">INDEX(Inputs!$G$40:$G$87,C381)</f>
        <v>55</v>
      </c>
      <c r="G381" s="32" t="n">
        <f aca="false">INDEX(Inputs!$I$40:$I$87,C381)</f>
        <v>4</v>
      </c>
      <c r="H381" s="46" t="n">
        <f aca="false">MATCH(A381,Demand_History!$C:$C,0)+B381-1</f>
        <v>2178</v>
      </c>
      <c r="I381" s="32" t="n">
        <f aca="false">INDEX(Forecast_Walkforward!$C:$C,H381)</f>
        <v>42</v>
      </c>
      <c r="J381" s="79" t="n">
        <f aca="false">INDEX(Forecast_Walkforward!$E:$E,H381)</f>
        <v>40.75</v>
      </c>
      <c r="K381" s="33" t="n">
        <f aca="false">Baseline_Weeks*J381</f>
        <v>163</v>
      </c>
      <c r="L381" s="46" t="n">
        <f aca="false">SUMIFS(P$373:P380,$B$373:$B380,$B381-$D381)</f>
        <v>32</v>
      </c>
      <c r="M381" s="46" t="n">
        <f aca="false">S380+L381</f>
        <v>32</v>
      </c>
      <c r="N381" s="46" t="n">
        <f aca="false">SUMIFS(P$373:P380,$B$373:$B380,"&gt;"&amp;($B381-$D381))</f>
        <v>140</v>
      </c>
      <c r="O381" s="46" t="n">
        <f aca="false">M381+N381</f>
        <v>172</v>
      </c>
      <c r="P381" s="47" t="n">
        <f aca="false">IF(O381&lt;K381,ROUNDUP((K381-O381)/G381,0)*G381,0)</f>
        <v>0</v>
      </c>
      <c r="Q381" s="46" t="n">
        <f aca="false">MIN(M381,I381)</f>
        <v>32</v>
      </c>
      <c r="R381" s="46" t="n">
        <f aca="false">I381-Q381</f>
        <v>10</v>
      </c>
      <c r="S381" s="46" t="n">
        <f aca="false">M381-Q381</f>
        <v>0</v>
      </c>
      <c r="T381" s="46" t="n">
        <f aca="false">IF(R381&gt;0,1,0)</f>
        <v>1</v>
      </c>
      <c r="U381" s="32" t="n">
        <f aca="false">INDEX(Forecast!$AY$7:$AY$54,C381)</f>
        <v>2</v>
      </c>
      <c r="V381" s="33" t="n">
        <f aca="false">CHOOSE(U381,INDEX(Forecast_Walkforward!$D:$D,H381),INDEX(Forecast_Walkforward!$E:$E,H381),INDEX(Forecast_Walkforward!$F:$F,H381),INDEX(Forecast_Walkforward!$G:$G,H381))</f>
        <v>40.75</v>
      </c>
      <c r="W381" s="79" t="n">
        <f aca="false">INDEX(Forecast!$BA$7:$BA$54,C381)</f>
        <v>5.8761150702016</v>
      </c>
      <c r="X381" s="33" t="n">
        <f aca="false">Z_Value*W381*SQRT(D381)</f>
        <v>19.3306983712106</v>
      </c>
      <c r="Y381" s="33" t="n">
        <f aca="false">V381*D381+X381</f>
        <v>182.330698371211</v>
      </c>
      <c r="Z381" s="33" t="n">
        <f aca="false">SQRT((2*V381*Weeks_Per_Year*F381)/(E381*Holding_Rate))</f>
        <v>160.931317303031</v>
      </c>
      <c r="AA381" s="46" t="n">
        <f aca="false">ROUNDUP(Z381/G381,0)*G381</f>
        <v>164</v>
      </c>
      <c r="AB381" s="46" t="n">
        <f aca="false">SUMIFS(AF$373:AF380,$B$373:$B380,$B381-$D381)</f>
        <v>0</v>
      </c>
      <c r="AC381" s="46" t="n">
        <f aca="false">AI380+AB381</f>
        <v>108</v>
      </c>
      <c r="AD381" s="46" t="n">
        <f aca="false">SUMIFS(AF$373:AF380,$B$373:$B380,"&gt;"&amp;($B381-$D381))</f>
        <v>160</v>
      </c>
      <c r="AE381" s="46" t="n">
        <f aca="false">AC381+AD381</f>
        <v>268</v>
      </c>
      <c r="AF381" s="47" t="n">
        <f aca="false">IF(AE381&lt;=Y381,AA381,0)</f>
        <v>0</v>
      </c>
      <c r="AG381" s="46" t="n">
        <f aca="false">MIN(AC381,I381)</f>
        <v>42</v>
      </c>
      <c r="AH381" s="46" t="n">
        <f aca="false">I381-AG381</f>
        <v>0</v>
      </c>
      <c r="AI381" s="46" t="n">
        <f aca="false">AC381-AG381</f>
        <v>66</v>
      </c>
      <c r="AJ381" s="46" t="n">
        <f aca="false">IF(AH381&gt;0,1,0)</f>
        <v>0</v>
      </c>
    </row>
    <row r="382" customFormat="false" ht="15" hidden="false" customHeight="false" outlineLevel="0" collapsed="false">
      <c r="A382" s="31" t="str">
        <f aca="false">Inputs!$B$60</f>
        <v>BED-001</v>
      </c>
      <c r="B382" s="46" t="n">
        <f aca="false">B381+1</f>
        <v>98</v>
      </c>
      <c r="C382" s="46" t="n">
        <f aca="false">MATCH(A382,Inputs!$B$40:$B$87,0)</f>
        <v>21</v>
      </c>
      <c r="D382" s="32" t="n">
        <f aca="false">INDEX(Inputs!$F$40:$F$87,C382)</f>
        <v>4</v>
      </c>
      <c r="E382" s="78" t="n">
        <f aca="false">INDEX(Inputs!$H$40:$H$87,C382)</f>
        <v>45</v>
      </c>
      <c r="F382" s="78" t="n">
        <f aca="false">INDEX(Inputs!$G$40:$G$87,C382)</f>
        <v>55</v>
      </c>
      <c r="G382" s="32" t="n">
        <f aca="false">INDEX(Inputs!$I$40:$I$87,C382)</f>
        <v>4</v>
      </c>
      <c r="H382" s="46" t="n">
        <f aca="false">MATCH(A382,Demand_History!$C:$C,0)+B382-1</f>
        <v>2179</v>
      </c>
      <c r="I382" s="32" t="n">
        <f aca="false">INDEX(Forecast_Walkforward!$C:$C,H382)</f>
        <v>38</v>
      </c>
      <c r="J382" s="79" t="n">
        <f aca="false">INDEX(Forecast_Walkforward!$E:$E,H382)</f>
        <v>41.25</v>
      </c>
      <c r="K382" s="33" t="n">
        <f aca="false">Baseline_Weeks*J382</f>
        <v>165</v>
      </c>
      <c r="L382" s="46" t="n">
        <f aca="false">SUMIFS(P$373:P381,$B$373:$B381,$B382-$D382)</f>
        <v>52</v>
      </c>
      <c r="M382" s="46" t="n">
        <f aca="false">S381+L382</f>
        <v>52</v>
      </c>
      <c r="N382" s="46" t="n">
        <f aca="false">SUMIFS(P$373:P381,$B$373:$B381,"&gt;"&amp;($B382-$D382))</f>
        <v>88</v>
      </c>
      <c r="O382" s="46" t="n">
        <f aca="false">M382+N382</f>
        <v>140</v>
      </c>
      <c r="P382" s="47" t="n">
        <f aca="false">IF(O382&lt;K382,ROUNDUP((K382-O382)/G382,0)*G382,0)</f>
        <v>28</v>
      </c>
      <c r="Q382" s="46" t="n">
        <f aca="false">MIN(M382,I382)</f>
        <v>38</v>
      </c>
      <c r="R382" s="46" t="n">
        <f aca="false">I382-Q382</f>
        <v>0</v>
      </c>
      <c r="S382" s="46" t="n">
        <f aca="false">M382-Q382</f>
        <v>14</v>
      </c>
      <c r="T382" s="46" t="n">
        <f aca="false">IF(R382&gt;0,1,0)</f>
        <v>0</v>
      </c>
      <c r="U382" s="32" t="n">
        <f aca="false">INDEX(Forecast!$AY$7:$AY$54,C382)</f>
        <v>2</v>
      </c>
      <c r="V382" s="33" t="n">
        <f aca="false">CHOOSE(U382,INDEX(Forecast_Walkforward!$D:$D,H382),INDEX(Forecast_Walkforward!$E:$E,H382),INDEX(Forecast_Walkforward!$F:$F,H382),INDEX(Forecast_Walkforward!$G:$G,H382))</f>
        <v>41.25</v>
      </c>
      <c r="W382" s="79" t="n">
        <f aca="false">INDEX(Forecast!$BA$7:$BA$54,C382)</f>
        <v>5.8761150702016</v>
      </c>
      <c r="X382" s="33" t="n">
        <f aca="false">Z_Value*W382*SQRT(D382)</f>
        <v>19.3306983712106</v>
      </c>
      <c r="Y382" s="33" t="n">
        <f aca="false">V382*D382+X382</f>
        <v>184.330698371211</v>
      </c>
      <c r="Z382" s="33" t="n">
        <f aca="false">SQRT((2*V382*Weeks_Per_Year*F382)/(E382*Holding_Rate))</f>
        <v>161.915615882677</v>
      </c>
      <c r="AA382" s="46" t="n">
        <f aca="false">ROUNDUP(Z382/G382,0)*G382</f>
        <v>164</v>
      </c>
      <c r="AB382" s="46" t="n">
        <f aca="false">SUMIFS(AF$373:AF381,$B$373:$B381,$B382-$D382)</f>
        <v>0</v>
      </c>
      <c r="AC382" s="46" t="n">
        <f aca="false">AI381+AB382</f>
        <v>66</v>
      </c>
      <c r="AD382" s="46" t="n">
        <f aca="false">SUMIFS(AF$373:AF381,$B$373:$B381,"&gt;"&amp;($B382-$D382))</f>
        <v>160</v>
      </c>
      <c r="AE382" s="46" t="n">
        <f aca="false">AC382+AD382</f>
        <v>226</v>
      </c>
      <c r="AF382" s="47" t="n">
        <f aca="false">IF(AE382&lt;=Y382,AA382,0)</f>
        <v>0</v>
      </c>
      <c r="AG382" s="46" t="n">
        <f aca="false">MIN(AC382,I382)</f>
        <v>38</v>
      </c>
      <c r="AH382" s="46" t="n">
        <f aca="false">I382-AG382</f>
        <v>0</v>
      </c>
      <c r="AI382" s="46" t="n">
        <f aca="false">AC382-AG382</f>
        <v>28</v>
      </c>
      <c r="AJ382" s="46" t="n">
        <f aca="false">IF(AH382&gt;0,1,0)</f>
        <v>0</v>
      </c>
    </row>
    <row r="383" customFormat="false" ht="15" hidden="false" customHeight="false" outlineLevel="0" collapsed="false">
      <c r="A383" s="31" t="str">
        <f aca="false">Inputs!$B$60</f>
        <v>BED-001</v>
      </c>
      <c r="B383" s="46" t="n">
        <f aca="false">B382+1</f>
        <v>99</v>
      </c>
      <c r="C383" s="46" t="n">
        <f aca="false">MATCH(A383,Inputs!$B$40:$B$87,0)</f>
        <v>21</v>
      </c>
      <c r="D383" s="32" t="n">
        <f aca="false">INDEX(Inputs!$F$40:$F$87,C383)</f>
        <v>4</v>
      </c>
      <c r="E383" s="78" t="n">
        <f aca="false">INDEX(Inputs!$H$40:$H$87,C383)</f>
        <v>45</v>
      </c>
      <c r="F383" s="78" t="n">
        <f aca="false">INDEX(Inputs!$G$40:$G$87,C383)</f>
        <v>55</v>
      </c>
      <c r="G383" s="32" t="n">
        <f aca="false">INDEX(Inputs!$I$40:$I$87,C383)</f>
        <v>4</v>
      </c>
      <c r="H383" s="46" t="n">
        <f aca="false">MATCH(A383,Demand_History!$C:$C,0)+B383-1</f>
        <v>2180</v>
      </c>
      <c r="I383" s="32" t="n">
        <f aca="false">INDEX(Forecast_Walkforward!$C:$C,H383)</f>
        <v>43</v>
      </c>
      <c r="J383" s="79" t="n">
        <f aca="false">INDEX(Forecast_Walkforward!$E:$E,H383)</f>
        <v>39.5</v>
      </c>
      <c r="K383" s="33" t="n">
        <f aca="false">Baseline_Weeks*J383</f>
        <v>158</v>
      </c>
      <c r="L383" s="46" t="n">
        <f aca="false">SUMIFS(P$373:P382,$B$373:$B382,$B383-$D383)</f>
        <v>56</v>
      </c>
      <c r="M383" s="46" t="n">
        <f aca="false">S382+L383</f>
        <v>70</v>
      </c>
      <c r="N383" s="46" t="n">
        <f aca="false">SUMIFS(P$373:P382,$B$373:$B382,"&gt;"&amp;($B383-$D383))</f>
        <v>60</v>
      </c>
      <c r="O383" s="46" t="n">
        <f aca="false">M383+N383</f>
        <v>130</v>
      </c>
      <c r="P383" s="47" t="n">
        <f aca="false">IF(O383&lt;K383,ROUNDUP((K383-O383)/G383,0)*G383,0)</f>
        <v>28</v>
      </c>
      <c r="Q383" s="46" t="n">
        <f aca="false">MIN(M383,I383)</f>
        <v>43</v>
      </c>
      <c r="R383" s="46" t="n">
        <f aca="false">I383-Q383</f>
        <v>0</v>
      </c>
      <c r="S383" s="46" t="n">
        <f aca="false">M383-Q383</f>
        <v>27</v>
      </c>
      <c r="T383" s="46" t="n">
        <f aca="false">IF(R383&gt;0,1,0)</f>
        <v>0</v>
      </c>
      <c r="U383" s="32" t="n">
        <f aca="false">INDEX(Forecast!$AY$7:$AY$54,C383)</f>
        <v>2</v>
      </c>
      <c r="V383" s="33" t="n">
        <f aca="false">CHOOSE(U383,INDEX(Forecast_Walkforward!$D:$D,H383),INDEX(Forecast_Walkforward!$E:$E,H383),INDEX(Forecast_Walkforward!$F:$F,H383),INDEX(Forecast_Walkforward!$G:$G,H383))</f>
        <v>39.5</v>
      </c>
      <c r="W383" s="79" t="n">
        <f aca="false">INDEX(Forecast!$BA$7:$BA$54,C383)</f>
        <v>5.8761150702016</v>
      </c>
      <c r="X383" s="33" t="n">
        <f aca="false">Z_Value*W383*SQRT(D383)</f>
        <v>19.3306983712106</v>
      </c>
      <c r="Y383" s="33" t="n">
        <f aca="false">V383*D383+X383</f>
        <v>177.330698371211</v>
      </c>
      <c r="Z383" s="33" t="n">
        <f aca="false">SQRT((2*V383*Weeks_Per_Year*F383)/(E383*Holding_Rate))</f>
        <v>158.443821098976</v>
      </c>
      <c r="AA383" s="46" t="n">
        <f aca="false">ROUNDUP(Z383/G383,0)*G383</f>
        <v>160</v>
      </c>
      <c r="AB383" s="46" t="n">
        <f aca="false">SUMIFS(AF$373:AF382,$B$373:$B382,$B383-$D383)</f>
        <v>160</v>
      </c>
      <c r="AC383" s="46" t="n">
        <f aca="false">AI382+AB383</f>
        <v>188</v>
      </c>
      <c r="AD383" s="46" t="n">
        <f aca="false">SUMIFS(AF$373:AF382,$B$373:$B382,"&gt;"&amp;($B383-$D383))</f>
        <v>0</v>
      </c>
      <c r="AE383" s="46" t="n">
        <f aca="false">AC383+AD383</f>
        <v>188</v>
      </c>
      <c r="AF383" s="47" t="n">
        <f aca="false">IF(AE383&lt;=Y383,AA383,0)</f>
        <v>0</v>
      </c>
      <c r="AG383" s="46" t="n">
        <f aca="false">MIN(AC383,I383)</f>
        <v>43</v>
      </c>
      <c r="AH383" s="46" t="n">
        <f aca="false">I383-AG383</f>
        <v>0</v>
      </c>
      <c r="AI383" s="46" t="n">
        <f aca="false">AC383-AG383</f>
        <v>145</v>
      </c>
      <c r="AJ383" s="46" t="n">
        <f aca="false">IF(AH383&gt;0,1,0)</f>
        <v>0</v>
      </c>
    </row>
    <row r="384" customFormat="false" ht="15" hidden="false" customHeight="false" outlineLevel="0" collapsed="false">
      <c r="A384" s="31" t="str">
        <f aca="false">Inputs!$B$60</f>
        <v>BED-001</v>
      </c>
      <c r="B384" s="46" t="n">
        <f aca="false">B383+1</f>
        <v>100</v>
      </c>
      <c r="C384" s="46" t="n">
        <f aca="false">MATCH(A384,Inputs!$B$40:$B$87,0)</f>
        <v>21</v>
      </c>
      <c r="D384" s="32" t="n">
        <f aca="false">INDEX(Inputs!$F$40:$F$87,C384)</f>
        <v>4</v>
      </c>
      <c r="E384" s="78" t="n">
        <f aca="false">INDEX(Inputs!$H$40:$H$87,C384)</f>
        <v>45</v>
      </c>
      <c r="F384" s="78" t="n">
        <f aca="false">INDEX(Inputs!$G$40:$G$87,C384)</f>
        <v>55</v>
      </c>
      <c r="G384" s="32" t="n">
        <f aca="false">INDEX(Inputs!$I$40:$I$87,C384)</f>
        <v>4</v>
      </c>
      <c r="H384" s="46" t="n">
        <f aca="false">MATCH(A384,Demand_History!$C:$C,0)+B384-1</f>
        <v>2181</v>
      </c>
      <c r="I384" s="32" t="n">
        <f aca="false">INDEX(Forecast_Walkforward!$C:$C,H384)</f>
        <v>42</v>
      </c>
      <c r="J384" s="79" t="n">
        <f aca="false">INDEX(Forecast_Walkforward!$E:$E,H384)</f>
        <v>39.75</v>
      </c>
      <c r="K384" s="33" t="n">
        <f aca="false">Baseline_Weeks*J384</f>
        <v>159</v>
      </c>
      <c r="L384" s="46" t="n">
        <f aca="false">SUMIFS(P$373:P383,$B$373:$B383,$B384-$D384)</f>
        <v>32</v>
      </c>
      <c r="M384" s="46" t="n">
        <f aca="false">S383+L384</f>
        <v>59</v>
      </c>
      <c r="N384" s="46" t="n">
        <f aca="false">SUMIFS(P$373:P383,$B$373:$B383,"&gt;"&amp;($B384-$D384))</f>
        <v>56</v>
      </c>
      <c r="O384" s="46" t="n">
        <f aca="false">M384+N384</f>
        <v>115</v>
      </c>
      <c r="P384" s="47" t="n">
        <f aca="false">IF(O384&lt;K384,ROUNDUP((K384-O384)/G384,0)*G384,0)</f>
        <v>44</v>
      </c>
      <c r="Q384" s="46" t="n">
        <f aca="false">MIN(M384,I384)</f>
        <v>42</v>
      </c>
      <c r="R384" s="46" t="n">
        <f aca="false">I384-Q384</f>
        <v>0</v>
      </c>
      <c r="S384" s="46" t="n">
        <f aca="false">M384-Q384</f>
        <v>17</v>
      </c>
      <c r="T384" s="46" t="n">
        <f aca="false">IF(R384&gt;0,1,0)</f>
        <v>0</v>
      </c>
      <c r="U384" s="32" t="n">
        <f aca="false">INDEX(Forecast!$AY$7:$AY$54,C384)</f>
        <v>2</v>
      </c>
      <c r="V384" s="33" t="n">
        <f aca="false">CHOOSE(U384,INDEX(Forecast_Walkforward!$D:$D,H384),INDEX(Forecast_Walkforward!$E:$E,H384),INDEX(Forecast_Walkforward!$F:$F,H384),INDEX(Forecast_Walkforward!$G:$G,H384))</f>
        <v>39.75</v>
      </c>
      <c r="W384" s="79" t="n">
        <f aca="false">INDEX(Forecast!$BA$7:$BA$54,C384)</f>
        <v>5.8761150702016</v>
      </c>
      <c r="X384" s="33" t="n">
        <f aca="false">Z_Value*W384*SQRT(D384)</f>
        <v>19.3306983712106</v>
      </c>
      <c r="Y384" s="33" t="n">
        <f aca="false">V384*D384+X384</f>
        <v>178.330698371211</v>
      </c>
      <c r="Z384" s="33" t="n">
        <f aca="false">SQRT((2*V384*Weeks_Per_Year*F384)/(E384*Holding_Rate))</f>
        <v>158.944434735329</v>
      </c>
      <c r="AA384" s="46" t="n">
        <f aca="false">ROUNDUP(Z384/G384,0)*G384</f>
        <v>160</v>
      </c>
      <c r="AB384" s="46" t="n">
        <f aca="false">SUMIFS(AF$373:AF383,$B$373:$B383,$B384-$D384)</f>
        <v>0</v>
      </c>
      <c r="AC384" s="46" t="n">
        <f aca="false">AI383+AB384</f>
        <v>145</v>
      </c>
      <c r="AD384" s="46" t="n">
        <f aca="false">SUMIFS(AF$373:AF383,$B$373:$B383,"&gt;"&amp;($B384-$D384))</f>
        <v>0</v>
      </c>
      <c r="AE384" s="46" t="n">
        <f aca="false">AC384+AD384</f>
        <v>145</v>
      </c>
      <c r="AF384" s="47" t="n">
        <f aca="false">IF(AE384&lt;=Y384,AA384,0)</f>
        <v>160</v>
      </c>
      <c r="AG384" s="46" t="n">
        <f aca="false">MIN(AC384,I384)</f>
        <v>42</v>
      </c>
      <c r="AH384" s="46" t="n">
        <f aca="false">I384-AG384</f>
        <v>0</v>
      </c>
      <c r="AI384" s="46" t="n">
        <f aca="false">AC384-AG384</f>
        <v>103</v>
      </c>
      <c r="AJ384" s="46" t="n">
        <f aca="false">IF(AH384&gt;0,1,0)</f>
        <v>0</v>
      </c>
    </row>
    <row r="385" customFormat="false" ht="15" hidden="false" customHeight="false" outlineLevel="0" collapsed="false">
      <c r="A385" s="31" t="str">
        <f aca="false">Inputs!$B$60</f>
        <v>BED-001</v>
      </c>
      <c r="B385" s="46" t="n">
        <f aca="false">B384+1</f>
        <v>101</v>
      </c>
      <c r="C385" s="46" t="n">
        <f aca="false">MATCH(A385,Inputs!$B$40:$B$87,0)</f>
        <v>21</v>
      </c>
      <c r="D385" s="32" t="n">
        <f aca="false">INDEX(Inputs!$F$40:$F$87,C385)</f>
        <v>4</v>
      </c>
      <c r="E385" s="78" t="n">
        <f aca="false">INDEX(Inputs!$H$40:$H$87,C385)</f>
        <v>45</v>
      </c>
      <c r="F385" s="78" t="n">
        <f aca="false">INDEX(Inputs!$G$40:$G$87,C385)</f>
        <v>55</v>
      </c>
      <c r="G385" s="32" t="n">
        <f aca="false">INDEX(Inputs!$I$40:$I$87,C385)</f>
        <v>4</v>
      </c>
      <c r="H385" s="46" t="n">
        <f aca="false">MATCH(A385,Demand_History!$C:$C,0)+B385-1</f>
        <v>2182</v>
      </c>
      <c r="I385" s="32" t="n">
        <f aca="false">INDEX(Forecast_Walkforward!$C:$C,H385)</f>
        <v>34</v>
      </c>
      <c r="J385" s="79" t="n">
        <f aca="false">INDEX(Forecast_Walkforward!$E:$E,H385)</f>
        <v>41.25</v>
      </c>
      <c r="K385" s="33" t="n">
        <f aca="false">Baseline_Weeks*J385</f>
        <v>165</v>
      </c>
      <c r="L385" s="46" t="n">
        <f aca="false">SUMIFS(P$373:P384,$B$373:$B384,$B385-$D385)</f>
        <v>0</v>
      </c>
      <c r="M385" s="46" t="n">
        <f aca="false">S384+L385</f>
        <v>17</v>
      </c>
      <c r="N385" s="46" t="n">
        <f aca="false">SUMIFS(P$373:P384,$B$373:$B384,"&gt;"&amp;($B385-$D385))</f>
        <v>100</v>
      </c>
      <c r="O385" s="46" t="n">
        <f aca="false">M385+N385</f>
        <v>117</v>
      </c>
      <c r="P385" s="47" t="n">
        <f aca="false">IF(O385&lt;K385,ROUNDUP((K385-O385)/G385,0)*G385,0)</f>
        <v>48</v>
      </c>
      <c r="Q385" s="46" t="n">
        <f aca="false">MIN(M385,I385)</f>
        <v>17</v>
      </c>
      <c r="R385" s="46" t="n">
        <f aca="false">I385-Q385</f>
        <v>17</v>
      </c>
      <c r="S385" s="46" t="n">
        <f aca="false">M385-Q385</f>
        <v>0</v>
      </c>
      <c r="T385" s="46" t="n">
        <f aca="false">IF(R385&gt;0,1,0)</f>
        <v>1</v>
      </c>
      <c r="U385" s="32" t="n">
        <f aca="false">INDEX(Forecast!$AY$7:$AY$54,C385)</f>
        <v>2</v>
      </c>
      <c r="V385" s="33" t="n">
        <f aca="false">CHOOSE(U385,INDEX(Forecast_Walkforward!$D:$D,H385),INDEX(Forecast_Walkforward!$E:$E,H385),INDEX(Forecast_Walkforward!$F:$F,H385),INDEX(Forecast_Walkforward!$G:$G,H385))</f>
        <v>41.25</v>
      </c>
      <c r="W385" s="79" t="n">
        <f aca="false">INDEX(Forecast!$BA$7:$BA$54,C385)</f>
        <v>5.8761150702016</v>
      </c>
      <c r="X385" s="33" t="n">
        <f aca="false">Z_Value*W385*SQRT(D385)</f>
        <v>19.3306983712106</v>
      </c>
      <c r="Y385" s="33" t="n">
        <f aca="false">V385*D385+X385</f>
        <v>184.330698371211</v>
      </c>
      <c r="Z385" s="33" t="n">
        <f aca="false">SQRT((2*V385*Weeks_Per_Year*F385)/(E385*Holding_Rate))</f>
        <v>161.915615882677</v>
      </c>
      <c r="AA385" s="46" t="n">
        <f aca="false">ROUNDUP(Z385/G385,0)*G385</f>
        <v>164</v>
      </c>
      <c r="AB385" s="46" t="n">
        <f aca="false">SUMIFS(AF$373:AF384,$B$373:$B384,$B385-$D385)</f>
        <v>0</v>
      </c>
      <c r="AC385" s="46" t="n">
        <f aca="false">AI384+AB385</f>
        <v>103</v>
      </c>
      <c r="AD385" s="46" t="n">
        <f aca="false">SUMIFS(AF$373:AF384,$B$373:$B384,"&gt;"&amp;($B385-$D385))</f>
        <v>160</v>
      </c>
      <c r="AE385" s="46" t="n">
        <f aca="false">AC385+AD385</f>
        <v>263</v>
      </c>
      <c r="AF385" s="47" t="n">
        <f aca="false">IF(AE385&lt;=Y385,AA385,0)</f>
        <v>0</v>
      </c>
      <c r="AG385" s="46" t="n">
        <f aca="false">MIN(AC385,I385)</f>
        <v>34</v>
      </c>
      <c r="AH385" s="46" t="n">
        <f aca="false">I385-AG385</f>
        <v>0</v>
      </c>
      <c r="AI385" s="46" t="n">
        <f aca="false">AC385-AG385</f>
        <v>69</v>
      </c>
      <c r="AJ385" s="46" t="n">
        <f aca="false">IF(AH385&gt;0,1,0)</f>
        <v>0</v>
      </c>
    </row>
    <row r="386" customFormat="false" ht="15" hidden="false" customHeight="false" outlineLevel="0" collapsed="false">
      <c r="A386" s="31" t="str">
        <f aca="false">Inputs!$B$60</f>
        <v>BED-001</v>
      </c>
      <c r="B386" s="46" t="n">
        <f aca="false">B385+1</f>
        <v>102</v>
      </c>
      <c r="C386" s="46" t="n">
        <f aca="false">MATCH(A386,Inputs!$B$40:$B$87,0)</f>
        <v>21</v>
      </c>
      <c r="D386" s="32" t="n">
        <f aca="false">INDEX(Inputs!$F$40:$F$87,C386)</f>
        <v>4</v>
      </c>
      <c r="E386" s="78" t="n">
        <f aca="false">INDEX(Inputs!$H$40:$H$87,C386)</f>
        <v>45</v>
      </c>
      <c r="F386" s="78" t="n">
        <f aca="false">INDEX(Inputs!$G$40:$G$87,C386)</f>
        <v>55</v>
      </c>
      <c r="G386" s="32" t="n">
        <f aca="false">INDEX(Inputs!$I$40:$I$87,C386)</f>
        <v>4</v>
      </c>
      <c r="H386" s="46" t="n">
        <f aca="false">MATCH(A386,Demand_History!$C:$C,0)+B386-1</f>
        <v>2183</v>
      </c>
      <c r="I386" s="32" t="n">
        <f aca="false">INDEX(Forecast_Walkforward!$C:$C,H386)</f>
        <v>40</v>
      </c>
      <c r="J386" s="79" t="n">
        <f aca="false">INDEX(Forecast_Walkforward!$E:$E,H386)</f>
        <v>39.25</v>
      </c>
      <c r="K386" s="33" t="n">
        <f aca="false">Baseline_Weeks*J386</f>
        <v>157</v>
      </c>
      <c r="L386" s="46" t="n">
        <f aca="false">SUMIFS(P$373:P385,$B$373:$B385,$B386-$D386)</f>
        <v>28</v>
      </c>
      <c r="M386" s="46" t="n">
        <f aca="false">S385+L386</f>
        <v>28</v>
      </c>
      <c r="N386" s="46" t="n">
        <f aca="false">SUMIFS(P$373:P385,$B$373:$B385,"&gt;"&amp;($B386-$D386))</f>
        <v>120</v>
      </c>
      <c r="O386" s="46" t="n">
        <f aca="false">M386+N386</f>
        <v>148</v>
      </c>
      <c r="P386" s="47" t="n">
        <f aca="false">IF(O386&lt;K386,ROUNDUP((K386-O386)/G386,0)*G386,0)</f>
        <v>12</v>
      </c>
      <c r="Q386" s="46" t="n">
        <f aca="false">MIN(M386,I386)</f>
        <v>28</v>
      </c>
      <c r="R386" s="46" t="n">
        <f aca="false">I386-Q386</f>
        <v>12</v>
      </c>
      <c r="S386" s="46" t="n">
        <f aca="false">M386-Q386</f>
        <v>0</v>
      </c>
      <c r="T386" s="46" t="n">
        <f aca="false">IF(R386&gt;0,1,0)</f>
        <v>1</v>
      </c>
      <c r="U386" s="32" t="n">
        <f aca="false">INDEX(Forecast!$AY$7:$AY$54,C386)</f>
        <v>2</v>
      </c>
      <c r="V386" s="33" t="n">
        <f aca="false">CHOOSE(U386,INDEX(Forecast_Walkforward!$D:$D,H386),INDEX(Forecast_Walkforward!$E:$E,H386),INDEX(Forecast_Walkforward!$F:$F,H386),INDEX(Forecast_Walkforward!$G:$G,H386))</f>
        <v>39.25</v>
      </c>
      <c r="W386" s="79" t="n">
        <f aca="false">INDEX(Forecast!$BA$7:$BA$54,C386)</f>
        <v>5.8761150702016</v>
      </c>
      <c r="X386" s="33" t="n">
        <f aca="false">Z_Value*W386*SQRT(D386)</f>
        <v>19.3306983712106</v>
      </c>
      <c r="Y386" s="33" t="n">
        <f aca="false">V386*D386+X386</f>
        <v>176.330698371211</v>
      </c>
      <c r="Z386" s="33" t="n">
        <f aca="false">SQRT((2*V386*Weeks_Per_Year*F386)/(E386*Holding_Rate))</f>
        <v>157.941620719668</v>
      </c>
      <c r="AA386" s="46" t="n">
        <f aca="false">ROUNDUP(Z386/G386,0)*G386</f>
        <v>160</v>
      </c>
      <c r="AB386" s="46" t="n">
        <f aca="false">SUMIFS(AF$373:AF385,$B$373:$B385,$B386-$D386)</f>
        <v>0</v>
      </c>
      <c r="AC386" s="46" t="n">
        <f aca="false">AI385+AB386</f>
        <v>69</v>
      </c>
      <c r="AD386" s="46" t="n">
        <f aca="false">SUMIFS(AF$373:AF385,$B$373:$B385,"&gt;"&amp;($B386-$D386))</f>
        <v>160</v>
      </c>
      <c r="AE386" s="46" t="n">
        <f aca="false">AC386+AD386</f>
        <v>229</v>
      </c>
      <c r="AF386" s="47" t="n">
        <f aca="false">IF(AE386&lt;=Y386,AA386,0)</f>
        <v>0</v>
      </c>
      <c r="AG386" s="46" t="n">
        <f aca="false">MIN(AC386,I386)</f>
        <v>40</v>
      </c>
      <c r="AH386" s="46" t="n">
        <f aca="false">I386-AG386</f>
        <v>0</v>
      </c>
      <c r="AI386" s="46" t="n">
        <f aca="false">AC386-AG386</f>
        <v>29</v>
      </c>
      <c r="AJ386" s="46" t="n">
        <f aca="false">IF(AH386&gt;0,1,0)</f>
        <v>0</v>
      </c>
    </row>
    <row r="387" customFormat="false" ht="15" hidden="false" customHeight="false" outlineLevel="0" collapsed="false">
      <c r="A387" s="31" t="str">
        <f aca="false">Inputs!$B$60</f>
        <v>BED-001</v>
      </c>
      <c r="B387" s="46" t="n">
        <f aca="false">B386+1</f>
        <v>103</v>
      </c>
      <c r="C387" s="46" t="n">
        <f aca="false">MATCH(A387,Inputs!$B$40:$B$87,0)</f>
        <v>21</v>
      </c>
      <c r="D387" s="32" t="n">
        <f aca="false">INDEX(Inputs!$F$40:$F$87,C387)</f>
        <v>4</v>
      </c>
      <c r="E387" s="78" t="n">
        <f aca="false">INDEX(Inputs!$H$40:$H$87,C387)</f>
        <v>45</v>
      </c>
      <c r="F387" s="78" t="n">
        <f aca="false">INDEX(Inputs!$G$40:$G$87,C387)</f>
        <v>55</v>
      </c>
      <c r="G387" s="32" t="n">
        <f aca="false">INDEX(Inputs!$I$40:$I$87,C387)</f>
        <v>4</v>
      </c>
      <c r="H387" s="46" t="n">
        <f aca="false">MATCH(A387,Demand_History!$C:$C,0)+B387-1</f>
        <v>2184</v>
      </c>
      <c r="I387" s="32" t="n">
        <f aca="false">INDEX(Forecast_Walkforward!$C:$C,H387)</f>
        <v>40</v>
      </c>
      <c r="J387" s="79" t="n">
        <f aca="false">INDEX(Forecast_Walkforward!$E:$E,H387)</f>
        <v>39.75</v>
      </c>
      <c r="K387" s="33" t="n">
        <f aca="false">Baseline_Weeks*J387</f>
        <v>159</v>
      </c>
      <c r="L387" s="46" t="n">
        <f aca="false">SUMIFS(P$373:P386,$B$373:$B386,$B387-$D387)</f>
        <v>28</v>
      </c>
      <c r="M387" s="46" t="n">
        <f aca="false">S386+L387</f>
        <v>28</v>
      </c>
      <c r="N387" s="46" t="n">
        <f aca="false">SUMIFS(P$373:P386,$B$373:$B386,"&gt;"&amp;($B387-$D387))</f>
        <v>104</v>
      </c>
      <c r="O387" s="46" t="n">
        <f aca="false">M387+N387</f>
        <v>132</v>
      </c>
      <c r="P387" s="47" t="n">
        <f aca="false">IF(O387&lt;K387,ROUNDUP((K387-O387)/G387,0)*G387,0)</f>
        <v>28</v>
      </c>
      <c r="Q387" s="46" t="n">
        <f aca="false">MIN(M387,I387)</f>
        <v>28</v>
      </c>
      <c r="R387" s="46" t="n">
        <f aca="false">I387-Q387</f>
        <v>12</v>
      </c>
      <c r="S387" s="46" t="n">
        <f aca="false">M387-Q387</f>
        <v>0</v>
      </c>
      <c r="T387" s="46" t="n">
        <f aca="false">IF(R387&gt;0,1,0)</f>
        <v>1</v>
      </c>
      <c r="U387" s="32" t="n">
        <f aca="false">INDEX(Forecast!$AY$7:$AY$54,C387)</f>
        <v>2</v>
      </c>
      <c r="V387" s="33" t="n">
        <f aca="false">CHOOSE(U387,INDEX(Forecast_Walkforward!$D:$D,H387),INDEX(Forecast_Walkforward!$E:$E,H387),INDEX(Forecast_Walkforward!$F:$F,H387),INDEX(Forecast_Walkforward!$G:$G,H387))</f>
        <v>39.75</v>
      </c>
      <c r="W387" s="79" t="n">
        <f aca="false">INDEX(Forecast!$BA$7:$BA$54,C387)</f>
        <v>5.8761150702016</v>
      </c>
      <c r="X387" s="33" t="n">
        <f aca="false">Z_Value*W387*SQRT(D387)</f>
        <v>19.3306983712106</v>
      </c>
      <c r="Y387" s="33" t="n">
        <f aca="false">V387*D387+X387</f>
        <v>178.330698371211</v>
      </c>
      <c r="Z387" s="33" t="n">
        <f aca="false">SQRT((2*V387*Weeks_Per_Year*F387)/(E387*Holding_Rate))</f>
        <v>158.944434735329</v>
      </c>
      <c r="AA387" s="46" t="n">
        <f aca="false">ROUNDUP(Z387/G387,0)*G387</f>
        <v>160</v>
      </c>
      <c r="AB387" s="46" t="n">
        <f aca="false">SUMIFS(AF$373:AF386,$B$373:$B386,$B387-$D387)</f>
        <v>0</v>
      </c>
      <c r="AC387" s="46" t="n">
        <f aca="false">AI386+AB387</f>
        <v>29</v>
      </c>
      <c r="AD387" s="46" t="n">
        <f aca="false">SUMIFS(AF$373:AF386,$B$373:$B386,"&gt;"&amp;($B387-$D387))</f>
        <v>160</v>
      </c>
      <c r="AE387" s="46" t="n">
        <f aca="false">AC387+AD387</f>
        <v>189</v>
      </c>
      <c r="AF387" s="47" t="n">
        <f aca="false">IF(AE387&lt;=Y387,AA387,0)</f>
        <v>0</v>
      </c>
      <c r="AG387" s="46" t="n">
        <f aca="false">MIN(AC387,I387)</f>
        <v>29</v>
      </c>
      <c r="AH387" s="46" t="n">
        <f aca="false">I387-AG387</f>
        <v>11</v>
      </c>
      <c r="AI387" s="46" t="n">
        <f aca="false">AC387-AG387</f>
        <v>0</v>
      </c>
      <c r="AJ387" s="46" t="n">
        <f aca="false">IF(AH387&gt;0,1,0)</f>
        <v>1</v>
      </c>
    </row>
    <row r="388" customFormat="false" ht="15" hidden="false" customHeight="false" outlineLevel="0" collapsed="false">
      <c r="A388" s="80" t="str">
        <f aca="false">Inputs!$B$60</f>
        <v>BED-001</v>
      </c>
      <c r="B388" s="81" t="n">
        <f aca="false">B387+1</f>
        <v>104</v>
      </c>
      <c r="C388" s="81" t="n">
        <f aca="false">MATCH(A388,Inputs!$B$40:$B$87,0)</f>
        <v>21</v>
      </c>
      <c r="D388" s="82" t="n">
        <f aca="false">INDEX(Inputs!$F$40:$F$87,C388)</f>
        <v>4</v>
      </c>
      <c r="E388" s="83" t="n">
        <f aca="false">INDEX(Inputs!$H$40:$H$87,C388)</f>
        <v>45</v>
      </c>
      <c r="F388" s="83" t="n">
        <f aca="false">INDEX(Inputs!$G$40:$G$87,C388)</f>
        <v>55</v>
      </c>
      <c r="G388" s="82" t="n">
        <f aca="false">INDEX(Inputs!$I$40:$I$87,C388)</f>
        <v>4</v>
      </c>
      <c r="H388" s="81" t="n">
        <f aca="false">MATCH(A388,Demand_History!$C:$C,0)+B388-1</f>
        <v>2185</v>
      </c>
      <c r="I388" s="82" t="n">
        <f aca="false">INDEX(Forecast_Walkforward!$C:$C,H388)</f>
        <v>38</v>
      </c>
      <c r="J388" s="84" t="n">
        <f aca="false">INDEX(Forecast_Walkforward!$E:$E,H388)</f>
        <v>39</v>
      </c>
      <c r="K388" s="85" t="n">
        <f aca="false">Baseline_Weeks*J388</f>
        <v>156</v>
      </c>
      <c r="L388" s="81" t="n">
        <f aca="false">SUMIFS(P$373:P387,$B$373:$B387,$B388-$D388)</f>
        <v>44</v>
      </c>
      <c r="M388" s="81" t="n">
        <f aca="false">S387+L388</f>
        <v>44</v>
      </c>
      <c r="N388" s="81" t="n">
        <f aca="false">SUMIFS(P$373:P387,$B$373:$B387,"&gt;"&amp;($B388-$D388))</f>
        <v>88</v>
      </c>
      <c r="O388" s="81" t="n">
        <f aca="false">M388+N388</f>
        <v>132</v>
      </c>
      <c r="P388" s="86" t="n">
        <f aca="false">IF(O388&lt;K388,ROUNDUP((K388-O388)/G388,0)*G388,0)</f>
        <v>24</v>
      </c>
      <c r="Q388" s="81" t="n">
        <f aca="false">MIN(M388,I388)</f>
        <v>38</v>
      </c>
      <c r="R388" s="81" t="n">
        <f aca="false">I388-Q388</f>
        <v>0</v>
      </c>
      <c r="S388" s="81" t="n">
        <f aca="false">M388-Q388</f>
        <v>6</v>
      </c>
      <c r="T388" s="81" t="n">
        <f aca="false">IF(R388&gt;0,1,0)</f>
        <v>0</v>
      </c>
      <c r="U388" s="82" t="n">
        <f aca="false">INDEX(Forecast!$AY$7:$AY$54,C388)</f>
        <v>2</v>
      </c>
      <c r="V388" s="85" t="n">
        <f aca="false">CHOOSE(U388,INDEX(Forecast_Walkforward!$D:$D,H388),INDEX(Forecast_Walkforward!$E:$E,H388),INDEX(Forecast_Walkforward!$F:$F,H388),INDEX(Forecast_Walkforward!$G:$G,H388))</f>
        <v>39</v>
      </c>
      <c r="W388" s="84" t="n">
        <f aca="false">INDEX(Forecast!$BA$7:$BA$54,C388)</f>
        <v>5.8761150702016</v>
      </c>
      <c r="X388" s="85" t="n">
        <f aca="false">Z_Value*W388*SQRT(D388)</f>
        <v>19.3306983712106</v>
      </c>
      <c r="Y388" s="85" t="n">
        <f aca="false">V388*D388+X388</f>
        <v>175.330698371211</v>
      </c>
      <c r="Z388" s="85" t="n">
        <f aca="false">SQRT((2*V388*Weeks_Per_Year*F388)/(E388*Holding_Rate))</f>
        <v>157.43781841307</v>
      </c>
      <c r="AA388" s="81" t="n">
        <f aca="false">ROUNDUP(Z388/G388,0)*G388</f>
        <v>160</v>
      </c>
      <c r="AB388" s="81" t="n">
        <f aca="false">SUMIFS(AF$373:AF387,$B$373:$B387,$B388-$D388)</f>
        <v>160</v>
      </c>
      <c r="AC388" s="81" t="n">
        <f aca="false">AI387+AB388</f>
        <v>160</v>
      </c>
      <c r="AD388" s="81" t="n">
        <f aca="false">SUMIFS(AF$373:AF387,$B$373:$B387,"&gt;"&amp;($B388-$D388))</f>
        <v>0</v>
      </c>
      <c r="AE388" s="81" t="n">
        <f aca="false">AC388+AD388</f>
        <v>160</v>
      </c>
      <c r="AF388" s="86" t="n">
        <f aca="false">IF(AE388&lt;=Y388,AA388,0)</f>
        <v>160</v>
      </c>
      <c r="AG388" s="81" t="n">
        <f aca="false">MIN(AC388,I388)</f>
        <v>38</v>
      </c>
      <c r="AH388" s="81" t="n">
        <f aca="false">I388-AG388</f>
        <v>0</v>
      </c>
      <c r="AI388" s="81" t="n">
        <f aca="false">AC388-AG388</f>
        <v>122</v>
      </c>
      <c r="AJ388" s="81" t="n">
        <f aca="false">IF(AH388&gt;0,1,0)</f>
        <v>0</v>
      </c>
    </row>
    <row r="389" customFormat="false" ht="15" hidden="false" customHeight="false" outlineLevel="0" collapsed="false">
      <c r="A389" s="31" t="str">
        <f aca="false">Inputs!$B$61</f>
        <v>BED-002</v>
      </c>
      <c r="B389" s="46" t="n">
        <f aca="false">BT_Start_Week</f>
        <v>89</v>
      </c>
      <c r="C389" s="46" t="n">
        <f aca="false">MATCH(A389,Inputs!$B$40:$B$87,0)</f>
        <v>22</v>
      </c>
      <c r="D389" s="32" t="n">
        <f aca="false">INDEX(Inputs!$F$40:$F$87,C389)</f>
        <v>4</v>
      </c>
      <c r="E389" s="78" t="n">
        <f aca="false">INDEX(Inputs!$H$40:$H$87,C389)</f>
        <v>14</v>
      </c>
      <c r="F389" s="78" t="n">
        <f aca="false">INDEX(Inputs!$G$40:$G$87,C389)</f>
        <v>55</v>
      </c>
      <c r="G389" s="32" t="n">
        <f aca="false">INDEX(Inputs!$I$40:$I$87,C389)</f>
        <v>8</v>
      </c>
      <c r="H389" s="46" t="n">
        <f aca="false">MATCH(A389,Demand_History!$C:$C,0)+B389-1</f>
        <v>2274</v>
      </c>
      <c r="I389" s="32" t="n">
        <f aca="false">INDEX(Forecast_Walkforward!$C:$C,H389)</f>
        <v>80</v>
      </c>
      <c r="J389" s="79" t="n">
        <f aca="false">INDEX(Forecast_Walkforward!$E:$E,H389)</f>
        <v>90.75</v>
      </c>
      <c r="K389" s="33" t="n">
        <f aca="false">Baseline_Weeks*J389</f>
        <v>363</v>
      </c>
      <c r="L389" s="46" t="n">
        <f aca="false">0</f>
        <v>0</v>
      </c>
      <c r="M389" s="46" t="n">
        <f aca="false">ROUND(BT_Open_Cover*INDEX(Forecast_Walkforward!$F:$F,H389),0)+L389</f>
        <v>536</v>
      </c>
      <c r="N389" s="46" t="n">
        <f aca="false">0</f>
        <v>0</v>
      </c>
      <c r="O389" s="46" t="n">
        <f aca="false">M389+N389</f>
        <v>536</v>
      </c>
      <c r="P389" s="47" t="n">
        <f aca="false">IF(O389&lt;K389,ROUNDUP((K389-O389)/G389,0)*G389,0)</f>
        <v>0</v>
      </c>
      <c r="Q389" s="46" t="n">
        <f aca="false">MIN(M389,I389)</f>
        <v>80</v>
      </c>
      <c r="R389" s="46" t="n">
        <f aca="false">I389-Q389</f>
        <v>0</v>
      </c>
      <c r="S389" s="46" t="n">
        <f aca="false">M389-Q389</f>
        <v>456</v>
      </c>
      <c r="T389" s="46" t="n">
        <f aca="false">IF(R389&gt;0,1,0)</f>
        <v>0</v>
      </c>
      <c r="U389" s="32" t="n">
        <f aca="false">INDEX(Forecast!$AY$7:$AY$54,C389)</f>
        <v>3</v>
      </c>
      <c r="V389" s="33" t="n">
        <f aca="false">CHOOSE(U389,INDEX(Forecast_Walkforward!$D:$D,H389),INDEX(Forecast_Walkforward!$E:$E,H389),INDEX(Forecast_Walkforward!$F:$F,H389),INDEX(Forecast_Walkforward!$G:$G,H389))</f>
        <v>89.375</v>
      </c>
      <c r="W389" s="79" t="n">
        <f aca="false">INDEX(Forecast!$BA$7:$BA$54,C389)</f>
        <v>11.2736177429242</v>
      </c>
      <c r="X389" s="33" t="n">
        <f aca="false">Z_Value*W389*SQRT(D389)</f>
        <v>37.0869020666266</v>
      </c>
      <c r="Y389" s="33" t="n">
        <f aca="false">V389*D389+X389</f>
        <v>394.586902066627</v>
      </c>
      <c r="Z389" s="33" t="n">
        <f aca="false">SQRT((2*V389*Weeks_Per_Year*F389)/(E389*Holding_Rate))</f>
        <v>427.294227837046</v>
      </c>
      <c r="AA389" s="46" t="n">
        <f aca="false">ROUNDUP(Z389/G389,0)*G389</f>
        <v>432</v>
      </c>
      <c r="AB389" s="46" t="n">
        <f aca="false">0</f>
        <v>0</v>
      </c>
      <c r="AC389" s="46" t="n">
        <f aca="false">ROUND(BT_Open_Cover*INDEX(Forecast_Walkforward!$F:$F,H389),0)+AB389</f>
        <v>536</v>
      </c>
      <c r="AD389" s="46" t="n">
        <f aca="false">0</f>
        <v>0</v>
      </c>
      <c r="AE389" s="46" t="n">
        <f aca="false">AC389+AD389</f>
        <v>536</v>
      </c>
      <c r="AF389" s="47" t="n">
        <f aca="false">IF(AE389&lt;=Y389,AA389,0)</f>
        <v>0</v>
      </c>
      <c r="AG389" s="46" t="n">
        <f aca="false">MIN(AC389,I389)</f>
        <v>80</v>
      </c>
      <c r="AH389" s="46" t="n">
        <f aca="false">I389-AG389</f>
        <v>0</v>
      </c>
      <c r="AI389" s="46" t="n">
        <f aca="false">AC389-AG389</f>
        <v>456</v>
      </c>
      <c r="AJ389" s="46" t="n">
        <f aca="false">IF(AH389&gt;0,1,0)</f>
        <v>0</v>
      </c>
    </row>
    <row r="390" customFormat="false" ht="15" hidden="false" customHeight="false" outlineLevel="0" collapsed="false">
      <c r="A390" s="31" t="str">
        <f aca="false">Inputs!$B$61</f>
        <v>BED-002</v>
      </c>
      <c r="B390" s="46" t="n">
        <f aca="false">B389+1</f>
        <v>90</v>
      </c>
      <c r="C390" s="46" t="n">
        <f aca="false">MATCH(A390,Inputs!$B$40:$B$87,0)</f>
        <v>22</v>
      </c>
      <c r="D390" s="32" t="n">
        <f aca="false">INDEX(Inputs!$F$40:$F$87,C390)</f>
        <v>4</v>
      </c>
      <c r="E390" s="78" t="n">
        <f aca="false">INDEX(Inputs!$H$40:$H$87,C390)</f>
        <v>14</v>
      </c>
      <c r="F390" s="78" t="n">
        <f aca="false">INDEX(Inputs!$G$40:$G$87,C390)</f>
        <v>55</v>
      </c>
      <c r="G390" s="32" t="n">
        <f aca="false">INDEX(Inputs!$I$40:$I$87,C390)</f>
        <v>8</v>
      </c>
      <c r="H390" s="46" t="n">
        <f aca="false">MATCH(A390,Demand_History!$C:$C,0)+B390-1</f>
        <v>2275</v>
      </c>
      <c r="I390" s="32" t="n">
        <f aca="false">INDEX(Forecast_Walkforward!$C:$C,H390)</f>
        <v>124</v>
      </c>
      <c r="J390" s="79" t="n">
        <f aca="false">INDEX(Forecast_Walkforward!$E:$E,H390)</f>
        <v>85.5</v>
      </c>
      <c r="K390" s="33" t="n">
        <f aca="false">Baseline_Weeks*J390</f>
        <v>342</v>
      </c>
      <c r="L390" s="46" t="n">
        <f aca="false">SUMIFS(P$389:P389,$B$389:$B389,$B390-$D390)</f>
        <v>0</v>
      </c>
      <c r="M390" s="46" t="n">
        <f aca="false">S389+L390</f>
        <v>456</v>
      </c>
      <c r="N390" s="46" t="n">
        <f aca="false">SUMIFS(P$389:P389,$B$389:$B389,"&gt;"&amp;($B390-$D390))</f>
        <v>0</v>
      </c>
      <c r="O390" s="46" t="n">
        <f aca="false">M390+N390</f>
        <v>456</v>
      </c>
      <c r="P390" s="47" t="n">
        <f aca="false">IF(O390&lt;K390,ROUNDUP((K390-O390)/G390,0)*G390,0)</f>
        <v>0</v>
      </c>
      <c r="Q390" s="46" t="n">
        <f aca="false">MIN(M390,I390)</f>
        <v>124</v>
      </c>
      <c r="R390" s="46" t="n">
        <f aca="false">I390-Q390</f>
        <v>0</v>
      </c>
      <c r="S390" s="46" t="n">
        <f aca="false">M390-Q390</f>
        <v>332</v>
      </c>
      <c r="T390" s="46" t="n">
        <f aca="false">IF(R390&gt;0,1,0)</f>
        <v>0</v>
      </c>
      <c r="U390" s="32" t="n">
        <f aca="false">INDEX(Forecast!$AY$7:$AY$54,C390)</f>
        <v>3</v>
      </c>
      <c r="V390" s="33" t="n">
        <f aca="false">CHOOSE(U390,INDEX(Forecast_Walkforward!$D:$D,H390),INDEX(Forecast_Walkforward!$E:$E,H390),INDEX(Forecast_Walkforward!$F:$F,H390),INDEX(Forecast_Walkforward!$G:$G,H390))</f>
        <v>85</v>
      </c>
      <c r="W390" s="79" t="n">
        <f aca="false">INDEX(Forecast!$BA$7:$BA$54,C390)</f>
        <v>11.2736177429242</v>
      </c>
      <c r="X390" s="33" t="n">
        <f aca="false">Z_Value*W390*SQRT(D390)</f>
        <v>37.0869020666266</v>
      </c>
      <c r="Y390" s="33" t="n">
        <f aca="false">V390*D390+X390</f>
        <v>377.086902066627</v>
      </c>
      <c r="Z390" s="33" t="n">
        <f aca="false">SQRT((2*V390*Weeks_Per_Year*F390)/(E390*Holding_Rate))</f>
        <v>416.704760163425</v>
      </c>
      <c r="AA390" s="46" t="n">
        <f aca="false">ROUNDUP(Z390/G390,0)*G390</f>
        <v>424</v>
      </c>
      <c r="AB390" s="46" t="n">
        <f aca="false">SUMIFS(AF$389:AF389,$B$389:$B389,$B390-$D390)</f>
        <v>0</v>
      </c>
      <c r="AC390" s="46" t="n">
        <f aca="false">AI389+AB390</f>
        <v>456</v>
      </c>
      <c r="AD390" s="46" t="n">
        <f aca="false">SUMIFS(AF$389:AF389,$B$389:$B389,"&gt;"&amp;($B390-$D390))</f>
        <v>0</v>
      </c>
      <c r="AE390" s="46" t="n">
        <f aca="false">AC390+AD390</f>
        <v>456</v>
      </c>
      <c r="AF390" s="47" t="n">
        <f aca="false">IF(AE390&lt;=Y390,AA390,0)</f>
        <v>0</v>
      </c>
      <c r="AG390" s="46" t="n">
        <f aca="false">MIN(AC390,I390)</f>
        <v>124</v>
      </c>
      <c r="AH390" s="46" t="n">
        <f aca="false">I390-AG390</f>
        <v>0</v>
      </c>
      <c r="AI390" s="46" t="n">
        <f aca="false">AC390-AG390</f>
        <v>332</v>
      </c>
      <c r="AJ390" s="46" t="n">
        <f aca="false">IF(AH390&gt;0,1,0)</f>
        <v>0</v>
      </c>
    </row>
    <row r="391" customFormat="false" ht="15" hidden="false" customHeight="false" outlineLevel="0" collapsed="false">
      <c r="A391" s="31" t="str">
        <f aca="false">Inputs!$B$61</f>
        <v>BED-002</v>
      </c>
      <c r="B391" s="46" t="n">
        <f aca="false">B390+1</f>
        <v>91</v>
      </c>
      <c r="C391" s="46" t="n">
        <f aca="false">MATCH(A391,Inputs!$B$40:$B$87,0)</f>
        <v>22</v>
      </c>
      <c r="D391" s="32" t="n">
        <f aca="false">INDEX(Inputs!$F$40:$F$87,C391)</f>
        <v>4</v>
      </c>
      <c r="E391" s="78" t="n">
        <f aca="false">INDEX(Inputs!$H$40:$H$87,C391)</f>
        <v>14</v>
      </c>
      <c r="F391" s="78" t="n">
        <f aca="false">INDEX(Inputs!$G$40:$G$87,C391)</f>
        <v>55</v>
      </c>
      <c r="G391" s="32" t="n">
        <f aca="false">INDEX(Inputs!$I$40:$I$87,C391)</f>
        <v>8</v>
      </c>
      <c r="H391" s="46" t="n">
        <f aca="false">MATCH(A391,Demand_History!$C:$C,0)+B391-1</f>
        <v>2276</v>
      </c>
      <c r="I391" s="32" t="n">
        <f aca="false">INDEX(Forecast_Walkforward!$C:$C,H391)</f>
        <v>86</v>
      </c>
      <c r="J391" s="79" t="n">
        <f aca="false">INDEX(Forecast_Walkforward!$E:$E,H391)</f>
        <v>95.75</v>
      </c>
      <c r="K391" s="33" t="n">
        <f aca="false">Baseline_Weeks*J391</f>
        <v>383</v>
      </c>
      <c r="L391" s="46" t="n">
        <f aca="false">SUMIFS(P$389:P390,$B$389:$B390,$B391-$D391)</f>
        <v>0</v>
      </c>
      <c r="M391" s="46" t="n">
        <f aca="false">S390+L391</f>
        <v>332</v>
      </c>
      <c r="N391" s="46" t="n">
        <f aca="false">SUMIFS(P$389:P390,$B$389:$B390,"&gt;"&amp;($B391-$D391))</f>
        <v>0</v>
      </c>
      <c r="O391" s="46" t="n">
        <f aca="false">M391+N391</f>
        <v>332</v>
      </c>
      <c r="P391" s="47" t="n">
        <f aca="false">IF(O391&lt;K391,ROUNDUP((K391-O391)/G391,0)*G391,0)</f>
        <v>56</v>
      </c>
      <c r="Q391" s="46" t="n">
        <f aca="false">MIN(M391,I391)</f>
        <v>86</v>
      </c>
      <c r="R391" s="46" t="n">
        <f aca="false">I391-Q391</f>
        <v>0</v>
      </c>
      <c r="S391" s="46" t="n">
        <f aca="false">M391-Q391</f>
        <v>246</v>
      </c>
      <c r="T391" s="46" t="n">
        <f aca="false">IF(R391&gt;0,1,0)</f>
        <v>0</v>
      </c>
      <c r="U391" s="32" t="n">
        <f aca="false">INDEX(Forecast!$AY$7:$AY$54,C391)</f>
        <v>3</v>
      </c>
      <c r="V391" s="33" t="n">
        <f aca="false">CHOOSE(U391,INDEX(Forecast_Walkforward!$D:$D,H391),INDEX(Forecast_Walkforward!$E:$E,H391),INDEX(Forecast_Walkforward!$F:$F,H391),INDEX(Forecast_Walkforward!$G:$G,H391))</f>
        <v>90.375</v>
      </c>
      <c r="W391" s="79" t="n">
        <f aca="false">INDEX(Forecast!$BA$7:$BA$54,C391)</f>
        <v>11.2736177429242</v>
      </c>
      <c r="X391" s="33" t="n">
        <f aca="false">Z_Value*W391*SQRT(D391)</f>
        <v>37.0869020666266</v>
      </c>
      <c r="Y391" s="33" t="n">
        <f aca="false">V391*D391+X391</f>
        <v>398.586902066627</v>
      </c>
      <c r="Z391" s="33" t="n">
        <f aca="false">SQRT((2*V391*Weeks_Per_Year*F391)/(E391*Holding_Rate))</f>
        <v>429.678035610053</v>
      </c>
      <c r="AA391" s="46" t="n">
        <f aca="false">ROUNDUP(Z391/G391,0)*G391</f>
        <v>432</v>
      </c>
      <c r="AB391" s="46" t="n">
        <f aca="false">SUMIFS(AF$389:AF390,$B$389:$B390,$B391-$D391)</f>
        <v>0</v>
      </c>
      <c r="AC391" s="46" t="n">
        <f aca="false">AI390+AB391</f>
        <v>332</v>
      </c>
      <c r="AD391" s="46" t="n">
        <f aca="false">SUMIFS(AF$389:AF390,$B$389:$B390,"&gt;"&amp;($B391-$D391))</f>
        <v>0</v>
      </c>
      <c r="AE391" s="46" t="n">
        <f aca="false">AC391+AD391</f>
        <v>332</v>
      </c>
      <c r="AF391" s="47" t="n">
        <f aca="false">IF(AE391&lt;=Y391,AA391,0)</f>
        <v>432</v>
      </c>
      <c r="AG391" s="46" t="n">
        <f aca="false">MIN(AC391,I391)</f>
        <v>86</v>
      </c>
      <c r="AH391" s="46" t="n">
        <f aca="false">I391-AG391</f>
        <v>0</v>
      </c>
      <c r="AI391" s="46" t="n">
        <f aca="false">AC391-AG391</f>
        <v>246</v>
      </c>
      <c r="AJ391" s="46" t="n">
        <f aca="false">IF(AH391&gt;0,1,0)</f>
        <v>0</v>
      </c>
    </row>
    <row r="392" customFormat="false" ht="15" hidden="false" customHeight="false" outlineLevel="0" collapsed="false">
      <c r="A392" s="31" t="str">
        <f aca="false">Inputs!$B$61</f>
        <v>BED-002</v>
      </c>
      <c r="B392" s="46" t="n">
        <f aca="false">B391+1</f>
        <v>92</v>
      </c>
      <c r="C392" s="46" t="n">
        <f aca="false">MATCH(A392,Inputs!$B$40:$B$87,0)</f>
        <v>22</v>
      </c>
      <c r="D392" s="32" t="n">
        <f aca="false">INDEX(Inputs!$F$40:$F$87,C392)</f>
        <v>4</v>
      </c>
      <c r="E392" s="78" t="n">
        <f aca="false">INDEX(Inputs!$H$40:$H$87,C392)</f>
        <v>14</v>
      </c>
      <c r="F392" s="78" t="n">
        <f aca="false">INDEX(Inputs!$G$40:$G$87,C392)</f>
        <v>55</v>
      </c>
      <c r="G392" s="32" t="n">
        <f aca="false">INDEX(Inputs!$I$40:$I$87,C392)</f>
        <v>8</v>
      </c>
      <c r="H392" s="46" t="n">
        <f aca="false">MATCH(A392,Demand_History!$C:$C,0)+B392-1</f>
        <v>2277</v>
      </c>
      <c r="I392" s="32" t="n">
        <f aca="false">INDEX(Forecast_Walkforward!$C:$C,H392)</f>
        <v>78</v>
      </c>
      <c r="J392" s="79" t="n">
        <f aca="false">INDEX(Forecast_Walkforward!$E:$E,H392)</f>
        <v>94</v>
      </c>
      <c r="K392" s="33" t="n">
        <f aca="false">Baseline_Weeks*J392</f>
        <v>376</v>
      </c>
      <c r="L392" s="46" t="n">
        <f aca="false">SUMIFS(P$389:P391,$B$389:$B391,$B392-$D392)</f>
        <v>0</v>
      </c>
      <c r="M392" s="46" t="n">
        <f aca="false">S391+L392</f>
        <v>246</v>
      </c>
      <c r="N392" s="46" t="n">
        <f aca="false">SUMIFS(P$389:P391,$B$389:$B391,"&gt;"&amp;($B392-$D392))</f>
        <v>56</v>
      </c>
      <c r="O392" s="46" t="n">
        <f aca="false">M392+N392</f>
        <v>302</v>
      </c>
      <c r="P392" s="47" t="n">
        <f aca="false">IF(O392&lt;K392,ROUNDUP((K392-O392)/G392,0)*G392,0)</f>
        <v>80</v>
      </c>
      <c r="Q392" s="46" t="n">
        <f aca="false">MIN(M392,I392)</f>
        <v>78</v>
      </c>
      <c r="R392" s="46" t="n">
        <f aca="false">I392-Q392</f>
        <v>0</v>
      </c>
      <c r="S392" s="46" t="n">
        <f aca="false">M392-Q392</f>
        <v>168</v>
      </c>
      <c r="T392" s="46" t="n">
        <f aca="false">IF(R392&gt;0,1,0)</f>
        <v>0</v>
      </c>
      <c r="U392" s="32" t="n">
        <f aca="false">INDEX(Forecast!$AY$7:$AY$54,C392)</f>
        <v>3</v>
      </c>
      <c r="V392" s="33" t="n">
        <f aca="false">CHOOSE(U392,INDEX(Forecast_Walkforward!$D:$D,H392),INDEX(Forecast_Walkforward!$E:$E,H392),INDEX(Forecast_Walkforward!$F:$F,H392),INDEX(Forecast_Walkforward!$G:$G,H392))</f>
        <v>92.25</v>
      </c>
      <c r="W392" s="79" t="n">
        <f aca="false">INDEX(Forecast!$BA$7:$BA$54,C392)</f>
        <v>11.2736177429242</v>
      </c>
      <c r="X392" s="33" t="n">
        <f aca="false">Z_Value*W392*SQRT(D392)</f>
        <v>37.0869020666266</v>
      </c>
      <c r="Y392" s="33" t="n">
        <f aca="false">V392*D392+X392</f>
        <v>406.086902066627</v>
      </c>
      <c r="Z392" s="33" t="n">
        <f aca="false">SQRT((2*V392*Weeks_Per_Year*F392)/(E392*Holding_Rate))</f>
        <v>434.112394926212</v>
      </c>
      <c r="AA392" s="46" t="n">
        <f aca="false">ROUNDUP(Z392/G392,0)*G392</f>
        <v>440</v>
      </c>
      <c r="AB392" s="46" t="n">
        <f aca="false">SUMIFS(AF$389:AF391,$B$389:$B391,$B392-$D392)</f>
        <v>0</v>
      </c>
      <c r="AC392" s="46" t="n">
        <f aca="false">AI391+AB392</f>
        <v>246</v>
      </c>
      <c r="AD392" s="46" t="n">
        <f aca="false">SUMIFS(AF$389:AF391,$B$389:$B391,"&gt;"&amp;($B392-$D392))</f>
        <v>432</v>
      </c>
      <c r="AE392" s="46" t="n">
        <f aca="false">AC392+AD392</f>
        <v>678</v>
      </c>
      <c r="AF392" s="47" t="n">
        <f aca="false">IF(AE392&lt;=Y392,AA392,0)</f>
        <v>0</v>
      </c>
      <c r="AG392" s="46" t="n">
        <f aca="false">MIN(AC392,I392)</f>
        <v>78</v>
      </c>
      <c r="AH392" s="46" t="n">
        <f aca="false">I392-AG392</f>
        <v>0</v>
      </c>
      <c r="AI392" s="46" t="n">
        <f aca="false">AC392-AG392</f>
        <v>168</v>
      </c>
      <c r="AJ392" s="46" t="n">
        <f aca="false">IF(AH392&gt;0,1,0)</f>
        <v>0</v>
      </c>
    </row>
    <row r="393" customFormat="false" ht="15" hidden="false" customHeight="false" outlineLevel="0" collapsed="false">
      <c r="A393" s="31" t="str">
        <f aca="false">Inputs!$B$61</f>
        <v>BED-002</v>
      </c>
      <c r="B393" s="46" t="n">
        <f aca="false">B392+1</f>
        <v>93</v>
      </c>
      <c r="C393" s="46" t="n">
        <f aca="false">MATCH(A393,Inputs!$B$40:$B$87,0)</f>
        <v>22</v>
      </c>
      <c r="D393" s="32" t="n">
        <f aca="false">INDEX(Inputs!$F$40:$F$87,C393)</f>
        <v>4</v>
      </c>
      <c r="E393" s="78" t="n">
        <f aca="false">INDEX(Inputs!$H$40:$H$87,C393)</f>
        <v>14</v>
      </c>
      <c r="F393" s="78" t="n">
        <f aca="false">INDEX(Inputs!$G$40:$G$87,C393)</f>
        <v>55</v>
      </c>
      <c r="G393" s="32" t="n">
        <f aca="false">INDEX(Inputs!$I$40:$I$87,C393)</f>
        <v>8</v>
      </c>
      <c r="H393" s="46" t="n">
        <f aca="false">MATCH(A393,Demand_History!$C:$C,0)+B393-1</f>
        <v>2278</v>
      </c>
      <c r="I393" s="32" t="n">
        <f aca="false">INDEX(Forecast_Walkforward!$C:$C,H393)</f>
        <v>79</v>
      </c>
      <c r="J393" s="79" t="n">
        <f aca="false">INDEX(Forecast_Walkforward!$E:$E,H393)</f>
        <v>92</v>
      </c>
      <c r="K393" s="33" t="n">
        <f aca="false">Baseline_Weeks*J393</f>
        <v>368</v>
      </c>
      <c r="L393" s="46" t="n">
        <f aca="false">SUMIFS(P$389:P392,$B$389:$B392,$B393-$D393)</f>
        <v>0</v>
      </c>
      <c r="M393" s="46" t="n">
        <f aca="false">S392+L393</f>
        <v>168</v>
      </c>
      <c r="N393" s="46" t="n">
        <f aca="false">SUMIFS(P$389:P392,$B$389:$B392,"&gt;"&amp;($B393-$D393))</f>
        <v>136</v>
      </c>
      <c r="O393" s="46" t="n">
        <f aca="false">M393+N393</f>
        <v>304</v>
      </c>
      <c r="P393" s="47" t="n">
        <f aca="false">IF(O393&lt;K393,ROUNDUP((K393-O393)/G393,0)*G393,0)</f>
        <v>64</v>
      </c>
      <c r="Q393" s="46" t="n">
        <f aca="false">MIN(M393,I393)</f>
        <v>79</v>
      </c>
      <c r="R393" s="46" t="n">
        <f aca="false">I393-Q393</f>
        <v>0</v>
      </c>
      <c r="S393" s="46" t="n">
        <f aca="false">M393-Q393</f>
        <v>89</v>
      </c>
      <c r="T393" s="46" t="n">
        <f aca="false">IF(R393&gt;0,1,0)</f>
        <v>0</v>
      </c>
      <c r="U393" s="32" t="n">
        <f aca="false">INDEX(Forecast!$AY$7:$AY$54,C393)</f>
        <v>3</v>
      </c>
      <c r="V393" s="33" t="n">
        <f aca="false">CHOOSE(U393,INDEX(Forecast_Walkforward!$D:$D,H393),INDEX(Forecast_Walkforward!$E:$E,H393),INDEX(Forecast_Walkforward!$F:$F,H393),INDEX(Forecast_Walkforward!$G:$G,H393))</f>
        <v>91.375</v>
      </c>
      <c r="W393" s="79" t="n">
        <f aca="false">INDEX(Forecast!$BA$7:$BA$54,C393)</f>
        <v>11.2736177429242</v>
      </c>
      <c r="X393" s="33" t="n">
        <f aca="false">Z_Value*W393*SQRT(D393)</f>
        <v>37.0869020666266</v>
      </c>
      <c r="Y393" s="33" t="n">
        <f aca="false">V393*D393+X393</f>
        <v>402.586902066627</v>
      </c>
      <c r="Z393" s="33" t="n">
        <f aca="false">SQRT((2*V393*Weeks_Per_Year*F393)/(E393*Holding_Rate))</f>
        <v>432.048691039067</v>
      </c>
      <c r="AA393" s="46" t="n">
        <f aca="false">ROUNDUP(Z393/G393,0)*G393</f>
        <v>440</v>
      </c>
      <c r="AB393" s="46" t="n">
        <f aca="false">SUMIFS(AF$389:AF392,$B$389:$B392,$B393-$D393)</f>
        <v>0</v>
      </c>
      <c r="AC393" s="46" t="n">
        <f aca="false">AI392+AB393</f>
        <v>168</v>
      </c>
      <c r="AD393" s="46" t="n">
        <f aca="false">SUMIFS(AF$389:AF392,$B$389:$B392,"&gt;"&amp;($B393-$D393))</f>
        <v>432</v>
      </c>
      <c r="AE393" s="46" t="n">
        <f aca="false">AC393+AD393</f>
        <v>600</v>
      </c>
      <c r="AF393" s="47" t="n">
        <f aca="false">IF(AE393&lt;=Y393,AA393,0)</f>
        <v>0</v>
      </c>
      <c r="AG393" s="46" t="n">
        <f aca="false">MIN(AC393,I393)</f>
        <v>79</v>
      </c>
      <c r="AH393" s="46" t="n">
        <f aca="false">I393-AG393</f>
        <v>0</v>
      </c>
      <c r="AI393" s="46" t="n">
        <f aca="false">AC393-AG393</f>
        <v>89</v>
      </c>
      <c r="AJ393" s="46" t="n">
        <f aca="false">IF(AH393&gt;0,1,0)</f>
        <v>0</v>
      </c>
    </row>
    <row r="394" customFormat="false" ht="15" hidden="false" customHeight="false" outlineLevel="0" collapsed="false">
      <c r="A394" s="31" t="str">
        <f aca="false">Inputs!$B$61</f>
        <v>BED-002</v>
      </c>
      <c r="B394" s="46" t="n">
        <f aca="false">B393+1</f>
        <v>94</v>
      </c>
      <c r="C394" s="46" t="n">
        <f aca="false">MATCH(A394,Inputs!$B$40:$B$87,0)</f>
        <v>22</v>
      </c>
      <c r="D394" s="32" t="n">
        <f aca="false">INDEX(Inputs!$F$40:$F$87,C394)</f>
        <v>4</v>
      </c>
      <c r="E394" s="78" t="n">
        <f aca="false">INDEX(Inputs!$H$40:$H$87,C394)</f>
        <v>14</v>
      </c>
      <c r="F394" s="78" t="n">
        <f aca="false">INDEX(Inputs!$G$40:$G$87,C394)</f>
        <v>55</v>
      </c>
      <c r="G394" s="32" t="n">
        <f aca="false">INDEX(Inputs!$I$40:$I$87,C394)</f>
        <v>8</v>
      </c>
      <c r="H394" s="46" t="n">
        <f aca="false">MATCH(A394,Demand_History!$C:$C,0)+B394-1</f>
        <v>2279</v>
      </c>
      <c r="I394" s="32" t="n">
        <f aca="false">INDEX(Forecast_Walkforward!$C:$C,H394)</f>
        <v>90</v>
      </c>
      <c r="J394" s="79" t="n">
        <f aca="false">INDEX(Forecast_Walkforward!$E:$E,H394)</f>
        <v>91.75</v>
      </c>
      <c r="K394" s="33" t="n">
        <f aca="false">Baseline_Weeks*J394</f>
        <v>367</v>
      </c>
      <c r="L394" s="46" t="n">
        <f aca="false">SUMIFS(P$389:P393,$B$389:$B393,$B394-$D394)</f>
        <v>0</v>
      </c>
      <c r="M394" s="46" t="n">
        <f aca="false">S393+L394</f>
        <v>89</v>
      </c>
      <c r="N394" s="46" t="n">
        <f aca="false">SUMIFS(P$389:P393,$B$389:$B393,"&gt;"&amp;($B394-$D394))</f>
        <v>200</v>
      </c>
      <c r="O394" s="46" t="n">
        <f aca="false">M394+N394</f>
        <v>289</v>
      </c>
      <c r="P394" s="47" t="n">
        <f aca="false">IF(O394&lt;K394,ROUNDUP((K394-O394)/G394,0)*G394,0)</f>
        <v>80</v>
      </c>
      <c r="Q394" s="46" t="n">
        <f aca="false">MIN(M394,I394)</f>
        <v>89</v>
      </c>
      <c r="R394" s="46" t="n">
        <f aca="false">I394-Q394</f>
        <v>1</v>
      </c>
      <c r="S394" s="46" t="n">
        <f aca="false">M394-Q394</f>
        <v>0</v>
      </c>
      <c r="T394" s="46" t="n">
        <f aca="false">IF(R394&gt;0,1,0)</f>
        <v>1</v>
      </c>
      <c r="U394" s="32" t="n">
        <f aca="false">INDEX(Forecast!$AY$7:$AY$54,C394)</f>
        <v>3</v>
      </c>
      <c r="V394" s="33" t="n">
        <f aca="false">CHOOSE(U394,INDEX(Forecast_Walkforward!$D:$D,H394),INDEX(Forecast_Walkforward!$E:$E,H394),INDEX(Forecast_Walkforward!$F:$F,H394),INDEX(Forecast_Walkforward!$G:$G,H394))</f>
        <v>88.625</v>
      </c>
      <c r="W394" s="79" t="n">
        <f aca="false">INDEX(Forecast!$BA$7:$BA$54,C394)</f>
        <v>11.2736177429242</v>
      </c>
      <c r="X394" s="33" t="n">
        <f aca="false">Z_Value*W394*SQRT(D394)</f>
        <v>37.0869020666266</v>
      </c>
      <c r="Y394" s="33" t="n">
        <f aca="false">V394*D394+X394</f>
        <v>391.586902066627</v>
      </c>
      <c r="Z394" s="33" t="n">
        <f aca="false">SQRT((2*V394*Weeks_Per_Year*F394)/(E394*Holding_Rate))</f>
        <v>425.497607849579</v>
      </c>
      <c r="AA394" s="46" t="n">
        <f aca="false">ROUNDUP(Z394/G394,0)*G394</f>
        <v>432</v>
      </c>
      <c r="AB394" s="46" t="n">
        <f aca="false">SUMIFS(AF$389:AF393,$B$389:$B393,$B394-$D394)</f>
        <v>0</v>
      </c>
      <c r="AC394" s="46" t="n">
        <f aca="false">AI393+AB394</f>
        <v>89</v>
      </c>
      <c r="AD394" s="46" t="n">
        <f aca="false">SUMIFS(AF$389:AF393,$B$389:$B393,"&gt;"&amp;($B394-$D394))</f>
        <v>432</v>
      </c>
      <c r="AE394" s="46" t="n">
        <f aca="false">AC394+AD394</f>
        <v>521</v>
      </c>
      <c r="AF394" s="47" t="n">
        <f aca="false">IF(AE394&lt;=Y394,AA394,0)</f>
        <v>0</v>
      </c>
      <c r="AG394" s="46" t="n">
        <f aca="false">MIN(AC394,I394)</f>
        <v>89</v>
      </c>
      <c r="AH394" s="46" t="n">
        <f aca="false">I394-AG394</f>
        <v>1</v>
      </c>
      <c r="AI394" s="46" t="n">
        <f aca="false">AC394-AG394</f>
        <v>0</v>
      </c>
      <c r="AJ394" s="46" t="n">
        <f aca="false">IF(AH394&gt;0,1,0)</f>
        <v>1</v>
      </c>
    </row>
    <row r="395" customFormat="false" ht="15" hidden="false" customHeight="false" outlineLevel="0" collapsed="false">
      <c r="A395" s="31" t="str">
        <f aca="false">Inputs!$B$61</f>
        <v>BED-002</v>
      </c>
      <c r="B395" s="46" t="n">
        <f aca="false">B394+1</f>
        <v>95</v>
      </c>
      <c r="C395" s="46" t="n">
        <f aca="false">MATCH(A395,Inputs!$B$40:$B$87,0)</f>
        <v>22</v>
      </c>
      <c r="D395" s="32" t="n">
        <f aca="false">INDEX(Inputs!$F$40:$F$87,C395)</f>
        <v>4</v>
      </c>
      <c r="E395" s="78" t="n">
        <f aca="false">INDEX(Inputs!$H$40:$H$87,C395)</f>
        <v>14</v>
      </c>
      <c r="F395" s="78" t="n">
        <f aca="false">INDEX(Inputs!$G$40:$G$87,C395)</f>
        <v>55</v>
      </c>
      <c r="G395" s="32" t="n">
        <f aca="false">INDEX(Inputs!$I$40:$I$87,C395)</f>
        <v>8</v>
      </c>
      <c r="H395" s="46" t="n">
        <f aca="false">MATCH(A395,Demand_History!$C:$C,0)+B395-1</f>
        <v>2280</v>
      </c>
      <c r="I395" s="32" t="n">
        <f aca="false">INDEX(Forecast_Walkforward!$C:$C,H395)</f>
        <v>90</v>
      </c>
      <c r="J395" s="79" t="n">
        <f aca="false">INDEX(Forecast_Walkforward!$E:$E,H395)</f>
        <v>83.25</v>
      </c>
      <c r="K395" s="33" t="n">
        <f aca="false">Baseline_Weeks*J395</f>
        <v>333</v>
      </c>
      <c r="L395" s="46" t="n">
        <f aca="false">SUMIFS(P$389:P394,$B$389:$B394,$B395-$D395)</f>
        <v>56</v>
      </c>
      <c r="M395" s="46" t="n">
        <f aca="false">S394+L395</f>
        <v>56</v>
      </c>
      <c r="N395" s="46" t="n">
        <f aca="false">SUMIFS(P$389:P394,$B$389:$B394,"&gt;"&amp;($B395-$D395))</f>
        <v>224</v>
      </c>
      <c r="O395" s="46" t="n">
        <f aca="false">M395+N395</f>
        <v>280</v>
      </c>
      <c r="P395" s="47" t="n">
        <f aca="false">IF(O395&lt;K395,ROUNDUP((K395-O395)/G395,0)*G395,0)</f>
        <v>56</v>
      </c>
      <c r="Q395" s="46" t="n">
        <f aca="false">MIN(M395,I395)</f>
        <v>56</v>
      </c>
      <c r="R395" s="46" t="n">
        <f aca="false">I395-Q395</f>
        <v>34</v>
      </c>
      <c r="S395" s="46" t="n">
        <f aca="false">M395-Q395</f>
        <v>0</v>
      </c>
      <c r="T395" s="46" t="n">
        <f aca="false">IF(R395&gt;0,1,0)</f>
        <v>1</v>
      </c>
      <c r="U395" s="32" t="n">
        <f aca="false">INDEX(Forecast!$AY$7:$AY$54,C395)</f>
        <v>3</v>
      </c>
      <c r="V395" s="33" t="n">
        <f aca="false">CHOOSE(U395,INDEX(Forecast_Walkforward!$D:$D,H395),INDEX(Forecast_Walkforward!$E:$E,H395),INDEX(Forecast_Walkforward!$F:$F,H395),INDEX(Forecast_Walkforward!$G:$G,H395))</f>
        <v>89.5</v>
      </c>
      <c r="W395" s="79" t="n">
        <f aca="false">INDEX(Forecast!$BA$7:$BA$54,C395)</f>
        <v>11.2736177429242</v>
      </c>
      <c r="X395" s="33" t="n">
        <f aca="false">Z_Value*W395*SQRT(D395)</f>
        <v>37.0869020666266</v>
      </c>
      <c r="Y395" s="33" t="n">
        <f aca="false">V395*D395+X395</f>
        <v>395.086902066627</v>
      </c>
      <c r="Z395" s="33" t="n">
        <f aca="false">SQRT((2*V395*Weeks_Per_Year*F395)/(E395*Holding_Rate))</f>
        <v>427.592930584352</v>
      </c>
      <c r="AA395" s="46" t="n">
        <f aca="false">ROUNDUP(Z395/G395,0)*G395</f>
        <v>432</v>
      </c>
      <c r="AB395" s="46" t="n">
        <f aca="false">SUMIFS(AF$389:AF394,$B$389:$B394,$B395-$D395)</f>
        <v>432</v>
      </c>
      <c r="AC395" s="46" t="n">
        <f aca="false">AI394+AB395</f>
        <v>432</v>
      </c>
      <c r="AD395" s="46" t="n">
        <f aca="false">SUMIFS(AF$389:AF394,$B$389:$B394,"&gt;"&amp;($B395-$D395))</f>
        <v>0</v>
      </c>
      <c r="AE395" s="46" t="n">
        <f aca="false">AC395+AD395</f>
        <v>432</v>
      </c>
      <c r="AF395" s="47" t="n">
        <f aca="false">IF(AE395&lt;=Y395,AA395,0)</f>
        <v>0</v>
      </c>
      <c r="AG395" s="46" t="n">
        <f aca="false">MIN(AC395,I395)</f>
        <v>90</v>
      </c>
      <c r="AH395" s="46" t="n">
        <f aca="false">I395-AG395</f>
        <v>0</v>
      </c>
      <c r="AI395" s="46" t="n">
        <f aca="false">AC395-AG395</f>
        <v>342</v>
      </c>
      <c r="AJ395" s="46" t="n">
        <f aca="false">IF(AH395&gt;0,1,0)</f>
        <v>0</v>
      </c>
    </row>
    <row r="396" customFormat="false" ht="15" hidden="false" customHeight="false" outlineLevel="0" collapsed="false">
      <c r="A396" s="31" t="str">
        <f aca="false">Inputs!$B$61</f>
        <v>BED-002</v>
      </c>
      <c r="B396" s="46" t="n">
        <f aca="false">B395+1</f>
        <v>96</v>
      </c>
      <c r="C396" s="46" t="n">
        <f aca="false">MATCH(A396,Inputs!$B$40:$B$87,0)</f>
        <v>22</v>
      </c>
      <c r="D396" s="32" t="n">
        <f aca="false">INDEX(Inputs!$F$40:$F$87,C396)</f>
        <v>4</v>
      </c>
      <c r="E396" s="78" t="n">
        <f aca="false">INDEX(Inputs!$H$40:$H$87,C396)</f>
        <v>14</v>
      </c>
      <c r="F396" s="78" t="n">
        <f aca="false">INDEX(Inputs!$G$40:$G$87,C396)</f>
        <v>55</v>
      </c>
      <c r="G396" s="32" t="n">
        <f aca="false">INDEX(Inputs!$I$40:$I$87,C396)</f>
        <v>8</v>
      </c>
      <c r="H396" s="46" t="n">
        <f aca="false">MATCH(A396,Demand_History!$C:$C,0)+B396-1</f>
        <v>2281</v>
      </c>
      <c r="I396" s="32" t="n">
        <f aca="false">INDEX(Forecast_Walkforward!$C:$C,H396)</f>
        <v>95</v>
      </c>
      <c r="J396" s="79" t="n">
        <f aca="false">INDEX(Forecast_Walkforward!$E:$E,H396)</f>
        <v>84.25</v>
      </c>
      <c r="K396" s="33" t="n">
        <f aca="false">Baseline_Weeks*J396</f>
        <v>337</v>
      </c>
      <c r="L396" s="46" t="n">
        <f aca="false">SUMIFS(P$389:P395,$B$389:$B395,$B396-$D396)</f>
        <v>80</v>
      </c>
      <c r="M396" s="46" t="n">
        <f aca="false">S395+L396</f>
        <v>80</v>
      </c>
      <c r="N396" s="46" t="n">
        <f aca="false">SUMIFS(P$389:P395,$B$389:$B395,"&gt;"&amp;($B396-$D396))</f>
        <v>200</v>
      </c>
      <c r="O396" s="46" t="n">
        <f aca="false">M396+N396</f>
        <v>280</v>
      </c>
      <c r="P396" s="47" t="n">
        <f aca="false">IF(O396&lt;K396,ROUNDUP((K396-O396)/G396,0)*G396,0)</f>
        <v>64</v>
      </c>
      <c r="Q396" s="46" t="n">
        <f aca="false">MIN(M396,I396)</f>
        <v>80</v>
      </c>
      <c r="R396" s="46" t="n">
        <f aca="false">I396-Q396</f>
        <v>15</v>
      </c>
      <c r="S396" s="46" t="n">
        <f aca="false">M396-Q396</f>
        <v>0</v>
      </c>
      <c r="T396" s="46" t="n">
        <f aca="false">IF(R396&gt;0,1,0)</f>
        <v>1</v>
      </c>
      <c r="U396" s="32" t="n">
        <f aca="false">INDEX(Forecast!$AY$7:$AY$54,C396)</f>
        <v>3</v>
      </c>
      <c r="V396" s="33" t="n">
        <f aca="false">CHOOSE(U396,INDEX(Forecast_Walkforward!$D:$D,H396),INDEX(Forecast_Walkforward!$E:$E,H396),INDEX(Forecast_Walkforward!$F:$F,H396),INDEX(Forecast_Walkforward!$G:$G,H396))</f>
        <v>89.125</v>
      </c>
      <c r="W396" s="79" t="n">
        <f aca="false">INDEX(Forecast!$BA$7:$BA$54,C396)</f>
        <v>11.2736177429242</v>
      </c>
      <c r="X396" s="33" t="n">
        <f aca="false">Z_Value*W396*SQRT(D396)</f>
        <v>37.0869020666266</v>
      </c>
      <c r="Y396" s="33" t="n">
        <f aca="false">V396*D396+X396</f>
        <v>393.586902066627</v>
      </c>
      <c r="Z396" s="33" t="n">
        <f aca="false">SQRT((2*V396*Weeks_Per_Year*F396)/(E396*Holding_Rate))</f>
        <v>426.696195034761</v>
      </c>
      <c r="AA396" s="46" t="n">
        <f aca="false">ROUNDUP(Z396/G396,0)*G396</f>
        <v>432</v>
      </c>
      <c r="AB396" s="46" t="n">
        <f aca="false">SUMIFS(AF$389:AF395,$B$389:$B395,$B396-$D396)</f>
        <v>0</v>
      </c>
      <c r="AC396" s="46" t="n">
        <f aca="false">AI395+AB396</f>
        <v>342</v>
      </c>
      <c r="AD396" s="46" t="n">
        <f aca="false">SUMIFS(AF$389:AF395,$B$389:$B395,"&gt;"&amp;($B396-$D396))</f>
        <v>0</v>
      </c>
      <c r="AE396" s="46" t="n">
        <f aca="false">AC396+AD396</f>
        <v>342</v>
      </c>
      <c r="AF396" s="47" t="n">
        <f aca="false">IF(AE396&lt;=Y396,AA396,0)</f>
        <v>432</v>
      </c>
      <c r="AG396" s="46" t="n">
        <f aca="false">MIN(AC396,I396)</f>
        <v>95</v>
      </c>
      <c r="AH396" s="46" t="n">
        <f aca="false">I396-AG396</f>
        <v>0</v>
      </c>
      <c r="AI396" s="46" t="n">
        <f aca="false">AC396-AG396</f>
        <v>247</v>
      </c>
      <c r="AJ396" s="46" t="n">
        <f aca="false">IF(AH396&gt;0,1,0)</f>
        <v>0</v>
      </c>
    </row>
    <row r="397" customFormat="false" ht="15" hidden="false" customHeight="false" outlineLevel="0" collapsed="false">
      <c r="A397" s="31" t="str">
        <f aca="false">Inputs!$B$61</f>
        <v>BED-002</v>
      </c>
      <c r="B397" s="46" t="n">
        <f aca="false">B396+1</f>
        <v>97</v>
      </c>
      <c r="C397" s="46" t="n">
        <f aca="false">MATCH(A397,Inputs!$B$40:$B$87,0)</f>
        <v>22</v>
      </c>
      <c r="D397" s="32" t="n">
        <f aca="false">INDEX(Inputs!$F$40:$F$87,C397)</f>
        <v>4</v>
      </c>
      <c r="E397" s="78" t="n">
        <f aca="false">INDEX(Inputs!$H$40:$H$87,C397)</f>
        <v>14</v>
      </c>
      <c r="F397" s="78" t="n">
        <f aca="false">INDEX(Inputs!$G$40:$G$87,C397)</f>
        <v>55</v>
      </c>
      <c r="G397" s="32" t="n">
        <f aca="false">INDEX(Inputs!$I$40:$I$87,C397)</f>
        <v>8</v>
      </c>
      <c r="H397" s="46" t="n">
        <f aca="false">MATCH(A397,Demand_History!$C:$C,0)+B397-1</f>
        <v>2282</v>
      </c>
      <c r="I397" s="32" t="n">
        <f aca="false">INDEX(Forecast_Walkforward!$C:$C,H397)</f>
        <v>87</v>
      </c>
      <c r="J397" s="79" t="n">
        <f aca="false">INDEX(Forecast_Walkforward!$E:$E,H397)</f>
        <v>88.5</v>
      </c>
      <c r="K397" s="33" t="n">
        <f aca="false">Baseline_Weeks*J397</f>
        <v>354</v>
      </c>
      <c r="L397" s="46" t="n">
        <f aca="false">SUMIFS(P$389:P396,$B$389:$B396,$B397-$D397)</f>
        <v>64</v>
      </c>
      <c r="M397" s="46" t="n">
        <f aca="false">S396+L397</f>
        <v>64</v>
      </c>
      <c r="N397" s="46" t="n">
        <f aca="false">SUMIFS(P$389:P396,$B$389:$B396,"&gt;"&amp;($B397-$D397))</f>
        <v>200</v>
      </c>
      <c r="O397" s="46" t="n">
        <f aca="false">M397+N397</f>
        <v>264</v>
      </c>
      <c r="P397" s="47" t="n">
        <f aca="false">IF(O397&lt;K397,ROUNDUP((K397-O397)/G397,0)*G397,0)</f>
        <v>96</v>
      </c>
      <c r="Q397" s="46" t="n">
        <f aca="false">MIN(M397,I397)</f>
        <v>64</v>
      </c>
      <c r="R397" s="46" t="n">
        <f aca="false">I397-Q397</f>
        <v>23</v>
      </c>
      <c r="S397" s="46" t="n">
        <f aca="false">M397-Q397</f>
        <v>0</v>
      </c>
      <c r="T397" s="46" t="n">
        <f aca="false">IF(R397&gt;0,1,0)</f>
        <v>1</v>
      </c>
      <c r="U397" s="32" t="n">
        <f aca="false">INDEX(Forecast!$AY$7:$AY$54,C397)</f>
        <v>3</v>
      </c>
      <c r="V397" s="33" t="n">
        <f aca="false">CHOOSE(U397,INDEX(Forecast_Walkforward!$D:$D,H397),INDEX(Forecast_Walkforward!$E:$E,H397),INDEX(Forecast_Walkforward!$F:$F,H397),INDEX(Forecast_Walkforward!$G:$G,H397))</f>
        <v>90.25</v>
      </c>
      <c r="W397" s="79" t="n">
        <f aca="false">INDEX(Forecast!$BA$7:$BA$54,C397)</f>
        <v>11.2736177429242</v>
      </c>
      <c r="X397" s="33" t="n">
        <f aca="false">Z_Value*W397*SQRT(D397)</f>
        <v>37.0869020666266</v>
      </c>
      <c r="Y397" s="33" t="n">
        <f aca="false">V397*D397+X397</f>
        <v>398.086902066627</v>
      </c>
      <c r="Z397" s="33" t="n">
        <f aca="false">SQRT((2*V397*Weeks_Per_Year*F397)/(E397*Holding_Rate))</f>
        <v>429.380783387959</v>
      </c>
      <c r="AA397" s="46" t="n">
        <f aca="false">ROUNDUP(Z397/G397,0)*G397</f>
        <v>432</v>
      </c>
      <c r="AB397" s="46" t="n">
        <f aca="false">SUMIFS(AF$389:AF396,$B$389:$B396,$B397-$D397)</f>
        <v>0</v>
      </c>
      <c r="AC397" s="46" t="n">
        <f aca="false">AI396+AB397</f>
        <v>247</v>
      </c>
      <c r="AD397" s="46" t="n">
        <f aca="false">SUMIFS(AF$389:AF396,$B$389:$B396,"&gt;"&amp;($B397-$D397))</f>
        <v>432</v>
      </c>
      <c r="AE397" s="46" t="n">
        <f aca="false">AC397+AD397</f>
        <v>679</v>
      </c>
      <c r="AF397" s="47" t="n">
        <f aca="false">IF(AE397&lt;=Y397,AA397,0)</f>
        <v>0</v>
      </c>
      <c r="AG397" s="46" t="n">
        <f aca="false">MIN(AC397,I397)</f>
        <v>87</v>
      </c>
      <c r="AH397" s="46" t="n">
        <f aca="false">I397-AG397</f>
        <v>0</v>
      </c>
      <c r="AI397" s="46" t="n">
        <f aca="false">AC397-AG397</f>
        <v>160</v>
      </c>
      <c r="AJ397" s="46" t="n">
        <f aca="false">IF(AH397&gt;0,1,0)</f>
        <v>0</v>
      </c>
    </row>
    <row r="398" customFormat="false" ht="15" hidden="false" customHeight="false" outlineLevel="0" collapsed="false">
      <c r="A398" s="31" t="str">
        <f aca="false">Inputs!$B$61</f>
        <v>BED-002</v>
      </c>
      <c r="B398" s="46" t="n">
        <f aca="false">B397+1</f>
        <v>98</v>
      </c>
      <c r="C398" s="46" t="n">
        <f aca="false">MATCH(A398,Inputs!$B$40:$B$87,0)</f>
        <v>22</v>
      </c>
      <c r="D398" s="32" t="n">
        <f aca="false">INDEX(Inputs!$F$40:$F$87,C398)</f>
        <v>4</v>
      </c>
      <c r="E398" s="78" t="n">
        <f aca="false">INDEX(Inputs!$H$40:$H$87,C398)</f>
        <v>14</v>
      </c>
      <c r="F398" s="78" t="n">
        <f aca="false">INDEX(Inputs!$G$40:$G$87,C398)</f>
        <v>55</v>
      </c>
      <c r="G398" s="32" t="n">
        <f aca="false">INDEX(Inputs!$I$40:$I$87,C398)</f>
        <v>8</v>
      </c>
      <c r="H398" s="46" t="n">
        <f aca="false">MATCH(A398,Demand_History!$C:$C,0)+B398-1</f>
        <v>2283</v>
      </c>
      <c r="I398" s="32" t="n">
        <f aca="false">INDEX(Forecast_Walkforward!$C:$C,H398)</f>
        <v>67</v>
      </c>
      <c r="J398" s="79" t="n">
        <f aca="false">INDEX(Forecast_Walkforward!$E:$E,H398)</f>
        <v>90.5</v>
      </c>
      <c r="K398" s="33" t="n">
        <f aca="false">Baseline_Weeks*J398</f>
        <v>362</v>
      </c>
      <c r="L398" s="46" t="n">
        <f aca="false">SUMIFS(P$389:P397,$B$389:$B397,$B398-$D398)</f>
        <v>80</v>
      </c>
      <c r="M398" s="46" t="n">
        <f aca="false">S397+L398</f>
        <v>80</v>
      </c>
      <c r="N398" s="46" t="n">
        <f aca="false">SUMIFS(P$389:P397,$B$389:$B397,"&gt;"&amp;($B398-$D398))</f>
        <v>216</v>
      </c>
      <c r="O398" s="46" t="n">
        <f aca="false">M398+N398</f>
        <v>296</v>
      </c>
      <c r="P398" s="47" t="n">
        <f aca="false">IF(O398&lt;K398,ROUNDUP((K398-O398)/G398,0)*G398,0)</f>
        <v>72</v>
      </c>
      <c r="Q398" s="46" t="n">
        <f aca="false">MIN(M398,I398)</f>
        <v>67</v>
      </c>
      <c r="R398" s="46" t="n">
        <f aca="false">I398-Q398</f>
        <v>0</v>
      </c>
      <c r="S398" s="46" t="n">
        <f aca="false">M398-Q398</f>
        <v>13</v>
      </c>
      <c r="T398" s="46" t="n">
        <f aca="false">IF(R398&gt;0,1,0)</f>
        <v>0</v>
      </c>
      <c r="U398" s="32" t="n">
        <f aca="false">INDEX(Forecast!$AY$7:$AY$54,C398)</f>
        <v>3</v>
      </c>
      <c r="V398" s="33" t="n">
        <f aca="false">CHOOSE(U398,INDEX(Forecast_Walkforward!$D:$D,H398),INDEX(Forecast_Walkforward!$E:$E,H398),INDEX(Forecast_Walkforward!$F:$F,H398),INDEX(Forecast_Walkforward!$G:$G,H398))</f>
        <v>91.125</v>
      </c>
      <c r="W398" s="79" t="n">
        <f aca="false">INDEX(Forecast!$BA$7:$BA$54,C398)</f>
        <v>11.2736177429242</v>
      </c>
      <c r="X398" s="33" t="n">
        <f aca="false">Z_Value*W398*SQRT(D398)</f>
        <v>37.0869020666266</v>
      </c>
      <c r="Y398" s="33" t="n">
        <f aca="false">V398*D398+X398</f>
        <v>401.586902066627</v>
      </c>
      <c r="Z398" s="33" t="n">
        <f aca="false">SQRT((2*V398*Weeks_Per_Year*F398)/(E398*Holding_Rate))</f>
        <v>431.457248337373</v>
      </c>
      <c r="AA398" s="46" t="n">
        <f aca="false">ROUNDUP(Z398/G398,0)*G398</f>
        <v>432</v>
      </c>
      <c r="AB398" s="46" t="n">
        <f aca="false">SUMIFS(AF$389:AF397,$B$389:$B397,$B398-$D398)</f>
        <v>0</v>
      </c>
      <c r="AC398" s="46" t="n">
        <f aca="false">AI397+AB398</f>
        <v>160</v>
      </c>
      <c r="AD398" s="46" t="n">
        <f aca="false">SUMIFS(AF$389:AF397,$B$389:$B397,"&gt;"&amp;($B398-$D398))</f>
        <v>432</v>
      </c>
      <c r="AE398" s="46" t="n">
        <f aca="false">AC398+AD398</f>
        <v>592</v>
      </c>
      <c r="AF398" s="47" t="n">
        <f aca="false">IF(AE398&lt;=Y398,AA398,0)</f>
        <v>0</v>
      </c>
      <c r="AG398" s="46" t="n">
        <f aca="false">MIN(AC398,I398)</f>
        <v>67</v>
      </c>
      <c r="AH398" s="46" t="n">
        <f aca="false">I398-AG398</f>
        <v>0</v>
      </c>
      <c r="AI398" s="46" t="n">
        <f aca="false">AC398-AG398</f>
        <v>93</v>
      </c>
      <c r="AJ398" s="46" t="n">
        <f aca="false">IF(AH398&gt;0,1,0)</f>
        <v>0</v>
      </c>
    </row>
    <row r="399" customFormat="false" ht="15" hidden="false" customHeight="false" outlineLevel="0" collapsed="false">
      <c r="A399" s="31" t="str">
        <f aca="false">Inputs!$B$61</f>
        <v>BED-002</v>
      </c>
      <c r="B399" s="46" t="n">
        <f aca="false">B398+1</f>
        <v>99</v>
      </c>
      <c r="C399" s="46" t="n">
        <f aca="false">MATCH(A399,Inputs!$B$40:$B$87,0)</f>
        <v>22</v>
      </c>
      <c r="D399" s="32" t="n">
        <f aca="false">INDEX(Inputs!$F$40:$F$87,C399)</f>
        <v>4</v>
      </c>
      <c r="E399" s="78" t="n">
        <f aca="false">INDEX(Inputs!$H$40:$H$87,C399)</f>
        <v>14</v>
      </c>
      <c r="F399" s="78" t="n">
        <f aca="false">INDEX(Inputs!$G$40:$G$87,C399)</f>
        <v>55</v>
      </c>
      <c r="G399" s="32" t="n">
        <f aca="false">INDEX(Inputs!$I$40:$I$87,C399)</f>
        <v>8</v>
      </c>
      <c r="H399" s="46" t="n">
        <f aca="false">MATCH(A399,Demand_History!$C:$C,0)+B399-1</f>
        <v>2284</v>
      </c>
      <c r="I399" s="32" t="n">
        <f aca="false">INDEX(Forecast_Walkforward!$C:$C,H399)</f>
        <v>92</v>
      </c>
      <c r="J399" s="79" t="n">
        <f aca="false">INDEX(Forecast_Walkforward!$E:$E,H399)</f>
        <v>84.75</v>
      </c>
      <c r="K399" s="33" t="n">
        <f aca="false">Baseline_Weeks*J399</f>
        <v>339</v>
      </c>
      <c r="L399" s="46" t="n">
        <f aca="false">SUMIFS(P$389:P398,$B$389:$B398,$B399-$D399)</f>
        <v>56</v>
      </c>
      <c r="M399" s="46" t="n">
        <f aca="false">S398+L399</f>
        <v>69</v>
      </c>
      <c r="N399" s="46" t="n">
        <f aca="false">SUMIFS(P$389:P398,$B$389:$B398,"&gt;"&amp;($B399-$D399))</f>
        <v>232</v>
      </c>
      <c r="O399" s="46" t="n">
        <f aca="false">M399+N399</f>
        <v>301</v>
      </c>
      <c r="P399" s="47" t="n">
        <f aca="false">IF(O399&lt;K399,ROUNDUP((K399-O399)/G399,0)*G399,0)</f>
        <v>40</v>
      </c>
      <c r="Q399" s="46" t="n">
        <f aca="false">MIN(M399,I399)</f>
        <v>69</v>
      </c>
      <c r="R399" s="46" t="n">
        <f aca="false">I399-Q399</f>
        <v>23</v>
      </c>
      <c r="S399" s="46" t="n">
        <f aca="false">M399-Q399</f>
        <v>0</v>
      </c>
      <c r="T399" s="46" t="n">
        <f aca="false">IF(R399&gt;0,1,0)</f>
        <v>1</v>
      </c>
      <c r="U399" s="32" t="n">
        <f aca="false">INDEX(Forecast!$AY$7:$AY$54,C399)</f>
        <v>3</v>
      </c>
      <c r="V399" s="33" t="n">
        <f aca="false">CHOOSE(U399,INDEX(Forecast_Walkforward!$D:$D,H399),INDEX(Forecast_Walkforward!$E:$E,H399),INDEX(Forecast_Walkforward!$F:$F,H399),INDEX(Forecast_Walkforward!$G:$G,H399))</f>
        <v>84</v>
      </c>
      <c r="W399" s="79" t="n">
        <f aca="false">INDEX(Forecast!$BA$7:$BA$54,C399)</f>
        <v>11.2736177429242</v>
      </c>
      <c r="X399" s="33" t="n">
        <f aca="false">Z_Value*W399*SQRT(D399)</f>
        <v>37.0869020666266</v>
      </c>
      <c r="Y399" s="33" t="n">
        <f aca="false">V399*D399+X399</f>
        <v>373.086902066627</v>
      </c>
      <c r="Z399" s="33" t="n">
        <f aca="false">SQRT((2*V399*Weeks_Per_Year*F399)/(E399*Holding_Rate))</f>
        <v>414.24630354416</v>
      </c>
      <c r="AA399" s="46" t="n">
        <f aca="false">ROUNDUP(Z399/G399,0)*G399</f>
        <v>416</v>
      </c>
      <c r="AB399" s="46" t="n">
        <f aca="false">SUMIFS(AF$389:AF398,$B$389:$B398,$B399-$D399)</f>
        <v>0</v>
      </c>
      <c r="AC399" s="46" t="n">
        <f aca="false">AI398+AB399</f>
        <v>93</v>
      </c>
      <c r="AD399" s="46" t="n">
        <f aca="false">SUMIFS(AF$389:AF398,$B$389:$B398,"&gt;"&amp;($B399-$D399))</f>
        <v>432</v>
      </c>
      <c r="AE399" s="46" t="n">
        <f aca="false">AC399+AD399</f>
        <v>525</v>
      </c>
      <c r="AF399" s="47" t="n">
        <f aca="false">IF(AE399&lt;=Y399,AA399,0)</f>
        <v>0</v>
      </c>
      <c r="AG399" s="46" t="n">
        <f aca="false">MIN(AC399,I399)</f>
        <v>92</v>
      </c>
      <c r="AH399" s="46" t="n">
        <f aca="false">I399-AG399</f>
        <v>0</v>
      </c>
      <c r="AI399" s="46" t="n">
        <f aca="false">AC399-AG399</f>
        <v>1</v>
      </c>
      <c r="AJ399" s="46" t="n">
        <f aca="false">IF(AH399&gt;0,1,0)</f>
        <v>0</v>
      </c>
    </row>
    <row r="400" customFormat="false" ht="15" hidden="false" customHeight="false" outlineLevel="0" collapsed="false">
      <c r="A400" s="31" t="str">
        <f aca="false">Inputs!$B$61</f>
        <v>BED-002</v>
      </c>
      <c r="B400" s="46" t="n">
        <f aca="false">B399+1</f>
        <v>100</v>
      </c>
      <c r="C400" s="46" t="n">
        <f aca="false">MATCH(A400,Inputs!$B$40:$B$87,0)</f>
        <v>22</v>
      </c>
      <c r="D400" s="32" t="n">
        <f aca="false">INDEX(Inputs!$F$40:$F$87,C400)</f>
        <v>4</v>
      </c>
      <c r="E400" s="78" t="n">
        <f aca="false">INDEX(Inputs!$H$40:$H$87,C400)</f>
        <v>14</v>
      </c>
      <c r="F400" s="78" t="n">
        <f aca="false">INDEX(Inputs!$G$40:$G$87,C400)</f>
        <v>55</v>
      </c>
      <c r="G400" s="32" t="n">
        <f aca="false">INDEX(Inputs!$I$40:$I$87,C400)</f>
        <v>8</v>
      </c>
      <c r="H400" s="46" t="n">
        <f aca="false">MATCH(A400,Demand_History!$C:$C,0)+B400-1</f>
        <v>2285</v>
      </c>
      <c r="I400" s="32" t="n">
        <f aca="false">INDEX(Forecast_Walkforward!$C:$C,H400)</f>
        <v>81</v>
      </c>
      <c r="J400" s="79" t="n">
        <f aca="false">INDEX(Forecast_Walkforward!$E:$E,H400)</f>
        <v>85.25</v>
      </c>
      <c r="K400" s="33" t="n">
        <f aca="false">Baseline_Weeks*J400</f>
        <v>341</v>
      </c>
      <c r="L400" s="46" t="n">
        <f aca="false">SUMIFS(P$389:P399,$B$389:$B399,$B400-$D400)</f>
        <v>64</v>
      </c>
      <c r="M400" s="46" t="n">
        <f aca="false">S399+L400</f>
        <v>64</v>
      </c>
      <c r="N400" s="46" t="n">
        <f aca="false">SUMIFS(P$389:P399,$B$389:$B399,"&gt;"&amp;($B400-$D400))</f>
        <v>208</v>
      </c>
      <c r="O400" s="46" t="n">
        <f aca="false">M400+N400</f>
        <v>272</v>
      </c>
      <c r="P400" s="47" t="n">
        <f aca="false">IF(O400&lt;K400,ROUNDUP((K400-O400)/G400,0)*G400,0)</f>
        <v>72</v>
      </c>
      <c r="Q400" s="46" t="n">
        <f aca="false">MIN(M400,I400)</f>
        <v>64</v>
      </c>
      <c r="R400" s="46" t="n">
        <f aca="false">I400-Q400</f>
        <v>17</v>
      </c>
      <c r="S400" s="46" t="n">
        <f aca="false">M400-Q400</f>
        <v>0</v>
      </c>
      <c r="T400" s="46" t="n">
        <f aca="false">IF(R400&gt;0,1,0)</f>
        <v>1</v>
      </c>
      <c r="U400" s="32" t="n">
        <f aca="false">INDEX(Forecast!$AY$7:$AY$54,C400)</f>
        <v>3</v>
      </c>
      <c r="V400" s="33" t="n">
        <f aca="false">CHOOSE(U400,INDEX(Forecast_Walkforward!$D:$D,H400),INDEX(Forecast_Walkforward!$E:$E,H400),INDEX(Forecast_Walkforward!$F:$F,H400),INDEX(Forecast_Walkforward!$G:$G,H400))</f>
        <v>84.75</v>
      </c>
      <c r="W400" s="79" t="n">
        <f aca="false">INDEX(Forecast!$BA$7:$BA$54,C400)</f>
        <v>11.2736177429242</v>
      </c>
      <c r="X400" s="33" t="n">
        <f aca="false">Z_Value*W400*SQRT(D400)</f>
        <v>37.0869020666266</v>
      </c>
      <c r="Y400" s="33" t="n">
        <f aca="false">V400*D400+X400</f>
        <v>376.086902066627</v>
      </c>
      <c r="Z400" s="33" t="n">
        <f aca="false">SQRT((2*V400*Weeks_Per_Year*F400)/(E400*Holding_Rate))</f>
        <v>416.091507792628</v>
      </c>
      <c r="AA400" s="46" t="n">
        <f aca="false">ROUNDUP(Z400/G400,0)*G400</f>
        <v>424</v>
      </c>
      <c r="AB400" s="46" t="n">
        <f aca="false">SUMIFS(AF$389:AF399,$B$389:$B399,$B400-$D400)</f>
        <v>432</v>
      </c>
      <c r="AC400" s="46" t="n">
        <f aca="false">AI399+AB400</f>
        <v>433</v>
      </c>
      <c r="AD400" s="46" t="n">
        <f aca="false">SUMIFS(AF$389:AF399,$B$389:$B399,"&gt;"&amp;($B400-$D400))</f>
        <v>0</v>
      </c>
      <c r="AE400" s="46" t="n">
        <f aca="false">AC400+AD400</f>
        <v>433</v>
      </c>
      <c r="AF400" s="47" t="n">
        <f aca="false">IF(AE400&lt;=Y400,AA400,0)</f>
        <v>0</v>
      </c>
      <c r="AG400" s="46" t="n">
        <f aca="false">MIN(AC400,I400)</f>
        <v>81</v>
      </c>
      <c r="AH400" s="46" t="n">
        <f aca="false">I400-AG400</f>
        <v>0</v>
      </c>
      <c r="AI400" s="46" t="n">
        <f aca="false">AC400-AG400</f>
        <v>352</v>
      </c>
      <c r="AJ400" s="46" t="n">
        <f aca="false">IF(AH400&gt;0,1,0)</f>
        <v>0</v>
      </c>
    </row>
    <row r="401" customFormat="false" ht="15" hidden="false" customHeight="false" outlineLevel="0" collapsed="false">
      <c r="A401" s="31" t="str">
        <f aca="false">Inputs!$B$61</f>
        <v>BED-002</v>
      </c>
      <c r="B401" s="46" t="n">
        <f aca="false">B400+1</f>
        <v>101</v>
      </c>
      <c r="C401" s="46" t="n">
        <f aca="false">MATCH(A401,Inputs!$B$40:$B$87,0)</f>
        <v>22</v>
      </c>
      <c r="D401" s="32" t="n">
        <f aca="false">INDEX(Inputs!$F$40:$F$87,C401)</f>
        <v>4</v>
      </c>
      <c r="E401" s="78" t="n">
        <f aca="false">INDEX(Inputs!$H$40:$H$87,C401)</f>
        <v>14</v>
      </c>
      <c r="F401" s="78" t="n">
        <f aca="false">INDEX(Inputs!$G$40:$G$87,C401)</f>
        <v>55</v>
      </c>
      <c r="G401" s="32" t="n">
        <f aca="false">INDEX(Inputs!$I$40:$I$87,C401)</f>
        <v>8</v>
      </c>
      <c r="H401" s="46" t="n">
        <f aca="false">MATCH(A401,Demand_History!$C:$C,0)+B401-1</f>
        <v>2286</v>
      </c>
      <c r="I401" s="32" t="n">
        <f aca="false">INDEX(Forecast_Walkforward!$C:$C,H401)</f>
        <v>81</v>
      </c>
      <c r="J401" s="79" t="n">
        <f aca="false">INDEX(Forecast_Walkforward!$E:$E,H401)</f>
        <v>81.75</v>
      </c>
      <c r="K401" s="33" t="n">
        <f aca="false">Baseline_Weeks*J401</f>
        <v>327</v>
      </c>
      <c r="L401" s="46" t="n">
        <f aca="false">SUMIFS(P$389:P400,$B$389:$B400,$B401-$D401)</f>
        <v>96</v>
      </c>
      <c r="M401" s="46" t="n">
        <f aca="false">S400+L401</f>
        <v>96</v>
      </c>
      <c r="N401" s="46" t="n">
        <f aca="false">SUMIFS(P$389:P400,$B$389:$B400,"&gt;"&amp;($B401-$D401))</f>
        <v>184</v>
      </c>
      <c r="O401" s="46" t="n">
        <f aca="false">M401+N401</f>
        <v>280</v>
      </c>
      <c r="P401" s="47" t="n">
        <f aca="false">IF(O401&lt;K401,ROUNDUP((K401-O401)/G401,0)*G401,0)</f>
        <v>48</v>
      </c>
      <c r="Q401" s="46" t="n">
        <f aca="false">MIN(M401,I401)</f>
        <v>81</v>
      </c>
      <c r="R401" s="46" t="n">
        <f aca="false">I401-Q401</f>
        <v>0</v>
      </c>
      <c r="S401" s="46" t="n">
        <f aca="false">M401-Q401</f>
        <v>15</v>
      </c>
      <c r="T401" s="46" t="n">
        <f aca="false">IF(R401&gt;0,1,0)</f>
        <v>0</v>
      </c>
      <c r="U401" s="32" t="n">
        <f aca="false">INDEX(Forecast!$AY$7:$AY$54,C401)</f>
        <v>3</v>
      </c>
      <c r="V401" s="33" t="n">
        <f aca="false">CHOOSE(U401,INDEX(Forecast_Walkforward!$D:$D,H401),INDEX(Forecast_Walkforward!$E:$E,H401),INDEX(Forecast_Walkforward!$F:$F,H401),INDEX(Forecast_Walkforward!$G:$G,H401))</f>
        <v>85.125</v>
      </c>
      <c r="W401" s="79" t="n">
        <f aca="false">INDEX(Forecast!$BA$7:$BA$54,C401)</f>
        <v>11.2736177429242</v>
      </c>
      <c r="X401" s="33" t="n">
        <f aca="false">Z_Value*W401*SQRT(D401)</f>
        <v>37.0869020666266</v>
      </c>
      <c r="Y401" s="33" t="n">
        <f aca="false">V401*D401+X401</f>
        <v>377.586902066627</v>
      </c>
      <c r="Z401" s="33" t="n">
        <f aca="false">SQRT((2*V401*Weeks_Per_Year*F401)/(E401*Holding_Rate))</f>
        <v>417.011048157857</v>
      </c>
      <c r="AA401" s="46" t="n">
        <f aca="false">ROUNDUP(Z401/G401,0)*G401</f>
        <v>424</v>
      </c>
      <c r="AB401" s="46" t="n">
        <f aca="false">SUMIFS(AF$389:AF400,$B$389:$B400,$B401-$D401)</f>
        <v>0</v>
      </c>
      <c r="AC401" s="46" t="n">
        <f aca="false">AI400+AB401</f>
        <v>352</v>
      </c>
      <c r="AD401" s="46" t="n">
        <f aca="false">SUMIFS(AF$389:AF400,$B$389:$B400,"&gt;"&amp;($B401-$D401))</f>
        <v>0</v>
      </c>
      <c r="AE401" s="46" t="n">
        <f aca="false">AC401+AD401</f>
        <v>352</v>
      </c>
      <c r="AF401" s="47" t="n">
        <f aca="false">IF(AE401&lt;=Y401,AA401,0)</f>
        <v>424</v>
      </c>
      <c r="AG401" s="46" t="n">
        <f aca="false">MIN(AC401,I401)</f>
        <v>81</v>
      </c>
      <c r="AH401" s="46" t="n">
        <f aca="false">I401-AG401</f>
        <v>0</v>
      </c>
      <c r="AI401" s="46" t="n">
        <f aca="false">AC401-AG401</f>
        <v>271</v>
      </c>
      <c r="AJ401" s="46" t="n">
        <f aca="false">IF(AH401&gt;0,1,0)</f>
        <v>0</v>
      </c>
    </row>
    <row r="402" customFormat="false" ht="15" hidden="false" customHeight="false" outlineLevel="0" collapsed="false">
      <c r="A402" s="31" t="str">
        <f aca="false">Inputs!$B$61</f>
        <v>BED-002</v>
      </c>
      <c r="B402" s="46" t="n">
        <f aca="false">B401+1</f>
        <v>102</v>
      </c>
      <c r="C402" s="46" t="n">
        <f aca="false">MATCH(A402,Inputs!$B$40:$B$87,0)</f>
        <v>22</v>
      </c>
      <c r="D402" s="32" t="n">
        <f aca="false">INDEX(Inputs!$F$40:$F$87,C402)</f>
        <v>4</v>
      </c>
      <c r="E402" s="78" t="n">
        <f aca="false">INDEX(Inputs!$H$40:$H$87,C402)</f>
        <v>14</v>
      </c>
      <c r="F402" s="78" t="n">
        <f aca="false">INDEX(Inputs!$G$40:$G$87,C402)</f>
        <v>55</v>
      </c>
      <c r="G402" s="32" t="n">
        <f aca="false">INDEX(Inputs!$I$40:$I$87,C402)</f>
        <v>8</v>
      </c>
      <c r="H402" s="46" t="n">
        <f aca="false">MATCH(A402,Demand_History!$C:$C,0)+B402-1</f>
        <v>2287</v>
      </c>
      <c r="I402" s="32" t="n">
        <f aca="false">INDEX(Forecast_Walkforward!$C:$C,H402)</f>
        <v>67</v>
      </c>
      <c r="J402" s="79" t="n">
        <f aca="false">INDEX(Forecast_Walkforward!$E:$E,H402)</f>
        <v>80.25</v>
      </c>
      <c r="K402" s="33" t="n">
        <f aca="false">Baseline_Weeks*J402</f>
        <v>321</v>
      </c>
      <c r="L402" s="46" t="n">
        <f aca="false">SUMIFS(P$389:P401,$B$389:$B401,$B402-$D402)</f>
        <v>72</v>
      </c>
      <c r="M402" s="46" t="n">
        <f aca="false">S401+L402</f>
        <v>87</v>
      </c>
      <c r="N402" s="46" t="n">
        <f aca="false">SUMIFS(P$389:P401,$B$389:$B401,"&gt;"&amp;($B402-$D402))</f>
        <v>160</v>
      </c>
      <c r="O402" s="46" t="n">
        <f aca="false">M402+N402</f>
        <v>247</v>
      </c>
      <c r="P402" s="47" t="n">
        <f aca="false">IF(O402&lt;K402,ROUNDUP((K402-O402)/G402,0)*G402,0)</f>
        <v>80</v>
      </c>
      <c r="Q402" s="46" t="n">
        <f aca="false">MIN(M402,I402)</f>
        <v>67</v>
      </c>
      <c r="R402" s="46" t="n">
        <f aca="false">I402-Q402</f>
        <v>0</v>
      </c>
      <c r="S402" s="46" t="n">
        <f aca="false">M402-Q402</f>
        <v>20</v>
      </c>
      <c r="T402" s="46" t="n">
        <f aca="false">IF(R402&gt;0,1,0)</f>
        <v>0</v>
      </c>
      <c r="U402" s="32" t="n">
        <f aca="false">INDEX(Forecast!$AY$7:$AY$54,C402)</f>
        <v>3</v>
      </c>
      <c r="V402" s="33" t="n">
        <f aca="false">CHOOSE(U402,INDEX(Forecast_Walkforward!$D:$D,H402),INDEX(Forecast_Walkforward!$E:$E,H402),INDEX(Forecast_Walkforward!$F:$F,H402),INDEX(Forecast_Walkforward!$G:$G,H402))</f>
        <v>85.375</v>
      </c>
      <c r="W402" s="79" t="n">
        <f aca="false">INDEX(Forecast!$BA$7:$BA$54,C402)</f>
        <v>11.2736177429242</v>
      </c>
      <c r="X402" s="33" t="n">
        <f aca="false">Z_Value*W402*SQRT(D402)</f>
        <v>37.0869020666266</v>
      </c>
      <c r="Y402" s="33" t="n">
        <f aca="false">V402*D402+X402</f>
        <v>378.586902066627</v>
      </c>
      <c r="Z402" s="33" t="n">
        <f aca="false">SQRT((2*V402*Weeks_Per_Year*F402)/(E402*Holding_Rate))</f>
        <v>417.622950245109</v>
      </c>
      <c r="AA402" s="46" t="n">
        <f aca="false">ROUNDUP(Z402/G402,0)*G402</f>
        <v>424</v>
      </c>
      <c r="AB402" s="46" t="n">
        <f aca="false">SUMIFS(AF$389:AF401,$B$389:$B401,$B402-$D402)</f>
        <v>0</v>
      </c>
      <c r="AC402" s="46" t="n">
        <f aca="false">AI401+AB402</f>
        <v>271</v>
      </c>
      <c r="AD402" s="46" t="n">
        <f aca="false">SUMIFS(AF$389:AF401,$B$389:$B401,"&gt;"&amp;($B402-$D402))</f>
        <v>424</v>
      </c>
      <c r="AE402" s="46" t="n">
        <f aca="false">AC402+AD402</f>
        <v>695</v>
      </c>
      <c r="AF402" s="47" t="n">
        <f aca="false">IF(AE402&lt;=Y402,AA402,0)</f>
        <v>0</v>
      </c>
      <c r="AG402" s="46" t="n">
        <f aca="false">MIN(AC402,I402)</f>
        <v>67</v>
      </c>
      <c r="AH402" s="46" t="n">
        <f aca="false">I402-AG402</f>
        <v>0</v>
      </c>
      <c r="AI402" s="46" t="n">
        <f aca="false">AC402-AG402</f>
        <v>204</v>
      </c>
      <c r="AJ402" s="46" t="n">
        <f aca="false">IF(AH402&gt;0,1,0)</f>
        <v>0</v>
      </c>
    </row>
    <row r="403" customFormat="false" ht="15" hidden="false" customHeight="false" outlineLevel="0" collapsed="false">
      <c r="A403" s="31" t="str">
        <f aca="false">Inputs!$B$61</f>
        <v>BED-002</v>
      </c>
      <c r="B403" s="46" t="n">
        <f aca="false">B402+1</f>
        <v>103</v>
      </c>
      <c r="C403" s="46" t="n">
        <f aca="false">MATCH(A403,Inputs!$B$40:$B$87,0)</f>
        <v>22</v>
      </c>
      <c r="D403" s="32" t="n">
        <f aca="false">INDEX(Inputs!$F$40:$F$87,C403)</f>
        <v>4</v>
      </c>
      <c r="E403" s="78" t="n">
        <f aca="false">INDEX(Inputs!$H$40:$H$87,C403)</f>
        <v>14</v>
      </c>
      <c r="F403" s="78" t="n">
        <f aca="false">INDEX(Inputs!$G$40:$G$87,C403)</f>
        <v>55</v>
      </c>
      <c r="G403" s="32" t="n">
        <f aca="false">INDEX(Inputs!$I$40:$I$87,C403)</f>
        <v>8</v>
      </c>
      <c r="H403" s="46" t="n">
        <f aca="false">MATCH(A403,Demand_History!$C:$C,0)+B403-1</f>
        <v>2288</v>
      </c>
      <c r="I403" s="32" t="n">
        <f aca="false">INDEX(Forecast_Walkforward!$C:$C,H403)</f>
        <v>78</v>
      </c>
      <c r="J403" s="79" t="n">
        <f aca="false">INDEX(Forecast_Walkforward!$E:$E,H403)</f>
        <v>80.25</v>
      </c>
      <c r="K403" s="33" t="n">
        <f aca="false">Baseline_Weeks*J403</f>
        <v>321</v>
      </c>
      <c r="L403" s="46" t="n">
        <f aca="false">SUMIFS(P$389:P402,$B$389:$B402,$B403-$D403)</f>
        <v>40</v>
      </c>
      <c r="M403" s="46" t="n">
        <f aca="false">S402+L403</f>
        <v>60</v>
      </c>
      <c r="N403" s="46" t="n">
        <f aca="false">SUMIFS(P$389:P402,$B$389:$B402,"&gt;"&amp;($B403-$D403))</f>
        <v>200</v>
      </c>
      <c r="O403" s="46" t="n">
        <f aca="false">M403+N403</f>
        <v>260</v>
      </c>
      <c r="P403" s="47" t="n">
        <f aca="false">IF(O403&lt;K403,ROUNDUP((K403-O403)/G403,0)*G403,0)</f>
        <v>64</v>
      </c>
      <c r="Q403" s="46" t="n">
        <f aca="false">MIN(M403,I403)</f>
        <v>60</v>
      </c>
      <c r="R403" s="46" t="n">
        <f aca="false">I403-Q403</f>
        <v>18</v>
      </c>
      <c r="S403" s="46" t="n">
        <f aca="false">M403-Q403</f>
        <v>0</v>
      </c>
      <c r="T403" s="46" t="n">
        <f aca="false">IF(R403&gt;0,1,0)</f>
        <v>1</v>
      </c>
      <c r="U403" s="32" t="n">
        <f aca="false">INDEX(Forecast!$AY$7:$AY$54,C403)</f>
        <v>3</v>
      </c>
      <c r="V403" s="33" t="n">
        <f aca="false">CHOOSE(U403,INDEX(Forecast_Walkforward!$D:$D,H403),INDEX(Forecast_Walkforward!$E:$E,H403),INDEX(Forecast_Walkforward!$F:$F,H403),INDEX(Forecast_Walkforward!$G:$G,H403))</f>
        <v>82.5</v>
      </c>
      <c r="W403" s="79" t="n">
        <f aca="false">INDEX(Forecast!$BA$7:$BA$54,C403)</f>
        <v>11.2736177429242</v>
      </c>
      <c r="X403" s="33" t="n">
        <f aca="false">Z_Value*W403*SQRT(D403)</f>
        <v>37.0869020666266</v>
      </c>
      <c r="Y403" s="33" t="n">
        <f aca="false">V403*D403+X403</f>
        <v>367.086902066627</v>
      </c>
      <c r="Z403" s="33" t="n">
        <f aca="false">SQRT((2*V403*Weeks_Per_Year*F403)/(E403*Holding_Rate))</f>
        <v>410.531015010698</v>
      </c>
      <c r="AA403" s="46" t="n">
        <f aca="false">ROUNDUP(Z403/G403,0)*G403</f>
        <v>416</v>
      </c>
      <c r="AB403" s="46" t="n">
        <f aca="false">SUMIFS(AF$389:AF402,$B$389:$B402,$B403-$D403)</f>
        <v>0</v>
      </c>
      <c r="AC403" s="46" t="n">
        <f aca="false">AI402+AB403</f>
        <v>204</v>
      </c>
      <c r="AD403" s="46" t="n">
        <f aca="false">SUMIFS(AF$389:AF402,$B$389:$B402,"&gt;"&amp;($B403-$D403))</f>
        <v>424</v>
      </c>
      <c r="AE403" s="46" t="n">
        <f aca="false">AC403+AD403</f>
        <v>628</v>
      </c>
      <c r="AF403" s="47" t="n">
        <f aca="false">IF(AE403&lt;=Y403,AA403,0)</f>
        <v>0</v>
      </c>
      <c r="AG403" s="46" t="n">
        <f aca="false">MIN(AC403,I403)</f>
        <v>78</v>
      </c>
      <c r="AH403" s="46" t="n">
        <f aca="false">I403-AG403</f>
        <v>0</v>
      </c>
      <c r="AI403" s="46" t="n">
        <f aca="false">AC403-AG403</f>
        <v>126</v>
      </c>
      <c r="AJ403" s="46" t="n">
        <f aca="false">IF(AH403&gt;0,1,0)</f>
        <v>0</v>
      </c>
    </row>
    <row r="404" customFormat="false" ht="15" hidden="false" customHeight="false" outlineLevel="0" collapsed="false">
      <c r="A404" s="80" t="str">
        <f aca="false">Inputs!$B$61</f>
        <v>BED-002</v>
      </c>
      <c r="B404" s="81" t="n">
        <f aca="false">B403+1</f>
        <v>104</v>
      </c>
      <c r="C404" s="81" t="n">
        <f aca="false">MATCH(A404,Inputs!$B$40:$B$87,0)</f>
        <v>22</v>
      </c>
      <c r="D404" s="82" t="n">
        <f aca="false">INDEX(Inputs!$F$40:$F$87,C404)</f>
        <v>4</v>
      </c>
      <c r="E404" s="83" t="n">
        <f aca="false">INDEX(Inputs!$H$40:$H$87,C404)</f>
        <v>14</v>
      </c>
      <c r="F404" s="83" t="n">
        <f aca="false">INDEX(Inputs!$G$40:$G$87,C404)</f>
        <v>55</v>
      </c>
      <c r="G404" s="82" t="n">
        <f aca="false">INDEX(Inputs!$I$40:$I$87,C404)</f>
        <v>8</v>
      </c>
      <c r="H404" s="81" t="n">
        <f aca="false">MATCH(A404,Demand_History!$C:$C,0)+B404-1</f>
        <v>2289</v>
      </c>
      <c r="I404" s="82" t="n">
        <f aca="false">INDEX(Forecast_Walkforward!$C:$C,H404)</f>
        <v>76</v>
      </c>
      <c r="J404" s="84" t="n">
        <f aca="false">INDEX(Forecast_Walkforward!$E:$E,H404)</f>
        <v>76.75</v>
      </c>
      <c r="K404" s="85" t="n">
        <f aca="false">Baseline_Weeks*J404</f>
        <v>307</v>
      </c>
      <c r="L404" s="81" t="n">
        <f aca="false">SUMIFS(P$389:P403,$B$389:$B403,$B404-$D404)</f>
        <v>72</v>
      </c>
      <c r="M404" s="81" t="n">
        <f aca="false">S403+L404</f>
        <v>72</v>
      </c>
      <c r="N404" s="81" t="n">
        <f aca="false">SUMIFS(P$389:P403,$B$389:$B403,"&gt;"&amp;($B404-$D404))</f>
        <v>192</v>
      </c>
      <c r="O404" s="81" t="n">
        <f aca="false">M404+N404</f>
        <v>264</v>
      </c>
      <c r="P404" s="86" t="n">
        <f aca="false">IF(O404&lt;K404,ROUNDUP((K404-O404)/G404,0)*G404,0)</f>
        <v>48</v>
      </c>
      <c r="Q404" s="81" t="n">
        <f aca="false">MIN(M404,I404)</f>
        <v>72</v>
      </c>
      <c r="R404" s="81" t="n">
        <f aca="false">I404-Q404</f>
        <v>4</v>
      </c>
      <c r="S404" s="81" t="n">
        <f aca="false">M404-Q404</f>
        <v>0</v>
      </c>
      <c r="T404" s="81" t="n">
        <f aca="false">IF(R404&gt;0,1,0)</f>
        <v>1</v>
      </c>
      <c r="U404" s="82" t="n">
        <f aca="false">INDEX(Forecast!$AY$7:$AY$54,C404)</f>
        <v>3</v>
      </c>
      <c r="V404" s="85" t="n">
        <f aca="false">CHOOSE(U404,INDEX(Forecast_Walkforward!$D:$D,H404),INDEX(Forecast_Walkforward!$E:$E,H404),INDEX(Forecast_Walkforward!$F:$F,H404),INDEX(Forecast_Walkforward!$G:$G,H404))</f>
        <v>81</v>
      </c>
      <c r="W404" s="84" t="n">
        <f aca="false">INDEX(Forecast!$BA$7:$BA$54,C404)</f>
        <v>11.2736177429242</v>
      </c>
      <c r="X404" s="85" t="n">
        <f aca="false">Z_Value*W404*SQRT(D404)</f>
        <v>37.0869020666266</v>
      </c>
      <c r="Y404" s="85" t="n">
        <f aca="false">V404*D404+X404</f>
        <v>361.086902066627</v>
      </c>
      <c r="Z404" s="85" t="n">
        <f aca="false">SQRT((2*V404*Weeks_Per_Year*F404)/(E404*Holding_Rate))</f>
        <v>406.781794788592</v>
      </c>
      <c r="AA404" s="81" t="n">
        <f aca="false">ROUNDUP(Z404/G404,0)*G404</f>
        <v>408</v>
      </c>
      <c r="AB404" s="81" t="n">
        <f aca="false">SUMIFS(AF$389:AF403,$B$389:$B403,$B404-$D404)</f>
        <v>0</v>
      </c>
      <c r="AC404" s="81" t="n">
        <f aca="false">AI403+AB404</f>
        <v>126</v>
      </c>
      <c r="AD404" s="81" t="n">
        <f aca="false">SUMIFS(AF$389:AF403,$B$389:$B403,"&gt;"&amp;($B404-$D404))</f>
        <v>424</v>
      </c>
      <c r="AE404" s="81" t="n">
        <f aca="false">AC404+AD404</f>
        <v>550</v>
      </c>
      <c r="AF404" s="86" t="n">
        <f aca="false">IF(AE404&lt;=Y404,AA404,0)</f>
        <v>0</v>
      </c>
      <c r="AG404" s="81" t="n">
        <f aca="false">MIN(AC404,I404)</f>
        <v>76</v>
      </c>
      <c r="AH404" s="81" t="n">
        <f aca="false">I404-AG404</f>
        <v>0</v>
      </c>
      <c r="AI404" s="81" t="n">
        <f aca="false">AC404-AG404</f>
        <v>50</v>
      </c>
      <c r="AJ404" s="81" t="n">
        <f aca="false">IF(AH404&gt;0,1,0)</f>
        <v>0</v>
      </c>
    </row>
    <row r="405" customFormat="false" ht="15" hidden="false" customHeight="false" outlineLevel="0" collapsed="false">
      <c r="A405" s="31" t="str">
        <f aca="false">Inputs!$B$62</f>
        <v>BED-003</v>
      </c>
      <c r="B405" s="46" t="n">
        <f aca="false">BT_Start_Week</f>
        <v>89</v>
      </c>
      <c r="C405" s="46" t="n">
        <f aca="false">MATCH(A405,Inputs!$B$40:$B$87,0)</f>
        <v>23</v>
      </c>
      <c r="D405" s="32" t="n">
        <f aca="false">INDEX(Inputs!$F$40:$F$87,C405)</f>
        <v>4</v>
      </c>
      <c r="E405" s="78" t="n">
        <f aca="false">INDEX(Inputs!$H$40:$H$87,C405)</f>
        <v>38</v>
      </c>
      <c r="F405" s="78" t="n">
        <f aca="false">INDEX(Inputs!$G$40:$G$87,C405)</f>
        <v>55</v>
      </c>
      <c r="G405" s="32" t="n">
        <f aca="false">INDEX(Inputs!$I$40:$I$87,C405)</f>
        <v>5</v>
      </c>
      <c r="H405" s="46" t="n">
        <f aca="false">MATCH(A405,Demand_History!$C:$C,0)+B405-1</f>
        <v>2378</v>
      </c>
      <c r="I405" s="32" t="n">
        <f aca="false">INDEX(Forecast_Walkforward!$C:$C,H405)</f>
        <v>38</v>
      </c>
      <c r="J405" s="79" t="n">
        <f aca="false">INDEX(Forecast_Walkforward!$E:$E,H405)</f>
        <v>54.25</v>
      </c>
      <c r="K405" s="33" t="n">
        <f aca="false">Baseline_Weeks*J405</f>
        <v>217</v>
      </c>
      <c r="L405" s="46" t="n">
        <f aca="false">0</f>
        <v>0</v>
      </c>
      <c r="M405" s="46" t="n">
        <f aca="false">ROUND(BT_Open_Cover*INDEX(Forecast_Walkforward!$F:$F,H405),0)+L405</f>
        <v>323</v>
      </c>
      <c r="N405" s="46" t="n">
        <f aca="false">0</f>
        <v>0</v>
      </c>
      <c r="O405" s="46" t="n">
        <f aca="false">M405+N405</f>
        <v>323</v>
      </c>
      <c r="P405" s="47" t="n">
        <f aca="false">IF(O405&lt;K405,ROUNDUP((K405-O405)/G405,0)*G405,0)</f>
        <v>0</v>
      </c>
      <c r="Q405" s="46" t="n">
        <f aca="false">MIN(M405,I405)</f>
        <v>38</v>
      </c>
      <c r="R405" s="46" t="n">
        <f aca="false">I405-Q405</f>
        <v>0</v>
      </c>
      <c r="S405" s="46" t="n">
        <f aca="false">M405-Q405</f>
        <v>285</v>
      </c>
      <c r="T405" s="46" t="n">
        <f aca="false">IF(R405&gt;0,1,0)</f>
        <v>0</v>
      </c>
      <c r="U405" s="32" t="n">
        <f aca="false">INDEX(Forecast!$AY$7:$AY$54,C405)</f>
        <v>3</v>
      </c>
      <c r="V405" s="33" t="n">
        <f aca="false">CHOOSE(U405,INDEX(Forecast_Walkforward!$D:$D,H405),INDEX(Forecast_Walkforward!$E:$E,H405),INDEX(Forecast_Walkforward!$F:$F,H405),INDEX(Forecast_Walkforward!$G:$G,H405))</f>
        <v>53.875</v>
      </c>
      <c r="W405" s="79" t="n">
        <f aca="false">INDEX(Forecast!$BA$7:$BA$54,C405)</f>
        <v>23.8478558540747</v>
      </c>
      <c r="X405" s="33" t="n">
        <f aca="false">Z_Value*W405*SQRT(D405)</f>
        <v>78.4524643931814</v>
      </c>
      <c r="Y405" s="33" t="n">
        <f aca="false">V405*D405+X405</f>
        <v>293.952464393181</v>
      </c>
      <c r="Z405" s="33" t="n">
        <f aca="false">SQRT((2*V405*Weeks_Per_Year*F405)/(E405*Holding_Rate))</f>
        <v>201.365404962693</v>
      </c>
      <c r="AA405" s="46" t="n">
        <f aca="false">ROUNDUP(Z405/G405,0)*G405</f>
        <v>205</v>
      </c>
      <c r="AB405" s="46" t="n">
        <f aca="false">0</f>
        <v>0</v>
      </c>
      <c r="AC405" s="46" t="n">
        <f aca="false">ROUND(BT_Open_Cover*INDEX(Forecast_Walkforward!$F:$F,H405),0)+AB405</f>
        <v>323</v>
      </c>
      <c r="AD405" s="46" t="n">
        <f aca="false">0</f>
        <v>0</v>
      </c>
      <c r="AE405" s="46" t="n">
        <f aca="false">AC405+AD405</f>
        <v>323</v>
      </c>
      <c r="AF405" s="47" t="n">
        <f aca="false">IF(AE405&lt;=Y405,AA405,0)</f>
        <v>0</v>
      </c>
      <c r="AG405" s="46" t="n">
        <f aca="false">MIN(AC405,I405)</f>
        <v>38</v>
      </c>
      <c r="AH405" s="46" t="n">
        <f aca="false">I405-AG405</f>
        <v>0</v>
      </c>
      <c r="AI405" s="46" t="n">
        <f aca="false">AC405-AG405</f>
        <v>285</v>
      </c>
      <c r="AJ405" s="46" t="n">
        <f aca="false">IF(AH405&gt;0,1,0)</f>
        <v>0</v>
      </c>
    </row>
    <row r="406" customFormat="false" ht="15" hidden="false" customHeight="false" outlineLevel="0" collapsed="false">
      <c r="A406" s="31" t="str">
        <f aca="false">Inputs!$B$62</f>
        <v>BED-003</v>
      </c>
      <c r="B406" s="46" t="n">
        <f aca="false">B405+1</f>
        <v>90</v>
      </c>
      <c r="C406" s="46" t="n">
        <f aca="false">MATCH(A406,Inputs!$B$40:$B$87,0)</f>
        <v>23</v>
      </c>
      <c r="D406" s="32" t="n">
        <f aca="false">INDEX(Inputs!$F$40:$F$87,C406)</f>
        <v>4</v>
      </c>
      <c r="E406" s="78" t="n">
        <f aca="false">INDEX(Inputs!$H$40:$H$87,C406)</f>
        <v>38</v>
      </c>
      <c r="F406" s="78" t="n">
        <f aca="false">INDEX(Inputs!$G$40:$G$87,C406)</f>
        <v>55</v>
      </c>
      <c r="G406" s="32" t="n">
        <f aca="false">INDEX(Inputs!$I$40:$I$87,C406)</f>
        <v>5</v>
      </c>
      <c r="H406" s="46" t="n">
        <f aca="false">MATCH(A406,Demand_History!$C:$C,0)+B406-1</f>
        <v>2379</v>
      </c>
      <c r="I406" s="32" t="n">
        <f aca="false">INDEX(Forecast_Walkforward!$C:$C,H406)</f>
        <v>52</v>
      </c>
      <c r="J406" s="79" t="n">
        <f aca="false">INDEX(Forecast_Walkforward!$E:$E,H406)</f>
        <v>47</v>
      </c>
      <c r="K406" s="33" t="n">
        <f aca="false">Baseline_Weeks*J406</f>
        <v>188</v>
      </c>
      <c r="L406" s="46" t="n">
        <f aca="false">SUMIFS(P$405:P405,$B$405:$B405,$B406-$D406)</f>
        <v>0</v>
      </c>
      <c r="M406" s="46" t="n">
        <f aca="false">S405+L406</f>
        <v>285</v>
      </c>
      <c r="N406" s="46" t="n">
        <f aca="false">SUMIFS(P$405:P405,$B$405:$B405,"&gt;"&amp;($B406-$D406))</f>
        <v>0</v>
      </c>
      <c r="O406" s="46" t="n">
        <f aca="false">M406+N406</f>
        <v>285</v>
      </c>
      <c r="P406" s="47" t="n">
        <f aca="false">IF(O406&lt;K406,ROUNDUP((K406-O406)/G406,0)*G406,0)</f>
        <v>0</v>
      </c>
      <c r="Q406" s="46" t="n">
        <f aca="false">MIN(M406,I406)</f>
        <v>52</v>
      </c>
      <c r="R406" s="46" t="n">
        <f aca="false">I406-Q406</f>
        <v>0</v>
      </c>
      <c r="S406" s="46" t="n">
        <f aca="false">M406-Q406</f>
        <v>233</v>
      </c>
      <c r="T406" s="46" t="n">
        <f aca="false">IF(R406&gt;0,1,0)</f>
        <v>0</v>
      </c>
      <c r="U406" s="32" t="n">
        <f aca="false">INDEX(Forecast!$AY$7:$AY$54,C406)</f>
        <v>3</v>
      </c>
      <c r="V406" s="33" t="n">
        <f aca="false">CHOOSE(U406,INDEX(Forecast_Walkforward!$D:$D,H406),INDEX(Forecast_Walkforward!$E:$E,H406),INDEX(Forecast_Walkforward!$F:$F,H406),INDEX(Forecast_Walkforward!$G:$G,H406))</f>
        <v>49.125</v>
      </c>
      <c r="W406" s="79" t="n">
        <f aca="false">INDEX(Forecast!$BA$7:$BA$54,C406)</f>
        <v>23.8478558540747</v>
      </c>
      <c r="X406" s="33" t="n">
        <f aca="false">Z_Value*W406*SQRT(D406)</f>
        <v>78.4524643931814</v>
      </c>
      <c r="Y406" s="33" t="n">
        <f aca="false">V406*D406+X406</f>
        <v>274.952464393181</v>
      </c>
      <c r="Z406" s="33" t="n">
        <f aca="false">SQRT((2*V406*Weeks_Per_Year*F406)/(E406*Holding_Rate))</f>
        <v>192.28371307989</v>
      </c>
      <c r="AA406" s="46" t="n">
        <f aca="false">ROUNDUP(Z406/G406,0)*G406</f>
        <v>195</v>
      </c>
      <c r="AB406" s="46" t="n">
        <f aca="false">SUMIFS(AF$405:AF405,$B$405:$B405,$B406-$D406)</f>
        <v>0</v>
      </c>
      <c r="AC406" s="46" t="n">
        <f aca="false">AI405+AB406</f>
        <v>285</v>
      </c>
      <c r="AD406" s="46" t="n">
        <f aca="false">SUMIFS(AF$405:AF405,$B$405:$B405,"&gt;"&amp;($B406-$D406))</f>
        <v>0</v>
      </c>
      <c r="AE406" s="46" t="n">
        <f aca="false">AC406+AD406</f>
        <v>285</v>
      </c>
      <c r="AF406" s="47" t="n">
        <f aca="false">IF(AE406&lt;=Y406,AA406,0)</f>
        <v>0</v>
      </c>
      <c r="AG406" s="46" t="n">
        <f aca="false">MIN(AC406,I406)</f>
        <v>52</v>
      </c>
      <c r="AH406" s="46" t="n">
        <f aca="false">I406-AG406</f>
        <v>0</v>
      </c>
      <c r="AI406" s="46" t="n">
        <f aca="false">AC406-AG406</f>
        <v>233</v>
      </c>
      <c r="AJ406" s="46" t="n">
        <f aca="false">IF(AH406&gt;0,1,0)</f>
        <v>0</v>
      </c>
    </row>
    <row r="407" customFormat="false" ht="15" hidden="false" customHeight="false" outlineLevel="0" collapsed="false">
      <c r="A407" s="31" t="str">
        <f aca="false">Inputs!$B$62</f>
        <v>BED-003</v>
      </c>
      <c r="B407" s="46" t="n">
        <f aca="false">B406+1</f>
        <v>91</v>
      </c>
      <c r="C407" s="46" t="n">
        <f aca="false">MATCH(A407,Inputs!$B$40:$B$87,0)</f>
        <v>23</v>
      </c>
      <c r="D407" s="32" t="n">
        <f aca="false">INDEX(Inputs!$F$40:$F$87,C407)</f>
        <v>4</v>
      </c>
      <c r="E407" s="78" t="n">
        <f aca="false">INDEX(Inputs!$H$40:$H$87,C407)</f>
        <v>38</v>
      </c>
      <c r="F407" s="78" t="n">
        <f aca="false">INDEX(Inputs!$G$40:$G$87,C407)</f>
        <v>55</v>
      </c>
      <c r="G407" s="32" t="n">
        <f aca="false">INDEX(Inputs!$I$40:$I$87,C407)</f>
        <v>5</v>
      </c>
      <c r="H407" s="46" t="n">
        <f aca="false">MATCH(A407,Demand_History!$C:$C,0)+B407-1</f>
        <v>2380</v>
      </c>
      <c r="I407" s="32" t="n">
        <f aca="false">INDEX(Forecast_Walkforward!$C:$C,H407)</f>
        <v>67</v>
      </c>
      <c r="J407" s="79" t="n">
        <f aca="false">INDEX(Forecast_Walkforward!$E:$E,H407)</f>
        <v>45.25</v>
      </c>
      <c r="K407" s="33" t="n">
        <f aca="false">Baseline_Weeks*J407</f>
        <v>181</v>
      </c>
      <c r="L407" s="46" t="n">
        <f aca="false">SUMIFS(P$405:P406,$B$405:$B406,$B407-$D407)</f>
        <v>0</v>
      </c>
      <c r="M407" s="46" t="n">
        <f aca="false">S406+L407</f>
        <v>233</v>
      </c>
      <c r="N407" s="46" t="n">
        <f aca="false">SUMIFS(P$405:P406,$B$405:$B406,"&gt;"&amp;($B407-$D407))</f>
        <v>0</v>
      </c>
      <c r="O407" s="46" t="n">
        <f aca="false">M407+N407</f>
        <v>233</v>
      </c>
      <c r="P407" s="47" t="n">
        <f aca="false">IF(O407&lt;K407,ROUNDUP((K407-O407)/G407,0)*G407,0)</f>
        <v>0</v>
      </c>
      <c r="Q407" s="46" t="n">
        <f aca="false">MIN(M407,I407)</f>
        <v>67</v>
      </c>
      <c r="R407" s="46" t="n">
        <f aca="false">I407-Q407</f>
        <v>0</v>
      </c>
      <c r="S407" s="46" t="n">
        <f aca="false">M407-Q407</f>
        <v>166</v>
      </c>
      <c r="T407" s="46" t="n">
        <f aca="false">IF(R407&gt;0,1,0)</f>
        <v>0</v>
      </c>
      <c r="U407" s="32" t="n">
        <f aca="false">INDEX(Forecast!$AY$7:$AY$54,C407)</f>
        <v>3</v>
      </c>
      <c r="V407" s="33" t="n">
        <f aca="false">CHOOSE(U407,INDEX(Forecast_Walkforward!$D:$D,H407),INDEX(Forecast_Walkforward!$E:$E,H407),INDEX(Forecast_Walkforward!$F:$F,H407),INDEX(Forecast_Walkforward!$G:$G,H407))</f>
        <v>48</v>
      </c>
      <c r="W407" s="79" t="n">
        <f aca="false">INDEX(Forecast!$BA$7:$BA$54,C407)</f>
        <v>23.8478558540747</v>
      </c>
      <c r="X407" s="33" t="n">
        <f aca="false">Z_Value*W407*SQRT(D407)</f>
        <v>78.4524643931814</v>
      </c>
      <c r="Y407" s="33" t="n">
        <f aca="false">V407*D407+X407</f>
        <v>270.452464393181</v>
      </c>
      <c r="Z407" s="33" t="n">
        <f aca="false">SQRT((2*V407*Weeks_Per_Year*F407)/(E407*Holding_Rate))</f>
        <v>190.069239461502</v>
      </c>
      <c r="AA407" s="46" t="n">
        <f aca="false">ROUNDUP(Z407/G407,0)*G407</f>
        <v>195</v>
      </c>
      <c r="AB407" s="46" t="n">
        <f aca="false">SUMIFS(AF$405:AF406,$B$405:$B406,$B407-$D407)</f>
        <v>0</v>
      </c>
      <c r="AC407" s="46" t="n">
        <f aca="false">AI406+AB407</f>
        <v>233</v>
      </c>
      <c r="AD407" s="46" t="n">
        <f aca="false">SUMIFS(AF$405:AF406,$B$405:$B406,"&gt;"&amp;($B407-$D407))</f>
        <v>0</v>
      </c>
      <c r="AE407" s="46" t="n">
        <f aca="false">AC407+AD407</f>
        <v>233</v>
      </c>
      <c r="AF407" s="47" t="n">
        <f aca="false">IF(AE407&lt;=Y407,AA407,0)</f>
        <v>195</v>
      </c>
      <c r="AG407" s="46" t="n">
        <f aca="false">MIN(AC407,I407)</f>
        <v>67</v>
      </c>
      <c r="AH407" s="46" t="n">
        <f aca="false">I407-AG407</f>
        <v>0</v>
      </c>
      <c r="AI407" s="46" t="n">
        <f aca="false">AC407-AG407</f>
        <v>166</v>
      </c>
      <c r="AJ407" s="46" t="n">
        <f aca="false">IF(AH407&gt;0,1,0)</f>
        <v>0</v>
      </c>
    </row>
    <row r="408" customFormat="false" ht="15" hidden="false" customHeight="false" outlineLevel="0" collapsed="false">
      <c r="A408" s="31" t="str">
        <f aca="false">Inputs!$B$62</f>
        <v>BED-003</v>
      </c>
      <c r="B408" s="46" t="n">
        <f aca="false">B407+1</f>
        <v>92</v>
      </c>
      <c r="C408" s="46" t="n">
        <f aca="false">MATCH(A408,Inputs!$B$40:$B$87,0)</f>
        <v>23</v>
      </c>
      <c r="D408" s="32" t="n">
        <f aca="false">INDEX(Inputs!$F$40:$F$87,C408)</f>
        <v>4</v>
      </c>
      <c r="E408" s="78" t="n">
        <f aca="false">INDEX(Inputs!$H$40:$H$87,C408)</f>
        <v>38</v>
      </c>
      <c r="F408" s="78" t="n">
        <f aca="false">INDEX(Inputs!$G$40:$G$87,C408)</f>
        <v>55</v>
      </c>
      <c r="G408" s="32" t="n">
        <f aca="false">INDEX(Inputs!$I$40:$I$87,C408)</f>
        <v>5</v>
      </c>
      <c r="H408" s="46" t="n">
        <f aca="false">MATCH(A408,Demand_History!$C:$C,0)+B408-1</f>
        <v>2381</v>
      </c>
      <c r="I408" s="32" t="n">
        <f aca="false">INDEX(Forecast_Walkforward!$C:$C,H408)</f>
        <v>35</v>
      </c>
      <c r="J408" s="79" t="n">
        <f aca="false">INDEX(Forecast_Walkforward!$E:$E,H408)</f>
        <v>47.75</v>
      </c>
      <c r="K408" s="33" t="n">
        <f aca="false">Baseline_Weeks*J408</f>
        <v>191</v>
      </c>
      <c r="L408" s="46" t="n">
        <f aca="false">SUMIFS(P$405:P407,$B$405:$B407,$B408-$D408)</f>
        <v>0</v>
      </c>
      <c r="M408" s="46" t="n">
        <f aca="false">S407+L408</f>
        <v>166</v>
      </c>
      <c r="N408" s="46" t="n">
        <f aca="false">SUMIFS(P$405:P407,$B$405:$B407,"&gt;"&amp;($B408-$D408))</f>
        <v>0</v>
      </c>
      <c r="O408" s="46" t="n">
        <f aca="false">M408+N408</f>
        <v>166</v>
      </c>
      <c r="P408" s="47" t="n">
        <f aca="false">IF(O408&lt;K408,ROUNDUP((K408-O408)/G408,0)*G408,0)</f>
        <v>25</v>
      </c>
      <c r="Q408" s="46" t="n">
        <f aca="false">MIN(M408,I408)</f>
        <v>35</v>
      </c>
      <c r="R408" s="46" t="n">
        <f aca="false">I408-Q408</f>
        <v>0</v>
      </c>
      <c r="S408" s="46" t="n">
        <f aca="false">M408-Q408</f>
        <v>131</v>
      </c>
      <c r="T408" s="46" t="n">
        <f aca="false">IF(R408&gt;0,1,0)</f>
        <v>0</v>
      </c>
      <c r="U408" s="32" t="n">
        <f aca="false">INDEX(Forecast!$AY$7:$AY$54,C408)</f>
        <v>3</v>
      </c>
      <c r="V408" s="33" t="n">
        <f aca="false">CHOOSE(U408,INDEX(Forecast_Walkforward!$D:$D,H408),INDEX(Forecast_Walkforward!$E:$E,H408),INDEX(Forecast_Walkforward!$F:$F,H408),INDEX(Forecast_Walkforward!$G:$G,H408))</f>
        <v>52.875</v>
      </c>
      <c r="W408" s="79" t="n">
        <f aca="false">INDEX(Forecast!$BA$7:$BA$54,C408)</f>
        <v>23.8478558540747</v>
      </c>
      <c r="X408" s="33" t="n">
        <f aca="false">Z_Value*W408*SQRT(D408)</f>
        <v>78.4524643931814</v>
      </c>
      <c r="Y408" s="33" t="n">
        <f aca="false">V408*D408+X408</f>
        <v>289.952464393181</v>
      </c>
      <c r="Z408" s="33" t="n">
        <f aca="false">SQRT((2*V408*Weeks_Per_Year*F408)/(E408*Holding_Rate))</f>
        <v>199.487831049521</v>
      </c>
      <c r="AA408" s="46" t="n">
        <f aca="false">ROUNDUP(Z408/G408,0)*G408</f>
        <v>200</v>
      </c>
      <c r="AB408" s="46" t="n">
        <f aca="false">SUMIFS(AF$405:AF407,$B$405:$B407,$B408-$D408)</f>
        <v>0</v>
      </c>
      <c r="AC408" s="46" t="n">
        <f aca="false">AI407+AB408</f>
        <v>166</v>
      </c>
      <c r="AD408" s="46" t="n">
        <f aca="false">SUMIFS(AF$405:AF407,$B$405:$B407,"&gt;"&amp;($B408-$D408))</f>
        <v>195</v>
      </c>
      <c r="AE408" s="46" t="n">
        <f aca="false">AC408+AD408</f>
        <v>361</v>
      </c>
      <c r="AF408" s="47" t="n">
        <f aca="false">IF(AE408&lt;=Y408,AA408,0)</f>
        <v>0</v>
      </c>
      <c r="AG408" s="46" t="n">
        <f aca="false">MIN(AC408,I408)</f>
        <v>35</v>
      </c>
      <c r="AH408" s="46" t="n">
        <f aca="false">I408-AG408</f>
        <v>0</v>
      </c>
      <c r="AI408" s="46" t="n">
        <f aca="false">AC408-AG408</f>
        <v>131</v>
      </c>
      <c r="AJ408" s="46" t="n">
        <f aca="false">IF(AH408&gt;0,1,0)</f>
        <v>0</v>
      </c>
    </row>
    <row r="409" customFormat="false" ht="15" hidden="false" customHeight="false" outlineLevel="0" collapsed="false">
      <c r="A409" s="31" t="str">
        <f aca="false">Inputs!$B$62</f>
        <v>BED-003</v>
      </c>
      <c r="B409" s="46" t="n">
        <f aca="false">B408+1</f>
        <v>93</v>
      </c>
      <c r="C409" s="46" t="n">
        <f aca="false">MATCH(A409,Inputs!$B$40:$B$87,0)</f>
        <v>23</v>
      </c>
      <c r="D409" s="32" t="n">
        <f aca="false">INDEX(Inputs!$F$40:$F$87,C409)</f>
        <v>4</v>
      </c>
      <c r="E409" s="78" t="n">
        <f aca="false">INDEX(Inputs!$H$40:$H$87,C409)</f>
        <v>38</v>
      </c>
      <c r="F409" s="78" t="n">
        <f aca="false">INDEX(Inputs!$G$40:$G$87,C409)</f>
        <v>55</v>
      </c>
      <c r="G409" s="32" t="n">
        <f aca="false">INDEX(Inputs!$I$40:$I$87,C409)</f>
        <v>5</v>
      </c>
      <c r="H409" s="46" t="n">
        <f aca="false">MATCH(A409,Demand_History!$C:$C,0)+B409-1</f>
        <v>2382</v>
      </c>
      <c r="I409" s="32" t="n">
        <f aca="false">INDEX(Forecast_Walkforward!$C:$C,H409)</f>
        <v>29</v>
      </c>
      <c r="J409" s="79" t="n">
        <f aca="false">INDEX(Forecast_Walkforward!$E:$E,H409)</f>
        <v>48</v>
      </c>
      <c r="K409" s="33" t="n">
        <f aca="false">Baseline_Weeks*J409</f>
        <v>192</v>
      </c>
      <c r="L409" s="46" t="n">
        <f aca="false">SUMIFS(P$405:P408,$B$405:$B408,$B409-$D409)</f>
        <v>0</v>
      </c>
      <c r="M409" s="46" t="n">
        <f aca="false">S408+L409</f>
        <v>131</v>
      </c>
      <c r="N409" s="46" t="n">
        <f aca="false">SUMIFS(P$405:P408,$B$405:$B408,"&gt;"&amp;($B409-$D409))</f>
        <v>25</v>
      </c>
      <c r="O409" s="46" t="n">
        <f aca="false">M409+N409</f>
        <v>156</v>
      </c>
      <c r="P409" s="47" t="n">
        <f aca="false">IF(O409&lt;K409,ROUNDUP((K409-O409)/G409,0)*G409,0)</f>
        <v>40</v>
      </c>
      <c r="Q409" s="46" t="n">
        <f aca="false">MIN(M409,I409)</f>
        <v>29</v>
      </c>
      <c r="R409" s="46" t="n">
        <f aca="false">I409-Q409</f>
        <v>0</v>
      </c>
      <c r="S409" s="46" t="n">
        <f aca="false">M409-Q409</f>
        <v>102</v>
      </c>
      <c r="T409" s="46" t="n">
        <f aca="false">IF(R409&gt;0,1,0)</f>
        <v>0</v>
      </c>
      <c r="U409" s="32" t="n">
        <f aca="false">INDEX(Forecast!$AY$7:$AY$54,C409)</f>
        <v>3</v>
      </c>
      <c r="V409" s="33" t="n">
        <f aca="false">CHOOSE(U409,INDEX(Forecast_Walkforward!$D:$D,H409),INDEX(Forecast_Walkforward!$E:$E,H409),INDEX(Forecast_Walkforward!$F:$F,H409),INDEX(Forecast_Walkforward!$G:$G,H409))</f>
        <v>51.125</v>
      </c>
      <c r="W409" s="79" t="n">
        <f aca="false">INDEX(Forecast!$BA$7:$BA$54,C409)</f>
        <v>23.8478558540747</v>
      </c>
      <c r="X409" s="33" t="n">
        <f aca="false">Z_Value*W409*SQRT(D409)</f>
        <v>78.4524643931814</v>
      </c>
      <c r="Y409" s="33" t="n">
        <f aca="false">V409*D409+X409</f>
        <v>282.952464393181</v>
      </c>
      <c r="Z409" s="33" t="n">
        <f aca="false">SQRT((2*V409*Weeks_Per_Year*F409)/(E409*Holding_Rate))</f>
        <v>196.158837358107</v>
      </c>
      <c r="AA409" s="46" t="n">
        <f aca="false">ROUNDUP(Z409/G409,0)*G409</f>
        <v>200</v>
      </c>
      <c r="AB409" s="46" t="n">
        <f aca="false">SUMIFS(AF$405:AF408,$B$405:$B408,$B409-$D409)</f>
        <v>0</v>
      </c>
      <c r="AC409" s="46" t="n">
        <f aca="false">AI408+AB409</f>
        <v>131</v>
      </c>
      <c r="AD409" s="46" t="n">
        <f aca="false">SUMIFS(AF$405:AF408,$B$405:$B408,"&gt;"&amp;($B409-$D409))</f>
        <v>195</v>
      </c>
      <c r="AE409" s="46" t="n">
        <f aca="false">AC409+AD409</f>
        <v>326</v>
      </c>
      <c r="AF409" s="47" t="n">
        <f aca="false">IF(AE409&lt;=Y409,AA409,0)</f>
        <v>0</v>
      </c>
      <c r="AG409" s="46" t="n">
        <f aca="false">MIN(AC409,I409)</f>
        <v>29</v>
      </c>
      <c r="AH409" s="46" t="n">
        <f aca="false">I409-AG409</f>
        <v>0</v>
      </c>
      <c r="AI409" s="46" t="n">
        <f aca="false">AC409-AG409</f>
        <v>102</v>
      </c>
      <c r="AJ409" s="46" t="n">
        <f aca="false">IF(AH409&gt;0,1,0)</f>
        <v>0</v>
      </c>
    </row>
    <row r="410" customFormat="false" ht="15" hidden="false" customHeight="false" outlineLevel="0" collapsed="false">
      <c r="A410" s="31" t="str">
        <f aca="false">Inputs!$B$62</f>
        <v>BED-003</v>
      </c>
      <c r="B410" s="46" t="n">
        <f aca="false">B409+1</f>
        <v>94</v>
      </c>
      <c r="C410" s="46" t="n">
        <f aca="false">MATCH(A410,Inputs!$B$40:$B$87,0)</f>
        <v>23</v>
      </c>
      <c r="D410" s="32" t="n">
        <f aca="false">INDEX(Inputs!$F$40:$F$87,C410)</f>
        <v>4</v>
      </c>
      <c r="E410" s="78" t="n">
        <f aca="false">INDEX(Inputs!$H$40:$H$87,C410)</f>
        <v>38</v>
      </c>
      <c r="F410" s="78" t="n">
        <f aca="false">INDEX(Inputs!$G$40:$G$87,C410)</f>
        <v>55</v>
      </c>
      <c r="G410" s="32" t="n">
        <f aca="false">INDEX(Inputs!$I$40:$I$87,C410)</f>
        <v>5</v>
      </c>
      <c r="H410" s="46" t="n">
        <f aca="false">MATCH(A410,Demand_History!$C:$C,0)+B410-1</f>
        <v>2383</v>
      </c>
      <c r="I410" s="32" t="n">
        <f aca="false">INDEX(Forecast_Walkforward!$C:$C,H410)</f>
        <v>71</v>
      </c>
      <c r="J410" s="79" t="n">
        <f aca="false">INDEX(Forecast_Walkforward!$E:$E,H410)</f>
        <v>45.75</v>
      </c>
      <c r="K410" s="33" t="n">
        <f aca="false">Baseline_Weeks*J410</f>
        <v>183</v>
      </c>
      <c r="L410" s="46" t="n">
        <f aca="false">SUMIFS(P$405:P409,$B$405:$B409,$B410-$D410)</f>
        <v>0</v>
      </c>
      <c r="M410" s="46" t="n">
        <f aca="false">S409+L410</f>
        <v>102</v>
      </c>
      <c r="N410" s="46" t="n">
        <f aca="false">SUMIFS(P$405:P409,$B$405:$B409,"&gt;"&amp;($B410-$D410))</f>
        <v>65</v>
      </c>
      <c r="O410" s="46" t="n">
        <f aca="false">M410+N410</f>
        <v>167</v>
      </c>
      <c r="P410" s="47" t="n">
        <f aca="false">IF(O410&lt;K410,ROUNDUP((K410-O410)/G410,0)*G410,0)</f>
        <v>20</v>
      </c>
      <c r="Q410" s="46" t="n">
        <f aca="false">MIN(M410,I410)</f>
        <v>71</v>
      </c>
      <c r="R410" s="46" t="n">
        <f aca="false">I410-Q410</f>
        <v>0</v>
      </c>
      <c r="S410" s="46" t="n">
        <f aca="false">M410-Q410</f>
        <v>31</v>
      </c>
      <c r="T410" s="46" t="n">
        <f aca="false">IF(R410&gt;0,1,0)</f>
        <v>0</v>
      </c>
      <c r="U410" s="32" t="n">
        <f aca="false">INDEX(Forecast!$AY$7:$AY$54,C410)</f>
        <v>3</v>
      </c>
      <c r="V410" s="33" t="n">
        <f aca="false">CHOOSE(U410,INDEX(Forecast_Walkforward!$D:$D,H410),INDEX(Forecast_Walkforward!$E:$E,H410),INDEX(Forecast_Walkforward!$F:$F,H410),INDEX(Forecast_Walkforward!$G:$G,H410))</f>
        <v>46.375</v>
      </c>
      <c r="W410" s="79" t="n">
        <f aca="false">INDEX(Forecast!$BA$7:$BA$54,C410)</f>
        <v>23.8478558540747</v>
      </c>
      <c r="X410" s="33" t="n">
        <f aca="false">Z_Value*W410*SQRT(D410)</f>
        <v>78.4524643931814</v>
      </c>
      <c r="Y410" s="33" t="n">
        <f aca="false">V410*D410+X410</f>
        <v>263.952464393181</v>
      </c>
      <c r="Z410" s="33" t="n">
        <f aca="false">SQRT((2*V410*Weeks_Per_Year*F410)/(E410*Holding_Rate))</f>
        <v>186.824220789715</v>
      </c>
      <c r="AA410" s="46" t="n">
        <f aca="false">ROUNDUP(Z410/G410,0)*G410</f>
        <v>190</v>
      </c>
      <c r="AB410" s="46" t="n">
        <f aca="false">SUMIFS(AF$405:AF409,$B$405:$B409,$B410-$D410)</f>
        <v>0</v>
      </c>
      <c r="AC410" s="46" t="n">
        <f aca="false">AI409+AB410</f>
        <v>102</v>
      </c>
      <c r="AD410" s="46" t="n">
        <f aca="false">SUMIFS(AF$405:AF409,$B$405:$B409,"&gt;"&amp;($B410-$D410))</f>
        <v>195</v>
      </c>
      <c r="AE410" s="46" t="n">
        <f aca="false">AC410+AD410</f>
        <v>297</v>
      </c>
      <c r="AF410" s="47" t="n">
        <f aca="false">IF(AE410&lt;=Y410,AA410,0)</f>
        <v>0</v>
      </c>
      <c r="AG410" s="46" t="n">
        <f aca="false">MIN(AC410,I410)</f>
        <v>71</v>
      </c>
      <c r="AH410" s="46" t="n">
        <f aca="false">I410-AG410</f>
        <v>0</v>
      </c>
      <c r="AI410" s="46" t="n">
        <f aca="false">AC410-AG410</f>
        <v>31</v>
      </c>
      <c r="AJ410" s="46" t="n">
        <f aca="false">IF(AH410&gt;0,1,0)</f>
        <v>0</v>
      </c>
    </row>
    <row r="411" customFormat="false" ht="15" hidden="false" customHeight="false" outlineLevel="0" collapsed="false">
      <c r="A411" s="31" t="str">
        <f aca="false">Inputs!$B$62</f>
        <v>BED-003</v>
      </c>
      <c r="B411" s="46" t="n">
        <f aca="false">B410+1</f>
        <v>95</v>
      </c>
      <c r="C411" s="46" t="n">
        <f aca="false">MATCH(A411,Inputs!$B$40:$B$87,0)</f>
        <v>23</v>
      </c>
      <c r="D411" s="32" t="n">
        <f aca="false">INDEX(Inputs!$F$40:$F$87,C411)</f>
        <v>4</v>
      </c>
      <c r="E411" s="78" t="n">
        <f aca="false">INDEX(Inputs!$H$40:$H$87,C411)</f>
        <v>38</v>
      </c>
      <c r="F411" s="78" t="n">
        <f aca="false">INDEX(Inputs!$G$40:$G$87,C411)</f>
        <v>55</v>
      </c>
      <c r="G411" s="32" t="n">
        <f aca="false">INDEX(Inputs!$I$40:$I$87,C411)</f>
        <v>5</v>
      </c>
      <c r="H411" s="46" t="n">
        <f aca="false">MATCH(A411,Demand_History!$C:$C,0)+B411-1</f>
        <v>2384</v>
      </c>
      <c r="I411" s="32" t="n">
        <f aca="false">INDEX(Forecast_Walkforward!$C:$C,H411)</f>
        <v>33</v>
      </c>
      <c r="J411" s="79" t="n">
        <f aca="false">INDEX(Forecast_Walkforward!$E:$E,H411)</f>
        <v>50.5</v>
      </c>
      <c r="K411" s="33" t="n">
        <f aca="false">Baseline_Weeks*J411</f>
        <v>202</v>
      </c>
      <c r="L411" s="46" t="n">
        <f aca="false">SUMIFS(P$405:P410,$B$405:$B410,$B411-$D411)</f>
        <v>0</v>
      </c>
      <c r="M411" s="46" t="n">
        <f aca="false">S410+L411</f>
        <v>31</v>
      </c>
      <c r="N411" s="46" t="n">
        <f aca="false">SUMIFS(P$405:P410,$B$405:$B410,"&gt;"&amp;($B411-$D411))</f>
        <v>85</v>
      </c>
      <c r="O411" s="46" t="n">
        <f aca="false">M411+N411</f>
        <v>116</v>
      </c>
      <c r="P411" s="47" t="n">
        <f aca="false">IF(O411&lt;K411,ROUNDUP((K411-O411)/G411,0)*G411,0)</f>
        <v>90</v>
      </c>
      <c r="Q411" s="46" t="n">
        <f aca="false">MIN(M411,I411)</f>
        <v>31</v>
      </c>
      <c r="R411" s="46" t="n">
        <f aca="false">I411-Q411</f>
        <v>2</v>
      </c>
      <c r="S411" s="46" t="n">
        <f aca="false">M411-Q411</f>
        <v>0</v>
      </c>
      <c r="T411" s="46" t="n">
        <f aca="false">IF(R411&gt;0,1,0)</f>
        <v>1</v>
      </c>
      <c r="U411" s="32" t="n">
        <f aca="false">INDEX(Forecast!$AY$7:$AY$54,C411)</f>
        <v>3</v>
      </c>
      <c r="V411" s="33" t="n">
        <f aca="false">CHOOSE(U411,INDEX(Forecast_Walkforward!$D:$D,H411),INDEX(Forecast_Walkforward!$E:$E,H411),INDEX(Forecast_Walkforward!$F:$F,H411),INDEX(Forecast_Walkforward!$G:$G,H411))</f>
        <v>47.875</v>
      </c>
      <c r="W411" s="79" t="n">
        <f aca="false">INDEX(Forecast!$BA$7:$BA$54,C411)</f>
        <v>23.8478558540747</v>
      </c>
      <c r="X411" s="33" t="n">
        <f aca="false">Z_Value*W411*SQRT(D411)</f>
        <v>78.4524643931814</v>
      </c>
      <c r="Y411" s="33" t="n">
        <f aca="false">V411*D411+X411</f>
        <v>269.952464393181</v>
      </c>
      <c r="Z411" s="33" t="n">
        <f aca="false">SQRT((2*V411*Weeks_Per_Year*F411)/(E411*Holding_Rate))</f>
        <v>189.82159213879</v>
      </c>
      <c r="AA411" s="46" t="n">
        <f aca="false">ROUNDUP(Z411/G411,0)*G411</f>
        <v>190</v>
      </c>
      <c r="AB411" s="46" t="n">
        <f aca="false">SUMIFS(AF$405:AF410,$B$405:$B410,$B411-$D411)</f>
        <v>195</v>
      </c>
      <c r="AC411" s="46" t="n">
        <f aca="false">AI410+AB411</f>
        <v>226</v>
      </c>
      <c r="AD411" s="46" t="n">
        <f aca="false">SUMIFS(AF$405:AF410,$B$405:$B410,"&gt;"&amp;($B411-$D411))</f>
        <v>0</v>
      </c>
      <c r="AE411" s="46" t="n">
        <f aca="false">AC411+AD411</f>
        <v>226</v>
      </c>
      <c r="AF411" s="47" t="n">
        <f aca="false">IF(AE411&lt;=Y411,AA411,0)</f>
        <v>190</v>
      </c>
      <c r="AG411" s="46" t="n">
        <f aca="false">MIN(AC411,I411)</f>
        <v>33</v>
      </c>
      <c r="AH411" s="46" t="n">
        <f aca="false">I411-AG411</f>
        <v>0</v>
      </c>
      <c r="AI411" s="46" t="n">
        <f aca="false">AC411-AG411</f>
        <v>193</v>
      </c>
      <c r="AJ411" s="46" t="n">
        <f aca="false">IF(AH411&gt;0,1,0)</f>
        <v>0</v>
      </c>
    </row>
    <row r="412" customFormat="false" ht="15" hidden="false" customHeight="false" outlineLevel="0" collapsed="false">
      <c r="A412" s="31" t="str">
        <f aca="false">Inputs!$B$62</f>
        <v>BED-003</v>
      </c>
      <c r="B412" s="46" t="n">
        <f aca="false">B411+1</f>
        <v>96</v>
      </c>
      <c r="C412" s="46" t="n">
        <f aca="false">MATCH(A412,Inputs!$B$40:$B$87,0)</f>
        <v>23</v>
      </c>
      <c r="D412" s="32" t="n">
        <f aca="false">INDEX(Inputs!$F$40:$F$87,C412)</f>
        <v>4</v>
      </c>
      <c r="E412" s="78" t="n">
        <f aca="false">INDEX(Inputs!$H$40:$H$87,C412)</f>
        <v>38</v>
      </c>
      <c r="F412" s="78" t="n">
        <f aca="false">INDEX(Inputs!$G$40:$G$87,C412)</f>
        <v>55</v>
      </c>
      <c r="G412" s="32" t="n">
        <f aca="false">INDEX(Inputs!$I$40:$I$87,C412)</f>
        <v>5</v>
      </c>
      <c r="H412" s="46" t="n">
        <f aca="false">MATCH(A412,Demand_History!$C:$C,0)+B412-1</f>
        <v>2385</v>
      </c>
      <c r="I412" s="32" t="n">
        <f aca="false">INDEX(Forecast_Walkforward!$C:$C,H412)</f>
        <v>70</v>
      </c>
      <c r="J412" s="79" t="n">
        <f aca="false">INDEX(Forecast_Walkforward!$E:$E,H412)</f>
        <v>42</v>
      </c>
      <c r="K412" s="33" t="n">
        <f aca="false">Baseline_Weeks*J412</f>
        <v>168</v>
      </c>
      <c r="L412" s="46" t="n">
        <f aca="false">SUMIFS(P$405:P411,$B$405:$B411,$B412-$D412)</f>
        <v>25</v>
      </c>
      <c r="M412" s="46" t="n">
        <f aca="false">S411+L412</f>
        <v>25</v>
      </c>
      <c r="N412" s="46" t="n">
        <f aca="false">SUMIFS(P$405:P411,$B$405:$B411,"&gt;"&amp;($B412-$D412))</f>
        <v>150</v>
      </c>
      <c r="O412" s="46" t="n">
        <f aca="false">M412+N412</f>
        <v>175</v>
      </c>
      <c r="P412" s="47" t="n">
        <f aca="false">IF(O412&lt;K412,ROUNDUP((K412-O412)/G412,0)*G412,0)</f>
        <v>0</v>
      </c>
      <c r="Q412" s="46" t="n">
        <f aca="false">MIN(M412,I412)</f>
        <v>25</v>
      </c>
      <c r="R412" s="46" t="n">
        <f aca="false">I412-Q412</f>
        <v>45</v>
      </c>
      <c r="S412" s="46" t="n">
        <f aca="false">M412-Q412</f>
        <v>0</v>
      </c>
      <c r="T412" s="46" t="n">
        <f aca="false">IF(R412&gt;0,1,0)</f>
        <v>1</v>
      </c>
      <c r="U412" s="32" t="n">
        <f aca="false">INDEX(Forecast!$AY$7:$AY$54,C412)</f>
        <v>3</v>
      </c>
      <c r="V412" s="33" t="n">
        <f aca="false">CHOOSE(U412,INDEX(Forecast_Walkforward!$D:$D,H412),INDEX(Forecast_Walkforward!$E:$E,H412),INDEX(Forecast_Walkforward!$F:$F,H412),INDEX(Forecast_Walkforward!$G:$G,H412))</f>
        <v>44.875</v>
      </c>
      <c r="W412" s="79" t="n">
        <f aca="false">INDEX(Forecast!$BA$7:$BA$54,C412)</f>
        <v>23.8478558540747</v>
      </c>
      <c r="X412" s="33" t="n">
        <f aca="false">Z_Value*W412*SQRT(D412)</f>
        <v>78.4524643931814</v>
      </c>
      <c r="Y412" s="33" t="n">
        <f aca="false">V412*D412+X412</f>
        <v>257.952464393181</v>
      </c>
      <c r="Z412" s="33" t="n">
        <f aca="false">SQRT((2*V412*Weeks_Per_Year*F412)/(E412*Holding_Rate))</f>
        <v>183.7779695863</v>
      </c>
      <c r="AA412" s="46" t="n">
        <f aca="false">ROUNDUP(Z412/G412,0)*G412</f>
        <v>185</v>
      </c>
      <c r="AB412" s="46" t="n">
        <f aca="false">SUMIFS(AF$405:AF411,$B$405:$B411,$B412-$D412)</f>
        <v>0</v>
      </c>
      <c r="AC412" s="46" t="n">
        <f aca="false">AI411+AB412</f>
        <v>193</v>
      </c>
      <c r="AD412" s="46" t="n">
        <f aca="false">SUMIFS(AF$405:AF411,$B$405:$B411,"&gt;"&amp;($B412-$D412))</f>
        <v>190</v>
      </c>
      <c r="AE412" s="46" t="n">
        <f aca="false">AC412+AD412</f>
        <v>383</v>
      </c>
      <c r="AF412" s="47" t="n">
        <f aca="false">IF(AE412&lt;=Y412,AA412,0)</f>
        <v>0</v>
      </c>
      <c r="AG412" s="46" t="n">
        <f aca="false">MIN(AC412,I412)</f>
        <v>70</v>
      </c>
      <c r="AH412" s="46" t="n">
        <f aca="false">I412-AG412</f>
        <v>0</v>
      </c>
      <c r="AI412" s="46" t="n">
        <f aca="false">AC412-AG412</f>
        <v>123</v>
      </c>
      <c r="AJ412" s="46" t="n">
        <f aca="false">IF(AH412&gt;0,1,0)</f>
        <v>0</v>
      </c>
    </row>
    <row r="413" customFormat="false" ht="15" hidden="false" customHeight="false" outlineLevel="0" collapsed="false">
      <c r="A413" s="31" t="str">
        <f aca="false">Inputs!$B$62</f>
        <v>BED-003</v>
      </c>
      <c r="B413" s="46" t="n">
        <f aca="false">B412+1</f>
        <v>97</v>
      </c>
      <c r="C413" s="46" t="n">
        <f aca="false">MATCH(A413,Inputs!$B$40:$B$87,0)</f>
        <v>23</v>
      </c>
      <c r="D413" s="32" t="n">
        <f aca="false">INDEX(Inputs!$F$40:$F$87,C413)</f>
        <v>4</v>
      </c>
      <c r="E413" s="78" t="n">
        <f aca="false">INDEX(Inputs!$H$40:$H$87,C413)</f>
        <v>38</v>
      </c>
      <c r="F413" s="78" t="n">
        <f aca="false">INDEX(Inputs!$G$40:$G$87,C413)</f>
        <v>55</v>
      </c>
      <c r="G413" s="32" t="n">
        <f aca="false">INDEX(Inputs!$I$40:$I$87,C413)</f>
        <v>5</v>
      </c>
      <c r="H413" s="46" t="n">
        <f aca="false">MATCH(A413,Demand_History!$C:$C,0)+B413-1</f>
        <v>2386</v>
      </c>
      <c r="I413" s="32" t="n">
        <f aca="false">INDEX(Forecast_Walkforward!$C:$C,H413)</f>
        <v>54</v>
      </c>
      <c r="J413" s="79" t="n">
        <f aca="false">INDEX(Forecast_Walkforward!$E:$E,H413)</f>
        <v>50.75</v>
      </c>
      <c r="K413" s="33" t="n">
        <f aca="false">Baseline_Weeks*J413</f>
        <v>203</v>
      </c>
      <c r="L413" s="46" t="n">
        <f aca="false">SUMIFS(P$405:P412,$B$405:$B412,$B413-$D413)</f>
        <v>40</v>
      </c>
      <c r="M413" s="46" t="n">
        <f aca="false">S412+L413</f>
        <v>40</v>
      </c>
      <c r="N413" s="46" t="n">
        <f aca="false">SUMIFS(P$405:P412,$B$405:$B412,"&gt;"&amp;($B413-$D413))</f>
        <v>110</v>
      </c>
      <c r="O413" s="46" t="n">
        <f aca="false">M413+N413</f>
        <v>150</v>
      </c>
      <c r="P413" s="47" t="n">
        <f aca="false">IF(O413&lt;K413,ROUNDUP((K413-O413)/G413,0)*G413,0)</f>
        <v>55</v>
      </c>
      <c r="Q413" s="46" t="n">
        <f aca="false">MIN(M413,I413)</f>
        <v>40</v>
      </c>
      <c r="R413" s="46" t="n">
        <f aca="false">I413-Q413</f>
        <v>14</v>
      </c>
      <c r="S413" s="46" t="n">
        <f aca="false">M413-Q413</f>
        <v>0</v>
      </c>
      <c r="T413" s="46" t="n">
        <f aca="false">IF(R413&gt;0,1,0)</f>
        <v>1</v>
      </c>
      <c r="U413" s="32" t="n">
        <f aca="false">INDEX(Forecast!$AY$7:$AY$54,C413)</f>
        <v>3</v>
      </c>
      <c r="V413" s="33" t="n">
        <f aca="false">CHOOSE(U413,INDEX(Forecast_Walkforward!$D:$D,H413),INDEX(Forecast_Walkforward!$E:$E,H413),INDEX(Forecast_Walkforward!$F:$F,H413),INDEX(Forecast_Walkforward!$G:$G,H413))</f>
        <v>49.375</v>
      </c>
      <c r="W413" s="79" t="n">
        <f aca="false">INDEX(Forecast!$BA$7:$BA$54,C413)</f>
        <v>23.8478558540747</v>
      </c>
      <c r="X413" s="33" t="n">
        <f aca="false">Z_Value*W413*SQRT(D413)</f>
        <v>78.4524643931814</v>
      </c>
      <c r="Y413" s="33" t="n">
        <f aca="false">V413*D413+X413</f>
        <v>275.952464393181</v>
      </c>
      <c r="Z413" s="33" t="n">
        <f aca="false">SQRT((2*V413*Weeks_Per_Year*F413)/(E413*Holding_Rate))</f>
        <v>192.772363710482</v>
      </c>
      <c r="AA413" s="46" t="n">
        <f aca="false">ROUNDUP(Z413/G413,0)*G413</f>
        <v>195</v>
      </c>
      <c r="AB413" s="46" t="n">
        <f aca="false">SUMIFS(AF$405:AF412,$B$405:$B412,$B413-$D413)</f>
        <v>0</v>
      </c>
      <c r="AC413" s="46" t="n">
        <f aca="false">AI412+AB413</f>
        <v>123</v>
      </c>
      <c r="AD413" s="46" t="n">
        <f aca="false">SUMIFS(AF$405:AF412,$B$405:$B412,"&gt;"&amp;($B413-$D413))</f>
        <v>190</v>
      </c>
      <c r="AE413" s="46" t="n">
        <f aca="false">AC413+AD413</f>
        <v>313</v>
      </c>
      <c r="AF413" s="47" t="n">
        <f aca="false">IF(AE413&lt;=Y413,AA413,0)</f>
        <v>0</v>
      </c>
      <c r="AG413" s="46" t="n">
        <f aca="false">MIN(AC413,I413)</f>
        <v>54</v>
      </c>
      <c r="AH413" s="46" t="n">
        <f aca="false">I413-AG413</f>
        <v>0</v>
      </c>
      <c r="AI413" s="46" t="n">
        <f aca="false">AC413-AG413</f>
        <v>69</v>
      </c>
      <c r="AJ413" s="46" t="n">
        <f aca="false">IF(AH413&gt;0,1,0)</f>
        <v>0</v>
      </c>
    </row>
    <row r="414" customFormat="false" ht="15" hidden="false" customHeight="false" outlineLevel="0" collapsed="false">
      <c r="A414" s="31" t="str">
        <f aca="false">Inputs!$B$62</f>
        <v>BED-003</v>
      </c>
      <c r="B414" s="46" t="n">
        <f aca="false">B413+1</f>
        <v>98</v>
      </c>
      <c r="C414" s="46" t="n">
        <f aca="false">MATCH(A414,Inputs!$B$40:$B$87,0)</f>
        <v>23</v>
      </c>
      <c r="D414" s="32" t="n">
        <f aca="false">INDEX(Inputs!$F$40:$F$87,C414)</f>
        <v>4</v>
      </c>
      <c r="E414" s="78" t="n">
        <f aca="false">INDEX(Inputs!$H$40:$H$87,C414)</f>
        <v>38</v>
      </c>
      <c r="F414" s="78" t="n">
        <f aca="false">INDEX(Inputs!$G$40:$G$87,C414)</f>
        <v>55</v>
      </c>
      <c r="G414" s="32" t="n">
        <f aca="false">INDEX(Inputs!$I$40:$I$87,C414)</f>
        <v>5</v>
      </c>
      <c r="H414" s="46" t="n">
        <f aca="false">MATCH(A414,Demand_History!$C:$C,0)+B414-1</f>
        <v>2387</v>
      </c>
      <c r="I414" s="32" t="n">
        <f aca="false">INDEX(Forecast_Walkforward!$C:$C,H414)</f>
        <v>66</v>
      </c>
      <c r="J414" s="79" t="n">
        <f aca="false">INDEX(Forecast_Walkforward!$E:$E,H414)</f>
        <v>57</v>
      </c>
      <c r="K414" s="33" t="n">
        <f aca="false">Baseline_Weeks*J414</f>
        <v>228</v>
      </c>
      <c r="L414" s="46" t="n">
        <f aca="false">SUMIFS(P$405:P413,$B$405:$B413,$B414-$D414)</f>
        <v>20</v>
      </c>
      <c r="M414" s="46" t="n">
        <f aca="false">S413+L414</f>
        <v>20</v>
      </c>
      <c r="N414" s="46" t="n">
        <f aca="false">SUMIFS(P$405:P413,$B$405:$B413,"&gt;"&amp;($B414-$D414))</f>
        <v>145</v>
      </c>
      <c r="O414" s="46" t="n">
        <f aca="false">M414+N414</f>
        <v>165</v>
      </c>
      <c r="P414" s="47" t="n">
        <f aca="false">IF(O414&lt;K414,ROUNDUP((K414-O414)/G414,0)*G414,0)</f>
        <v>65</v>
      </c>
      <c r="Q414" s="46" t="n">
        <f aca="false">MIN(M414,I414)</f>
        <v>20</v>
      </c>
      <c r="R414" s="46" t="n">
        <f aca="false">I414-Q414</f>
        <v>46</v>
      </c>
      <c r="S414" s="46" t="n">
        <f aca="false">M414-Q414</f>
        <v>0</v>
      </c>
      <c r="T414" s="46" t="n">
        <f aca="false">IF(R414&gt;0,1,0)</f>
        <v>1</v>
      </c>
      <c r="U414" s="32" t="n">
        <f aca="false">INDEX(Forecast!$AY$7:$AY$54,C414)</f>
        <v>3</v>
      </c>
      <c r="V414" s="33" t="n">
        <f aca="false">CHOOSE(U414,INDEX(Forecast_Walkforward!$D:$D,H414),INDEX(Forecast_Walkforward!$E:$E,H414),INDEX(Forecast_Walkforward!$F:$F,H414),INDEX(Forecast_Walkforward!$G:$G,H414))</f>
        <v>51.375</v>
      </c>
      <c r="W414" s="79" t="n">
        <f aca="false">INDEX(Forecast!$BA$7:$BA$54,C414)</f>
        <v>23.8478558540747</v>
      </c>
      <c r="X414" s="33" t="n">
        <f aca="false">Z_Value*W414*SQRT(D414)</f>
        <v>78.4524643931814</v>
      </c>
      <c r="Y414" s="33" t="n">
        <f aca="false">V414*D414+X414</f>
        <v>283.952464393181</v>
      </c>
      <c r="Z414" s="33" t="n">
        <f aca="false">SQRT((2*V414*Weeks_Per_Year*F414)/(E414*Holding_Rate))</f>
        <v>196.637858431232</v>
      </c>
      <c r="AA414" s="46" t="n">
        <f aca="false">ROUNDUP(Z414/G414,0)*G414</f>
        <v>200</v>
      </c>
      <c r="AB414" s="46" t="n">
        <f aca="false">SUMIFS(AF$405:AF413,$B$405:$B413,$B414-$D414)</f>
        <v>0</v>
      </c>
      <c r="AC414" s="46" t="n">
        <f aca="false">AI413+AB414</f>
        <v>69</v>
      </c>
      <c r="AD414" s="46" t="n">
        <f aca="false">SUMIFS(AF$405:AF413,$B$405:$B413,"&gt;"&amp;($B414-$D414))</f>
        <v>190</v>
      </c>
      <c r="AE414" s="46" t="n">
        <f aca="false">AC414+AD414</f>
        <v>259</v>
      </c>
      <c r="AF414" s="47" t="n">
        <f aca="false">IF(AE414&lt;=Y414,AA414,0)</f>
        <v>200</v>
      </c>
      <c r="AG414" s="46" t="n">
        <f aca="false">MIN(AC414,I414)</f>
        <v>66</v>
      </c>
      <c r="AH414" s="46" t="n">
        <f aca="false">I414-AG414</f>
        <v>0</v>
      </c>
      <c r="AI414" s="46" t="n">
        <f aca="false">AC414-AG414</f>
        <v>3</v>
      </c>
      <c r="AJ414" s="46" t="n">
        <f aca="false">IF(AH414&gt;0,1,0)</f>
        <v>0</v>
      </c>
    </row>
    <row r="415" customFormat="false" ht="15" hidden="false" customHeight="false" outlineLevel="0" collapsed="false">
      <c r="A415" s="31" t="str">
        <f aca="false">Inputs!$B$62</f>
        <v>BED-003</v>
      </c>
      <c r="B415" s="46" t="n">
        <f aca="false">B414+1</f>
        <v>99</v>
      </c>
      <c r="C415" s="46" t="n">
        <f aca="false">MATCH(A415,Inputs!$B$40:$B$87,0)</f>
        <v>23</v>
      </c>
      <c r="D415" s="32" t="n">
        <f aca="false">INDEX(Inputs!$F$40:$F$87,C415)</f>
        <v>4</v>
      </c>
      <c r="E415" s="78" t="n">
        <f aca="false">INDEX(Inputs!$H$40:$H$87,C415)</f>
        <v>38</v>
      </c>
      <c r="F415" s="78" t="n">
        <f aca="false">INDEX(Inputs!$G$40:$G$87,C415)</f>
        <v>55</v>
      </c>
      <c r="G415" s="32" t="n">
        <f aca="false">INDEX(Inputs!$I$40:$I$87,C415)</f>
        <v>5</v>
      </c>
      <c r="H415" s="46" t="n">
        <f aca="false">MATCH(A415,Demand_History!$C:$C,0)+B415-1</f>
        <v>2388</v>
      </c>
      <c r="I415" s="32" t="n">
        <f aca="false">INDEX(Forecast_Walkforward!$C:$C,H415)</f>
        <v>82</v>
      </c>
      <c r="J415" s="79" t="n">
        <f aca="false">INDEX(Forecast_Walkforward!$E:$E,H415)</f>
        <v>55.75</v>
      </c>
      <c r="K415" s="33" t="n">
        <f aca="false">Baseline_Weeks*J415</f>
        <v>223</v>
      </c>
      <c r="L415" s="46" t="n">
        <f aca="false">SUMIFS(P$405:P414,$B$405:$B414,$B415-$D415)</f>
        <v>90</v>
      </c>
      <c r="M415" s="46" t="n">
        <f aca="false">S414+L415</f>
        <v>90</v>
      </c>
      <c r="N415" s="46" t="n">
        <f aca="false">SUMIFS(P$405:P414,$B$405:$B414,"&gt;"&amp;($B415-$D415))</f>
        <v>120</v>
      </c>
      <c r="O415" s="46" t="n">
        <f aca="false">M415+N415</f>
        <v>210</v>
      </c>
      <c r="P415" s="47" t="n">
        <f aca="false">IF(O415&lt;K415,ROUNDUP((K415-O415)/G415,0)*G415,0)</f>
        <v>15</v>
      </c>
      <c r="Q415" s="46" t="n">
        <f aca="false">MIN(M415,I415)</f>
        <v>82</v>
      </c>
      <c r="R415" s="46" t="n">
        <f aca="false">I415-Q415</f>
        <v>0</v>
      </c>
      <c r="S415" s="46" t="n">
        <f aca="false">M415-Q415</f>
        <v>8</v>
      </c>
      <c r="T415" s="46" t="n">
        <f aca="false">IF(R415&gt;0,1,0)</f>
        <v>0</v>
      </c>
      <c r="U415" s="32" t="n">
        <f aca="false">INDEX(Forecast!$AY$7:$AY$54,C415)</f>
        <v>3</v>
      </c>
      <c r="V415" s="33" t="n">
        <f aca="false">CHOOSE(U415,INDEX(Forecast_Walkforward!$D:$D,H415),INDEX(Forecast_Walkforward!$E:$E,H415),INDEX(Forecast_Walkforward!$F:$F,H415),INDEX(Forecast_Walkforward!$G:$G,H415))</f>
        <v>53.125</v>
      </c>
      <c r="W415" s="79" t="n">
        <f aca="false">INDEX(Forecast!$BA$7:$BA$54,C415)</f>
        <v>23.8478558540747</v>
      </c>
      <c r="X415" s="33" t="n">
        <f aca="false">Z_Value*W415*SQRT(D415)</f>
        <v>78.4524643931814</v>
      </c>
      <c r="Y415" s="33" t="n">
        <f aca="false">V415*D415+X415</f>
        <v>290.952464393181</v>
      </c>
      <c r="Z415" s="33" t="n">
        <f aca="false">SQRT((2*V415*Weeks_Per_Year*F415)/(E415*Holding_Rate))</f>
        <v>199.958877351267</v>
      </c>
      <c r="AA415" s="46" t="n">
        <f aca="false">ROUNDUP(Z415/G415,0)*G415</f>
        <v>200</v>
      </c>
      <c r="AB415" s="46" t="n">
        <f aca="false">SUMIFS(AF$405:AF414,$B$405:$B414,$B415-$D415)</f>
        <v>190</v>
      </c>
      <c r="AC415" s="46" t="n">
        <f aca="false">AI414+AB415</f>
        <v>193</v>
      </c>
      <c r="AD415" s="46" t="n">
        <f aca="false">SUMIFS(AF$405:AF414,$B$405:$B414,"&gt;"&amp;($B415-$D415))</f>
        <v>200</v>
      </c>
      <c r="AE415" s="46" t="n">
        <f aca="false">AC415+AD415</f>
        <v>393</v>
      </c>
      <c r="AF415" s="47" t="n">
        <f aca="false">IF(AE415&lt;=Y415,AA415,0)</f>
        <v>0</v>
      </c>
      <c r="AG415" s="46" t="n">
        <f aca="false">MIN(AC415,I415)</f>
        <v>82</v>
      </c>
      <c r="AH415" s="46" t="n">
        <f aca="false">I415-AG415</f>
        <v>0</v>
      </c>
      <c r="AI415" s="46" t="n">
        <f aca="false">AC415-AG415</f>
        <v>111</v>
      </c>
      <c r="AJ415" s="46" t="n">
        <f aca="false">IF(AH415&gt;0,1,0)</f>
        <v>0</v>
      </c>
    </row>
    <row r="416" customFormat="false" ht="15" hidden="false" customHeight="false" outlineLevel="0" collapsed="false">
      <c r="A416" s="31" t="str">
        <f aca="false">Inputs!$B$62</f>
        <v>BED-003</v>
      </c>
      <c r="B416" s="46" t="n">
        <f aca="false">B415+1</f>
        <v>100</v>
      </c>
      <c r="C416" s="46" t="n">
        <f aca="false">MATCH(A416,Inputs!$B$40:$B$87,0)</f>
        <v>23</v>
      </c>
      <c r="D416" s="32" t="n">
        <f aca="false">INDEX(Inputs!$F$40:$F$87,C416)</f>
        <v>4</v>
      </c>
      <c r="E416" s="78" t="n">
        <f aca="false">INDEX(Inputs!$H$40:$H$87,C416)</f>
        <v>38</v>
      </c>
      <c r="F416" s="78" t="n">
        <f aca="false">INDEX(Inputs!$G$40:$G$87,C416)</f>
        <v>55</v>
      </c>
      <c r="G416" s="32" t="n">
        <f aca="false">INDEX(Inputs!$I$40:$I$87,C416)</f>
        <v>5</v>
      </c>
      <c r="H416" s="46" t="n">
        <f aca="false">MATCH(A416,Demand_History!$C:$C,0)+B416-1</f>
        <v>2389</v>
      </c>
      <c r="I416" s="32" t="n">
        <f aca="false">INDEX(Forecast_Walkforward!$C:$C,H416)</f>
        <v>63</v>
      </c>
      <c r="J416" s="79" t="n">
        <f aca="false">INDEX(Forecast_Walkforward!$E:$E,H416)</f>
        <v>68</v>
      </c>
      <c r="K416" s="33" t="n">
        <f aca="false">Baseline_Weeks*J416</f>
        <v>272</v>
      </c>
      <c r="L416" s="46" t="n">
        <f aca="false">SUMIFS(P$405:P415,$B$405:$B415,$B416-$D416)</f>
        <v>0</v>
      </c>
      <c r="M416" s="46" t="n">
        <f aca="false">S415+L416</f>
        <v>8</v>
      </c>
      <c r="N416" s="46" t="n">
        <f aca="false">SUMIFS(P$405:P415,$B$405:$B415,"&gt;"&amp;($B416-$D416))</f>
        <v>135</v>
      </c>
      <c r="O416" s="46" t="n">
        <f aca="false">M416+N416</f>
        <v>143</v>
      </c>
      <c r="P416" s="47" t="n">
        <f aca="false">IF(O416&lt;K416,ROUNDUP((K416-O416)/G416,0)*G416,0)</f>
        <v>130</v>
      </c>
      <c r="Q416" s="46" t="n">
        <f aca="false">MIN(M416,I416)</f>
        <v>8</v>
      </c>
      <c r="R416" s="46" t="n">
        <f aca="false">I416-Q416</f>
        <v>55</v>
      </c>
      <c r="S416" s="46" t="n">
        <f aca="false">M416-Q416</f>
        <v>0</v>
      </c>
      <c r="T416" s="46" t="n">
        <f aca="false">IF(R416&gt;0,1,0)</f>
        <v>1</v>
      </c>
      <c r="U416" s="32" t="n">
        <f aca="false">INDEX(Forecast!$AY$7:$AY$54,C416)</f>
        <v>3</v>
      </c>
      <c r="V416" s="33" t="n">
        <f aca="false">CHOOSE(U416,INDEX(Forecast_Walkforward!$D:$D,H416),INDEX(Forecast_Walkforward!$E:$E,H416),INDEX(Forecast_Walkforward!$F:$F,H416),INDEX(Forecast_Walkforward!$G:$G,H416))</f>
        <v>55</v>
      </c>
      <c r="W416" s="79" t="n">
        <f aca="false">INDEX(Forecast!$BA$7:$BA$54,C416)</f>
        <v>23.8478558540747</v>
      </c>
      <c r="X416" s="33" t="n">
        <f aca="false">Z_Value*W416*SQRT(D416)</f>
        <v>78.4524643931814</v>
      </c>
      <c r="Y416" s="33" t="n">
        <f aca="false">V416*D416+X416</f>
        <v>298.452464393181</v>
      </c>
      <c r="Z416" s="33" t="n">
        <f aca="false">SQRT((2*V416*Weeks_Per_Year*F416)/(E416*Holding_Rate))</f>
        <v>203.456965577749</v>
      </c>
      <c r="AA416" s="46" t="n">
        <f aca="false">ROUNDUP(Z416/G416,0)*G416</f>
        <v>205</v>
      </c>
      <c r="AB416" s="46" t="n">
        <f aca="false">SUMIFS(AF$405:AF415,$B$405:$B415,$B416-$D416)</f>
        <v>0</v>
      </c>
      <c r="AC416" s="46" t="n">
        <f aca="false">AI415+AB416</f>
        <v>111</v>
      </c>
      <c r="AD416" s="46" t="n">
        <f aca="false">SUMIFS(AF$405:AF415,$B$405:$B415,"&gt;"&amp;($B416-$D416))</f>
        <v>200</v>
      </c>
      <c r="AE416" s="46" t="n">
        <f aca="false">AC416+AD416</f>
        <v>311</v>
      </c>
      <c r="AF416" s="47" t="n">
        <f aca="false">IF(AE416&lt;=Y416,AA416,0)</f>
        <v>0</v>
      </c>
      <c r="AG416" s="46" t="n">
        <f aca="false">MIN(AC416,I416)</f>
        <v>63</v>
      </c>
      <c r="AH416" s="46" t="n">
        <f aca="false">I416-AG416</f>
        <v>0</v>
      </c>
      <c r="AI416" s="46" t="n">
        <f aca="false">AC416-AG416</f>
        <v>48</v>
      </c>
      <c r="AJ416" s="46" t="n">
        <f aca="false">IF(AH416&gt;0,1,0)</f>
        <v>0</v>
      </c>
    </row>
    <row r="417" customFormat="false" ht="15" hidden="false" customHeight="false" outlineLevel="0" collapsed="false">
      <c r="A417" s="31" t="str">
        <f aca="false">Inputs!$B$62</f>
        <v>BED-003</v>
      </c>
      <c r="B417" s="46" t="n">
        <f aca="false">B416+1</f>
        <v>101</v>
      </c>
      <c r="C417" s="46" t="n">
        <f aca="false">MATCH(A417,Inputs!$B$40:$B$87,0)</f>
        <v>23</v>
      </c>
      <c r="D417" s="32" t="n">
        <f aca="false">INDEX(Inputs!$F$40:$F$87,C417)</f>
        <v>4</v>
      </c>
      <c r="E417" s="78" t="n">
        <f aca="false">INDEX(Inputs!$H$40:$H$87,C417)</f>
        <v>38</v>
      </c>
      <c r="F417" s="78" t="n">
        <f aca="false">INDEX(Inputs!$G$40:$G$87,C417)</f>
        <v>55</v>
      </c>
      <c r="G417" s="32" t="n">
        <f aca="false">INDEX(Inputs!$I$40:$I$87,C417)</f>
        <v>5</v>
      </c>
      <c r="H417" s="46" t="n">
        <f aca="false">MATCH(A417,Demand_History!$C:$C,0)+B417-1</f>
        <v>2390</v>
      </c>
      <c r="I417" s="32" t="n">
        <f aca="false">INDEX(Forecast_Walkforward!$C:$C,H417)</f>
        <v>64</v>
      </c>
      <c r="J417" s="79" t="n">
        <f aca="false">INDEX(Forecast_Walkforward!$E:$E,H417)</f>
        <v>66.25</v>
      </c>
      <c r="K417" s="33" t="n">
        <f aca="false">Baseline_Weeks*J417</f>
        <v>265</v>
      </c>
      <c r="L417" s="46" t="n">
        <f aca="false">SUMIFS(P$405:P416,$B$405:$B416,$B417-$D417)</f>
        <v>55</v>
      </c>
      <c r="M417" s="46" t="n">
        <f aca="false">S416+L417</f>
        <v>55</v>
      </c>
      <c r="N417" s="46" t="n">
        <f aca="false">SUMIFS(P$405:P416,$B$405:$B416,"&gt;"&amp;($B417-$D417))</f>
        <v>210</v>
      </c>
      <c r="O417" s="46" t="n">
        <f aca="false">M417+N417</f>
        <v>265</v>
      </c>
      <c r="P417" s="47" t="n">
        <f aca="false">IF(O417&lt;K417,ROUNDUP((K417-O417)/G417,0)*G417,0)</f>
        <v>0</v>
      </c>
      <c r="Q417" s="46" t="n">
        <f aca="false">MIN(M417,I417)</f>
        <v>55</v>
      </c>
      <c r="R417" s="46" t="n">
        <f aca="false">I417-Q417</f>
        <v>9</v>
      </c>
      <c r="S417" s="46" t="n">
        <f aca="false">M417-Q417</f>
        <v>0</v>
      </c>
      <c r="T417" s="46" t="n">
        <f aca="false">IF(R417&gt;0,1,0)</f>
        <v>1</v>
      </c>
      <c r="U417" s="32" t="n">
        <f aca="false">INDEX(Forecast!$AY$7:$AY$54,C417)</f>
        <v>3</v>
      </c>
      <c r="V417" s="33" t="n">
        <f aca="false">CHOOSE(U417,INDEX(Forecast_Walkforward!$D:$D,H417),INDEX(Forecast_Walkforward!$E:$E,H417),INDEX(Forecast_Walkforward!$F:$F,H417),INDEX(Forecast_Walkforward!$G:$G,H417))</f>
        <v>58.5</v>
      </c>
      <c r="W417" s="79" t="n">
        <f aca="false">INDEX(Forecast!$BA$7:$BA$54,C417)</f>
        <v>23.8478558540747</v>
      </c>
      <c r="X417" s="33" t="n">
        <f aca="false">Z_Value*W417*SQRT(D417)</f>
        <v>78.4524643931814</v>
      </c>
      <c r="Y417" s="33" t="n">
        <f aca="false">V417*D417+X417</f>
        <v>312.452464393181</v>
      </c>
      <c r="Z417" s="33" t="n">
        <f aca="false">SQRT((2*V417*Weeks_Per_Year*F417)/(E417*Holding_Rate))</f>
        <v>209.830758871098</v>
      </c>
      <c r="AA417" s="46" t="n">
        <f aca="false">ROUNDUP(Z417/G417,0)*G417</f>
        <v>210</v>
      </c>
      <c r="AB417" s="46" t="n">
        <f aca="false">SUMIFS(AF$405:AF416,$B$405:$B416,$B417-$D417)</f>
        <v>0</v>
      </c>
      <c r="AC417" s="46" t="n">
        <f aca="false">AI416+AB417</f>
        <v>48</v>
      </c>
      <c r="AD417" s="46" t="n">
        <f aca="false">SUMIFS(AF$405:AF416,$B$405:$B416,"&gt;"&amp;($B417-$D417))</f>
        <v>200</v>
      </c>
      <c r="AE417" s="46" t="n">
        <f aca="false">AC417+AD417</f>
        <v>248</v>
      </c>
      <c r="AF417" s="47" t="n">
        <f aca="false">IF(AE417&lt;=Y417,AA417,0)</f>
        <v>210</v>
      </c>
      <c r="AG417" s="46" t="n">
        <f aca="false">MIN(AC417,I417)</f>
        <v>48</v>
      </c>
      <c r="AH417" s="46" t="n">
        <f aca="false">I417-AG417</f>
        <v>16</v>
      </c>
      <c r="AI417" s="46" t="n">
        <f aca="false">AC417-AG417</f>
        <v>0</v>
      </c>
      <c r="AJ417" s="46" t="n">
        <f aca="false">IF(AH417&gt;0,1,0)</f>
        <v>1</v>
      </c>
    </row>
    <row r="418" customFormat="false" ht="15" hidden="false" customHeight="false" outlineLevel="0" collapsed="false">
      <c r="A418" s="31" t="str">
        <f aca="false">Inputs!$B$62</f>
        <v>BED-003</v>
      </c>
      <c r="B418" s="46" t="n">
        <f aca="false">B417+1</f>
        <v>102</v>
      </c>
      <c r="C418" s="46" t="n">
        <f aca="false">MATCH(A418,Inputs!$B$40:$B$87,0)</f>
        <v>23</v>
      </c>
      <c r="D418" s="32" t="n">
        <f aca="false">INDEX(Inputs!$F$40:$F$87,C418)</f>
        <v>4</v>
      </c>
      <c r="E418" s="78" t="n">
        <f aca="false">INDEX(Inputs!$H$40:$H$87,C418)</f>
        <v>38</v>
      </c>
      <c r="F418" s="78" t="n">
        <f aca="false">INDEX(Inputs!$G$40:$G$87,C418)</f>
        <v>55</v>
      </c>
      <c r="G418" s="32" t="n">
        <f aca="false">INDEX(Inputs!$I$40:$I$87,C418)</f>
        <v>5</v>
      </c>
      <c r="H418" s="46" t="n">
        <f aca="false">MATCH(A418,Demand_History!$C:$C,0)+B418-1</f>
        <v>2391</v>
      </c>
      <c r="I418" s="32" t="n">
        <f aca="false">INDEX(Forecast_Walkforward!$C:$C,H418)</f>
        <v>33</v>
      </c>
      <c r="J418" s="79" t="n">
        <f aca="false">INDEX(Forecast_Walkforward!$E:$E,H418)</f>
        <v>68.75</v>
      </c>
      <c r="K418" s="33" t="n">
        <f aca="false">Baseline_Weeks*J418</f>
        <v>275</v>
      </c>
      <c r="L418" s="46" t="n">
        <f aca="false">SUMIFS(P$405:P417,$B$405:$B417,$B418-$D418)</f>
        <v>65</v>
      </c>
      <c r="M418" s="46" t="n">
        <f aca="false">S417+L418</f>
        <v>65</v>
      </c>
      <c r="N418" s="46" t="n">
        <f aca="false">SUMIFS(P$405:P417,$B$405:$B417,"&gt;"&amp;($B418-$D418))</f>
        <v>145</v>
      </c>
      <c r="O418" s="46" t="n">
        <f aca="false">M418+N418</f>
        <v>210</v>
      </c>
      <c r="P418" s="47" t="n">
        <f aca="false">IF(O418&lt;K418,ROUNDUP((K418-O418)/G418,0)*G418,0)</f>
        <v>65</v>
      </c>
      <c r="Q418" s="46" t="n">
        <f aca="false">MIN(M418,I418)</f>
        <v>33</v>
      </c>
      <c r="R418" s="46" t="n">
        <f aca="false">I418-Q418</f>
        <v>0</v>
      </c>
      <c r="S418" s="46" t="n">
        <f aca="false">M418-Q418</f>
        <v>32</v>
      </c>
      <c r="T418" s="46" t="n">
        <f aca="false">IF(R418&gt;0,1,0)</f>
        <v>0</v>
      </c>
      <c r="U418" s="32" t="n">
        <f aca="false">INDEX(Forecast!$AY$7:$AY$54,C418)</f>
        <v>3</v>
      </c>
      <c r="V418" s="33" t="n">
        <f aca="false">CHOOSE(U418,INDEX(Forecast_Walkforward!$D:$D,H418),INDEX(Forecast_Walkforward!$E:$E,H418),INDEX(Forecast_Walkforward!$F:$F,H418),INDEX(Forecast_Walkforward!$G:$G,H418))</f>
        <v>62.875</v>
      </c>
      <c r="W418" s="79" t="n">
        <f aca="false">INDEX(Forecast!$BA$7:$BA$54,C418)</f>
        <v>23.8478558540747</v>
      </c>
      <c r="X418" s="33" t="n">
        <f aca="false">Z_Value*W418*SQRT(D418)</f>
        <v>78.4524643931814</v>
      </c>
      <c r="Y418" s="33" t="n">
        <f aca="false">V418*D418+X418</f>
        <v>329.952464393181</v>
      </c>
      <c r="Z418" s="33" t="n">
        <f aca="false">SQRT((2*V418*Weeks_Per_Year*F418)/(E418*Holding_Rate))</f>
        <v>217.535538536387</v>
      </c>
      <c r="AA418" s="46" t="n">
        <f aca="false">ROUNDUP(Z418/G418,0)*G418</f>
        <v>220</v>
      </c>
      <c r="AB418" s="46" t="n">
        <f aca="false">SUMIFS(AF$405:AF417,$B$405:$B417,$B418-$D418)</f>
        <v>200</v>
      </c>
      <c r="AC418" s="46" t="n">
        <f aca="false">AI417+AB418</f>
        <v>200</v>
      </c>
      <c r="AD418" s="46" t="n">
        <f aca="false">SUMIFS(AF$405:AF417,$B$405:$B417,"&gt;"&amp;($B418-$D418))</f>
        <v>210</v>
      </c>
      <c r="AE418" s="46" t="n">
        <f aca="false">AC418+AD418</f>
        <v>410</v>
      </c>
      <c r="AF418" s="47" t="n">
        <f aca="false">IF(AE418&lt;=Y418,AA418,0)</f>
        <v>0</v>
      </c>
      <c r="AG418" s="46" t="n">
        <f aca="false">MIN(AC418,I418)</f>
        <v>33</v>
      </c>
      <c r="AH418" s="46" t="n">
        <f aca="false">I418-AG418</f>
        <v>0</v>
      </c>
      <c r="AI418" s="46" t="n">
        <f aca="false">AC418-AG418</f>
        <v>167</v>
      </c>
      <c r="AJ418" s="46" t="n">
        <f aca="false">IF(AH418&gt;0,1,0)</f>
        <v>0</v>
      </c>
    </row>
    <row r="419" customFormat="false" ht="15" hidden="false" customHeight="false" outlineLevel="0" collapsed="false">
      <c r="A419" s="31" t="str">
        <f aca="false">Inputs!$B$62</f>
        <v>BED-003</v>
      </c>
      <c r="B419" s="46" t="n">
        <f aca="false">B418+1</f>
        <v>103</v>
      </c>
      <c r="C419" s="46" t="n">
        <f aca="false">MATCH(A419,Inputs!$B$40:$B$87,0)</f>
        <v>23</v>
      </c>
      <c r="D419" s="32" t="n">
        <f aca="false">INDEX(Inputs!$F$40:$F$87,C419)</f>
        <v>4</v>
      </c>
      <c r="E419" s="78" t="n">
        <f aca="false">INDEX(Inputs!$H$40:$H$87,C419)</f>
        <v>38</v>
      </c>
      <c r="F419" s="78" t="n">
        <f aca="false">INDEX(Inputs!$G$40:$G$87,C419)</f>
        <v>55</v>
      </c>
      <c r="G419" s="32" t="n">
        <f aca="false">INDEX(Inputs!$I$40:$I$87,C419)</f>
        <v>5</v>
      </c>
      <c r="H419" s="46" t="n">
        <f aca="false">MATCH(A419,Demand_History!$C:$C,0)+B419-1</f>
        <v>2392</v>
      </c>
      <c r="I419" s="32" t="n">
        <f aca="false">INDEX(Forecast_Walkforward!$C:$C,H419)</f>
        <v>37</v>
      </c>
      <c r="J419" s="79" t="n">
        <f aca="false">INDEX(Forecast_Walkforward!$E:$E,H419)</f>
        <v>60.5</v>
      </c>
      <c r="K419" s="33" t="n">
        <f aca="false">Baseline_Weeks*J419</f>
        <v>242</v>
      </c>
      <c r="L419" s="46" t="n">
        <f aca="false">SUMIFS(P$405:P418,$B$405:$B418,$B419-$D419)</f>
        <v>15</v>
      </c>
      <c r="M419" s="46" t="n">
        <f aca="false">S418+L419</f>
        <v>47</v>
      </c>
      <c r="N419" s="46" t="n">
        <f aca="false">SUMIFS(P$405:P418,$B$405:$B418,"&gt;"&amp;($B419-$D419))</f>
        <v>195</v>
      </c>
      <c r="O419" s="46" t="n">
        <f aca="false">M419+N419</f>
        <v>242</v>
      </c>
      <c r="P419" s="47" t="n">
        <f aca="false">IF(O419&lt;K419,ROUNDUP((K419-O419)/G419,0)*G419,0)</f>
        <v>0</v>
      </c>
      <c r="Q419" s="46" t="n">
        <f aca="false">MIN(M419,I419)</f>
        <v>37</v>
      </c>
      <c r="R419" s="46" t="n">
        <f aca="false">I419-Q419</f>
        <v>0</v>
      </c>
      <c r="S419" s="46" t="n">
        <f aca="false">M419-Q419</f>
        <v>10</v>
      </c>
      <c r="T419" s="46" t="n">
        <f aca="false">IF(R419&gt;0,1,0)</f>
        <v>0</v>
      </c>
      <c r="U419" s="32" t="n">
        <f aca="false">INDEX(Forecast!$AY$7:$AY$54,C419)</f>
        <v>3</v>
      </c>
      <c r="V419" s="33" t="n">
        <f aca="false">CHOOSE(U419,INDEX(Forecast_Walkforward!$D:$D,H419),INDEX(Forecast_Walkforward!$E:$E,H419),INDEX(Forecast_Walkforward!$F:$F,H419),INDEX(Forecast_Walkforward!$G:$G,H419))</f>
        <v>58.125</v>
      </c>
      <c r="W419" s="79" t="n">
        <f aca="false">INDEX(Forecast!$BA$7:$BA$54,C419)</f>
        <v>23.8478558540747</v>
      </c>
      <c r="X419" s="33" t="n">
        <f aca="false">Z_Value*W419*SQRT(D419)</f>
        <v>78.4524643931814</v>
      </c>
      <c r="Y419" s="33" t="n">
        <f aca="false">V419*D419+X419</f>
        <v>310.952464393181</v>
      </c>
      <c r="Z419" s="33" t="n">
        <f aca="false">SQRT((2*V419*Weeks_Per_Year*F419)/(E419*Holding_Rate))</f>
        <v>209.157143139592</v>
      </c>
      <c r="AA419" s="46" t="n">
        <f aca="false">ROUNDUP(Z419/G419,0)*G419</f>
        <v>210</v>
      </c>
      <c r="AB419" s="46" t="n">
        <f aca="false">SUMIFS(AF$405:AF418,$B$405:$B418,$B419-$D419)</f>
        <v>0</v>
      </c>
      <c r="AC419" s="46" t="n">
        <f aca="false">AI418+AB419</f>
        <v>167</v>
      </c>
      <c r="AD419" s="46" t="n">
        <f aca="false">SUMIFS(AF$405:AF418,$B$405:$B418,"&gt;"&amp;($B419-$D419))</f>
        <v>210</v>
      </c>
      <c r="AE419" s="46" t="n">
        <f aca="false">AC419+AD419</f>
        <v>377</v>
      </c>
      <c r="AF419" s="47" t="n">
        <f aca="false">IF(AE419&lt;=Y419,AA419,0)</f>
        <v>0</v>
      </c>
      <c r="AG419" s="46" t="n">
        <f aca="false">MIN(AC419,I419)</f>
        <v>37</v>
      </c>
      <c r="AH419" s="46" t="n">
        <f aca="false">I419-AG419</f>
        <v>0</v>
      </c>
      <c r="AI419" s="46" t="n">
        <f aca="false">AC419-AG419</f>
        <v>130</v>
      </c>
      <c r="AJ419" s="46" t="n">
        <f aca="false">IF(AH419&gt;0,1,0)</f>
        <v>0</v>
      </c>
    </row>
    <row r="420" customFormat="false" ht="15" hidden="false" customHeight="false" outlineLevel="0" collapsed="false">
      <c r="A420" s="80" t="str">
        <f aca="false">Inputs!$B$62</f>
        <v>BED-003</v>
      </c>
      <c r="B420" s="81" t="n">
        <f aca="false">B419+1</f>
        <v>104</v>
      </c>
      <c r="C420" s="81" t="n">
        <f aca="false">MATCH(A420,Inputs!$B$40:$B$87,0)</f>
        <v>23</v>
      </c>
      <c r="D420" s="82" t="n">
        <f aca="false">INDEX(Inputs!$F$40:$F$87,C420)</f>
        <v>4</v>
      </c>
      <c r="E420" s="83" t="n">
        <f aca="false">INDEX(Inputs!$H$40:$H$87,C420)</f>
        <v>38</v>
      </c>
      <c r="F420" s="83" t="n">
        <f aca="false">INDEX(Inputs!$G$40:$G$87,C420)</f>
        <v>55</v>
      </c>
      <c r="G420" s="82" t="n">
        <f aca="false">INDEX(Inputs!$I$40:$I$87,C420)</f>
        <v>5</v>
      </c>
      <c r="H420" s="81" t="n">
        <f aca="false">MATCH(A420,Demand_History!$C:$C,0)+B420-1</f>
        <v>2393</v>
      </c>
      <c r="I420" s="82" t="n">
        <f aca="false">INDEX(Forecast_Walkforward!$C:$C,H420)</f>
        <v>62</v>
      </c>
      <c r="J420" s="84" t="n">
        <f aca="false">INDEX(Forecast_Walkforward!$E:$E,H420)</f>
        <v>49.25</v>
      </c>
      <c r="K420" s="85" t="n">
        <f aca="false">Baseline_Weeks*J420</f>
        <v>197</v>
      </c>
      <c r="L420" s="81" t="n">
        <f aca="false">SUMIFS(P$405:P419,$B$405:$B419,$B420-$D420)</f>
        <v>130</v>
      </c>
      <c r="M420" s="81" t="n">
        <f aca="false">S419+L420</f>
        <v>140</v>
      </c>
      <c r="N420" s="81" t="n">
        <f aca="false">SUMIFS(P$405:P419,$B$405:$B419,"&gt;"&amp;($B420-$D420))</f>
        <v>65</v>
      </c>
      <c r="O420" s="81" t="n">
        <f aca="false">M420+N420</f>
        <v>205</v>
      </c>
      <c r="P420" s="86" t="n">
        <f aca="false">IF(O420&lt;K420,ROUNDUP((K420-O420)/G420,0)*G420,0)</f>
        <v>0</v>
      </c>
      <c r="Q420" s="81" t="n">
        <f aca="false">MIN(M420,I420)</f>
        <v>62</v>
      </c>
      <c r="R420" s="81" t="n">
        <f aca="false">I420-Q420</f>
        <v>0</v>
      </c>
      <c r="S420" s="81" t="n">
        <f aca="false">M420-Q420</f>
        <v>78</v>
      </c>
      <c r="T420" s="81" t="n">
        <f aca="false">IF(R420&gt;0,1,0)</f>
        <v>0</v>
      </c>
      <c r="U420" s="82" t="n">
        <f aca="false">INDEX(Forecast!$AY$7:$AY$54,C420)</f>
        <v>3</v>
      </c>
      <c r="V420" s="85" t="n">
        <f aca="false">CHOOSE(U420,INDEX(Forecast_Walkforward!$D:$D,H420),INDEX(Forecast_Walkforward!$E:$E,H420),INDEX(Forecast_Walkforward!$F:$F,H420),INDEX(Forecast_Walkforward!$G:$G,H420))</f>
        <v>58.625</v>
      </c>
      <c r="W420" s="84" t="n">
        <f aca="false">INDEX(Forecast!$BA$7:$BA$54,C420)</f>
        <v>23.8478558540747</v>
      </c>
      <c r="X420" s="85" t="n">
        <f aca="false">Z_Value*W420*SQRT(D420)</f>
        <v>78.4524643931814</v>
      </c>
      <c r="Y420" s="85" t="n">
        <f aca="false">V420*D420+X420</f>
        <v>312.952464393181</v>
      </c>
      <c r="Z420" s="85" t="n">
        <f aca="false">SQRT((2*V420*Weeks_Per_Year*F420)/(E420*Holding_Rate))</f>
        <v>210.054817406765</v>
      </c>
      <c r="AA420" s="81" t="n">
        <f aca="false">ROUNDUP(Z420/G420,0)*G420</f>
        <v>215</v>
      </c>
      <c r="AB420" s="81" t="n">
        <f aca="false">SUMIFS(AF$405:AF419,$B$405:$B419,$B420-$D420)</f>
        <v>0</v>
      </c>
      <c r="AC420" s="81" t="n">
        <f aca="false">AI419+AB420</f>
        <v>130</v>
      </c>
      <c r="AD420" s="81" t="n">
        <f aca="false">SUMIFS(AF$405:AF419,$B$405:$B419,"&gt;"&amp;($B420-$D420))</f>
        <v>210</v>
      </c>
      <c r="AE420" s="81" t="n">
        <f aca="false">AC420+AD420</f>
        <v>340</v>
      </c>
      <c r="AF420" s="86" t="n">
        <f aca="false">IF(AE420&lt;=Y420,AA420,0)</f>
        <v>0</v>
      </c>
      <c r="AG420" s="81" t="n">
        <f aca="false">MIN(AC420,I420)</f>
        <v>62</v>
      </c>
      <c r="AH420" s="81" t="n">
        <f aca="false">I420-AG420</f>
        <v>0</v>
      </c>
      <c r="AI420" s="81" t="n">
        <f aca="false">AC420-AG420</f>
        <v>68</v>
      </c>
      <c r="AJ420" s="81" t="n">
        <f aca="false">IF(AH420&gt;0,1,0)</f>
        <v>0</v>
      </c>
    </row>
    <row r="421" customFormat="false" ht="15" hidden="false" customHeight="false" outlineLevel="0" collapsed="false">
      <c r="A421" s="31" t="str">
        <f aca="false">Inputs!$B$63</f>
        <v>BED-004</v>
      </c>
      <c r="B421" s="46" t="n">
        <f aca="false">BT_Start_Week</f>
        <v>89</v>
      </c>
      <c r="C421" s="46" t="n">
        <f aca="false">MATCH(A421,Inputs!$B$40:$B$87,0)</f>
        <v>24</v>
      </c>
      <c r="D421" s="32" t="n">
        <f aca="false">INDEX(Inputs!$F$40:$F$87,C421)</f>
        <v>4</v>
      </c>
      <c r="E421" s="78" t="n">
        <f aca="false">INDEX(Inputs!$H$40:$H$87,C421)</f>
        <v>19</v>
      </c>
      <c r="F421" s="78" t="n">
        <f aca="false">INDEX(Inputs!$G$40:$G$87,C421)</f>
        <v>55</v>
      </c>
      <c r="G421" s="32" t="n">
        <f aca="false">INDEX(Inputs!$I$40:$I$87,C421)</f>
        <v>10</v>
      </c>
      <c r="H421" s="46" t="n">
        <f aca="false">MATCH(A421,Demand_History!$C:$C,0)+B421-1</f>
        <v>2482</v>
      </c>
      <c r="I421" s="32" t="n">
        <f aca="false">INDEX(Forecast_Walkforward!$C:$C,H421)</f>
        <v>85</v>
      </c>
      <c r="J421" s="79" t="n">
        <f aca="false">INDEX(Forecast_Walkforward!$E:$E,H421)</f>
        <v>71.75</v>
      </c>
      <c r="K421" s="33" t="n">
        <f aca="false">Baseline_Weeks*J421</f>
        <v>287</v>
      </c>
      <c r="L421" s="46" t="n">
        <f aca="false">0</f>
        <v>0</v>
      </c>
      <c r="M421" s="46" t="n">
        <f aca="false">ROUND(BT_Open_Cover*INDEX(Forecast_Walkforward!$F:$F,H421),0)+L421</f>
        <v>435</v>
      </c>
      <c r="N421" s="46" t="n">
        <f aca="false">0</f>
        <v>0</v>
      </c>
      <c r="O421" s="46" t="n">
        <f aca="false">M421+N421</f>
        <v>435</v>
      </c>
      <c r="P421" s="47" t="n">
        <f aca="false">IF(O421&lt;K421,ROUNDUP((K421-O421)/G421,0)*G421,0)</f>
        <v>0</v>
      </c>
      <c r="Q421" s="46" t="n">
        <f aca="false">MIN(M421,I421)</f>
        <v>85</v>
      </c>
      <c r="R421" s="46" t="n">
        <f aca="false">I421-Q421</f>
        <v>0</v>
      </c>
      <c r="S421" s="46" t="n">
        <f aca="false">M421-Q421</f>
        <v>350</v>
      </c>
      <c r="T421" s="46" t="n">
        <f aca="false">IF(R421&gt;0,1,0)</f>
        <v>0</v>
      </c>
      <c r="U421" s="32" t="n">
        <f aca="false">INDEX(Forecast!$AY$7:$AY$54,C421)</f>
        <v>3</v>
      </c>
      <c r="V421" s="33" t="n">
        <f aca="false">CHOOSE(U421,INDEX(Forecast_Walkforward!$D:$D,H421),INDEX(Forecast_Walkforward!$E:$E,H421),INDEX(Forecast_Walkforward!$F:$F,H421),INDEX(Forecast_Walkforward!$G:$G,H421))</f>
        <v>72.5</v>
      </c>
      <c r="W421" s="79" t="n">
        <f aca="false">INDEX(Forecast!$BA$7:$BA$54,C421)</f>
        <v>8.83544122733832</v>
      </c>
      <c r="X421" s="33" t="n">
        <f aca="false">Z_Value*W421*SQRT(D421)</f>
        <v>29.066015097008</v>
      </c>
      <c r="Y421" s="33" t="n">
        <f aca="false">V421*D421+X421</f>
        <v>319.066015097008</v>
      </c>
      <c r="Z421" s="33" t="n">
        <f aca="false">SQRT((2*V421*Weeks_Per_Year*F421)/(E421*Holding_Rate))</f>
        <v>330.350690853475</v>
      </c>
      <c r="AA421" s="46" t="n">
        <f aca="false">ROUNDUP(Z421/G421,0)*G421</f>
        <v>340</v>
      </c>
      <c r="AB421" s="46" t="n">
        <f aca="false">0</f>
        <v>0</v>
      </c>
      <c r="AC421" s="46" t="n">
        <f aca="false">ROUND(BT_Open_Cover*INDEX(Forecast_Walkforward!$F:$F,H421),0)+AB421</f>
        <v>435</v>
      </c>
      <c r="AD421" s="46" t="n">
        <f aca="false">0</f>
        <v>0</v>
      </c>
      <c r="AE421" s="46" t="n">
        <f aca="false">AC421+AD421</f>
        <v>435</v>
      </c>
      <c r="AF421" s="47" t="n">
        <f aca="false">IF(AE421&lt;=Y421,AA421,0)</f>
        <v>0</v>
      </c>
      <c r="AG421" s="46" t="n">
        <f aca="false">MIN(AC421,I421)</f>
        <v>85</v>
      </c>
      <c r="AH421" s="46" t="n">
        <f aca="false">I421-AG421</f>
        <v>0</v>
      </c>
      <c r="AI421" s="46" t="n">
        <f aca="false">AC421-AG421</f>
        <v>350</v>
      </c>
      <c r="AJ421" s="46" t="n">
        <f aca="false">IF(AH421&gt;0,1,0)</f>
        <v>0</v>
      </c>
    </row>
    <row r="422" customFormat="false" ht="15" hidden="false" customHeight="false" outlineLevel="0" collapsed="false">
      <c r="A422" s="31" t="str">
        <f aca="false">Inputs!$B$63</f>
        <v>BED-004</v>
      </c>
      <c r="B422" s="46" t="n">
        <f aca="false">B421+1</f>
        <v>90</v>
      </c>
      <c r="C422" s="46" t="n">
        <f aca="false">MATCH(A422,Inputs!$B$40:$B$87,0)</f>
        <v>24</v>
      </c>
      <c r="D422" s="32" t="n">
        <f aca="false">INDEX(Inputs!$F$40:$F$87,C422)</f>
        <v>4</v>
      </c>
      <c r="E422" s="78" t="n">
        <f aca="false">INDEX(Inputs!$H$40:$H$87,C422)</f>
        <v>19</v>
      </c>
      <c r="F422" s="78" t="n">
        <f aca="false">INDEX(Inputs!$G$40:$G$87,C422)</f>
        <v>55</v>
      </c>
      <c r="G422" s="32" t="n">
        <f aca="false">INDEX(Inputs!$I$40:$I$87,C422)</f>
        <v>10</v>
      </c>
      <c r="H422" s="46" t="n">
        <f aca="false">MATCH(A422,Demand_History!$C:$C,0)+B422-1</f>
        <v>2483</v>
      </c>
      <c r="I422" s="32" t="n">
        <f aca="false">INDEX(Forecast_Walkforward!$C:$C,H422)</f>
        <v>68</v>
      </c>
      <c r="J422" s="79" t="n">
        <f aca="false">INDEX(Forecast_Walkforward!$E:$E,H422)</f>
        <v>76</v>
      </c>
      <c r="K422" s="33" t="n">
        <f aca="false">Baseline_Weeks*J422</f>
        <v>304</v>
      </c>
      <c r="L422" s="46" t="n">
        <f aca="false">SUMIFS(P$421:P421,$B$421:$B421,$B422-$D422)</f>
        <v>0</v>
      </c>
      <c r="M422" s="46" t="n">
        <f aca="false">S421+L422</f>
        <v>350</v>
      </c>
      <c r="N422" s="46" t="n">
        <f aca="false">SUMIFS(P$421:P421,$B$421:$B421,"&gt;"&amp;($B422-$D422))</f>
        <v>0</v>
      </c>
      <c r="O422" s="46" t="n">
        <f aca="false">M422+N422</f>
        <v>350</v>
      </c>
      <c r="P422" s="47" t="n">
        <f aca="false">IF(O422&lt;K422,ROUNDUP((K422-O422)/G422,0)*G422,0)</f>
        <v>0</v>
      </c>
      <c r="Q422" s="46" t="n">
        <f aca="false">MIN(M422,I422)</f>
        <v>68</v>
      </c>
      <c r="R422" s="46" t="n">
        <f aca="false">I422-Q422</f>
        <v>0</v>
      </c>
      <c r="S422" s="46" t="n">
        <f aca="false">M422-Q422</f>
        <v>282</v>
      </c>
      <c r="T422" s="46" t="n">
        <f aca="false">IF(R422&gt;0,1,0)</f>
        <v>0</v>
      </c>
      <c r="U422" s="32" t="n">
        <f aca="false">INDEX(Forecast!$AY$7:$AY$54,C422)</f>
        <v>3</v>
      </c>
      <c r="V422" s="33" t="n">
        <f aca="false">CHOOSE(U422,INDEX(Forecast_Walkforward!$D:$D,H422),INDEX(Forecast_Walkforward!$E:$E,H422),INDEX(Forecast_Walkforward!$F:$F,H422),INDEX(Forecast_Walkforward!$G:$G,H422))</f>
        <v>74.25</v>
      </c>
      <c r="W422" s="79" t="n">
        <f aca="false">INDEX(Forecast!$BA$7:$BA$54,C422)</f>
        <v>8.83544122733832</v>
      </c>
      <c r="X422" s="33" t="n">
        <f aca="false">Z_Value*W422*SQRT(D422)</f>
        <v>29.066015097008</v>
      </c>
      <c r="Y422" s="33" t="n">
        <f aca="false">V422*D422+X422</f>
        <v>326.066015097008</v>
      </c>
      <c r="Z422" s="33" t="n">
        <f aca="false">SQRT((2*V422*Weeks_Per_Year*F422)/(E422*Holding_Rate))</f>
        <v>334.313908585455</v>
      </c>
      <c r="AA422" s="46" t="n">
        <f aca="false">ROUNDUP(Z422/G422,0)*G422</f>
        <v>340</v>
      </c>
      <c r="AB422" s="46" t="n">
        <f aca="false">SUMIFS(AF$421:AF421,$B$421:$B421,$B422-$D422)</f>
        <v>0</v>
      </c>
      <c r="AC422" s="46" t="n">
        <f aca="false">AI421+AB422</f>
        <v>350</v>
      </c>
      <c r="AD422" s="46" t="n">
        <f aca="false">SUMIFS(AF$421:AF421,$B$421:$B421,"&gt;"&amp;($B422-$D422))</f>
        <v>0</v>
      </c>
      <c r="AE422" s="46" t="n">
        <f aca="false">AC422+AD422</f>
        <v>350</v>
      </c>
      <c r="AF422" s="47" t="n">
        <f aca="false">IF(AE422&lt;=Y422,AA422,0)</f>
        <v>0</v>
      </c>
      <c r="AG422" s="46" t="n">
        <f aca="false">MIN(AC422,I422)</f>
        <v>68</v>
      </c>
      <c r="AH422" s="46" t="n">
        <f aca="false">I422-AG422</f>
        <v>0</v>
      </c>
      <c r="AI422" s="46" t="n">
        <f aca="false">AC422-AG422</f>
        <v>282</v>
      </c>
      <c r="AJ422" s="46" t="n">
        <f aca="false">IF(AH422&gt;0,1,0)</f>
        <v>0</v>
      </c>
    </row>
    <row r="423" customFormat="false" ht="15" hidden="false" customHeight="false" outlineLevel="0" collapsed="false">
      <c r="A423" s="31" t="str">
        <f aca="false">Inputs!$B$63</f>
        <v>BED-004</v>
      </c>
      <c r="B423" s="46" t="n">
        <f aca="false">B422+1</f>
        <v>91</v>
      </c>
      <c r="C423" s="46" t="n">
        <f aca="false">MATCH(A423,Inputs!$B$40:$B$87,0)</f>
        <v>24</v>
      </c>
      <c r="D423" s="32" t="n">
        <f aca="false">INDEX(Inputs!$F$40:$F$87,C423)</f>
        <v>4</v>
      </c>
      <c r="E423" s="78" t="n">
        <f aca="false">INDEX(Inputs!$H$40:$H$87,C423)</f>
        <v>19</v>
      </c>
      <c r="F423" s="78" t="n">
        <f aca="false">INDEX(Inputs!$G$40:$G$87,C423)</f>
        <v>55</v>
      </c>
      <c r="G423" s="32" t="n">
        <f aca="false">INDEX(Inputs!$I$40:$I$87,C423)</f>
        <v>10</v>
      </c>
      <c r="H423" s="46" t="n">
        <f aca="false">MATCH(A423,Demand_History!$C:$C,0)+B423-1</f>
        <v>2484</v>
      </c>
      <c r="I423" s="32" t="n">
        <f aca="false">INDEX(Forecast_Walkforward!$C:$C,H423)</f>
        <v>51</v>
      </c>
      <c r="J423" s="79" t="n">
        <f aca="false">INDEX(Forecast_Walkforward!$E:$E,H423)</f>
        <v>78.75</v>
      </c>
      <c r="K423" s="33" t="n">
        <f aca="false">Baseline_Weeks*J423</f>
        <v>315</v>
      </c>
      <c r="L423" s="46" t="n">
        <f aca="false">SUMIFS(P$421:P422,$B$421:$B422,$B423-$D423)</f>
        <v>0</v>
      </c>
      <c r="M423" s="46" t="n">
        <f aca="false">S422+L423</f>
        <v>282</v>
      </c>
      <c r="N423" s="46" t="n">
        <f aca="false">SUMIFS(P$421:P422,$B$421:$B422,"&gt;"&amp;($B423-$D423))</f>
        <v>0</v>
      </c>
      <c r="O423" s="46" t="n">
        <f aca="false">M423+N423</f>
        <v>282</v>
      </c>
      <c r="P423" s="47" t="n">
        <f aca="false">IF(O423&lt;K423,ROUNDUP((K423-O423)/G423,0)*G423,0)</f>
        <v>40</v>
      </c>
      <c r="Q423" s="46" t="n">
        <f aca="false">MIN(M423,I423)</f>
        <v>51</v>
      </c>
      <c r="R423" s="46" t="n">
        <f aca="false">I423-Q423</f>
        <v>0</v>
      </c>
      <c r="S423" s="46" t="n">
        <f aca="false">M423-Q423</f>
        <v>231</v>
      </c>
      <c r="T423" s="46" t="n">
        <f aca="false">IF(R423&gt;0,1,0)</f>
        <v>0</v>
      </c>
      <c r="U423" s="32" t="n">
        <f aca="false">INDEX(Forecast!$AY$7:$AY$54,C423)</f>
        <v>3</v>
      </c>
      <c r="V423" s="33" t="n">
        <f aca="false">CHOOSE(U423,INDEX(Forecast_Walkforward!$D:$D,H423),INDEX(Forecast_Walkforward!$E:$E,H423),INDEX(Forecast_Walkforward!$F:$F,H423),INDEX(Forecast_Walkforward!$G:$G,H423))</f>
        <v>72.75</v>
      </c>
      <c r="W423" s="79" t="n">
        <f aca="false">INDEX(Forecast!$BA$7:$BA$54,C423)</f>
        <v>8.83544122733832</v>
      </c>
      <c r="X423" s="33" t="n">
        <f aca="false">Z_Value*W423*SQRT(D423)</f>
        <v>29.066015097008</v>
      </c>
      <c r="Y423" s="33" t="n">
        <f aca="false">V423*D423+X423</f>
        <v>320.066015097008</v>
      </c>
      <c r="Z423" s="33" t="n">
        <f aca="false">SQRT((2*V423*Weeks_Per_Year*F423)/(E423*Holding_Rate))</f>
        <v>330.91977084611</v>
      </c>
      <c r="AA423" s="46" t="n">
        <f aca="false">ROUNDUP(Z423/G423,0)*G423</f>
        <v>340</v>
      </c>
      <c r="AB423" s="46" t="n">
        <f aca="false">SUMIFS(AF$421:AF422,$B$421:$B422,$B423-$D423)</f>
        <v>0</v>
      </c>
      <c r="AC423" s="46" t="n">
        <f aca="false">AI422+AB423</f>
        <v>282</v>
      </c>
      <c r="AD423" s="46" t="n">
        <f aca="false">SUMIFS(AF$421:AF422,$B$421:$B422,"&gt;"&amp;($B423-$D423))</f>
        <v>0</v>
      </c>
      <c r="AE423" s="46" t="n">
        <f aca="false">AC423+AD423</f>
        <v>282</v>
      </c>
      <c r="AF423" s="47" t="n">
        <f aca="false">IF(AE423&lt;=Y423,AA423,0)</f>
        <v>340</v>
      </c>
      <c r="AG423" s="46" t="n">
        <f aca="false">MIN(AC423,I423)</f>
        <v>51</v>
      </c>
      <c r="AH423" s="46" t="n">
        <f aca="false">I423-AG423</f>
        <v>0</v>
      </c>
      <c r="AI423" s="46" t="n">
        <f aca="false">AC423-AG423</f>
        <v>231</v>
      </c>
      <c r="AJ423" s="46" t="n">
        <f aca="false">IF(AH423&gt;0,1,0)</f>
        <v>0</v>
      </c>
    </row>
    <row r="424" customFormat="false" ht="15" hidden="false" customHeight="false" outlineLevel="0" collapsed="false">
      <c r="A424" s="31" t="str">
        <f aca="false">Inputs!$B$63</f>
        <v>BED-004</v>
      </c>
      <c r="B424" s="46" t="n">
        <f aca="false">B423+1</f>
        <v>92</v>
      </c>
      <c r="C424" s="46" t="n">
        <f aca="false">MATCH(A424,Inputs!$B$40:$B$87,0)</f>
        <v>24</v>
      </c>
      <c r="D424" s="32" t="n">
        <f aca="false">INDEX(Inputs!$F$40:$F$87,C424)</f>
        <v>4</v>
      </c>
      <c r="E424" s="78" t="n">
        <f aca="false">INDEX(Inputs!$H$40:$H$87,C424)</f>
        <v>19</v>
      </c>
      <c r="F424" s="78" t="n">
        <f aca="false">INDEX(Inputs!$G$40:$G$87,C424)</f>
        <v>55</v>
      </c>
      <c r="G424" s="32" t="n">
        <f aca="false">INDEX(Inputs!$I$40:$I$87,C424)</f>
        <v>10</v>
      </c>
      <c r="H424" s="46" t="n">
        <f aca="false">MATCH(A424,Demand_History!$C:$C,0)+B424-1</f>
        <v>2485</v>
      </c>
      <c r="I424" s="32" t="n">
        <f aca="false">INDEX(Forecast_Walkforward!$C:$C,H424)</f>
        <v>88</v>
      </c>
      <c r="J424" s="79" t="n">
        <f aca="false">INDEX(Forecast_Walkforward!$E:$E,H424)</f>
        <v>69.75</v>
      </c>
      <c r="K424" s="33" t="n">
        <f aca="false">Baseline_Weeks*J424</f>
        <v>279</v>
      </c>
      <c r="L424" s="46" t="n">
        <f aca="false">SUMIFS(P$421:P423,$B$421:$B423,$B424-$D424)</f>
        <v>0</v>
      </c>
      <c r="M424" s="46" t="n">
        <f aca="false">S423+L424</f>
        <v>231</v>
      </c>
      <c r="N424" s="46" t="n">
        <f aca="false">SUMIFS(P$421:P423,$B$421:$B423,"&gt;"&amp;($B424-$D424))</f>
        <v>40</v>
      </c>
      <c r="O424" s="46" t="n">
        <f aca="false">M424+N424</f>
        <v>271</v>
      </c>
      <c r="P424" s="47" t="n">
        <f aca="false">IF(O424&lt;K424,ROUNDUP((K424-O424)/G424,0)*G424,0)</f>
        <v>10</v>
      </c>
      <c r="Q424" s="46" t="n">
        <f aca="false">MIN(M424,I424)</f>
        <v>88</v>
      </c>
      <c r="R424" s="46" t="n">
        <f aca="false">I424-Q424</f>
        <v>0</v>
      </c>
      <c r="S424" s="46" t="n">
        <f aca="false">M424-Q424</f>
        <v>143</v>
      </c>
      <c r="T424" s="46" t="n">
        <f aca="false">IF(R424&gt;0,1,0)</f>
        <v>0</v>
      </c>
      <c r="U424" s="32" t="n">
        <f aca="false">INDEX(Forecast!$AY$7:$AY$54,C424)</f>
        <v>3</v>
      </c>
      <c r="V424" s="33" t="n">
        <f aca="false">CHOOSE(U424,INDEX(Forecast_Walkforward!$D:$D,H424),INDEX(Forecast_Walkforward!$E:$E,H424),INDEX(Forecast_Walkforward!$F:$F,H424),INDEX(Forecast_Walkforward!$G:$G,H424))</f>
        <v>69.25</v>
      </c>
      <c r="W424" s="79" t="n">
        <f aca="false">INDEX(Forecast!$BA$7:$BA$54,C424)</f>
        <v>8.83544122733832</v>
      </c>
      <c r="X424" s="33" t="n">
        <f aca="false">Z_Value*W424*SQRT(D424)</f>
        <v>29.066015097008</v>
      </c>
      <c r="Y424" s="33" t="n">
        <f aca="false">V424*D424+X424</f>
        <v>306.066015097008</v>
      </c>
      <c r="Z424" s="33" t="n">
        <f aca="false">SQRT((2*V424*Weeks_Per_Year*F424)/(E424*Holding_Rate))</f>
        <v>322.861384628466</v>
      </c>
      <c r="AA424" s="46" t="n">
        <f aca="false">ROUNDUP(Z424/G424,0)*G424</f>
        <v>330</v>
      </c>
      <c r="AB424" s="46" t="n">
        <f aca="false">SUMIFS(AF$421:AF423,$B$421:$B423,$B424-$D424)</f>
        <v>0</v>
      </c>
      <c r="AC424" s="46" t="n">
        <f aca="false">AI423+AB424</f>
        <v>231</v>
      </c>
      <c r="AD424" s="46" t="n">
        <f aca="false">SUMIFS(AF$421:AF423,$B$421:$B423,"&gt;"&amp;($B424-$D424))</f>
        <v>340</v>
      </c>
      <c r="AE424" s="46" t="n">
        <f aca="false">AC424+AD424</f>
        <v>571</v>
      </c>
      <c r="AF424" s="47" t="n">
        <f aca="false">IF(AE424&lt;=Y424,AA424,0)</f>
        <v>0</v>
      </c>
      <c r="AG424" s="46" t="n">
        <f aca="false">MIN(AC424,I424)</f>
        <v>88</v>
      </c>
      <c r="AH424" s="46" t="n">
        <f aca="false">I424-AG424</f>
        <v>0</v>
      </c>
      <c r="AI424" s="46" t="n">
        <f aca="false">AC424-AG424</f>
        <v>143</v>
      </c>
      <c r="AJ424" s="46" t="n">
        <f aca="false">IF(AH424&gt;0,1,0)</f>
        <v>0</v>
      </c>
    </row>
    <row r="425" customFormat="false" ht="15" hidden="false" customHeight="false" outlineLevel="0" collapsed="false">
      <c r="A425" s="31" t="str">
        <f aca="false">Inputs!$B$63</f>
        <v>BED-004</v>
      </c>
      <c r="B425" s="46" t="n">
        <f aca="false">B424+1</f>
        <v>93</v>
      </c>
      <c r="C425" s="46" t="n">
        <f aca="false">MATCH(A425,Inputs!$B$40:$B$87,0)</f>
        <v>24</v>
      </c>
      <c r="D425" s="32" t="n">
        <f aca="false">INDEX(Inputs!$F$40:$F$87,C425)</f>
        <v>4</v>
      </c>
      <c r="E425" s="78" t="n">
        <f aca="false">INDEX(Inputs!$H$40:$H$87,C425)</f>
        <v>19</v>
      </c>
      <c r="F425" s="78" t="n">
        <f aca="false">INDEX(Inputs!$G$40:$G$87,C425)</f>
        <v>55</v>
      </c>
      <c r="G425" s="32" t="n">
        <f aca="false">INDEX(Inputs!$I$40:$I$87,C425)</f>
        <v>10</v>
      </c>
      <c r="H425" s="46" t="n">
        <f aca="false">MATCH(A425,Demand_History!$C:$C,0)+B425-1</f>
        <v>2486</v>
      </c>
      <c r="I425" s="32" t="n">
        <f aca="false">INDEX(Forecast_Walkforward!$C:$C,H425)</f>
        <v>74</v>
      </c>
      <c r="J425" s="79" t="n">
        <f aca="false">INDEX(Forecast_Walkforward!$E:$E,H425)</f>
        <v>73</v>
      </c>
      <c r="K425" s="33" t="n">
        <f aca="false">Baseline_Weeks*J425</f>
        <v>292</v>
      </c>
      <c r="L425" s="46" t="n">
        <f aca="false">SUMIFS(P$421:P424,$B$421:$B424,$B425-$D425)</f>
        <v>0</v>
      </c>
      <c r="M425" s="46" t="n">
        <f aca="false">S424+L425</f>
        <v>143</v>
      </c>
      <c r="N425" s="46" t="n">
        <f aca="false">SUMIFS(P$421:P424,$B$421:$B424,"&gt;"&amp;($B425-$D425))</f>
        <v>50</v>
      </c>
      <c r="O425" s="46" t="n">
        <f aca="false">M425+N425</f>
        <v>193</v>
      </c>
      <c r="P425" s="47" t="n">
        <f aca="false">IF(O425&lt;K425,ROUNDUP((K425-O425)/G425,0)*G425,0)</f>
        <v>100</v>
      </c>
      <c r="Q425" s="46" t="n">
        <f aca="false">MIN(M425,I425)</f>
        <v>74</v>
      </c>
      <c r="R425" s="46" t="n">
        <f aca="false">I425-Q425</f>
        <v>0</v>
      </c>
      <c r="S425" s="46" t="n">
        <f aca="false">M425-Q425</f>
        <v>69</v>
      </c>
      <c r="T425" s="46" t="n">
        <f aca="false">IF(R425&gt;0,1,0)</f>
        <v>0</v>
      </c>
      <c r="U425" s="32" t="n">
        <f aca="false">INDEX(Forecast!$AY$7:$AY$54,C425)</f>
        <v>3</v>
      </c>
      <c r="V425" s="33" t="n">
        <f aca="false">CHOOSE(U425,INDEX(Forecast_Walkforward!$D:$D,H425),INDEX(Forecast_Walkforward!$E:$E,H425),INDEX(Forecast_Walkforward!$F:$F,H425),INDEX(Forecast_Walkforward!$G:$G,H425))</f>
        <v>72.375</v>
      </c>
      <c r="W425" s="79" t="n">
        <f aca="false">INDEX(Forecast!$BA$7:$BA$54,C425)</f>
        <v>8.83544122733832</v>
      </c>
      <c r="X425" s="33" t="n">
        <f aca="false">Z_Value*W425*SQRT(D425)</f>
        <v>29.066015097008</v>
      </c>
      <c r="Y425" s="33" t="n">
        <f aca="false">V425*D425+X425</f>
        <v>318.566015097008</v>
      </c>
      <c r="Z425" s="33" t="n">
        <f aca="false">SQRT((2*V425*Weeks_Per_Year*F425)/(E425*Holding_Rate))</f>
        <v>330.065782917029</v>
      </c>
      <c r="AA425" s="46" t="n">
        <f aca="false">ROUNDUP(Z425/G425,0)*G425</f>
        <v>340</v>
      </c>
      <c r="AB425" s="46" t="n">
        <f aca="false">SUMIFS(AF$421:AF424,$B$421:$B424,$B425-$D425)</f>
        <v>0</v>
      </c>
      <c r="AC425" s="46" t="n">
        <f aca="false">AI424+AB425</f>
        <v>143</v>
      </c>
      <c r="AD425" s="46" t="n">
        <f aca="false">SUMIFS(AF$421:AF424,$B$421:$B424,"&gt;"&amp;($B425-$D425))</f>
        <v>340</v>
      </c>
      <c r="AE425" s="46" t="n">
        <f aca="false">AC425+AD425</f>
        <v>483</v>
      </c>
      <c r="AF425" s="47" t="n">
        <f aca="false">IF(AE425&lt;=Y425,AA425,0)</f>
        <v>0</v>
      </c>
      <c r="AG425" s="46" t="n">
        <f aca="false">MIN(AC425,I425)</f>
        <v>74</v>
      </c>
      <c r="AH425" s="46" t="n">
        <f aca="false">I425-AG425</f>
        <v>0</v>
      </c>
      <c r="AI425" s="46" t="n">
        <f aca="false">AC425-AG425</f>
        <v>69</v>
      </c>
      <c r="AJ425" s="46" t="n">
        <f aca="false">IF(AH425&gt;0,1,0)</f>
        <v>0</v>
      </c>
    </row>
    <row r="426" customFormat="false" ht="15" hidden="false" customHeight="false" outlineLevel="0" collapsed="false">
      <c r="A426" s="31" t="str">
        <f aca="false">Inputs!$B$63</f>
        <v>BED-004</v>
      </c>
      <c r="B426" s="46" t="n">
        <f aca="false">B425+1</f>
        <v>94</v>
      </c>
      <c r="C426" s="46" t="n">
        <f aca="false">MATCH(A426,Inputs!$B$40:$B$87,0)</f>
        <v>24</v>
      </c>
      <c r="D426" s="32" t="n">
        <f aca="false">INDEX(Inputs!$F$40:$F$87,C426)</f>
        <v>4</v>
      </c>
      <c r="E426" s="78" t="n">
        <f aca="false">INDEX(Inputs!$H$40:$H$87,C426)</f>
        <v>19</v>
      </c>
      <c r="F426" s="78" t="n">
        <f aca="false">INDEX(Inputs!$G$40:$G$87,C426)</f>
        <v>55</v>
      </c>
      <c r="G426" s="32" t="n">
        <f aca="false">INDEX(Inputs!$I$40:$I$87,C426)</f>
        <v>10</v>
      </c>
      <c r="H426" s="46" t="n">
        <f aca="false">MATCH(A426,Demand_History!$C:$C,0)+B426-1</f>
        <v>2487</v>
      </c>
      <c r="I426" s="32" t="n">
        <f aca="false">INDEX(Forecast_Walkforward!$C:$C,H426)</f>
        <v>74</v>
      </c>
      <c r="J426" s="79" t="n">
        <f aca="false">INDEX(Forecast_Walkforward!$E:$E,H426)</f>
        <v>70.25</v>
      </c>
      <c r="K426" s="33" t="n">
        <f aca="false">Baseline_Weeks*J426</f>
        <v>281</v>
      </c>
      <c r="L426" s="46" t="n">
        <f aca="false">SUMIFS(P$421:P425,$B$421:$B425,$B426-$D426)</f>
        <v>0</v>
      </c>
      <c r="M426" s="46" t="n">
        <f aca="false">S425+L426</f>
        <v>69</v>
      </c>
      <c r="N426" s="46" t="n">
        <f aca="false">SUMIFS(P$421:P425,$B$421:$B425,"&gt;"&amp;($B426-$D426))</f>
        <v>150</v>
      </c>
      <c r="O426" s="46" t="n">
        <f aca="false">M426+N426</f>
        <v>219</v>
      </c>
      <c r="P426" s="47" t="n">
        <f aca="false">IF(O426&lt;K426,ROUNDUP((K426-O426)/G426,0)*G426,0)</f>
        <v>70</v>
      </c>
      <c r="Q426" s="46" t="n">
        <f aca="false">MIN(M426,I426)</f>
        <v>69</v>
      </c>
      <c r="R426" s="46" t="n">
        <f aca="false">I426-Q426</f>
        <v>5</v>
      </c>
      <c r="S426" s="46" t="n">
        <f aca="false">M426-Q426</f>
        <v>0</v>
      </c>
      <c r="T426" s="46" t="n">
        <f aca="false">IF(R426&gt;0,1,0)</f>
        <v>1</v>
      </c>
      <c r="U426" s="32" t="n">
        <f aca="false">INDEX(Forecast!$AY$7:$AY$54,C426)</f>
        <v>3</v>
      </c>
      <c r="V426" s="33" t="n">
        <f aca="false">CHOOSE(U426,INDEX(Forecast_Walkforward!$D:$D,H426),INDEX(Forecast_Walkforward!$E:$E,H426),INDEX(Forecast_Walkforward!$F:$F,H426),INDEX(Forecast_Walkforward!$G:$G,H426))</f>
        <v>73.125</v>
      </c>
      <c r="W426" s="79" t="n">
        <f aca="false">INDEX(Forecast!$BA$7:$BA$54,C426)</f>
        <v>8.83544122733832</v>
      </c>
      <c r="X426" s="33" t="n">
        <f aca="false">Z_Value*W426*SQRT(D426)</f>
        <v>29.066015097008</v>
      </c>
      <c r="Y426" s="33" t="n">
        <f aca="false">V426*D426+X426</f>
        <v>321.566015097008</v>
      </c>
      <c r="Z426" s="33" t="n">
        <f aca="false">SQRT((2*V426*Weeks_Per_Year*F426)/(E426*Holding_Rate))</f>
        <v>331.771560597126</v>
      </c>
      <c r="AA426" s="46" t="n">
        <f aca="false">ROUNDUP(Z426/G426,0)*G426</f>
        <v>340</v>
      </c>
      <c r="AB426" s="46" t="n">
        <f aca="false">SUMIFS(AF$421:AF425,$B$421:$B425,$B426-$D426)</f>
        <v>0</v>
      </c>
      <c r="AC426" s="46" t="n">
        <f aca="false">AI425+AB426</f>
        <v>69</v>
      </c>
      <c r="AD426" s="46" t="n">
        <f aca="false">SUMIFS(AF$421:AF425,$B$421:$B425,"&gt;"&amp;($B426-$D426))</f>
        <v>340</v>
      </c>
      <c r="AE426" s="46" t="n">
        <f aca="false">AC426+AD426</f>
        <v>409</v>
      </c>
      <c r="AF426" s="47" t="n">
        <f aca="false">IF(AE426&lt;=Y426,AA426,0)</f>
        <v>0</v>
      </c>
      <c r="AG426" s="46" t="n">
        <f aca="false">MIN(AC426,I426)</f>
        <v>69</v>
      </c>
      <c r="AH426" s="46" t="n">
        <f aca="false">I426-AG426</f>
        <v>5</v>
      </c>
      <c r="AI426" s="46" t="n">
        <f aca="false">AC426-AG426</f>
        <v>0</v>
      </c>
      <c r="AJ426" s="46" t="n">
        <f aca="false">IF(AH426&gt;0,1,0)</f>
        <v>1</v>
      </c>
    </row>
    <row r="427" customFormat="false" ht="15" hidden="false" customHeight="false" outlineLevel="0" collapsed="false">
      <c r="A427" s="31" t="str">
        <f aca="false">Inputs!$B$63</f>
        <v>BED-004</v>
      </c>
      <c r="B427" s="46" t="n">
        <f aca="false">B426+1</f>
        <v>95</v>
      </c>
      <c r="C427" s="46" t="n">
        <f aca="false">MATCH(A427,Inputs!$B$40:$B$87,0)</f>
        <v>24</v>
      </c>
      <c r="D427" s="32" t="n">
        <f aca="false">INDEX(Inputs!$F$40:$F$87,C427)</f>
        <v>4</v>
      </c>
      <c r="E427" s="78" t="n">
        <f aca="false">INDEX(Inputs!$H$40:$H$87,C427)</f>
        <v>19</v>
      </c>
      <c r="F427" s="78" t="n">
        <f aca="false">INDEX(Inputs!$G$40:$G$87,C427)</f>
        <v>55</v>
      </c>
      <c r="G427" s="32" t="n">
        <f aca="false">INDEX(Inputs!$I$40:$I$87,C427)</f>
        <v>10</v>
      </c>
      <c r="H427" s="46" t="n">
        <f aca="false">MATCH(A427,Demand_History!$C:$C,0)+B427-1</f>
        <v>2488</v>
      </c>
      <c r="I427" s="32" t="n">
        <f aca="false">INDEX(Forecast_Walkforward!$C:$C,H427)</f>
        <v>74</v>
      </c>
      <c r="J427" s="79" t="n">
        <f aca="false">INDEX(Forecast_Walkforward!$E:$E,H427)</f>
        <v>71.75</v>
      </c>
      <c r="K427" s="33" t="n">
        <f aca="false">Baseline_Weeks*J427</f>
        <v>287</v>
      </c>
      <c r="L427" s="46" t="n">
        <f aca="false">SUMIFS(P$421:P426,$B$421:$B426,$B427-$D427)</f>
        <v>40</v>
      </c>
      <c r="M427" s="46" t="n">
        <f aca="false">S426+L427</f>
        <v>40</v>
      </c>
      <c r="N427" s="46" t="n">
        <f aca="false">SUMIFS(P$421:P426,$B$421:$B426,"&gt;"&amp;($B427-$D427))</f>
        <v>180</v>
      </c>
      <c r="O427" s="46" t="n">
        <f aca="false">M427+N427</f>
        <v>220</v>
      </c>
      <c r="P427" s="47" t="n">
        <f aca="false">IF(O427&lt;K427,ROUNDUP((K427-O427)/G427,0)*G427,0)</f>
        <v>70</v>
      </c>
      <c r="Q427" s="46" t="n">
        <f aca="false">MIN(M427,I427)</f>
        <v>40</v>
      </c>
      <c r="R427" s="46" t="n">
        <f aca="false">I427-Q427</f>
        <v>34</v>
      </c>
      <c r="S427" s="46" t="n">
        <f aca="false">M427-Q427</f>
        <v>0</v>
      </c>
      <c r="T427" s="46" t="n">
        <f aca="false">IF(R427&gt;0,1,0)</f>
        <v>1</v>
      </c>
      <c r="U427" s="32" t="n">
        <f aca="false">INDEX(Forecast!$AY$7:$AY$54,C427)</f>
        <v>3</v>
      </c>
      <c r="V427" s="33" t="n">
        <f aca="false">CHOOSE(U427,INDEX(Forecast_Walkforward!$D:$D,H427),INDEX(Forecast_Walkforward!$E:$E,H427),INDEX(Forecast_Walkforward!$F:$F,H427),INDEX(Forecast_Walkforward!$G:$G,H427))</f>
        <v>75.25</v>
      </c>
      <c r="W427" s="79" t="n">
        <f aca="false">INDEX(Forecast!$BA$7:$BA$54,C427)</f>
        <v>8.83544122733832</v>
      </c>
      <c r="X427" s="33" t="n">
        <f aca="false">Z_Value*W427*SQRT(D427)</f>
        <v>29.066015097008</v>
      </c>
      <c r="Y427" s="33" t="n">
        <f aca="false">V427*D427+X427</f>
        <v>330.066015097008</v>
      </c>
      <c r="Z427" s="33" t="n">
        <f aca="false">SQRT((2*V427*Weeks_Per_Year*F427)/(E427*Holding_Rate))</f>
        <v>336.557651274754</v>
      </c>
      <c r="AA427" s="46" t="n">
        <f aca="false">ROUNDUP(Z427/G427,0)*G427</f>
        <v>340</v>
      </c>
      <c r="AB427" s="46" t="n">
        <f aca="false">SUMIFS(AF$421:AF426,$B$421:$B426,$B427-$D427)</f>
        <v>340</v>
      </c>
      <c r="AC427" s="46" t="n">
        <f aca="false">AI426+AB427</f>
        <v>340</v>
      </c>
      <c r="AD427" s="46" t="n">
        <f aca="false">SUMIFS(AF$421:AF426,$B$421:$B426,"&gt;"&amp;($B427-$D427))</f>
        <v>0</v>
      </c>
      <c r="AE427" s="46" t="n">
        <f aca="false">AC427+AD427</f>
        <v>340</v>
      </c>
      <c r="AF427" s="47" t="n">
        <f aca="false">IF(AE427&lt;=Y427,AA427,0)</f>
        <v>0</v>
      </c>
      <c r="AG427" s="46" t="n">
        <f aca="false">MIN(AC427,I427)</f>
        <v>74</v>
      </c>
      <c r="AH427" s="46" t="n">
        <f aca="false">I427-AG427</f>
        <v>0</v>
      </c>
      <c r="AI427" s="46" t="n">
        <f aca="false">AC427-AG427</f>
        <v>266</v>
      </c>
      <c r="AJ427" s="46" t="n">
        <f aca="false">IF(AH427&gt;0,1,0)</f>
        <v>0</v>
      </c>
    </row>
    <row r="428" customFormat="false" ht="15" hidden="false" customHeight="false" outlineLevel="0" collapsed="false">
      <c r="A428" s="31" t="str">
        <f aca="false">Inputs!$B$63</f>
        <v>BED-004</v>
      </c>
      <c r="B428" s="46" t="n">
        <f aca="false">B427+1</f>
        <v>96</v>
      </c>
      <c r="C428" s="46" t="n">
        <f aca="false">MATCH(A428,Inputs!$B$40:$B$87,0)</f>
        <v>24</v>
      </c>
      <c r="D428" s="32" t="n">
        <f aca="false">INDEX(Inputs!$F$40:$F$87,C428)</f>
        <v>4</v>
      </c>
      <c r="E428" s="78" t="n">
        <f aca="false">INDEX(Inputs!$H$40:$H$87,C428)</f>
        <v>19</v>
      </c>
      <c r="F428" s="78" t="n">
        <f aca="false">INDEX(Inputs!$G$40:$G$87,C428)</f>
        <v>55</v>
      </c>
      <c r="G428" s="32" t="n">
        <f aca="false">INDEX(Inputs!$I$40:$I$87,C428)</f>
        <v>10</v>
      </c>
      <c r="H428" s="46" t="n">
        <f aca="false">MATCH(A428,Demand_History!$C:$C,0)+B428-1</f>
        <v>2489</v>
      </c>
      <c r="I428" s="32" t="n">
        <f aca="false">INDEX(Forecast_Walkforward!$C:$C,H428)</f>
        <v>80</v>
      </c>
      <c r="J428" s="79" t="n">
        <f aca="false">INDEX(Forecast_Walkforward!$E:$E,H428)</f>
        <v>77.5</v>
      </c>
      <c r="K428" s="33" t="n">
        <f aca="false">Baseline_Weeks*J428</f>
        <v>310</v>
      </c>
      <c r="L428" s="46" t="n">
        <f aca="false">SUMIFS(P$421:P427,$B$421:$B427,$B428-$D428)</f>
        <v>10</v>
      </c>
      <c r="M428" s="46" t="n">
        <f aca="false">S427+L428</f>
        <v>10</v>
      </c>
      <c r="N428" s="46" t="n">
        <f aca="false">SUMIFS(P$421:P427,$B$421:$B427,"&gt;"&amp;($B428-$D428))</f>
        <v>240</v>
      </c>
      <c r="O428" s="46" t="n">
        <f aca="false">M428+N428</f>
        <v>250</v>
      </c>
      <c r="P428" s="47" t="n">
        <f aca="false">IF(O428&lt;K428,ROUNDUP((K428-O428)/G428,0)*G428,0)</f>
        <v>60</v>
      </c>
      <c r="Q428" s="46" t="n">
        <f aca="false">MIN(M428,I428)</f>
        <v>10</v>
      </c>
      <c r="R428" s="46" t="n">
        <f aca="false">I428-Q428</f>
        <v>70</v>
      </c>
      <c r="S428" s="46" t="n">
        <f aca="false">M428-Q428</f>
        <v>0</v>
      </c>
      <c r="T428" s="46" t="n">
        <f aca="false">IF(R428&gt;0,1,0)</f>
        <v>1</v>
      </c>
      <c r="U428" s="32" t="n">
        <f aca="false">INDEX(Forecast!$AY$7:$AY$54,C428)</f>
        <v>3</v>
      </c>
      <c r="V428" s="33" t="n">
        <f aca="false">CHOOSE(U428,INDEX(Forecast_Walkforward!$D:$D,H428),INDEX(Forecast_Walkforward!$E:$E,H428),INDEX(Forecast_Walkforward!$F:$F,H428),INDEX(Forecast_Walkforward!$G:$G,H428))</f>
        <v>73.625</v>
      </c>
      <c r="W428" s="79" t="n">
        <f aca="false">INDEX(Forecast!$BA$7:$BA$54,C428)</f>
        <v>8.83544122733832</v>
      </c>
      <c r="X428" s="33" t="n">
        <f aca="false">Z_Value*W428*SQRT(D428)</f>
        <v>29.066015097008</v>
      </c>
      <c r="Y428" s="33" t="n">
        <f aca="false">V428*D428+X428</f>
        <v>323.566015097008</v>
      </c>
      <c r="Z428" s="33" t="n">
        <f aca="false">SQRT((2*V428*Weeks_Per_Year*F428)/(E428*Holding_Rate))</f>
        <v>332.903890034346</v>
      </c>
      <c r="AA428" s="46" t="n">
        <f aca="false">ROUNDUP(Z428/G428,0)*G428</f>
        <v>340</v>
      </c>
      <c r="AB428" s="46" t="n">
        <f aca="false">SUMIFS(AF$421:AF427,$B$421:$B427,$B428-$D428)</f>
        <v>0</v>
      </c>
      <c r="AC428" s="46" t="n">
        <f aca="false">AI427+AB428</f>
        <v>266</v>
      </c>
      <c r="AD428" s="46" t="n">
        <f aca="false">SUMIFS(AF$421:AF427,$B$421:$B427,"&gt;"&amp;($B428-$D428))</f>
        <v>0</v>
      </c>
      <c r="AE428" s="46" t="n">
        <f aca="false">AC428+AD428</f>
        <v>266</v>
      </c>
      <c r="AF428" s="47" t="n">
        <f aca="false">IF(AE428&lt;=Y428,AA428,0)</f>
        <v>340</v>
      </c>
      <c r="AG428" s="46" t="n">
        <f aca="false">MIN(AC428,I428)</f>
        <v>80</v>
      </c>
      <c r="AH428" s="46" t="n">
        <f aca="false">I428-AG428</f>
        <v>0</v>
      </c>
      <c r="AI428" s="46" t="n">
        <f aca="false">AC428-AG428</f>
        <v>186</v>
      </c>
      <c r="AJ428" s="46" t="n">
        <f aca="false">IF(AH428&gt;0,1,0)</f>
        <v>0</v>
      </c>
    </row>
    <row r="429" customFormat="false" ht="15" hidden="false" customHeight="false" outlineLevel="0" collapsed="false">
      <c r="A429" s="31" t="str">
        <f aca="false">Inputs!$B$63</f>
        <v>BED-004</v>
      </c>
      <c r="B429" s="46" t="n">
        <f aca="false">B428+1</f>
        <v>97</v>
      </c>
      <c r="C429" s="46" t="n">
        <f aca="false">MATCH(A429,Inputs!$B$40:$B$87,0)</f>
        <v>24</v>
      </c>
      <c r="D429" s="32" t="n">
        <f aca="false">INDEX(Inputs!$F$40:$F$87,C429)</f>
        <v>4</v>
      </c>
      <c r="E429" s="78" t="n">
        <f aca="false">INDEX(Inputs!$H$40:$H$87,C429)</f>
        <v>19</v>
      </c>
      <c r="F429" s="78" t="n">
        <f aca="false">INDEX(Inputs!$G$40:$G$87,C429)</f>
        <v>55</v>
      </c>
      <c r="G429" s="32" t="n">
        <f aca="false">INDEX(Inputs!$I$40:$I$87,C429)</f>
        <v>10</v>
      </c>
      <c r="H429" s="46" t="n">
        <f aca="false">MATCH(A429,Demand_History!$C:$C,0)+B429-1</f>
        <v>2490</v>
      </c>
      <c r="I429" s="32" t="n">
        <f aca="false">INDEX(Forecast_Walkforward!$C:$C,H429)</f>
        <v>80</v>
      </c>
      <c r="J429" s="79" t="n">
        <f aca="false">INDEX(Forecast_Walkforward!$E:$E,H429)</f>
        <v>75.5</v>
      </c>
      <c r="K429" s="33" t="n">
        <f aca="false">Baseline_Weeks*J429</f>
        <v>302</v>
      </c>
      <c r="L429" s="46" t="n">
        <f aca="false">SUMIFS(P$421:P428,$B$421:$B428,$B429-$D429)</f>
        <v>100</v>
      </c>
      <c r="M429" s="46" t="n">
        <f aca="false">S428+L429</f>
        <v>100</v>
      </c>
      <c r="N429" s="46" t="n">
        <f aca="false">SUMIFS(P$421:P428,$B$421:$B428,"&gt;"&amp;($B429-$D429))</f>
        <v>200</v>
      </c>
      <c r="O429" s="46" t="n">
        <f aca="false">M429+N429</f>
        <v>300</v>
      </c>
      <c r="P429" s="47" t="n">
        <f aca="false">IF(O429&lt;K429,ROUNDUP((K429-O429)/G429,0)*G429,0)</f>
        <v>10</v>
      </c>
      <c r="Q429" s="46" t="n">
        <f aca="false">MIN(M429,I429)</f>
        <v>80</v>
      </c>
      <c r="R429" s="46" t="n">
        <f aca="false">I429-Q429</f>
        <v>0</v>
      </c>
      <c r="S429" s="46" t="n">
        <f aca="false">M429-Q429</f>
        <v>20</v>
      </c>
      <c r="T429" s="46" t="n">
        <f aca="false">IF(R429&gt;0,1,0)</f>
        <v>0</v>
      </c>
      <c r="U429" s="32" t="n">
        <f aca="false">INDEX(Forecast!$AY$7:$AY$54,C429)</f>
        <v>3</v>
      </c>
      <c r="V429" s="33" t="n">
        <f aca="false">CHOOSE(U429,INDEX(Forecast_Walkforward!$D:$D,H429),INDEX(Forecast_Walkforward!$E:$E,H429),INDEX(Forecast_Walkforward!$F:$F,H429),INDEX(Forecast_Walkforward!$G:$G,H429))</f>
        <v>74.25</v>
      </c>
      <c r="W429" s="79" t="n">
        <f aca="false">INDEX(Forecast!$BA$7:$BA$54,C429)</f>
        <v>8.83544122733832</v>
      </c>
      <c r="X429" s="33" t="n">
        <f aca="false">Z_Value*W429*SQRT(D429)</f>
        <v>29.066015097008</v>
      </c>
      <c r="Y429" s="33" t="n">
        <f aca="false">V429*D429+X429</f>
        <v>326.066015097008</v>
      </c>
      <c r="Z429" s="33" t="n">
        <f aca="false">SQRT((2*V429*Weeks_Per_Year*F429)/(E429*Holding_Rate))</f>
        <v>334.313908585455</v>
      </c>
      <c r="AA429" s="46" t="n">
        <f aca="false">ROUNDUP(Z429/G429,0)*G429</f>
        <v>340</v>
      </c>
      <c r="AB429" s="46" t="n">
        <f aca="false">SUMIFS(AF$421:AF428,$B$421:$B428,$B429-$D429)</f>
        <v>0</v>
      </c>
      <c r="AC429" s="46" t="n">
        <f aca="false">AI428+AB429</f>
        <v>186</v>
      </c>
      <c r="AD429" s="46" t="n">
        <f aca="false">SUMIFS(AF$421:AF428,$B$421:$B428,"&gt;"&amp;($B429-$D429))</f>
        <v>340</v>
      </c>
      <c r="AE429" s="46" t="n">
        <f aca="false">AC429+AD429</f>
        <v>526</v>
      </c>
      <c r="AF429" s="47" t="n">
        <f aca="false">IF(AE429&lt;=Y429,AA429,0)</f>
        <v>0</v>
      </c>
      <c r="AG429" s="46" t="n">
        <f aca="false">MIN(AC429,I429)</f>
        <v>80</v>
      </c>
      <c r="AH429" s="46" t="n">
        <f aca="false">I429-AG429</f>
        <v>0</v>
      </c>
      <c r="AI429" s="46" t="n">
        <f aca="false">AC429-AG429</f>
        <v>106</v>
      </c>
      <c r="AJ429" s="46" t="n">
        <f aca="false">IF(AH429&gt;0,1,0)</f>
        <v>0</v>
      </c>
    </row>
    <row r="430" customFormat="false" ht="15" hidden="false" customHeight="false" outlineLevel="0" collapsed="false">
      <c r="A430" s="31" t="str">
        <f aca="false">Inputs!$B$63</f>
        <v>BED-004</v>
      </c>
      <c r="B430" s="46" t="n">
        <f aca="false">B429+1</f>
        <v>98</v>
      </c>
      <c r="C430" s="46" t="n">
        <f aca="false">MATCH(A430,Inputs!$B$40:$B$87,0)</f>
        <v>24</v>
      </c>
      <c r="D430" s="32" t="n">
        <f aca="false">INDEX(Inputs!$F$40:$F$87,C430)</f>
        <v>4</v>
      </c>
      <c r="E430" s="78" t="n">
        <f aca="false">INDEX(Inputs!$H$40:$H$87,C430)</f>
        <v>19</v>
      </c>
      <c r="F430" s="78" t="n">
        <f aca="false">INDEX(Inputs!$G$40:$G$87,C430)</f>
        <v>55</v>
      </c>
      <c r="G430" s="32" t="n">
        <f aca="false">INDEX(Inputs!$I$40:$I$87,C430)</f>
        <v>10</v>
      </c>
      <c r="H430" s="46" t="n">
        <f aca="false">MATCH(A430,Demand_History!$C:$C,0)+B430-1</f>
        <v>2491</v>
      </c>
      <c r="I430" s="32" t="n">
        <f aca="false">INDEX(Forecast_Walkforward!$C:$C,H430)</f>
        <v>58</v>
      </c>
      <c r="J430" s="79" t="n">
        <f aca="false">INDEX(Forecast_Walkforward!$E:$E,H430)</f>
        <v>77</v>
      </c>
      <c r="K430" s="33" t="n">
        <f aca="false">Baseline_Weeks*J430</f>
        <v>308</v>
      </c>
      <c r="L430" s="46" t="n">
        <f aca="false">SUMIFS(P$421:P429,$B$421:$B429,$B430-$D430)</f>
        <v>70</v>
      </c>
      <c r="M430" s="46" t="n">
        <f aca="false">S429+L430</f>
        <v>90</v>
      </c>
      <c r="N430" s="46" t="n">
        <f aca="false">SUMIFS(P$421:P429,$B$421:$B429,"&gt;"&amp;($B430-$D430))</f>
        <v>140</v>
      </c>
      <c r="O430" s="46" t="n">
        <f aca="false">M430+N430</f>
        <v>230</v>
      </c>
      <c r="P430" s="47" t="n">
        <f aca="false">IF(O430&lt;K430,ROUNDUP((K430-O430)/G430,0)*G430,0)</f>
        <v>80</v>
      </c>
      <c r="Q430" s="46" t="n">
        <f aca="false">MIN(M430,I430)</f>
        <v>58</v>
      </c>
      <c r="R430" s="46" t="n">
        <f aca="false">I430-Q430</f>
        <v>0</v>
      </c>
      <c r="S430" s="46" t="n">
        <f aca="false">M430-Q430</f>
        <v>32</v>
      </c>
      <c r="T430" s="46" t="n">
        <f aca="false">IF(R430&gt;0,1,0)</f>
        <v>0</v>
      </c>
      <c r="U430" s="32" t="n">
        <f aca="false">INDEX(Forecast!$AY$7:$AY$54,C430)</f>
        <v>3</v>
      </c>
      <c r="V430" s="33" t="n">
        <f aca="false">CHOOSE(U430,INDEX(Forecast_Walkforward!$D:$D,H430),INDEX(Forecast_Walkforward!$E:$E,H430),INDEX(Forecast_Walkforward!$F:$F,H430),INDEX(Forecast_Walkforward!$G:$G,H430))</f>
        <v>73.625</v>
      </c>
      <c r="W430" s="79" t="n">
        <f aca="false">INDEX(Forecast!$BA$7:$BA$54,C430)</f>
        <v>8.83544122733832</v>
      </c>
      <c r="X430" s="33" t="n">
        <f aca="false">Z_Value*W430*SQRT(D430)</f>
        <v>29.066015097008</v>
      </c>
      <c r="Y430" s="33" t="n">
        <f aca="false">V430*D430+X430</f>
        <v>323.566015097008</v>
      </c>
      <c r="Z430" s="33" t="n">
        <f aca="false">SQRT((2*V430*Weeks_Per_Year*F430)/(E430*Holding_Rate))</f>
        <v>332.903890034346</v>
      </c>
      <c r="AA430" s="46" t="n">
        <f aca="false">ROUNDUP(Z430/G430,0)*G430</f>
        <v>340</v>
      </c>
      <c r="AB430" s="46" t="n">
        <f aca="false">SUMIFS(AF$421:AF429,$B$421:$B429,$B430-$D430)</f>
        <v>0</v>
      </c>
      <c r="AC430" s="46" t="n">
        <f aca="false">AI429+AB430</f>
        <v>106</v>
      </c>
      <c r="AD430" s="46" t="n">
        <f aca="false">SUMIFS(AF$421:AF429,$B$421:$B429,"&gt;"&amp;($B430-$D430))</f>
        <v>340</v>
      </c>
      <c r="AE430" s="46" t="n">
        <f aca="false">AC430+AD430</f>
        <v>446</v>
      </c>
      <c r="AF430" s="47" t="n">
        <f aca="false">IF(AE430&lt;=Y430,AA430,0)</f>
        <v>0</v>
      </c>
      <c r="AG430" s="46" t="n">
        <f aca="false">MIN(AC430,I430)</f>
        <v>58</v>
      </c>
      <c r="AH430" s="46" t="n">
        <f aca="false">I430-AG430</f>
        <v>0</v>
      </c>
      <c r="AI430" s="46" t="n">
        <f aca="false">AC430-AG430</f>
        <v>48</v>
      </c>
      <c r="AJ430" s="46" t="n">
        <f aca="false">IF(AH430&gt;0,1,0)</f>
        <v>0</v>
      </c>
    </row>
    <row r="431" customFormat="false" ht="15" hidden="false" customHeight="false" outlineLevel="0" collapsed="false">
      <c r="A431" s="31" t="str">
        <f aca="false">Inputs!$B$63</f>
        <v>BED-004</v>
      </c>
      <c r="B431" s="46" t="n">
        <f aca="false">B430+1</f>
        <v>99</v>
      </c>
      <c r="C431" s="46" t="n">
        <f aca="false">MATCH(A431,Inputs!$B$40:$B$87,0)</f>
        <v>24</v>
      </c>
      <c r="D431" s="32" t="n">
        <f aca="false">INDEX(Inputs!$F$40:$F$87,C431)</f>
        <v>4</v>
      </c>
      <c r="E431" s="78" t="n">
        <f aca="false">INDEX(Inputs!$H$40:$H$87,C431)</f>
        <v>19</v>
      </c>
      <c r="F431" s="78" t="n">
        <f aca="false">INDEX(Inputs!$G$40:$G$87,C431)</f>
        <v>55</v>
      </c>
      <c r="G431" s="32" t="n">
        <f aca="false">INDEX(Inputs!$I$40:$I$87,C431)</f>
        <v>10</v>
      </c>
      <c r="H431" s="46" t="n">
        <f aca="false">MATCH(A431,Demand_History!$C:$C,0)+B431-1</f>
        <v>2492</v>
      </c>
      <c r="I431" s="32" t="n">
        <f aca="false">INDEX(Forecast_Walkforward!$C:$C,H431)</f>
        <v>86</v>
      </c>
      <c r="J431" s="79" t="n">
        <f aca="false">INDEX(Forecast_Walkforward!$E:$E,H431)</f>
        <v>73</v>
      </c>
      <c r="K431" s="33" t="n">
        <f aca="false">Baseline_Weeks*J431</f>
        <v>292</v>
      </c>
      <c r="L431" s="46" t="n">
        <f aca="false">SUMIFS(P$421:P430,$B$421:$B430,$B431-$D431)</f>
        <v>70</v>
      </c>
      <c r="M431" s="46" t="n">
        <f aca="false">S430+L431</f>
        <v>102</v>
      </c>
      <c r="N431" s="46" t="n">
        <f aca="false">SUMIFS(P$421:P430,$B$421:$B430,"&gt;"&amp;($B431-$D431))</f>
        <v>150</v>
      </c>
      <c r="O431" s="46" t="n">
        <f aca="false">M431+N431</f>
        <v>252</v>
      </c>
      <c r="P431" s="47" t="n">
        <f aca="false">IF(O431&lt;K431,ROUNDUP((K431-O431)/G431,0)*G431,0)</f>
        <v>40</v>
      </c>
      <c r="Q431" s="46" t="n">
        <f aca="false">MIN(M431,I431)</f>
        <v>86</v>
      </c>
      <c r="R431" s="46" t="n">
        <f aca="false">I431-Q431</f>
        <v>0</v>
      </c>
      <c r="S431" s="46" t="n">
        <f aca="false">M431-Q431</f>
        <v>16</v>
      </c>
      <c r="T431" s="46" t="n">
        <f aca="false">IF(R431&gt;0,1,0)</f>
        <v>0</v>
      </c>
      <c r="U431" s="32" t="n">
        <f aca="false">INDEX(Forecast!$AY$7:$AY$54,C431)</f>
        <v>3</v>
      </c>
      <c r="V431" s="33" t="n">
        <f aca="false">CHOOSE(U431,INDEX(Forecast_Walkforward!$D:$D,H431),INDEX(Forecast_Walkforward!$E:$E,H431),INDEX(Forecast_Walkforward!$F:$F,H431),INDEX(Forecast_Walkforward!$G:$G,H431))</f>
        <v>72.375</v>
      </c>
      <c r="W431" s="79" t="n">
        <f aca="false">INDEX(Forecast!$BA$7:$BA$54,C431)</f>
        <v>8.83544122733832</v>
      </c>
      <c r="X431" s="33" t="n">
        <f aca="false">Z_Value*W431*SQRT(D431)</f>
        <v>29.066015097008</v>
      </c>
      <c r="Y431" s="33" t="n">
        <f aca="false">V431*D431+X431</f>
        <v>318.566015097008</v>
      </c>
      <c r="Z431" s="33" t="n">
        <f aca="false">SQRT((2*V431*Weeks_Per_Year*F431)/(E431*Holding_Rate))</f>
        <v>330.065782917029</v>
      </c>
      <c r="AA431" s="46" t="n">
        <f aca="false">ROUNDUP(Z431/G431,0)*G431</f>
        <v>340</v>
      </c>
      <c r="AB431" s="46" t="n">
        <f aca="false">SUMIFS(AF$421:AF430,$B$421:$B430,$B431-$D431)</f>
        <v>0</v>
      </c>
      <c r="AC431" s="46" t="n">
        <f aca="false">AI430+AB431</f>
        <v>48</v>
      </c>
      <c r="AD431" s="46" t="n">
        <f aca="false">SUMIFS(AF$421:AF430,$B$421:$B430,"&gt;"&amp;($B431-$D431))</f>
        <v>340</v>
      </c>
      <c r="AE431" s="46" t="n">
        <f aca="false">AC431+AD431</f>
        <v>388</v>
      </c>
      <c r="AF431" s="47" t="n">
        <f aca="false">IF(AE431&lt;=Y431,AA431,0)</f>
        <v>0</v>
      </c>
      <c r="AG431" s="46" t="n">
        <f aca="false">MIN(AC431,I431)</f>
        <v>48</v>
      </c>
      <c r="AH431" s="46" t="n">
        <f aca="false">I431-AG431</f>
        <v>38</v>
      </c>
      <c r="AI431" s="46" t="n">
        <f aca="false">AC431-AG431</f>
        <v>0</v>
      </c>
      <c r="AJ431" s="46" t="n">
        <f aca="false">IF(AH431&gt;0,1,0)</f>
        <v>1</v>
      </c>
    </row>
    <row r="432" customFormat="false" ht="15" hidden="false" customHeight="false" outlineLevel="0" collapsed="false">
      <c r="A432" s="31" t="str">
        <f aca="false">Inputs!$B$63</f>
        <v>BED-004</v>
      </c>
      <c r="B432" s="46" t="n">
        <f aca="false">B431+1</f>
        <v>100</v>
      </c>
      <c r="C432" s="46" t="n">
        <f aca="false">MATCH(A432,Inputs!$B$40:$B$87,0)</f>
        <v>24</v>
      </c>
      <c r="D432" s="32" t="n">
        <f aca="false">INDEX(Inputs!$F$40:$F$87,C432)</f>
        <v>4</v>
      </c>
      <c r="E432" s="78" t="n">
        <f aca="false">INDEX(Inputs!$H$40:$H$87,C432)</f>
        <v>19</v>
      </c>
      <c r="F432" s="78" t="n">
        <f aca="false">INDEX(Inputs!$G$40:$G$87,C432)</f>
        <v>55</v>
      </c>
      <c r="G432" s="32" t="n">
        <f aca="false">INDEX(Inputs!$I$40:$I$87,C432)</f>
        <v>10</v>
      </c>
      <c r="H432" s="46" t="n">
        <f aca="false">MATCH(A432,Demand_History!$C:$C,0)+B432-1</f>
        <v>2493</v>
      </c>
      <c r="I432" s="32" t="n">
        <f aca="false">INDEX(Forecast_Walkforward!$C:$C,H432)</f>
        <v>70</v>
      </c>
      <c r="J432" s="79" t="n">
        <f aca="false">INDEX(Forecast_Walkforward!$E:$E,H432)</f>
        <v>76</v>
      </c>
      <c r="K432" s="33" t="n">
        <f aca="false">Baseline_Weeks*J432</f>
        <v>304</v>
      </c>
      <c r="L432" s="46" t="n">
        <f aca="false">SUMIFS(P$421:P431,$B$421:$B431,$B432-$D432)</f>
        <v>60</v>
      </c>
      <c r="M432" s="46" t="n">
        <f aca="false">S431+L432</f>
        <v>76</v>
      </c>
      <c r="N432" s="46" t="n">
        <f aca="false">SUMIFS(P$421:P431,$B$421:$B431,"&gt;"&amp;($B432-$D432))</f>
        <v>130</v>
      </c>
      <c r="O432" s="46" t="n">
        <f aca="false">M432+N432</f>
        <v>206</v>
      </c>
      <c r="P432" s="47" t="n">
        <f aca="false">IF(O432&lt;K432,ROUNDUP((K432-O432)/G432,0)*G432,0)</f>
        <v>100</v>
      </c>
      <c r="Q432" s="46" t="n">
        <f aca="false">MIN(M432,I432)</f>
        <v>70</v>
      </c>
      <c r="R432" s="46" t="n">
        <f aca="false">I432-Q432</f>
        <v>0</v>
      </c>
      <c r="S432" s="46" t="n">
        <f aca="false">M432-Q432</f>
        <v>6</v>
      </c>
      <c r="T432" s="46" t="n">
        <f aca="false">IF(R432&gt;0,1,0)</f>
        <v>0</v>
      </c>
      <c r="U432" s="32" t="n">
        <f aca="false">INDEX(Forecast!$AY$7:$AY$54,C432)</f>
        <v>3</v>
      </c>
      <c r="V432" s="33" t="n">
        <f aca="false">CHOOSE(U432,INDEX(Forecast_Walkforward!$D:$D,H432),INDEX(Forecast_Walkforward!$E:$E,H432),INDEX(Forecast_Walkforward!$F:$F,H432),INDEX(Forecast_Walkforward!$G:$G,H432))</f>
        <v>76.75</v>
      </c>
      <c r="W432" s="79" t="n">
        <f aca="false">INDEX(Forecast!$BA$7:$BA$54,C432)</f>
        <v>8.83544122733832</v>
      </c>
      <c r="X432" s="33" t="n">
        <f aca="false">Z_Value*W432*SQRT(D432)</f>
        <v>29.066015097008</v>
      </c>
      <c r="Y432" s="33" t="n">
        <f aca="false">V432*D432+X432</f>
        <v>336.066015097008</v>
      </c>
      <c r="Z432" s="33" t="n">
        <f aca="false">SQRT((2*V432*Weeks_Per_Year*F432)/(E432*Holding_Rate))</f>
        <v>339.895494775116</v>
      </c>
      <c r="AA432" s="46" t="n">
        <f aca="false">ROUNDUP(Z432/G432,0)*G432</f>
        <v>340</v>
      </c>
      <c r="AB432" s="46" t="n">
        <f aca="false">SUMIFS(AF$421:AF431,$B$421:$B431,$B432-$D432)</f>
        <v>340</v>
      </c>
      <c r="AC432" s="46" t="n">
        <f aca="false">AI431+AB432</f>
        <v>340</v>
      </c>
      <c r="AD432" s="46" t="n">
        <f aca="false">SUMIFS(AF$421:AF431,$B$421:$B431,"&gt;"&amp;($B432-$D432))</f>
        <v>0</v>
      </c>
      <c r="AE432" s="46" t="n">
        <f aca="false">AC432+AD432</f>
        <v>340</v>
      </c>
      <c r="AF432" s="47" t="n">
        <f aca="false">IF(AE432&lt;=Y432,AA432,0)</f>
        <v>0</v>
      </c>
      <c r="AG432" s="46" t="n">
        <f aca="false">MIN(AC432,I432)</f>
        <v>70</v>
      </c>
      <c r="AH432" s="46" t="n">
        <f aca="false">I432-AG432</f>
        <v>0</v>
      </c>
      <c r="AI432" s="46" t="n">
        <f aca="false">AC432-AG432</f>
        <v>270</v>
      </c>
      <c r="AJ432" s="46" t="n">
        <f aca="false">IF(AH432&gt;0,1,0)</f>
        <v>0</v>
      </c>
    </row>
    <row r="433" customFormat="false" ht="15" hidden="false" customHeight="false" outlineLevel="0" collapsed="false">
      <c r="A433" s="31" t="str">
        <f aca="false">Inputs!$B$63</f>
        <v>BED-004</v>
      </c>
      <c r="B433" s="46" t="n">
        <f aca="false">B432+1</f>
        <v>101</v>
      </c>
      <c r="C433" s="46" t="n">
        <f aca="false">MATCH(A433,Inputs!$B$40:$B$87,0)</f>
        <v>24</v>
      </c>
      <c r="D433" s="32" t="n">
        <f aca="false">INDEX(Inputs!$F$40:$F$87,C433)</f>
        <v>4</v>
      </c>
      <c r="E433" s="78" t="n">
        <f aca="false">INDEX(Inputs!$H$40:$H$87,C433)</f>
        <v>19</v>
      </c>
      <c r="F433" s="78" t="n">
        <f aca="false">INDEX(Inputs!$G$40:$G$87,C433)</f>
        <v>55</v>
      </c>
      <c r="G433" s="32" t="n">
        <f aca="false">INDEX(Inputs!$I$40:$I$87,C433)</f>
        <v>10</v>
      </c>
      <c r="H433" s="46" t="n">
        <f aca="false">MATCH(A433,Demand_History!$C:$C,0)+B433-1</f>
        <v>2494</v>
      </c>
      <c r="I433" s="32" t="n">
        <f aca="false">INDEX(Forecast_Walkforward!$C:$C,H433)</f>
        <v>71</v>
      </c>
      <c r="J433" s="79" t="n">
        <f aca="false">INDEX(Forecast_Walkforward!$E:$E,H433)</f>
        <v>73.5</v>
      </c>
      <c r="K433" s="33" t="n">
        <f aca="false">Baseline_Weeks*J433</f>
        <v>294</v>
      </c>
      <c r="L433" s="46" t="n">
        <f aca="false">SUMIFS(P$421:P432,$B$421:$B432,$B433-$D433)</f>
        <v>10</v>
      </c>
      <c r="M433" s="46" t="n">
        <f aca="false">S432+L433</f>
        <v>16</v>
      </c>
      <c r="N433" s="46" t="n">
        <f aca="false">SUMIFS(P$421:P432,$B$421:$B432,"&gt;"&amp;($B433-$D433))</f>
        <v>220</v>
      </c>
      <c r="O433" s="46" t="n">
        <f aca="false">M433+N433</f>
        <v>236</v>
      </c>
      <c r="P433" s="47" t="n">
        <f aca="false">IF(O433&lt;K433,ROUNDUP((K433-O433)/G433,0)*G433,0)</f>
        <v>60</v>
      </c>
      <c r="Q433" s="46" t="n">
        <f aca="false">MIN(M433,I433)</f>
        <v>16</v>
      </c>
      <c r="R433" s="46" t="n">
        <f aca="false">I433-Q433</f>
        <v>55</v>
      </c>
      <c r="S433" s="46" t="n">
        <f aca="false">M433-Q433</f>
        <v>0</v>
      </c>
      <c r="T433" s="46" t="n">
        <f aca="false">IF(R433&gt;0,1,0)</f>
        <v>1</v>
      </c>
      <c r="U433" s="32" t="n">
        <f aca="false">INDEX(Forecast!$AY$7:$AY$54,C433)</f>
        <v>3</v>
      </c>
      <c r="V433" s="33" t="n">
        <f aca="false">CHOOSE(U433,INDEX(Forecast_Walkforward!$D:$D,H433),INDEX(Forecast_Walkforward!$E:$E,H433),INDEX(Forecast_Walkforward!$F:$F,H433),INDEX(Forecast_Walkforward!$G:$G,H433))</f>
        <v>74.5</v>
      </c>
      <c r="W433" s="79" t="n">
        <f aca="false">INDEX(Forecast!$BA$7:$BA$54,C433)</f>
        <v>8.83544122733832</v>
      </c>
      <c r="X433" s="33" t="n">
        <f aca="false">Z_Value*W433*SQRT(D433)</f>
        <v>29.066015097008</v>
      </c>
      <c r="Y433" s="33" t="n">
        <f aca="false">V433*D433+X433</f>
        <v>327.066015097008</v>
      </c>
      <c r="Z433" s="33" t="n">
        <f aca="false">SQRT((2*V433*Weeks_Per_Year*F433)/(E433*Holding_Rate))</f>
        <v>334.876253656717</v>
      </c>
      <c r="AA433" s="46" t="n">
        <f aca="false">ROUNDUP(Z433/G433,0)*G433</f>
        <v>340</v>
      </c>
      <c r="AB433" s="46" t="n">
        <f aca="false">SUMIFS(AF$421:AF432,$B$421:$B432,$B433-$D433)</f>
        <v>0</v>
      </c>
      <c r="AC433" s="46" t="n">
        <f aca="false">AI432+AB433</f>
        <v>270</v>
      </c>
      <c r="AD433" s="46" t="n">
        <f aca="false">SUMIFS(AF$421:AF432,$B$421:$B432,"&gt;"&amp;($B433-$D433))</f>
        <v>0</v>
      </c>
      <c r="AE433" s="46" t="n">
        <f aca="false">AC433+AD433</f>
        <v>270</v>
      </c>
      <c r="AF433" s="47" t="n">
        <f aca="false">IF(AE433&lt;=Y433,AA433,0)</f>
        <v>340</v>
      </c>
      <c r="AG433" s="46" t="n">
        <f aca="false">MIN(AC433,I433)</f>
        <v>71</v>
      </c>
      <c r="AH433" s="46" t="n">
        <f aca="false">I433-AG433</f>
        <v>0</v>
      </c>
      <c r="AI433" s="46" t="n">
        <f aca="false">AC433-AG433</f>
        <v>199</v>
      </c>
      <c r="AJ433" s="46" t="n">
        <f aca="false">IF(AH433&gt;0,1,0)</f>
        <v>0</v>
      </c>
    </row>
    <row r="434" customFormat="false" ht="15" hidden="false" customHeight="false" outlineLevel="0" collapsed="false">
      <c r="A434" s="31" t="str">
        <f aca="false">Inputs!$B$63</f>
        <v>BED-004</v>
      </c>
      <c r="B434" s="46" t="n">
        <f aca="false">B433+1</f>
        <v>102</v>
      </c>
      <c r="C434" s="46" t="n">
        <f aca="false">MATCH(A434,Inputs!$B$40:$B$87,0)</f>
        <v>24</v>
      </c>
      <c r="D434" s="32" t="n">
        <f aca="false">INDEX(Inputs!$F$40:$F$87,C434)</f>
        <v>4</v>
      </c>
      <c r="E434" s="78" t="n">
        <f aca="false">INDEX(Inputs!$H$40:$H$87,C434)</f>
        <v>19</v>
      </c>
      <c r="F434" s="78" t="n">
        <f aca="false">INDEX(Inputs!$G$40:$G$87,C434)</f>
        <v>55</v>
      </c>
      <c r="G434" s="32" t="n">
        <f aca="false">INDEX(Inputs!$I$40:$I$87,C434)</f>
        <v>10</v>
      </c>
      <c r="H434" s="46" t="n">
        <f aca="false">MATCH(A434,Demand_History!$C:$C,0)+B434-1</f>
        <v>2495</v>
      </c>
      <c r="I434" s="32" t="n">
        <f aca="false">INDEX(Forecast_Walkforward!$C:$C,H434)</f>
        <v>95</v>
      </c>
      <c r="J434" s="79" t="n">
        <f aca="false">INDEX(Forecast_Walkforward!$E:$E,H434)</f>
        <v>71.25</v>
      </c>
      <c r="K434" s="33" t="n">
        <f aca="false">Baseline_Weeks*J434</f>
        <v>285</v>
      </c>
      <c r="L434" s="46" t="n">
        <f aca="false">SUMIFS(P$421:P433,$B$421:$B433,$B434-$D434)</f>
        <v>80</v>
      </c>
      <c r="M434" s="46" t="n">
        <f aca="false">S433+L434</f>
        <v>80</v>
      </c>
      <c r="N434" s="46" t="n">
        <f aca="false">SUMIFS(P$421:P433,$B$421:$B433,"&gt;"&amp;($B434-$D434))</f>
        <v>200</v>
      </c>
      <c r="O434" s="46" t="n">
        <f aca="false">M434+N434</f>
        <v>280</v>
      </c>
      <c r="P434" s="47" t="n">
        <f aca="false">IF(O434&lt;K434,ROUNDUP((K434-O434)/G434,0)*G434,0)</f>
        <v>10</v>
      </c>
      <c r="Q434" s="46" t="n">
        <f aca="false">MIN(M434,I434)</f>
        <v>80</v>
      </c>
      <c r="R434" s="46" t="n">
        <f aca="false">I434-Q434</f>
        <v>15</v>
      </c>
      <c r="S434" s="46" t="n">
        <f aca="false">M434-Q434</f>
        <v>0</v>
      </c>
      <c r="T434" s="46" t="n">
        <f aca="false">IF(R434&gt;0,1,0)</f>
        <v>1</v>
      </c>
      <c r="U434" s="32" t="n">
        <f aca="false">INDEX(Forecast!$AY$7:$AY$54,C434)</f>
        <v>3</v>
      </c>
      <c r="V434" s="33" t="n">
        <f aca="false">CHOOSE(U434,INDEX(Forecast_Walkforward!$D:$D,H434),INDEX(Forecast_Walkforward!$E:$E,H434),INDEX(Forecast_Walkforward!$F:$F,H434),INDEX(Forecast_Walkforward!$G:$G,H434))</f>
        <v>74.125</v>
      </c>
      <c r="W434" s="79" t="n">
        <f aca="false">INDEX(Forecast!$BA$7:$BA$54,C434)</f>
        <v>8.83544122733832</v>
      </c>
      <c r="X434" s="33" t="n">
        <f aca="false">Z_Value*W434*SQRT(D434)</f>
        <v>29.066015097008</v>
      </c>
      <c r="Y434" s="33" t="n">
        <f aca="false">V434*D434+X434</f>
        <v>325.566015097008</v>
      </c>
      <c r="Z434" s="33" t="n">
        <f aca="false">SQRT((2*V434*Weeks_Per_Year*F434)/(E434*Holding_Rate))</f>
        <v>334.032381033557</v>
      </c>
      <c r="AA434" s="46" t="n">
        <f aca="false">ROUNDUP(Z434/G434,0)*G434</f>
        <v>340</v>
      </c>
      <c r="AB434" s="46" t="n">
        <f aca="false">SUMIFS(AF$421:AF433,$B$421:$B433,$B434-$D434)</f>
        <v>0</v>
      </c>
      <c r="AC434" s="46" t="n">
        <f aca="false">AI433+AB434</f>
        <v>199</v>
      </c>
      <c r="AD434" s="46" t="n">
        <f aca="false">SUMIFS(AF$421:AF433,$B$421:$B433,"&gt;"&amp;($B434-$D434))</f>
        <v>340</v>
      </c>
      <c r="AE434" s="46" t="n">
        <f aca="false">AC434+AD434</f>
        <v>539</v>
      </c>
      <c r="AF434" s="47" t="n">
        <f aca="false">IF(AE434&lt;=Y434,AA434,0)</f>
        <v>0</v>
      </c>
      <c r="AG434" s="46" t="n">
        <f aca="false">MIN(AC434,I434)</f>
        <v>95</v>
      </c>
      <c r="AH434" s="46" t="n">
        <f aca="false">I434-AG434</f>
        <v>0</v>
      </c>
      <c r="AI434" s="46" t="n">
        <f aca="false">AC434-AG434</f>
        <v>104</v>
      </c>
      <c r="AJ434" s="46" t="n">
        <f aca="false">IF(AH434&gt;0,1,0)</f>
        <v>0</v>
      </c>
    </row>
    <row r="435" customFormat="false" ht="15" hidden="false" customHeight="false" outlineLevel="0" collapsed="false">
      <c r="A435" s="31" t="str">
        <f aca="false">Inputs!$B$63</f>
        <v>BED-004</v>
      </c>
      <c r="B435" s="46" t="n">
        <f aca="false">B434+1</f>
        <v>103</v>
      </c>
      <c r="C435" s="46" t="n">
        <f aca="false">MATCH(A435,Inputs!$B$40:$B$87,0)</f>
        <v>24</v>
      </c>
      <c r="D435" s="32" t="n">
        <f aca="false">INDEX(Inputs!$F$40:$F$87,C435)</f>
        <v>4</v>
      </c>
      <c r="E435" s="78" t="n">
        <f aca="false">INDEX(Inputs!$H$40:$H$87,C435)</f>
        <v>19</v>
      </c>
      <c r="F435" s="78" t="n">
        <f aca="false">INDEX(Inputs!$G$40:$G$87,C435)</f>
        <v>55</v>
      </c>
      <c r="G435" s="32" t="n">
        <f aca="false">INDEX(Inputs!$I$40:$I$87,C435)</f>
        <v>10</v>
      </c>
      <c r="H435" s="46" t="n">
        <f aca="false">MATCH(A435,Demand_History!$C:$C,0)+B435-1</f>
        <v>2496</v>
      </c>
      <c r="I435" s="32" t="n">
        <f aca="false">INDEX(Forecast_Walkforward!$C:$C,H435)</f>
        <v>86</v>
      </c>
      <c r="J435" s="79" t="n">
        <f aca="false">INDEX(Forecast_Walkforward!$E:$E,H435)</f>
        <v>80.5</v>
      </c>
      <c r="K435" s="33" t="n">
        <f aca="false">Baseline_Weeks*J435</f>
        <v>322</v>
      </c>
      <c r="L435" s="46" t="n">
        <f aca="false">SUMIFS(P$421:P434,$B$421:$B434,$B435-$D435)</f>
        <v>40</v>
      </c>
      <c r="M435" s="46" t="n">
        <f aca="false">S434+L435</f>
        <v>40</v>
      </c>
      <c r="N435" s="46" t="n">
        <f aca="false">SUMIFS(P$421:P434,$B$421:$B434,"&gt;"&amp;($B435-$D435))</f>
        <v>170</v>
      </c>
      <c r="O435" s="46" t="n">
        <f aca="false">M435+N435</f>
        <v>210</v>
      </c>
      <c r="P435" s="47" t="n">
        <f aca="false">IF(O435&lt;K435,ROUNDUP((K435-O435)/G435,0)*G435,0)</f>
        <v>120</v>
      </c>
      <c r="Q435" s="46" t="n">
        <f aca="false">MIN(M435,I435)</f>
        <v>40</v>
      </c>
      <c r="R435" s="46" t="n">
        <f aca="false">I435-Q435</f>
        <v>46</v>
      </c>
      <c r="S435" s="46" t="n">
        <f aca="false">M435-Q435</f>
        <v>0</v>
      </c>
      <c r="T435" s="46" t="n">
        <f aca="false">IF(R435&gt;0,1,0)</f>
        <v>1</v>
      </c>
      <c r="U435" s="32" t="n">
        <f aca="false">INDEX(Forecast!$AY$7:$AY$54,C435)</f>
        <v>3</v>
      </c>
      <c r="V435" s="33" t="n">
        <f aca="false">CHOOSE(U435,INDEX(Forecast_Walkforward!$D:$D,H435),INDEX(Forecast_Walkforward!$E:$E,H435),INDEX(Forecast_Walkforward!$F:$F,H435),INDEX(Forecast_Walkforward!$G:$G,H435))</f>
        <v>76.75</v>
      </c>
      <c r="W435" s="79" t="n">
        <f aca="false">INDEX(Forecast!$BA$7:$BA$54,C435)</f>
        <v>8.83544122733832</v>
      </c>
      <c r="X435" s="33" t="n">
        <f aca="false">Z_Value*W435*SQRT(D435)</f>
        <v>29.066015097008</v>
      </c>
      <c r="Y435" s="33" t="n">
        <f aca="false">V435*D435+X435</f>
        <v>336.066015097008</v>
      </c>
      <c r="Z435" s="33" t="n">
        <f aca="false">SQRT((2*V435*Weeks_Per_Year*F435)/(E435*Holding_Rate))</f>
        <v>339.895494775116</v>
      </c>
      <c r="AA435" s="46" t="n">
        <f aca="false">ROUNDUP(Z435/G435,0)*G435</f>
        <v>340</v>
      </c>
      <c r="AB435" s="46" t="n">
        <f aca="false">SUMIFS(AF$421:AF434,$B$421:$B434,$B435-$D435)</f>
        <v>0</v>
      </c>
      <c r="AC435" s="46" t="n">
        <f aca="false">AI434+AB435</f>
        <v>104</v>
      </c>
      <c r="AD435" s="46" t="n">
        <f aca="false">SUMIFS(AF$421:AF434,$B$421:$B434,"&gt;"&amp;($B435-$D435))</f>
        <v>340</v>
      </c>
      <c r="AE435" s="46" t="n">
        <f aca="false">AC435+AD435</f>
        <v>444</v>
      </c>
      <c r="AF435" s="47" t="n">
        <f aca="false">IF(AE435&lt;=Y435,AA435,0)</f>
        <v>0</v>
      </c>
      <c r="AG435" s="46" t="n">
        <f aca="false">MIN(AC435,I435)</f>
        <v>86</v>
      </c>
      <c r="AH435" s="46" t="n">
        <f aca="false">I435-AG435</f>
        <v>0</v>
      </c>
      <c r="AI435" s="46" t="n">
        <f aca="false">AC435-AG435</f>
        <v>18</v>
      </c>
      <c r="AJ435" s="46" t="n">
        <f aca="false">IF(AH435&gt;0,1,0)</f>
        <v>0</v>
      </c>
    </row>
    <row r="436" customFormat="false" ht="15" hidden="false" customHeight="false" outlineLevel="0" collapsed="false">
      <c r="A436" s="80" t="str">
        <f aca="false">Inputs!$B$63</f>
        <v>BED-004</v>
      </c>
      <c r="B436" s="81" t="n">
        <f aca="false">B435+1</f>
        <v>104</v>
      </c>
      <c r="C436" s="81" t="n">
        <f aca="false">MATCH(A436,Inputs!$B$40:$B$87,0)</f>
        <v>24</v>
      </c>
      <c r="D436" s="82" t="n">
        <f aca="false">INDEX(Inputs!$F$40:$F$87,C436)</f>
        <v>4</v>
      </c>
      <c r="E436" s="83" t="n">
        <f aca="false">INDEX(Inputs!$H$40:$H$87,C436)</f>
        <v>19</v>
      </c>
      <c r="F436" s="83" t="n">
        <f aca="false">INDEX(Inputs!$G$40:$G$87,C436)</f>
        <v>55</v>
      </c>
      <c r="G436" s="82" t="n">
        <f aca="false">INDEX(Inputs!$I$40:$I$87,C436)</f>
        <v>10</v>
      </c>
      <c r="H436" s="81" t="n">
        <f aca="false">MATCH(A436,Demand_History!$C:$C,0)+B436-1</f>
        <v>2497</v>
      </c>
      <c r="I436" s="82" t="n">
        <f aca="false">INDEX(Forecast_Walkforward!$C:$C,H436)</f>
        <v>73</v>
      </c>
      <c r="J436" s="84" t="n">
        <f aca="false">INDEX(Forecast_Walkforward!$E:$E,H436)</f>
        <v>80.5</v>
      </c>
      <c r="K436" s="85" t="n">
        <f aca="false">Baseline_Weeks*J436</f>
        <v>322</v>
      </c>
      <c r="L436" s="81" t="n">
        <f aca="false">SUMIFS(P$421:P435,$B$421:$B435,$B436-$D436)</f>
        <v>100</v>
      </c>
      <c r="M436" s="81" t="n">
        <f aca="false">S435+L436</f>
        <v>100</v>
      </c>
      <c r="N436" s="81" t="n">
        <f aca="false">SUMIFS(P$421:P435,$B$421:$B435,"&gt;"&amp;($B436-$D436))</f>
        <v>190</v>
      </c>
      <c r="O436" s="81" t="n">
        <f aca="false">M436+N436</f>
        <v>290</v>
      </c>
      <c r="P436" s="86" t="n">
        <f aca="false">IF(O436&lt;K436,ROUNDUP((K436-O436)/G436,0)*G436,0)</f>
        <v>40</v>
      </c>
      <c r="Q436" s="81" t="n">
        <f aca="false">MIN(M436,I436)</f>
        <v>73</v>
      </c>
      <c r="R436" s="81" t="n">
        <f aca="false">I436-Q436</f>
        <v>0</v>
      </c>
      <c r="S436" s="81" t="n">
        <f aca="false">M436-Q436</f>
        <v>27</v>
      </c>
      <c r="T436" s="81" t="n">
        <f aca="false">IF(R436&gt;0,1,0)</f>
        <v>0</v>
      </c>
      <c r="U436" s="82" t="n">
        <f aca="false">INDEX(Forecast!$AY$7:$AY$54,C436)</f>
        <v>3</v>
      </c>
      <c r="V436" s="85" t="n">
        <f aca="false">CHOOSE(U436,INDEX(Forecast_Walkforward!$D:$D,H436),INDEX(Forecast_Walkforward!$E:$E,H436),INDEX(Forecast_Walkforward!$F:$F,H436),INDEX(Forecast_Walkforward!$G:$G,H436))</f>
        <v>78.25</v>
      </c>
      <c r="W436" s="84" t="n">
        <f aca="false">INDEX(Forecast!$BA$7:$BA$54,C436)</f>
        <v>8.83544122733832</v>
      </c>
      <c r="X436" s="85" t="n">
        <f aca="false">Z_Value*W436*SQRT(D436)</f>
        <v>29.066015097008</v>
      </c>
      <c r="Y436" s="85" t="n">
        <f aca="false">V436*D436+X436</f>
        <v>342.066015097008</v>
      </c>
      <c r="Z436" s="85" t="n">
        <f aca="false">SQRT((2*V436*Weeks_Per_Year*F436)/(E436*Holding_Rate))</f>
        <v>343.200877191861</v>
      </c>
      <c r="AA436" s="81" t="n">
        <f aca="false">ROUNDUP(Z436/G436,0)*G436</f>
        <v>350</v>
      </c>
      <c r="AB436" s="81" t="n">
        <f aca="false">SUMIFS(AF$421:AF435,$B$421:$B435,$B436-$D436)</f>
        <v>0</v>
      </c>
      <c r="AC436" s="81" t="n">
        <f aca="false">AI435+AB436</f>
        <v>18</v>
      </c>
      <c r="AD436" s="81" t="n">
        <f aca="false">SUMIFS(AF$421:AF435,$B$421:$B435,"&gt;"&amp;($B436-$D436))</f>
        <v>340</v>
      </c>
      <c r="AE436" s="81" t="n">
        <f aca="false">AC436+AD436</f>
        <v>358</v>
      </c>
      <c r="AF436" s="86" t="n">
        <f aca="false">IF(AE436&lt;=Y436,AA436,0)</f>
        <v>0</v>
      </c>
      <c r="AG436" s="81" t="n">
        <f aca="false">MIN(AC436,I436)</f>
        <v>18</v>
      </c>
      <c r="AH436" s="81" t="n">
        <f aca="false">I436-AG436</f>
        <v>55</v>
      </c>
      <c r="AI436" s="81" t="n">
        <f aca="false">AC436-AG436</f>
        <v>0</v>
      </c>
      <c r="AJ436" s="81" t="n">
        <f aca="false">IF(AH436&gt;0,1,0)</f>
        <v>1</v>
      </c>
    </row>
    <row r="437" customFormat="false" ht="15" hidden="false" customHeight="false" outlineLevel="0" collapsed="false">
      <c r="A437" s="31" t="str">
        <f aca="false">Inputs!$B$64</f>
        <v>BED-005</v>
      </c>
      <c r="B437" s="46" t="n">
        <f aca="false">BT_Start_Week</f>
        <v>89</v>
      </c>
      <c r="C437" s="46" t="n">
        <f aca="false">MATCH(A437,Inputs!$B$40:$B$87,0)</f>
        <v>25</v>
      </c>
      <c r="D437" s="32" t="n">
        <f aca="false">INDEX(Inputs!$F$40:$F$87,C437)</f>
        <v>4</v>
      </c>
      <c r="E437" s="78" t="n">
        <f aca="false">INDEX(Inputs!$H$40:$H$87,C437)</f>
        <v>65</v>
      </c>
      <c r="F437" s="78" t="n">
        <f aca="false">INDEX(Inputs!$G$40:$G$87,C437)</f>
        <v>55</v>
      </c>
      <c r="G437" s="32" t="n">
        <f aca="false">INDEX(Inputs!$I$40:$I$87,C437)</f>
        <v>2</v>
      </c>
      <c r="H437" s="46" t="n">
        <f aca="false">MATCH(A437,Demand_History!$C:$C,0)+B437-1</f>
        <v>2586</v>
      </c>
      <c r="I437" s="32" t="n">
        <f aca="false">INDEX(Forecast_Walkforward!$C:$C,H437)</f>
        <v>13</v>
      </c>
      <c r="J437" s="79" t="n">
        <f aca="false">INDEX(Forecast_Walkforward!$E:$E,H437)</f>
        <v>14.25</v>
      </c>
      <c r="K437" s="33" t="n">
        <f aca="false">Baseline_Weeks*J437</f>
        <v>57</v>
      </c>
      <c r="L437" s="46" t="n">
        <f aca="false">0</f>
        <v>0</v>
      </c>
      <c r="M437" s="46" t="n">
        <f aca="false">ROUND(BT_Open_Cover*INDEX(Forecast_Walkforward!$F:$F,H437),0)+L437</f>
        <v>83</v>
      </c>
      <c r="N437" s="46" t="n">
        <f aca="false">0</f>
        <v>0</v>
      </c>
      <c r="O437" s="46" t="n">
        <f aca="false">M437+N437</f>
        <v>83</v>
      </c>
      <c r="P437" s="47" t="n">
        <f aca="false">IF(O437&lt;K437,ROUNDUP((K437-O437)/G437,0)*G437,0)</f>
        <v>0</v>
      </c>
      <c r="Q437" s="46" t="n">
        <f aca="false">MIN(M437,I437)</f>
        <v>13</v>
      </c>
      <c r="R437" s="46" t="n">
        <f aca="false">I437-Q437</f>
        <v>0</v>
      </c>
      <c r="S437" s="46" t="n">
        <f aca="false">M437-Q437</f>
        <v>70</v>
      </c>
      <c r="T437" s="46" t="n">
        <f aca="false">IF(R437&gt;0,1,0)</f>
        <v>0</v>
      </c>
      <c r="U437" s="32" t="n">
        <f aca="false">INDEX(Forecast!$AY$7:$AY$54,C437)</f>
        <v>2</v>
      </c>
      <c r="V437" s="33" t="n">
        <f aca="false">CHOOSE(U437,INDEX(Forecast_Walkforward!$D:$D,H437),INDEX(Forecast_Walkforward!$E:$E,H437),INDEX(Forecast_Walkforward!$F:$F,H437),INDEX(Forecast_Walkforward!$G:$G,H437))</f>
        <v>14.25</v>
      </c>
      <c r="W437" s="79" t="n">
        <f aca="false">INDEX(Forecast!$BA$7:$BA$54,C437)</f>
        <v>2.72266338859614</v>
      </c>
      <c r="X437" s="33" t="n">
        <f aca="false">Z_Value*W437*SQRT(D437)</f>
        <v>8.95676549940069</v>
      </c>
      <c r="Y437" s="33" t="n">
        <f aca="false">V437*D437+X437</f>
        <v>65.9567654994007</v>
      </c>
      <c r="Z437" s="33" t="n">
        <f aca="false">SQRT((2*V437*Weeks_Per_Year*F437)/(E437*Holding_Rate))</f>
        <v>79.1833315793166</v>
      </c>
      <c r="AA437" s="46" t="n">
        <f aca="false">ROUNDUP(Z437/G437,0)*G437</f>
        <v>80</v>
      </c>
      <c r="AB437" s="46" t="n">
        <f aca="false">0</f>
        <v>0</v>
      </c>
      <c r="AC437" s="46" t="n">
        <f aca="false">ROUND(BT_Open_Cover*INDEX(Forecast_Walkforward!$F:$F,H437),0)+AB437</f>
        <v>83</v>
      </c>
      <c r="AD437" s="46" t="n">
        <f aca="false">0</f>
        <v>0</v>
      </c>
      <c r="AE437" s="46" t="n">
        <f aca="false">AC437+AD437</f>
        <v>83</v>
      </c>
      <c r="AF437" s="47" t="n">
        <f aca="false">IF(AE437&lt;=Y437,AA437,0)</f>
        <v>0</v>
      </c>
      <c r="AG437" s="46" t="n">
        <f aca="false">MIN(AC437,I437)</f>
        <v>13</v>
      </c>
      <c r="AH437" s="46" t="n">
        <f aca="false">I437-AG437</f>
        <v>0</v>
      </c>
      <c r="AI437" s="46" t="n">
        <f aca="false">AC437-AG437</f>
        <v>70</v>
      </c>
      <c r="AJ437" s="46" t="n">
        <f aca="false">IF(AH437&gt;0,1,0)</f>
        <v>0</v>
      </c>
    </row>
    <row r="438" customFormat="false" ht="15" hidden="false" customHeight="false" outlineLevel="0" collapsed="false">
      <c r="A438" s="31" t="str">
        <f aca="false">Inputs!$B$64</f>
        <v>BED-005</v>
      </c>
      <c r="B438" s="46" t="n">
        <f aca="false">B437+1</f>
        <v>90</v>
      </c>
      <c r="C438" s="46" t="n">
        <f aca="false">MATCH(A438,Inputs!$B$40:$B$87,0)</f>
        <v>25</v>
      </c>
      <c r="D438" s="32" t="n">
        <f aca="false">INDEX(Inputs!$F$40:$F$87,C438)</f>
        <v>4</v>
      </c>
      <c r="E438" s="78" t="n">
        <f aca="false">INDEX(Inputs!$H$40:$H$87,C438)</f>
        <v>65</v>
      </c>
      <c r="F438" s="78" t="n">
        <f aca="false">INDEX(Inputs!$G$40:$G$87,C438)</f>
        <v>55</v>
      </c>
      <c r="G438" s="32" t="n">
        <f aca="false">INDEX(Inputs!$I$40:$I$87,C438)</f>
        <v>2</v>
      </c>
      <c r="H438" s="46" t="n">
        <f aca="false">MATCH(A438,Demand_History!$C:$C,0)+B438-1</f>
        <v>2587</v>
      </c>
      <c r="I438" s="32" t="n">
        <f aca="false">INDEX(Forecast_Walkforward!$C:$C,H438)</f>
        <v>11</v>
      </c>
      <c r="J438" s="79" t="n">
        <f aca="false">INDEX(Forecast_Walkforward!$E:$E,H438)</f>
        <v>12.75</v>
      </c>
      <c r="K438" s="33" t="n">
        <f aca="false">Baseline_Weeks*J438</f>
        <v>51</v>
      </c>
      <c r="L438" s="46" t="n">
        <f aca="false">SUMIFS(P$437:P437,$B$437:$B437,$B438-$D438)</f>
        <v>0</v>
      </c>
      <c r="M438" s="46" t="n">
        <f aca="false">S437+L438</f>
        <v>70</v>
      </c>
      <c r="N438" s="46" t="n">
        <f aca="false">SUMIFS(P$437:P437,$B$437:$B437,"&gt;"&amp;($B438-$D438))</f>
        <v>0</v>
      </c>
      <c r="O438" s="46" t="n">
        <f aca="false">M438+N438</f>
        <v>70</v>
      </c>
      <c r="P438" s="47" t="n">
        <f aca="false">IF(O438&lt;K438,ROUNDUP((K438-O438)/G438,0)*G438,0)</f>
        <v>0</v>
      </c>
      <c r="Q438" s="46" t="n">
        <f aca="false">MIN(M438,I438)</f>
        <v>11</v>
      </c>
      <c r="R438" s="46" t="n">
        <f aca="false">I438-Q438</f>
        <v>0</v>
      </c>
      <c r="S438" s="46" t="n">
        <f aca="false">M438-Q438</f>
        <v>59</v>
      </c>
      <c r="T438" s="46" t="n">
        <f aca="false">IF(R438&gt;0,1,0)</f>
        <v>0</v>
      </c>
      <c r="U438" s="32" t="n">
        <f aca="false">INDEX(Forecast!$AY$7:$AY$54,C438)</f>
        <v>2</v>
      </c>
      <c r="V438" s="33" t="n">
        <f aca="false">CHOOSE(U438,INDEX(Forecast_Walkforward!$D:$D,H438),INDEX(Forecast_Walkforward!$E:$E,H438),INDEX(Forecast_Walkforward!$F:$F,H438),INDEX(Forecast_Walkforward!$G:$G,H438))</f>
        <v>12.75</v>
      </c>
      <c r="W438" s="79" t="n">
        <f aca="false">INDEX(Forecast!$BA$7:$BA$54,C438)</f>
        <v>2.72266338859614</v>
      </c>
      <c r="X438" s="33" t="n">
        <f aca="false">Z_Value*W438*SQRT(D438)</f>
        <v>8.95676549940069</v>
      </c>
      <c r="Y438" s="33" t="n">
        <f aca="false">V438*D438+X438</f>
        <v>59.9567654994007</v>
      </c>
      <c r="Z438" s="33" t="n">
        <f aca="false">SQRT((2*V438*Weeks_Per_Year*F438)/(E438*Holding_Rate))</f>
        <v>74.899933244296</v>
      </c>
      <c r="AA438" s="46" t="n">
        <f aca="false">ROUNDUP(Z438/G438,0)*G438</f>
        <v>76</v>
      </c>
      <c r="AB438" s="46" t="n">
        <f aca="false">SUMIFS(AF$437:AF437,$B$437:$B437,$B438-$D438)</f>
        <v>0</v>
      </c>
      <c r="AC438" s="46" t="n">
        <f aca="false">AI437+AB438</f>
        <v>70</v>
      </c>
      <c r="AD438" s="46" t="n">
        <f aca="false">SUMIFS(AF$437:AF437,$B$437:$B437,"&gt;"&amp;($B438-$D438))</f>
        <v>0</v>
      </c>
      <c r="AE438" s="46" t="n">
        <f aca="false">AC438+AD438</f>
        <v>70</v>
      </c>
      <c r="AF438" s="47" t="n">
        <f aca="false">IF(AE438&lt;=Y438,AA438,0)</f>
        <v>0</v>
      </c>
      <c r="AG438" s="46" t="n">
        <f aca="false">MIN(AC438,I438)</f>
        <v>11</v>
      </c>
      <c r="AH438" s="46" t="n">
        <f aca="false">I438-AG438</f>
        <v>0</v>
      </c>
      <c r="AI438" s="46" t="n">
        <f aca="false">AC438-AG438</f>
        <v>59</v>
      </c>
      <c r="AJ438" s="46" t="n">
        <f aca="false">IF(AH438&gt;0,1,0)</f>
        <v>0</v>
      </c>
    </row>
    <row r="439" customFormat="false" ht="15" hidden="false" customHeight="false" outlineLevel="0" collapsed="false">
      <c r="A439" s="31" t="str">
        <f aca="false">Inputs!$B$64</f>
        <v>BED-005</v>
      </c>
      <c r="B439" s="46" t="n">
        <f aca="false">B438+1</f>
        <v>91</v>
      </c>
      <c r="C439" s="46" t="n">
        <f aca="false">MATCH(A439,Inputs!$B$40:$B$87,0)</f>
        <v>25</v>
      </c>
      <c r="D439" s="32" t="n">
        <f aca="false">INDEX(Inputs!$F$40:$F$87,C439)</f>
        <v>4</v>
      </c>
      <c r="E439" s="78" t="n">
        <f aca="false">INDEX(Inputs!$H$40:$H$87,C439)</f>
        <v>65</v>
      </c>
      <c r="F439" s="78" t="n">
        <f aca="false">INDEX(Inputs!$G$40:$G$87,C439)</f>
        <v>55</v>
      </c>
      <c r="G439" s="32" t="n">
        <f aca="false">INDEX(Inputs!$I$40:$I$87,C439)</f>
        <v>2</v>
      </c>
      <c r="H439" s="46" t="n">
        <f aca="false">MATCH(A439,Demand_History!$C:$C,0)+B439-1</f>
        <v>2588</v>
      </c>
      <c r="I439" s="32" t="n">
        <f aca="false">INDEX(Forecast_Walkforward!$C:$C,H439)</f>
        <v>15</v>
      </c>
      <c r="J439" s="79" t="n">
        <f aca="false">INDEX(Forecast_Walkforward!$E:$E,H439)</f>
        <v>12.25</v>
      </c>
      <c r="K439" s="33" t="n">
        <f aca="false">Baseline_Weeks*J439</f>
        <v>49</v>
      </c>
      <c r="L439" s="46" t="n">
        <f aca="false">SUMIFS(P$437:P438,$B$437:$B438,$B439-$D439)</f>
        <v>0</v>
      </c>
      <c r="M439" s="46" t="n">
        <f aca="false">S438+L439</f>
        <v>59</v>
      </c>
      <c r="N439" s="46" t="n">
        <f aca="false">SUMIFS(P$437:P438,$B$437:$B438,"&gt;"&amp;($B439-$D439))</f>
        <v>0</v>
      </c>
      <c r="O439" s="46" t="n">
        <f aca="false">M439+N439</f>
        <v>59</v>
      </c>
      <c r="P439" s="47" t="n">
        <f aca="false">IF(O439&lt;K439,ROUNDUP((K439-O439)/G439,0)*G439,0)</f>
        <v>0</v>
      </c>
      <c r="Q439" s="46" t="n">
        <f aca="false">MIN(M439,I439)</f>
        <v>15</v>
      </c>
      <c r="R439" s="46" t="n">
        <f aca="false">I439-Q439</f>
        <v>0</v>
      </c>
      <c r="S439" s="46" t="n">
        <f aca="false">M439-Q439</f>
        <v>44</v>
      </c>
      <c r="T439" s="46" t="n">
        <f aca="false">IF(R439&gt;0,1,0)</f>
        <v>0</v>
      </c>
      <c r="U439" s="32" t="n">
        <f aca="false">INDEX(Forecast!$AY$7:$AY$54,C439)</f>
        <v>2</v>
      </c>
      <c r="V439" s="33" t="n">
        <f aca="false">CHOOSE(U439,INDEX(Forecast_Walkforward!$D:$D,H439),INDEX(Forecast_Walkforward!$E:$E,H439),INDEX(Forecast_Walkforward!$F:$F,H439),INDEX(Forecast_Walkforward!$G:$G,H439))</f>
        <v>12.25</v>
      </c>
      <c r="W439" s="79" t="n">
        <f aca="false">INDEX(Forecast!$BA$7:$BA$54,C439)</f>
        <v>2.72266338859614</v>
      </c>
      <c r="X439" s="33" t="n">
        <f aca="false">Z_Value*W439*SQRT(D439)</f>
        <v>8.95676549940069</v>
      </c>
      <c r="Y439" s="33" t="n">
        <f aca="false">V439*D439+X439</f>
        <v>57.9567654994007</v>
      </c>
      <c r="Z439" s="33" t="n">
        <f aca="false">SQRT((2*V439*Weeks_Per_Year*F439)/(E439*Holding_Rate))</f>
        <v>73.4166193719106</v>
      </c>
      <c r="AA439" s="46" t="n">
        <f aca="false">ROUNDUP(Z439/G439,0)*G439</f>
        <v>74</v>
      </c>
      <c r="AB439" s="46" t="n">
        <f aca="false">SUMIFS(AF$437:AF438,$B$437:$B438,$B439-$D439)</f>
        <v>0</v>
      </c>
      <c r="AC439" s="46" t="n">
        <f aca="false">AI438+AB439</f>
        <v>59</v>
      </c>
      <c r="AD439" s="46" t="n">
        <f aca="false">SUMIFS(AF$437:AF438,$B$437:$B438,"&gt;"&amp;($B439-$D439))</f>
        <v>0</v>
      </c>
      <c r="AE439" s="46" t="n">
        <f aca="false">AC439+AD439</f>
        <v>59</v>
      </c>
      <c r="AF439" s="47" t="n">
        <f aca="false">IF(AE439&lt;=Y439,AA439,0)</f>
        <v>0</v>
      </c>
      <c r="AG439" s="46" t="n">
        <f aca="false">MIN(AC439,I439)</f>
        <v>15</v>
      </c>
      <c r="AH439" s="46" t="n">
        <f aca="false">I439-AG439</f>
        <v>0</v>
      </c>
      <c r="AI439" s="46" t="n">
        <f aca="false">AC439-AG439</f>
        <v>44</v>
      </c>
      <c r="AJ439" s="46" t="n">
        <f aca="false">IF(AH439&gt;0,1,0)</f>
        <v>0</v>
      </c>
    </row>
    <row r="440" customFormat="false" ht="15" hidden="false" customHeight="false" outlineLevel="0" collapsed="false">
      <c r="A440" s="31" t="str">
        <f aca="false">Inputs!$B$64</f>
        <v>BED-005</v>
      </c>
      <c r="B440" s="46" t="n">
        <f aca="false">B439+1</f>
        <v>92</v>
      </c>
      <c r="C440" s="46" t="n">
        <f aca="false">MATCH(A440,Inputs!$B$40:$B$87,0)</f>
        <v>25</v>
      </c>
      <c r="D440" s="32" t="n">
        <f aca="false">INDEX(Inputs!$F$40:$F$87,C440)</f>
        <v>4</v>
      </c>
      <c r="E440" s="78" t="n">
        <f aca="false">INDEX(Inputs!$H$40:$H$87,C440)</f>
        <v>65</v>
      </c>
      <c r="F440" s="78" t="n">
        <f aca="false">INDEX(Inputs!$G$40:$G$87,C440)</f>
        <v>55</v>
      </c>
      <c r="G440" s="32" t="n">
        <f aca="false">INDEX(Inputs!$I$40:$I$87,C440)</f>
        <v>2</v>
      </c>
      <c r="H440" s="46" t="n">
        <f aca="false">MATCH(A440,Demand_History!$C:$C,0)+B440-1</f>
        <v>2589</v>
      </c>
      <c r="I440" s="32" t="n">
        <f aca="false">INDEX(Forecast_Walkforward!$C:$C,H440)</f>
        <v>13</v>
      </c>
      <c r="J440" s="79" t="n">
        <f aca="false">INDEX(Forecast_Walkforward!$E:$E,H440)</f>
        <v>12.5</v>
      </c>
      <c r="K440" s="33" t="n">
        <f aca="false">Baseline_Weeks*J440</f>
        <v>50</v>
      </c>
      <c r="L440" s="46" t="n">
        <f aca="false">SUMIFS(P$437:P439,$B$437:$B439,$B440-$D440)</f>
        <v>0</v>
      </c>
      <c r="M440" s="46" t="n">
        <f aca="false">S439+L440</f>
        <v>44</v>
      </c>
      <c r="N440" s="46" t="n">
        <f aca="false">SUMIFS(P$437:P439,$B$437:$B439,"&gt;"&amp;($B440-$D440))</f>
        <v>0</v>
      </c>
      <c r="O440" s="46" t="n">
        <f aca="false">M440+N440</f>
        <v>44</v>
      </c>
      <c r="P440" s="47" t="n">
        <f aca="false">IF(O440&lt;K440,ROUNDUP((K440-O440)/G440,0)*G440,0)</f>
        <v>6</v>
      </c>
      <c r="Q440" s="46" t="n">
        <f aca="false">MIN(M440,I440)</f>
        <v>13</v>
      </c>
      <c r="R440" s="46" t="n">
        <f aca="false">I440-Q440</f>
        <v>0</v>
      </c>
      <c r="S440" s="46" t="n">
        <f aca="false">M440-Q440</f>
        <v>31</v>
      </c>
      <c r="T440" s="46" t="n">
        <f aca="false">IF(R440&gt;0,1,0)</f>
        <v>0</v>
      </c>
      <c r="U440" s="32" t="n">
        <f aca="false">INDEX(Forecast!$AY$7:$AY$54,C440)</f>
        <v>2</v>
      </c>
      <c r="V440" s="33" t="n">
        <f aca="false">CHOOSE(U440,INDEX(Forecast_Walkforward!$D:$D,H440),INDEX(Forecast_Walkforward!$E:$E,H440),INDEX(Forecast_Walkforward!$F:$F,H440),INDEX(Forecast_Walkforward!$G:$G,H440))</f>
        <v>12.5</v>
      </c>
      <c r="W440" s="79" t="n">
        <f aca="false">INDEX(Forecast!$BA$7:$BA$54,C440)</f>
        <v>2.72266338859614</v>
      </c>
      <c r="X440" s="33" t="n">
        <f aca="false">Z_Value*W440*SQRT(D440)</f>
        <v>8.95676549940069</v>
      </c>
      <c r="Y440" s="33" t="n">
        <f aca="false">V440*D440+X440</f>
        <v>58.9567654994007</v>
      </c>
      <c r="Z440" s="33" t="n">
        <f aca="false">SQRT((2*V440*Weeks_Per_Year*F440)/(E440*Holding_Rate))</f>
        <v>74.1619848709566</v>
      </c>
      <c r="AA440" s="46" t="n">
        <f aca="false">ROUNDUP(Z440/G440,0)*G440</f>
        <v>76</v>
      </c>
      <c r="AB440" s="46" t="n">
        <f aca="false">SUMIFS(AF$437:AF439,$B$437:$B439,$B440-$D440)</f>
        <v>0</v>
      </c>
      <c r="AC440" s="46" t="n">
        <f aca="false">AI439+AB440</f>
        <v>44</v>
      </c>
      <c r="AD440" s="46" t="n">
        <f aca="false">SUMIFS(AF$437:AF439,$B$437:$B439,"&gt;"&amp;($B440-$D440))</f>
        <v>0</v>
      </c>
      <c r="AE440" s="46" t="n">
        <f aca="false">AC440+AD440</f>
        <v>44</v>
      </c>
      <c r="AF440" s="47" t="n">
        <f aca="false">IF(AE440&lt;=Y440,AA440,0)</f>
        <v>76</v>
      </c>
      <c r="AG440" s="46" t="n">
        <f aca="false">MIN(AC440,I440)</f>
        <v>13</v>
      </c>
      <c r="AH440" s="46" t="n">
        <f aca="false">I440-AG440</f>
        <v>0</v>
      </c>
      <c r="AI440" s="46" t="n">
        <f aca="false">AC440-AG440</f>
        <v>31</v>
      </c>
      <c r="AJ440" s="46" t="n">
        <f aca="false">IF(AH440&gt;0,1,0)</f>
        <v>0</v>
      </c>
    </row>
    <row r="441" customFormat="false" ht="15" hidden="false" customHeight="false" outlineLevel="0" collapsed="false">
      <c r="A441" s="31" t="str">
        <f aca="false">Inputs!$B$64</f>
        <v>BED-005</v>
      </c>
      <c r="B441" s="46" t="n">
        <f aca="false">B440+1</f>
        <v>93</v>
      </c>
      <c r="C441" s="46" t="n">
        <f aca="false">MATCH(A441,Inputs!$B$40:$B$87,0)</f>
        <v>25</v>
      </c>
      <c r="D441" s="32" t="n">
        <f aca="false">INDEX(Inputs!$F$40:$F$87,C441)</f>
        <v>4</v>
      </c>
      <c r="E441" s="78" t="n">
        <f aca="false">INDEX(Inputs!$H$40:$H$87,C441)</f>
        <v>65</v>
      </c>
      <c r="F441" s="78" t="n">
        <f aca="false">INDEX(Inputs!$G$40:$G$87,C441)</f>
        <v>55</v>
      </c>
      <c r="G441" s="32" t="n">
        <f aca="false">INDEX(Inputs!$I$40:$I$87,C441)</f>
        <v>2</v>
      </c>
      <c r="H441" s="46" t="n">
        <f aca="false">MATCH(A441,Demand_History!$C:$C,0)+B441-1</f>
        <v>2590</v>
      </c>
      <c r="I441" s="32" t="n">
        <f aca="false">INDEX(Forecast_Walkforward!$C:$C,H441)</f>
        <v>14</v>
      </c>
      <c r="J441" s="79" t="n">
        <f aca="false">INDEX(Forecast_Walkforward!$E:$E,H441)</f>
        <v>13</v>
      </c>
      <c r="K441" s="33" t="n">
        <f aca="false">Baseline_Weeks*J441</f>
        <v>52</v>
      </c>
      <c r="L441" s="46" t="n">
        <f aca="false">SUMIFS(P$437:P440,$B$437:$B440,$B441-$D441)</f>
        <v>0</v>
      </c>
      <c r="M441" s="46" t="n">
        <f aca="false">S440+L441</f>
        <v>31</v>
      </c>
      <c r="N441" s="46" t="n">
        <f aca="false">SUMIFS(P$437:P440,$B$437:$B440,"&gt;"&amp;($B441-$D441))</f>
        <v>6</v>
      </c>
      <c r="O441" s="46" t="n">
        <f aca="false">M441+N441</f>
        <v>37</v>
      </c>
      <c r="P441" s="47" t="n">
        <f aca="false">IF(O441&lt;K441,ROUNDUP((K441-O441)/G441,0)*G441,0)</f>
        <v>16</v>
      </c>
      <c r="Q441" s="46" t="n">
        <f aca="false">MIN(M441,I441)</f>
        <v>14</v>
      </c>
      <c r="R441" s="46" t="n">
        <f aca="false">I441-Q441</f>
        <v>0</v>
      </c>
      <c r="S441" s="46" t="n">
        <f aca="false">M441-Q441</f>
        <v>17</v>
      </c>
      <c r="T441" s="46" t="n">
        <f aca="false">IF(R441&gt;0,1,0)</f>
        <v>0</v>
      </c>
      <c r="U441" s="32" t="n">
        <f aca="false">INDEX(Forecast!$AY$7:$AY$54,C441)</f>
        <v>2</v>
      </c>
      <c r="V441" s="33" t="n">
        <f aca="false">CHOOSE(U441,INDEX(Forecast_Walkforward!$D:$D,H441),INDEX(Forecast_Walkforward!$E:$E,H441),INDEX(Forecast_Walkforward!$F:$F,H441),INDEX(Forecast_Walkforward!$G:$G,H441))</f>
        <v>13</v>
      </c>
      <c r="W441" s="79" t="n">
        <f aca="false">INDEX(Forecast!$BA$7:$BA$54,C441)</f>
        <v>2.72266338859614</v>
      </c>
      <c r="X441" s="33" t="n">
        <f aca="false">Z_Value*W441*SQRT(D441)</f>
        <v>8.95676549940069</v>
      </c>
      <c r="Y441" s="33" t="n">
        <f aca="false">V441*D441+X441</f>
        <v>60.9567654994007</v>
      </c>
      <c r="Z441" s="33" t="n">
        <f aca="false">SQRT((2*V441*Weeks_Per_Year*F441)/(E441*Holding_Rate))</f>
        <v>75.6306816047562</v>
      </c>
      <c r="AA441" s="46" t="n">
        <f aca="false">ROUNDUP(Z441/G441,0)*G441</f>
        <v>76</v>
      </c>
      <c r="AB441" s="46" t="n">
        <f aca="false">SUMIFS(AF$437:AF440,$B$437:$B440,$B441-$D441)</f>
        <v>0</v>
      </c>
      <c r="AC441" s="46" t="n">
        <f aca="false">AI440+AB441</f>
        <v>31</v>
      </c>
      <c r="AD441" s="46" t="n">
        <f aca="false">SUMIFS(AF$437:AF440,$B$437:$B440,"&gt;"&amp;($B441-$D441))</f>
        <v>76</v>
      </c>
      <c r="AE441" s="46" t="n">
        <f aca="false">AC441+AD441</f>
        <v>107</v>
      </c>
      <c r="AF441" s="47" t="n">
        <f aca="false">IF(AE441&lt;=Y441,AA441,0)</f>
        <v>0</v>
      </c>
      <c r="AG441" s="46" t="n">
        <f aca="false">MIN(AC441,I441)</f>
        <v>14</v>
      </c>
      <c r="AH441" s="46" t="n">
        <f aca="false">I441-AG441</f>
        <v>0</v>
      </c>
      <c r="AI441" s="46" t="n">
        <f aca="false">AC441-AG441</f>
        <v>17</v>
      </c>
      <c r="AJ441" s="46" t="n">
        <f aca="false">IF(AH441&gt;0,1,0)</f>
        <v>0</v>
      </c>
    </row>
    <row r="442" customFormat="false" ht="15" hidden="false" customHeight="false" outlineLevel="0" collapsed="false">
      <c r="A442" s="31" t="str">
        <f aca="false">Inputs!$B$64</f>
        <v>BED-005</v>
      </c>
      <c r="B442" s="46" t="n">
        <f aca="false">B441+1</f>
        <v>94</v>
      </c>
      <c r="C442" s="46" t="n">
        <f aca="false">MATCH(A442,Inputs!$B$40:$B$87,0)</f>
        <v>25</v>
      </c>
      <c r="D442" s="32" t="n">
        <f aca="false">INDEX(Inputs!$F$40:$F$87,C442)</f>
        <v>4</v>
      </c>
      <c r="E442" s="78" t="n">
        <f aca="false">INDEX(Inputs!$H$40:$H$87,C442)</f>
        <v>65</v>
      </c>
      <c r="F442" s="78" t="n">
        <f aca="false">INDEX(Inputs!$G$40:$G$87,C442)</f>
        <v>55</v>
      </c>
      <c r="G442" s="32" t="n">
        <f aca="false">INDEX(Inputs!$I$40:$I$87,C442)</f>
        <v>2</v>
      </c>
      <c r="H442" s="46" t="n">
        <f aca="false">MATCH(A442,Demand_History!$C:$C,0)+B442-1</f>
        <v>2591</v>
      </c>
      <c r="I442" s="32" t="n">
        <f aca="false">INDEX(Forecast_Walkforward!$C:$C,H442)</f>
        <v>12</v>
      </c>
      <c r="J442" s="79" t="n">
        <f aca="false">INDEX(Forecast_Walkforward!$E:$E,H442)</f>
        <v>13.25</v>
      </c>
      <c r="K442" s="33" t="n">
        <f aca="false">Baseline_Weeks*J442</f>
        <v>53</v>
      </c>
      <c r="L442" s="46" t="n">
        <f aca="false">SUMIFS(P$437:P441,$B$437:$B441,$B442-$D442)</f>
        <v>0</v>
      </c>
      <c r="M442" s="46" t="n">
        <f aca="false">S441+L442</f>
        <v>17</v>
      </c>
      <c r="N442" s="46" t="n">
        <f aca="false">SUMIFS(P$437:P441,$B$437:$B441,"&gt;"&amp;($B442-$D442))</f>
        <v>22</v>
      </c>
      <c r="O442" s="46" t="n">
        <f aca="false">M442+N442</f>
        <v>39</v>
      </c>
      <c r="P442" s="47" t="n">
        <f aca="false">IF(O442&lt;K442,ROUNDUP((K442-O442)/G442,0)*G442,0)</f>
        <v>14</v>
      </c>
      <c r="Q442" s="46" t="n">
        <f aca="false">MIN(M442,I442)</f>
        <v>12</v>
      </c>
      <c r="R442" s="46" t="n">
        <f aca="false">I442-Q442</f>
        <v>0</v>
      </c>
      <c r="S442" s="46" t="n">
        <f aca="false">M442-Q442</f>
        <v>5</v>
      </c>
      <c r="T442" s="46" t="n">
        <f aca="false">IF(R442&gt;0,1,0)</f>
        <v>0</v>
      </c>
      <c r="U442" s="32" t="n">
        <f aca="false">INDEX(Forecast!$AY$7:$AY$54,C442)</f>
        <v>2</v>
      </c>
      <c r="V442" s="33" t="n">
        <f aca="false">CHOOSE(U442,INDEX(Forecast_Walkforward!$D:$D,H442),INDEX(Forecast_Walkforward!$E:$E,H442),INDEX(Forecast_Walkforward!$F:$F,H442),INDEX(Forecast_Walkforward!$G:$G,H442))</f>
        <v>13.25</v>
      </c>
      <c r="W442" s="79" t="n">
        <f aca="false">INDEX(Forecast!$BA$7:$BA$54,C442)</f>
        <v>2.72266338859614</v>
      </c>
      <c r="X442" s="33" t="n">
        <f aca="false">Z_Value*W442*SQRT(D442)</f>
        <v>8.95676549940069</v>
      </c>
      <c r="Y442" s="33" t="n">
        <f aca="false">V442*D442+X442</f>
        <v>61.9567654994007</v>
      </c>
      <c r="Z442" s="33" t="n">
        <f aca="false">SQRT((2*V442*Weeks_Per_Year*F442)/(E442*Holding_Rate))</f>
        <v>76.3544366752843</v>
      </c>
      <c r="AA442" s="46" t="n">
        <f aca="false">ROUNDUP(Z442/G442,0)*G442</f>
        <v>78</v>
      </c>
      <c r="AB442" s="46" t="n">
        <f aca="false">SUMIFS(AF$437:AF441,$B$437:$B441,$B442-$D442)</f>
        <v>0</v>
      </c>
      <c r="AC442" s="46" t="n">
        <f aca="false">AI441+AB442</f>
        <v>17</v>
      </c>
      <c r="AD442" s="46" t="n">
        <f aca="false">SUMIFS(AF$437:AF441,$B$437:$B441,"&gt;"&amp;($B442-$D442))</f>
        <v>76</v>
      </c>
      <c r="AE442" s="46" t="n">
        <f aca="false">AC442+AD442</f>
        <v>93</v>
      </c>
      <c r="AF442" s="47" t="n">
        <f aca="false">IF(AE442&lt;=Y442,AA442,0)</f>
        <v>0</v>
      </c>
      <c r="AG442" s="46" t="n">
        <f aca="false">MIN(AC442,I442)</f>
        <v>12</v>
      </c>
      <c r="AH442" s="46" t="n">
        <f aca="false">I442-AG442</f>
        <v>0</v>
      </c>
      <c r="AI442" s="46" t="n">
        <f aca="false">AC442-AG442</f>
        <v>5</v>
      </c>
      <c r="AJ442" s="46" t="n">
        <f aca="false">IF(AH442&gt;0,1,0)</f>
        <v>0</v>
      </c>
    </row>
    <row r="443" customFormat="false" ht="15" hidden="false" customHeight="false" outlineLevel="0" collapsed="false">
      <c r="A443" s="31" t="str">
        <f aca="false">Inputs!$B$64</f>
        <v>BED-005</v>
      </c>
      <c r="B443" s="46" t="n">
        <f aca="false">B442+1</f>
        <v>95</v>
      </c>
      <c r="C443" s="46" t="n">
        <f aca="false">MATCH(A443,Inputs!$B$40:$B$87,0)</f>
        <v>25</v>
      </c>
      <c r="D443" s="32" t="n">
        <f aca="false">INDEX(Inputs!$F$40:$F$87,C443)</f>
        <v>4</v>
      </c>
      <c r="E443" s="78" t="n">
        <f aca="false">INDEX(Inputs!$H$40:$H$87,C443)</f>
        <v>65</v>
      </c>
      <c r="F443" s="78" t="n">
        <f aca="false">INDEX(Inputs!$G$40:$G$87,C443)</f>
        <v>55</v>
      </c>
      <c r="G443" s="32" t="n">
        <f aca="false">INDEX(Inputs!$I$40:$I$87,C443)</f>
        <v>2</v>
      </c>
      <c r="H443" s="46" t="n">
        <f aca="false">MATCH(A443,Demand_History!$C:$C,0)+B443-1</f>
        <v>2592</v>
      </c>
      <c r="I443" s="32" t="n">
        <f aca="false">INDEX(Forecast_Walkforward!$C:$C,H443)</f>
        <v>12</v>
      </c>
      <c r="J443" s="79" t="n">
        <f aca="false">INDEX(Forecast_Walkforward!$E:$E,H443)</f>
        <v>13.5</v>
      </c>
      <c r="K443" s="33" t="n">
        <f aca="false">Baseline_Weeks*J443</f>
        <v>54</v>
      </c>
      <c r="L443" s="46" t="n">
        <f aca="false">SUMIFS(P$437:P442,$B$437:$B442,$B443-$D443)</f>
        <v>0</v>
      </c>
      <c r="M443" s="46" t="n">
        <f aca="false">S442+L443</f>
        <v>5</v>
      </c>
      <c r="N443" s="46" t="n">
        <f aca="false">SUMIFS(P$437:P442,$B$437:$B442,"&gt;"&amp;($B443-$D443))</f>
        <v>36</v>
      </c>
      <c r="O443" s="46" t="n">
        <f aca="false">M443+N443</f>
        <v>41</v>
      </c>
      <c r="P443" s="47" t="n">
        <f aca="false">IF(O443&lt;K443,ROUNDUP((K443-O443)/G443,0)*G443,0)</f>
        <v>14</v>
      </c>
      <c r="Q443" s="46" t="n">
        <f aca="false">MIN(M443,I443)</f>
        <v>5</v>
      </c>
      <c r="R443" s="46" t="n">
        <f aca="false">I443-Q443</f>
        <v>7</v>
      </c>
      <c r="S443" s="46" t="n">
        <f aca="false">M443-Q443</f>
        <v>0</v>
      </c>
      <c r="T443" s="46" t="n">
        <f aca="false">IF(R443&gt;0,1,0)</f>
        <v>1</v>
      </c>
      <c r="U443" s="32" t="n">
        <f aca="false">INDEX(Forecast!$AY$7:$AY$54,C443)</f>
        <v>2</v>
      </c>
      <c r="V443" s="33" t="n">
        <f aca="false">CHOOSE(U443,INDEX(Forecast_Walkforward!$D:$D,H443),INDEX(Forecast_Walkforward!$E:$E,H443),INDEX(Forecast_Walkforward!$F:$F,H443),INDEX(Forecast_Walkforward!$G:$G,H443))</f>
        <v>13.5</v>
      </c>
      <c r="W443" s="79" t="n">
        <f aca="false">INDEX(Forecast!$BA$7:$BA$54,C443)</f>
        <v>2.72266338859614</v>
      </c>
      <c r="X443" s="33" t="n">
        <f aca="false">Z_Value*W443*SQRT(D443)</f>
        <v>8.95676549940069</v>
      </c>
      <c r="Y443" s="33" t="n">
        <f aca="false">V443*D443+X443</f>
        <v>62.9567654994007</v>
      </c>
      <c r="Z443" s="33" t="n">
        <f aca="false">SQRT((2*V443*Weeks_Per_Year*F443)/(E443*Holding_Rate))</f>
        <v>77.0713954719908</v>
      </c>
      <c r="AA443" s="46" t="n">
        <f aca="false">ROUNDUP(Z443/G443,0)*G443</f>
        <v>78</v>
      </c>
      <c r="AB443" s="46" t="n">
        <f aca="false">SUMIFS(AF$437:AF442,$B$437:$B442,$B443-$D443)</f>
        <v>0</v>
      </c>
      <c r="AC443" s="46" t="n">
        <f aca="false">AI442+AB443</f>
        <v>5</v>
      </c>
      <c r="AD443" s="46" t="n">
        <f aca="false">SUMIFS(AF$437:AF442,$B$437:$B442,"&gt;"&amp;($B443-$D443))</f>
        <v>76</v>
      </c>
      <c r="AE443" s="46" t="n">
        <f aca="false">AC443+AD443</f>
        <v>81</v>
      </c>
      <c r="AF443" s="47" t="n">
        <f aca="false">IF(AE443&lt;=Y443,AA443,0)</f>
        <v>0</v>
      </c>
      <c r="AG443" s="46" t="n">
        <f aca="false">MIN(AC443,I443)</f>
        <v>5</v>
      </c>
      <c r="AH443" s="46" t="n">
        <f aca="false">I443-AG443</f>
        <v>7</v>
      </c>
      <c r="AI443" s="46" t="n">
        <f aca="false">AC443-AG443</f>
        <v>0</v>
      </c>
      <c r="AJ443" s="46" t="n">
        <f aca="false">IF(AH443&gt;0,1,0)</f>
        <v>1</v>
      </c>
    </row>
    <row r="444" customFormat="false" ht="15" hidden="false" customHeight="false" outlineLevel="0" collapsed="false">
      <c r="A444" s="31" t="str">
        <f aca="false">Inputs!$B$64</f>
        <v>BED-005</v>
      </c>
      <c r="B444" s="46" t="n">
        <f aca="false">B443+1</f>
        <v>96</v>
      </c>
      <c r="C444" s="46" t="n">
        <f aca="false">MATCH(A444,Inputs!$B$40:$B$87,0)</f>
        <v>25</v>
      </c>
      <c r="D444" s="32" t="n">
        <f aca="false">INDEX(Inputs!$F$40:$F$87,C444)</f>
        <v>4</v>
      </c>
      <c r="E444" s="78" t="n">
        <f aca="false">INDEX(Inputs!$H$40:$H$87,C444)</f>
        <v>65</v>
      </c>
      <c r="F444" s="78" t="n">
        <f aca="false">INDEX(Inputs!$G$40:$G$87,C444)</f>
        <v>55</v>
      </c>
      <c r="G444" s="32" t="n">
        <f aca="false">INDEX(Inputs!$I$40:$I$87,C444)</f>
        <v>2</v>
      </c>
      <c r="H444" s="46" t="n">
        <f aca="false">MATCH(A444,Demand_History!$C:$C,0)+B444-1</f>
        <v>2593</v>
      </c>
      <c r="I444" s="32" t="n">
        <f aca="false">INDEX(Forecast_Walkforward!$C:$C,H444)</f>
        <v>15</v>
      </c>
      <c r="J444" s="79" t="n">
        <f aca="false">INDEX(Forecast_Walkforward!$E:$E,H444)</f>
        <v>12.75</v>
      </c>
      <c r="K444" s="33" t="n">
        <f aca="false">Baseline_Weeks*J444</f>
        <v>51</v>
      </c>
      <c r="L444" s="46" t="n">
        <f aca="false">SUMIFS(P$437:P443,$B$437:$B443,$B444-$D444)</f>
        <v>6</v>
      </c>
      <c r="M444" s="46" t="n">
        <f aca="false">S443+L444</f>
        <v>6</v>
      </c>
      <c r="N444" s="46" t="n">
        <f aca="false">SUMIFS(P$437:P443,$B$437:$B443,"&gt;"&amp;($B444-$D444))</f>
        <v>44</v>
      </c>
      <c r="O444" s="46" t="n">
        <f aca="false">M444+N444</f>
        <v>50</v>
      </c>
      <c r="P444" s="47" t="n">
        <f aca="false">IF(O444&lt;K444,ROUNDUP((K444-O444)/G444,0)*G444,0)</f>
        <v>2</v>
      </c>
      <c r="Q444" s="46" t="n">
        <f aca="false">MIN(M444,I444)</f>
        <v>6</v>
      </c>
      <c r="R444" s="46" t="n">
        <f aca="false">I444-Q444</f>
        <v>9</v>
      </c>
      <c r="S444" s="46" t="n">
        <f aca="false">M444-Q444</f>
        <v>0</v>
      </c>
      <c r="T444" s="46" t="n">
        <f aca="false">IF(R444&gt;0,1,0)</f>
        <v>1</v>
      </c>
      <c r="U444" s="32" t="n">
        <f aca="false">INDEX(Forecast!$AY$7:$AY$54,C444)</f>
        <v>2</v>
      </c>
      <c r="V444" s="33" t="n">
        <f aca="false">CHOOSE(U444,INDEX(Forecast_Walkforward!$D:$D,H444),INDEX(Forecast_Walkforward!$E:$E,H444),INDEX(Forecast_Walkforward!$F:$F,H444),INDEX(Forecast_Walkforward!$G:$G,H444))</f>
        <v>12.75</v>
      </c>
      <c r="W444" s="79" t="n">
        <f aca="false">INDEX(Forecast!$BA$7:$BA$54,C444)</f>
        <v>2.72266338859614</v>
      </c>
      <c r="X444" s="33" t="n">
        <f aca="false">Z_Value*W444*SQRT(D444)</f>
        <v>8.95676549940069</v>
      </c>
      <c r="Y444" s="33" t="n">
        <f aca="false">V444*D444+X444</f>
        <v>59.9567654994007</v>
      </c>
      <c r="Z444" s="33" t="n">
        <f aca="false">SQRT((2*V444*Weeks_Per_Year*F444)/(E444*Holding_Rate))</f>
        <v>74.899933244296</v>
      </c>
      <c r="AA444" s="46" t="n">
        <f aca="false">ROUNDUP(Z444/G444,0)*G444</f>
        <v>76</v>
      </c>
      <c r="AB444" s="46" t="n">
        <f aca="false">SUMIFS(AF$437:AF443,$B$437:$B443,$B444-$D444)</f>
        <v>76</v>
      </c>
      <c r="AC444" s="46" t="n">
        <f aca="false">AI443+AB444</f>
        <v>76</v>
      </c>
      <c r="AD444" s="46" t="n">
        <f aca="false">SUMIFS(AF$437:AF443,$B$437:$B443,"&gt;"&amp;($B444-$D444))</f>
        <v>0</v>
      </c>
      <c r="AE444" s="46" t="n">
        <f aca="false">AC444+AD444</f>
        <v>76</v>
      </c>
      <c r="AF444" s="47" t="n">
        <f aca="false">IF(AE444&lt;=Y444,AA444,0)</f>
        <v>0</v>
      </c>
      <c r="AG444" s="46" t="n">
        <f aca="false">MIN(AC444,I444)</f>
        <v>15</v>
      </c>
      <c r="AH444" s="46" t="n">
        <f aca="false">I444-AG444</f>
        <v>0</v>
      </c>
      <c r="AI444" s="46" t="n">
        <f aca="false">AC444-AG444</f>
        <v>61</v>
      </c>
      <c r="AJ444" s="46" t="n">
        <f aca="false">IF(AH444&gt;0,1,0)</f>
        <v>0</v>
      </c>
    </row>
    <row r="445" customFormat="false" ht="15" hidden="false" customHeight="false" outlineLevel="0" collapsed="false">
      <c r="A445" s="31" t="str">
        <f aca="false">Inputs!$B$64</f>
        <v>BED-005</v>
      </c>
      <c r="B445" s="46" t="n">
        <f aca="false">B444+1</f>
        <v>97</v>
      </c>
      <c r="C445" s="46" t="n">
        <f aca="false">MATCH(A445,Inputs!$B$40:$B$87,0)</f>
        <v>25</v>
      </c>
      <c r="D445" s="32" t="n">
        <f aca="false">INDEX(Inputs!$F$40:$F$87,C445)</f>
        <v>4</v>
      </c>
      <c r="E445" s="78" t="n">
        <f aca="false">INDEX(Inputs!$H$40:$H$87,C445)</f>
        <v>65</v>
      </c>
      <c r="F445" s="78" t="n">
        <f aca="false">INDEX(Inputs!$G$40:$G$87,C445)</f>
        <v>55</v>
      </c>
      <c r="G445" s="32" t="n">
        <f aca="false">INDEX(Inputs!$I$40:$I$87,C445)</f>
        <v>2</v>
      </c>
      <c r="H445" s="46" t="n">
        <f aca="false">MATCH(A445,Demand_History!$C:$C,0)+B445-1</f>
        <v>2594</v>
      </c>
      <c r="I445" s="32" t="n">
        <f aca="false">INDEX(Forecast_Walkforward!$C:$C,H445)</f>
        <v>11</v>
      </c>
      <c r="J445" s="79" t="n">
        <f aca="false">INDEX(Forecast_Walkforward!$E:$E,H445)</f>
        <v>13.25</v>
      </c>
      <c r="K445" s="33" t="n">
        <f aca="false">Baseline_Weeks*J445</f>
        <v>53</v>
      </c>
      <c r="L445" s="46" t="n">
        <f aca="false">SUMIFS(P$437:P444,$B$437:$B444,$B445-$D445)</f>
        <v>16</v>
      </c>
      <c r="M445" s="46" t="n">
        <f aca="false">S444+L445</f>
        <v>16</v>
      </c>
      <c r="N445" s="46" t="n">
        <f aca="false">SUMIFS(P$437:P444,$B$437:$B444,"&gt;"&amp;($B445-$D445))</f>
        <v>30</v>
      </c>
      <c r="O445" s="46" t="n">
        <f aca="false">M445+N445</f>
        <v>46</v>
      </c>
      <c r="P445" s="47" t="n">
        <f aca="false">IF(O445&lt;K445,ROUNDUP((K445-O445)/G445,0)*G445,0)</f>
        <v>8</v>
      </c>
      <c r="Q445" s="46" t="n">
        <f aca="false">MIN(M445,I445)</f>
        <v>11</v>
      </c>
      <c r="R445" s="46" t="n">
        <f aca="false">I445-Q445</f>
        <v>0</v>
      </c>
      <c r="S445" s="46" t="n">
        <f aca="false">M445-Q445</f>
        <v>5</v>
      </c>
      <c r="T445" s="46" t="n">
        <f aca="false">IF(R445&gt;0,1,0)</f>
        <v>0</v>
      </c>
      <c r="U445" s="32" t="n">
        <f aca="false">INDEX(Forecast!$AY$7:$AY$54,C445)</f>
        <v>2</v>
      </c>
      <c r="V445" s="33" t="n">
        <f aca="false">CHOOSE(U445,INDEX(Forecast_Walkforward!$D:$D,H445),INDEX(Forecast_Walkforward!$E:$E,H445),INDEX(Forecast_Walkforward!$F:$F,H445),INDEX(Forecast_Walkforward!$G:$G,H445))</f>
        <v>13.25</v>
      </c>
      <c r="W445" s="79" t="n">
        <f aca="false">INDEX(Forecast!$BA$7:$BA$54,C445)</f>
        <v>2.72266338859614</v>
      </c>
      <c r="X445" s="33" t="n">
        <f aca="false">Z_Value*W445*SQRT(D445)</f>
        <v>8.95676549940069</v>
      </c>
      <c r="Y445" s="33" t="n">
        <f aca="false">V445*D445+X445</f>
        <v>61.9567654994007</v>
      </c>
      <c r="Z445" s="33" t="n">
        <f aca="false">SQRT((2*V445*Weeks_Per_Year*F445)/(E445*Holding_Rate))</f>
        <v>76.3544366752843</v>
      </c>
      <c r="AA445" s="46" t="n">
        <f aca="false">ROUNDUP(Z445/G445,0)*G445</f>
        <v>78</v>
      </c>
      <c r="AB445" s="46" t="n">
        <f aca="false">SUMIFS(AF$437:AF444,$B$437:$B444,$B445-$D445)</f>
        <v>0</v>
      </c>
      <c r="AC445" s="46" t="n">
        <f aca="false">AI444+AB445</f>
        <v>61</v>
      </c>
      <c r="AD445" s="46" t="n">
        <f aca="false">SUMIFS(AF$437:AF444,$B$437:$B444,"&gt;"&amp;($B445-$D445))</f>
        <v>0</v>
      </c>
      <c r="AE445" s="46" t="n">
        <f aca="false">AC445+AD445</f>
        <v>61</v>
      </c>
      <c r="AF445" s="47" t="n">
        <f aca="false">IF(AE445&lt;=Y445,AA445,0)</f>
        <v>78</v>
      </c>
      <c r="AG445" s="46" t="n">
        <f aca="false">MIN(AC445,I445)</f>
        <v>11</v>
      </c>
      <c r="AH445" s="46" t="n">
        <f aca="false">I445-AG445</f>
        <v>0</v>
      </c>
      <c r="AI445" s="46" t="n">
        <f aca="false">AC445-AG445</f>
        <v>50</v>
      </c>
      <c r="AJ445" s="46" t="n">
        <f aca="false">IF(AH445&gt;0,1,0)</f>
        <v>0</v>
      </c>
    </row>
    <row r="446" customFormat="false" ht="15" hidden="false" customHeight="false" outlineLevel="0" collapsed="false">
      <c r="A446" s="31" t="str">
        <f aca="false">Inputs!$B$64</f>
        <v>BED-005</v>
      </c>
      <c r="B446" s="46" t="n">
        <f aca="false">B445+1</f>
        <v>98</v>
      </c>
      <c r="C446" s="46" t="n">
        <f aca="false">MATCH(A446,Inputs!$B$40:$B$87,0)</f>
        <v>25</v>
      </c>
      <c r="D446" s="32" t="n">
        <f aca="false">INDEX(Inputs!$F$40:$F$87,C446)</f>
        <v>4</v>
      </c>
      <c r="E446" s="78" t="n">
        <f aca="false">INDEX(Inputs!$H$40:$H$87,C446)</f>
        <v>65</v>
      </c>
      <c r="F446" s="78" t="n">
        <f aca="false">INDEX(Inputs!$G$40:$G$87,C446)</f>
        <v>55</v>
      </c>
      <c r="G446" s="32" t="n">
        <f aca="false">INDEX(Inputs!$I$40:$I$87,C446)</f>
        <v>2</v>
      </c>
      <c r="H446" s="46" t="n">
        <f aca="false">MATCH(A446,Demand_History!$C:$C,0)+B446-1</f>
        <v>2595</v>
      </c>
      <c r="I446" s="32" t="n">
        <f aca="false">INDEX(Forecast_Walkforward!$C:$C,H446)</f>
        <v>9</v>
      </c>
      <c r="J446" s="79" t="n">
        <f aca="false">INDEX(Forecast_Walkforward!$E:$E,H446)</f>
        <v>12.5</v>
      </c>
      <c r="K446" s="33" t="n">
        <f aca="false">Baseline_Weeks*J446</f>
        <v>50</v>
      </c>
      <c r="L446" s="46" t="n">
        <f aca="false">SUMIFS(P$437:P445,$B$437:$B445,$B446-$D446)</f>
        <v>14</v>
      </c>
      <c r="M446" s="46" t="n">
        <f aca="false">S445+L446</f>
        <v>19</v>
      </c>
      <c r="N446" s="46" t="n">
        <f aca="false">SUMIFS(P$437:P445,$B$437:$B445,"&gt;"&amp;($B446-$D446))</f>
        <v>24</v>
      </c>
      <c r="O446" s="46" t="n">
        <f aca="false">M446+N446</f>
        <v>43</v>
      </c>
      <c r="P446" s="47" t="n">
        <f aca="false">IF(O446&lt;K446,ROUNDUP((K446-O446)/G446,0)*G446,0)</f>
        <v>8</v>
      </c>
      <c r="Q446" s="46" t="n">
        <f aca="false">MIN(M446,I446)</f>
        <v>9</v>
      </c>
      <c r="R446" s="46" t="n">
        <f aca="false">I446-Q446</f>
        <v>0</v>
      </c>
      <c r="S446" s="46" t="n">
        <f aca="false">M446-Q446</f>
        <v>10</v>
      </c>
      <c r="T446" s="46" t="n">
        <f aca="false">IF(R446&gt;0,1,0)</f>
        <v>0</v>
      </c>
      <c r="U446" s="32" t="n">
        <f aca="false">INDEX(Forecast!$AY$7:$AY$54,C446)</f>
        <v>2</v>
      </c>
      <c r="V446" s="33" t="n">
        <f aca="false">CHOOSE(U446,INDEX(Forecast_Walkforward!$D:$D,H446),INDEX(Forecast_Walkforward!$E:$E,H446),INDEX(Forecast_Walkforward!$F:$F,H446),INDEX(Forecast_Walkforward!$G:$G,H446))</f>
        <v>12.5</v>
      </c>
      <c r="W446" s="79" t="n">
        <f aca="false">INDEX(Forecast!$BA$7:$BA$54,C446)</f>
        <v>2.72266338859614</v>
      </c>
      <c r="X446" s="33" t="n">
        <f aca="false">Z_Value*W446*SQRT(D446)</f>
        <v>8.95676549940069</v>
      </c>
      <c r="Y446" s="33" t="n">
        <f aca="false">V446*D446+X446</f>
        <v>58.9567654994007</v>
      </c>
      <c r="Z446" s="33" t="n">
        <f aca="false">SQRT((2*V446*Weeks_Per_Year*F446)/(E446*Holding_Rate))</f>
        <v>74.1619848709566</v>
      </c>
      <c r="AA446" s="46" t="n">
        <f aca="false">ROUNDUP(Z446/G446,0)*G446</f>
        <v>76</v>
      </c>
      <c r="AB446" s="46" t="n">
        <f aca="false">SUMIFS(AF$437:AF445,$B$437:$B445,$B446-$D446)</f>
        <v>0</v>
      </c>
      <c r="AC446" s="46" t="n">
        <f aca="false">AI445+AB446</f>
        <v>50</v>
      </c>
      <c r="AD446" s="46" t="n">
        <f aca="false">SUMIFS(AF$437:AF445,$B$437:$B445,"&gt;"&amp;($B446-$D446))</f>
        <v>78</v>
      </c>
      <c r="AE446" s="46" t="n">
        <f aca="false">AC446+AD446</f>
        <v>128</v>
      </c>
      <c r="AF446" s="47" t="n">
        <f aca="false">IF(AE446&lt;=Y446,AA446,0)</f>
        <v>0</v>
      </c>
      <c r="AG446" s="46" t="n">
        <f aca="false">MIN(AC446,I446)</f>
        <v>9</v>
      </c>
      <c r="AH446" s="46" t="n">
        <f aca="false">I446-AG446</f>
        <v>0</v>
      </c>
      <c r="AI446" s="46" t="n">
        <f aca="false">AC446-AG446</f>
        <v>41</v>
      </c>
      <c r="AJ446" s="46" t="n">
        <f aca="false">IF(AH446&gt;0,1,0)</f>
        <v>0</v>
      </c>
    </row>
    <row r="447" customFormat="false" ht="15" hidden="false" customHeight="false" outlineLevel="0" collapsed="false">
      <c r="A447" s="31" t="str">
        <f aca="false">Inputs!$B$64</f>
        <v>BED-005</v>
      </c>
      <c r="B447" s="46" t="n">
        <f aca="false">B446+1</f>
        <v>99</v>
      </c>
      <c r="C447" s="46" t="n">
        <f aca="false">MATCH(A447,Inputs!$B$40:$B$87,0)</f>
        <v>25</v>
      </c>
      <c r="D447" s="32" t="n">
        <f aca="false">INDEX(Inputs!$F$40:$F$87,C447)</f>
        <v>4</v>
      </c>
      <c r="E447" s="78" t="n">
        <f aca="false">INDEX(Inputs!$H$40:$H$87,C447)</f>
        <v>65</v>
      </c>
      <c r="F447" s="78" t="n">
        <f aca="false">INDEX(Inputs!$G$40:$G$87,C447)</f>
        <v>55</v>
      </c>
      <c r="G447" s="32" t="n">
        <f aca="false">INDEX(Inputs!$I$40:$I$87,C447)</f>
        <v>2</v>
      </c>
      <c r="H447" s="46" t="n">
        <f aca="false">MATCH(A447,Demand_History!$C:$C,0)+B447-1</f>
        <v>2596</v>
      </c>
      <c r="I447" s="32" t="n">
        <f aca="false">INDEX(Forecast_Walkforward!$C:$C,H447)</f>
        <v>13</v>
      </c>
      <c r="J447" s="79" t="n">
        <f aca="false">INDEX(Forecast_Walkforward!$E:$E,H447)</f>
        <v>11.75</v>
      </c>
      <c r="K447" s="33" t="n">
        <f aca="false">Baseline_Weeks*J447</f>
        <v>47</v>
      </c>
      <c r="L447" s="46" t="n">
        <f aca="false">SUMIFS(P$437:P446,$B$437:$B446,$B447-$D447)</f>
        <v>14</v>
      </c>
      <c r="M447" s="46" t="n">
        <f aca="false">S446+L447</f>
        <v>24</v>
      </c>
      <c r="N447" s="46" t="n">
        <f aca="false">SUMIFS(P$437:P446,$B$437:$B446,"&gt;"&amp;($B447-$D447))</f>
        <v>18</v>
      </c>
      <c r="O447" s="46" t="n">
        <f aca="false">M447+N447</f>
        <v>42</v>
      </c>
      <c r="P447" s="47" t="n">
        <f aca="false">IF(O447&lt;K447,ROUNDUP((K447-O447)/G447,0)*G447,0)</f>
        <v>6</v>
      </c>
      <c r="Q447" s="46" t="n">
        <f aca="false">MIN(M447,I447)</f>
        <v>13</v>
      </c>
      <c r="R447" s="46" t="n">
        <f aca="false">I447-Q447</f>
        <v>0</v>
      </c>
      <c r="S447" s="46" t="n">
        <f aca="false">M447-Q447</f>
        <v>11</v>
      </c>
      <c r="T447" s="46" t="n">
        <f aca="false">IF(R447&gt;0,1,0)</f>
        <v>0</v>
      </c>
      <c r="U447" s="32" t="n">
        <f aca="false">INDEX(Forecast!$AY$7:$AY$54,C447)</f>
        <v>2</v>
      </c>
      <c r="V447" s="33" t="n">
        <f aca="false">CHOOSE(U447,INDEX(Forecast_Walkforward!$D:$D,H447),INDEX(Forecast_Walkforward!$E:$E,H447),INDEX(Forecast_Walkforward!$F:$F,H447),INDEX(Forecast_Walkforward!$G:$G,H447))</f>
        <v>11.75</v>
      </c>
      <c r="W447" s="79" t="n">
        <f aca="false">INDEX(Forecast!$BA$7:$BA$54,C447)</f>
        <v>2.72266338859614</v>
      </c>
      <c r="X447" s="33" t="n">
        <f aca="false">Z_Value*W447*SQRT(D447)</f>
        <v>8.95676549940069</v>
      </c>
      <c r="Y447" s="33" t="n">
        <f aca="false">V447*D447+X447</f>
        <v>55.9567654994007</v>
      </c>
      <c r="Z447" s="33" t="n">
        <f aca="false">SQRT((2*V447*Weeks_Per_Year*F447)/(E447*Holding_Rate))</f>
        <v>71.9027120489902</v>
      </c>
      <c r="AA447" s="46" t="n">
        <f aca="false">ROUNDUP(Z447/G447,0)*G447</f>
        <v>72</v>
      </c>
      <c r="AB447" s="46" t="n">
        <f aca="false">SUMIFS(AF$437:AF446,$B$437:$B446,$B447-$D447)</f>
        <v>0</v>
      </c>
      <c r="AC447" s="46" t="n">
        <f aca="false">AI446+AB447</f>
        <v>41</v>
      </c>
      <c r="AD447" s="46" t="n">
        <f aca="false">SUMIFS(AF$437:AF446,$B$437:$B446,"&gt;"&amp;($B447-$D447))</f>
        <v>78</v>
      </c>
      <c r="AE447" s="46" t="n">
        <f aca="false">AC447+AD447</f>
        <v>119</v>
      </c>
      <c r="AF447" s="47" t="n">
        <f aca="false">IF(AE447&lt;=Y447,AA447,0)</f>
        <v>0</v>
      </c>
      <c r="AG447" s="46" t="n">
        <f aca="false">MIN(AC447,I447)</f>
        <v>13</v>
      </c>
      <c r="AH447" s="46" t="n">
        <f aca="false">I447-AG447</f>
        <v>0</v>
      </c>
      <c r="AI447" s="46" t="n">
        <f aca="false">AC447-AG447</f>
        <v>28</v>
      </c>
      <c r="AJ447" s="46" t="n">
        <f aca="false">IF(AH447&gt;0,1,0)</f>
        <v>0</v>
      </c>
    </row>
    <row r="448" customFormat="false" ht="15" hidden="false" customHeight="false" outlineLevel="0" collapsed="false">
      <c r="A448" s="31" t="str">
        <f aca="false">Inputs!$B$64</f>
        <v>BED-005</v>
      </c>
      <c r="B448" s="46" t="n">
        <f aca="false">B447+1</f>
        <v>100</v>
      </c>
      <c r="C448" s="46" t="n">
        <f aca="false">MATCH(A448,Inputs!$B$40:$B$87,0)</f>
        <v>25</v>
      </c>
      <c r="D448" s="32" t="n">
        <f aca="false">INDEX(Inputs!$F$40:$F$87,C448)</f>
        <v>4</v>
      </c>
      <c r="E448" s="78" t="n">
        <f aca="false">INDEX(Inputs!$H$40:$H$87,C448)</f>
        <v>65</v>
      </c>
      <c r="F448" s="78" t="n">
        <f aca="false">INDEX(Inputs!$G$40:$G$87,C448)</f>
        <v>55</v>
      </c>
      <c r="G448" s="32" t="n">
        <f aca="false">INDEX(Inputs!$I$40:$I$87,C448)</f>
        <v>2</v>
      </c>
      <c r="H448" s="46" t="n">
        <f aca="false">MATCH(A448,Demand_History!$C:$C,0)+B448-1</f>
        <v>2597</v>
      </c>
      <c r="I448" s="32" t="n">
        <f aca="false">INDEX(Forecast_Walkforward!$C:$C,H448)</f>
        <v>10</v>
      </c>
      <c r="J448" s="79" t="n">
        <f aca="false">INDEX(Forecast_Walkforward!$E:$E,H448)</f>
        <v>12</v>
      </c>
      <c r="K448" s="33" t="n">
        <f aca="false">Baseline_Weeks*J448</f>
        <v>48</v>
      </c>
      <c r="L448" s="46" t="n">
        <f aca="false">SUMIFS(P$437:P447,$B$437:$B447,$B448-$D448)</f>
        <v>2</v>
      </c>
      <c r="M448" s="46" t="n">
        <f aca="false">S447+L448</f>
        <v>13</v>
      </c>
      <c r="N448" s="46" t="n">
        <f aca="false">SUMIFS(P$437:P447,$B$437:$B447,"&gt;"&amp;($B448-$D448))</f>
        <v>22</v>
      </c>
      <c r="O448" s="46" t="n">
        <f aca="false">M448+N448</f>
        <v>35</v>
      </c>
      <c r="P448" s="47" t="n">
        <f aca="false">IF(O448&lt;K448,ROUNDUP((K448-O448)/G448,0)*G448,0)</f>
        <v>14</v>
      </c>
      <c r="Q448" s="46" t="n">
        <f aca="false">MIN(M448,I448)</f>
        <v>10</v>
      </c>
      <c r="R448" s="46" t="n">
        <f aca="false">I448-Q448</f>
        <v>0</v>
      </c>
      <c r="S448" s="46" t="n">
        <f aca="false">M448-Q448</f>
        <v>3</v>
      </c>
      <c r="T448" s="46" t="n">
        <f aca="false">IF(R448&gt;0,1,0)</f>
        <v>0</v>
      </c>
      <c r="U448" s="32" t="n">
        <f aca="false">INDEX(Forecast!$AY$7:$AY$54,C448)</f>
        <v>2</v>
      </c>
      <c r="V448" s="33" t="n">
        <f aca="false">CHOOSE(U448,INDEX(Forecast_Walkforward!$D:$D,H448),INDEX(Forecast_Walkforward!$E:$E,H448),INDEX(Forecast_Walkforward!$F:$F,H448),INDEX(Forecast_Walkforward!$G:$G,H448))</f>
        <v>12</v>
      </c>
      <c r="W448" s="79" t="n">
        <f aca="false">INDEX(Forecast!$BA$7:$BA$54,C448)</f>
        <v>2.72266338859614</v>
      </c>
      <c r="X448" s="33" t="n">
        <f aca="false">Z_Value*W448*SQRT(D448)</f>
        <v>8.95676549940069</v>
      </c>
      <c r="Y448" s="33" t="n">
        <f aca="false">V448*D448+X448</f>
        <v>56.9567654994007</v>
      </c>
      <c r="Z448" s="33" t="n">
        <f aca="false">SQRT((2*V448*Weeks_Per_Year*F448)/(E448*Holding_Rate))</f>
        <v>72.6636084983398</v>
      </c>
      <c r="AA448" s="46" t="n">
        <f aca="false">ROUNDUP(Z448/G448,0)*G448</f>
        <v>74</v>
      </c>
      <c r="AB448" s="46" t="n">
        <f aca="false">SUMIFS(AF$437:AF447,$B$437:$B447,$B448-$D448)</f>
        <v>0</v>
      </c>
      <c r="AC448" s="46" t="n">
        <f aca="false">AI447+AB448</f>
        <v>28</v>
      </c>
      <c r="AD448" s="46" t="n">
        <f aca="false">SUMIFS(AF$437:AF447,$B$437:$B447,"&gt;"&amp;($B448-$D448))</f>
        <v>78</v>
      </c>
      <c r="AE448" s="46" t="n">
        <f aca="false">AC448+AD448</f>
        <v>106</v>
      </c>
      <c r="AF448" s="47" t="n">
        <f aca="false">IF(AE448&lt;=Y448,AA448,0)</f>
        <v>0</v>
      </c>
      <c r="AG448" s="46" t="n">
        <f aca="false">MIN(AC448,I448)</f>
        <v>10</v>
      </c>
      <c r="AH448" s="46" t="n">
        <f aca="false">I448-AG448</f>
        <v>0</v>
      </c>
      <c r="AI448" s="46" t="n">
        <f aca="false">AC448-AG448</f>
        <v>18</v>
      </c>
      <c r="AJ448" s="46" t="n">
        <f aca="false">IF(AH448&gt;0,1,0)</f>
        <v>0</v>
      </c>
    </row>
    <row r="449" customFormat="false" ht="15" hidden="false" customHeight="false" outlineLevel="0" collapsed="false">
      <c r="A449" s="31" t="str">
        <f aca="false">Inputs!$B$64</f>
        <v>BED-005</v>
      </c>
      <c r="B449" s="46" t="n">
        <f aca="false">B448+1</f>
        <v>101</v>
      </c>
      <c r="C449" s="46" t="n">
        <f aca="false">MATCH(A449,Inputs!$B$40:$B$87,0)</f>
        <v>25</v>
      </c>
      <c r="D449" s="32" t="n">
        <f aca="false">INDEX(Inputs!$F$40:$F$87,C449)</f>
        <v>4</v>
      </c>
      <c r="E449" s="78" t="n">
        <f aca="false">INDEX(Inputs!$H$40:$H$87,C449)</f>
        <v>65</v>
      </c>
      <c r="F449" s="78" t="n">
        <f aca="false">INDEX(Inputs!$G$40:$G$87,C449)</f>
        <v>55</v>
      </c>
      <c r="G449" s="32" t="n">
        <f aca="false">INDEX(Inputs!$I$40:$I$87,C449)</f>
        <v>2</v>
      </c>
      <c r="H449" s="46" t="n">
        <f aca="false">MATCH(A449,Demand_History!$C:$C,0)+B449-1</f>
        <v>2598</v>
      </c>
      <c r="I449" s="32" t="n">
        <f aca="false">INDEX(Forecast_Walkforward!$C:$C,H449)</f>
        <v>11</v>
      </c>
      <c r="J449" s="79" t="n">
        <f aca="false">INDEX(Forecast_Walkforward!$E:$E,H449)</f>
        <v>10.75</v>
      </c>
      <c r="K449" s="33" t="n">
        <f aca="false">Baseline_Weeks*J449</f>
        <v>43</v>
      </c>
      <c r="L449" s="46" t="n">
        <f aca="false">SUMIFS(P$437:P448,$B$437:$B448,$B449-$D449)</f>
        <v>8</v>
      </c>
      <c r="M449" s="46" t="n">
        <f aca="false">S448+L449</f>
        <v>11</v>
      </c>
      <c r="N449" s="46" t="n">
        <f aca="false">SUMIFS(P$437:P448,$B$437:$B448,"&gt;"&amp;($B449-$D449))</f>
        <v>28</v>
      </c>
      <c r="O449" s="46" t="n">
        <f aca="false">M449+N449</f>
        <v>39</v>
      </c>
      <c r="P449" s="47" t="n">
        <f aca="false">IF(O449&lt;K449,ROUNDUP((K449-O449)/G449,0)*G449,0)</f>
        <v>4</v>
      </c>
      <c r="Q449" s="46" t="n">
        <f aca="false">MIN(M449,I449)</f>
        <v>11</v>
      </c>
      <c r="R449" s="46" t="n">
        <f aca="false">I449-Q449</f>
        <v>0</v>
      </c>
      <c r="S449" s="46" t="n">
        <f aca="false">M449-Q449</f>
        <v>0</v>
      </c>
      <c r="T449" s="46" t="n">
        <f aca="false">IF(R449&gt;0,1,0)</f>
        <v>0</v>
      </c>
      <c r="U449" s="32" t="n">
        <f aca="false">INDEX(Forecast!$AY$7:$AY$54,C449)</f>
        <v>2</v>
      </c>
      <c r="V449" s="33" t="n">
        <f aca="false">CHOOSE(U449,INDEX(Forecast_Walkforward!$D:$D,H449),INDEX(Forecast_Walkforward!$E:$E,H449),INDEX(Forecast_Walkforward!$F:$F,H449),INDEX(Forecast_Walkforward!$G:$G,H449))</f>
        <v>10.75</v>
      </c>
      <c r="W449" s="79" t="n">
        <f aca="false">INDEX(Forecast!$BA$7:$BA$54,C449)</f>
        <v>2.72266338859614</v>
      </c>
      <c r="X449" s="33" t="n">
        <f aca="false">Z_Value*W449*SQRT(D449)</f>
        <v>8.95676549940069</v>
      </c>
      <c r="Y449" s="33" t="n">
        <f aca="false">V449*D449+X449</f>
        <v>51.9567654994007</v>
      </c>
      <c r="Z449" s="33" t="n">
        <f aca="false">SQRT((2*V449*Weeks_Per_Year*F449)/(E449*Holding_Rate))</f>
        <v>68.7749954561976</v>
      </c>
      <c r="AA449" s="46" t="n">
        <f aca="false">ROUNDUP(Z449/G449,0)*G449</f>
        <v>70</v>
      </c>
      <c r="AB449" s="46" t="n">
        <f aca="false">SUMIFS(AF$437:AF448,$B$437:$B448,$B449-$D449)</f>
        <v>78</v>
      </c>
      <c r="AC449" s="46" t="n">
        <f aca="false">AI448+AB449</f>
        <v>96</v>
      </c>
      <c r="AD449" s="46" t="n">
        <f aca="false">SUMIFS(AF$437:AF448,$B$437:$B448,"&gt;"&amp;($B449-$D449))</f>
        <v>0</v>
      </c>
      <c r="AE449" s="46" t="n">
        <f aca="false">AC449+AD449</f>
        <v>96</v>
      </c>
      <c r="AF449" s="47" t="n">
        <f aca="false">IF(AE449&lt;=Y449,AA449,0)</f>
        <v>0</v>
      </c>
      <c r="AG449" s="46" t="n">
        <f aca="false">MIN(AC449,I449)</f>
        <v>11</v>
      </c>
      <c r="AH449" s="46" t="n">
        <f aca="false">I449-AG449</f>
        <v>0</v>
      </c>
      <c r="AI449" s="46" t="n">
        <f aca="false">AC449-AG449</f>
        <v>85</v>
      </c>
      <c r="AJ449" s="46" t="n">
        <f aca="false">IF(AH449&gt;0,1,0)</f>
        <v>0</v>
      </c>
    </row>
    <row r="450" customFormat="false" ht="15" hidden="false" customHeight="false" outlineLevel="0" collapsed="false">
      <c r="A450" s="31" t="str">
        <f aca="false">Inputs!$B$64</f>
        <v>BED-005</v>
      </c>
      <c r="B450" s="46" t="n">
        <f aca="false">B449+1</f>
        <v>102</v>
      </c>
      <c r="C450" s="46" t="n">
        <f aca="false">MATCH(A450,Inputs!$B$40:$B$87,0)</f>
        <v>25</v>
      </c>
      <c r="D450" s="32" t="n">
        <f aca="false">INDEX(Inputs!$F$40:$F$87,C450)</f>
        <v>4</v>
      </c>
      <c r="E450" s="78" t="n">
        <f aca="false">INDEX(Inputs!$H$40:$H$87,C450)</f>
        <v>65</v>
      </c>
      <c r="F450" s="78" t="n">
        <f aca="false">INDEX(Inputs!$G$40:$G$87,C450)</f>
        <v>55</v>
      </c>
      <c r="G450" s="32" t="n">
        <f aca="false">INDEX(Inputs!$I$40:$I$87,C450)</f>
        <v>2</v>
      </c>
      <c r="H450" s="46" t="n">
        <f aca="false">MATCH(A450,Demand_History!$C:$C,0)+B450-1</f>
        <v>2599</v>
      </c>
      <c r="I450" s="32" t="n">
        <f aca="false">INDEX(Forecast_Walkforward!$C:$C,H450)</f>
        <v>13</v>
      </c>
      <c r="J450" s="79" t="n">
        <f aca="false">INDEX(Forecast_Walkforward!$E:$E,H450)</f>
        <v>10.75</v>
      </c>
      <c r="K450" s="33" t="n">
        <f aca="false">Baseline_Weeks*J450</f>
        <v>43</v>
      </c>
      <c r="L450" s="46" t="n">
        <f aca="false">SUMIFS(P$437:P449,$B$437:$B449,$B450-$D450)</f>
        <v>8</v>
      </c>
      <c r="M450" s="46" t="n">
        <f aca="false">S449+L450</f>
        <v>8</v>
      </c>
      <c r="N450" s="46" t="n">
        <f aca="false">SUMIFS(P$437:P449,$B$437:$B449,"&gt;"&amp;($B450-$D450))</f>
        <v>24</v>
      </c>
      <c r="O450" s="46" t="n">
        <f aca="false">M450+N450</f>
        <v>32</v>
      </c>
      <c r="P450" s="47" t="n">
        <f aca="false">IF(O450&lt;K450,ROUNDUP((K450-O450)/G450,0)*G450,0)</f>
        <v>12</v>
      </c>
      <c r="Q450" s="46" t="n">
        <f aca="false">MIN(M450,I450)</f>
        <v>8</v>
      </c>
      <c r="R450" s="46" t="n">
        <f aca="false">I450-Q450</f>
        <v>5</v>
      </c>
      <c r="S450" s="46" t="n">
        <f aca="false">M450-Q450</f>
        <v>0</v>
      </c>
      <c r="T450" s="46" t="n">
        <f aca="false">IF(R450&gt;0,1,0)</f>
        <v>1</v>
      </c>
      <c r="U450" s="32" t="n">
        <f aca="false">INDEX(Forecast!$AY$7:$AY$54,C450)</f>
        <v>2</v>
      </c>
      <c r="V450" s="33" t="n">
        <f aca="false">CHOOSE(U450,INDEX(Forecast_Walkforward!$D:$D,H450),INDEX(Forecast_Walkforward!$E:$E,H450),INDEX(Forecast_Walkforward!$F:$F,H450),INDEX(Forecast_Walkforward!$G:$G,H450))</f>
        <v>10.75</v>
      </c>
      <c r="W450" s="79" t="n">
        <f aca="false">INDEX(Forecast!$BA$7:$BA$54,C450)</f>
        <v>2.72266338859614</v>
      </c>
      <c r="X450" s="33" t="n">
        <f aca="false">Z_Value*W450*SQRT(D450)</f>
        <v>8.95676549940069</v>
      </c>
      <c r="Y450" s="33" t="n">
        <f aca="false">V450*D450+X450</f>
        <v>51.9567654994007</v>
      </c>
      <c r="Z450" s="33" t="n">
        <f aca="false">SQRT((2*V450*Weeks_Per_Year*F450)/(E450*Holding_Rate))</f>
        <v>68.7749954561976</v>
      </c>
      <c r="AA450" s="46" t="n">
        <f aca="false">ROUNDUP(Z450/G450,0)*G450</f>
        <v>70</v>
      </c>
      <c r="AB450" s="46" t="n">
        <f aca="false">SUMIFS(AF$437:AF449,$B$437:$B449,$B450-$D450)</f>
        <v>0</v>
      </c>
      <c r="AC450" s="46" t="n">
        <f aca="false">AI449+AB450</f>
        <v>85</v>
      </c>
      <c r="AD450" s="46" t="n">
        <f aca="false">SUMIFS(AF$437:AF449,$B$437:$B449,"&gt;"&amp;($B450-$D450))</f>
        <v>0</v>
      </c>
      <c r="AE450" s="46" t="n">
        <f aca="false">AC450+AD450</f>
        <v>85</v>
      </c>
      <c r="AF450" s="47" t="n">
        <f aca="false">IF(AE450&lt;=Y450,AA450,0)</f>
        <v>0</v>
      </c>
      <c r="AG450" s="46" t="n">
        <f aca="false">MIN(AC450,I450)</f>
        <v>13</v>
      </c>
      <c r="AH450" s="46" t="n">
        <f aca="false">I450-AG450</f>
        <v>0</v>
      </c>
      <c r="AI450" s="46" t="n">
        <f aca="false">AC450-AG450</f>
        <v>72</v>
      </c>
      <c r="AJ450" s="46" t="n">
        <f aca="false">IF(AH450&gt;0,1,0)</f>
        <v>0</v>
      </c>
    </row>
    <row r="451" customFormat="false" ht="15" hidden="false" customHeight="false" outlineLevel="0" collapsed="false">
      <c r="A451" s="31" t="str">
        <f aca="false">Inputs!$B$64</f>
        <v>BED-005</v>
      </c>
      <c r="B451" s="46" t="n">
        <f aca="false">B450+1</f>
        <v>103</v>
      </c>
      <c r="C451" s="46" t="n">
        <f aca="false">MATCH(A451,Inputs!$B$40:$B$87,0)</f>
        <v>25</v>
      </c>
      <c r="D451" s="32" t="n">
        <f aca="false">INDEX(Inputs!$F$40:$F$87,C451)</f>
        <v>4</v>
      </c>
      <c r="E451" s="78" t="n">
        <f aca="false">INDEX(Inputs!$H$40:$H$87,C451)</f>
        <v>65</v>
      </c>
      <c r="F451" s="78" t="n">
        <f aca="false">INDEX(Inputs!$G$40:$G$87,C451)</f>
        <v>55</v>
      </c>
      <c r="G451" s="32" t="n">
        <f aca="false">INDEX(Inputs!$I$40:$I$87,C451)</f>
        <v>2</v>
      </c>
      <c r="H451" s="46" t="n">
        <f aca="false">MATCH(A451,Demand_History!$C:$C,0)+B451-1</f>
        <v>2600</v>
      </c>
      <c r="I451" s="32" t="n">
        <f aca="false">INDEX(Forecast_Walkforward!$C:$C,H451)</f>
        <v>10</v>
      </c>
      <c r="J451" s="79" t="n">
        <f aca="false">INDEX(Forecast_Walkforward!$E:$E,H451)</f>
        <v>11.75</v>
      </c>
      <c r="K451" s="33" t="n">
        <f aca="false">Baseline_Weeks*J451</f>
        <v>47</v>
      </c>
      <c r="L451" s="46" t="n">
        <f aca="false">SUMIFS(P$437:P450,$B$437:$B450,$B451-$D451)</f>
        <v>6</v>
      </c>
      <c r="M451" s="46" t="n">
        <f aca="false">S450+L451</f>
        <v>6</v>
      </c>
      <c r="N451" s="46" t="n">
        <f aca="false">SUMIFS(P$437:P450,$B$437:$B450,"&gt;"&amp;($B451-$D451))</f>
        <v>30</v>
      </c>
      <c r="O451" s="46" t="n">
        <f aca="false">M451+N451</f>
        <v>36</v>
      </c>
      <c r="P451" s="47" t="n">
        <f aca="false">IF(O451&lt;K451,ROUNDUP((K451-O451)/G451,0)*G451,0)</f>
        <v>12</v>
      </c>
      <c r="Q451" s="46" t="n">
        <f aca="false">MIN(M451,I451)</f>
        <v>6</v>
      </c>
      <c r="R451" s="46" t="n">
        <f aca="false">I451-Q451</f>
        <v>4</v>
      </c>
      <c r="S451" s="46" t="n">
        <f aca="false">M451-Q451</f>
        <v>0</v>
      </c>
      <c r="T451" s="46" t="n">
        <f aca="false">IF(R451&gt;0,1,0)</f>
        <v>1</v>
      </c>
      <c r="U451" s="32" t="n">
        <f aca="false">INDEX(Forecast!$AY$7:$AY$54,C451)</f>
        <v>2</v>
      </c>
      <c r="V451" s="33" t="n">
        <f aca="false">CHOOSE(U451,INDEX(Forecast_Walkforward!$D:$D,H451),INDEX(Forecast_Walkforward!$E:$E,H451),INDEX(Forecast_Walkforward!$F:$F,H451),INDEX(Forecast_Walkforward!$G:$G,H451))</f>
        <v>11.75</v>
      </c>
      <c r="W451" s="79" t="n">
        <f aca="false">INDEX(Forecast!$BA$7:$BA$54,C451)</f>
        <v>2.72266338859614</v>
      </c>
      <c r="X451" s="33" t="n">
        <f aca="false">Z_Value*W451*SQRT(D451)</f>
        <v>8.95676549940069</v>
      </c>
      <c r="Y451" s="33" t="n">
        <f aca="false">V451*D451+X451</f>
        <v>55.9567654994007</v>
      </c>
      <c r="Z451" s="33" t="n">
        <f aca="false">SQRT((2*V451*Weeks_Per_Year*F451)/(E451*Holding_Rate))</f>
        <v>71.9027120489902</v>
      </c>
      <c r="AA451" s="46" t="n">
        <f aca="false">ROUNDUP(Z451/G451,0)*G451</f>
        <v>72</v>
      </c>
      <c r="AB451" s="46" t="n">
        <f aca="false">SUMIFS(AF$437:AF450,$B$437:$B450,$B451-$D451)</f>
        <v>0</v>
      </c>
      <c r="AC451" s="46" t="n">
        <f aca="false">AI450+AB451</f>
        <v>72</v>
      </c>
      <c r="AD451" s="46" t="n">
        <f aca="false">SUMIFS(AF$437:AF450,$B$437:$B450,"&gt;"&amp;($B451-$D451))</f>
        <v>0</v>
      </c>
      <c r="AE451" s="46" t="n">
        <f aca="false">AC451+AD451</f>
        <v>72</v>
      </c>
      <c r="AF451" s="47" t="n">
        <f aca="false">IF(AE451&lt;=Y451,AA451,0)</f>
        <v>0</v>
      </c>
      <c r="AG451" s="46" t="n">
        <f aca="false">MIN(AC451,I451)</f>
        <v>10</v>
      </c>
      <c r="AH451" s="46" t="n">
        <f aca="false">I451-AG451</f>
        <v>0</v>
      </c>
      <c r="AI451" s="46" t="n">
        <f aca="false">AC451-AG451</f>
        <v>62</v>
      </c>
      <c r="AJ451" s="46" t="n">
        <f aca="false">IF(AH451&gt;0,1,0)</f>
        <v>0</v>
      </c>
    </row>
    <row r="452" customFormat="false" ht="15" hidden="false" customHeight="false" outlineLevel="0" collapsed="false">
      <c r="A452" s="80" t="str">
        <f aca="false">Inputs!$B$64</f>
        <v>BED-005</v>
      </c>
      <c r="B452" s="81" t="n">
        <f aca="false">B451+1</f>
        <v>104</v>
      </c>
      <c r="C452" s="81" t="n">
        <f aca="false">MATCH(A452,Inputs!$B$40:$B$87,0)</f>
        <v>25</v>
      </c>
      <c r="D452" s="82" t="n">
        <f aca="false">INDEX(Inputs!$F$40:$F$87,C452)</f>
        <v>4</v>
      </c>
      <c r="E452" s="83" t="n">
        <f aca="false">INDEX(Inputs!$H$40:$H$87,C452)</f>
        <v>65</v>
      </c>
      <c r="F452" s="83" t="n">
        <f aca="false">INDEX(Inputs!$G$40:$G$87,C452)</f>
        <v>55</v>
      </c>
      <c r="G452" s="82" t="n">
        <f aca="false">INDEX(Inputs!$I$40:$I$87,C452)</f>
        <v>2</v>
      </c>
      <c r="H452" s="81" t="n">
        <f aca="false">MATCH(A452,Demand_History!$C:$C,0)+B452-1</f>
        <v>2601</v>
      </c>
      <c r="I452" s="82" t="n">
        <f aca="false">INDEX(Forecast_Walkforward!$C:$C,H452)</f>
        <v>13</v>
      </c>
      <c r="J452" s="84" t="n">
        <f aca="false">INDEX(Forecast_Walkforward!$E:$E,H452)</f>
        <v>11</v>
      </c>
      <c r="K452" s="85" t="n">
        <f aca="false">Baseline_Weeks*J452</f>
        <v>44</v>
      </c>
      <c r="L452" s="81" t="n">
        <f aca="false">SUMIFS(P$437:P451,$B$437:$B451,$B452-$D452)</f>
        <v>14</v>
      </c>
      <c r="M452" s="81" t="n">
        <f aca="false">S451+L452</f>
        <v>14</v>
      </c>
      <c r="N452" s="81" t="n">
        <f aca="false">SUMIFS(P$437:P451,$B$437:$B451,"&gt;"&amp;($B452-$D452))</f>
        <v>28</v>
      </c>
      <c r="O452" s="81" t="n">
        <f aca="false">M452+N452</f>
        <v>42</v>
      </c>
      <c r="P452" s="86" t="n">
        <f aca="false">IF(O452&lt;K452,ROUNDUP((K452-O452)/G452,0)*G452,0)</f>
        <v>2</v>
      </c>
      <c r="Q452" s="81" t="n">
        <f aca="false">MIN(M452,I452)</f>
        <v>13</v>
      </c>
      <c r="R452" s="81" t="n">
        <f aca="false">I452-Q452</f>
        <v>0</v>
      </c>
      <c r="S452" s="81" t="n">
        <f aca="false">M452-Q452</f>
        <v>1</v>
      </c>
      <c r="T452" s="81" t="n">
        <f aca="false">IF(R452&gt;0,1,0)</f>
        <v>0</v>
      </c>
      <c r="U452" s="82" t="n">
        <f aca="false">INDEX(Forecast!$AY$7:$AY$54,C452)</f>
        <v>2</v>
      </c>
      <c r="V452" s="85" t="n">
        <f aca="false">CHOOSE(U452,INDEX(Forecast_Walkforward!$D:$D,H452),INDEX(Forecast_Walkforward!$E:$E,H452),INDEX(Forecast_Walkforward!$F:$F,H452),INDEX(Forecast_Walkforward!$G:$G,H452))</f>
        <v>11</v>
      </c>
      <c r="W452" s="84" t="n">
        <f aca="false">INDEX(Forecast!$BA$7:$BA$54,C452)</f>
        <v>2.72266338859614</v>
      </c>
      <c r="X452" s="85" t="n">
        <f aca="false">Z_Value*W452*SQRT(D452)</f>
        <v>8.95676549940069</v>
      </c>
      <c r="Y452" s="85" t="n">
        <f aca="false">V452*D452+X452</f>
        <v>52.9567654994007</v>
      </c>
      <c r="Z452" s="85" t="n">
        <f aca="false">SQRT((2*V452*Weeks_Per_Year*F452)/(E452*Holding_Rate))</f>
        <v>69.5701085237044</v>
      </c>
      <c r="AA452" s="81" t="n">
        <f aca="false">ROUNDUP(Z452/G452,0)*G452</f>
        <v>70</v>
      </c>
      <c r="AB452" s="81" t="n">
        <f aca="false">SUMIFS(AF$437:AF451,$B$437:$B451,$B452-$D452)</f>
        <v>0</v>
      </c>
      <c r="AC452" s="81" t="n">
        <f aca="false">AI451+AB452</f>
        <v>62</v>
      </c>
      <c r="AD452" s="81" t="n">
        <f aca="false">SUMIFS(AF$437:AF451,$B$437:$B451,"&gt;"&amp;($B452-$D452))</f>
        <v>0</v>
      </c>
      <c r="AE452" s="81" t="n">
        <f aca="false">AC452+AD452</f>
        <v>62</v>
      </c>
      <c r="AF452" s="86" t="n">
        <f aca="false">IF(AE452&lt;=Y452,AA452,0)</f>
        <v>0</v>
      </c>
      <c r="AG452" s="81" t="n">
        <f aca="false">MIN(AC452,I452)</f>
        <v>13</v>
      </c>
      <c r="AH452" s="81" t="n">
        <f aca="false">I452-AG452</f>
        <v>0</v>
      </c>
      <c r="AI452" s="81" t="n">
        <f aca="false">AC452-AG452</f>
        <v>49</v>
      </c>
      <c r="AJ452" s="81" t="n">
        <f aca="false">IF(AH452&gt;0,1,0)</f>
        <v>0</v>
      </c>
    </row>
    <row r="453" customFormat="false" ht="15" hidden="false" customHeight="false" outlineLevel="0" collapsed="false">
      <c r="A453" s="31" t="str">
        <f aca="false">Inputs!$B$65</f>
        <v>BED-006</v>
      </c>
      <c r="B453" s="46" t="n">
        <f aca="false">BT_Start_Week</f>
        <v>89</v>
      </c>
      <c r="C453" s="46" t="n">
        <f aca="false">MATCH(A453,Inputs!$B$40:$B$87,0)</f>
        <v>26</v>
      </c>
      <c r="D453" s="32" t="n">
        <f aca="false">INDEX(Inputs!$F$40:$F$87,C453)</f>
        <v>4</v>
      </c>
      <c r="E453" s="78" t="n">
        <f aca="false">INDEX(Inputs!$H$40:$H$87,C453)</f>
        <v>29</v>
      </c>
      <c r="F453" s="78" t="n">
        <f aca="false">INDEX(Inputs!$G$40:$G$87,C453)</f>
        <v>55</v>
      </c>
      <c r="G453" s="32" t="n">
        <f aca="false">INDEX(Inputs!$I$40:$I$87,C453)</f>
        <v>6</v>
      </c>
      <c r="H453" s="46" t="n">
        <f aca="false">MATCH(A453,Demand_History!$C:$C,0)+B453-1</f>
        <v>2690</v>
      </c>
      <c r="I453" s="32" t="n">
        <f aca="false">INDEX(Forecast_Walkforward!$C:$C,H453)</f>
        <v>29</v>
      </c>
      <c r="J453" s="79" t="n">
        <f aca="false">INDEX(Forecast_Walkforward!$E:$E,H453)</f>
        <v>28.5</v>
      </c>
      <c r="K453" s="33" t="n">
        <f aca="false">Baseline_Weeks*J453</f>
        <v>114</v>
      </c>
      <c r="L453" s="46" t="n">
        <f aca="false">0</f>
        <v>0</v>
      </c>
      <c r="M453" s="46" t="n">
        <f aca="false">ROUND(BT_Open_Cover*INDEX(Forecast_Walkforward!$F:$F,H453),0)+L453</f>
        <v>172</v>
      </c>
      <c r="N453" s="46" t="n">
        <f aca="false">0</f>
        <v>0</v>
      </c>
      <c r="O453" s="46" t="n">
        <f aca="false">M453+N453</f>
        <v>172</v>
      </c>
      <c r="P453" s="47" t="n">
        <f aca="false">IF(O453&lt;K453,ROUNDUP((K453-O453)/G453,0)*G453,0)</f>
        <v>0</v>
      </c>
      <c r="Q453" s="46" t="n">
        <f aca="false">MIN(M453,I453)</f>
        <v>29</v>
      </c>
      <c r="R453" s="46" t="n">
        <f aca="false">I453-Q453</f>
        <v>0</v>
      </c>
      <c r="S453" s="46" t="n">
        <f aca="false">M453-Q453</f>
        <v>143</v>
      </c>
      <c r="T453" s="46" t="n">
        <f aca="false">IF(R453&gt;0,1,0)</f>
        <v>0</v>
      </c>
      <c r="U453" s="32" t="n">
        <f aca="false">INDEX(Forecast!$AY$7:$AY$54,C453)</f>
        <v>2</v>
      </c>
      <c r="V453" s="33" t="n">
        <f aca="false">CHOOSE(U453,INDEX(Forecast_Walkforward!$D:$D,H453),INDEX(Forecast_Walkforward!$E:$E,H453),INDEX(Forecast_Walkforward!$F:$F,H453),INDEX(Forecast_Walkforward!$G:$G,H453))</f>
        <v>28.5</v>
      </c>
      <c r="W453" s="79" t="n">
        <f aca="false">INDEX(Forecast!$BA$7:$BA$54,C453)</f>
        <v>4.20503451041556</v>
      </c>
      <c r="X453" s="33" t="n">
        <f aca="false">Z_Value*W453*SQRT(D453)</f>
        <v>13.8333325318263</v>
      </c>
      <c r="Y453" s="33" t="n">
        <f aca="false">V453*D453+X453</f>
        <v>127.833332531826</v>
      </c>
      <c r="Z453" s="33" t="n">
        <f aca="false">SQRT((2*V453*Weeks_Per_Year*F453)/(E453*Holding_Rate))</f>
        <v>167.651115569578</v>
      </c>
      <c r="AA453" s="46" t="n">
        <f aca="false">ROUNDUP(Z453/G453,0)*G453</f>
        <v>168</v>
      </c>
      <c r="AB453" s="46" t="n">
        <f aca="false">0</f>
        <v>0</v>
      </c>
      <c r="AC453" s="46" t="n">
        <f aca="false">ROUND(BT_Open_Cover*INDEX(Forecast_Walkforward!$F:$F,H453),0)+AB453</f>
        <v>172</v>
      </c>
      <c r="AD453" s="46" t="n">
        <f aca="false">0</f>
        <v>0</v>
      </c>
      <c r="AE453" s="46" t="n">
        <f aca="false">AC453+AD453</f>
        <v>172</v>
      </c>
      <c r="AF453" s="47" t="n">
        <f aca="false">IF(AE453&lt;=Y453,AA453,0)</f>
        <v>0</v>
      </c>
      <c r="AG453" s="46" t="n">
        <f aca="false">MIN(AC453,I453)</f>
        <v>29</v>
      </c>
      <c r="AH453" s="46" t="n">
        <f aca="false">I453-AG453</f>
        <v>0</v>
      </c>
      <c r="AI453" s="46" t="n">
        <f aca="false">AC453-AG453</f>
        <v>143</v>
      </c>
      <c r="AJ453" s="46" t="n">
        <f aca="false">IF(AH453&gt;0,1,0)</f>
        <v>0</v>
      </c>
    </row>
    <row r="454" customFormat="false" ht="15" hidden="false" customHeight="false" outlineLevel="0" collapsed="false">
      <c r="A454" s="31" t="str">
        <f aca="false">Inputs!$B$65</f>
        <v>BED-006</v>
      </c>
      <c r="B454" s="46" t="n">
        <f aca="false">B453+1</f>
        <v>90</v>
      </c>
      <c r="C454" s="46" t="n">
        <f aca="false">MATCH(A454,Inputs!$B$40:$B$87,0)</f>
        <v>26</v>
      </c>
      <c r="D454" s="32" t="n">
        <f aca="false">INDEX(Inputs!$F$40:$F$87,C454)</f>
        <v>4</v>
      </c>
      <c r="E454" s="78" t="n">
        <f aca="false">INDEX(Inputs!$H$40:$H$87,C454)</f>
        <v>29</v>
      </c>
      <c r="F454" s="78" t="n">
        <f aca="false">INDEX(Inputs!$G$40:$G$87,C454)</f>
        <v>55</v>
      </c>
      <c r="G454" s="32" t="n">
        <f aca="false">INDEX(Inputs!$I$40:$I$87,C454)</f>
        <v>6</v>
      </c>
      <c r="H454" s="46" t="n">
        <f aca="false">MATCH(A454,Demand_History!$C:$C,0)+B454-1</f>
        <v>2691</v>
      </c>
      <c r="I454" s="32" t="n">
        <f aca="false">INDEX(Forecast_Walkforward!$C:$C,H454)</f>
        <v>32</v>
      </c>
      <c r="J454" s="79" t="n">
        <f aca="false">INDEX(Forecast_Walkforward!$E:$E,H454)</f>
        <v>28.5</v>
      </c>
      <c r="K454" s="33" t="n">
        <f aca="false">Baseline_Weeks*J454</f>
        <v>114</v>
      </c>
      <c r="L454" s="46" t="n">
        <f aca="false">SUMIFS(P$453:P453,$B$453:$B453,$B454-$D454)</f>
        <v>0</v>
      </c>
      <c r="M454" s="46" t="n">
        <f aca="false">S453+L454</f>
        <v>143</v>
      </c>
      <c r="N454" s="46" t="n">
        <f aca="false">SUMIFS(P$453:P453,$B$453:$B453,"&gt;"&amp;($B454-$D454))</f>
        <v>0</v>
      </c>
      <c r="O454" s="46" t="n">
        <f aca="false">M454+N454</f>
        <v>143</v>
      </c>
      <c r="P454" s="47" t="n">
        <f aca="false">IF(O454&lt;K454,ROUNDUP((K454-O454)/G454,0)*G454,0)</f>
        <v>0</v>
      </c>
      <c r="Q454" s="46" t="n">
        <f aca="false">MIN(M454,I454)</f>
        <v>32</v>
      </c>
      <c r="R454" s="46" t="n">
        <f aca="false">I454-Q454</f>
        <v>0</v>
      </c>
      <c r="S454" s="46" t="n">
        <f aca="false">M454-Q454</f>
        <v>111</v>
      </c>
      <c r="T454" s="46" t="n">
        <f aca="false">IF(R454&gt;0,1,0)</f>
        <v>0</v>
      </c>
      <c r="U454" s="32" t="n">
        <f aca="false">INDEX(Forecast!$AY$7:$AY$54,C454)</f>
        <v>2</v>
      </c>
      <c r="V454" s="33" t="n">
        <f aca="false">CHOOSE(U454,INDEX(Forecast_Walkforward!$D:$D,H454),INDEX(Forecast_Walkforward!$E:$E,H454),INDEX(Forecast_Walkforward!$F:$F,H454),INDEX(Forecast_Walkforward!$G:$G,H454))</f>
        <v>28.5</v>
      </c>
      <c r="W454" s="79" t="n">
        <f aca="false">INDEX(Forecast!$BA$7:$BA$54,C454)</f>
        <v>4.20503451041556</v>
      </c>
      <c r="X454" s="33" t="n">
        <f aca="false">Z_Value*W454*SQRT(D454)</f>
        <v>13.8333325318263</v>
      </c>
      <c r="Y454" s="33" t="n">
        <f aca="false">V454*D454+X454</f>
        <v>127.833332531826</v>
      </c>
      <c r="Z454" s="33" t="n">
        <f aca="false">SQRT((2*V454*Weeks_Per_Year*F454)/(E454*Holding_Rate))</f>
        <v>167.651115569578</v>
      </c>
      <c r="AA454" s="46" t="n">
        <f aca="false">ROUNDUP(Z454/G454,0)*G454</f>
        <v>168</v>
      </c>
      <c r="AB454" s="46" t="n">
        <f aca="false">SUMIFS(AF$453:AF453,$B$453:$B453,$B454-$D454)</f>
        <v>0</v>
      </c>
      <c r="AC454" s="46" t="n">
        <f aca="false">AI453+AB454</f>
        <v>143</v>
      </c>
      <c r="AD454" s="46" t="n">
        <f aca="false">SUMIFS(AF$453:AF453,$B$453:$B453,"&gt;"&amp;($B454-$D454))</f>
        <v>0</v>
      </c>
      <c r="AE454" s="46" t="n">
        <f aca="false">AC454+AD454</f>
        <v>143</v>
      </c>
      <c r="AF454" s="47" t="n">
        <f aca="false">IF(AE454&lt;=Y454,AA454,0)</f>
        <v>0</v>
      </c>
      <c r="AG454" s="46" t="n">
        <f aca="false">MIN(AC454,I454)</f>
        <v>32</v>
      </c>
      <c r="AH454" s="46" t="n">
        <f aca="false">I454-AG454</f>
        <v>0</v>
      </c>
      <c r="AI454" s="46" t="n">
        <f aca="false">AC454-AG454</f>
        <v>111</v>
      </c>
      <c r="AJ454" s="46" t="n">
        <f aca="false">IF(AH454&gt;0,1,0)</f>
        <v>0</v>
      </c>
    </row>
    <row r="455" customFormat="false" ht="15" hidden="false" customHeight="false" outlineLevel="0" collapsed="false">
      <c r="A455" s="31" t="str">
        <f aca="false">Inputs!$B$65</f>
        <v>BED-006</v>
      </c>
      <c r="B455" s="46" t="n">
        <f aca="false">B454+1</f>
        <v>91</v>
      </c>
      <c r="C455" s="46" t="n">
        <f aca="false">MATCH(A455,Inputs!$B$40:$B$87,0)</f>
        <v>26</v>
      </c>
      <c r="D455" s="32" t="n">
        <f aca="false">INDEX(Inputs!$F$40:$F$87,C455)</f>
        <v>4</v>
      </c>
      <c r="E455" s="78" t="n">
        <f aca="false">INDEX(Inputs!$H$40:$H$87,C455)</f>
        <v>29</v>
      </c>
      <c r="F455" s="78" t="n">
        <f aca="false">INDEX(Inputs!$G$40:$G$87,C455)</f>
        <v>55</v>
      </c>
      <c r="G455" s="32" t="n">
        <f aca="false">INDEX(Inputs!$I$40:$I$87,C455)</f>
        <v>6</v>
      </c>
      <c r="H455" s="46" t="n">
        <f aca="false">MATCH(A455,Demand_History!$C:$C,0)+B455-1</f>
        <v>2692</v>
      </c>
      <c r="I455" s="32" t="n">
        <f aca="false">INDEX(Forecast_Walkforward!$C:$C,H455)</f>
        <v>29</v>
      </c>
      <c r="J455" s="79" t="n">
        <f aca="false">INDEX(Forecast_Walkforward!$E:$E,H455)</f>
        <v>30.5</v>
      </c>
      <c r="K455" s="33" t="n">
        <f aca="false">Baseline_Weeks*J455</f>
        <v>122</v>
      </c>
      <c r="L455" s="46" t="n">
        <f aca="false">SUMIFS(P$453:P454,$B$453:$B454,$B455-$D455)</f>
        <v>0</v>
      </c>
      <c r="M455" s="46" t="n">
        <f aca="false">S454+L455</f>
        <v>111</v>
      </c>
      <c r="N455" s="46" t="n">
        <f aca="false">SUMIFS(P$453:P454,$B$453:$B454,"&gt;"&amp;($B455-$D455))</f>
        <v>0</v>
      </c>
      <c r="O455" s="46" t="n">
        <f aca="false">M455+N455</f>
        <v>111</v>
      </c>
      <c r="P455" s="47" t="n">
        <f aca="false">IF(O455&lt;K455,ROUNDUP((K455-O455)/G455,0)*G455,0)</f>
        <v>12</v>
      </c>
      <c r="Q455" s="46" t="n">
        <f aca="false">MIN(M455,I455)</f>
        <v>29</v>
      </c>
      <c r="R455" s="46" t="n">
        <f aca="false">I455-Q455</f>
        <v>0</v>
      </c>
      <c r="S455" s="46" t="n">
        <f aca="false">M455-Q455</f>
        <v>82</v>
      </c>
      <c r="T455" s="46" t="n">
        <f aca="false">IF(R455&gt;0,1,0)</f>
        <v>0</v>
      </c>
      <c r="U455" s="32" t="n">
        <f aca="false">INDEX(Forecast!$AY$7:$AY$54,C455)</f>
        <v>2</v>
      </c>
      <c r="V455" s="33" t="n">
        <f aca="false">CHOOSE(U455,INDEX(Forecast_Walkforward!$D:$D,H455),INDEX(Forecast_Walkforward!$E:$E,H455),INDEX(Forecast_Walkforward!$F:$F,H455),INDEX(Forecast_Walkforward!$G:$G,H455))</f>
        <v>30.5</v>
      </c>
      <c r="W455" s="79" t="n">
        <f aca="false">INDEX(Forecast!$BA$7:$BA$54,C455)</f>
        <v>4.20503451041556</v>
      </c>
      <c r="X455" s="33" t="n">
        <f aca="false">Z_Value*W455*SQRT(D455)</f>
        <v>13.8333325318263</v>
      </c>
      <c r="Y455" s="33" t="n">
        <f aca="false">V455*D455+X455</f>
        <v>135.833332531826</v>
      </c>
      <c r="Z455" s="33" t="n">
        <f aca="false">SQRT((2*V455*Weeks_Per_Year*F455)/(E455*Holding_Rate))</f>
        <v>173.433878884224</v>
      </c>
      <c r="AA455" s="46" t="n">
        <f aca="false">ROUNDUP(Z455/G455,0)*G455</f>
        <v>174</v>
      </c>
      <c r="AB455" s="46" t="n">
        <f aca="false">SUMIFS(AF$453:AF454,$B$453:$B454,$B455-$D455)</f>
        <v>0</v>
      </c>
      <c r="AC455" s="46" t="n">
        <f aca="false">AI454+AB455</f>
        <v>111</v>
      </c>
      <c r="AD455" s="46" t="n">
        <f aca="false">SUMIFS(AF$453:AF454,$B$453:$B454,"&gt;"&amp;($B455-$D455))</f>
        <v>0</v>
      </c>
      <c r="AE455" s="46" t="n">
        <f aca="false">AC455+AD455</f>
        <v>111</v>
      </c>
      <c r="AF455" s="47" t="n">
        <f aca="false">IF(AE455&lt;=Y455,AA455,0)</f>
        <v>174</v>
      </c>
      <c r="AG455" s="46" t="n">
        <f aca="false">MIN(AC455,I455)</f>
        <v>29</v>
      </c>
      <c r="AH455" s="46" t="n">
        <f aca="false">I455-AG455</f>
        <v>0</v>
      </c>
      <c r="AI455" s="46" t="n">
        <f aca="false">AC455-AG455</f>
        <v>82</v>
      </c>
      <c r="AJ455" s="46" t="n">
        <f aca="false">IF(AH455&gt;0,1,0)</f>
        <v>0</v>
      </c>
    </row>
    <row r="456" customFormat="false" ht="15" hidden="false" customHeight="false" outlineLevel="0" collapsed="false">
      <c r="A456" s="31" t="str">
        <f aca="false">Inputs!$B$65</f>
        <v>BED-006</v>
      </c>
      <c r="B456" s="46" t="n">
        <f aca="false">B455+1</f>
        <v>92</v>
      </c>
      <c r="C456" s="46" t="n">
        <f aca="false">MATCH(A456,Inputs!$B$40:$B$87,0)</f>
        <v>26</v>
      </c>
      <c r="D456" s="32" t="n">
        <f aca="false">INDEX(Inputs!$F$40:$F$87,C456)</f>
        <v>4</v>
      </c>
      <c r="E456" s="78" t="n">
        <f aca="false">INDEX(Inputs!$H$40:$H$87,C456)</f>
        <v>29</v>
      </c>
      <c r="F456" s="78" t="n">
        <f aca="false">INDEX(Inputs!$G$40:$G$87,C456)</f>
        <v>55</v>
      </c>
      <c r="G456" s="32" t="n">
        <f aca="false">INDEX(Inputs!$I$40:$I$87,C456)</f>
        <v>6</v>
      </c>
      <c r="H456" s="46" t="n">
        <f aca="false">MATCH(A456,Demand_History!$C:$C,0)+B456-1</f>
        <v>2693</v>
      </c>
      <c r="I456" s="32" t="n">
        <f aca="false">INDEX(Forecast_Walkforward!$C:$C,H456)</f>
        <v>30</v>
      </c>
      <c r="J456" s="79" t="n">
        <f aca="false">INDEX(Forecast_Walkforward!$E:$E,H456)</f>
        <v>30.25</v>
      </c>
      <c r="K456" s="33" t="n">
        <f aca="false">Baseline_Weeks*J456</f>
        <v>121</v>
      </c>
      <c r="L456" s="46" t="n">
        <f aca="false">SUMIFS(P$453:P455,$B$453:$B455,$B456-$D456)</f>
        <v>0</v>
      </c>
      <c r="M456" s="46" t="n">
        <f aca="false">S455+L456</f>
        <v>82</v>
      </c>
      <c r="N456" s="46" t="n">
        <f aca="false">SUMIFS(P$453:P455,$B$453:$B455,"&gt;"&amp;($B456-$D456))</f>
        <v>12</v>
      </c>
      <c r="O456" s="46" t="n">
        <f aca="false">M456+N456</f>
        <v>94</v>
      </c>
      <c r="P456" s="47" t="n">
        <f aca="false">IF(O456&lt;K456,ROUNDUP((K456-O456)/G456,0)*G456,0)</f>
        <v>30</v>
      </c>
      <c r="Q456" s="46" t="n">
        <f aca="false">MIN(M456,I456)</f>
        <v>30</v>
      </c>
      <c r="R456" s="46" t="n">
        <f aca="false">I456-Q456</f>
        <v>0</v>
      </c>
      <c r="S456" s="46" t="n">
        <f aca="false">M456-Q456</f>
        <v>52</v>
      </c>
      <c r="T456" s="46" t="n">
        <f aca="false">IF(R456&gt;0,1,0)</f>
        <v>0</v>
      </c>
      <c r="U456" s="32" t="n">
        <f aca="false">INDEX(Forecast!$AY$7:$AY$54,C456)</f>
        <v>2</v>
      </c>
      <c r="V456" s="33" t="n">
        <f aca="false">CHOOSE(U456,INDEX(Forecast_Walkforward!$D:$D,H456),INDEX(Forecast_Walkforward!$E:$E,H456),INDEX(Forecast_Walkforward!$F:$F,H456),INDEX(Forecast_Walkforward!$G:$G,H456))</f>
        <v>30.25</v>
      </c>
      <c r="W456" s="79" t="n">
        <f aca="false">INDEX(Forecast!$BA$7:$BA$54,C456)</f>
        <v>4.20503451041556</v>
      </c>
      <c r="X456" s="33" t="n">
        <f aca="false">Z_Value*W456*SQRT(D456)</f>
        <v>13.8333325318263</v>
      </c>
      <c r="Y456" s="33" t="n">
        <f aca="false">V456*D456+X456</f>
        <v>134.833332531826</v>
      </c>
      <c r="Z456" s="33" t="n">
        <f aca="false">SQRT((2*V456*Weeks_Per_Year*F456)/(E456*Holding_Rate))</f>
        <v>172.721621752141</v>
      </c>
      <c r="AA456" s="46" t="n">
        <f aca="false">ROUNDUP(Z456/G456,0)*G456</f>
        <v>174</v>
      </c>
      <c r="AB456" s="46" t="n">
        <f aca="false">SUMIFS(AF$453:AF455,$B$453:$B455,$B456-$D456)</f>
        <v>0</v>
      </c>
      <c r="AC456" s="46" t="n">
        <f aca="false">AI455+AB456</f>
        <v>82</v>
      </c>
      <c r="AD456" s="46" t="n">
        <f aca="false">SUMIFS(AF$453:AF455,$B$453:$B455,"&gt;"&amp;($B456-$D456))</f>
        <v>174</v>
      </c>
      <c r="AE456" s="46" t="n">
        <f aca="false">AC456+AD456</f>
        <v>256</v>
      </c>
      <c r="AF456" s="47" t="n">
        <f aca="false">IF(AE456&lt;=Y456,AA456,0)</f>
        <v>0</v>
      </c>
      <c r="AG456" s="46" t="n">
        <f aca="false">MIN(AC456,I456)</f>
        <v>30</v>
      </c>
      <c r="AH456" s="46" t="n">
        <f aca="false">I456-AG456</f>
        <v>0</v>
      </c>
      <c r="AI456" s="46" t="n">
        <f aca="false">AC456-AG456</f>
        <v>52</v>
      </c>
      <c r="AJ456" s="46" t="n">
        <f aca="false">IF(AH456&gt;0,1,0)</f>
        <v>0</v>
      </c>
    </row>
    <row r="457" customFormat="false" ht="15" hidden="false" customHeight="false" outlineLevel="0" collapsed="false">
      <c r="A457" s="31" t="str">
        <f aca="false">Inputs!$B$65</f>
        <v>BED-006</v>
      </c>
      <c r="B457" s="46" t="n">
        <f aca="false">B456+1</f>
        <v>93</v>
      </c>
      <c r="C457" s="46" t="n">
        <f aca="false">MATCH(A457,Inputs!$B$40:$B$87,0)</f>
        <v>26</v>
      </c>
      <c r="D457" s="32" t="n">
        <f aca="false">INDEX(Inputs!$F$40:$F$87,C457)</f>
        <v>4</v>
      </c>
      <c r="E457" s="78" t="n">
        <f aca="false">INDEX(Inputs!$H$40:$H$87,C457)</f>
        <v>29</v>
      </c>
      <c r="F457" s="78" t="n">
        <f aca="false">INDEX(Inputs!$G$40:$G$87,C457)</f>
        <v>55</v>
      </c>
      <c r="G457" s="32" t="n">
        <f aca="false">INDEX(Inputs!$I$40:$I$87,C457)</f>
        <v>6</v>
      </c>
      <c r="H457" s="46" t="n">
        <f aca="false">MATCH(A457,Demand_History!$C:$C,0)+B457-1</f>
        <v>2694</v>
      </c>
      <c r="I457" s="32" t="n">
        <f aca="false">INDEX(Forecast_Walkforward!$C:$C,H457)</f>
        <v>24</v>
      </c>
      <c r="J457" s="79" t="n">
        <f aca="false">INDEX(Forecast_Walkforward!$E:$E,H457)</f>
        <v>30</v>
      </c>
      <c r="K457" s="33" t="n">
        <f aca="false">Baseline_Weeks*J457</f>
        <v>120</v>
      </c>
      <c r="L457" s="46" t="n">
        <f aca="false">SUMIFS(P$453:P456,$B$453:$B456,$B457-$D457)</f>
        <v>0</v>
      </c>
      <c r="M457" s="46" t="n">
        <f aca="false">S456+L457</f>
        <v>52</v>
      </c>
      <c r="N457" s="46" t="n">
        <f aca="false">SUMIFS(P$453:P456,$B$453:$B456,"&gt;"&amp;($B457-$D457))</f>
        <v>42</v>
      </c>
      <c r="O457" s="46" t="n">
        <f aca="false">M457+N457</f>
        <v>94</v>
      </c>
      <c r="P457" s="47" t="n">
        <f aca="false">IF(O457&lt;K457,ROUNDUP((K457-O457)/G457,0)*G457,0)</f>
        <v>30</v>
      </c>
      <c r="Q457" s="46" t="n">
        <f aca="false">MIN(M457,I457)</f>
        <v>24</v>
      </c>
      <c r="R457" s="46" t="n">
        <f aca="false">I457-Q457</f>
        <v>0</v>
      </c>
      <c r="S457" s="46" t="n">
        <f aca="false">M457-Q457</f>
        <v>28</v>
      </c>
      <c r="T457" s="46" t="n">
        <f aca="false">IF(R457&gt;0,1,0)</f>
        <v>0</v>
      </c>
      <c r="U457" s="32" t="n">
        <f aca="false">INDEX(Forecast!$AY$7:$AY$54,C457)</f>
        <v>2</v>
      </c>
      <c r="V457" s="33" t="n">
        <f aca="false">CHOOSE(U457,INDEX(Forecast_Walkforward!$D:$D,H457),INDEX(Forecast_Walkforward!$E:$E,H457),INDEX(Forecast_Walkforward!$F:$F,H457),INDEX(Forecast_Walkforward!$G:$G,H457))</f>
        <v>30</v>
      </c>
      <c r="W457" s="79" t="n">
        <f aca="false">INDEX(Forecast!$BA$7:$BA$54,C457)</f>
        <v>4.20503451041556</v>
      </c>
      <c r="X457" s="33" t="n">
        <f aca="false">Z_Value*W457*SQRT(D457)</f>
        <v>13.8333325318263</v>
      </c>
      <c r="Y457" s="33" t="n">
        <f aca="false">V457*D457+X457</f>
        <v>133.833332531826</v>
      </c>
      <c r="Z457" s="33" t="n">
        <f aca="false">SQRT((2*V457*Weeks_Per_Year*F457)/(E457*Holding_Rate))</f>
        <v>172.006415277314</v>
      </c>
      <c r="AA457" s="46" t="n">
        <f aca="false">ROUNDUP(Z457/G457,0)*G457</f>
        <v>174</v>
      </c>
      <c r="AB457" s="46" t="n">
        <f aca="false">SUMIFS(AF$453:AF456,$B$453:$B456,$B457-$D457)</f>
        <v>0</v>
      </c>
      <c r="AC457" s="46" t="n">
        <f aca="false">AI456+AB457</f>
        <v>52</v>
      </c>
      <c r="AD457" s="46" t="n">
        <f aca="false">SUMIFS(AF$453:AF456,$B$453:$B456,"&gt;"&amp;($B457-$D457))</f>
        <v>174</v>
      </c>
      <c r="AE457" s="46" t="n">
        <f aca="false">AC457+AD457</f>
        <v>226</v>
      </c>
      <c r="AF457" s="47" t="n">
        <f aca="false">IF(AE457&lt;=Y457,AA457,0)</f>
        <v>0</v>
      </c>
      <c r="AG457" s="46" t="n">
        <f aca="false">MIN(AC457,I457)</f>
        <v>24</v>
      </c>
      <c r="AH457" s="46" t="n">
        <f aca="false">I457-AG457</f>
        <v>0</v>
      </c>
      <c r="AI457" s="46" t="n">
        <f aca="false">AC457-AG457</f>
        <v>28</v>
      </c>
      <c r="AJ457" s="46" t="n">
        <f aca="false">IF(AH457&gt;0,1,0)</f>
        <v>0</v>
      </c>
    </row>
    <row r="458" customFormat="false" ht="15" hidden="false" customHeight="false" outlineLevel="0" collapsed="false">
      <c r="A458" s="31" t="str">
        <f aca="false">Inputs!$B$65</f>
        <v>BED-006</v>
      </c>
      <c r="B458" s="46" t="n">
        <f aca="false">B457+1</f>
        <v>94</v>
      </c>
      <c r="C458" s="46" t="n">
        <f aca="false">MATCH(A458,Inputs!$B$40:$B$87,0)</f>
        <v>26</v>
      </c>
      <c r="D458" s="32" t="n">
        <f aca="false">INDEX(Inputs!$F$40:$F$87,C458)</f>
        <v>4</v>
      </c>
      <c r="E458" s="78" t="n">
        <f aca="false">INDEX(Inputs!$H$40:$H$87,C458)</f>
        <v>29</v>
      </c>
      <c r="F458" s="78" t="n">
        <f aca="false">INDEX(Inputs!$G$40:$G$87,C458)</f>
        <v>55</v>
      </c>
      <c r="G458" s="32" t="n">
        <f aca="false">INDEX(Inputs!$I$40:$I$87,C458)</f>
        <v>6</v>
      </c>
      <c r="H458" s="46" t="n">
        <f aca="false">MATCH(A458,Demand_History!$C:$C,0)+B458-1</f>
        <v>2695</v>
      </c>
      <c r="I458" s="32" t="n">
        <f aca="false">INDEX(Forecast_Walkforward!$C:$C,H458)</f>
        <v>30</v>
      </c>
      <c r="J458" s="79" t="n">
        <f aca="false">INDEX(Forecast_Walkforward!$E:$E,H458)</f>
        <v>28.75</v>
      </c>
      <c r="K458" s="33" t="n">
        <f aca="false">Baseline_Weeks*J458</f>
        <v>115</v>
      </c>
      <c r="L458" s="46" t="n">
        <f aca="false">SUMIFS(P$453:P457,$B$453:$B457,$B458-$D458)</f>
        <v>0</v>
      </c>
      <c r="M458" s="46" t="n">
        <f aca="false">S457+L458</f>
        <v>28</v>
      </c>
      <c r="N458" s="46" t="n">
        <f aca="false">SUMIFS(P$453:P457,$B$453:$B457,"&gt;"&amp;($B458-$D458))</f>
        <v>72</v>
      </c>
      <c r="O458" s="46" t="n">
        <f aca="false">M458+N458</f>
        <v>100</v>
      </c>
      <c r="P458" s="47" t="n">
        <f aca="false">IF(O458&lt;K458,ROUNDUP((K458-O458)/G458,0)*G458,0)</f>
        <v>18</v>
      </c>
      <c r="Q458" s="46" t="n">
        <f aca="false">MIN(M458,I458)</f>
        <v>28</v>
      </c>
      <c r="R458" s="46" t="n">
        <f aca="false">I458-Q458</f>
        <v>2</v>
      </c>
      <c r="S458" s="46" t="n">
        <f aca="false">M458-Q458</f>
        <v>0</v>
      </c>
      <c r="T458" s="46" t="n">
        <f aca="false">IF(R458&gt;0,1,0)</f>
        <v>1</v>
      </c>
      <c r="U458" s="32" t="n">
        <f aca="false">INDEX(Forecast!$AY$7:$AY$54,C458)</f>
        <v>2</v>
      </c>
      <c r="V458" s="33" t="n">
        <f aca="false">CHOOSE(U458,INDEX(Forecast_Walkforward!$D:$D,H458),INDEX(Forecast_Walkforward!$E:$E,H458),INDEX(Forecast_Walkforward!$F:$F,H458),INDEX(Forecast_Walkforward!$G:$G,H458))</f>
        <v>28.75</v>
      </c>
      <c r="W458" s="79" t="n">
        <f aca="false">INDEX(Forecast!$BA$7:$BA$54,C458)</f>
        <v>4.20503451041556</v>
      </c>
      <c r="X458" s="33" t="n">
        <f aca="false">Z_Value*W458*SQRT(D458)</f>
        <v>13.8333325318263</v>
      </c>
      <c r="Y458" s="33" t="n">
        <f aca="false">V458*D458+X458</f>
        <v>128.833332531826</v>
      </c>
      <c r="Z458" s="33" t="n">
        <f aca="false">SQRT((2*V458*Weeks_Per_Year*F458)/(E458*Holding_Rate))</f>
        <v>168.384821987797</v>
      </c>
      <c r="AA458" s="46" t="n">
        <f aca="false">ROUNDUP(Z458/G458,0)*G458</f>
        <v>174</v>
      </c>
      <c r="AB458" s="46" t="n">
        <f aca="false">SUMIFS(AF$453:AF457,$B$453:$B457,$B458-$D458)</f>
        <v>0</v>
      </c>
      <c r="AC458" s="46" t="n">
        <f aca="false">AI457+AB458</f>
        <v>28</v>
      </c>
      <c r="AD458" s="46" t="n">
        <f aca="false">SUMIFS(AF$453:AF457,$B$453:$B457,"&gt;"&amp;($B458-$D458))</f>
        <v>174</v>
      </c>
      <c r="AE458" s="46" t="n">
        <f aca="false">AC458+AD458</f>
        <v>202</v>
      </c>
      <c r="AF458" s="47" t="n">
        <f aca="false">IF(AE458&lt;=Y458,AA458,0)</f>
        <v>0</v>
      </c>
      <c r="AG458" s="46" t="n">
        <f aca="false">MIN(AC458,I458)</f>
        <v>28</v>
      </c>
      <c r="AH458" s="46" t="n">
        <f aca="false">I458-AG458</f>
        <v>2</v>
      </c>
      <c r="AI458" s="46" t="n">
        <f aca="false">AC458-AG458</f>
        <v>0</v>
      </c>
      <c r="AJ458" s="46" t="n">
        <f aca="false">IF(AH458&gt;0,1,0)</f>
        <v>1</v>
      </c>
    </row>
    <row r="459" customFormat="false" ht="15" hidden="false" customHeight="false" outlineLevel="0" collapsed="false">
      <c r="A459" s="31" t="str">
        <f aca="false">Inputs!$B$65</f>
        <v>BED-006</v>
      </c>
      <c r="B459" s="46" t="n">
        <f aca="false">B458+1</f>
        <v>95</v>
      </c>
      <c r="C459" s="46" t="n">
        <f aca="false">MATCH(A459,Inputs!$B$40:$B$87,0)</f>
        <v>26</v>
      </c>
      <c r="D459" s="32" t="n">
        <f aca="false">INDEX(Inputs!$F$40:$F$87,C459)</f>
        <v>4</v>
      </c>
      <c r="E459" s="78" t="n">
        <f aca="false">INDEX(Inputs!$H$40:$H$87,C459)</f>
        <v>29</v>
      </c>
      <c r="F459" s="78" t="n">
        <f aca="false">INDEX(Inputs!$G$40:$G$87,C459)</f>
        <v>55</v>
      </c>
      <c r="G459" s="32" t="n">
        <f aca="false">INDEX(Inputs!$I$40:$I$87,C459)</f>
        <v>6</v>
      </c>
      <c r="H459" s="46" t="n">
        <f aca="false">MATCH(A459,Demand_History!$C:$C,0)+B459-1</f>
        <v>2696</v>
      </c>
      <c r="I459" s="32" t="n">
        <f aca="false">INDEX(Forecast_Walkforward!$C:$C,H459)</f>
        <v>27</v>
      </c>
      <c r="J459" s="79" t="n">
        <f aca="false">INDEX(Forecast_Walkforward!$E:$E,H459)</f>
        <v>28.25</v>
      </c>
      <c r="K459" s="33" t="n">
        <f aca="false">Baseline_Weeks*J459</f>
        <v>113</v>
      </c>
      <c r="L459" s="46" t="n">
        <f aca="false">SUMIFS(P$453:P458,$B$453:$B458,$B459-$D459)</f>
        <v>12</v>
      </c>
      <c r="M459" s="46" t="n">
        <f aca="false">S458+L459</f>
        <v>12</v>
      </c>
      <c r="N459" s="46" t="n">
        <f aca="false">SUMIFS(P$453:P458,$B$453:$B458,"&gt;"&amp;($B459-$D459))</f>
        <v>78</v>
      </c>
      <c r="O459" s="46" t="n">
        <f aca="false">M459+N459</f>
        <v>90</v>
      </c>
      <c r="P459" s="47" t="n">
        <f aca="false">IF(O459&lt;K459,ROUNDUP((K459-O459)/G459,0)*G459,0)</f>
        <v>24</v>
      </c>
      <c r="Q459" s="46" t="n">
        <f aca="false">MIN(M459,I459)</f>
        <v>12</v>
      </c>
      <c r="R459" s="46" t="n">
        <f aca="false">I459-Q459</f>
        <v>15</v>
      </c>
      <c r="S459" s="46" t="n">
        <f aca="false">M459-Q459</f>
        <v>0</v>
      </c>
      <c r="T459" s="46" t="n">
        <f aca="false">IF(R459&gt;0,1,0)</f>
        <v>1</v>
      </c>
      <c r="U459" s="32" t="n">
        <f aca="false">INDEX(Forecast!$AY$7:$AY$54,C459)</f>
        <v>2</v>
      </c>
      <c r="V459" s="33" t="n">
        <f aca="false">CHOOSE(U459,INDEX(Forecast_Walkforward!$D:$D,H459),INDEX(Forecast_Walkforward!$E:$E,H459),INDEX(Forecast_Walkforward!$F:$F,H459),INDEX(Forecast_Walkforward!$G:$G,H459))</f>
        <v>28.25</v>
      </c>
      <c r="W459" s="79" t="n">
        <f aca="false">INDEX(Forecast!$BA$7:$BA$54,C459)</f>
        <v>4.20503451041556</v>
      </c>
      <c r="X459" s="33" t="n">
        <f aca="false">Z_Value*W459*SQRT(D459)</f>
        <v>13.8333325318263</v>
      </c>
      <c r="Y459" s="33" t="n">
        <f aca="false">V459*D459+X459</f>
        <v>126.833332531826</v>
      </c>
      <c r="Z459" s="33" t="n">
        <f aca="false">SQRT((2*V459*Weeks_Per_Year*F459)/(E459*Holding_Rate))</f>
        <v>166.914184021569</v>
      </c>
      <c r="AA459" s="46" t="n">
        <f aca="false">ROUNDUP(Z459/G459,0)*G459</f>
        <v>168</v>
      </c>
      <c r="AB459" s="46" t="n">
        <f aca="false">SUMIFS(AF$453:AF458,$B$453:$B458,$B459-$D459)</f>
        <v>174</v>
      </c>
      <c r="AC459" s="46" t="n">
        <f aca="false">AI458+AB459</f>
        <v>174</v>
      </c>
      <c r="AD459" s="46" t="n">
        <f aca="false">SUMIFS(AF$453:AF458,$B$453:$B458,"&gt;"&amp;($B459-$D459))</f>
        <v>0</v>
      </c>
      <c r="AE459" s="46" t="n">
        <f aca="false">AC459+AD459</f>
        <v>174</v>
      </c>
      <c r="AF459" s="47" t="n">
        <f aca="false">IF(AE459&lt;=Y459,AA459,0)</f>
        <v>0</v>
      </c>
      <c r="AG459" s="46" t="n">
        <f aca="false">MIN(AC459,I459)</f>
        <v>27</v>
      </c>
      <c r="AH459" s="46" t="n">
        <f aca="false">I459-AG459</f>
        <v>0</v>
      </c>
      <c r="AI459" s="46" t="n">
        <f aca="false">AC459-AG459</f>
        <v>147</v>
      </c>
      <c r="AJ459" s="46" t="n">
        <f aca="false">IF(AH459&gt;0,1,0)</f>
        <v>0</v>
      </c>
    </row>
    <row r="460" customFormat="false" ht="15" hidden="false" customHeight="false" outlineLevel="0" collapsed="false">
      <c r="A460" s="31" t="str">
        <f aca="false">Inputs!$B$65</f>
        <v>BED-006</v>
      </c>
      <c r="B460" s="46" t="n">
        <f aca="false">B459+1</f>
        <v>96</v>
      </c>
      <c r="C460" s="46" t="n">
        <f aca="false">MATCH(A460,Inputs!$B$40:$B$87,0)</f>
        <v>26</v>
      </c>
      <c r="D460" s="32" t="n">
        <f aca="false">INDEX(Inputs!$F$40:$F$87,C460)</f>
        <v>4</v>
      </c>
      <c r="E460" s="78" t="n">
        <f aca="false">INDEX(Inputs!$H$40:$H$87,C460)</f>
        <v>29</v>
      </c>
      <c r="F460" s="78" t="n">
        <f aca="false">INDEX(Inputs!$G$40:$G$87,C460)</f>
        <v>55</v>
      </c>
      <c r="G460" s="32" t="n">
        <f aca="false">INDEX(Inputs!$I$40:$I$87,C460)</f>
        <v>6</v>
      </c>
      <c r="H460" s="46" t="n">
        <f aca="false">MATCH(A460,Demand_History!$C:$C,0)+B460-1</f>
        <v>2697</v>
      </c>
      <c r="I460" s="32" t="n">
        <f aca="false">INDEX(Forecast_Walkforward!$C:$C,H460)</f>
        <v>28</v>
      </c>
      <c r="J460" s="79" t="n">
        <f aca="false">INDEX(Forecast_Walkforward!$E:$E,H460)</f>
        <v>27.75</v>
      </c>
      <c r="K460" s="33" t="n">
        <f aca="false">Baseline_Weeks*J460</f>
        <v>111</v>
      </c>
      <c r="L460" s="46" t="n">
        <f aca="false">SUMIFS(P$453:P459,$B$453:$B459,$B460-$D460)</f>
        <v>30</v>
      </c>
      <c r="M460" s="46" t="n">
        <f aca="false">S459+L460</f>
        <v>30</v>
      </c>
      <c r="N460" s="46" t="n">
        <f aca="false">SUMIFS(P$453:P459,$B$453:$B459,"&gt;"&amp;($B460-$D460))</f>
        <v>72</v>
      </c>
      <c r="O460" s="46" t="n">
        <f aca="false">M460+N460</f>
        <v>102</v>
      </c>
      <c r="P460" s="47" t="n">
        <f aca="false">IF(O460&lt;K460,ROUNDUP((K460-O460)/G460,0)*G460,0)</f>
        <v>12</v>
      </c>
      <c r="Q460" s="46" t="n">
        <f aca="false">MIN(M460,I460)</f>
        <v>28</v>
      </c>
      <c r="R460" s="46" t="n">
        <f aca="false">I460-Q460</f>
        <v>0</v>
      </c>
      <c r="S460" s="46" t="n">
        <f aca="false">M460-Q460</f>
        <v>2</v>
      </c>
      <c r="T460" s="46" t="n">
        <f aca="false">IF(R460&gt;0,1,0)</f>
        <v>0</v>
      </c>
      <c r="U460" s="32" t="n">
        <f aca="false">INDEX(Forecast!$AY$7:$AY$54,C460)</f>
        <v>2</v>
      </c>
      <c r="V460" s="33" t="n">
        <f aca="false">CHOOSE(U460,INDEX(Forecast_Walkforward!$D:$D,H460),INDEX(Forecast_Walkforward!$E:$E,H460),INDEX(Forecast_Walkforward!$F:$F,H460),INDEX(Forecast_Walkforward!$G:$G,H460))</f>
        <v>27.75</v>
      </c>
      <c r="W460" s="79" t="n">
        <f aca="false">INDEX(Forecast!$BA$7:$BA$54,C460)</f>
        <v>4.20503451041556</v>
      </c>
      <c r="X460" s="33" t="n">
        <f aca="false">Z_Value*W460*SQRT(D460)</f>
        <v>13.8333325318263</v>
      </c>
      <c r="Y460" s="33" t="n">
        <f aca="false">V460*D460+X460</f>
        <v>124.833332531826</v>
      </c>
      <c r="Z460" s="33" t="n">
        <f aca="false">SQRT((2*V460*Weeks_Per_Year*F460)/(E460*Holding_Rate))</f>
        <v>165.430472946523</v>
      </c>
      <c r="AA460" s="46" t="n">
        <f aca="false">ROUNDUP(Z460/G460,0)*G460</f>
        <v>168</v>
      </c>
      <c r="AB460" s="46" t="n">
        <f aca="false">SUMIFS(AF$453:AF459,$B$453:$B459,$B460-$D460)</f>
        <v>0</v>
      </c>
      <c r="AC460" s="46" t="n">
        <f aca="false">AI459+AB460</f>
        <v>147</v>
      </c>
      <c r="AD460" s="46" t="n">
        <f aca="false">SUMIFS(AF$453:AF459,$B$453:$B459,"&gt;"&amp;($B460-$D460))</f>
        <v>0</v>
      </c>
      <c r="AE460" s="46" t="n">
        <f aca="false">AC460+AD460</f>
        <v>147</v>
      </c>
      <c r="AF460" s="47" t="n">
        <f aca="false">IF(AE460&lt;=Y460,AA460,0)</f>
        <v>0</v>
      </c>
      <c r="AG460" s="46" t="n">
        <f aca="false">MIN(AC460,I460)</f>
        <v>28</v>
      </c>
      <c r="AH460" s="46" t="n">
        <f aca="false">I460-AG460</f>
        <v>0</v>
      </c>
      <c r="AI460" s="46" t="n">
        <f aca="false">AC460-AG460</f>
        <v>119</v>
      </c>
      <c r="AJ460" s="46" t="n">
        <f aca="false">IF(AH460&gt;0,1,0)</f>
        <v>0</v>
      </c>
    </row>
    <row r="461" customFormat="false" ht="15" hidden="false" customHeight="false" outlineLevel="0" collapsed="false">
      <c r="A461" s="31" t="str">
        <f aca="false">Inputs!$B$65</f>
        <v>BED-006</v>
      </c>
      <c r="B461" s="46" t="n">
        <f aca="false">B460+1</f>
        <v>97</v>
      </c>
      <c r="C461" s="46" t="n">
        <f aca="false">MATCH(A461,Inputs!$B$40:$B$87,0)</f>
        <v>26</v>
      </c>
      <c r="D461" s="32" t="n">
        <f aca="false">INDEX(Inputs!$F$40:$F$87,C461)</f>
        <v>4</v>
      </c>
      <c r="E461" s="78" t="n">
        <f aca="false">INDEX(Inputs!$H$40:$H$87,C461)</f>
        <v>29</v>
      </c>
      <c r="F461" s="78" t="n">
        <f aca="false">INDEX(Inputs!$G$40:$G$87,C461)</f>
        <v>55</v>
      </c>
      <c r="G461" s="32" t="n">
        <f aca="false">INDEX(Inputs!$I$40:$I$87,C461)</f>
        <v>6</v>
      </c>
      <c r="H461" s="46" t="n">
        <f aca="false">MATCH(A461,Demand_History!$C:$C,0)+B461-1</f>
        <v>2698</v>
      </c>
      <c r="I461" s="32" t="n">
        <f aca="false">INDEX(Forecast_Walkforward!$C:$C,H461)</f>
        <v>30</v>
      </c>
      <c r="J461" s="79" t="n">
        <f aca="false">INDEX(Forecast_Walkforward!$E:$E,H461)</f>
        <v>27.25</v>
      </c>
      <c r="K461" s="33" t="n">
        <f aca="false">Baseline_Weeks*J461</f>
        <v>109</v>
      </c>
      <c r="L461" s="46" t="n">
        <f aca="false">SUMIFS(P$453:P460,$B$453:$B460,$B461-$D461)</f>
        <v>30</v>
      </c>
      <c r="M461" s="46" t="n">
        <f aca="false">S460+L461</f>
        <v>32</v>
      </c>
      <c r="N461" s="46" t="n">
        <f aca="false">SUMIFS(P$453:P460,$B$453:$B460,"&gt;"&amp;($B461-$D461))</f>
        <v>54</v>
      </c>
      <c r="O461" s="46" t="n">
        <f aca="false">M461+N461</f>
        <v>86</v>
      </c>
      <c r="P461" s="47" t="n">
        <f aca="false">IF(O461&lt;K461,ROUNDUP((K461-O461)/G461,0)*G461,0)</f>
        <v>24</v>
      </c>
      <c r="Q461" s="46" t="n">
        <f aca="false">MIN(M461,I461)</f>
        <v>30</v>
      </c>
      <c r="R461" s="46" t="n">
        <f aca="false">I461-Q461</f>
        <v>0</v>
      </c>
      <c r="S461" s="46" t="n">
        <f aca="false">M461-Q461</f>
        <v>2</v>
      </c>
      <c r="T461" s="46" t="n">
        <f aca="false">IF(R461&gt;0,1,0)</f>
        <v>0</v>
      </c>
      <c r="U461" s="32" t="n">
        <f aca="false">INDEX(Forecast!$AY$7:$AY$54,C461)</f>
        <v>2</v>
      </c>
      <c r="V461" s="33" t="n">
        <f aca="false">CHOOSE(U461,INDEX(Forecast_Walkforward!$D:$D,H461),INDEX(Forecast_Walkforward!$E:$E,H461),INDEX(Forecast_Walkforward!$F:$F,H461),INDEX(Forecast_Walkforward!$G:$G,H461))</f>
        <v>27.25</v>
      </c>
      <c r="W461" s="79" t="n">
        <f aca="false">INDEX(Forecast!$BA$7:$BA$54,C461)</f>
        <v>4.20503451041556</v>
      </c>
      <c r="X461" s="33" t="n">
        <f aca="false">Z_Value*W461*SQRT(D461)</f>
        <v>13.8333325318263</v>
      </c>
      <c r="Y461" s="33" t="n">
        <f aca="false">V461*D461+X461</f>
        <v>122.833332531826</v>
      </c>
      <c r="Z461" s="33" t="n">
        <f aca="false">SQRT((2*V461*Weeks_Per_Year*F461)/(E461*Holding_Rate))</f>
        <v>163.933333800769</v>
      </c>
      <c r="AA461" s="46" t="n">
        <f aca="false">ROUNDUP(Z461/G461,0)*G461</f>
        <v>168</v>
      </c>
      <c r="AB461" s="46" t="n">
        <f aca="false">SUMIFS(AF$453:AF460,$B$453:$B460,$B461-$D461)</f>
        <v>0</v>
      </c>
      <c r="AC461" s="46" t="n">
        <f aca="false">AI460+AB461</f>
        <v>119</v>
      </c>
      <c r="AD461" s="46" t="n">
        <f aca="false">SUMIFS(AF$453:AF460,$B$453:$B460,"&gt;"&amp;($B461-$D461))</f>
        <v>0</v>
      </c>
      <c r="AE461" s="46" t="n">
        <f aca="false">AC461+AD461</f>
        <v>119</v>
      </c>
      <c r="AF461" s="47" t="n">
        <f aca="false">IF(AE461&lt;=Y461,AA461,0)</f>
        <v>168</v>
      </c>
      <c r="AG461" s="46" t="n">
        <f aca="false">MIN(AC461,I461)</f>
        <v>30</v>
      </c>
      <c r="AH461" s="46" t="n">
        <f aca="false">I461-AG461</f>
        <v>0</v>
      </c>
      <c r="AI461" s="46" t="n">
        <f aca="false">AC461-AG461</f>
        <v>89</v>
      </c>
      <c r="AJ461" s="46" t="n">
        <f aca="false">IF(AH461&gt;0,1,0)</f>
        <v>0</v>
      </c>
    </row>
    <row r="462" customFormat="false" ht="15" hidden="false" customHeight="false" outlineLevel="0" collapsed="false">
      <c r="A462" s="31" t="str">
        <f aca="false">Inputs!$B$65</f>
        <v>BED-006</v>
      </c>
      <c r="B462" s="46" t="n">
        <f aca="false">B461+1</f>
        <v>98</v>
      </c>
      <c r="C462" s="46" t="n">
        <f aca="false">MATCH(A462,Inputs!$B$40:$B$87,0)</f>
        <v>26</v>
      </c>
      <c r="D462" s="32" t="n">
        <f aca="false">INDEX(Inputs!$F$40:$F$87,C462)</f>
        <v>4</v>
      </c>
      <c r="E462" s="78" t="n">
        <f aca="false">INDEX(Inputs!$H$40:$H$87,C462)</f>
        <v>29</v>
      </c>
      <c r="F462" s="78" t="n">
        <f aca="false">INDEX(Inputs!$G$40:$G$87,C462)</f>
        <v>55</v>
      </c>
      <c r="G462" s="32" t="n">
        <f aca="false">INDEX(Inputs!$I$40:$I$87,C462)</f>
        <v>6</v>
      </c>
      <c r="H462" s="46" t="n">
        <f aca="false">MATCH(A462,Demand_History!$C:$C,0)+B462-1</f>
        <v>2699</v>
      </c>
      <c r="I462" s="32" t="n">
        <f aca="false">INDEX(Forecast_Walkforward!$C:$C,H462)</f>
        <v>31</v>
      </c>
      <c r="J462" s="79" t="n">
        <f aca="false">INDEX(Forecast_Walkforward!$E:$E,H462)</f>
        <v>28.75</v>
      </c>
      <c r="K462" s="33" t="n">
        <f aca="false">Baseline_Weeks*J462</f>
        <v>115</v>
      </c>
      <c r="L462" s="46" t="n">
        <f aca="false">SUMIFS(P$453:P461,$B$453:$B461,$B462-$D462)</f>
        <v>18</v>
      </c>
      <c r="M462" s="46" t="n">
        <f aca="false">S461+L462</f>
        <v>20</v>
      </c>
      <c r="N462" s="46" t="n">
        <f aca="false">SUMIFS(P$453:P461,$B$453:$B461,"&gt;"&amp;($B462-$D462))</f>
        <v>60</v>
      </c>
      <c r="O462" s="46" t="n">
        <f aca="false">M462+N462</f>
        <v>80</v>
      </c>
      <c r="P462" s="47" t="n">
        <f aca="false">IF(O462&lt;K462,ROUNDUP((K462-O462)/G462,0)*G462,0)</f>
        <v>36</v>
      </c>
      <c r="Q462" s="46" t="n">
        <f aca="false">MIN(M462,I462)</f>
        <v>20</v>
      </c>
      <c r="R462" s="46" t="n">
        <f aca="false">I462-Q462</f>
        <v>11</v>
      </c>
      <c r="S462" s="46" t="n">
        <f aca="false">M462-Q462</f>
        <v>0</v>
      </c>
      <c r="T462" s="46" t="n">
        <f aca="false">IF(R462&gt;0,1,0)</f>
        <v>1</v>
      </c>
      <c r="U462" s="32" t="n">
        <f aca="false">INDEX(Forecast!$AY$7:$AY$54,C462)</f>
        <v>2</v>
      </c>
      <c r="V462" s="33" t="n">
        <f aca="false">CHOOSE(U462,INDEX(Forecast_Walkforward!$D:$D,H462),INDEX(Forecast_Walkforward!$E:$E,H462),INDEX(Forecast_Walkforward!$F:$F,H462),INDEX(Forecast_Walkforward!$G:$G,H462))</f>
        <v>28.75</v>
      </c>
      <c r="W462" s="79" t="n">
        <f aca="false">INDEX(Forecast!$BA$7:$BA$54,C462)</f>
        <v>4.20503451041556</v>
      </c>
      <c r="X462" s="33" t="n">
        <f aca="false">Z_Value*W462*SQRT(D462)</f>
        <v>13.8333325318263</v>
      </c>
      <c r="Y462" s="33" t="n">
        <f aca="false">V462*D462+X462</f>
        <v>128.833332531826</v>
      </c>
      <c r="Z462" s="33" t="n">
        <f aca="false">SQRT((2*V462*Weeks_Per_Year*F462)/(E462*Holding_Rate))</f>
        <v>168.384821987797</v>
      </c>
      <c r="AA462" s="46" t="n">
        <f aca="false">ROUNDUP(Z462/G462,0)*G462</f>
        <v>174</v>
      </c>
      <c r="AB462" s="46" t="n">
        <f aca="false">SUMIFS(AF$453:AF461,$B$453:$B461,$B462-$D462)</f>
        <v>0</v>
      </c>
      <c r="AC462" s="46" t="n">
        <f aca="false">AI461+AB462</f>
        <v>89</v>
      </c>
      <c r="AD462" s="46" t="n">
        <f aca="false">SUMIFS(AF$453:AF461,$B$453:$B461,"&gt;"&amp;($B462-$D462))</f>
        <v>168</v>
      </c>
      <c r="AE462" s="46" t="n">
        <f aca="false">AC462+AD462</f>
        <v>257</v>
      </c>
      <c r="AF462" s="47" t="n">
        <f aca="false">IF(AE462&lt;=Y462,AA462,0)</f>
        <v>0</v>
      </c>
      <c r="AG462" s="46" t="n">
        <f aca="false">MIN(AC462,I462)</f>
        <v>31</v>
      </c>
      <c r="AH462" s="46" t="n">
        <f aca="false">I462-AG462</f>
        <v>0</v>
      </c>
      <c r="AI462" s="46" t="n">
        <f aca="false">AC462-AG462</f>
        <v>58</v>
      </c>
      <c r="AJ462" s="46" t="n">
        <f aca="false">IF(AH462&gt;0,1,0)</f>
        <v>0</v>
      </c>
    </row>
    <row r="463" customFormat="false" ht="15" hidden="false" customHeight="false" outlineLevel="0" collapsed="false">
      <c r="A463" s="31" t="str">
        <f aca="false">Inputs!$B$65</f>
        <v>BED-006</v>
      </c>
      <c r="B463" s="46" t="n">
        <f aca="false">B462+1</f>
        <v>99</v>
      </c>
      <c r="C463" s="46" t="n">
        <f aca="false">MATCH(A463,Inputs!$B$40:$B$87,0)</f>
        <v>26</v>
      </c>
      <c r="D463" s="32" t="n">
        <f aca="false">INDEX(Inputs!$F$40:$F$87,C463)</f>
        <v>4</v>
      </c>
      <c r="E463" s="78" t="n">
        <f aca="false">INDEX(Inputs!$H$40:$H$87,C463)</f>
        <v>29</v>
      </c>
      <c r="F463" s="78" t="n">
        <f aca="false">INDEX(Inputs!$G$40:$G$87,C463)</f>
        <v>55</v>
      </c>
      <c r="G463" s="32" t="n">
        <f aca="false">INDEX(Inputs!$I$40:$I$87,C463)</f>
        <v>6</v>
      </c>
      <c r="H463" s="46" t="n">
        <f aca="false">MATCH(A463,Demand_History!$C:$C,0)+B463-1</f>
        <v>2700</v>
      </c>
      <c r="I463" s="32" t="n">
        <f aca="false">INDEX(Forecast_Walkforward!$C:$C,H463)</f>
        <v>23</v>
      </c>
      <c r="J463" s="79" t="n">
        <f aca="false">INDEX(Forecast_Walkforward!$E:$E,H463)</f>
        <v>29</v>
      </c>
      <c r="K463" s="33" t="n">
        <f aca="false">Baseline_Weeks*J463</f>
        <v>116</v>
      </c>
      <c r="L463" s="46" t="n">
        <f aca="false">SUMIFS(P$453:P462,$B$453:$B462,$B463-$D463)</f>
        <v>24</v>
      </c>
      <c r="M463" s="46" t="n">
        <f aca="false">S462+L463</f>
        <v>24</v>
      </c>
      <c r="N463" s="46" t="n">
        <f aca="false">SUMIFS(P$453:P462,$B$453:$B462,"&gt;"&amp;($B463-$D463))</f>
        <v>72</v>
      </c>
      <c r="O463" s="46" t="n">
        <f aca="false">M463+N463</f>
        <v>96</v>
      </c>
      <c r="P463" s="47" t="n">
        <f aca="false">IF(O463&lt;K463,ROUNDUP((K463-O463)/G463,0)*G463,0)</f>
        <v>24</v>
      </c>
      <c r="Q463" s="46" t="n">
        <f aca="false">MIN(M463,I463)</f>
        <v>23</v>
      </c>
      <c r="R463" s="46" t="n">
        <f aca="false">I463-Q463</f>
        <v>0</v>
      </c>
      <c r="S463" s="46" t="n">
        <f aca="false">M463-Q463</f>
        <v>1</v>
      </c>
      <c r="T463" s="46" t="n">
        <f aca="false">IF(R463&gt;0,1,0)</f>
        <v>0</v>
      </c>
      <c r="U463" s="32" t="n">
        <f aca="false">INDEX(Forecast!$AY$7:$AY$54,C463)</f>
        <v>2</v>
      </c>
      <c r="V463" s="33" t="n">
        <f aca="false">CHOOSE(U463,INDEX(Forecast_Walkforward!$D:$D,H463),INDEX(Forecast_Walkforward!$E:$E,H463),INDEX(Forecast_Walkforward!$F:$F,H463),INDEX(Forecast_Walkforward!$G:$G,H463))</f>
        <v>29</v>
      </c>
      <c r="W463" s="79" t="n">
        <f aca="false">INDEX(Forecast!$BA$7:$BA$54,C463)</f>
        <v>4.20503451041556</v>
      </c>
      <c r="X463" s="33" t="n">
        <f aca="false">Z_Value*W463*SQRT(D463)</f>
        <v>13.8333325318263</v>
      </c>
      <c r="Y463" s="33" t="n">
        <f aca="false">V463*D463+X463</f>
        <v>129.833332531826</v>
      </c>
      <c r="Z463" s="33" t="n">
        <f aca="false">SQRT((2*V463*Weeks_Per_Year*F463)/(E463*Holding_Rate))</f>
        <v>169.115345252878</v>
      </c>
      <c r="AA463" s="46" t="n">
        <f aca="false">ROUNDUP(Z463/G463,0)*G463</f>
        <v>174</v>
      </c>
      <c r="AB463" s="46" t="n">
        <f aca="false">SUMIFS(AF$453:AF462,$B$453:$B462,$B463-$D463)</f>
        <v>0</v>
      </c>
      <c r="AC463" s="46" t="n">
        <f aca="false">AI462+AB463</f>
        <v>58</v>
      </c>
      <c r="AD463" s="46" t="n">
        <f aca="false">SUMIFS(AF$453:AF462,$B$453:$B462,"&gt;"&amp;($B463-$D463))</f>
        <v>168</v>
      </c>
      <c r="AE463" s="46" t="n">
        <f aca="false">AC463+AD463</f>
        <v>226</v>
      </c>
      <c r="AF463" s="47" t="n">
        <f aca="false">IF(AE463&lt;=Y463,AA463,0)</f>
        <v>0</v>
      </c>
      <c r="AG463" s="46" t="n">
        <f aca="false">MIN(AC463,I463)</f>
        <v>23</v>
      </c>
      <c r="AH463" s="46" t="n">
        <f aca="false">I463-AG463</f>
        <v>0</v>
      </c>
      <c r="AI463" s="46" t="n">
        <f aca="false">AC463-AG463</f>
        <v>35</v>
      </c>
      <c r="AJ463" s="46" t="n">
        <f aca="false">IF(AH463&gt;0,1,0)</f>
        <v>0</v>
      </c>
    </row>
    <row r="464" customFormat="false" ht="15" hidden="false" customHeight="false" outlineLevel="0" collapsed="false">
      <c r="A464" s="31" t="str">
        <f aca="false">Inputs!$B$65</f>
        <v>BED-006</v>
      </c>
      <c r="B464" s="46" t="n">
        <f aca="false">B463+1</f>
        <v>100</v>
      </c>
      <c r="C464" s="46" t="n">
        <f aca="false">MATCH(A464,Inputs!$B$40:$B$87,0)</f>
        <v>26</v>
      </c>
      <c r="D464" s="32" t="n">
        <f aca="false">INDEX(Inputs!$F$40:$F$87,C464)</f>
        <v>4</v>
      </c>
      <c r="E464" s="78" t="n">
        <f aca="false">INDEX(Inputs!$H$40:$H$87,C464)</f>
        <v>29</v>
      </c>
      <c r="F464" s="78" t="n">
        <f aca="false">INDEX(Inputs!$G$40:$G$87,C464)</f>
        <v>55</v>
      </c>
      <c r="G464" s="32" t="n">
        <f aca="false">INDEX(Inputs!$I$40:$I$87,C464)</f>
        <v>6</v>
      </c>
      <c r="H464" s="46" t="n">
        <f aca="false">MATCH(A464,Demand_History!$C:$C,0)+B464-1</f>
        <v>2701</v>
      </c>
      <c r="I464" s="32" t="n">
        <f aca="false">INDEX(Forecast_Walkforward!$C:$C,H464)</f>
        <v>24</v>
      </c>
      <c r="J464" s="79" t="n">
        <f aca="false">INDEX(Forecast_Walkforward!$E:$E,H464)</f>
        <v>28</v>
      </c>
      <c r="K464" s="33" t="n">
        <f aca="false">Baseline_Weeks*J464</f>
        <v>112</v>
      </c>
      <c r="L464" s="46" t="n">
        <f aca="false">SUMIFS(P$453:P463,$B$453:$B463,$B464-$D464)</f>
        <v>12</v>
      </c>
      <c r="M464" s="46" t="n">
        <f aca="false">S463+L464</f>
        <v>13</v>
      </c>
      <c r="N464" s="46" t="n">
        <f aca="false">SUMIFS(P$453:P463,$B$453:$B463,"&gt;"&amp;($B464-$D464))</f>
        <v>84</v>
      </c>
      <c r="O464" s="46" t="n">
        <f aca="false">M464+N464</f>
        <v>97</v>
      </c>
      <c r="P464" s="47" t="n">
        <f aca="false">IF(O464&lt;K464,ROUNDUP((K464-O464)/G464,0)*G464,0)</f>
        <v>18</v>
      </c>
      <c r="Q464" s="46" t="n">
        <f aca="false">MIN(M464,I464)</f>
        <v>13</v>
      </c>
      <c r="R464" s="46" t="n">
        <f aca="false">I464-Q464</f>
        <v>11</v>
      </c>
      <c r="S464" s="46" t="n">
        <f aca="false">M464-Q464</f>
        <v>0</v>
      </c>
      <c r="T464" s="46" t="n">
        <f aca="false">IF(R464&gt;0,1,0)</f>
        <v>1</v>
      </c>
      <c r="U464" s="32" t="n">
        <f aca="false">INDEX(Forecast!$AY$7:$AY$54,C464)</f>
        <v>2</v>
      </c>
      <c r="V464" s="33" t="n">
        <f aca="false">CHOOSE(U464,INDEX(Forecast_Walkforward!$D:$D,H464),INDEX(Forecast_Walkforward!$E:$E,H464),INDEX(Forecast_Walkforward!$F:$F,H464),INDEX(Forecast_Walkforward!$G:$G,H464))</f>
        <v>28</v>
      </c>
      <c r="W464" s="79" t="n">
        <f aca="false">INDEX(Forecast!$BA$7:$BA$54,C464)</f>
        <v>4.20503451041556</v>
      </c>
      <c r="X464" s="33" t="n">
        <f aca="false">Z_Value*W464*SQRT(D464)</f>
        <v>13.8333325318263</v>
      </c>
      <c r="Y464" s="33" t="n">
        <f aca="false">V464*D464+X464</f>
        <v>125.833332531826</v>
      </c>
      <c r="Z464" s="33" t="n">
        <f aca="false">SQRT((2*V464*Weeks_Per_Year*F464)/(E464*Holding_Rate))</f>
        <v>166.173984436338</v>
      </c>
      <c r="AA464" s="46" t="n">
        <f aca="false">ROUNDUP(Z464/G464,0)*G464</f>
        <v>168</v>
      </c>
      <c r="AB464" s="46" t="n">
        <f aca="false">SUMIFS(AF$453:AF463,$B$453:$B463,$B464-$D464)</f>
        <v>0</v>
      </c>
      <c r="AC464" s="46" t="n">
        <f aca="false">AI463+AB464</f>
        <v>35</v>
      </c>
      <c r="AD464" s="46" t="n">
        <f aca="false">SUMIFS(AF$453:AF463,$B$453:$B463,"&gt;"&amp;($B464-$D464))</f>
        <v>168</v>
      </c>
      <c r="AE464" s="46" t="n">
        <f aca="false">AC464+AD464</f>
        <v>203</v>
      </c>
      <c r="AF464" s="47" t="n">
        <f aca="false">IF(AE464&lt;=Y464,AA464,0)</f>
        <v>0</v>
      </c>
      <c r="AG464" s="46" t="n">
        <f aca="false">MIN(AC464,I464)</f>
        <v>24</v>
      </c>
      <c r="AH464" s="46" t="n">
        <f aca="false">I464-AG464</f>
        <v>0</v>
      </c>
      <c r="AI464" s="46" t="n">
        <f aca="false">AC464-AG464</f>
        <v>11</v>
      </c>
      <c r="AJ464" s="46" t="n">
        <f aca="false">IF(AH464&gt;0,1,0)</f>
        <v>0</v>
      </c>
    </row>
    <row r="465" customFormat="false" ht="15" hidden="false" customHeight="false" outlineLevel="0" collapsed="false">
      <c r="A465" s="31" t="str">
        <f aca="false">Inputs!$B$65</f>
        <v>BED-006</v>
      </c>
      <c r="B465" s="46" t="n">
        <f aca="false">B464+1</f>
        <v>101</v>
      </c>
      <c r="C465" s="46" t="n">
        <f aca="false">MATCH(A465,Inputs!$B$40:$B$87,0)</f>
        <v>26</v>
      </c>
      <c r="D465" s="32" t="n">
        <f aca="false">INDEX(Inputs!$F$40:$F$87,C465)</f>
        <v>4</v>
      </c>
      <c r="E465" s="78" t="n">
        <f aca="false">INDEX(Inputs!$H$40:$H$87,C465)</f>
        <v>29</v>
      </c>
      <c r="F465" s="78" t="n">
        <f aca="false">INDEX(Inputs!$G$40:$G$87,C465)</f>
        <v>55</v>
      </c>
      <c r="G465" s="32" t="n">
        <f aca="false">INDEX(Inputs!$I$40:$I$87,C465)</f>
        <v>6</v>
      </c>
      <c r="H465" s="46" t="n">
        <f aca="false">MATCH(A465,Demand_History!$C:$C,0)+B465-1</f>
        <v>2702</v>
      </c>
      <c r="I465" s="32" t="n">
        <f aca="false">INDEX(Forecast_Walkforward!$C:$C,H465)</f>
        <v>29</v>
      </c>
      <c r="J465" s="79" t="n">
        <f aca="false">INDEX(Forecast_Walkforward!$E:$E,H465)</f>
        <v>27</v>
      </c>
      <c r="K465" s="33" t="n">
        <f aca="false">Baseline_Weeks*J465</f>
        <v>108</v>
      </c>
      <c r="L465" s="46" t="n">
        <f aca="false">SUMIFS(P$453:P464,$B$453:$B464,$B465-$D465)</f>
        <v>24</v>
      </c>
      <c r="M465" s="46" t="n">
        <f aca="false">S464+L465</f>
        <v>24</v>
      </c>
      <c r="N465" s="46" t="n">
        <f aca="false">SUMIFS(P$453:P464,$B$453:$B464,"&gt;"&amp;($B465-$D465))</f>
        <v>78</v>
      </c>
      <c r="O465" s="46" t="n">
        <f aca="false">M465+N465</f>
        <v>102</v>
      </c>
      <c r="P465" s="47" t="n">
        <f aca="false">IF(O465&lt;K465,ROUNDUP((K465-O465)/G465,0)*G465,0)</f>
        <v>6</v>
      </c>
      <c r="Q465" s="46" t="n">
        <f aca="false">MIN(M465,I465)</f>
        <v>24</v>
      </c>
      <c r="R465" s="46" t="n">
        <f aca="false">I465-Q465</f>
        <v>5</v>
      </c>
      <c r="S465" s="46" t="n">
        <f aca="false">M465-Q465</f>
        <v>0</v>
      </c>
      <c r="T465" s="46" t="n">
        <f aca="false">IF(R465&gt;0,1,0)</f>
        <v>1</v>
      </c>
      <c r="U465" s="32" t="n">
        <f aca="false">INDEX(Forecast!$AY$7:$AY$54,C465)</f>
        <v>2</v>
      </c>
      <c r="V465" s="33" t="n">
        <f aca="false">CHOOSE(U465,INDEX(Forecast_Walkforward!$D:$D,H465),INDEX(Forecast_Walkforward!$E:$E,H465),INDEX(Forecast_Walkforward!$F:$F,H465),INDEX(Forecast_Walkforward!$G:$G,H465))</f>
        <v>27</v>
      </c>
      <c r="W465" s="79" t="n">
        <f aca="false">INDEX(Forecast!$BA$7:$BA$54,C465)</f>
        <v>4.20503451041556</v>
      </c>
      <c r="X465" s="33" t="n">
        <f aca="false">Z_Value*W465*SQRT(D465)</f>
        <v>13.8333325318263</v>
      </c>
      <c r="Y465" s="33" t="n">
        <f aca="false">V465*D465+X465</f>
        <v>121.833332531826</v>
      </c>
      <c r="Z465" s="33" t="n">
        <f aca="false">SQRT((2*V465*Weeks_Per_Year*F465)/(E465*Holding_Rate))</f>
        <v>163.179613331128</v>
      </c>
      <c r="AA465" s="46" t="n">
        <f aca="false">ROUNDUP(Z465/G465,0)*G465</f>
        <v>168</v>
      </c>
      <c r="AB465" s="46" t="n">
        <f aca="false">SUMIFS(AF$453:AF464,$B$453:$B464,$B465-$D465)</f>
        <v>168</v>
      </c>
      <c r="AC465" s="46" t="n">
        <f aca="false">AI464+AB465</f>
        <v>179</v>
      </c>
      <c r="AD465" s="46" t="n">
        <f aca="false">SUMIFS(AF$453:AF464,$B$453:$B464,"&gt;"&amp;($B465-$D465))</f>
        <v>0</v>
      </c>
      <c r="AE465" s="46" t="n">
        <f aca="false">AC465+AD465</f>
        <v>179</v>
      </c>
      <c r="AF465" s="47" t="n">
        <f aca="false">IF(AE465&lt;=Y465,AA465,0)</f>
        <v>0</v>
      </c>
      <c r="AG465" s="46" t="n">
        <f aca="false">MIN(AC465,I465)</f>
        <v>29</v>
      </c>
      <c r="AH465" s="46" t="n">
        <f aca="false">I465-AG465</f>
        <v>0</v>
      </c>
      <c r="AI465" s="46" t="n">
        <f aca="false">AC465-AG465</f>
        <v>150</v>
      </c>
      <c r="AJ465" s="46" t="n">
        <f aca="false">IF(AH465&gt;0,1,0)</f>
        <v>0</v>
      </c>
    </row>
    <row r="466" customFormat="false" ht="15" hidden="false" customHeight="false" outlineLevel="0" collapsed="false">
      <c r="A466" s="31" t="str">
        <f aca="false">Inputs!$B$65</f>
        <v>BED-006</v>
      </c>
      <c r="B466" s="46" t="n">
        <f aca="false">B465+1</f>
        <v>102</v>
      </c>
      <c r="C466" s="46" t="n">
        <f aca="false">MATCH(A466,Inputs!$B$40:$B$87,0)</f>
        <v>26</v>
      </c>
      <c r="D466" s="32" t="n">
        <f aca="false">INDEX(Inputs!$F$40:$F$87,C466)</f>
        <v>4</v>
      </c>
      <c r="E466" s="78" t="n">
        <f aca="false">INDEX(Inputs!$H$40:$H$87,C466)</f>
        <v>29</v>
      </c>
      <c r="F466" s="78" t="n">
        <f aca="false">INDEX(Inputs!$G$40:$G$87,C466)</f>
        <v>55</v>
      </c>
      <c r="G466" s="32" t="n">
        <f aca="false">INDEX(Inputs!$I$40:$I$87,C466)</f>
        <v>6</v>
      </c>
      <c r="H466" s="46" t="n">
        <f aca="false">MATCH(A466,Demand_History!$C:$C,0)+B466-1</f>
        <v>2703</v>
      </c>
      <c r="I466" s="32" t="n">
        <f aca="false">INDEX(Forecast_Walkforward!$C:$C,H466)</f>
        <v>32</v>
      </c>
      <c r="J466" s="79" t="n">
        <f aca="false">INDEX(Forecast_Walkforward!$E:$E,H466)</f>
        <v>26.75</v>
      </c>
      <c r="K466" s="33" t="n">
        <f aca="false">Baseline_Weeks*J466</f>
        <v>107</v>
      </c>
      <c r="L466" s="46" t="n">
        <f aca="false">SUMIFS(P$453:P465,$B$453:$B465,$B466-$D466)</f>
        <v>36</v>
      </c>
      <c r="M466" s="46" t="n">
        <f aca="false">S465+L466</f>
        <v>36</v>
      </c>
      <c r="N466" s="46" t="n">
        <f aca="false">SUMIFS(P$453:P465,$B$453:$B465,"&gt;"&amp;($B466-$D466))</f>
        <v>48</v>
      </c>
      <c r="O466" s="46" t="n">
        <f aca="false">M466+N466</f>
        <v>84</v>
      </c>
      <c r="P466" s="47" t="n">
        <f aca="false">IF(O466&lt;K466,ROUNDUP((K466-O466)/G466,0)*G466,0)</f>
        <v>24</v>
      </c>
      <c r="Q466" s="46" t="n">
        <f aca="false">MIN(M466,I466)</f>
        <v>32</v>
      </c>
      <c r="R466" s="46" t="n">
        <f aca="false">I466-Q466</f>
        <v>0</v>
      </c>
      <c r="S466" s="46" t="n">
        <f aca="false">M466-Q466</f>
        <v>4</v>
      </c>
      <c r="T466" s="46" t="n">
        <f aca="false">IF(R466&gt;0,1,0)</f>
        <v>0</v>
      </c>
      <c r="U466" s="32" t="n">
        <f aca="false">INDEX(Forecast!$AY$7:$AY$54,C466)</f>
        <v>2</v>
      </c>
      <c r="V466" s="33" t="n">
        <f aca="false">CHOOSE(U466,INDEX(Forecast_Walkforward!$D:$D,H466),INDEX(Forecast_Walkforward!$E:$E,H466),INDEX(Forecast_Walkforward!$F:$F,H466),INDEX(Forecast_Walkforward!$G:$G,H466))</f>
        <v>26.75</v>
      </c>
      <c r="W466" s="79" t="n">
        <f aca="false">INDEX(Forecast!$BA$7:$BA$54,C466)</f>
        <v>4.20503451041556</v>
      </c>
      <c r="X466" s="33" t="n">
        <f aca="false">Z_Value*W466*SQRT(D466)</f>
        <v>13.8333325318263</v>
      </c>
      <c r="Y466" s="33" t="n">
        <f aca="false">V466*D466+X466</f>
        <v>120.833332531826</v>
      </c>
      <c r="Z466" s="33" t="n">
        <f aca="false">SQRT((2*V466*Weeks_Per_Year*F466)/(E466*Holding_Rate))</f>
        <v>162.422395262349</v>
      </c>
      <c r="AA466" s="46" t="n">
        <f aca="false">ROUNDUP(Z466/G466,0)*G466</f>
        <v>168</v>
      </c>
      <c r="AB466" s="46" t="n">
        <f aca="false">SUMIFS(AF$453:AF465,$B$453:$B465,$B466-$D466)</f>
        <v>0</v>
      </c>
      <c r="AC466" s="46" t="n">
        <f aca="false">AI465+AB466</f>
        <v>150</v>
      </c>
      <c r="AD466" s="46" t="n">
        <f aca="false">SUMIFS(AF$453:AF465,$B$453:$B465,"&gt;"&amp;($B466-$D466))</f>
        <v>0</v>
      </c>
      <c r="AE466" s="46" t="n">
        <f aca="false">AC466+AD466</f>
        <v>150</v>
      </c>
      <c r="AF466" s="47" t="n">
        <f aca="false">IF(AE466&lt;=Y466,AA466,0)</f>
        <v>0</v>
      </c>
      <c r="AG466" s="46" t="n">
        <f aca="false">MIN(AC466,I466)</f>
        <v>32</v>
      </c>
      <c r="AH466" s="46" t="n">
        <f aca="false">I466-AG466</f>
        <v>0</v>
      </c>
      <c r="AI466" s="46" t="n">
        <f aca="false">AC466-AG466</f>
        <v>118</v>
      </c>
      <c r="AJ466" s="46" t="n">
        <f aca="false">IF(AH466&gt;0,1,0)</f>
        <v>0</v>
      </c>
    </row>
    <row r="467" customFormat="false" ht="15" hidden="false" customHeight="false" outlineLevel="0" collapsed="false">
      <c r="A467" s="31" t="str">
        <f aca="false">Inputs!$B$65</f>
        <v>BED-006</v>
      </c>
      <c r="B467" s="46" t="n">
        <f aca="false">B466+1</f>
        <v>103</v>
      </c>
      <c r="C467" s="46" t="n">
        <f aca="false">MATCH(A467,Inputs!$B$40:$B$87,0)</f>
        <v>26</v>
      </c>
      <c r="D467" s="32" t="n">
        <f aca="false">INDEX(Inputs!$F$40:$F$87,C467)</f>
        <v>4</v>
      </c>
      <c r="E467" s="78" t="n">
        <f aca="false">INDEX(Inputs!$H$40:$H$87,C467)</f>
        <v>29</v>
      </c>
      <c r="F467" s="78" t="n">
        <f aca="false">INDEX(Inputs!$G$40:$G$87,C467)</f>
        <v>55</v>
      </c>
      <c r="G467" s="32" t="n">
        <f aca="false">INDEX(Inputs!$I$40:$I$87,C467)</f>
        <v>6</v>
      </c>
      <c r="H467" s="46" t="n">
        <f aca="false">MATCH(A467,Demand_History!$C:$C,0)+B467-1</f>
        <v>2704</v>
      </c>
      <c r="I467" s="32" t="n">
        <f aca="false">INDEX(Forecast_Walkforward!$C:$C,H467)</f>
        <v>31</v>
      </c>
      <c r="J467" s="79" t="n">
        <f aca="false">INDEX(Forecast_Walkforward!$E:$E,H467)</f>
        <v>27</v>
      </c>
      <c r="K467" s="33" t="n">
        <f aca="false">Baseline_Weeks*J467</f>
        <v>108</v>
      </c>
      <c r="L467" s="46" t="n">
        <f aca="false">SUMIFS(P$453:P466,$B$453:$B466,$B467-$D467)</f>
        <v>24</v>
      </c>
      <c r="M467" s="46" t="n">
        <f aca="false">S466+L467</f>
        <v>28</v>
      </c>
      <c r="N467" s="46" t="n">
        <f aca="false">SUMIFS(P$453:P466,$B$453:$B466,"&gt;"&amp;($B467-$D467))</f>
        <v>48</v>
      </c>
      <c r="O467" s="46" t="n">
        <f aca="false">M467+N467</f>
        <v>76</v>
      </c>
      <c r="P467" s="47" t="n">
        <f aca="false">IF(O467&lt;K467,ROUNDUP((K467-O467)/G467,0)*G467,0)</f>
        <v>36</v>
      </c>
      <c r="Q467" s="46" t="n">
        <f aca="false">MIN(M467,I467)</f>
        <v>28</v>
      </c>
      <c r="R467" s="46" t="n">
        <f aca="false">I467-Q467</f>
        <v>3</v>
      </c>
      <c r="S467" s="46" t="n">
        <f aca="false">M467-Q467</f>
        <v>0</v>
      </c>
      <c r="T467" s="46" t="n">
        <f aca="false">IF(R467&gt;0,1,0)</f>
        <v>1</v>
      </c>
      <c r="U467" s="32" t="n">
        <f aca="false">INDEX(Forecast!$AY$7:$AY$54,C467)</f>
        <v>2</v>
      </c>
      <c r="V467" s="33" t="n">
        <f aca="false">CHOOSE(U467,INDEX(Forecast_Walkforward!$D:$D,H467),INDEX(Forecast_Walkforward!$E:$E,H467),INDEX(Forecast_Walkforward!$F:$F,H467),INDEX(Forecast_Walkforward!$G:$G,H467))</f>
        <v>27</v>
      </c>
      <c r="W467" s="79" t="n">
        <f aca="false">INDEX(Forecast!$BA$7:$BA$54,C467)</f>
        <v>4.20503451041556</v>
      </c>
      <c r="X467" s="33" t="n">
        <f aca="false">Z_Value*W467*SQRT(D467)</f>
        <v>13.8333325318263</v>
      </c>
      <c r="Y467" s="33" t="n">
        <f aca="false">V467*D467+X467</f>
        <v>121.833332531826</v>
      </c>
      <c r="Z467" s="33" t="n">
        <f aca="false">SQRT((2*V467*Weeks_Per_Year*F467)/(E467*Holding_Rate))</f>
        <v>163.179613331128</v>
      </c>
      <c r="AA467" s="46" t="n">
        <f aca="false">ROUNDUP(Z467/G467,0)*G467</f>
        <v>168</v>
      </c>
      <c r="AB467" s="46" t="n">
        <f aca="false">SUMIFS(AF$453:AF466,$B$453:$B466,$B467-$D467)</f>
        <v>0</v>
      </c>
      <c r="AC467" s="46" t="n">
        <f aca="false">AI466+AB467</f>
        <v>118</v>
      </c>
      <c r="AD467" s="46" t="n">
        <f aca="false">SUMIFS(AF$453:AF466,$B$453:$B466,"&gt;"&amp;($B467-$D467))</f>
        <v>0</v>
      </c>
      <c r="AE467" s="46" t="n">
        <f aca="false">AC467+AD467</f>
        <v>118</v>
      </c>
      <c r="AF467" s="47" t="n">
        <f aca="false">IF(AE467&lt;=Y467,AA467,0)</f>
        <v>168</v>
      </c>
      <c r="AG467" s="46" t="n">
        <f aca="false">MIN(AC467,I467)</f>
        <v>31</v>
      </c>
      <c r="AH467" s="46" t="n">
        <f aca="false">I467-AG467</f>
        <v>0</v>
      </c>
      <c r="AI467" s="46" t="n">
        <f aca="false">AC467-AG467</f>
        <v>87</v>
      </c>
      <c r="AJ467" s="46" t="n">
        <f aca="false">IF(AH467&gt;0,1,0)</f>
        <v>0</v>
      </c>
    </row>
    <row r="468" customFormat="false" ht="15" hidden="false" customHeight="false" outlineLevel="0" collapsed="false">
      <c r="A468" s="80" t="str">
        <f aca="false">Inputs!$B$65</f>
        <v>BED-006</v>
      </c>
      <c r="B468" s="81" t="n">
        <f aca="false">B467+1</f>
        <v>104</v>
      </c>
      <c r="C468" s="81" t="n">
        <f aca="false">MATCH(A468,Inputs!$B$40:$B$87,0)</f>
        <v>26</v>
      </c>
      <c r="D468" s="82" t="n">
        <f aca="false">INDEX(Inputs!$F$40:$F$87,C468)</f>
        <v>4</v>
      </c>
      <c r="E468" s="83" t="n">
        <f aca="false">INDEX(Inputs!$H$40:$H$87,C468)</f>
        <v>29</v>
      </c>
      <c r="F468" s="83" t="n">
        <f aca="false">INDEX(Inputs!$G$40:$G$87,C468)</f>
        <v>55</v>
      </c>
      <c r="G468" s="82" t="n">
        <f aca="false">INDEX(Inputs!$I$40:$I$87,C468)</f>
        <v>6</v>
      </c>
      <c r="H468" s="81" t="n">
        <f aca="false">MATCH(A468,Demand_History!$C:$C,0)+B468-1</f>
        <v>2705</v>
      </c>
      <c r="I468" s="82" t="n">
        <f aca="false">INDEX(Forecast_Walkforward!$C:$C,H468)</f>
        <v>34</v>
      </c>
      <c r="J468" s="84" t="n">
        <f aca="false">INDEX(Forecast_Walkforward!$E:$E,H468)</f>
        <v>29</v>
      </c>
      <c r="K468" s="85" t="n">
        <f aca="false">Baseline_Weeks*J468</f>
        <v>116</v>
      </c>
      <c r="L468" s="81" t="n">
        <f aca="false">SUMIFS(P$453:P467,$B$453:$B467,$B468-$D468)</f>
        <v>18</v>
      </c>
      <c r="M468" s="81" t="n">
        <f aca="false">S467+L468</f>
        <v>18</v>
      </c>
      <c r="N468" s="81" t="n">
        <f aca="false">SUMIFS(P$453:P467,$B$453:$B467,"&gt;"&amp;($B468-$D468))</f>
        <v>66</v>
      </c>
      <c r="O468" s="81" t="n">
        <f aca="false">M468+N468</f>
        <v>84</v>
      </c>
      <c r="P468" s="86" t="n">
        <f aca="false">IF(O468&lt;K468,ROUNDUP((K468-O468)/G468,0)*G468,0)</f>
        <v>36</v>
      </c>
      <c r="Q468" s="81" t="n">
        <f aca="false">MIN(M468,I468)</f>
        <v>18</v>
      </c>
      <c r="R468" s="81" t="n">
        <f aca="false">I468-Q468</f>
        <v>16</v>
      </c>
      <c r="S468" s="81" t="n">
        <f aca="false">M468-Q468</f>
        <v>0</v>
      </c>
      <c r="T468" s="81" t="n">
        <f aca="false">IF(R468&gt;0,1,0)</f>
        <v>1</v>
      </c>
      <c r="U468" s="82" t="n">
        <f aca="false">INDEX(Forecast!$AY$7:$AY$54,C468)</f>
        <v>2</v>
      </c>
      <c r="V468" s="85" t="n">
        <f aca="false">CHOOSE(U468,INDEX(Forecast_Walkforward!$D:$D,H468),INDEX(Forecast_Walkforward!$E:$E,H468),INDEX(Forecast_Walkforward!$F:$F,H468),INDEX(Forecast_Walkforward!$G:$G,H468))</f>
        <v>29</v>
      </c>
      <c r="W468" s="84" t="n">
        <f aca="false">INDEX(Forecast!$BA$7:$BA$54,C468)</f>
        <v>4.20503451041556</v>
      </c>
      <c r="X468" s="85" t="n">
        <f aca="false">Z_Value*W468*SQRT(D468)</f>
        <v>13.8333325318263</v>
      </c>
      <c r="Y468" s="85" t="n">
        <f aca="false">V468*D468+X468</f>
        <v>129.833332531826</v>
      </c>
      <c r="Z468" s="85" t="n">
        <f aca="false">SQRT((2*V468*Weeks_Per_Year*F468)/(E468*Holding_Rate))</f>
        <v>169.115345252878</v>
      </c>
      <c r="AA468" s="81" t="n">
        <f aca="false">ROUNDUP(Z468/G468,0)*G468</f>
        <v>174</v>
      </c>
      <c r="AB468" s="81" t="n">
        <f aca="false">SUMIFS(AF$453:AF467,$B$453:$B467,$B468-$D468)</f>
        <v>0</v>
      </c>
      <c r="AC468" s="81" t="n">
        <f aca="false">AI467+AB468</f>
        <v>87</v>
      </c>
      <c r="AD468" s="81" t="n">
        <f aca="false">SUMIFS(AF$453:AF467,$B$453:$B467,"&gt;"&amp;($B468-$D468))</f>
        <v>168</v>
      </c>
      <c r="AE468" s="81" t="n">
        <f aca="false">AC468+AD468</f>
        <v>255</v>
      </c>
      <c r="AF468" s="86" t="n">
        <f aca="false">IF(AE468&lt;=Y468,AA468,0)</f>
        <v>0</v>
      </c>
      <c r="AG468" s="81" t="n">
        <f aca="false">MIN(AC468,I468)</f>
        <v>34</v>
      </c>
      <c r="AH468" s="81" t="n">
        <f aca="false">I468-AG468</f>
        <v>0</v>
      </c>
      <c r="AI468" s="81" t="n">
        <f aca="false">AC468-AG468</f>
        <v>53</v>
      </c>
      <c r="AJ468" s="81" t="n">
        <f aca="false">IF(AH468&gt;0,1,0)</f>
        <v>0</v>
      </c>
    </row>
    <row r="469" customFormat="false" ht="15" hidden="false" customHeight="false" outlineLevel="0" collapsed="false">
      <c r="A469" s="31" t="str">
        <f aca="false">Inputs!$B$66</f>
        <v>BED-007</v>
      </c>
      <c r="B469" s="46" t="n">
        <f aca="false">BT_Start_Week</f>
        <v>89</v>
      </c>
      <c r="C469" s="46" t="n">
        <f aca="false">MATCH(A469,Inputs!$B$40:$B$87,0)</f>
        <v>27</v>
      </c>
      <c r="D469" s="32" t="n">
        <f aca="false">INDEX(Inputs!$F$40:$F$87,C469)</f>
        <v>4</v>
      </c>
      <c r="E469" s="78" t="n">
        <f aca="false">INDEX(Inputs!$H$40:$H$87,C469)</f>
        <v>34</v>
      </c>
      <c r="F469" s="78" t="n">
        <f aca="false">INDEX(Inputs!$G$40:$G$87,C469)</f>
        <v>55</v>
      </c>
      <c r="G469" s="32" t="n">
        <f aca="false">INDEX(Inputs!$I$40:$I$87,C469)</f>
        <v>5</v>
      </c>
      <c r="H469" s="46" t="n">
        <f aca="false">MATCH(A469,Demand_History!$C:$C,0)+B469-1</f>
        <v>2794</v>
      </c>
      <c r="I469" s="32" t="n">
        <f aca="false">INDEX(Forecast_Walkforward!$C:$C,H469)</f>
        <v>19</v>
      </c>
      <c r="J469" s="79" t="n">
        <f aca="false">INDEX(Forecast_Walkforward!$E:$E,H469)</f>
        <v>31.75</v>
      </c>
      <c r="K469" s="33" t="n">
        <f aca="false">Baseline_Weeks*J469</f>
        <v>127</v>
      </c>
      <c r="L469" s="46" t="n">
        <f aca="false">0</f>
        <v>0</v>
      </c>
      <c r="M469" s="46" t="n">
        <f aca="false">ROUND(BT_Open_Cover*INDEX(Forecast_Walkforward!$F:$F,H469),0)+L469</f>
        <v>175</v>
      </c>
      <c r="N469" s="46" t="n">
        <f aca="false">0</f>
        <v>0</v>
      </c>
      <c r="O469" s="46" t="n">
        <f aca="false">M469+N469</f>
        <v>175</v>
      </c>
      <c r="P469" s="47" t="n">
        <f aca="false">IF(O469&lt;K469,ROUNDUP((K469-O469)/G469,0)*G469,0)</f>
        <v>0</v>
      </c>
      <c r="Q469" s="46" t="n">
        <f aca="false">MIN(M469,I469)</f>
        <v>19</v>
      </c>
      <c r="R469" s="46" t="n">
        <f aca="false">I469-Q469</f>
        <v>0</v>
      </c>
      <c r="S469" s="46" t="n">
        <f aca="false">M469-Q469</f>
        <v>156</v>
      </c>
      <c r="T469" s="46" t="n">
        <f aca="false">IF(R469&gt;0,1,0)</f>
        <v>0</v>
      </c>
      <c r="U469" s="32" t="n">
        <f aca="false">INDEX(Forecast!$AY$7:$AY$54,C469)</f>
        <v>3</v>
      </c>
      <c r="V469" s="33" t="n">
        <f aca="false">CHOOSE(U469,INDEX(Forecast_Walkforward!$D:$D,H469),INDEX(Forecast_Walkforward!$E:$E,H469),INDEX(Forecast_Walkforward!$F:$F,H469),INDEX(Forecast_Walkforward!$G:$G,H469))</f>
        <v>29.125</v>
      </c>
      <c r="W469" s="79" t="n">
        <f aca="false">INDEX(Forecast!$BA$7:$BA$54,C469)</f>
        <v>8.65609217543476</v>
      </c>
      <c r="X469" s="33" t="n">
        <f aca="false">Z_Value*W469*SQRT(D469)</f>
        <v>28.4760092199802</v>
      </c>
      <c r="Y469" s="33" t="n">
        <f aca="false">V469*D469+X469</f>
        <v>144.97600921998</v>
      </c>
      <c r="Z469" s="33" t="n">
        <f aca="false">SQRT((2*V469*Weeks_Per_Year*F469)/(E469*Holding_Rate))</f>
        <v>156.522409596461</v>
      </c>
      <c r="AA469" s="46" t="n">
        <f aca="false">ROUNDUP(Z469/G469,0)*G469</f>
        <v>160</v>
      </c>
      <c r="AB469" s="46" t="n">
        <f aca="false">0</f>
        <v>0</v>
      </c>
      <c r="AC469" s="46" t="n">
        <f aca="false">ROUND(BT_Open_Cover*INDEX(Forecast_Walkforward!$F:$F,H469),0)+AB469</f>
        <v>175</v>
      </c>
      <c r="AD469" s="46" t="n">
        <f aca="false">0</f>
        <v>0</v>
      </c>
      <c r="AE469" s="46" t="n">
        <f aca="false">AC469+AD469</f>
        <v>175</v>
      </c>
      <c r="AF469" s="47" t="n">
        <f aca="false">IF(AE469&lt;=Y469,AA469,0)</f>
        <v>0</v>
      </c>
      <c r="AG469" s="46" t="n">
        <f aca="false">MIN(AC469,I469)</f>
        <v>19</v>
      </c>
      <c r="AH469" s="46" t="n">
        <f aca="false">I469-AG469</f>
        <v>0</v>
      </c>
      <c r="AI469" s="46" t="n">
        <f aca="false">AC469-AG469</f>
        <v>156</v>
      </c>
      <c r="AJ469" s="46" t="n">
        <f aca="false">IF(AH469&gt;0,1,0)</f>
        <v>0</v>
      </c>
    </row>
    <row r="470" customFormat="false" ht="15" hidden="false" customHeight="false" outlineLevel="0" collapsed="false">
      <c r="A470" s="31" t="str">
        <f aca="false">Inputs!$B$66</f>
        <v>BED-007</v>
      </c>
      <c r="B470" s="46" t="n">
        <f aca="false">B469+1</f>
        <v>90</v>
      </c>
      <c r="C470" s="46" t="n">
        <f aca="false">MATCH(A470,Inputs!$B$40:$B$87,0)</f>
        <v>27</v>
      </c>
      <c r="D470" s="32" t="n">
        <f aca="false">INDEX(Inputs!$F$40:$F$87,C470)</f>
        <v>4</v>
      </c>
      <c r="E470" s="78" t="n">
        <f aca="false">INDEX(Inputs!$H$40:$H$87,C470)</f>
        <v>34</v>
      </c>
      <c r="F470" s="78" t="n">
        <f aca="false">INDEX(Inputs!$G$40:$G$87,C470)</f>
        <v>55</v>
      </c>
      <c r="G470" s="32" t="n">
        <f aca="false">INDEX(Inputs!$I$40:$I$87,C470)</f>
        <v>5</v>
      </c>
      <c r="H470" s="46" t="n">
        <f aca="false">MATCH(A470,Demand_History!$C:$C,0)+B470-1</f>
        <v>2795</v>
      </c>
      <c r="I470" s="32" t="n">
        <f aca="false">INDEX(Forecast_Walkforward!$C:$C,H470)</f>
        <v>26</v>
      </c>
      <c r="J470" s="79" t="n">
        <f aca="false">INDEX(Forecast_Walkforward!$E:$E,H470)</f>
        <v>29</v>
      </c>
      <c r="K470" s="33" t="n">
        <f aca="false">Baseline_Weeks*J470</f>
        <v>116</v>
      </c>
      <c r="L470" s="46" t="n">
        <f aca="false">SUMIFS(P$469:P469,$B$469:$B469,$B470-$D470)</f>
        <v>0</v>
      </c>
      <c r="M470" s="46" t="n">
        <f aca="false">S469+L470</f>
        <v>156</v>
      </c>
      <c r="N470" s="46" t="n">
        <f aca="false">SUMIFS(P$469:P469,$B$469:$B469,"&gt;"&amp;($B470-$D470))</f>
        <v>0</v>
      </c>
      <c r="O470" s="46" t="n">
        <f aca="false">M470+N470</f>
        <v>156</v>
      </c>
      <c r="P470" s="47" t="n">
        <f aca="false">IF(O470&lt;K470,ROUNDUP((K470-O470)/G470,0)*G470,0)</f>
        <v>0</v>
      </c>
      <c r="Q470" s="46" t="n">
        <f aca="false">MIN(M470,I470)</f>
        <v>26</v>
      </c>
      <c r="R470" s="46" t="n">
        <f aca="false">I470-Q470</f>
        <v>0</v>
      </c>
      <c r="S470" s="46" t="n">
        <f aca="false">M470-Q470</f>
        <v>130</v>
      </c>
      <c r="T470" s="46" t="n">
        <f aca="false">IF(R470&gt;0,1,0)</f>
        <v>0</v>
      </c>
      <c r="U470" s="32" t="n">
        <f aca="false">INDEX(Forecast!$AY$7:$AY$54,C470)</f>
        <v>3</v>
      </c>
      <c r="V470" s="33" t="n">
        <f aca="false">CHOOSE(U470,INDEX(Forecast_Walkforward!$D:$D,H470),INDEX(Forecast_Walkforward!$E:$E,H470),INDEX(Forecast_Walkforward!$F:$F,H470),INDEX(Forecast_Walkforward!$G:$G,H470))</f>
        <v>27.75</v>
      </c>
      <c r="W470" s="79" t="n">
        <f aca="false">INDEX(Forecast!$BA$7:$BA$54,C470)</f>
        <v>8.65609217543476</v>
      </c>
      <c r="X470" s="33" t="n">
        <f aca="false">Z_Value*W470*SQRT(D470)</f>
        <v>28.4760092199802</v>
      </c>
      <c r="Y470" s="33" t="n">
        <f aca="false">V470*D470+X470</f>
        <v>139.47600921998</v>
      </c>
      <c r="Z470" s="33" t="n">
        <f aca="false">SQRT((2*V470*Weeks_Per_Year*F470)/(E470*Holding_Rate))</f>
        <v>152.783006446475</v>
      </c>
      <c r="AA470" s="46" t="n">
        <f aca="false">ROUNDUP(Z470/G470,0)*G470</f>
        <v>155</v>
      </c>
      <c r="AB470" s="46" t="n">
        <f aca="false">SUMIFS(AF$469:AF469,$B$469:$B469,$B470-$D470)</f>
        <v>0</v>
      </c>
      <c r="AC470" s="46" t="n">
        <f aca="false">AI469+AB470</f>
        <v>156</v>
      </c>
      <c r="AD470" s="46" t="n">
        <f aca="false">SUMIFS(AF$469:AF469,$B$469:$B469,"&gt;"&amp;($B470-$D470))</f>
        <v>0</v>
      </c>
      <c r="AE470" s="46" t="n">
        <f aca="false">AC470+AD470</f>
        <v>156</v>
      </c>
      <c r="AF470" s="47" t="n">
        <f aca="false">IF(AE470&lt;=Y470,AA470,0)</f>
        <v>0</v>
      </c>
      <c r="AG470" s="46" t="n">
        <f aca="false">MIN(AC470,I470)</f>
        <v>26</v>
      </c>
      <c r="AH470" s="46" t="n">
        <f aca="false">I470-AG470</f>
        <v>0</v>
      </c>
      <c r="AI470" s="46" t="n">
        <f aca="false">AC470-AG470</f>
        <v>130</v>
      </c>
      <c r="AJ470" s="46" t="n">
        <f aca="false">IF(AH470&gt;0,1,0)</f>
        <v>0</v>
      </c>
    </row>
    <row r="471" customFormat="false" ht="15" hidden="false" customHeight="false" outlineLevel="0" collapsed="false">
      <c r="A471" s="31" t="str">
        <f aca="false">Inputs!$B$66</f>
        <v>BED-007</v>
      </c>
      <c r="B471" s="46" t="n">
        <f aca="false">B470+1</f>
        <v>91</v>
      </c>
      <c r="C471" s="46" t="n">
        <f aca="false">MATCH(A471,Inputs!$B$40:$B$87,0)</f>
        <v>27</v>
      </c>
      <c r="D471" s="32" t="n">
        <f aca="false">INDEX(Inputs!$F$40:$F$87,C471)</f>
        <v>4</v>
      </c>
      <c r="E471" s="78" t="n">
        <f aca="false">INDEX(Inputs!$H$40:$H$87,C471)</f>
        <v>34</v>
      </c>
      <c r="F471" s="78" t="n">
        <f aca="false">INDEX(Inputs!$G$40:$G$87,C471)</f>
        <v>55</v>
      </c>
      <c r="G471" s="32" t="n">
        <f aca="false">INDEX(Inputs!$I$40:$I$87,C471)</f>
        <v>5</v>
      </c>
      <c r="H471" s="46" t="n">
        <f aca="false">MATCH(A471,Demand_History!$C:$C,0)+B471-1</f>
        <v>2796</v>
      </c>
      <c r="I471" s="32" t="n">
        <f aca="false">INDEX(Forecast_Walkforward!$C:$C,H471)</f>
        <v>19</v>
      </c>
      <c r="J471" s="79" t="n">
        <f aca="false">INDEX(Forecast_Walkforward!$E:$E,H471)</f>
        <v>28.75</v>
      </c>
      <c r="K471" s="33" t="n">
        <f aca="false">Baseline_Weeks*J471</f>
        <v>115</v>
      </c>
      <c r="L471" s="46" t="n">
        <f aca="false">SUMIFS(P$469:P470,$B$469:$B470,$B471-$D471)</f>
        <v>0</v>
      </c>
      <c r="M471" s="46" t="n">
        <f aca="false">S470+L471</f>
        <v>130</v>
      </c>
      <c r="N471" s="46" t="n">
        <f aca="false">SUMIFS(P$469:P470,$B$469:$B470,"&gt;"&amp;($B471-$D471))</f>
        <v>0</v>
      </c>
      <c r="O471" s="46" t="n">
        <f aca="false">M471+N471</f>
        <v>130</v>
      </c>
      <c r="P471" s="47" t="n">
        <f aca="false">IF(O471&lt;K471,ROUNDUP((K471-O471)/G471,0)*G471,0)</f>
        <v>0</v>
      </c>
      <c r="Q471" s="46" t="n">
        <f aca="false">MIN(M471,I471)</f>
        <v>19</v>
      </c>
      <c r="R471" s="46" t="n">
        <f aca="false">I471-Q471</f>
        <v>0</v>
      </c>
      <c r="S471" s="46" t="n">
        <f aca="false">M471-Q471</f>
        <v>111</v>
      </c>
      <c r="T471" s="46" t="n">
        <f aca="false">IF(R471&gt;0,1,0)</f>
        <v>0</v>
      </c>
      <c r="U471" s="32" t="n">
        <f aca="false">INDEX(Forecast!$AY$7:$AY$54,C471)</f>
        <v>3</v>
      </c>
      <c r="V471" s="33" t="n">
        <f aca="false">CHOOSE(U471,INDEX(Forecast_Walkforward!$D:$D,H471),INDEX(Forecast_Walkforward!$E:$E,H471),INDEX(Forecast_Walkforward!$F:$F,H471),INDEX(Forecast_Walkforward!$G:$G,H471))</f>
        <v>27.125</v>
      </c>
      <c r="W471" s="79" t="n">
        <f aca="false">INDEX(Forecast!$BA$7:$BA$54,C471)</f>
        <v>8.65609217543476</v>
      </c>
      <c r="X471" s="33" t="n">
        <f aca="false">Z_Value*W471*SQRT(D471)</f>
        <v>28.4760092199802</v>
      </c>
      <c r="Y471" s="33" t="n">
        <f aca="false">V471*D471+X471</f>
        <v>136.97600921998</v>
      </c>
      <c r="Z471" s="33" t="n">
        <f aca="false">SQRT((2*V471*Weeks_Per_Year*F471)/(E471*Holding_Rate))</f>
        <v>151.052678773684</v>
      </c>
      <c r="AA471" s="46" t="n">
        <f aca="false">ROUNDUP(Z471/G471,0)*G471</f>
        <v>155</v>
      </c>
      <c r="AB471" s="46" t="n">
        <f aca="false">SUMIFS(AF$469:AF470,$B$469:$B470,$B471-$D471)</f>
        <v>0</v>
      </c>
      <c r="AC471" s="46" t="n">
        <f aca="false">AI470+AB471</f>
        <v>130</v>
      </c>
      <c r="AD471" s="46" t="n">
        <f aca="false">SUMIFS(AF$469:AF470,$B$469:$B470,"&gt;"&amp;($B471-$D471))</f>
        <v>0</v>
      </c>
      <c r="AE471" s="46" t="n">
        <f aca="false">AC471+AD471</f>
        <v>130</v>
      </c>
      <c r="AF471" s="47" t="n">
        <f aca="false">IF(AE471&lt;=Y471,AA471,0)</f>
        <v>155</v>
      </c>
      <c r="AG471" s="46" t="n">
        <f aca="false">MIN(AC471,I471)</f>
        <v>19</v>
      </c>
      <c r="AH471" s="46" t="n">
        <f aca="false">I471-AG471</f>
        <v>0</v>
      </c>
      <c r="AI471" s="46" t="n">
        <f aca="false">AC471-AG471</f>
        <v>111</v>
      </c>
      <c r="AJ471" s="46" t="n">
        <f aca="false">IF(AH471&gt;0,1,0)</f>
        <v>0</v>
      </c>
    </row>
    <row r="472" customFormat="false" ht="15" hidden="false" customHeight="false" outlineLevel="0" collapsed="false">
      <c r="A472" s="31" t="str">
        <f aca="false">Inputs!$B$66</f>
        <v>BED-007</v>
      </c>
      <c r="B472" s="46" t="n">
        <f aca="false">B471+1</f>
        <v>92</v>
      </c>
      <c r="C472" s="46" t="n">
        <f aca="false">MATCH(A472,Inputs!$B$40:$B$87,0)</f>
        <v>27</v>
      </c>
      <c r="D472" s="32" t="n">
        <f aca="false">INDEX(Inputs!$F$40:$F$87,C472)</f>
        <v>4</v>
      </c>
      <c r="E472" s="78" t="n">
        <f aca="false">INDEX(Inputs!$H$40:$H$87,C472)</f>
        <v>34</v>
      </c>
      <c r="F472" s="78" t="n">
        <f aca="false">INDEX(Inputs!$G$40:$G$87,C472)</f>
        <v>55</v>
      </c>
      <c r="G472" s="32" t="n">
        <f aca="false">INDEX(Inputs!$I$40:$I$87,C472)</f>
        <v>5</v>
      </c>
      <c r="H472" s="46" t="n">
        <f aca="false">MATCH(A472,Demand_History!$C:$C,0)+B472-1</f>
        <v>2797</v>
      </c>
      <c r="I472" s="32" t="n">
        <f aca="false">INDEX(Forecast_Walkforward!$C:$C,H472)</f>
        <v>29</v>
      </c>
      <c r="J472" s="79" t="n">
        <f aca="false">INDEX(Forecast_Walkforward!$E:$E,H472)</f>
        <v>24.5</v>
      </c>
      <c r="K472" s="33" t="n">
        <f aca="false">Baseline_Weeks*J472</f>
        <v>98</v>
      </c>
      <c r="L472" s="46" t="n">
        <f aca="false">SUMIFS(P$469:P471,$B$469:$B471,$B472-$D472)</f>
        <v>0</v>
      </c>
      <c r="M472" s="46" t="n">
        <f aca="false">S471+L472</f>
        <v>111</v>
      </c>
      <c r="N472" s="46" t="n">
        <f aca="false">SUMIFS(P$469:P471,$B$469:$B471,"&gt;"&amp;($B472-$D472))</f>
        <v>0</v>
      </c>
      <c r="O472" s="46" t="n">
        <f aca="false">M472+N472</f>
        <v>111</v>
      </c>
      <c r="P472" s="47" t="n">
        <f aca="false">IF(O472&lt;K472,ROUNDUP((K472-O472)/G472,0)*G472,0)</f>
        <v>0</v>
      </c>
      <c r="Q472" s="46" t="n">
        <f aca="false">MIN(M472,I472)</f>
        <v>29</v>
      </c>
      <c r="R472" s="46" t="n">
        <f aca="false">I472-Q472</f>
        <v>0</v>
      </c>
      <c r="S472" s="46" t="n">
        <f aca="false">M472-Q472</f>
        <v>82</v>
      </c>
      <c r="T472" s="46" t="n">
        <f aca="false">IF(R472&gt;0,1,0)</f>
        <v>0</v>
      </c>
      <c r="U472" s="32" t="n">
        <f aca="false">INDEX(Forecast!$AY$7:$AY$54,C472)</f>
        <v>3</v>
      </c>
      <c r="V472" s="33" t="n">
        <f aca="false">CHOOSE(U472,INDEX(Forecast_Walkforward!$D:$D,H472),INDEX(Forecast_Walkforward!$E:$E,H472),INDEX(Forecast_Walkforward!$F:$F,H472),INDEX(Forecast_Walkforward!$G:$G,H472))</f>
        <v>27.375</v>
      </c>
      <c r="W472" s="79" t="n">
        <f aca="false">INDEX(Forecast!$BA$7:$BA$54,C472)</f>
        <v>8.65609217543476</v>
      </c>
      <c r="X472" s="33" t="n">
        <f aca="false">Z_Value*W472*SQRT(D472)</f>
        <v>28.4760092199802</v>
      </c>
      <c r="Y472" s="33" t="n">
        <f aca="false">V472*D472+X472</f>
        <v>137.97600921998</v>
      </c>
      <c r="Z472" s="33" t="n">
        <f aca="false">SQRT((2*V472*Weeks_Per_Year*F472)/(E472*Holding_Rate))</f>
        <v>151.747177510334</v>
      </c>
      <c r="AA472" s="46" t="n">
        <f aca="false">ROUNDUP(Z472/G472,0)*G472</f>
        <v>155</v>
      </c>
      <c r="AB472" s="46" t="n">
        <f aca="false">SUMIFS(AF$469:AF471,$B$469:$B471,$B472-$D472)</f>
        <v>0</v>
      </c>
      <c r="AC472" s="46" t="n">
        <f aca="false">AI471+AB472</f>
        <v>111</v>
      </c>
      <c r="AD472" s="46" t="n">
        <f aca="false">SUMIFS(AF$469:AF471,$B$469:$B471,"&gt;"&amp;($B472-$D472))</f>
        <v>155</v>
      </c>
      <c r="AE472" s="46" t="n">
        <f aca="false">AC472+AD472</f>
        <v>266</v>
      </c>
      <c r="AF472" s="47" t="n">
        <f aca="false">IF(AE472&lt;=Y472,AA472,0)</f>
        <v>0</v>
      </c>
      <c r="AG472" s="46" t="n">
        <f aca="false">MIN(AC472,I472)</f>
        <v>29</v>
      </c>
      <c r="AH472" s="46" t="n">
        <f aca="false">I472-AG472</f>
        <v>0</v>
      </c>
      <c r="AI472" s="46" t="n">
        <f aca="false">AC472-AG472</f>
        <v>82</v>
      </c>
      <c r="AJ472" s="46" t="n">
        <f aca="false">IF(AH472&gt;0,1,0)</f>
        <v>0</v>
      </c>
    </row>
    <row r="473" customFormat="false" ht="15" hidden="false" customHeight="false" outlineLevel="0" collapsed="false">
      <c r="A473" s="31" t="str">
        <f aca="false">Inputs!$B$66</f>
        <v>BED-007</v>
      </c>
      <c r="B473" s="46" t="n">
        <f aca="false">B472+1</f>
        <v>93</v>
      </c>
      <c r="C473" s="46" t="n">
        <f aca="false">MATCH(A473,Inputs!$B$40:$B$87,0)</f>
        <v>27</v>
      </c>
      <c r="D473" s="32" t="n">
        <f aca="false">INDEX(Inputs!$F$40:$F$87,C473)</f>
        <v>4</v>
      </c>
      <c r="E473" s="78" t="n">
        <f aca="false">INDEX(Inputs!$H$40:$H$87,C473)</f>
        <v>34</v>
      </c>
      <c r="F473" s="78" t="n">
        <f aca="false">INDEX(Inputs!$G$40:$G$87,C473)</f>
        <v>55</v>
      </c>
      <c r="G473" s="32" t="n">
        <f aca="false">INDEX(Inputs!$I$40:$I$87,C473)</f>
        <v>5</v>
      </c>
      <c r="H473" s="46" t="n">
        <f aca="false">MATCH(A473,Demand_History!$C:$C,0)+B473-1</f>
        <v>2798</v>
      </c>
      <c r="I473" s="32" t="n">
        <f aca="false">INDEX(Forecast_Walkforward!$C:$C,H473)</f>
        <v>19</v>
      </c>
      <c r="J473" s="79" t="n">
        <f aca="false">INDEX(Forecast_Walkforward!$E:$E,H473)</f>
        <v>23.25</v>
      </c>
      <c r="K473" s="33" t="n">
        <f aca="false">Baseline_Weeks*J473</f>
        <v>93</v>
      </c>
      <c r="L473" s="46" t="n">
        <f aca="false">SUMIFS(P$469:P472,$B$469:$B472,$B473-$D473)</f>
        <v>0</v>
      </c>
      <c r="M473" s="46" t="n">
        <f aca="false">S472+L473</f>
        <v>82</v>
      </c>
      <c r="N473" s="46" t="n">
        <f aca="false">SUMIFS(P$469:P472,$B$469:$B472,"&gt;"&amp;($B473-$D473))</f>
        <v>0</v>
      </c>
      <c r="O473" s="46" t="n">
        <f aca="false">M473+N473</f>
        <v>82</v>
      </c>
      <c r="P473" s="47" t="n">
        <f aca="false">IF(O473&lt;K473,ROUNDUP((K473-O473)/G473,0)*G473,0)</f>
        <v>15</v>
      </c>
      <c r="Q473" s="46" t="n">
        <f aca="false">MIN(M473,I473)</f>
        <v>19</v>
      </c>
      <c r="R473" s="46" t="n">
        <f aca="false">I473-Q473</f>
        <v>0</v>
      </c>
      <c r="S473" s="46" t="n">
        <f aca="false">M473-Q473</f>
        <v>63</v>
      </c>
      <c r="T473" s="46" t="n">
        <f aca="false">IF(R473&gt;0,1,0)</f>
        <v>0</v>
      </c>
      <c r="U473" s="32" t="n">
        <f aca="false">INDEX(Forecast!$AY$7:$AY$54,C473)</f>
        <v>3</v>
      </c>
      <c r="V473" s="33" t="n">
        <f aca="false">CHOOSE(U473,INDEX(Forecast_Walkforward!$D:$D,H473),INDEX(Forecast_Walkforward!$E:$E,H473),INDEX(Forecast_Walkforward!$F:$F,H473),INDEX(Forecast_Walkforward!$G:$G,H473))</f>
        <v>27.5</v>
      </c>
      <c r="W473" s="79" t="n">
        <f aca="false">INDEX(Forecast!$BA$7:$BA$54,C473)</f>
        <v>8.65609217543476</v>
      </c>
      <c r="X473" s="33" t="n">
        <f aca="false">Z_Value*W473*SQRT(D473)</f>
        <v>28.4760092199802</v>
      </c>
      <c r="Y473" s="33" t="n">
        <f aca="false">V473*D473+X473</f>
        <v>138.47600921998</v>
      </c>
      <c r="Z473" s="33" t="n">
        <f aca="false">SQRT((2*V473*Weeks_Per_Year*F473)/(E473*Holding_Rate))</f>
        <v>152.093237657617</v>
      </c>
      <c r="AA473" s="46" t="n">
        <f aca="false">ROUNDUP(Z473/G473,0)*G473</f>
        <v>155</v>
      </c>
      <c r="AB473" s="46" t="n">
        <f aca="false">SUMIFS(AF$469:AF472,$B$469:$B472,$B473-$D473)</f>
        <v>0</v>
      </c>
      <c r="AC473" s="46" t="n">
        <f aca="false">AI472+AB473</f>
        <v>82</v>
      </c>
      <c r="AD473" s="46" t="n">
        <f aca="false">SUMIFS(AF$469:AF472,$B$469:$B472,"&gt;"&amp;($B473-$D473))</f>
        <v>155</v>
      </c>
      <c r="AE473" s="46" t="n">
        <f aca="false">AC473+AD473</f>
        <v>237</v>
      </c>
      <c r="AF473" s="47" t="n">
        <f aca="false">IF(AE473&lt;=Y473,AA473,0)</f>
        <v>0</v>
      </c>
      <c r="AG473" s="46" t="n">
        <f aca="false">MIN(AC473,I473)</f>
        <v>19</v>
      </c>
      <c r="AH473" s="46" t="n">
        <f aca="false">I473-AG473</f>
        <v>0</v>
      </c>
      <c r="AI473" s="46" t="n">
        <f aca="false">AC473-AG473</f>
        <v>63</v>
      </c>
      <c r="AJ473" s="46" t="n">
        <f aca="false">IF(AH473&gt;0,1,0)</f>
        <v>0</v>
      </c>
    </row>
    <row r="474" customFormat="false" ht="15" hidden="false" customHeight="false" outlineLevel="0" collapsed="false">
      <c r="A474" s="31" t="str">
        <f aca="false">Inputs!$B$66</f>
        <v>BED-007</v>
      </c>
      <c r="B474" s="46" t="n">
        <f aca="false">B473+1</f>
        <v>94</v>
      </c>
      <c r="C474" s="46" t="n">
        <f aca="false">MATCH(A474,Inputs!$B$40:$B$87,0)</f>
        <v>27</v>
      </c>
      <c r="D474" s="32" t="n">
        <f aca="false">INDEX(Inputs!$F$40:$F$87,C474)</f>
        <v>4</v>
      </c>
      <c r="E474" s="78" t="n">
        <f aca="false">INDEX(Inputs!$H$40:$H$87,C474)</f>
        <v>34</v>
      </c>
      <c r="F474" s="78" t="n">
        <f aca="false">INDEX(Inputs!$G$40:$G$87,C474)</f>
        <v>55</v>
      </c>
      <c r="G474" s="32" t="n">
        <f aca="false">INDEX(Inputs!$I$40:$I$87,C474)</f>
        <v>5</v>
      </c>
      <c r="H474" s="46" t="n">
        <f aca="false">MATCH(A474,Demand_History!$C:$C,0)+B474-1</f>
        <v>2799</v>
      </c>
      <c r="I474" s="32" t="n">
        <f aca="false">INDEX(Forecast_Walkforward!$C:$C,H474)</f>
        <v>32</v>
      </c>
      <c r="J474" s="79" t="n">
        <f aca="false">INDEX(Forecast_Walkforward!$E:$E,H474)</f>
        <v>23.25</v>
      </c>
      <c r="K474" s="33" t="n">
        <f aca="false">Baseline_Weeks*J474</f>
        <v>93</v>
      </c>
      <c r="L474" s="46" t="n">
        <f aca="false">SUMIFS(P$469:P473,$B$469:$B473,$B474-$D474)</f>
        <v>0</v>
      </c>
      <c r="M474" s="46" t="n">
        <f aca="false">S473+L474</f>
        <v>63</v>
      </c>
      <c r="N474" s="46" t="n">
        <f aca="false">SUMIFS(P$469:P473,$B$469:$B473,"&gt;"&amp;($B474-$D474))</f>
        <v>15</v>
      </c>
      <c r="O474" s="46" t="n">
        <f aca="false">M474+N474</f>
        <v>78</v>
      </c>
      <c r="P474" s="47" t="n">
        <f aca="false">IF(O474&lt;K474,ROUNDUP((K474-O474)/G474,0)*G474,0)</f>
        <v>15</v>
      </c>
      <c r="Q474" s="46" t="n">
        <f aca="false">MIN(M474,I474)</f>
        <v>32</v>
      </c>
      <c r="R474" s="46" t="n">
        <f aca="false">I474-Q474</f>
        <v>0</v>
      </c>
      <c r="S474" s="46" t="n">
        <f aca="false">M474-Q474</f>
        <v>31</v>
      </c>
      <c r="T474" s="46" t="n">
        <f aca="false">IF(R474&gt;0,1,0)</f>
        <v>0</v>
      </c>
      <c r="U474" s="32" t="n">
        <f aca="false">INDEX(Forecast!$AY$7:$AY$54,C474)</f>
        <v>3</v>
      </c>
      <c r="V474" s="33" t="n">
        <f aca="false">CHOOSE(U474,INDEX(Forecast_Walkforward!$D:$D,H474),INDEX(Forecast_Walkforward!$E:$E,H474),INDEX(Forecast_Walkforward!$F:$F,H474),INDEX(Forecast_Walkforward!$G:$G,H474))</f>
        <v>26.125</v>
      </c>
      <c r="W474" s="79" t="n">
        <f aca="false">INDEX(Forecast!$BA$7:$BA$54,C474)</f>
        <v>8.65609217543476</v>
      </c>
      <c r="X474" s="33" t="n">
        <f aca="false">Z_Value*W474*SQRT(D474)</f>
        <v>28.4760092199802</v>
      </c>
      <c r="Y474" s="33" t="n">
        <f aca="false">V474*D474+X474</f>
        <v>132.97600921998</v>
      </c>
      <c r="Z474" s="33" t="n">
        <f aca="false">SQRT((2*V474*Weeks_Per_Year*F474)/(E474*Holding_Rate))</f>
        <v>148.242150868495</v>
      </c>
      <c r="AA474" s="46" t="n">
        <f aca="false">ROUNDUP(Z474/G474,0)*G474</f>
        <v>150</v>
      </c>
      <c r="AB474" s="46" t="n">
        <f aca="false">SUMIFS(AF$469:AF473,$B$469:$B473,$B474-$D474)</f>
        <v>0</v>
      </c>
      <c r="AC474" s="46" t="n">
        <f aca="false">AI473+AB474</f>
        <v>63</v>
      </c>
      <c r="AD474" s="46" t="n">
        <f aca="false">SUMIFS(AF$469:AF473,$B$469:$B473,"&gt;"&amp;($B474-$D474))</f>
        <v>155</v>
      </c>
      <c r="AE474" s="46" t="n">
        <f aca="false">AC474+AD474</f>
        <v>218</v>
      </c>
      <c r="AF474" s="47" t="n">
        <f aca="false">IF(AE474&lt;=Y474,AA474,0)</f>
        <v>0</v>
      </c>
      <c r="AG474" s="46" t="n">
        <f aca="false">MIN(AC474,I474)</f>
        <v>32</v>
      </c>
      <c r="AH474" s="46" t="n">
        <f aca="false">I474-AG474</f>
        <v>0</v>
      </c>
      <c r="AI474" s="46" t="n">
        <f aca="false">AC474-AG474</f>
        <v>31</v>
      </c>
      <c r="AJ474" s="46" t="n">
        <f aca="false">IF(AH474&gt;0,1,0)</f>
        <v>0</v>
      </c>
    </row>
    <row r="475" customFormat="false" ht="15" hidden="false" customHeight="false" outlineLevel="0" collapsed="false">
      <c r="A475" s="31" t="str">
        <f aca="false">Inputs!$B$66</f>
        <v>BED-007</v>
      </c>
      <c r="B475" s="46" t="n">
        <f aca="false">B474+1</f>
        <v>95</v>
      </c>
      <c r="C475" s="46" t="n">
        <f aca="false">MATCH(A475,Inputs!$B$40:$B$87,0)</f>
        <v>27</v>
      </c>
      <c r="D475" s="32" t="n">
        <f aca="false">INDEX(Inputs!$F$40:$F$87,C475)</f>
        <v>4</v>
      </c>
      <c r="E475" s="78" t="n">
        <f aca="false">INDEX(Inputs!$H$40:$H$87,C475)</f>
        <v>34</v>
      </c>
      <c r="F475" s="78" t="n">
        <f aca="false">INDEX(Inputs!$G$40:$G$87,C475)</f>
        <v>55</v>
      </c>
      <c r="G475" s="32" t="n">
        <f aca="false">INDEX(Inputs!$I$40:$I$87,C475)</f>
        <v>5</v>
      </c>
      <c r="H475" s="46" t="n">
        <f aca="false">MATCH(A475,Demand_History!$C:$C,0)+B475-1</f>
        <v>2800</v>
      </c>
      <c r="I475" s="32" t="n">
        <f aca="false">INDEX(Forecast_Walkforward!$C:$C,H475)</f>
        <v>28</v>
      </c>
      <c r="J475" s="79" t="n">
        <f aca="false">INDEX(Forecast_Walkforward!$E:$E,H475)</f>
        <v>24.75</v>
      </c>
      <c r="K475" s="33" t="n">
        <f aca="false">Baseline_Weeks*J475</f>
        <v>99</v>
      </c>
      <c r="L475" s="46" t="n">
        <f aca="false">SUMIFS(P$469:P474,$B$469:$B474,$B475-$D475)</f>
        <v>0</v>
      </c>
      <c r="M475" s="46" t="n">
        <f aca="false">S474+L475</f>
        <v>31</v>
      </c>
      <c r="N475" s="46" t="n">
        <f aca="false">SUMIFS(P$469:P474,$B$469:$B474,"&gt;"&amp;($B475-$D475))</f>
        <v>30</v>
      </c>
      <c r="O475" s="46" t="n">
        <f aca="false">M475+N475</f>
        <v>61</v>
      </c>
      <c r="P475" s="47" t="n">
        <f aca="false">IF(O475&lt;K475,ROUNDUP((K475-O475)/G475,0)*G475,0)</f>
        <v>40</v>
      </c>
      <c r="Q475" s="46" t="n">
        <f aca="false">MIN(M475,I475)</f>
        <v>28</v>
      </c>
      <c r="R475" s="46" t="n">
        <f aca="false">I475-Q475</f>
        <v>0</v>
      </c>
      <c r="S475" s="46" t="n">
        <f aca="false">M475-Q475</f>
        <v>3</v>
      </c>
      <c r="T475" s="46" t="n">
        <f aca="false">IF(R475&gt;0,1,0)</f>
        <v>0</v>
      </c>
      <c r="U475" s="32" t="n">
        <f aca="false">INDEX(Forecast!$AY$7:$AY$54,C475)</f>
        <v>3</v>
      </c>
      <c r="V475" s="33" t="n">
        <f aca="false">CHOOSE(U475,INDEX(Forecast_Walkforward!$D:$D,H475),INDEX(Forecast_Walkforward!$E:$E,H475),INDEX(Forecast_Walkforward!$F:$F,H475),INDEX(Forecast_Walkforward!$G:$G,H475))</f>
        <v>26.75</v>
      </c>
      <c r="W475" s="79" t="n">
        <f aca="false">INDEX(Forecast!$BA$7:$BA$54,C475)</f>
        <v>8.65609217543476</v>
      </c>
      <c r="X475" s="33" t="n">
        <f aca="false">Z_Value*W475*SQRT(D475)</f>
        <v>28.4760092199802</v>
      </c>
      <c r="Y475" s="33" t="n">
        <f aca="false">V475*D475+X475</f>
        <v>135.47600921998</v>
      </c>
      <c r="Z475" s="33" t="n">
        <f aca="false">SQRT((2*V475*Weeks_Per_Year*F475)/(E475*Holding_Rate))</f>
        <v>150.00490188069</v>
      </c>
      <c r="AA475" s="46" t="n">
        <f aca="false">ROUNDUP(Z475/G475,0)*G475</f>
        <v>155</v>
      </c>
      <c r="AB475" s="46" t="n">
        <f aca="false">SUMIFS(AF$469:AF474,$B$469:$B474,$B475-$D475)</f>
        <v>155</v>
      </c>
      <c r="AC475" s="46" t="n">
        <f aca="false">AI474+AB475</f>
        <v>186</v>
      </c>
      <c r="AD475" s="46" t="n">
        <f aca="false">SUMIFS(AF$469:AF474,$B$469:$B474,"&gt;"&amp;($B475-$D475))</f>
        <v>0</v>
      </c>
      <c r="AE475" s="46" t="n">
        <f aca="false">AC475+AD475</f>
        <v>186</v>
      </c>
      <c r="AF475" s="47" t="n">
        <f aca="false">IF(AE475&lt;=Y475,AA475,0)</f>
        <v>0</v>
      </c>
      <c r="AG475" s="46" t="n">
        <f aca="false">MIN(AC475,I475)</f>
        <v>28</v>
      </c>
      <c r="AH475" s="46" t="n">
        <f aca="false">I475-AG475</f>
        <v>0</v>
      </c>
      <c r="AI475" s="46" t="n">
        <f aca="false">AC475-AG475</f>
        <v>158</v>
      </c>
      <c r="AJ475" s="46" t="n">
        <f aca="false">IF(AH475&gt;0,1,0)</f>
        <v>0</v>
      </c>
    </row>
    <row r="476" customFormat="false" ht="15" hidden="false" customHeight="false" outlineLevel="0" collapsed="false">
      <c r="A476" s="31" t="str">
        <f aca="false">Inputs!$B$66</f>
        <v>BED-007</v>
      </c>
      <c r="B476" s="46" t="n">
        <f aca="false">B475+1</f>
        <v>96</v>
      </c>
      <c r="C476" s="46" t="n">
        <f aca="false">MATCH(A476,Inputs!$B$40:$B$87,0)</f>
        <v>27</v>
      </c>
      <c r="D476" s="32" t="n">
        <f aca="false">INDEX(Inputs!$F$40:$F$87,C476)</f>
        <v>4</v>
      </c>
      <c r="E476" s="78" t="n">
        <f aca="false">INDEX(Inputs!$H$40:$H$87,C476)</f>
        <v>34</v>
      </c>
      <c r="F476" s="78" t="n">
        <f aca="false">INDEX(Inputs!$G$40:$G$87,C476)</f>
        <v>55</v>
      </c>
      <c r="G476" s="32" t="n">
        <f aca="false">INDEX(Inputs!$I$40:$I$87,C476)</f>
        <v>5</v>
      </c>
      <c r="H476" s="46" t="n">
        <f aca="false">MATCH(A476,Demand_History!$C:$C,0)+B476-1</f>
        <v>2801</v>
      </c>
      <c r="I476" s="32" t="n">
        <f aca="false">INDEX(Forecast_Walkforward!$C:$C,H476)</f>
        <v>32</v>
      </c>
      <c r="J476" s="79" t="n">
        <f aca="false">INDEX(Forecast_Walkforward!$E:$E,H476)</f>
        <v>27</v>
      </c>
      <c r="K476" s="33" t="n">
        <f aca="false">Baseline_Weeks*J476</f>
        <v>108</v>
      </c>
      <c r="L476" s="46" t="n">
        <f aca="false">SUMIFS(P$469:P475,$B$469:$B475,$B476-$D476)</f>
        <v>0</v>
      </c>
      <c r="M476" s="46" t="n">
        <f aca="false">S475+L476</f>
        <v>3</v>
      </c>
      <c r="N476" s="46" t="n">
        <f aca="false">SUMIFS(P$469:P475,$B$469:$B475,"&gt;"&amp;($B476-$D476))</f>
        <v>70</v>
      </c>
      <c r="O476" s="46" t="n">
        <f aca="false">M476+N476</f>
        <v>73</v>
      </c>
      <c r="P476" s="47" t="n">
        <f aca="false">IF(O476&lt;K476,ROUNDUP((K476-O476)/G476,0)*G476,0)</f>
        <v>35</v>
      </c>
      <c r="Q476" s="46" t="n">
        <f aca="false">MIN(M476,I476)</f>
        <v>3</v>
      </c>
      <c r="R476" s="46" t="n">
        <f aca="false">I476-Q476</f>
        <v>29</v>
      </c>
      <c r="S476" s="46" t="n">
        <f aca="false">M476-Q476</f>
        <v>0</v>
      </c>
      <c r="T476" s="46" t="n">
        <f aca="false">IF(R476&gt;0,1,0)</f>
        <v>1</v>
      </c>
      <c r="U476" s="32" t="n">
        <f aca="false">INDEX(Forecast!$AY$7:$AY$54,C476)</f>
        <v>3</v>
      </c>
      <c r="V476" s="33" t="n">
        <f aca="false">CHOOSE(U476,INDEX(Forecast_Walkforward!$D:$D,H476),INDEX(Forecast_Walkforward!$E:$E,H476),INDEX(Forecast_Walkforward!$F:$F,H476),INDEX(Forecast_Walkforward!$G:$G,H476))</f>
        <v>25.75</v>
      </c>
      <c r="W476" s="79" t="n">
        <f aca="false">INDEX(Forecast!$BA$7:$BA$54,C476)</f>
        <v>8.65609217543476</v>
      </c>
      <c r="X476" s="33" t="n">
        <f aca="false">Z_Value*W476*SQRT(D476)</f>
        <v>28.4760092199802</v>
      </c>
      <c r="Y476" s="33" t="n">
        <f aca="false">V476*D476+X476</f>
        <v>131.47600921998</v>
      </c>
      <c r="Z476" s="33" t="n">
        <f aca="false">SQRT((2*V476*Weeks_Per_Year*F476)/(E476*Holding_Rate))</f>
        <v>147.174366374199</v>
      </c>
      <c r="AA476" s="46" t="n">
        <f aca="false">ROUNDUP(Z476/G476,0)*G476</f>
        <v>150</v>
      </c>
      <c r="AB476" s="46" t="n">
        <f aca="false">SUMIFS(AF$469:AF475,$B$469:$B475,$B476-$D476)</f>
        <v>0</v>
      </c>
      <c r="AC476" s="46" t="n">
        <f aca="false">AI475+AB476</f>
        <v>158</v>
      </c>
      <c r="AD476" s="46" t="n">
        <f aca="false">SUMIFS(AF$469:AF475,$B$469:$B475,"&gt;"&amp;($B476-$D476))</f>
        <v>0</v>
      </c>
      <c r="AE476" s="46" t="n">
        <f aca="false">AC476+AD476</f>
        <v>158</v>
      </c>
      <c r="AF476" s="47" t="n">
        <f aca="false">IF(AE476&lt;=Y476,AA476,0)</f>
        <v>0</v>
      </c>
      <c r="AG476" s="46" t="n">
        <f aca="false">MIN(AC476,I476)</f>
        <v>32</v>
      </c>
      <c r="AH476" s="46" t="n">
        <f aca="false">I476-AG476</f>
        <v>0</v>
      </c>
      <c r="AI476" s="46" t="n">
        <f aca="false">AC476-AG476</f>
        <v>126</v>
      </c>
      <c r="AJ476" s="46" t="n">
        <f aca="false">IF(AH476&gt;0,1,0)</f>
        <v>0</v>
      </c>
    </row>
    <row r="477" customFormat="false" ht="15" hidden="false" customHeight="false" outlineLevel="0" collapsed="false">
      <c r="A477" s="31" t="str">
        <f aca="false">Inputs!$B$66</f>
        <v>BED-007</v>
      </c>
      <c r="B477" s="46" t="n">
        <f aca="false">B476+1</f>
        <v>97</v>
      </c>
      <c r="C477" s="46" t="n">
        <f aca="false">MATCH(A477,Inputs!$B$40:$B$87,0)</f>
        <v>27</v>
      </c>
      <c r="D477" s="32" t="n">
        <f aca="false">INDEX(Inputs!$F$40:$F$87,C477)</f>
        <v>4</v>
      </c>
      <c r="E477" s="78" t="n">
        <f aca="false">INDEX(Inputs!$H$40:$H$87,C477)</f>
        <v>34</v>
      </c>
      <c r="F477" s="78" t="n">
        <f aca="false">INDEX(Inputs!$G$40:$G$87,C477)</f>
        <v>55</v>
      </c>
      <c r="G477" s="32" t="n">
        <f aca="false">INDEX(Inputs!$I$40:$I$87,C477)</f>
        <v>5</v>
      </c>
      <c r="H477" s="46" t="n">
        <f aca="false">MATCH(A477,Demand_History!$C:$C,0)+B477-1</f>
        <v>2802</v>
      </c>
      <c r="I477" s="32" t="n">
        <f aca="false">INDEX(Forecast_Walkforward!$C:$C,H477)</f>
        <v>24</v>
      </c>
      <c r="J477" s="79" t="n">
        <f aca="false">INDEX(Forecast_Walkforward!$E:$E,H477)</f>
        <v>27.75</v>
      </c>
      <c r="K477" s="33" t="n">
        <f aca="false">Baseline_Weeks*J477</f>
        <v>111</v>
      </c>
      <c r="L477" s="46" t="n">
        <f aca="false">SUMIFS(P$469:P476,$B$469:$B476,$B477-$D477)</f>
        <v>15</v>
      </c>
      <c r="M477" s="46" t="n">
        <f aca="false">S476+L477</f>
        <v>15</v>
      </c>
      <c r="N477" s="46" t="n">
        <f aca="false">SUMIFS(P$469:P476,$B$469:$B476,"&gt;"&amp;($B477-$D477))</f>
        <v>90</v>
      </c>
      <c r="O477" s="46" t="n">
        <f aca="false">M477+N477</f>
        <v>105</v>
      </c>
      <c r="P477" s="47" t="n">
        <f aca="false">IF(O477&lt;K477,ROUNDUP((K477-O477)/G477,0)*G477,0)</f>
        <v>10</v>
      </c>
      <c r="Q477" s="46" t="n">
        <f aca="false">MIN(M477,I477)</f>
        <v>15</v>
      </c>
      <c r="R477" s="46" t="n">
        <f aca="false">I477-Q477</f>
        <v>9</v>
      </c>
      <c r="S477" s="46" t="n">
        <f aca="false">M477-Q477</f>
        <v>0</v>
      </c>
      <c r="T477" s="46" t="n">
        <f aca="false">IF(R477&gt;0,1,0)</f>
        <v>1</v>
      </c>
      <c r="U477" s="32" t="n">
        <f aca="false">INDEX(Forecast!$AY$7:$AY$54,C477)</f>
        <v>3</v>
      </c>
      <c r="V477" s="33" t="n">
        <f aca="false">CHOOSE(U477,INDEX(Forecast_Walkforward!$D:$D,H477),INDEX(Forecast_Walkforward!$E:$E,H477),INDEX(Forecast_Walkforward!$F:$F,H477),INDEX(Forecast_Walkforward!$G:$G,H477))</f>
        <v>25.5</v>
      </c>
      <c r="W477" s="79" t="n">
        <f aca="false">INDEX(Forecast!$BA$7:$BA$54,C477)</f>
        <v>8.65609217543476</v>
      </c>
      <c r="X477" s="33" t="n">
        <f aca="false">Z_Value*W477*SQRT(D477)</f>
        <v>28.4760092199802</v>
      </c>
      <c r="Y477" s="33" t="n">
        <f aca="false">V477*D477+X477</f>
        <v>130.47600921998</v>
      </c>
      <c r="Z477" s="33" t="n">
        <f aca="false">SQRT((2*V477*Weeks_Per_Year*F477)/(E477*Holding_Rate))</f>
        <v>146.458185158768</v>
      </c>
      <c r="AA477" s="46" t="n">
        <f aca="false">ROUNDUP(Z477/G477,0)*G477</f>
        <v>150</v>
      </c>
      <c r="AB477" s="46" t="n">
        <f aca="false">SUMIFS(AF$469:AF476,$B$469:$B476,$B477-$D477)</f>
        <v>0</v>
      </c>
      <c r="AC477" s="46" t="n">
        <f aca="false">AI476+AB477</f>
        <v>126</v>
      </c>
      <c r="AD477" s="46" t="n">
        <f aca="false">SUMIFS(AF$469:AF476,$B$469:$B476,"&gt;"&amp;($B477-$D477))</f>
        <v>0</v>
      </c>
      <c r="AE477" s="46" t="n">
        <f aca="false">AC477+AD477</f>
        <v>126</v>
      </c>
      <c r="AF477" s="47" t="n">
        <f aca="false">IF(AE477&lt;=Y477,AA477,0)</f>
        <v>150</v>
      </c>
      <c r="AG477" s="46" t="n">
        <f aca="false">MIN(AC477,I477)</f>
        <v>24</v>
      </c>
      <c r="AH477" s="46" t="n">
        <f aca="false">I477-AG477</f>
        <v>0</v>
      </c>
      <c r="AI477" s="46" t="n">
        <f aca="false">AC477-AG477</f>
        <v>102</v>
      </c>
      <c r="AJ477" s="46" t="n">
        <f aca="false">IF(AH477&gt;0,1,0)</f>
        <v>0</v>
      </c>
    </row>
    <row r="478" customFormat="false" ht="15" hidden="false" customHeight="false" outlineLevel="0" collapsed="false">
      <c r="A478" s="31" t="str">
        <f aca="false">Inputs!$B$66</f>
        <v>BED-007</v>
      </c>
      <c r="B478" s="46" t="n">
        <f aca="false">B477+1</f>
        <v>98</v>
      </c>
      <c r="C478" s="46" t="n">
        <f aca="false">MATCH(A478,Inputs!$B$40:$B$87,0)</f>
        <v>27</v>
      </c>
      <c r="D478" s="32" t="n">
        <f aca="false">INDEX(Inputs!$F$40:$F$87,C478)</f>
        <v>4</v>
      </c>
      <c r="E478" s="78" t="n">
        <f aca="false">INDEX(Inputs!$H$40:$H$87,C478)</f>
        <v>34</v>
      </c>
      <c r="F478" s="78" t="n">
        <f aca="false">INDEX(Inputs!$G$40:$G$87,C478)</f>
        <v>55</v>
      </c>
      <c r="G478" s="32" t="n">
        <f aca="false">INDEX(Inputs!$I$40:$I$87,C478)</f>
        <v>5</v>
      </c>
      <c r="H478" s="46" t="n">
        <f aca="false">MATCH(A478,Demand_History!$C:$C,0)+B478-1</f>
        <v>2803</v>
      </c>
      <c r="I478" s="32" t="n">
        <f aca="false">INDEX(Forecast_Walkforward!$C:$C,H478)</f>
        <v>14</v>
      </c>
      <c r="J478" s="79" t="n">
        <f aca="false">INDEX(Forecast_Walkforward!$E:$E,H478)</f>
        <v>29</v>
      </c>
      <c r="K478" s="33" t="n">
        <f aca="false">Baseline_Weeks*J478</f>
        <v>116</v>
      </c>
      <c r="L478" s="46" t="n">
        <f aca="false">SUMIFS(P$469:P477,$B$469:$B477,$B478-$D478)</f>
        <v>15</v>
      </c>
      <c r="M478" s="46" t="n">
        <f aca="false">S477+L478</f>
        <v>15</v>
      </c>
      <c r="N478" s="46" t="n">
        <f aca="false">SUMIFS(P$469:P477,$B$469:$B477,"&gt;"&amp;($B478-$D478))</f>
        <v>85</v>
      </c>
      <c r="O478" s="46" t="n">
        <f aca="false">M478+N478</f>
        <v>100</v>
      </c>
      <c r="P478" s="47" t="n">
        <f aca="false">IF(O478&lt;K478,ROUNDUP((K478-O478)/G478,0)*G478,0)</f>
        <v>20</v>
      </c>
      <c r="Q478" s="46" t="n">
        <f aca="false">MIN(M478,I478)</f>
        <v>14</v>
      </c>
      <c r="R478" s="46" t="n">
        <f aca="false">I478-Q478</f>
        <v>0</v>
      </c>
      <c r="S478" s="46" t="n">
        <f aca="false">M478-Q478</f>
        <v>1</v>
      </c>
      <c r="T478" s="46" t="n">
        <f aca="false">IF(R478&gt;0,1,0)</f>
        <v>0</v>
      </c>
      <c r="U478" s="32" t="n">
        <f aca="false">INDEX(Forecast!$AY$7:$AY$54,C478)</f>
        <v>3</v>
      </c>
      <c r="V478" s="33" t="n">
        <f aca="false">CHOOSE(U478,INDEX(Forecast_Walkforward!$D:$D,H478),INDEX(Forecast_Walkforward!$E:$E,H478),INDEX(Forecast_Walkforward!$F:$F,H478),INDEX(Forecast_Walkforward!$G:$G,H478))</f>
        <v>26.125</v>
      </c>
      <c r="W478" s="79" t="n">
        <f aca="false">INDEX(Forecast!$BA$7:$BA$54,C478)</f>
        <v>8.65609217543476</v>
      </c>
      <c r="X478" s="33" t="n">
        <f aca="false">Z_Value*W478*SQRT(D478)</f>
        <v>28.4760092199802</v>
      </c>
      <c r="Y478" s="33" t="n">
        <f aca="false">V478*D478+X478</f>
        <v>132.97600921998</v>
      </c>
      <c r="Z478" s="33" t="n">
        <f aca="false">SQRT((2*V478*Weeks_Per_Year*F478)/(E478*Holding_Rate))</f>
        <v>148.242150868495</v>
      </c>
      <c r="AA478" s="46" t="n">
        <f aca="false">ROUNDUP(Z478/G478,0)*G478</f>
        <v>150</v>
      </c>
      <c r="AB478" s="46" t="n">
        <f aca="false">SUMIFS(AF$469:AF477,$B$469:$B477,$B478-$D478)</f>
        <v>0</v>
      </c>
      <c r="AC478" s="46" t="n">
        <f aca="false">AI477+AB478</f>
        <v>102</v>
      </c>
      <c r="AD478" s="46" t="n">
        <f aca="false">SUMIFS(AF$469:AF477,$B$469:$B477,"&gt;"&amp;($B478-$D478))</f>
        <v>150</v>
      </c>
      <c r="AE478" s="46" t="n">
        <f aca="false">AC478+AD478</f>
        <v>252</v>
      </c>
      <c r="AF478" s="47" t="n">
        <f aca="false">IF(AE478&lt;=Y478,AA478,0)</f>
        <v>0</v>
      </c>
      <c r="AG478" s="46" t="n">
        <f aca="false">MIN(AC478,I478)</f>
        <v>14</v>
      </c>
      <c r="AH478" s="46" t="n">
        <f aca="false">I478-AG478</f>
        <v>0</v>
      </c>
      <c r="AI478" s="46" t="n">
        <f aca="false">AC478-AG478</f>
        <v>88</v>
      </c>
      <c r="AJ478" s="46" t="n">
        <f aca="false">IF(AH478&gt;0,1,0)</f>
        <v>0</v>
      </c>
    </row>
    <row r="479" customFormat="false" ht="15" hidden="false" customHeight="false" outlineLevel="0" collapsed="false">
      <c r="A479" s="31" t="str">
        <f aca="false">Inputs!$B$66</f>
        <v>BED-007</v>
      </c>
      <c r="B479" s="46" t="n">
        <f aca="false">B478+1</f>
        <v>99</v>
      </c>
      <c r="C479" s="46" t="n">
        <f aca="false">MATCH(A479,Inputs!$B$40:$B$87,0)</f>
        <v>27</v>
      </c>
      <c r="D479" s="32" t="n">
        <f aca="false">INDEX(Inputs!$F$40:$F$87,C479)</f>
        <v>4</v>
      </c>
      <c r="E479" s="78" t="n">
        <f aca="false">INDEX(Inputs!$H$40:$H$87,C479)</f>
        <v>34</v>
      </c>
      <c r="F479" s="78" t="n">
        <f aca="false">INDEX(Inputs!$G$40:$G$87,C479)</f>
        <v>55</v>
      </c>
      <c r="G479" s="32" t="n">
        <f aca="false">INDEX(Inputs!$I$40:$I$87,C479)</f>
        <v>5</v>
      </c>
      <c r="H479" s="46" t="n">
        <f aca="false">MATCH(A479,Demand_History!$C:$C,0)+B479-1</f>
        <v>2804</v>
      </c>
      <c r="I479" s="32" t="n">
        <f aca="false">INDEX(Forecast_Walkforward!$C:$C,H479)</f>
        <v>38</v>
      </c>
      <c r="J479" s="79" t="n">
        <f aca="false">INDEX(Forecast_Walkforward!$E:$E,H479)</f>
        <v>24.5</v>
      </c>
      <c r="K479" s="33" t="n">
        <f aca="false">Baseline_Weeks*J479</f>
        <v>98</v>
      </c>
      <c r="L479" s="46" t="n">
        <f aca="false">SUMIFS(P$469:P478,$B$469:$B478,$B479-$D479)</f>
        <v>40</v>
      </c>
      <c r="M479" s="46" t="n">
        <f aca="false">S478+L479</f>
        <v>41</v>
      </c>
      <c r="N479" s="46" t="n">
        <f aca="false">SUMIFS(P$469:P478,$B$469:$B478,"&gt;"&amp;($B479-$D479))</f>
        <v>65</v>
      </c>
      <c r="O479" s="46" t="n">
        <f aca="false">M479+N479</f>
        <v>106</v>
      </c>
      <c r="P479" s="47" t="n">
        <f aca="false">IF(O479&lt;K479,ROUNDUP((K479-O479)/G479,0)*G479,0)</f>
        <v>0</v>
      </c>
      <c r="Q479" s="46" t="n">
        <f aca="false">MIN(M479,I479)</f>
        <v>38</v>
      </c>
      <c r="R479" s="46" t="n">
        <f aca="false">I479-Q479</f>
        <v>0</v>
      </c>
      <c r="S479" s="46" t="n">
        <f aca="false">M479-Q479</f>
        <v>3</v>
      </c>
      <c r="T479" s="46" t="n">
        <f aca="false">IF(R479&gt;0,1,0)</f>
        <v>0</v>
      </c>
      <c r="U479" s="32" t="n">
        <f aca="false">INDEX(Forecast!$AY$7:$AY$54,C479)</f>
        <v>3</v>
      </c>
      <c r="V479" s="33" t="n">
        <f aca="false">CHOOSE(U479,INDEX(Forecast_Walkforward!$D:$D,H479),INDEX(Forecast_Walkforward!$E:$E,H479),INDEX(Forecast_Walkforward!$F:$F,H479),INDEX(Forecast_Walkforward!$G:$G,H479))</f>
        <v>24.625</v>
      </c>
      <c r="W479" s="79" t="n">
        <f aca="false">INDEX(Forecast!$BA$7:$BA$54,C479)</f>
        <v>8.65609217543476</v>
      </c>
      <c r="X479" s="33" t="n">
        <f aca="false">Z_Value*W479*SQRT(D479)</f>
        <v>28.4760092199802</v>
      </c>
      <c r="Y479" s="33" t="n">
        <f aca="false">V479*D479+X479</f>
        <v>126.97600921998</v>
      </c>
      <c r="Z479" s="33" t="n">
        <f aca="false">SQRT((2*V479*Weeks_Per_Year*F479)/(E479*Holding_Rate))</f>
        <v>143.923488660591</v>
      </c>
      <c r="AA479" s="46" t="n">
        <f aca="false">ROUNDUP(Z479/G479,0)*G479</f>
        <v>145</v>
      </c>
      <c r="AB479" s="46" t="n">
        <f aca="false">SUMIFS(AF$469:AF478,$B$469:$B478,$B479-$D479)</f>
        <v>0</v>
      </c>
      <c r="AC479" s="46" t="n">
        <f aca="false">AI478+AB479</f>
        <v>88</v>
      </c>
      <c r="AD479" s="46" t="n">
        <f aca="false">SUMIFS(AF$469:AF478,$B$469:$B478,"&gt;"&amp;($B479-$D479))</f>
        <v>150</v>
      </c>
      <c r="AE479" s="46" t="n">
        <f aca="false">AC479+AD479</f>
        <v>238</v>
      </c>
      <c r="AF479" s="47" t="n">
        <f aca="false">IF(AE479&lt;=Y479,AA479,0)</f>
        <v>0</v>
      </c>
      <c r="AG479" s="46" t="n">
        <f aca="false">MIN(AC479,I479)</f>
        <v>38</v>
      </c>
      <c r="AH479" s="46" t="n">
        <f aca="false">I479-AG479</f>
        <v>0</v>
      </c>
      <c r="AI479" s="46" t="n">
        <f aca="false">AC479-AG479</f>
        <v>50</v>
      </c>
      <c r="AJ479" s="46" t="n">
        <f aca="false">IF(AH479&gt;0,1,0)</f>
        <v>0</v>
      </c>
    </row>
    <row r="480" customFormat="false" ht="15" hidden="false" customHeight="false" outlineLevel="0" collapsed="false">
      <c r="A480" s="31" t="str">
        <f aca="false">Inputs!$B$66</f>
        <v>BED-007</v>
      </c>
      <c r="B480" s="46" t="n">
        <f aca="false">B479+1</f>
        <v>100</v>
      </c>
      <c r="C480" s="46" t="n">
        <f aca="false">MATCH(A480,Inputs!$B$40:$B$87,0)</f>
        <v>27</v>
      </c>
      <c r="D480" s="32" t="n">
        <f aca="false">INDEX(Inputs!$F$40:$F$87,C480)</f>
        <v>4</v>
      </c>
      <c r="E480" s="78" t="n">
        <f aca="false">INDEX(Inputs!$H$40:$H$87,C480)</f>
        <v>34</v>
      </c>
      <c r="F480" s="78" t="n">
        <f aca="false">INDEX(Inputs!$G$40:$G$87,C480)</f>
        <v>55</v>
      </c>
      <c r="G480" s="32" t="n">
        <f aca="false">INDEX(Inputs!$I$40:$I$87,C480)</f>
        <v>5</v>
      </c>
      <c r="H480" s="46" t="n">
        <f aca="false">MATCH(A480,Demand_History!$C:$C,0)+B480-1</f>
        <v>2805</v>
      </c>
      <c r="I480" s="32" t="n">
        <f aca="false">INDEX(Forecast_Walkforward!$C:$C,H480)</f>
        <v>24</v>
      </c>
      <c r="J480" s="79" t="n">
        <f aca="false">INDEX(Forecast_Walkforward!$E:$E,H480)</f>
        <v>27</v>
      </c>
      <c r="K480" s="33" t="n">
        <f aca="false">Baseline_Weeks*J480</f>
        <v>108</v>
      </c>
      <c r="L480" s="46" t="n">
        <f aca="false">SUMIFS(P$469:P479,$B$469:$B479,$B480-$D480)</f>
        <v>35</v>
      </c>
      <c r="M480" s="46" t="n">
        <f aca="false">S479+L480</f>
        <v>38</v>
      </c>
      <c r="N480" s="46" t="n">
        <f aca="false">SUMIFS(P$469:P479,$B$469:$B479,"&gt;"&amp;($B480-$D480))</f>
        <v>30</v>
      </c>
      <c r="O480" s="46" t="n">
        <f aca="false">M480+N480</f>
        <v>68</v>
      </c>
      <c r="P480" s="47" t="n">
        <f aca="false">IF(O480&lt;K480,ROUNDUP((K480-O480)/G480,0)*G480,0)</f>
        <v>40</v>
      </c>
      <c r="Q480" s="46" t="n">
        <f aca="false">MIN(M480,I480)</f>
        <v>24</v>
      </c>
      <c r="R480" s="46" t="n">
        <f aca="false">I480-Q480</f>
        <v>0</v>
      </c>
      <c r="S480" s="46" t="n">
        <f aca="false">M480-Q480</f>
        <v>14</v>
      </c>
      <c r="T480" s="46" t="n">
        <f aca="false">IF(R480&gt;0,1,0)</f>
        <v>0</v>
      </c>
      <c r="U480" s="32" t="n">
        <f aca="false">INDEX(Forecast!$AY$7:$AY$54,C480)</f>
        <v>3</v>
      </c>
      <c r="V480" s="33" t="n">
        <f aca="false">CHOOSE(U480,INDEX(Forecast_Walkforward!$D:$D,H480),INDEX(Forecast_Walkforward!$E:$E,H480),INDEX(Forecast_Walkforward!$F:$F,H480),INDEX(Forecast_Walkforward!$G:$G,H480))</f>
        <v>27</v>
      </c>
      <c r="W480" s="79" t="n">
        <f aca="false">INDEX(Forecast!$BA$7:$BA$54,C480)</f>
        <v>8.65609217543476</v>
      </c>
      <c r="X480" s="33" t="n">
        <f aca="false">Z_Value*W480*SQRT(D480)</f>
        <v>28.4760092199802</v>
      </c>
      <c r="Y480" s="33" t="n">
        <f aca="false">V480*D480+X480</f>
        <v>136.47600921998</v>
      </c>
      <c r="Z480" s="33" t="n">
        <f aca="false">SQRT((2*V480*Weeks_Per_Year*F480)/(E480*Holding_Rate))</f>
        <v>150.70422922361</v>
      </c>
      <c r="AA480" s="46" t="n">
        <f aca="false">ROUNDUP(Z480/G480,0)*G480</f>
        <v>155</v>
      </c>
      <c r="AB480" s="46" t="n">
        <f aca="false">SUMIFS(AF$469:AF479,$B$469:$B479,$B480-$D480)</f>
        <v>0</v>
      </c>
      <c r="AC480" s="46" t="n">
        <f aca="false">AI479+AB480</f>
        <v>50</v>
      </c>
      <c r="AD480" s="46" t="n">
        <f aca="false">SUMIFS(AF$469:AF479,$B$469:$B479,"&gt;"&amp;($B480-$D480))</f>
        <v>150</v>
      </c>
      <c r="AE480" s="46" t="n">
        <f aca="false">AC480+AD480</f>
        <v>200</v>
      </c>
      <c r="AF480" s="47" t="n">
        <f aca="false">IF(AE480&lt;=Y480,AA480,0)</f>
        <v>0</v>
      </c>
      <c r="AG480" s="46" t="n">
        <f aca="false">MIN(AC480,I480)</f>
        <v>24</v>
      </c>
      <c r="AH480" s="46" t="n">
        <f aca="false">I480-AG480</f>
        <v>0</v>
      </c>
      <c r="AI480" s="46" t="n">
        <f aca="false">AC480-AG480</f>
        <v>26</v>
      </c>
      <c r="AJ480" s="46" t="n">
        <f aca="false">IF(AH480&gt;0,1,0)</f>
        <v>0</v>
      </c>
    </row>
    <row r="481" customFormat="false" ht="15" hidden="false" customHeight="false" outlineLevel="0" collapsed="false">
      <c r="A481" s="31" t="str">
        <f aca="false">Inputs!$B$66</f>
        <v>BED-007</v>
      </c>
      <c r="B481" s="46" t="n">
        <f aca="false">B480+1</f>
        <v>101</v>
      </c>
      <c r="C481" s="46" t="n">
        <f aca="false">MATCH(A481,Inputs!$B$40:$B$87,0)</f>
        <v>27</v>
      </c>
      <c r="D481" s="32" t="n">
        <f aca="false">INDEX(Inputs!$F$40:$F$87,C481)</f>
        <v>4</v>
      </c>
      <c r="E481" s="78" t="n">
        <f aca="false">INDEX(Inputs!$H$40:$H$87,C481)</f>
        <v>34</v>
      </c>
      <c r="F481" s="78" t="n">
        <f aca="false">INDEX(Inputs!$G$40:$G$87,C481)</f>
        <v>55</v>
      </c>
      <c r="G481" s="32" t="n">
        <f aca="false">INDEX(Inputs!$I$40:$I$87,C481)</f>
        <v>5</v>
      </c>
      <c r="H481" s="46" t="n">
        <f aca="false">MATCH(A481,Demand_History!$C:$C,0)+B481-1</f>
        <v>2806</v>
      </c>
      <c r="I481" s="32" t="n">
        <f aca="false">INDEX(Forecast_Walkforward!$C:$C,H481)</f>
        <v>35</v>
      </c>
      <c r="J481" s="79" t="n">
        <f aca="false">INDEX(Forecast_Walkforward!$E:$E,H481)</f>
        <v>25</v>
      </c>
      <c r="K481" s="33" t="n">
        <f aca="false">Baseline_Weeks*J481</f>
        <v>100</v>
      </c>
      <c r="L481" s="46" t="n">
        <f aca="false">SUMIFS(P$469:P480,$B$469:$B480,$B481-$D481)</f>
        <v>10</v>
      </c>
      <c r="M481" s="46" t="n">
        <f aca="false">S480+L481</f>
        <v>24</v>
      </c>
      <c r="N481" s="46" t="n">
        <f aca="false">SUMIFS(P$469:P480,$B$469:$B480,"&gt;"&amp;($B481-$D481))</f>
        <v>60</v>
      </c>
      <c r="O481" s="46" t="n">
        <f aca="false">M481+N481</f>
        <v>84</v>
      </c>
      <c r="P481" s="47" t="n">
        <f aca="false">IF(O481&lt;K481,ROUNDUP((K481-O481)/G481,0)*G481,0)</f>
        <v>20</v>
      </c>
      <c r="Q481" s="46" t="n">
        <f aca="false">MIN(M481,I481)</f>
        <v>24</v>
      </c>
      <c r="R481" s="46" t="n">
        <f aca="false">I481-Q481</f>
        <v>11</v>
      </c>
      <c r="S481" s="46" t="n">
        <f aca="false">M481-Q481</f>
        <v>0</v>
      </c>
      <c r="T481" s="46" t="n">
        <f aca="false">IF(R481&gt;0,1,0)</f>
        <v>1</v>
      </c>
      <c r="U481" s="32" t="n">
        <f aca="false">INDEX(Forecast!$AY$7:$AY$54,C481)</f>
        <v>3</v>
      </c>
      <c r="V481" s="33" t="n">
        <f aca="false">CHOOSE(U481,INDEX(Forecast_Walkforward!$D:$D,H481),INDEX(Forecast_Walkforward!$E:$E,H481),INDEX(Forecast_Walkforward!$F:$F,H481),INDEX(Forecast_Walkforward!$G:$G,H481))</f>
        <v>26.375</v>
      </c>
      <c r="W481" s="79" t="n">
        <f aca="false">INDEX(Forecast!$BA$7:$BA$54,C481)</f>
        <v>8.65609217543476</v>
      </c>
      <c r="X481" s="33" t="n">
        <f aca="false">Z_Value*W481*SQRT(D481)</f>
        <v>28.4760092199802</v>
      </c>
      <c r="Y481" s="33" t="n">
        <f aca="false">V481*D481+X481</f>
        <v>133.97600921998</v>
      </c>
      <c r="Z481" s="33" t="n">
        <f aca="false">SQRT((2*V481*Weeks_Per_Year*F481)/(E481*Holding_Rate))</f>
        <v>148.949754654933</v>
      </c>
      <c r="AA481" s="46" t="n">
        <f aca="false">ROUNDUP(Z481/G481,0)*G481</f>
        <v>150</v>
      </c>
      <c r="AB481" s="46" t="n">
        <f aca="false">SUMIFS(AF$469:AF480,$B$469:$B480,$B481-$D481)</f>
        <v>150</v>
      </c>
      <c r="AC481" s="46" t="n">
        <f aca="false">AI480+AB481</f>
        <v>176</v>
      </c>
      <c r="AD481" s="46" t="n">
        <f aca="false">SUMIFS(AF$469:AF480,$B$469:$B480,"&gt;"&amp;($B481-$D481))</f>
        <v>0</v>
      </c>
      <c r="AE481" s="46" t="n">
        <f aca="false">AC481+AD481</f>
        <v>176</v>
      </c>
      <c r="AF481" s="47" t="n">
        <f aca="false">IF(AE481&lt;=Y481,AA481,0)</f>
        <v>0</v>
      </c>
      <c r="AG481" s="46" t="n">
        <f aca="false">MIN(AC481,I481)</f>
        <v>35</v>
      </c>
      <c r="AH481" s="46" t="n">
        <f aca="false">I481-AG481</f>
        <v>0</v>
      </c>
      <c r="AI481" s="46" t="n">
        <f aca="false">AC481-AG481</f>
        <v>141</v>
      </c>
      <c r="AJ481" s="46" t="n">
        <f aca="false">IF(AH481&gt;0,1,0)</f>
        <v>0</v>
      </c>
    </row>
    <row r="482" customFormat="false" ht="15" hidden="false" customHeight="false" outlineLevel="0" collapsed="false">
      <c r="A482" s="31" t="str">
        <f aca="false">Inputs!$B$66</f>
        <v>BED-007</v>
      </c>
      <c r="B482" s="46" t="n">
        <f aca="false">B481+1</f>
        <v>102</v>
      </c>
      <c r="C482" s="46" t="n">
        <f aca="false">MATCH(A482,Inputs!$B$40:$B$87,0)</f>
        <v>27</v>
      </c>
      <c r="D482" s="32" t="n">
        <f aca="false">INDEX(Inputs!$F$40:$F$87,C482)</f>
        <v>4</v>
      </c>
      <c r="E482" s="78" t="n">
        <f aca="false">INDEX(Inputs!$H$40:$H$87,C482)</f>
        <v>34</v>
      </c>
      <c r="F482" s="78" t="n">
        <f aca="false">INDEX(Inputs!$G$40:$G$87,C482)</f>
        <v>55</v>
      </c>
      <c r="G482" s="32" t="n">
        <f aca="false">INDEX(Inputs!$I$40:$I$87,C482)</f>
        <v>5</v>
      </c>
      <c r="H482" s="46" t="n">
        <f aca="false">MATCH(A482,Demand_History!$C:$C,0)+B482-1</f>
        <v>2807</v>
      </c>
      <c r="I482" s="32" t="n">
        <f aca="false">INDEX(Forecast_Walkforward!$C:$C,H482)</f>
        <v>28</v>
      </c>
      <c r="J482" s="79" t="n">
        <f aca="false">INDEX(Forecast_Walkforward!$E:$E,H482)</f>
        <v>27.75</v>
      </c>
      <c r="K482" s="33" t="n">
        <f aca="false">Baseline_Weeks*J482</f>
        <v>111</v>
      </c>
      <c r="L482" s="46" t="n">
        <f aca="false">SUMIFS(P$469:P481,$B$469:$B481,$B482-$D482)</f>
        <v>20</v>
      </c>
      <c r="M482" s="46" t="n">
        <f aca="false">S481+L482</f>
        <v>20</v>
      </c>
      <c r="N482" s="46" t="n">
        <f aca="false">SUMIFS(P$469:P481,$B$469:$B481,"&gt;"&amp;($B482-$D482))</f>
        <v>60</v>
      </c>
      <c r="O482" s="46" t="n">
        <f aca="false">M482+N482</f>
        <v>80</v>
      </c>
      <c r="P482" s="47" t="n">
        <f aca="false">IF(O482&lt;K482,ROUNDUP((K482-O482)/G482,0)*G482,0)</f>
        <v>35</v>
      </c>
      <c r="Q482" s="46" t="n">
        <f aca="false">MIN(M482,I482)</f>
        <v>20</v>
      </c>
      <c r="R482" s="46" t="n">
        <f aca="false">I482-Q482</f>
        <v>8</v>
      </c>
      <c r="S482" s="46" t="n">
        <f aca="false">M482-Q482</f>
        <v>0</v>
      </c>
      <c r="T482" s="46" t="n">
        <f aca="false">IF(R482&gt;0,1,0)</f>
        <v>1</v>
      </c>
      <c r="U482" s="32" t="n">
        <f aca="false">INDEX(Forecast!$AY$7:$AY$54,C482)</f>
        <v>3</v>
      </c>
      <c r="V482" s="33" t="n">
        <f aca="false">CHOOSE(U482,INDEX(Forecast_Walkforward!$D:$D,H482),INDEX(Forecast_Walkforward!$E:$E,H482),INDEX(Forecast_Walkforward!$F:$F,H482),INDEX(Forecast_Walkforward!$G:$G,H482))</f>
        <v>28.375</v>
      </c>
      <c r="W482" s="79" t="n">
        <f aca="false">INDEX(Forecast!$BA$7:$BA$54,C482)</f>
        <v>8.65609217543476</v>
      </c>
      <c r="X482" s="33" t="n">
        <f aca="false">Z_Value*W482*SQRT(D482)</f>
        <v>28.4760092199802</v>
      </c>
      <c r="Y482" s="33" t="n">
        <f aca="false">V482*D482+X482</f>
        <v>141.97600921998</v>
      </c>
      <c r="Z482" s="33" t="n">
        <f aca="false">SQRT((2*V482*Weeks_Per_Year*F482)/(E482*Holding_Rate))</f>
        <v>154.49395571653</v>
      </c>
      <c r="AA482" s="46" t="n">
        <f aca="false">ROUNDUP(Z482/G482,0)*G482</f>
        <v>155</v>
      </c>
      <c r="AB482" s="46" t="n">
        <f aca="false">SUMIFS(AF$469:AF481,$B$469:$B481,$B482-$D482)</f>
        <v>0</v>
      </c>
      <c r="AC482" s="46" t="n">
        <f aca="false">AI481+AB482</f>
        <v>141</v>
      </c>
      <c r="AD482" s="46" t="n">
        <f aca="false">SUMIFS(AF$469:AF481,$B$469:$B481,"&gt;"&amp;($B482-$D482))</f>
        <v>0</v>
      </c>
      <c r="AE482" s="46" t="n">
        <f aca="false">AC482+AD482</f>
        <v>141</v>
      </c>
      <c r="AF482" s="47" t="n">
        <f aca="false">IF(AE482&lt;=Y482,AA482,0)</f>
        <v>155</v>
      </c>
      <c r="AG482" s="46" t="n">
        <f aca="false">MIN(AC482,I482)</f>
        <v>28</v>
      </c>
      <c r="AH482" s="46" t="n">
        <f aca="false">I482-AG482</f>
        <v>0</v>
      </c>
      <c r="AI482" s="46" t="n">
        <f aca="false">AC482-AG482</f>
        <v>113</v>
      </c>
      <c r="AJ482" s="46" t="n">
        <f aca="false">IF(AH482&gt;0,1,0)</f>
        <v>0</v>
      </c>
    </row>
    <row r="483" customFormat="false" ht="15" hidden="false" customHeight="false" outlineLevel="0" collapsed="false">
      <c r="A483" s="31" t="str">
        <f aca="false">Inputs!$B$66</f>
        <v>BED-007</v>
      </c>
      <c r="B483" s="46" t="n">
        <f aca="false">B482+1</f>
        <v>103</v>
      </c>
      <c r="C483" s="46" t="n">
        <f aca="false">MATCH(A483,Inputs!$B$40:$B$87,0)</f>
        <v>27</v>
      </c>
      <c r="D483" s="32" t="n">
        <f aca="false">INDEX(Inputs!$F$40:$F$87,C483)</f>
        <v>4</v>
      </c>
      <c r="E483" s="78" t="n">
        <f aca="false">INDEX(Inputs!$H$40:$H$87,C483)</f>
        <v>34</v>
      </c>
      <c r="F483" s="78" t="n">
        <f aca="false">INDEX(Inputs!$G$40:$G$87,C483)</f>
        <v>55</v>
      </c>
      <c r="G483" s="32" t="n">
        <f aca="false">INDEX(Inputs!$I$40:$I$87,C483)</f>
        <v>5</v>
      </c>
      <c r="H483" s="46" t="n">
        <f aca="false">MATCH(A483,Demand_History!$C:$C,0)+B483-1</f>
        <v>2808</v>
      </c>
      <c r="I483" s="32" t="n">
        <f aca="false">INDEX(Forecast_Walkforward!$C:$C,H483)</f>
        <v>30</v>
      </c>
      <c r="J483" s="79" t="n">
        <f aca="false">INDEX(Forecast_Walkforward!$E:$E,H483)</f>
        <v>31.25</v>
      </c>
      <c r="K483" s="33" t="n">
        <f aca="false">Baseline_Weeks*J483</f>
        <v>125</v>
      </c>
      <c r="L483" s="46" t="n">
        <f aca="false">SUMIFS(P$469:P482,$B$469:$B482,$B483-$D483)</f>
        <v>0</v>
      </c>
      <c r="M483" s="46" t="n">
        <f aca="false">S482+L483</f>
        <v>0</v>
      </c>
      <c r="N483" s="46" t="n">
        <f aca="false">SUMIFS(P$469:P482,$B$469:$B482,"&gt;"&amp;($B483-$D483))</f>
        <v>95</v>
      </c>
      <c r="O483" s="46" t="n">
        <f aca="false">M483+N483</f>
        <v>95</v>
      </c>
      <c r="P483" s="47" t="n">
        <f aca="false">IF(O483&lt;K483,ROUNDUP((K483-O483)/G483,0)*G483,0)</f>
        <v>30</v>
      </c>
      <c r="Q483" s="46" t="n">
        <f aca="false">MIN(M483,I483)</f>
        <v>0</v>
      </c>
      <c r="R483" s="46" t="n">
        <f aca="false">I483-Q483</f>
        <v>30</v>
      </c>
      <c r="S483" s="46" t="n">
        <f aca="false">M483-Q483</f>
        <v>0</v>
      </c>
      <c r="T483" s="46" t="n">
        <f aca="false">IF(R483&gt;0,1,0)</f>
        <v>1</v>
      </c>
      <c r="U483" s="32" t="n">
        <f aca="false">INDEX(Forecast!$AY$7:$AY$54,C483)</f>
        <v>3</v>
      </c>
      <c r="V483" s="33" t="n">
        <f aca="false">CHOOSE(U483,INDEX(Forecast_Walkforward!$D:$D,H483),INDEX(Forecast_Walkforward!$E:$E,H483),INDEX(Forecast_Walkforward!$F:$F,H483),INDEX(Forecast_Walkforward!$G:$G,H483))</f>
        <v>27.875</v>
      </c>
      <c r="W483" s="79" t="n">
        <f aca="false">INDEX(Forecast!$BA$7:$BA$54,C483)</f>
        <v>8.65609217543476</v>
      </c>
      <c r="X483" s="33" t="n">
        <f aca="false">Z_Value*W483*SQRT(D483)</f>
        <v>28.4760092199802</v>
      </c>
      <c r="Y483" s="33" t="n">
        <f aca="false">V483*D483+X483</f>
        <v>139.97600921998</v>
      </c>
      <c r="Z483" s="33" t="n">
        <f aca="false">SQRT((2*V483*Weeks_Per_Year*F483)/(E483*Holding_Rate))</f>
        <v>153.126725680552</v>
      </c>
      <c r="AA483" s="46" t="n">
        <f aca="false">ROUNDUP(Z483/G483,0)*G483</f>
        <v>155</v>
      </c>
      <c r="AB483" s="46" t="n">
        <f aca="false">SUMIFS(AF$469:AF482,$B$469:$B482,$B483-$D483)</f>
        <v>0</v>
      </c>
      <c r="AC483" s="46" t="n">
        <f aca="false">AI482+AB483</f>
        <v>113</v>
      </c>
      <c r="AD483" s="46" t="n">
        <f aca="false">SUMIFS(AF$469:AF482,$B$469:$B482,"&gt;"&amp;($B483-$D483))</f>
        <v>155</v>
      </c>
      <c r="AE483" s="46" t="n">
        <f aca="false">AC483+AD483</f>
        <v>268</v>
      </c>
      <c r="AF483" s="47" t="n">
        <f aca="false">IF(AE483&lt;=Y483,AA483,0)</f>
        <v>0</v>
      </c>
      <c r="AG483" s="46" t="n">
        <f aca="false">MIN(AC483,I483)</f>
        <v>30</v>
      </c>
      <c r="AH483" s="46" t="n">
        <f aca="false">I483-AG483</f>
        <v>0</v>
      </c>
      <c r="AI483" s="46" t="n">
        <f aca="false">AC483-AG483</f>
        <v>83</v>
      </c>
      <c r="AJ483" s="46" t="n">
        <f aca="false">IF(AH483&gt;0,1,0)</f>
        <v>0</v>
      </c>
    </row>
    <row r="484" customFormat="false" ht="15" hidden="false" customHeight="false" outlineLevel="0" collapsed="false">
      <c r="A484" s="80" t="str">
        <f aca="false">Inputs!$B$66</f>
        <v>BED-007</v>
      </c>
      <c r="B484" s="81" t="n">
        <f aca="false">B483+1</f>
        <v>104</v>
      </c>
      <c r="C484" s="81" t="n">
        <f aca="false">MATCH(A484,Inputs!$B$40:$B$87,0)</f>
        <v>27</v>
      </c>
      <c r="D484" s="82" t="n">
        <f aca="false">INDEX(Inputs!$F$40:$F$87,C484)</f>
        <v>4</v>
      </c>
      <c r="E484" s="83" t="n">
        <f aca="false">INDEX(Inputs!$H$40:$H$87,C484)</f>
        <v>34</v>
      </c>
      <c r="F484" s="83" t="n">
        <f aca="false">INDEX(Inputs!$G$40:$G$87,C484)</f>
        <v>55</v>
      </c>
      <c r="G484" s="82" t="n">
        <f aca="false">INDEX(Inputs!$I$40:$I$87,C484)</f>
        <v>5</v>
      </c>
      <c r="H484" s="81" t="n">
        <f aca="false">MATCH(A484,Demand_History!$C:$C,0)+B484-1</f>
        <v>2809</v>
      </c>
      <c r="I484" s="82" t="n">
        <f aca="false">INDEX(Forecast_Walkforward!$C:$C,H484)</f>
        <v>38</v>
      </c>
      <c r="J484" s="84" t="n">
        <f aca="false">INDEX(Forecast_Walkforward!$E:$E,H484)</f>
        <v>29.25</v>
      </c>
      <c r="K484" s="85" t="n">
        <f aca="false">Baseline_Weeks*J484</f>
        <v>117</v>
      </c>
      <c r="L484" s="81" t="n">
        <f aca="false">SUMIFS(P$469:P483,$B$469:$B483,$B484-$D484)</f>
        <v>40</v>
      </c>
      <c r="M484" s="81" t="n">
        <f aca="false">S483+L484</f>
        <v>40</v>
      </c>
      <c r="N484" s="81" t="n">
        <f aca="false">SUMIFS(P$469:P483,$B$469:$B483,"&gt;"&amp;($B484-$D484))</f>
        <v>85</v>
      </c>
      <c r="O484" s="81" t="n">
        <f aca="false">M484+N484</f>
        <v>125</v>
      </c>
      <c r="P484" s="86" t="n">
        <f aca="false">IF(O484&lt;K484,ROUNDUP((K484-O484)/G484,0)*G484,0)</f>
        <v>0</v>
      </c>
      <c r="Q484" s="81" t="n">
        <f aca="false">MIN(M484,I484)</f>
        <v>38</v>
      </c>
      <c r="R484" s="81" t="n">
        <f aca="false">I484-Q484</f>
        <v>0</v>
      </c>
      <c r="S484" s="81" t="n">
        <f aca="false">M484-Q484</f>
        <v>2</v>
      </c>
      <c r="T484" s="81" t="n">
        <f aca="false">IF(R484&gt;0,1,0)</f>
        <v>0</v>
      </c>
      <c r="U484" s="82" t="n">
        <f aca="false">INDEX(Forecast!$AY$7:$AY$54,C484)</f>
        <v>3</v>
      </c>
      <c r="V484" s="85" t="n">
        <f aca="false">CHOOSE(U484,INDEX(Forecast_Walkforward!$D:$D,H484),INDEX(Forecast_Walkforward!$E:$E,H484),INDEX(Forecast_Walkforward!$F:$F,H484),INDEX(Forecast_Walkforward!$G:$G,H484))</f>
        <v>28.125</v>
      </c>
      <c r="W484" s="84" t="n">
        <f aca="false">INDEX(Forecast!$BA$7:$BA$54,C484)</f>
        <v>8.65609217543476</v>
      </c>
      <c r="X484" s="85" t="n">
        <f aca="false">Z_Value*W484*SQRT(D484)</f>
        <v>28.4760092199802</v>
      </c>
      <c r="Y484" s="85" t="n">
        <f aca="false">V484*D484+X484</f>
        <v>140.97600921998</v>
      </c>
      <c r="Z484" s="85" t="n">
        <f aca="false">SQRT((2*V484*Weeks_Per_Year*F484)/(E484*Holding_Rate))</f>
        <v>153.811859865532</v>
      </c>
      <c r="AA484" s="81" t="n">
        <f aca="false">ROUNDUP(Z484/G484,0)*G484</f>
        <v>155</v>
      </c>
      <c r="AB484" s="81" t="n">
        <f aca="false">SUMIFS(AF$469:AF483,$B$469:$B483,$B484-$D484)</f>
        <v>0</v>
      </c>
      <c r="AC484" s="81" t="n">
        <f aca="false">AI483+AB484</f>
        <v>83</v>
      </c>
      <c r="AD484" s="81" t="n">
        <f aca="false">SUMIFS(AF$469:AF483,$B$469:$B483,"&gt;"&amp;($B484-$D484))</f>
        <v>155</v>
      </c>
      <c r="AE484" s="81" t="n">
        <f aca="false">AC484+AD484</f>
        <v>238</v>
      </c>
      <c r="AF484" s="86" t="n">
        <f aca="false">IF(AE484&lt;=Y484,AA484,0)</f>
        <v>0</v>
      </c>
      <c r="AG484" s="81" t="n">
        <f aca="false">MIN(AC484,I484)</f>
        <v>38</v>
      </c>
      <c r="AH484" s="81" t="n">
        <f aca="false">I484-AG484</f>
        <v>0</v>
      </c>
      <c r="AI484" s="81" t="n">
        <f aca="false">AC484-AG484</f>
        <v>45</v>
      </c>
      <c r="AJ484" s="81" t="n">
        <f aca="false">IF(AH484&gt;0,1,0)</f>
        <v>0</v>
      </c>
    </row>
    <row r="485" customFormat="false" ht="15" hidden="false" customHeight="false" outlineLevel="0" collapsed="false">
      <c r="A485" s="31" t="str">
        <f aca="false">Inputs!$B$67</f>
        <v>BED-008</v>
      </c>
      <c r="B485" s="46" t="n">
        <f aca="false">BT_Start_Week</f>
        <v>89</v>
      </c>
      <c r="C485" s="46" t="n">
        <f aca="false">MATCH(A485,Inputs!$B$40:$B$87,0)</f>
        <v>28</v>
      </c>
      <c r="D485" s="32" t="n">
        <f aca="false">INDEX(Inputs!$F$40:$F$87,C485)</f>
        <v>4</v>
      </c>
      <c r="E485" s="78" t="n">
        <f aca="false">INDEX(Inputs!$H$40:$H$87,C485)</f>
        <v>72</v>
      </c>
      <c r="F485" s="78" t="n">
        <f aca="false">INDEX(Inputs!$G$40:$G$87,C485)</f>
        <v>55</v>
      </c>
      <c r="G485" s="32" t="n">
        <f aca="false">INDEX(Inputs!$I$40:$I$87,C485)</f>
        <v>2</v>
      </c>
      <c r="H485" s="46" t="n">
        <f aca="false">MATCH(A485,Demand_History!$C:$C,0)+B485-1</f>
        <v>2898</v>
      </c>
      <c r="I485" s="32" t="n">
        <f aca="false">INDEX(Forecast_Walkforward!$C:$C,H485)</f>
        <v>9</v>
      </c>
      <c r="J485" s="79" t="n">
        <f aca="false">INDEX(Forecast_Walkforward!$E:$E,H485)</f>
        <v>9</v>
      </c>
      <c r="K485" s="33" t="n">
        <f aca="false">Baseline_Weeks*J485</f>
        <v>36</v>
      </c>
      <c r="L485" s="46" t="n">
        <f aca="false">0</f>
        <v>0</v>
      </c>
      <c r="M485" s="46" t="n">
        <f aca="false">ROUND(BT_Open_Cover*INDEX(Forecast_Walkforward!$F:$F,H485),0)+L485</f>
        <v>53</v>
      </c>
      <c r="N485" s="46" t="n">
        <f aca="false">0</f>
        <v>0</v>
      </c>
      <c r="O485" s="46" t="n">
        <f aca="false">M485+N485</f>
        <v>53</v>
      </c>
      <c r="P485" s="47" t="n">
        <f aca="false">IF(O485&lt;K485,ROUNDUP((K485-O485)/G485,0)*G485,0)</f>
        <v>0</v>
      </c>
      <c r="Q485" s="46" t="n">
        <f aca="false">MIN(M485,I485)</f>
        <v>9</v>
      </c>
      <c r="R485" s="46" t="n">
        <f aca="false">I485-Q485</f>
        <v>0</v>
      </c>
      <c r="S485" s="46" t="n">
        <f aca="false">M485-Q485</f>
        <v>44</v>
      </c>
      <c r="T485" s="46" t="n">
        <f aca="false">IF(R485&gt;0,1,0)</f>
        <v>0</v>
      </c>
      <c r="U485" s="32" t="n">
        <f aca="false">INDEX(Forecast!$AY$7:$AY$54,C485)</f>
        <v>2</v>
      </c>
      <c r="V485" s="33" t="n">
        <f aca="false">CHOOSE(U485,INDEX(Forecast_Walkforward!$D:$D,H485),INDEX(Forecast_Walkforward!$E:$E,H485),INDEX(Forecast_Walkforward!$F:$F,H485),INDEX(Forecast_Walkforward!$G:$G,H485))</f>
        <v>9</v>
      </c>
      <c r="W485" s="79" t="n">
        <f aca="false">INDEX(Forecast!$BA$7:$BA$54,C485)</f>
        <v>3.33036373189581</v>
      </c>
      <c r="X485" s="33" t="n">
        <f aca="false">Z_Value*W485*SQRT(D485)</f>
        <v>10.9559217269529</v>
      </c>
      <c r="Y485" s="33" t="n">
        <f aca="false">V485*D485+X485</f>
        <v>46.9559217269529</v>
      </c>
      <c r="Z485" s="33" t="n">
        <f aca="false">SQRT((2*V485*Weeks_Per_Year*F485)/(E485*Holding_Rate))</f>
        <v>59.791303715507</v>
      </c>
      <c r="AA485" s="46" t="n">
        <f aca="false">ROUNDUP(Z485/G485,0)*G485</f>
        <v>60</v>
      </c>
      <c r="AB485" s="46" t="n">
        <f aca="false">0</f>
        <v>0</v>
      </c>
      <c r="AC485" s="46" t="n">
        <f aca="false">ROUND(BT_Open_Cover*INDEX(Forecast_Walkforward!$F:$F,H485),0)+AB485</f>
        <v>53</v>
      </c>
      <c r="AD485" s="46" t="n">
        <f aca="false">0</f>
        <v>0</v>
      </c>
      <c r="AE485" s="46" t="n">
        <f aca="false">AC485+AD485</f>
        <v>53</v>
      </c>
      <c r="AF485" s="47" t="n">
        <f aca="false">IF(AE485&lt;=Y485,AA485,0)</f>
        <v>0</v>
      </c>
      <c r="AG485" s="46" t="n">
        <f aca="false">MIN(AC485,I485)</f>
        <v>9</v>
      </c>
      <c r="AH485" s="46" t="n">
        <f aca="false">I485-AG485</f>
        <v>0</v>
      </c>
      <c r="AI485" s="46" t="n">
        <f aca="false">AC485-AG485</f>
        <v>44</v>
      </c>
      <c r="AJ485" s="46" t="n">
        <f aca="false">IF(AH485&gt;0,1,0)</f>
        <v>0</v>
      </c>
    </row>
    <row r="486" customFormat="false" ht="15" hidden="false" customHeight="false" outlineLevel="0" collapsed="false">
      <c r="A486" s="31" t="str">
        <f aca="false">Inputs!$B$67</f>
        <v>BED-008</v>
      </c>
      <c r="B486" s="46" t="n">
        <f aca="false">B485+1</f>
        <v>90</v>
      </c>
      <c r="C486" s="46" t="n">
        <f aca="false">MATCH(A486,Inputs!$B$40:$B$87,0)</f>
        <v>28</v>
      </c>
      <c r="D486" s="32" t="n">
        <f aca="false">INDEX(Inputs!$F$40:$F$87,C486)</f>
        <v>4</v>
      </c>
      <c r="E486" s="78" t="n">
        <f aca="false">INDEX(Inputs!$H$40:$H$87,C486)</f>
        <v>72</v>
      </c>
      <c r="F486" s="78" t="n">
        <f aca="false">INDEX(Inputs!$G$40:$G$87,C486)</f>
        <v>55</v>
      </c>
      <c r="G486" s="32" t="n">
        <f aca="false">INDEX(Inputs!$I$40:$I$87,C486)</f>
        <v>2</v>
      </c>
      <c r="H486" s="46" t="n">
        <f aca="false">MATCH(A486,Demand_History!$C:$C,0)+B486-1</f>
        <v>2899</v>
      </c>
      <c r="I486" s="32" t="n">
        <f aca="false">INDEX(Forecast_Walkforward!$C:$C,H486)</f>
        <v>14</v>
      </c>
      <c r="J486" s="79" t="n">
        <f aca="false">INDEX(Forecast_Walkforward!$E:$E,H486)</f>
        <v>9.5</v>
      </c>
      <c r="K486" s="33" t="n">
        <f aca="false">Baseline_Weeks*J486</f>
        <v>38</v>
      </c>
      <c r="L486" s="46" t="n">
        <f aca="false">SUMIFS(P$485:P485,$B$485:$B485,$B486-$D486)</f>
        <v>0</v>
      </c>
      <c r="M486" s="46" t="n">
        <f aca="false">S485+L486</f>
        <v>44</v>
      </c>
      <c r="N486" s="46" t="n">
        <f aca="false">SUMIFS(P$485:P485,$B$485:$B485,"&gt;"&amp;($B486-$D486))</f>
        <v>0</v>
      </c>
      <c r="O486" s="46" t="n">
        <f aca="false">M486+N486</f>
        <v>44</v>
      </c>
      <c r="P486" s="47" t="n">
        <f aca="false">IF(O486&lt;K486,ROUNDUP((K486-O486)/G486,0)*G486,0)</f>
        <v>0</v>
      </c>
      <c r="Q486" s="46" t="n">
        <f aca="false">MIN(M486,I486)</f>
        <v>14</v>
      </c>
      <c r="R486" s="46" t="n">
        <f aca="false">I486-Q486</f>
        <v>0</v>
      </c>
      <c r="S486" s="46" t="n">
        <f aca="false">M486-Q486</f>
        <v>30</v>
      </c>
      <c r="T486" s="46" t="n">
        <f aca="false">IF(R486&gt;0,1,0)</f>
        <v>0</v>
      </c>
      <c r="U486" s="32" t="n">
        <f aca="false">INDEX(Forecast!$AY$7:$AY$54,C486)</f>
        <v>2</v>
      </c>
      <c r="V486" s="33" t="n">
        <f aca="false">CHOOSE(U486,INDEX(Forecast_Walkforward!$D:$D,H486),INDEX(Forecast_Walkforward!$E:$E,H486),INDEX(Forecast_Walkforward!$F:$F,H486),INDEX(Forecast_Walkforward!$G:$G,H486))</f>
        <v>9.5</v>
      </c>
      <c r="W486" s="79" t="n">
        <f aca="false">INDEX(Forecast!$BA$7:$BA$54,C486)</f>
        <v>3.33036373189581</v>
      </c>
      <c r="X486" s="33" t="n">
        <f aca="false">Z_Value*W486*SQRT(D486)</f>
        <v>10.9559217269529</v>
      </c>
      <c r="Y486" s="33" t="n">
        <f aca="false">V486*D486+X486</f>
        <v>48.9559217269529</v>
      </c>
      <c r="Z486" s="33" t="n">
        <f aca="false">SQRT((2*V486*Weeks_Per_Year*F486)/(E486*Holding_Rate))</f>
        <v>61.4297249799404</v>
      </c>
      <c r="AA486" s="46" t="n">
        <f aca="false">ROUNDUP(Z486/G486,0)*G486</f>
        <v>62</v>
      </c>
      <c r="AB486" s="46" t="n">
        <f aca="false">SUMIFS(AF$485:AF485,$B$485:$B485,$B486-$D486)</f>
        <v>0</v>
      </c>
      <c r="AC486" s="46" t="n">
        <f aca="false">AI485+AB486</f>
        <v>44</v>
      </c>
      <c r="AD486" s="46" t="n">
        <f aca="false">SUMIFS(AF$485:AF485,$B$485:$B485,"&gt;"&amp;($B486-$D486))</f>
        <v>0</v>
      </c>
      <c r="AE486" s="46" t="n">
        <f aca="false">AC486+AD486</f>
        <v>44</v>
      </c>
      <c r="AF486" s="47" t="n">
        <f aca="false">IF(AE486&lt;=Y486,AA486,0)</f>
        <v>62</v>
      </c>
      <c r="AG486" s="46" t="n">
        <f aca="false">MIN(AC486,I486)</f>
        <v>14</v>
      </c>
      <c r="AH486" s="46" t="n">
        <f aca="false">I486-AG486</f>
        <v>0</v>
      </c>
      <c r="AI486" s="46" t="n">
        <f aca="false">AC486-AG486</f>
        <v>30</v>
      </c>
      <c r="AJ486" s="46" t="n">
        <f aca="false">IF(AH486&gt;0,1,0)</f>
        <v>0</v>
      </c>
    </row>
    <row r="487" customFormat="false" ht="15" hidden="false" customHeight="false" outlineLevel="0" collapsed="false">
      <c r="A487" s="31" t="str">
        <f aca="false">Inputs!$B$67</f>
        <v>BED-008</v>
      </c>
      <c r="B487" s="46" t="n">
        <f aca="false">B486+1</f>
        <v>91</v>
      </c>
      <c r="C487" s="46" t="n">
        <f aca="false">MATCH(A487,Inputs!$B$40:$B$87,0)</f>
        <v>28</v>
      </c>
      <c r="D487" s="32" t="n">
        <f aca="false">INDEX(Inputs!$F$40:$F$87,C487)</f>
        <v>4</v>
      </c>
      <c r="E487" s="78" t="n">
        <f aca="false">INDEX(Inputs!$H$40:$H$87,C487)</f>
        <v>72</v>
      </c>
      <c r="F487" s="78" t="n">
        <f aca="false">INDEX(Inputs!$G$40:$G$87,C487)</f>
        <v>55</v>
      </c>
      <c r="G487" s="32" t="n">
        <f aca="false">INDEX(Inputs!$I$40:$I$87,C487)</f>
        <v>2</v>
      </c>
      <c r="H487" s="46" t="n">
        <f aca="false">MATCH(A487,Demand_History!$C:$C,0)+B487-1</f>
        <v>2900</v>
      </c>
      <c r="I487" s="32" t="n">
        <f aca="false">INDEX(Forecast_Walkforward!$C:$C,H487)</f>
        <v>8</v>
      </c>
      <c r="J487" s="79" t="n">
        <f aca="false">INDEX(Forecast_Walkforward!$E:$E,H487)</f>
        <v>10.25</v>
      </c>
      <c r="K487" s="33" t="n">
        <f aca="false">Baseline_Weeks*J487</f>
        <v>41</v>
      </c>
      <c r="L487" s="46" t="n">
        <f aca="false">SUMIFS(P$485:P486,$B$485:$B486,$B487-$D487)</f>
        <v>0</v>
      </c>
      <c r="M487" s="46" t="n">
        <f aca="false">S486+L487</f>
        <v>30</v>
      </c>
      <c r="N487" s="46" t="n">
        <f aca="false">SUMIFS(P$485:P486,$B$485:$B486,"&gt;"&amp;($B487-$D487))</f>
        <v>0</v>
      </c>
      <c r="O487" s="46" t="n">
        <f aca="false">M487+N487</f>
        <v>30</v>
      </c>
      <c r="P487" s="47" t="n">
        <f aca="false">IF(O487&lt;K487,ROUNDUP((K487-O487)/G487,0)*G487,0)</f>
        <v>12</v>
      </c>
      <c r="Q487" s="46" t="n">
        <f aca="false">MIN(M487,I487)</f>
        <v>8</v>
      </c>
      <c r="R487" s="46" t="n">
        <f aca="false">I487-Q487</f>
        <v>0</v>
      </c>
      <c r="S487" s="46" t="n">
        <f aca="false">M487-Q487</f>
        <v>22</v>
      </c>
      <c r="T487" s="46" t="n">
        <f aca="false">IF(R487&gt;0,1,0)</f>
        <v>0</v>
      </c>
      <c r="U487" s="32" t="n">
        <f aca="false">INDEX(Forecast!$AY$7:$AY$54,C487)</f>
        <v>2</v>
      </c>
      <c r="V487" s="33" t="n">
        <f aca="false">CHOOSE(U487,INDEX(Forecast_Walkforward!$D:$D,H487),INDEX(Forecast_Walkforward!$E:$E,H487),INDEX(Forecast_Walkforward!$F:$F,H487),INDEX(Forecast_Walkforward!$G:$G,H487))</f>
        <v>10.25</v>
      </c>
      <c r="W487" s="79" t="n">
        <f aca="false">INDEX(Forecast!$BA$7:$BA$54,C487)</f>
        <v>3.33036373189581</v>
      </c>
      <c r="X487" s="33" t="n">
        <f aca="false">Z_Value*W487*SQRT(D487)</f>
        <v>10.9559217269529</v>
      </c>
      <c r="Y487" s="33" t="n">
        <f aca="false">V487*D487+X487</f>
        <v>51.9559217269529</v>
      </c>
      <c r="Z487" s="33" t="n">
        <f aca="false">SQRT((2*V487*Weeks_Per_Year*F487)/(E487*Holding_Rate))</f>
        <v>63.8085243347453</v>
      </c>
      <c r="AA487" s="46" t="n">
        <f aca="false">ROUNDUP(Z487/G487,0)*G487</f>
        <v>64</v>
      </c>
      <c r="AB487" s="46" t="n">
        <f aca="false">SUMIFS(AF$485:AF486,$B$485:$B486,$B487-$D487)</f>
        <v>0</v>
      </c>
      <c r="AC487" s="46" t="n">
        <f aca="false">AI486+AB487</f>
        <v>30</v>
      </c>
      <c r="AD487" s="46" t="n">
        <f aca="false">SUMIFS(AF$485:AF486,$B$485:$B486,"&gt;"&amp;($B487-$D487))</f>
        <v>62</v>
      </c>
      <c r="AE487" s="46" t="n">
        <f aca="false">AC487+AD487</f>
        <v>92</v>
      </c>
      <c r="AF487" s="47" t="n">
        <f aca="false">IF(AE487&lt;=Y487,AA487,0)</f>
        <v>0</v>
      </c>
      <c r="AG487" s="46" t="n">
        <f aca="false">MIN(AC487,I487)</f>
        <v>8</v>
      </c>
      <c r="AH487" s="46" t="n">
        <f aca="false">I487-AG487</f>
        <v>0</v>
      </c>
      <c r="AI487" s="46" t="n">
        <f aca="false">AC487-AG487</f>
        <v>22</v>
      </c>
      <c r="AJ487" s="46" t="n">
        <f aca="false">IF(AH487&gt;0,1,0)</f>
        <v>0</v>
      </c>
    </row>
    <row r="488" customFormat="false" ht="15" hidden="false" customHeight="false" outlineLevel="0" collapsed="false">
      <c r="A488" s="31" t="str">
        <f aca="false">Inputs!$B$67</f>
        <v>BED-008</v>
      </c>
      <c r="B488" s="46" t="n">
        <f aca="false">B487+1</f>
        <v>92</v>
      </c>
      <c r="C488" s="46" t="n">
        <f aca="false">MATCH(A488,Inputs!$B$40:$B$87,0)</f>
        <v>28</v>
      </c>
      <c r="D488" s="32" t="n">
        <f aca="false">INDEX(Inputs!$F$40:$F$87,C488)</f>
        <v>4</v>
      </c>
      <c r="E488" s="78" t="n">
        <f aca="false">INDEX(Inputs!$H$40:$H$87,C488)</f>
        <v>72</v>
      </c>
      <c r="F488" s="78" t="n">
        <f aca="false">INDEX(Inputs!$G$40:$G$87,C488)</f>
        <v>55</v>
      </c>
      <c r="G488" s="32" t="n">
        <f aca="false">INDEX(Inputs!$I$40:$I$87,C488)</f>
        <v>2</v>
      </c>
      <c r="H488" s="46" t="n">
        <f aca="false">MATCH(A488,Demand_History!$C:$C,0)+B488-1</f>
        <v>2901</v>
      </c>
      <c r="I488" s="32" t="n">
        <f aca="false">INDEX(Forecast_Walkforward!$C:$C,H488)</f>
        <v>7</v>
      </c>
      <c r="J488" s="79" t="n">
        <f aca="false">INDEX(Forecast_Walkforward!$E:$E,H488)</f>
        <v>10.5</v>
      </c>
      <c r="K488" s="33" t="n">
        <f aca="false">Baseline_Weeks*J488</f>
        <v>42</v>
      </c>
      <c r="L488" s="46" t="n">
        <f aca="false">SUMIFS(P$485:P487,$B$485:$B487,$B488-$D488)</f>
        <v>0</v>
      </c>
      <c r="M488" s="46" t="n">
        <f aca="false">S487+L488</f>
        <v>22</v>
      </c>
      <c r="N488" s="46" t="n">
        <f aca="false">SUMIFS(P$485:P487,$B$485:$B487,"&gt;"&amp;($B488-$D488))</f>
        <v>12</v>
      </c>
      <c r="O488" s="46" t="n">
        <f aca="false">M488+N488</f>
        <v>34</v>
      </c>
      <c r="P488" s="47" t="n">
        <f aca="false">IF(O488&lt;K488,ROUNDUP((K488-O488)/G488,0)*G488,0)</f>
        <v>8</v>
      </c>
      <c r="Q488" s="46" t="n">
        <f aca="false">MIN(M488,I488)</f>
        <v>7</v>
      </c>
      <c r="R488" s="46" t="n">
        <f aca="false">I488-Q488</f>
        <v>0</v>
      </c>
      <c r="S488" s="46" t="n">
        <f aca="false">M488-Q488</f>
        <v>15</v>
      </c>
      <c r="T488" s="46" t="n">
        <f aca="false">IF(R488&gt;0,1,0)</f>
        <v>0</v>
      </c>
      <c r="U488" s="32" t="n">
        <f aca="false">INDEX(Forecast!$AY$7:$AY$54,C488)</f>
        <v>2</v>
      </c>
      <c r="V488" s="33" t="n">
        <f aca="false">CHOOSE(U488,INDEX(Forecast_Walkforward!$D:$D,H488),INDEX(Forecast_Walkforward!$E:$E,H488),INDEX(Forecast_Walkforward!$F:$F,H488),INDEX(Forecast_Walkforward!$G:$G,H488))</f>
        <v>10.5</v>
      </c>
      <c r="W488" s="79" t="n">
        <f aca="false">INDEX(Forecast!$BA$7:$BA$54,C488)</f>
        <v>3.33036373189581</v>
      </c>
      <c r="X488" s="33" t="n">
        <f aca="false">Z_Value*W488*SQRT(D488)</f>
        <v>10.9559217269529</v>
      </c>
      <c r="Y488" s="33" t="n">
        <f aca="false">V488*D488+X488</f>
        <v>52.9559217269529</v>
      </c>
      <c r="Z488" s="33" t="n">
        <f aca="false">SQRT((2*V488*Weeks_Per_Year*F488)/(E488*Holding_Rate))</f>
        <v>64.5819892333252</v>
      </c>
      <c r="AA488" s="46" t="n">
        <f aca="false">ROUNDUP(Z488/G488,0)*G488</f>
        <v>66</v>
      </c>
      <c r="AB488" s="46" t="n">
        <f aca="false">SUMIFS(AF$485:AF487,$B$485:$B487,$B488-$D488)</f>
        <v>0</v>
      </c>
      <c r="AC488" s="46" t="n">
        <f aca="false">AI487+AB488</f>
        <v>22</v>
      </c>
      <c r="AD488" s="46" t="n">
        <f aca="false">SUMIFS(AF$485:AF487,$B$485:$B487,"&gt;"&amp;($B488-$D488))</f>
        <v>62</v>
      </c>
      <c r="AE488" s="46" t="n">
        <f aca="false">AC488+AD488</f>
        <v>84</v>
      </c>
      <c r="AF488" s="47" t="n">
        <f aca="false">IF(AE488&lt;=Y488,AA488,0)</f>
        <v>0</v>
      </c>
      <c r="AG488" s="46" t="n">
        <f aca="false">MIN(AC488,I488)</f>
        <v>7</v>
      </c>
      <c r="AH488" s="46" t="n">
        <f aca="false">I488-AG488</f>
        <v>0</v>
      </c>
      <c r="AI488" s="46" t="n">
        <f aca="false">AC488-AG488</f>
        <v>15</v>
      </c>
      <c r="AJ488" s="46" t="n">
        <f aca="false">IF(AH488&gt;0,1,0)</f>
        <v>0</v>
      </c>
    </row>
    <row r="489" customFormat="false" ht="15" hidden="false" customHeight="false" outlineLevel="0" collapsed="false">
      <c r="A489" s="31" t="str">
        <f aca="false">Inputs!$B$67</f>
        <v>BED-008</v>
      </c>
      <c r="B489" s="46" t="n">
        <f aca="false">B488+1</f>
        <v>93</v>
      </c>
      <c r="C489" s="46" t="n">
        <f aca="false">MATCH(A489,Inputs!$B$40:$B$87,0)</f>
        <v>28</v>
      </c>
      <c r="D489" s="32" t="n">
        <f aca="false">INDEX(Inputs!$F$40:$F$87,C489)</f>
        <v>4</v>
      </c>
      <c r="E489" s="78" t="n">
        <f aca="false">INDEX(Inputs!$H$40:$H$87,C489)</f>
        <v>72</v>
      </c>
      <c r="F489" s="78" t="n">
        <f aca="false">INDEX(Inputs!$G$40:$G$87,C489)</f>
        <v>55</v>
      </c>
      <c r="G489" s="32" t="n">
        <f aca="false">INDEX(Inputs!$I$40:$I$87,C489)</f>
        <v>2</v>
      </c>
      <c r="H489" s="46" t="n">
        <f aca="false">MATCH(A489,Demand_History!$C:$C,0)+B489-1</f>
        <v>2902</v>
      </c>
      <c r="I489" s="32" t="n">
        <f aca="false">INDEX(Forecast_Walkforward!$C:$C,H489)</f>
        <v>10</v>
      </c>
      <c r="J489" s="79" t="n">
        <f aca="false">INDEX(Forecast_Walkforward!$E:$E,H489)</f>
        <v>9.5</v>
      </c>
      <c r="K489" s="33" t="n">
        <f aca="false">Baseline_Weeks*J489</f>
        <v>38</v>
      </c>
      <c r="L489" s="46" t="n">
        <f aca="false">SUMIFS(P$485:P488,$B$485:$B488,$B489-$D489)</f>
        <v>0</v>
      </c>
      <c r="M489" s="46" t="n">
        <f aca="false">S488+L489</f>
        <v>15</v>
      </c>
      <c r="N489" s="46" t="n">
        <f aca="false">SUMIFS(P$485:P488,$B$485:$B488,"&gt;"&amp;($B489-$D489))</f>
        <v>20</v>
      </c>
      <c r="O489" s="46" t="n">
        <f aca="false">M489+N489</f>
        <v>35</v>
      </c>
      <c r="P489" s="47" t="n">
        <f aca="false">IF(O489&lt;K489,ROUNDUP((K489-O489)/G489,0)*G489,0)</f>
        <v>4</v>
      </c>
      <c r="Q489" s="46" t="n">
        <f aca="false">MIN(M489,I489)</f>
        <v>10</v>
      </c>
      <c r="R489" s="46" t="n">
        <f aca="false">I489-Q489</f>
        <v>0</v>
      </c>
      <c r="S489" s="46" t="n">
        <f aca="false">M489-Q489</f>
        <v>5</v>
      </c>
      <c r="T489" s="46" t="n">
        <f aca="false">IF(R489&gt;0,1,0)</f>
        <v>0</v>
      </c>
      <c r="U489" s="32" t="n">
        <f aca="false">INDEX(Forecast!$AY$7:$AY$54,C489)</f>
        <v>2</v>
      </c>
      <c r="V489" s="33" t="n">
        <f aca="false">CHOOSE(U489,INDEX(Forecast_Walkforward!$D:$D,H489),INDEX(Forecast_Walkforward!$E:$E,H489),INDEX(Forecast_Walkforward!$F:$F,H489),INDEX(Forecast_Walkforward!$G:$G,H489))</f>
        <v>9.5</v>
      </c>
      <c r="W489" s="79" t="n">
        <f aca="false">INDEX(Forecast!$BA$7:$BA$54,C489)</f>
        <v>3.33036373189581</v>
      </c>
      <c r="X489" s="33" t="n">
        <f aca="false">Z_Value*W489*SQRT(D489)</f>
        <v>10.9559217269529</v>
      </c>
      <c r="Y489" s="33" t="n">
        <f aca="false">V489*D489+X489</f>
        <v>48.9559217269529</v>
      </c>
      <c r="Z489" s="33" t="n">
        <f aca="false">SQRT((2*V489*Weeks_Per_Year*F489)/(E489*Holding_Rate))</f>
        <v>61.4297249799404</v>
      </c>
      <c r="AA489" s="46" t="n">
        <f aca="false">ROUNDUP(Z489/G489,0)*G489</f>
        <v>62</v>
      </c>
      <c r="AB489" s="46" t="n">
        <f aca="false">SUMIFS(AF$485:AF488,$B$485:$B488,$B489-$D489)</f>
        <v>0</v>
      </c>
      <c r="AC489" s="46" t="n">
        <f aca="false">AI488+AB489</f>
        <v>15</v>
      </c>
      <c r="AD489" s="46" t="n">
        <f aca="false">SUMIFS(AF$485:AF488,$B$485:$B488,"&gt;"&amp;($B489-$D489))</f>
        <v>62</v>
      </c>
      <c r="AE489" s="46" t="n">
        <f aca="false">AC489+AD489</f>
        <v>77</v>
      </c>
      <c r="AF489" s="47" t="n">
        <f aca="false">IF(AE489&lt;=Y489,AA489,0)</f>
        <v>0</v>
      </c>
      <c r="AG489" s="46" t="n">
        <f aca="false">MIN(AC489,I489)</f>
        <v>10</v>
      </c>
      <c r="AH489" s="46" t="n">
        <f aca="false">I489-AG489</f>
        <v>0</v>
      </c>
      <c r="AI489" s="46" t="n">
        <f aca="false">AC489-AG489</f>
        <v>5</v>
      </c>
      <c r="AJ489" s="46" t="n">
        <f aca="false">IF(AH489&gt;0,1,0)</f>
        <v>0</v>
      </c>
    </row>
    <row r="490" customFormat="false" ht="15" hidden="false" customHeight="false" outlineLevel="0" collapsed="false">
      <c r="A490" s="31" t="str">
        <f aca="false">Inputs!$B$67</f>
        <v>BED-008</v>
      </c>
      <c r="B490" s="46" t="n">
        <f aca="false">B489+1</f>
        <v>94</v>
      </c>
      <c r="C490" s="46" t="n">
        <f aca="false">MATCH(A490,Inputs!$B$40:$B$87,0)</f>
        <v>28</v>
      </c>
      <c r="D490" s="32" t="n">
        <f aca="false">INDEX(Inputs!$F$40:$F$87,C490)</f>
        <v>4</v>
      </c>
      <c r="E490" s="78" t="n">
        <f aca="false">INDEX(Inputs!$H$40:$H$87,C490)</f>
        <v>72</v>
      </c>
      <c r="F490" s="78" t="n">
        <f aca="false">INDEX(Inputs!$G$40:$G$87,C490)</f>
        <v>55</v>
      </c>
      <c r="G490" s="32" t="n">
        <f aca="false">INDEX(Inputs!$I$40:$I$87,C490)</f>
        <v>2</v>
      </c>
      <c r="H490" s="46" t="n">
        <f aca="false">MATCH(A490,Demand_History!$C:$C,0)+B490-1</f>
        <v>2903</v>
      </c>
      <c r="I490" s="32" t="n">
        <f aca="false">INDEX(Forecast_Walkforward!$C:$C,H490)</f>
        <v>10</v>
      </c>
      <c r="J490" s="79" t="n">
        <f aca="false">INDEX(Forecast_Walkforward!$E:$E,H490)</f>
        <v>9.75</v>
      </c>
      <c r="K490" s="33" t="n">
        <f aca="false">Baseline_Weeks*J490</f>
        <v>39</v>
      </c>
      <c r="L490" s="46" t="n">
        <f aca="false">SUMIFS(P$485:P489,$B$485:$B489,$B490-$D490)</f>
        <v>0</v>
      </c>
      <c r="M490" s="46" t="n">
        <f aca="false">S489+L490</f>
        <v>5</v>
      </c>
      <c r="N490" s="46" t="n">
        <f aca="false">SUMIFS(P$485:P489,$B$485:$B489,"&gt;"&amp;($B490-$D490))</f>
        <v>24</v>
      </c>
      <c r="O490" s="46" t="n">
        <f aca="false">M490+N490</f>
        <v>29</v>
      </c>
      <c r="P490" s="47" t="n">
        <f aca="false">IF(O490&lt;K490,ROUNDUP((K490-O490)/G490,0)*G490,0)</f>
        <v>10</v>
      </c>
      <c r="Q490" s="46" t="n">
        <f aca="false">MIN(M490,I490)</f>
        <v>5</v>
      </c>
      <c r="R490" s="46" t="n">
        <f aca="false">I490-Q490</f>
        <v>5</v>
      </c>
      <c r="S490" s="46" t="n">
        <f aca="false">M490-Q490</f>
        <v>0</v>
      </c>
      <c r="T490" s="46" t="n">
        <f aca="false">IF(R490&gt;0,1,0)</f>
        <v>1</v>
      </c>
      <c r="U490" s="32" t="n">
        <f aca="false">INDEX(Forecast!$AY$7:$AY$54,C490)</f>
        <v>2</v>
      </c>
      <c r="V490" s="33" t="n">
        <f aca="false">CHOOSE(U490,INDEX(Forecast_Walkforward!$D:$D,H490),INDEX(Forecast_Walkforward!$E:$E,H490),INDEX(Forecast_Walkforward!$F:$F,H490),INDEX(Forecast_Walkforward!$G:$G,H490))</f>
        <v>9.75</v>
      </c>
      <c r="W490" s="79" t="n">
        <f aca="false">INDEX(Forecast!$BA$7:$BA$54,C490)</f>
        <v>3.33036373189581</v>
      </c>
      <c r="X490" s="33" t="n">
        <f aca="false">Z_Value*W490*SQRT(D490)</f>
        <v>10.9559217269529</v>
      </c>
      <c r="Y490" s="33" t="n">
        <f aca="false">V490*D490+X490</f>
        <v>49.9559217269529</v>
      </c>
      <c r="Z490" s="33" t="n">
        <f aca="false">SQRT((2*V490*Weeks_Per_Year*F490)/(E490*Holding_Rate))</f>
        <v>62.232762004162</v>
      </c>
      <c r="AA490" s="46" t="n">
        <f aca="false">ROUNDUP(Z490/G490,0)*G490</f>
        <v>64</v>
      </c>
      <c r="AB490" s="46" t="n">
        <f aca="false">SUMIFS(AF$485:AF489,$B$485:$B489,$B490-$D490)</f>
        <v>62</v>
      </c>
      <c r="AC490" s="46" t="n">
        <f aca="false">AI489+AB490</f>
        <v>67</v>
      </c>
      <c r="AD490" s="46" t="n">
        <f aca="false">SUMIFS(AF$485:AF489,$B$485:$B489,"&gt;"&amp;($B490-$D490))</f>
        <v>0</v>
      </c>
      <c r="AE490" s="46" t="n">
        <f aca="false">AC490+AD490</f>
        <v>67</v>
      </c>
      <c r="AF490" s="47" t="n">
        <f aca="false">IF(AE490&lt;=Y490,AA490,0)</f>
        <v>0</v>
      </c>
      <c r="AG490" s="46" t="n">
        <f aca="false">MIN(AC490,I490)</f>
        <v>10</v>
      </c>
      <c r="AH490" s="46" t="n">
        <f aca="false">I490-AG490</f>
        <v>0</v>
      </c>
      <c r="AI490" s="46" t="n">
        <f aca="false">AC490-AG490</f>
        <v>57</v>
      </c>
      <c r="AJ490" s="46" t="n">
        <f aca="false">IF(AH490&gt;0,1,0)</f>
        <v>0</v>
      </c>
    </row>
    <row r="491" customFormat="false" ht="15" hidden="false" customHeight="false" outlineLevel="0" collapsed="false">
      <c r="A491" s="31" t="str">
        <f aca="false">Inputs!$B$67</f>
        <v>BED-008</v>
      </c>
      <c r="B491" s="46" t="n">
        <f aca="false">B490+1</f>
        <v>95</v>
      </c>
      <c r="C491" s="46" t="n">
        <f aca="false">MATCH(A491,Inputs!$B$40:$B$87,0)</f>
        <v>28</v>
      </c>
      <c r="D491" s="32" t="n">
        <f aca="false">INDEX(Inputs!$F$40:$F$87,C491)</f>
        <v>4</v>
      </c>
      <c r="E491" s="78" t="n">
        <f aca="false">INDEX(Inputs!$H$40:$H$87,C491)</f>
        <v>72</v>
      </c>
      <c r="F491" s="78" t="n">
        <f aca="false">INDEX(Inputs!$G$40:$G$87,C491)</f>
        <v>55</v>
      </c>
      <c r="G491" s="32" t="n">
        <f aca="false">INDEX(Inputs!$I$40:$I$87,C491)</f>
        <v>2</v>
      </c>
      <c r="H491" s="46" t="n">
        <f aca="false">MATCH(A491,Demand_History!$C:$C,0)+B491-1</f>
        <v>2904</v>
      </c>
      <c r="I491" s="32" t="n">
        <f aca="false">INDEX(Forecast_Walkforward!$C:$C,H491)</f>
        <v>8</v>
      </c>
      <c r="J491" s="79" t="n">
        <f aca="false">INDEX(Forecast_Walkforward!$E:$E,H491)</f>
        <v>8.75</v>
      </c>
      <c r="K491" s="33" t="n">
        <f aca="false">Baseline_Weeks*J491</f>
        <v>35</v>
      </c>
      <c r="L491" s="46" t="n">
        <f aca="false">SUMIFS(P$485:P490,$B$485:$B490,$B491-$D491)</f>
        <v>12</v>
      </c>
      <c r="M491" s="46" t="n">
        <f aca="false">S490+L491</f>
        <v>12</v>
      </c>
      <c r="N491" s="46" t="n">
        <f aca="false">SUMIFS(P$485:P490,$B$485:$B490,"&gt;"&amp;($B491-$D491))</f>
        <v>22</v>
      </c>
      <c r="O491" s="46" t="n">
        <f aca="false">M491+N491</f>
        <v>34</v>
      </c>
      <c r="P491" s="47" t="n">
        <f aca="false">IF(O491&lt;K491,ROUNDUP((K491-O491)/G491,0)*G491,0)</f>
        <v>2</v>
      </c>
      <c r="Q491" s="46" t="n">
        <f aca="false">MIN(M491,I491)</f>
        <v>8</v>
      </c>
      <c r="R491" s="46" t="n">
        <f aca="false">I491-Q491</f>
        <v>0</v>
      </c>
      <c r="S491" s="46" t="n">
        <f aca="false">M491-Q491</f>
        <v>4</v>
      </c>
      <c r="T491" s="46" t="n">
        <f aca="false">IF(R491&gt;0,1,0)</f>
        <v>0</v>
      </c>
      <c r="U491" s="32" t="n">
        <f aca="false">INDEX(Forecast!$AY$7:$AY$54,C491)</f>
        <v>2</v>
      </c>
      <c r="V491" s="33" t="n">
        <f aca="false">CHOOSE(U491,INDEX(Forecast_Walkforward!$D:$D,H491),INDEX(Forecast_Walkforward!$E:$E,H491),INDEX(Forecast_Walkforward!$F:$F,H491),INDEX(Forecast_Walkforward!$G:$G,H491))</f>
        <v>8.75</v>
      </c>
      <c r="W491" s="79" t="n">
        <f aca="false">INDEX(Forecast!$BA$7:$BA$54,C491)</f>
        <v>3.33036373189581</v>
      </c>
      <c r="X491" s="33" t="n">
        <f aca="false">Z_Value*W491*SQRT(D491)</f>
        <v>10.9559217269529</v>
      </c>
      <c r="Y491" s="33" t="n">
        <f aca="false">V491*D491+X491</f>
        <v>45.9559217269529</v>
      </c>
      <c r="Z491" s="33" t="n">
        <f aca="false">SQRT((2*V491*Weeks_Per_Year*F491)/(E491*Holding_Rate))</f>
        <v>58.9550205194133</v>
      </c>
      <c r="AA491" s="46" t="n">
        <f aca="false">ROUNDUP(Z491/G491,0)*G491</f>
        <v>60</v>
      </c>
      <c r="AB491" s="46" t="n">
        <f aca="false">SUMIFS(AF$485:AF490,$B$485:$B490,$B491-$D491)</f>
        <v>0</v>
      </c>
      <c r="AC491" s="46" t="n">
        <f aca="false">AI490+AB491</f>
        <v>57</v>
      </c>
      <c r="AD491" s="46" t="n">
        <f aca="false">SUMIFS(AF$485:AF490,$B$485:$B490,"&gt;"&amp;($B491-$D491))</f>
        <v>0</v>
      </c>
      <c r="AE491" s="46" t="n">
        <f aca="false">AC491+AD491</f>
        <v>57</v>
      </c>
      <c r="AF491" s="47" t="n">
        <f aca="false">IF(AE491&lt;=Y491,AA491,0)</f>
        <v>0</v>
      </c>
      <c r="AG491" s="46" t="n">
        <f aca="false">MIN(AC491,I491)</f>
        <v>8</v>
      </c>
      <c r="AH491" s="46" t="n">
        <f aca="false">I491-AG491</f>
        <v>0</v>
      </c>
      <c r="AI491" s="46" t="n">
        <f aca="false">AC491-AG491</f>
        <v>49</v>
      </c>
      <c r="AJ491" s="46" t="n">
        <f aca="false">IF(AH491&gt;0,1,0)</f>
        <v>0</v>
      </c>
    </row>
    <row r="492" customFormat="false" ht="15" hidden="false" customHeight="false" outlineLevel="0" collapsed="false">
      <c r="A492" s="31" t="str">
        <f aca="false">Inputs!$B$67</f>
        <v>BED-008</v>
      </c>
      <c r="B492" s="46" t="n">
        <f aca="false">B491+1</f>
        <v>96</v>
      </c>
      <c r="C492" s="46" t="n">
        <f aca="false">MATCH(A492,Inputs!$B$40:$B$87,0)</f>
        <v>28</v>
      </c>
      <c r="D492" s="32" t="n">
        <f aca="false">INDEX(Inputs!$F$40:$F$87,C492)</f>
        <v>4</v>
      </c>
      <c r="E492" s="78" t="n">
        <f aca="false">INDEX(Inputs!$H$40:$H$87,C492)</f>
        <v>72</v>
      </c>
      <c r="F492" s="78" t="n">
        <f aca="false">INDEX(Inputs!$G$40:$G$87,C492)</f>
        <v>55</v>
      </c>
      <c r="G492" s="32" t="n">
        <f aca="false">INDEX(Inputs!$I$40:$I$87,C492)</f>
        <v>2</v>
      </c>
      <c r="H492" s="46" t="n">
        <f aca="false">MATCH(A492,Demand_History!$C:$C,0)+B492-1</f>
        <v>2905</v>
      </c>
      <c r="I492" s="32" t="n">
        <f aca="false">INDEX(Forecast_Walkforward!$C:$C,H492)</f>
        <v>10</v>
      </c>
      <c r="J492" s="79" t="n">
        <f aca="false">INDEX(Forecast_Walkforward!$E:$E,H492)</f>
        <v>8.75</v>
      </c>
      <c r="K492" s="33" t="n">
        <f aca="false">Baseline_Weeks*J492</f>
        <v>35</v>
      </c>
      <c r="L492" s="46" t="n">
        <f aca="false">SUMIFS(P$485:P491,$B$485:$B491,$B492-$D492)</f>
        <v>8</v>
      </c>
      <c r="M492" s="46" t="n">
        <f aca="false">S491+L492</f>
        <v>12</v>
      </c>
      <c r="N492" s="46" t="n">
        <f aca="false">SUMIFS(P$485:P491,$B$485:$B491,"&gt;"&amp;($B492-$D492))</f>
        <v>16</v>
      </c>
      <c r="O492" s="46" t="n">
        <f aca="false">M492+N492</f>
        <v>28</v>
      </c>
      <c r="P492" s="47" t="n">
        <f aca="false">IF(O492&lt;K492,ROUNDUP((K492-O492)/G492,0)*G492,0)</f>
        <v>8</v>
      </c>
      <c r="Q492" s="46" t="n">
        <f aca="false">MIN(M492,I492)</f>
        <v>10</v>
      </c>
      <c r="R492" s="46" t="n">
        <f aca="false">I492-Q492</f>
        <v>0</v>
      </c>
      <c r="S492" s="46" t="n">
        <f aca="false">M492-Q492</f>
        <v>2</v>
      </c>
      <c r="T492" s="46" t="n">
        <f aca="false">IF(R492&gt;0,1,0)</f>
        <v>0</v>
      </c>
      <c r="U492" s="32" t="n">
        <f aca="false">INDEX(Forecast!$AY$7:$AY$54,C492)</f>
        <v>2</v>
      </c>
      <c r="V492" s="33" t="n">
        <f aca="false">CHOOSE(U492,INDEX(Forecast_Walkforward!$D:$D,H492),INDEX(Forecast_Walkforward!$E:$E,H492),INDEX(Forecast_Walkforward!$F:$F,H492),INDEX(Forecast_Walkforward!$G:$G,H492))</f>
        <v>8.75</v>
      </c>
      <c r="W492" s="79" t="n">
        <f aca="false">INDEX(Forecast!$BA$7:$BA$54,C492)</f>
        <v>3.33036373189581</v>
      </c>
      <c r="X492" s="33" t="n">
        <f aca="false">Z_Value*W492*SQRT(D492)</f>
        <v>10.9559217269529</v>
      </c>
      <c r="Y492" s="33" t="n">
        <f aca="false">V492*D492+X492</f>
        <v>45.9559217269529</v>
      </c>
      <c r="Z492" s="33" t="n">
        <f aca="false">SQRT((2*V492*Weeks_Per_Year*F492)/(E492*Holding_Rate))</f>
        <v>58.9550205194133</v>
      </c>
      <c r="AA492" s="46" t="n">
        <f aca="false">ROUNDUP(Z492/G492,0)*G492</f>
        <v>60</v>
      </c>
      <c r="AB492" s="46" t="n">
        <f aca="false">SUMIFS(AF$485:AF491,$B$485:$B491,$B492-$D492)</f>
        <v>0</v>
      </c>
      <c r="AC492" s="46" t="n">
        <f aca="false">AI491+AB492</f>
        <v>49</v>
      </c>
      <c r="AD492" s="46" t="n">
        <f aca="false">SUMIFS(AF$485:AF491,$B$485:$B491,"&gt;"&amp;($B492-$D492))</f>
        <v>0</v>
      </c>
      <c r="AE492" s="46" t="n">
        <f aca="false">AC492+AD492</f>
        <v>49</v>
      </c>
      <c r="AF492" s="47" t="n">
        <f aca="false">IF(AE492&lt;=Y492,AA492,0)</f>
        <v>0</v>
      </c>
      <c r="AG492" s="46" t="n">
        <f aca="false">MIN(AC492,I492)</f>
        <v>10</v>
      </c>
      <c r="AH492" s="46" t="n">
        <f aca="false">I492-AG492</f>
        <v>0</v>
      </c>
      <c r="AI492" s="46" t="n">
        <f aca="false">AC492-AG492</f>
        <v>39</v>
      </c>
      <c r="AJ492" s="46" t="n">
        <f aca="false">IF(AH492&gt;0,1,0)</f>
        <v>0</v>
      </c>
    </row>
    <row r="493" customFormat="false" ht="15" hidden="false" customHeight="false" outlineLevel="0" collapsed="false">
      <c r="A493" s="31" t="str">
        <f aca="false">Inputs!$B$67</f>
        <v>BED-008</v>
      </c>
      <c r="B493" s="46" t="n">
        <f aca="false">B492+1</f>
        <v>97</v>
      </c>
      <c r="C493" s="46" t="n">
        <f aca="false">MATCH(A493,Inputs!$B$40:$B$87,0)</f>
        <v>28</v>
      </c>
      <c r="D493" s="32" t="n">
        <f aca="false">INDEX(Inputs!$F$40:$F$87,C493)</f>
        <v>4</v>
      </c>
      <c r="E493" s="78" t="n">
        <f aca="false">INDEX(Inputs!$H$40:$H$87,C493)</f>
        <v>72</v>
      </c>
      <c r="F493" s="78" t="n">
        <f aca="false">INDEX(Inputs!$G$40:$G$87,C493)</f>
        <v>55</v>
      </c>
      <c r="G493" s="32" t="n">
        <f aca="false">INDEX(Inputs!$I$40:$I$87,C493)</f>
        <v>2</v>
      </c>
      <c r="H493" s="46" t="n">
        <f aca="false">MATCH(A493,Demand_History!$C:$C,0)+B493-1</f>
        <v>2906</v>
      </c>
      <c r="I493" s="32" t="n">
        <f aca="false">INDEX(Forecast_Walkforward!$C:$C,H493)</f>
        <v>3</v>
      </c>
      <c r="J493" s="79" t="n">
        <f aca="false">INDEX(Forecast_Walkforward!$E:$E,H493)</f>
        <v>9.5</v>
      </c>
      <c r="K493" s="33" t="n">
        <f aca="false">Baseline_Weeks*J493</f>
        <v>38</v>
      </c>
      <c r="L493" s="46" t="n">
        <f aca="false">SUMIFS(P$485:P492,$B$485:$B492,$B493-$D493)</f>
        <v>4</v>
      </c>
      <c r="M493" s="46" t="n">
        <f aca="false">S492+L493</f>
        <v>6</v>
      </c>
      <c r="N493" s="46" t="n">
        <f aca="false">SUMIFS(P$485:P492,$B$485:$B492,"&gt;"&amp;($B493-$D493))</f>
        <v>20</v>
      </c>
      <c r="O493" s="46" t="n">
        <f aca="false">M493+N493</f>
        <v>26</v>
      </c>
      <c r="P493" s="47" t="n">
        <f aca="false">IF(O493&lt;K493,ROUNDUP((K493-O493)/G493,0)*G493,0)</f>
        <v>12</v>
      </c>
      <c r="Q493" s="46" t="n">
        <f aca="false">MIN(M493,I493)</f>
        <v>3</v>
      </c>
      <c r="R493" s="46" t="n">
        <f aca="false">I493-Q493</f>
        <v>0</v>
      </c>
      <c r="S493" s="46" t="n">
        <f aca="false">M493-Q493</f>
        <v>3</v>
      </c>
      <c r="T493" s="46" t="n">
        <f aca="false">IF(R493&gt;0,1,0)</f>
        <v>0</v>
      </c>
      <c r="U493" s="32" t="n">
        <f aca="false">INDEX(Forecast!$AY$7:$AY$54,C493)</f>
        <v>2</v>
      </c>
      <c r="V493" s="33" t="n">
        <f aca="false">CHOOSE(U493,INDEX(Forecast_Walkforward!$D:$D,H493),INDEX(Forecast_Walkforward!$E:$E,H493),INDEX(Forecast_Walkforward!$F:$F,H493),INDEX(Forecast_Walkforward!$G:$G,H493))</f>
        <v>9.5</v>
      </c>
      <c r="W493" s="79" t="n">
        <f aca="false">INDEX(Forecast!$BA$7:$BA$54,C493)</f>
        <v>3.33036373189581</v>
      </c>
      <c r="X493" s="33" t="n">
        <f aca="false">Z_Value*W493*SQRT(D493)</f>
        <v>10.9559217269529</v>
      </c>
      <c r="Y493" s="33" t="n">
        <f aca="false">V493*D493+X493</f>
        <v>48.9559217269529</v>
      </c>
      <c r="Z493" s="33" t="n">
        <f aca="false">SQRT((2*V493*Weeks_Per_Year*F493)/(E493*Holding_Rate))</f>
        <v>61.4297249799404</v>
      </c>
      <c r="AA493" s="46" t="n">
        <f aca="false">ROUNDUP(Z493/G493,0)*G493</f>
        <v>62</v>
      </c>
      <c r="AB493" s="46" t="n">
        <f aca="false">SUMIFS(AF$485:AF492,$B$485:$B492,$B493-$D493)</f>
        <v>0</v>
      </c>
      <c r="AC493" s="46" t="n">
        <f aca="false">AI492+AB493</f>
        <v>39</v>
      </c>
      <c r="AD493" s="46" t="n">
        <f aca="false">SUMIFS(AF$485:AF492,$B$485:$B492,"&gt;"&amp;($B493-$D493))</f>
        <v>0</v>
      </c>
      <c r="AE493" s="46" t="n">
        <f aca="false">AC493+AD493</f>
        <v>39</v>
      </c>
      <c r="AF493" s="47" t="n">
        <f aca="false">IF(AE493&lt;=Y493,AA493,0)</f>
        <v>62</v>
      </c>
      <c r="AG493" s="46" t="n">
        <f aca="false">MIN(AC493,I493)</f>
        <v>3</v>
      </c>
      <c r="AH493" s="46" t="n">
        <f aca="false">I493-AG493</f>
        <v>0</v>
      </c>
      <c r="AI493" s="46" t="n">
        <f aca="false">AC493-AG493</f>
        <v>36</v>
      </c>
      <c r="AJ493" s="46" t="n">
        <f aca="false">IF(AH493&gt;0,1,0)</f>
        <v>0</v>
      </c>
    </row>
    <row r="494" customFormat="false" ht="15" hidden="false" customHeight="false" outlineLevel="0" collapsed="false">
      <c r="A494" s="31" t="str">
        <f aca="false">Inputs!$B$67</f>
        <v>BED-008</v>
      </c>
      <c r="B494" s="46" t="n">
        <f aca="false">B493+1</f>
        <v>98</v>
      </c>
      <c r="C494" s="46" t="n">
        <f aca="false">MATCH(A494,Inputs!$B$40:$B$87,0)</f>
        <v>28</v>
      </c>
      <c r="D494" s="32" t="n">
        <f aca="false">INDEX(Inputs!$F$40:$F$87,C494)</f>
        <v>4</v>
      </c>
      <c r="E494" s="78" t="n">
        <f aca="false">INDEX(Inputs!$H$40:$H$87,C494)</f>
        <v>72</v>
      </c>
      <c r="F494" s="78" t="n">
        <f aca="false">INDEX(Inputs!$G$40:$G$87,C494)</f>
        <v>55</v>
      </c>
      <c r="G494" s="32" t="n">
        <f aca="false">INDEX(Inputs!$I$40:$I$87,C494)</f>
        <v>2</v>
      </c>
      <c r="H494" s="46" t="n">
        <f aca="false">MATCH(A494,Demand_History!$C:$C,0)+B494-1</f>
        <v>2907</v>
      </c>
      <c r="I494" s="32" t="n">
        <f aca="false">INDEX(Forecast_Walkforward!$C:$C,H494)</f>
        <v>12</v>
      </c>
      <c r="J494" s="79" t="n">
        <f aca="false">INDEX(Forecast_Walkforward!$E:$E,H494)</f>
        <v>7.75</v>
      </c>
      <c r="K494" s="33" t="n">
        <f aca="false">Baseline_Weeks*J494</f>
        <v>31</v>
      </c>
      <c r="L494" s="46" t="n">
        <f aca="false">SUMIFS(P$485:P493,$B$485:$B493,$B494-$D494)</f>
        <v>10</v>
      </c>
      <c r="M494" s="46" t="n">
        <f aca="false">S493+L494</f>
        <v>13</v>
      </c>
      <c r="N494" s="46" t="n">
        <f aca="false">SUMIFS(P$485:P493,$B$485:$B493,"&gt;"&amp;($B494-$D494))</f>
        <v>22</v>
      </c>
      <c r="O494" s="46" t="n">
        <f aca="false">M494+N494</f>
        <v>35</v>
      </c>
      <c r="P494" s="47" t="n">
        <f aca="false">IF(O494&lt;K494,ROUNDUP((K494-O494)/G494,0)*G494,0)</f>
        <v>0</v>
      </c>
      <c r="Q494" s="46" t="n">
        <f aca="false">MIN(M494,I494)</f>
        <v>12</v>
      </c>
      <c r="R494" s="46" t="n">
        <f aca="false">I494-Q494</f>
        <v>0</v>
      </c>
      <c r="S494" s="46" t="n">
        <f aca="false">M494-Q494</f>
        <v>1</v>
      </c>
      <c r="T494" s="46" t="n">
        <f aca="false">IF(R494&gt;0,1,0)</f>
        <v>0</v>
      </c>
      <c r="U494" s="32" t="n">
        <f aca="false">INDEX(Forecast!$AY$7:$AY$54,C494)</f>
        <v>2</v>
      </c>
      <c r="V494" s="33" t="n">
        <f aca="false">CHOOSE(U494,INDEX(Forecast_Walkforward!$D:$D,H494),INDEX(Forecast_Walkforward!$E:$E,H494),INDEX(Forecast_Walkforward!$F:$F,H494),INDEX(Forecast_Walkforward!$G:$G,H494))</f>
        <v>7.75</v>
      </c>
      <c r="W494" s="79" t="n">
        <f aca="false">INDEX(Forecast!$BA$7:$BA$54,C494)</f>
        <v>3.33036373189581</v>
      </c>
      <c r="X494" s="33" t="n">
        <f aca="false">Z_Value*W494*SQRT(D494)</f>
        <v>10.9559217269529</v>
      </c>
      <c r="Y494" s="33" t="n">
        <f aca="false">V494*D494+X494</f>
        <v>41.9559217269529</v>
      </c>
      <c r="Z494" s="33" t="n">
        <f aca="false">SQRT((2*V494*Weeks_Per_Year*F494)/(E494*Holding_Rate))</f>
        <v>55.483981672391</v>
      </c>
      <c r="AA494" s="46" t="n">
        <f aca="false">ROUNDUP(Z494/G494,0)*G494</f>
        <v>56</v>
      </c>
      <c r="AB494" s="46" t="n">
        <f aca="false">SUMIFS(AF$485:AF493,$B$485:$B493,$B494-$D494)</f>
        <v>0</v>
      </c>
      <c r="AC494" s="46" t="n">
        <f aca="false">AI493+AB494</f>
        <v>36</v>
      </c>
      <c r="AD494" s="46" t="n">
        <f aca="false">SUMIFS(AF$485:AF493,$B$485:$B493,"&gt;"&amp;($B494-$D494))</f>
        <v>62</v>
      </c>
      <c r="AE494" s="46" t="n">
        <f aca="false">AC494+AD494</f>
        <v>98</v>
      </c>
      <c r="AF494" s="47" t="n">
        <f aca="false">IF(AE494&lt;=Y494,AA494,0)</f>
        <v>0</v>
      </c>
      <c r="AG494" s="46" t="n">
        <f aca="false">MIN(AC494,I494)</f>
        <v>12</v>
      </c>
      <c r="AH494" s="46" t="n">
        <f aca="false">I494-AG494</f>
        <v>0</v>
      </c>
      <c r="AI494" s="46" t="n">
        <f aca="false">AC494-AG494</f>
        <v>24</v>
      </c>
      <c r="AJ494" s="46" t="n">
        <f aca="false">IF(AH494&gt;0,1,0)</f>
        <v>0</v>
      </c>
    </row>
    <row r="495" customFormat="false" ht="15" hidden="false" customHeight="false" outlineLevel="0" collapsed="false">
      <c r="A495" s="31" t="str">
        <f aca="false">Inputs!$B$67</f>
        <v>BED-008</v>
      </c>
      <c r="B495" s="46" t="n">
        <f aca="false">B494+1</f>
        <v>99</v>
      </c>
      <c r="C495" s="46" t="n">
        <f aca="false">MATCH(A495,Inputs!$B$40:$B$87,0)</f>
        <v>28</v>
      </c>
      <c r="D495" s="32" t="n">
        <f aca="false">INDEX(Inputs!$F$40:$F$87,C495)</f>
        <v>4</v>
      </c>
      <c r="E495" s="78" t="n">
        <f aca="false">INDEX(Inputs!$H$40:$H$87,C495)</f>
        <v>72</v>
      </c>
      <c r="F495" s="78" t="n">
        <f aca="false">INDEX(Inputs!$G$40:$G$87,C495)</f>
        <v>55</v>
      </c>
      <c r="G495" s="32" t="n">
        <f aca="false">INDEX(Inputs!$I$40:$I$87,C495)</f>
        <v>2</v>
      </c>
      <c r="H495" s="46" t="n">
        <f aca="false">MATCH(A495,Demand_History!$C:$C,0)+B495-1</f>
        <v>2908</v>
      </c>
      <c r="I495" s="32" t="n">
        <f aca="false">INDEX(Forecast_Walkforward!$C:$C,H495)</f>
        <v>7</v>
      </c>
      <c r="J495" s="79" t="n">
        <f aca="false">INDEX(Forecast_Walkforward!$E:$E,H495)</f>
        <v>8.25</v>
      </c>
      <c r="K495" s="33" t="n">
        <f aca="false">Baseline_Weeks*J495</f>
        <v>33</v>
      </c>
      <c r="L495" s="46" t="n">
        <f aca="false">SUMIFS(P$485:P494,$B$485:$B494,$B495-$D495)</f>
        <v>2</v>
      </c>
      <c r="M495" s="46" t="n">
        <f aca="false">S494+L495</f>
        <v>3</v>
      </c>
      <c r="N495" s="46" t="n">
        <f aca="false">SUMIFS(P$485:P494,$B$485:$B494,"&gt;"&amp;($B495-$D495))</f>
        <v>20</v>
      </c>
      <c r="O495" s="46" t="n">
        <f aca="false">M495+N495</f>
        <v>23</v>
      </c>
      <c r="P495" s="47" t="n">
        <f aca="false">IF(O495&lt;K495,ROUNDUP((K495-O495)/G495,0)*G495,0)</f>
        <v>10</v>
      </c>
      <c r="Q495" s="46" t="n">
        <f aca="false">MIN(M495,I495)</f>
        <v>3</v>
      </c>
      <c r="R495" s="46" t="n">
        <f aca="false">I495-Q495</f>
        <v>4</v>
      </c>
      <c r="S495" s="46" t="n">
        <f aca="false">M495-Q495</f>
        <v>0</v>
      </c>
      <c r="T495" s="46" t="n">
        <f aca="false">IF(R495&gt;0,1,0)</f>
        <v>1</v>
      </c>
      <c r="U495" s="32" t="n">
        <f aca="false">INDEX(Forecast!$AY$7:$AY$54,C495)</f>
        <v>2</v>
      </c>
      <c r="V495" s="33" t="n">
        <f aca="false">CHOOSE(U495,INDEX(Forecast_Walkforward!$D:$D,H495),INDEX(Forecast_Walkforward!$E:$E,H495),INDEX(Forecast_Walkforward!$F:$F,H495),INDEX(Forecast_Walkforward!$G:$G,H495))</f>
        <v>8.25</v>
      </c>
      <c r="W495" s="79" t="n">
        <f aca="false">INDEX(Forecast!$BA$7:$BA$54,C495)</f>
        <v>3.33036373189581</v>
      </c>
      <c r="X495" s="33" t="n">
        <f aca="false">Z_Value*W495*SQRT(D495)</f>
        <v>10.9559217269529</v>
      </c>
      <c r="Y495" s="33" t="n">
        <f aca="false">V495*D495+X495</f>
        <v>43.9559217269529</v>
      </c>
      <c r="Z495" s="33" t="n">
        <f aca="false">SQRT((2*V495*Weeks_Per_Year*F495)/(E495*Holding_Rate))</f>
        <v>57.2458149853186</v>
      </c>
      <c r="AA495" s="46" t="n">
        <f aca="false">ROUNDUP(Z495/G495,0)*G495</f>
        <v>58</v>
      </c>
      <c r="AB495" s="46" t="n">
        <f aca="false">SUMIFS(AF$485:AF494,$B$485:$B494,$B495-$D495)</f>
        <v>0</v>
      </c>
      <c r="AC495" s="46" t="n">
        <f aca="false">AI494+AB495</f>
        <v>24</v>
      </c>
      <c r="AD495" s="46" t="n">
        <f aca="false">SUMIFS(AF$485:AF494,$B$485:$B494,"&gt;"&amp;($B495-$D495))</f>
        <v>62</v>
      </c>
      <c r="AE495" s="46" t="n">
        <f aca="false">AC495+AD495</f>
        <v>86</v>
      </c>
      <c r="AF495" s="47" t="n">
        <f aca="false">IF(AE495&lt;=Y495,AA495,0)</f>
        <v>0</v>
      </c>
      <c r="AG495" s="46" t="n">
        <f aca="false">MIN(AC495,I495)</f>
        <v>7</v>
      </c>
      <c r="AH495" s="46" t="n">
        <f aca="false">I495-AG495</f>
        <v>0</v>
      </c>
      <c r="AI495" s="46" t="n">
        <f aca="false">AC495-AG495</f>
        <v>17</v>
      </c>
      <c r="AJ495" s="46" t="n">
        <f aca="false">IF(AH495&gt;0,1,0)</f>
        <v>0</v>
      </c>
    </row>
    <row r="496" customFormat="false" ht="15" hidden="false" customHeight="false" outlineLevel="0" collapsed="false">
      <c r="A496" s="31" t="str">
        <f aca="false">Inputs!$B$67</f>
        <v>BED-008</v>
      </c>
      <c r="B496" s="46" t="n">
        <f aca="false">B495+1</f>
        <v>100</v>
      </c>
      <c r="C496" s="46" t="n">
        <f aca="false">MATCH(A496,Inputs!$B$40:$B$87,0)</f>
        <v>28</v>
      </c>
      <c r="D496" s="32" t="n">
        <f aca="false">INDEX(Inputs!$F$40:$F$87,C496)</f>
        <v>4</v>
      </c>
      <c r="E496" s="78" t="n">
        <f aca="false">INDEX(Inputs!$H$40:$H$87,C496)</f>
        <v>72</v>
      </c>
      <c r="F496" s="78" t="n">
        <f aca="false">INDEX(Inputs!$G$40:$G$87,C496)</f>
        <v>55</v>
      </c>
      <c r="G496" s="32" t="n">
        <f aca="false">INDEX(Inputs!$I$40:$I$87,C496)</f>
        <v>2</v>
      </c>
      <c r="H496" s="46" t="n">
        <f aca="false">MATCH(A496,Demand_History!$C:$C,0)+B496-1</f>
        <v>2909</v>
      </c>
      <c r="I496" s="32" t="n">
        <f aca="false">INDEX(Forecast_Walkforward!$C:$C,H496)</f>
        <v>6</v>
      </c>
      <c r="J496" s="79" t="n">
        <f aca="false">INDEX(Forecast_Walkforward!$E:$E,H496)</f>
        <v>8</v>
      </c>
      <c r="K496" s="33" t="n">
        <f aca="false">Baseline_Weeks*J496</f>
        <v>32</v>
      </c>
      <c r="L496" s="46" t="n">
        <f aca="false">SUMIFS(P$485:P495,$B$485:$B495,$B496-$D496)</f>
        <v>8</v>
      </c>
      <c r="M496" s="46" t="n">
        <f aca="false">S495+L496</f>
        <v>8</v>
      </c>
      <c r="N496" s="46" t="n">
        <f aca="false">SUMIFS(P$485:P495,$B$485:$B495,"&gt;"&amp;($B496-$D496))</f>
        <v>22</v>
      </c>
      <c r="O496" s="46" t="n">
        <f aca="false">M496+N496</f>
        <v>30</v>
      </c>
      <c r="P496" s="47" t="n">
        <f aca="false">IF(O496&lt;K496,ROUNDUP((K496-O496)/G496,0)*G496,0)</f>
        <v>2</v>
      </c>
      <c r="Q496" s="46" t="n">
        <f aca="false">MIN(M496,I496)</f>
        <v>6</v>
      </c>
      <c r="R496" s="46" t="n">
        <f aca="false">I496-Q496</f>
        <v>0</v>
      </c>
      <c r="S496" s="46" t="n">
        <f aca="false">M496-Q496</f>
        <v>2</v>
      </c>
      <c r="T496" s="46" t="n">
        <f aca="false">IF(R496&gt;0,1,0)</f>
        <v>0</v>
      </c>
      <c r="U496" s="32" t="n">
        <f aca="false">INDEX(Forecast!$AY$7:$AY$54,C496)</f>
        <v>2</v>
      </c>
      <c r="V496" s="33" t="n">
        <f aca="false">CHOOSE(U496,INDEX(Forecast_Walkforward!$D:$D,H496),INDEX(Forecast_Walkforward!$E:$E,H496),INDEX(Forecast_Walkforward!$F:$F,H496),INDEX(Forecast_Walkforward!$G:$G,H496))</f>
        <v>8</v>
      </c>
      <c r="W496" s="79" t="n">
        <f aca="false">INDEX(Forecast!$BA$7:$BA$54,C496)</f>
        <v>3.33036373189581</v>
      </c>
      <c r="X496" s="33" t="n">
        <f aca="false">Z_Value*W496*SQRT(D496)</f>
        <v>10.9559217269529</v>
      </c>
      <c r="Y496" s="33" t="n">
        <f aca="false">V496*D496+X496</f>
        <v>42.9559217269529</v>
      </c>
      <c r="Z496" s="33" t="n">
        <f aca="false">SQRT((2*V496*Weeks_Per_Year*F496)/(E496*Holding_Rate))</f>
        <v>56.3717817509592</v>
      </c>
      <c r="AA496" s="46" t="n">
        <f aca="false">ROUNDUP(Z496/G496,0)*G496</f>
        <v>58</v>
      </c>
      <c r="AB496" s="46" t="n">
        <f aca="false">SUMIFS(AF$485:AF495,$B$485:$B495,$B496-$D496)</f>
        <v>0</v>
      </c>
      <c r="AC496" s="46" t="n">
        <f aca="false">AI495+AB496</f>
        <v>17</v>
      </c>
      <c r="AD496" s="46" t="n">
        <f aca="false">SUMIFS(AF$485:AF495,$B$485:$B495,"&gt;"&amp;($B496-$D496))</f>
        <v>62</v>
      </c>
      <c r="AE496" s="46" t="n">
        <f aca="false">AC496+AD496</f>
        <v>79</v>
      </c>
      <c r="AF496" s="47" t="n">
        <f aca="false">IF(AE496&lt;=Y496,AA496,0)</f>
        <v>0</v>
      </c>
      <c r="AG496" s="46" t="n">
        <f aca="false">MIN(AC496,I496)</f>
        <v>6</v>
      </c>
      <c r="AH496" s="46" t="n">
        <f aca="false">I496-AG496</f>
        <v>0</v>
      </c>
      <c r="AI496" s="46" t="n">
        <f aca="false">AC496-AG496</f>
        <v>11</v>
      </c>
      <c r="AJ496" s="46" t="n">
        <f aca="false">IF(AH496&gt;0,1,0)</f>
        <v>0</v>
      </c>
    </row>
    <row r="497" customFormat="false" ht="15" hidden="false" customHeight="false" outlineLevel="0" collapsed="false">
      <c r="A497" s="31" t="str">
        <f aca="false">Inputs!$B$67</f>
        <v>BED-008</v>
      </c>
      <c r="B497" s="46" t="n">
        <f aca="false">B496+1</f>
        <v>101</v>
      </c>
      <c r="C497" s="46" t="n">
        <f aca="false">MATCH(A497,Inputs!$B$40:$B$87,0)</f>
        <v>28</v>
      </c>
      <c r="D497" s="32" t="n">
        <f aca="false">INDEX(Inputs!$F$40:$F$87,C497)</f>
        <v>4</v>
      </c>
      <c r="E497" s="78" t="n">
        <f aca="false">INDEX(Inputs!$H$40:$H$87,C497)</f>
        <v>72</v>
      </c>
      <c r="F497" s="78" t="n">
        <f aca="false">INDEX(Inputs!$G$40:$G$87,C497)</f>
        <v>55</v>
      </c>
      <c r="G497" s="32" t="n">
        <f aca="false">INDEX(Inputs!$I$40:$I$87,C497)</f>
        <v>2</v>
      </c>
      <c r="H497" s="46" t="n">
        <f aca="false">MATCH(A497,Demand_History!$C:$C,0)+B497-1</f>
        <v>2910</v>
      </c>
      <c r="I497" s="32" t="n">
        <f aca="false">INDEX(Forecast_Walkforward!$C:$C,H497)</f>
        <v>4</v>
      </c>
      <c r="J497" s="79" t="n">
        <f aca="false">INDEX(Forecast_Walkforward!$E:$E,H497)</f>
        <v>7</v>
      </c>
      <c r="K497" s="33" t="n">
        <f aca="false">Baseline_Weeks*J497</f>
        <v>28</v>
      </c>
      <c r="L497" s="46" t="n">
        <f aca="false">SUMIFS(P$485:P496,$B$485:$B496,$B497-$D497)</f>
        <v>12</v>
      </c>
      <c r="M497" s="46" t="n">
        <f aca="false">S496+L497</f>
        <v>14</v>
      </c>
      <c r="N497" s="46" t="n">
        <f aca="false">SUMIFS(P$485:P496,$B$485:$B496,"&gt;"&amp;($B497-$D497))</f>
        <v>12</v>
      </c>
      <c r="O497" s="46" t="n">
        <f aca="false">M497+N497</f>
        <v>26</v>
      </c>
      <c r="P497" s="47" t="n">
        <f aca="false">IF(O497&lt;K497,ROUNDUP((K497-O497)/G497,0)*G497,0)</f>
        <v>2</v>
      </c>
      <c r="Q497" s="46" t="n">
        <f aca="false">MIN(M497,I497)</f>
        <v>4</v>
      </c>
      <c r="R497" s="46" t="n">
        <f aca="false">I497-Q497</f>
        <v>0</v>
      </c>
      <c r="S497" s="46" t="n">
        <f aca="false">M497-Q497</f>
        <v>10</v>
      </c>
      <c r="T497" s="46" t="n">
        <f aca="false">IF(R497&gt;0,1,0)</f>
        <v>0</v>
      </c>
      <c r="U497" s="32" t="n">
        <f aca="false">INDEX(Forecast!$AY$7:$AY$54,C497)</f>
        <v>2</v>
      </c>
      <c r="V497" s="33" t="n">
        <f aca="false">CHOOSE(U497,INDEX(Forecast_Walkforward!$D:$D,H497),INDEX(Forecast_Walkforward!$E:$E,H497),INDEX(Forecast_Walkforward!$F:$F,H497),INDEX(Forecast_Walkforward!$G:$G,H497))</f>
        <v>7</v>
      </c>
      <c r="W497" s="79" t="n">
        <f aca="false">INDEX(Forecast!$BA$7:$BA$54,C497)</f>
        <v>3.33036373189581</v>
      </c>
      <c r="X497" s="33" t="n">
        <f aca="false">Z_Value*W497*SQRT(D497)</f>
        <v>10.9559217269529</v>
      </c>
      <c r="Y497" s="33" t="n">
        <f aca="false">V497*D497+X497</f>
        <v>38.9559217269529</v>
      </c>
      <c r="Z497" s="33" t="n">
        <f aca="false">SQRT((2*V497*Weeks_Per_Year*F497)/(E497*Holding_Rate))</f>
        <v>52.7309733985213</v>
      </c>
      <c r="AA497" s="46" t="n">
        <f aca="false">ROUNDUP(Z497/G497,0)*G497</f>
        <v>54</v>
      </c>
      <c r="AB497" s="46" t="n">
        <f aca="false">SUMIFS(AF$485:AF496,$B$485:$B496,$B497-$D497)</f>
        <v>62</v>
      </c>
      <c r="AC497" s="46" t="n">
        <f aca="false">AI496+AB497</f>
        <v>73</v>
      </c>
      <c r="AD497" s="46" t="n">
        <f aca="false">SUMIFS(AF$485:AF496,$B$485:$B496,"&gt;"&amp;($B497-$D497))</f>
        <v>0</v>
      </c>
      <c r="AE497" s="46" t="n">
        <f aca="false">AC497+AD497</f>
        <v>73</v>
      </c>
      <c r="AF497" s="47" t="n">
        <f aca="false">IF(AE497&lt;=Y497,AA497,0)</f>
        <v>0</v>
      </c>
      <c r="AG497" s="46" t="n">
        <f aca="false">MIN(AC497,I497)</f>
        <v>4</v>
      </c>
      <c r="AH497" s="46" t="n">
        <f aca="false">I497-AG497</f>
        <v>0</v>
      </c>
      <c r="AI497" s="46" t="n">
        <f aca="false">AC497-AG497</f>
        <v>69</v>
      </c>
      <c r="AJ497" s="46" t="n">
        <f aca="false">IF(AH497&gt;0,1,0)</f>
        <v>0</v>
      </c>
    </row>
    <row r="498" customFormat="false" ht="15" hidden="false" customHeight="false" outlineLevel="0" collapsed="false">
      <c r="A498" s="31" t="str">
        <f aca="false">Inputs!$B$67</f>
        <v>BED-008</v>
      </c>
      <c r="B498" s="46" t="n">
        <f aca="false">B497+1</f>
        <v>102</v>
      </c>
      <c r="C498" s="46" t="n">
        <f aca="false">MATCH(A498,Inputs!$B$40:$B$87,0)</f>
        <v>28</v>
      </c>
      <c r="D498" s="32" t="n">
        <f aca="false">INDEX(Inputs!$F$40:$F$87,C498)</f>
        <v>4</v>
      </c>
      <c r="E498" s="78" t="n">
        <f aca="false">INDEX(Inputs!$H$40:$H$87,C498)</f>
        <v>72</v>
      </c>
      <c r="F498" s="78" t="n">
        <f aca="false">INDEX(Inputs!$G$40:$G$87,C498)</f>
        <v>55</v>
      </c>
      <c r="G498" s="32" t="n">
        <f aca="false">INDEX(Inputs!$I$40:$I$87,C498)</f>
        <v>2</v>
      </c>
      <c r="H498" s="46" t="n">
        <f aca="false">MATCH(A498,Demand_History!$C:$C,0)+B498-1</f>
        <v>2911</v>
      </c>
      <c r="I498" s="32" t="n">
        <f aca="false">INDEX(Forecast_Walkforward!$C:$C,H498)</f>
        <v>5</v>
      </c>
      <c r="J498" s="79" t="n">
        <f aca="false">INDEX(Forecast_Walkforward!$E:$E,H498)</f>
        <v>7.25</v>
      </c>
      <c r="K498" s="33" t="n">
        <f aca="false">Baseline_Weeks*J498</f>
        <v>29</v>
      </c>
      <c r="L498" s="46" t="n">
        <f aca="false">SUMIFS(P$485:P497,$B$485:$B497,$B498-$D498)</f>
        <v>0</v>
      </c>
      <c r="M498" s="46" t="n">
        <f aca="false">S497+L498</f>
        <v>10</v>
      </c>
      <c r="N498" s="46" t="n">
        <f aca="false">SUMIFS(P$485:P497,$B$485:$B497,"&gt;"&amp;($B498-$D498))</f>
        <v>14</v>
      </c>
      <c r="O498" s="46" t="n">
        <f aca="false">M498+N498</f>
        <v>24</v>
      </c>
      <c r="P498" s="47" t="n">
        <f aca="false">IF(O498&lt;K498,ROUNDUP((K498-O498)/G498,0)*G498,0)</f>
        <v>6</v>
      </c>
      <c r="Q498" s="46" t="n">
        <f aca="false">MIN(M498,I498)</f>
        <v>5</v>
      </c>
      <c r="R498" s="46" t="n">
        <f aca="false">I498-Q498</f>
        <v>0</v>
      </c>
      <c r="S498" s="46" t="n">
        <f aca="false">M498-Q498</f>
        <v>5</v>
      </c>
      <c r="T498" s="46" t="n">
        <f aca="false">IF(R498&gt;0,1,0)</f>
        <v>0</v>
      </c>
      <c r="U498" s="32" t="n">
        <f aca="false">INDEX(Forecast!$AY$7:$AY$54,C498)</f>
        <v>2</v>
      </c>
      <c r="V498" s="33" t="n">
        <f aca="false">CHOOSE(U498,INDEX(Forecast_Walkforward!$D:$D,H498),INDEX(Forecast_Walkforward!$E:$E,H498),INDEX(Forecast_Walkforward!$F:$F,H498),INDEX(Forecast_Walkforward!$G:$G,H498))</f>
        <v>7.25</v>
      </c>
      <c r="W498" s="79" t="n">
        <f aca="false">INDEX(Forecast!$BA$7:$BA$54,C498)</f>
        <v>3.33036373189581</v>
      </c>
      <c r="X498" s="33" t="n">
        <f aca="false">Z_Value*W498*SQRT(D498)</f>
        <v>10.9559217269529</v>
      </c>
      <c r="Y498" s="33" t="n">
        <f aca="false">V498*D498+X498</f>
        <v>39.9559217269529</v>
      </c>
      <c r="Z498" s="33" t="n">
        <f aca="false">SQRT((2*V498*Weeks_Per_Year*F498)/(E498*Holding_Rate))</f>
        <v>53.6643374235731</v>
      </c>
      <c r="AA498" s="46" t="n">
        <f aca="false">ROUNDUP(Z498/G498,0)*G498</f>
        <v>54</v>
      </c>
      <c r="AB498" s="46" t="n">
        <f aca="false">SUMIFS(AF$485:AF497,$B$485:$B497,$B498-$D498)</f>
        <v>0</v>
      </c>
      <c r="AC498" s="46" t="n">
        <f aca="false">AI497+AB498</f>
        <v>69</v>
      </c>
      <c r="AD498" s="46" t="n">
        <f aca="false">SUMIFS(AF$485:AF497,$B$485:$B497,"&gt;"&amp;($B498-$D498))</f>
        <v>0</v>
      </c>
      <c r="AE498" s="46" t="n">
        <f aca="false">AC498+AD498</f>
        <v>69</v>
      </c>
      <c r="AF498" s="47" t="n">
        <f aca="false">IF(AE498&lt;=Y498,AA498,0)</f>
        <v>0</v>
      </c>
      <c r="AG498" s="46" t="n">
        <f aca="false">MIN(AC498,I498)</f>
        <v>5</v>
      </c>
      <c r="AH498" s="46" t="n">
        <f aca="false">I498-AG498</f>
        <v>0</v>
      </c>
      <c r="AI498" s="46" t="n">
        <f aca="false">AC498-AG498</f>
        <v>64</v>
      </c>
      <c r="AJ498" s="46" t="n">
        <f aca="false">IF(AH498&gt;0,1,0)</f>
        <v>0</v>
      </c>
    </row>
    <row r="499" customFormat="false" ht="15" hidden="false" customHeight="false" outlineLevel="0" collapsed="false">
      <c r="A499" s="31" t="str">
        <f aca="false">Inputs!$B$67</f>
        <v>BED-008</v>
      </c>
      <c r="B499" s="46" t="n">
        <f aca="false">B498+1</f>
        <v>103</v>
      </c>
      <c r="C499" s="46" t="n">
        <f aca="false">MATCH(A499,Inputs!$B$40:$B$87,0)</f>
        <v>28</v>
      </c>
      <c r="D499" s="32" t="n">
        <f aca="false">INDEX(Inputs!$F$40:$F$87,C499)</f>
        <v>4</v>
      </c>
      <c r="E499" s="78" t="n">
        <f aca="false">INDEX(Inputs!$H$40:$H$87,C499)</f>
        <v>72</v>
      </c>
      <c r="F499" s="78" t="n">
        <f aca="false">INDEX(Inputs!$G$40:$G$87,C499)</f>
        <v>55</v>
      </c>
      <c r="G499" s="32" t="n">
        <f aca="false">INDEX(Inputs!$I$40:$I$87,C499)</f>
        <v>2</v>
      </c>
      <c r="H499" s="46" t="n">
        <f aca="false">MATCH(A499,Demand_History!$C:$C,0)+B499-1</f>
        <v>2912</v>
      </c>
      <c r="I499" s="32" t="n">
        <f aca="false">INDEX(Forecast_Walkforward!$C:$C,H499)</f>
        <v>11</v>
      </c>
      <c r="J499" s="79" t="n">
        <f aca="false">INDEX(Forecast_Walkforward!$E:$E,H499)</f>
        <v>5.5</v>
      </c>
      <c r="K499" s="33" t="n">
        <f aca="false">Baseline_Weeks*J499</f>
        <v>22</v>
      </c>
      <c r="L499" s="46" t="n">
        <f aca="false">SUMIFS(P$485:P498,$B$485:$B498,$B499-$D499)</f>
        <v>10</v>
      </c>
      <c r="M499" s="46" t="n">
        <f aca="false">S498+L499</f>
        <v>15</v>
      </c>
      <c r="N499" s="46" t="n">
        <f aca="false">SUMIFS(P$485:P498,$B$485:$B498,"&gt;"&amp;($B499-$D499))</f>
        <v>10</v>
      </c>
      <c r="O499" s="46" t="n">
        <f aca="false">M499+N499</f>
        <v>25</v>
      </c>
      <c r="P499" s="47" t="n">
        <f aca="false">IF(O499&lt;K499,ROUNDUP((K499-O499)/G499,0)*G499,0)</f>
        <v>0</v>
      </c>
      <c r="Q499" s="46" t="n">
        <f aca="false">MIN(M499,I499)</f>
        <v>11</v>
      </c>
      <c r="R499" s="46" t="n">
        <f aca="false">I499-Q499</f>
        <v>0</v>
      </c>
      <c r="S499" s="46" t="n">
        <f aca="false">M499-Q499</f>
        <v>4</v>
      </c>
      <c r="T499" s="46" t="n">
        <f aca="false">IF(R499&gt;0,1,0)</f>
        <v>0</v>
      </c>
      <c r="U499" s="32" t="n">
        <f aca="false">INDEX(Forecast!$AY$7:$AY$54,C499)</f>
        <v>2</v>
      </c>
      <c r="V499" s="33" t="n">
        <f aca="false">CHOOSE(U499,INDEX(Forecast_Walkforward!$D:$D,H499),INDEX(Forecast_Walkforward!$E:$E,H499),INDEX(Forecast_Walkforward!$F:$F,H499),INDEX(Forecast_Walkforward!$G:$G,H499))</f>
        <v>5.5</v>
      </c>
      <c r="W499" s="79" t="n">
        <f aca="false">INDEX(Forecast!$BA$7:$BA$54,C499)</f>
        <v>3.33036373189581</v>
      </c>
      <c r="X499" s="33" t="n">
        <f aca="false">Z_Value*W499*SQRT(D499)</f>
        <v>10.9559217269529</v>
      </c>
      <c r="Y499" s="33" t="n">
        <f aca="false">V499*D499+X499</f>
        <v>32.9559217269529</v>
      </c>
      <c r="Z499" s="33" t="n">
        <f aca="false">SQRT((2*V499*Weeks_Per_Year*F499)/(E499*Holding_Rate))</f>
        <v>46.7410122079339</v>
      </c>
      <c r="AA499" s="46" t="n">
        <f aca="false">ROUNDUP(Z499/G499,0)*G499</f>
        <v>48</v>
      </c>
      <c r="AB499" s="46" t="n">
        <f aca="false">SUMIFS(AF$485:AF498,$B$485:$B498,$B499-$D499)</f>
        <v>0</v>
      </c>
      <c r="AC499" s="46" t="n">
        <f aca="false">AI498+AB499</f>
        <v>64</v>
      </c>
      <c r="AD499" s="46" t="n">
        <f aca="false">SUMIFS(AF$485:AF498,$B$485:$B498,"&gt;"&amp;($B499-$D499))</f>
        <v>0</v>
      </c>
      <c r="AE499" s="46" t="n">
        <f aca="false">AC499+AD499</f>
        <v>64</v>
      </c>
      <c r="AF499" s="47" t="n">
        <f aca="false">IF(AE499&lt;=Y499,AA499,0)</f>
        <v>0</v>
      </c>
      <c r="AG499" s="46" t="n">
        <f aca="false">MIN(AC499,I499)</f>
        <v>11</v>
      </c>
      <c r="AH499" s="46" t="n">
        <f aca="false">I499-AG499</f>
        <v>0</v>
      </c>
      <c r="AI499" s="46" t="n">
        <f aca="false">AC499-AG499</f>
        <v>53</v>
      </c>
      <c r="AJ499" s="46" t="n">
        <f aca="false">IF(AH499&gt;0,1,0)</f>
        <v>0</v>
      </c>
    </row>
    <row r="500" customFormat="false" ht="15" hidden="false" customHeight="false" outlineLevel="0" collapsed="false">
      <c r="A500" s="80" t="str">
        <f aca="false">Inputs!$B$67</f>
        <v>BED-008</v>
      </c>
      <c r="B500" s="81" t="n">
        <f aca="false">B499+1</f>
        <v>104</v>
      </c>
      <c r="C500" s="81" t="n">
        <f aca="false">MATCH(A500,Inputs!$B$40:$B$87,0)</f>
        <v>28</v>
      </c>
      <c r="D500" s="82" t="n">
        <f aca="false">INDEX(Inputs!$F$40:$F$87,C500)</f>
        <v>4</v>
      </c>
      <c r="E500" s="83" t="n">
        <f aca="false">INDEX(Inputs!$H$40:$H$87,C500)</f>
        <v>72</v>
      </c>
      <c r="F500" s="83" t="n">
        <f aca="false">INDEX(Inputs!$G$40:$G$87,C500)</f>
        <v>55</v>
      </c>
      <c r="G500" s="82" t="n">
        <f aca="false">INDEX(Inputs!$I$40:$I$87,C500)</f>
        <v>2</v>
      </c>
      <c r="H500" s="81" t="n">
        <f aca="false">MATCH(A500,Demand_History!$C:$C,0)+B500-1</f>
        <v>2913</v>
      </c>
      <c r="I500" s="82" t="n">
        <f aca="false">INDEX(Forecast_Walkforward!$C:$C,H500)</f>
        <v>7</v>
      </c>
      <c r="J500" s="84" t="n">
        <f aca="false">INDEX(Forecast_Walkforward!$E:$E,H500)</f>
        <v>6.5</v>
      </c>
      <c r="K500" s="85" t="n">
        <f aca="false">Baseline_Weeks*J500</f>
        <v>26</v>
      </c>
      <c r="L500" s="81" t="n">
        <f aca="false">SUMIFS(P$485:P499,$B$485:$B499,$B500-$D500)</f>
        <v>2</v>
      </c>
      <c r="M500" s="81" t="n">
        <f aca="false">S499+L500</f>
        <v>6</v>
      </c>
      <c r="N500" s="81" t="n">
        <f aca="false">SUMIFS(P$485:P499,$B$485:$B499,"&gt;"&amp;($B500-$D500))</f>
        <v>8</v>
      </c>
      <c r="O500" s="81" t="n">
        <f aca="false">M500+N500</f>
        <v>14</v>
      </c>
      <c r="P500" s="86" t="n">
        <f aca="false">IF(O500&lt;K500,ROUNDUP((K500-O500)/G500,0)*G500,0)</f>
        <v>12</v>
      </c>
      <c r="Q500" s="81" t="n">
        <f aca="false">MIN(M500,I500)</f>
        <v>6</v>
      </c>
      <c r="R500" s="81" t="n">
        <f aca="false">I500-Q500</f>
        <v>1</v>
      </c>
      <c r="S500" s="81" t="n">
        <f aca="false">M500-Q500</f>
        <v>0</v>
      </c>
      <c r="T500" s="81" t="n">
        <f aca="false">IF(R500&gt;0,1,0)</f>
        <v>1</v>
      </c>
      <c r="U500" s="82" t="n">
        <f aca="false">INDEX(Forecast!$AY$7:$AY$54,C500)</f>
        <v>2</v>
      </c>
      <c r="V500" s="85" t="n">
        <f aca="false">CHOOSE(U500,INDEX(Forecast_Walkforward!$D:$D,H500),INDEX(Forecast_Walkforward!$E:$E,H500),INDEX(Forecast_Walkforward!$F:$F,H500),INDEX(Forecast_Walkforward!$G:$G,H500))</f>
        <v>6.5</v>
      </c>
      <c r="W500" s="84" t="n">
        <f aca="false">INDEX(Forecast!$BA$7:$BA$54,C500)</f>
        <v>3.33036373189581</v>
      </c>
      <c r="X500" s="85" t="n">
        <f aca="false">Z_Value*W500*SQRT(D500)</f>
        <v>10.9559217269529</v>
      </c>
      <c r="Y500" s="85" t="n">
        <f aca="false">V500*D500+X500</f>
        <v>36.9559217269529</v>
      </c>
      <c r="Z500" s="85" t="n">
        <f aca="false">SQRT((2*V500*Weeks_Per_Year*F500)/(E500*Holding_Rate))</f>
        <v>50.8128373980872</v>
      </c>
      <c r="AA500" s="81" t="n">
        <f aca="false">ROUNDUP(Z500/G500,0)*G500</f>
        <v>52</v>
      </c>
      <c r="AB500" s="81" t="n">
        <f aca="false">SUMIFS(AF$485:AF499,$B$485:$B499,$B500-$D500)</f>
        <v>0</v>
      </c>
      <c r="AC500" s="81" t="n">
        <f aca="false">AI499+AB500</f>
        <v>53</v>
      </c>
      <c r="AD500" s="81" t="n">
        <f aca="false">SUMIFS(AF$485:AF499,$B$485:$B499,"&gt;"&amp;($B500-$D500))</f>
        <v>0</v>
      </c>
      <c r="AE500" s="81" t="n">
        <f aca="false">AC500+AD500</f>
        <v>53</v>
      </c>
      <c r="AF500" s="86" t="n">
        <f aca="false">IF(AE500&lt;=Y500,AA500,0)</f>
        <v>0</v>
      </c>
      <c r="AG500" s="81" t="n">
        <f aca="false">MIN(AC500,I500)</f>
        <v>7</v>
      </c>
      <c r="AH500" s="81" t="n">
        <f aca="false">I500-AG500</f>
        <v>0</v>
      </c>
      <c r="AI500" s="81" t="n">
        <f aca="false">AC500-AG500</f>
        <v>46</v>
      </c>
      <c r="AJ500" s="81" t="n">
        <f aca="false">IF(AH500&gt;0,1,0)</f>
        <v>0</v>
      </c>
    </row>
    <row r="501" customFormat="false" ht="15" hidden="false" customHeight="false" outlineLevel="0" collapsed="false">
      <c r="A501" s="31" t="str">
        <f aca="false">Inputs!$B$68</f>
        <v>BED-009</v>
      </c>
      <c r="B501" s="46" t="n">
        <f aca="false">BT_Start_Week</f>
        <v>89</v>
      </c>
      <c r="C501" s="46" t="n">
        <f aca="false">MATCH(A501,Inputs!$B$40:$B$87,0)</f>
        <v>29</v>
      </c>
      <c r="D501" s="32" t="n">
        <f aca="false">INDEX(Inputs!$F$40:$F$87,C501)</f>
        <v>4</v>
      </c>
      <c r="E501" s="78" t="n">
        <f aca="false">INDEX(Inputs!$H$40:$H$87,C501)</f>
        <v>30</v>
      </c>
      <c r="F501" s="78" t="n">
        <f aca="false">INDEX(Inputs!$G$40:$G$87,C501)</f>
        <v>55</v>
      </c>
      <c r="G501" s="32" t="n">
        <f aca="false">INDEX(Inputs!$I$40:$I$87,C501)</f>
        <v>4</v>
      </c>
      <c r="H501" s="46" t="n">
        <f aca="false">MATCH(A501,Demand_History!$C:$C,0)+B501-1</f>
        <v>3002</v>
      </c>
      <c r="I501" s="32" t="n">
        <f aca="false">INDEX(Forecast_Walkforward!$C:$C,H501)</f>
        <v>15</v>
      </c>
      <c r="J501" s="79" t="n">
        <f aca="false">INDEX(Forecast_Walkforward!$E:$E,H501)</f>
        <v>15</v>
      </c>
      <c r="K501" s="33" t="n">
        <f aca="false">Baseline_Weeks*J501</f>
        <v>60</v>
      </c>
      <c r="L501" s="46" t="n">
        <f aca="false">0</f>
        <v>0</v>
      </c>
      <c r="M501" s="46" t="n">
        <f aca="false">ROUND(BT_Open_Cover*INDEX(Forecast_Walkforward!$F:$F,H501),0)+L501</f>
        <v>95</v>
      </c>
      <c r="N501" s="46" t="n">
        <f aca="false">0</f>
        <v>0</v>
      </c>
      <c r="O501" s="46" t="n">
        <f aca="false">M501+N501</f>
        <v>95</v>
      </c>
      <c r="P501" s="47" t="n">
        <f aca="false">IF(O501&lt;K501,ROUNDUP((K501-O501)/G501,0)*G501,0)</f>
        <v>0</v>
      </c>
      <c r="Q501" s="46" t="n">
        <f aca="false">MIN(M501,I501)</f>
        <v>15</v>
      </c>
      <c r="R501" s="46" t="n">
        <f aca="false">I501-Q501</f>
        <v>0</v>
      </c>
      <c r="S501" s="46" t="n">
        <f aca="false">M501-Q501</f>
        <v>80</v>
      </c>
      <c r="T501" s="46" t="n">
        <f aca="false">IF(R501&gt;0,1,0)</f>
        <v>0</v>
      </c>
      <c r="U501" s="32" t="n">
        <f aca="false">INDEX(Forecast!$AY$7:$AY$54,C501)</f>
        <v>2</v>
      </c>
      <c r="V501" s="33" t="n">
        <f aca="false">CHOOSE(U501,INDEX(Forecast_Walkforward!$D:$D,H501),INDEX(Forecast_Walkforward!$E:$E,H501),INDEX(Forecast_Walkforward!$F:$F,H501),INDEX(Forecast_Walkforward!$G:$G,H501))</f>
        <v>15</v>
      </c>
      <c r="W501" s="79" t="n">
        <f aca="false">INDEX(Forecast!$BA$7:$BA$54,C501)</f>
        <v>3.29893759464978</v>
      </c>
      <c r="X501" s="33" t="n">
        <f aca="false">Z_Value*W501*SQRT(D501)</f>
        <v>10.8525389352925</v>
      </c>
      <c r="Y501" s="33" t="n">
        <f aca="false">V501*D501+X501</f>
        <v>70.8525389352925</v>
      </c>
      <c r="Z501" s="33" t="n">
        <f aca="false">SQRT((2*V501*Weeks_Per_Year*F501)/(E501*Holding_Rate))</f>
        <v>119.582607431014</v>
      </c>
      <c r="AA501" s="46" t="n">
        <f aca="false">ROUNDUP(Z501/G501,0)*G501</f>
        <v>120</v>
      </c>
      <c r="AB501" s="46" t="n">
        <f aca="false">0</f>
        <v>0</v>
      </c>
      <c r="AC501" s="46" t="n">
        <f aca="false">ROUND(BT_Open_Cover*INDEX(Forecast_Walkforward!$F:$F,H501),0)+AB501</f>
        <v>95</v>
      </c>
      <c r="AD501" s="46" t="n">
        <f aca="false">0</f>
        <v>0</v>
      </c>
      <c r="AE501" s="46" t="n">
        <f aca="false">AC501+AD501</f>
        <v>95</v>
      </c>
      <c r="AF501" s="47" t="n">
        <f aca="false">IF(AE501&lt;=Y501,AA501,0)</f>
        <v>0</v>
      </c>
      <c r="AG501" s="46" t="n">
        <f aca="false">MIN(AC501,I501)</f>
        <v>15</v>
      </c>
      <c r="AH501" s="46" t="n">
        <f aca="false">I501-AG501</f>
        <v>0</v>
      </c>
      <c r="AI501" s="46" t="n">
        <f aca="false">AC501-AG501</f>
        <v>80</v>
      </c>
      <c r="AJ501" s="46" t="n">
        <f aca="false">IF(AH501&gt;0,1,0)</f>
        <v>0</v>
      </c>
    </row>
    <row r="502" customFormat="false" ht="15" hidden="false" customHeight="false" outlineLevel="0" collapsed="false">
      <c r="A502" s="31" t="str">
        <f aca="false">Inputs!$B$68</f>
        <v>BED-009</v>
      </c>
      <c r="B502" s="46" t="n">
        <f aca="false">B501+1</f>
        <v>90</v>
      </c>
      <c r="C502" s="46" t="n">
        <f aca="false">MATCH(A502,Inputs!$B$40:$B$87,0)</f>
        <v>29</v>
      </c>
      <c r="D502" s="32" t="n">
        <f aca="false">INDEX(Inputs!$F$40:$F$87,C502)</f>
        <v>4</v>
      </c>
      <c r="E502" s="78" t="n">
        <f aca="false">INDEX(Inputs!$H$40:$H$87,C502)</f>
        <v>30</v>
      </c>
      <c r="F502" s="78" t="n">
        <f aca="false">INDEX(Inputs!$G$40:$G$87,C502)</f>
        <v>55</v>
      </c>
      <c r="G502" s="32" t="n">
        <f aca="false">INDEX(Inputs!$I$40:$I$87,C502)</f>
        <v>4</v>
      </c>
      <c r="H502" s="46" t="n">
        <f aca="false">MATCH(A502,Demand_History!$C:$C,0)+B502-1</f>
        <v>3003</v>
      </c>
      <c r="I502" s="32" t="n">
        <f aca="false">INDEX(Forecast_Walkforward!$C:$C,H502)</f>
        <v>18</v>
      </c>
      <c r="J502" s="79" t="n">
        <f aca="false">INDEX(Forecast_Walkforward!$E:$E,H502)</f>
        <v>13.75</v>
      </c>
      <c r="K502" s="33" t="n">
        <f aca="false">Baseline_Weeks*J502</f>
        <v>55</v>
      </c>
      <c r="L502" s="46" t="n">
        <f aca="false">SUMIFS(P$501:P501,$B$501:$B501,$B502-$D502)</f>
        <v>0</v>
      </c>
      <c r="M502" s="46" t="n">
        <f aca="false">S501+L502</f>
        <v>80</v>
      </c>
      <c r="N502" s="46" t="n">
        <f aca="false">SUMIFS(P$501:P501,$B$501:$B501,"&gt;"&amp;($B502-$D502))</f>
        <v>0</v>
      </c>
      <c r="O502" s="46" t="n">
        <f aca="false">M502+N502</f>
        <v>80</v>
      </c>
      <c r="P502" s="47" t="n">
        <f aca="false">IF(O502&lt;K502,ROUNDUP((K502-O502)/G502,0)*G502,0)</f>
        <v>0</v>
      </c>
      <c r="Q502" s="46" t="n">
        <f aca="false">MIN(M502,I502)</f>
        <v>18</v>
      </c>
      <c r="R502" s="46" t="n">
        <f aca="false">I502-Q502</f>
        <v>0</v>
      </c>
      <c r="S502" s="46" t="n">
        <f aca="false">M502-Q502</f>
        <v>62</v>
      </c>
      <c r="T502" s="46" t="n">
        <f aca="false">IF(R502&gt;0,1,0)</f>
        <v>0</v>
      </c>
      <c r="U502" s="32" t="n">
        <f aca="false">INDEX(Forecast!$AY$7:$AY$54,C502)</f>
        <v>2</v>
      </c>
      <c r="V502" s="33" t="n">
        <f aca="false">CHOOSE(U502,INDEX(Forecast_Walkforward!$D:$D,H502),INDEX(Forecast_Walkforward!$E:$E,H502),INDEX(Forecast_Walkforward!$F:$F,H502),INDEX(Forecast_Walkforward!$G:$G,H502))</f>
        <v>13.75</v>
      </c>
      <c r="W502" s="79" t="n">
        <f aca="false">INDEX(Forecast!$BA$7:$BA$54,C502)</f>
        <v>3.29893759464978</v>
      </c>
      <c r="X502" s="33" t="n">
        <f aca="false">Z_Value*W502*SQRT(D502)</f>
        <v>10.8525389352925</v>
      </c>
      <c r="Y502" s="33" t="n">
        <f aca="false">V502*D502+X502</f>
        <v>65.8525389352925</v>
      </c>
      <c r="Z502" s="33" t="n">
        <f aca="false">SQRT((2*V502*Weeks_Per_Year*F502)/(E502*Holding_Rate))</f>
        <v>114.491629970637</v>
      </c>
      <c r="AA502" s="46" t="n">
        <f aca="false">ROUNDUP(Z502/G502,0)*G502</f>
        <v>116</v>
      </c>
      <c r="AB502" s="46" t="n">
        <f aca="false">SUMIFS(AF$501:AF501,$B$501:$B501,$B502-$D502)</f>
        <v>0</v>
      </c>
      <c r="AC502" s="46" t="n">
        <f aca="false">AI501+AB502</f>
        <v>80</v>
      </c>
      <c r="AD502" s="46" t="n">
        <f aca="false">SUMIFS(AF$501:AF501,$B$501:$B501,"&gt;"&amp;($B502-$D502))</f>
        <v>0</v>
      </c>
      <c r="AE502" s="46" t="n">
        <f aca="false">AC502+AD502</f>
        <v>80</v>
      </c>
      <c r="AF502" s="47" t="n">
        <f aca="false">IF(AE502&lt;=Y502,AA502,0)</f>
        <v>0</v>
      </c>
      <c r="AG502" s="46" t="n">
        <f aca="false">MIN(AC502,I502)</f>
        <v>18</v>
      </c>
      <c r="AH502" s="46" t="n">
        <f aca="false">I502-AG502</f>
        <v>0</v>
      </c>
      <c r="AI502" s="46" t="n">
        <f aca="false">AC502-AG502</f>
        <v>62</v>
      </c>
      <c r="AJ502" s="46" t="n">
        <f aca="false">IF(AH502&gt;0,1,0)</f>
        <v>0</v>
      </c>
    </row>
    <row r="503" customFormat="false" ht="15" hidden="false" customHeight="false" outlineLevel="0" collapsed="false">
      <c r="A503" s="31" t="str">
        <f aca="false">Inputs!$B$68</f>
        <v>BED-009</v>
      </c>
      <c r="B503" s="46" t="n">
        <f aca="false">B502+1</f>
        <v>91</v>
      </c>
      <c r="C503" s="46" t="n">
        <f aca="false">MATCH(A503,Inputs!$B$40:$B$87,0)</f>
        <v>29</v>
      </c>
      <c r="D503" s="32" t="n">
        <f aca="false">INDEX(Inputs!$F$40:$F$87,C503)</f>
        <v>4</v>
      </c>
      <c r="E503" s="78" t="n">
        <f aca="false">INDEX(Inputs!$H$40:$H$87,C503)</f>
        <v>30</v>
      </c>
      <c r="F503" s="78" t="n">
        <f aca="false">INDEX(Inputs!$G$40:$G$87,C503)</f>
        <v>55</v>
      </c>
      <c r="G503" s="32" t="n">
        <f aca="false">INDEX(Inputs!$I$40:$I$87,C503)</f>
        <v>4</v>
      </c>
      <c r="H503" s="46" t="n">
        <f aca="false">MATCH(A503,Demand_History!$C:$C,0)+B503-1</f>
        <v>3004</v>
      </c>
      <c r="I503" s="32" t="n">
        <f aca="false">INDEX(Forecast_Walkforward!$C:$C,H503)</f>
        <v>14</v>
      </c>
      <c r="J503" s="79" t="n">
        <f aca="false">INDEX(Forecast_Walkforward!$E:$E,H503)</f>
        <v>14.75</v>
      </c>
      <c r="K503" s="33" t="n">
        <f aca="false">Baseline_Weeks*J503</f>
        <v>59</v>
      </c>
      <c r="L503" s="46" t="n">
        <f aca="false">SUMIFS(P$501:P502,$B$501:$B502,$B503-$D503)</f>
        <v>0</v>
      </c>
      <c r="M503" s="46" t="n">
        <f aca="false">S502+L503</f>
        <v>62</v>
      </c>
      <c r="N503" s="46" t="n">
        <f aca="false">SUMIFS(P$501:P502,$B$501:$B502,"&gt;"&amp;($B503-$D503))</f>
        <v>0</v>
      </c>
      <c r="O503" s="46" t="n">
        <f aca="false">M503+N503</f>
        <v>62</v>
      </c>
      <c r="P503" s="47" t="n">
        <f aca="false">IF(O503&lt;K503,ROUNDUP((K503-O503)/G503,0)*G503,0)</f>
        <v>0</v>
      </c>
      <c r="Q503" s="46" t="n">
        <f aca="false">MIN(M503,I503)</f>
        <v>14</v>
      </c>
      <c r="R503" s="46" t="n">
        <f aca="false">I503-Q503</f>
        <v>0</v>
      </c>
      <c r="S503" s="46" t="n">
        <f aca="false">M503-Q503</f>
        <v>48</v>
      </c>
      <c r="T503" s="46" t="n">
        <f aca="false">IF(R503&gt;0,1,0)</f>
        <v>0</v>
      </c>
      <c r="U503" s="32" t="n">
        <f aca="false">INDEX(Forecast!$AY$7:$AY$54,C503)</f>
        <v>2</v>
      </c>
      <c r="V503" s="33" t="n">
        <f aca="false">CHOOSE(U503,INDEX(Forecast_Walkforward!$D:$D,H503),INDEX(Forecast_Walkforward!$E:$E,H503),INDEX(Forecast_Walkforward!$F:$F,H503),INDEX(Forecast_Walkforward!$G:$G,H503))</f>
        <v>14.75</v>
      </c>
      <c r="W503" s="79" t="n">
        <f aca="false">INDEX(Forecast!$BA$7:$BA$54,C503)</f>
        <v>3.29893759464978</v>
      </c>
      <c r="X503" s="33" t="n">
        <f aca="false">Z_Value*W503*SQRT(D503)</f>
        <v>10.8525389352925</v>
      </c>
      <c r="Y503" s="33" t="n">
        <f aca="false">V503*D503+X503</f>
        <v>69.8525389352925</v>
      </c>
      <c r="Z503" s="33" t="n">
        <f aca="false">SQRT((2*V503*Weeks_Per_Year*F503)/(E503*Holding_Rate))</f>
        <v>118.581898562414</v>
      </c>
      <c r="AA503" s="46" t="n">
        <f aca="false">ROUNDUP(Z503/G503,0)*G503</f>
        <v>120</v>
      </c>
      <c r="AB503" s="46" t="n">
        <f aca="false">SUMIFS(AF$501:AF502,$B$501:$B502,$B503-$D503)</f>
        <v>0</v>
      </c>
      <c r="AC503" s="46" t="n">
        <f aca="false">AI502+AB503</f>
        <v>62</v>
      </c>
      <c r="AD503" s="46" t="n">
        <f aca="false">SUMIFS(AF$501:AF502,$B$501:$B502,"&gt;"&amp;($B503-$D503))</f>
        <v>0</v>
      </c>
      <c r="AE503" s="46" t="n">
        <f aca="false">AC503+AD503</f>
        <v>62</v>
      </c>
      <c r="AF503" s="47" t="n">
        <f aca="false">IF(AE503&lt;=Y503,AA503,0)</f>
        <v>120</v>
      </c>
      <c r="AG503" s="46" t="n">
        <f aca="false">MIN(AC503,I503)</f>
        <v>14</v>
      </c>
      <c r="AH503" s="46" t="n">
        <f aca="false">I503-AG503</f>
        <v>0</v>
      </c>
      <c r="AI503" s="46" t="n">
        <f aca="false">AC503-AG503</f>
        <v>48</v>
      </c>
      <c r="AJ503" s="46" t="n">
        <f aca="false">IF(AH503&gt;0,1,0)</f>
        <v>0</v>
      </c>
    </row>
    <row r="504" customFormat="false" ht="15" hidden="false" customHeight="false" outlineLevel="0" collapsed="false">
      <c r="A504" s="31" t="str">
        <f aca="false">Inputs!$B$68</f>
        <v>BED-009</v>
      </c>
      <c r="B504" s="46" t="n">
        <f aca="false">B503+1</f>
        <v>92</v>
      </c>
      <c r="C504" s="46" t="n">
        <f aca="false">MATCH(A504,Inputs!$B$40:$B$87,0)</f>
        <v>29</v>
      </c>
      <c r="D504" s="32" t="n">
        <f aca="false">INDEX(Inputs!$F$40:$F$87,C504)</f>
        <v>4</v>
      </c>
      <c r="E504" s="78" t="n">
        <f aca="false">INDEX(Inputs!$H$40:$H$87,C504)</f>
        <v>30</v>
      </c>
      <c r="F504" s="78" t="n">
        <f aca="false">INDEX(Inputs!$G$40:$G$87,C504)</f>
        <v>55</v>
      </c>
      <c r="G504" s="32" t="n">
        <f aca="false">INDEX(Inputs!$I$40:$I$87,C504)</f>
        <v>4</v>
      </c>
      <c r="H504" s="46" t="n">
        <f aca="false">MATCH(A504,Demand_History!$C:$C,0)+B504-1</f>
        <v>3005</v>
      </c>
      <c r="I504" s="32" t="n">
        <f aca="false">INDEX(Forecast_Walkforward!$C:$C,H504)</f>
        <v>17</v>
      </c>
      <c r="J504" s="79" t="n">
        <f aca="false">INDEX(Forecast_Walkforward!$E:$E,H504)</f>
        <v>15.25</v>
      </c>
      <c r="K504" s="33" t="n">
        <f aca="false">Baseline_Weeks*J504</f>
        <v>61</v>
      </c>
      <c r="L504" s="46" t="n">
        <f aca="false">SUMIFS(P$501:P503,$B$501:$B503,$B504-$D504)</f>
        <v>0</v>
      </c>
      <c r="M504" s="46" t="n">
        <f aca="false">S503+L504</f>
        <v>48</v>
      </c>
      <c r="N504" s="46" t="n">
        <f aca="false">SUMIFS(P$501:P503,$B$501:$B503,"&gt;"&amp;($B504-$D504))</f>
        <v>0</v>
      </c>
      <c r="O504" s="46" t="n">
        <f aca="false">M504+N504</f>
        <v>48</v>
      </c>
      <c r="P504" s="47" t="n">
        <f aca="false">IF(O504&lt;K504,ROUNDUP((K504-O504)/G504,0)*G504,0)</f>
        <v>16</v>
      </c>
      <c r="Q504" s="46" t="n">
        <f aca="false">MIN(M504,I504)</f>
        <v>17</v>
      </c>
      <c r="R504" s="46" t="n">
        <f aca="false">I504-Q504</f>
        <v>0</v>
      </c>
      <c r="S504" s="46" t="n">
        <f aca="false">M504-Q504</f>
        <v>31</v>
      </c>
      <c r="T504" s="46" t="n">
        <f aca="false">IF(R504&gt;0,1,0)</f>
        <v>0</v>
      </c>
      <c r="U504" s="32" t="n">
        <f aca="false">INDEX(Forecast!$AY$7:$AY$54,C504)</f>
        <v>2</v>
      </c>
      <c r="V504" s="33" t="n">
        <f aca="false">CHOOSE(U504,INDEX(Forecast_Walkforward!$D:$D,H504),INDEX(Forecast_Walkforward!$E:$E,H504),INDEX(Forecast_Walkforward!$F:$F,H504),INDEX(Forecast_Walkforward!$G:$G,H504))</f>
        <v>15.25</v>
      </c>
      <c r="W504" s="79" t="n">
        <f aca="false">INDEX(Forecast!$BA$7:$BA$54,C504)</f>
        <v>3.29893759464978</v>
      </c>
      <c r="X504" s="33" t="n">
        <f aca="false">Z_Value*W504*SQRT(D504)</f>
        <v>10.8525389352925</v>
      </c>
      <c r="Y504" s="33" t="n">
        <f aca="false">V504*D504+X504</f>
        <v>71.8525389352925</v>
      </c>
      <c r="Z504" s="33" t="n">
        <f aca="false">SQRT((2*V504*Weeks_Per_Year*F504)/(E504*Holding_Rate))</f>
        <v>120.575011230907</v>
      </c>
      <c r="AA504" s="46" t="n">
        <f aca="false">ROUNDUP(Z504/G504,0)*G504</f>
        <v>124</v>
      </c>
      <c r="AB504" s="46" t="n">
        <f aca="false">SUMIFS(AF$501:AF503,$B$501:$B503,$B504-$D504)</f>
        <v>0</v>
      </c>
      <c r="AC504" s="46" t="n">
        <f aca="false">AI503+AB504</f>
        <v>48</v>
      </c>
      <c r="AD504" s="46" t="n">
        <f aca="false">SUMIFS(AF$501:AF503,$B$501:$B503,"&gt;"&amp;($B504-$D504))</f>
        <v>120</v>
      </c>
      <c r="AE504" s="46" t="n">
        <f aca="false">AC504+AD504</f>
        <v>168</v>
      </c>
      <c r="AF504" s="47" t="n">
        <f aca="false">IF(AE504&lt;=Y504,AA504,0)</f>
        <v>0</v>
      </c>
      <c r="AG504" s="46" t="n">
        <f aca="false">MIN(AC504,I504)</f>
        <v>17</v>
      </c>
      <c r="AH504" s="46" t="n">
        <f aca="false">I504-AG504</f>
        <v>0</v>
      </c>
      <c r="AI504" s="46" t="n">
        <f aca="false">AC504-AG504</f>
        <v>31</v>
      </c>
      <c r="AJ504" s="46" t="n">
        <f aca="false">IF(AH504&gt;0,1,0)</f>
        <v>0</v>
      </c>
    </row>
    <row r="505" customFormat="false" ht="15" hidden="false" customHeight="false" outlineLevel="0" collapsed="false">
      <c r="A505" s="31" t="str">
        <f aca="false">Inputs!$B$68</f>
        <v>BED-009</v>
      </c>
      <c r="B505" s="46" t="n">
        <f aca="false">B504+1</f>
        <v>93</v>
      </c>
      <c r="C505" s="46" t="n">
        <f aca="false">MATCH(A505,Inputs!$B$40:$B$87,0)</f>
        <v>29</v>
      </c>
      <c r="D505" s="32" t="n">
        <f aca="false">INDEX(Inputs!$F$40:$F$87,C505)</f>
        <v>4</v>
      </c>
      <c r="E505" s="78" t="n">
        <f aca="false">INDEX(Inputs!$H$40:$H$87,C505)</f>
        <v>30</v>
      </c>
      <c r="F505" s="78" t="n">
        <f aca="false">INDEX(Inputs!$G$40:$G$87,C505)</f>
        <v>55</v>
      </c>
      <c r="G505" s="32" t="n">
        <f aca="false">INDEX(Inputs!$I$40:$I$87,C505)</f>
        <v>4</v>
      </c>
      <c r="H505" s="46" t="n">
        <f aca="false">MATCH(A505,Demand_History!$C:$C,0)+B505-1</f>
        <v>3006</v>
      </c>
      <c r="I505" s="32" t="n">
        <f aca="false">INDEX(Forecast_Walkforward!$C:$C,H505)</f>
        <v>14</v>
      </c>
      <c r="J505" s="79" t="n">
        <f aca="false">INDEX(Forecast_Walkforward!$E:$E,H505)</f>
        <v>16</v>
      </c>
      <c r="K505" s="33" t="n">
        <f aca="false">Baseline_Weeks*J505</f>
        <v>64</v>
      </c>
      <c r="L505" s="46" t="n">
        <f aca="false">SUMIFS(P$501:P504,$B$501:$B504,$B505-$D505)</f>
        <v>0</v>
      </c>
      <c r="M505" s="46" t="n">
        <f aca="false">S504+L505</f>
        <v>31</v>
      </c>
      <c r="N505" s="46" t="n">
        <f aca="false">SUMIFS(P$501:P504,$B$501:$B504,"&gt;"&amp;($B505-$D505))</f>
        <v>16</v>
      </c>
      <c r="O505" s="46" t="n">
        <f aca="false">M505+N505</f>
        <v>47</v>
      </c>
      <c r="P505" s="47" t="n">
        <f aca="false">IF(O505&lt;K505,ROUNDUP((K505-O505)/G505,0)*G505,0)</f>
        <v>20</v>
      </c>
      <c r="Q505" s="46" t="n">
        <f aca="false">MIN(M505,I505)</f>
        <v>14</v>
      </c>
      <c r="R505" s="46" t="n">
        <f aca="false">I505-Q505</f>
        <v>0</v>
      </c>
      <c r="S505" s="46" t="n">
        <f aca="false">M505-Q505</f>
        <v>17</v>
      </c>
      <c r="T505" s="46" t="n">
        <f aca="false">IF(R505&gt;0,1,0)</f>
        <v>0</v>
      </c>
      <c r="U505" s="32" t="n">
        <f aca="false">INDEX(Forecast!$AY$7:$AY$54,C505)</f>
        <v>2</v>
      </c>
      <c r="V505" s="33" t="n">
        <f aca="false">CHOOSE(U505,INDEX(Forecast_Walkforward!$D:$D,H505),INDEX(Forecast_Walkforward!$E:$E,H505),INDEX(Forecast_Walkforward!$F:$F,H505),INDEX(Forecast_Walkforward!$G:$G,H505))</f>
        <v>16</v>
      </c>
      <c r="W505" s="79" t="n">
        <f aca="false">INDEX(Forecast!$BA$7:$BA$54,C505)</f>
        <v>3.29893759464978</v>
      </c>
      <c r="X505" s="33" t="n">
        <f aca="false">Z_Value*W505*SQRT(D505)</f>
        <v>10.8525389352925</v>
      </c>
      <c r="Y505" s="33" t="n">
        <f aca="false">V505*D505+X505</f>
        <v>74.8525389352925</v>
      </c>
      <c r="Z505" s="33" t="n">
        <f aca="false">SQRT((2*V505*Weeks_Per_Year*F505)/(E505*Holding_Rate))</f>
        <v>123.504385887034</v>
      </c>
      <c r="AA505" s="46" t="n">
        <f aca="false">ROUNDUP(Z505/G505,0)*G505</f>
        <v>124</v>
      </c>
      <c r="AB505" s="46" t="n">
        <f aca="false">SUMIFS(AF$501:AF504,$B$501:$B504,$B505-$D505)</f>
        <v>0</v>
      </c>
      <c r="AC505" s="46" t="n">
        <f aca="false">AI504+AB505</f>
        <v>31</v>
      </c>
      <c r="AD505" s="46" t="n">
        <f aca="false">SUMIFS(AF$501:AF504,$B$501:$B504,"&gt;"&amp;($B505-$D505))</f>
        <v>120</v>
      </c>
      <c r="AE505" s="46" t="n">
        <f aca="false">AC505+AD505</f>
        <v>151</v>
      </c>
      <c r="AF505" s="47" t="n">
        <f aca="false">IF(AE505&lt;=Y505,AA505,0)</f>
        <v>0</v>
      </c>
      <c r="AG505" s="46" t="n">
        <f aca="false">MIN(AC505,I505)</f>
        <v>14</v>
      </c>
      <c r="AH505" s="46" t="n">
        <f aca="false">I505-AG505</f>
        <v>0</v>
      </c>
      <c r="AI505" s="46" t="n">
        <f aca="false">AC505-AG505</f>
        <v>17</v>
      </c>
      <c r="AJ505" s="46" t="n">
        <f aca="false">IF(AH505&gt;0,1,0)</f>
        <v>0</v>
      </c>
    </row>
    <row r="506" customFormat="false" ht="15" hidden="false" customHeight="false" outlineLevel="0" collapsed="false">
      <c r="A506" s="31" t="str">
        <f aca="false">Inputs!$B$68</f>
        <v>BED-009</v>
      </c>
      <c r="B506" s="46" t="n">
        <f aca="false">B505+1</f>
        <v>94</v>
      </c>
      <c r="C506" s="46" t="n">
        <f aca="false">MATCH(A506,Inputs!$B$40:$B$87,0)</f>
        <v>29</v>
      </c>
      <c r="D506" s="32" t="n">
        <f aca="false">INDEX(Inputs!$F$40:$F$87,C506)</f>
        <v>4</v>
      </c>
      <c r="E506" s="78" t="n">
        <f aca="false">INDEX(Inputs!$H$40:$H$87,C506)</f>
        <v>30</v>
      </c>
      <c r="F506" s="78" t="n">
        <f aca="false">INDEX(Inputs!$G$40:$G$87,C506)</f>
        <v>55</v>
      </c>
      <c r="G506" s="32" t="n">
        <f aca="false">INDEX(Inputs!$I$40:$I$87,C506)</f>
        <v>4</v>
      </c>
      <c r="H506" s="46" t="n">
        <f aca="false">MATCH(A506,Demand_History!$C:$C,0)+B506-1</f>
        <v>3007</v>
      </c>
      <c r="I506" s="32" t="n">
        <f aca="false">INDEX(Forecast_Walkforward!$C:$C,H506)</f>
        <v>21</v>
      </c>
      <c r="J506" s="79" t="n">
        <f aca="false">INDEX(Forecast_Walkforward!$E:$E,H506)</f>
        <v>15.75</v>
      </c>
      <c r="K506" s="33" t="n">
        <f aca="false">Baseline_Weeks*J506</f>
        <v>63</v>
      </c>
      <c r="L506" s="46" t="n">
        <f aca="false">SUMIFS(P$501:P505,$B$501:$B505,$B506-$D506)</f>
        <v>0</v>
      </c>
      <c r="M506" s="46" t="n">
        <f aca="false">S505+L506</f>
        <v>17</v>
      </c>
      <c r="N506" s="46" t="n">
        <f aca="false">SUMIFS(P$501:P505,$B$501:$B505,"&gt;"&amp;($B506-$D506))</f>
        <v>36</v>
      </c>
      <c r="O506" s="46" t="n">
        <f aca="false">M506+N506</f>
        <v>53</v>
      </c>
      <c r="P506" s="47" t="n">
        <f aca="false">IF(O506&lt;K506,ROUNDUP((K506-O506)/G506,0)*G506,0)</f>
        <v>12</v>
      </c>
      <c r="Q506" s="46" t="n">
        <f aca="false">MIN(M506,I506)</f>
        <v>17</v>
      </c>
      <c r="R506" s="46" t="n">
        <f aca="false">I506-Q506</f>
        <v>4</v>
      </c>
      <c r="S506" s="46" t="n">
        <f aca="false">M506-Q506</f>
        <v>0</v>
      </c>
      <c r="T506" s="46" t="n">
        <f aca="false">IF(R506&gt;0,1,0)</f>
        <v>1</v>
      </c>
      <c r="U506" s="32" t="n">
        <f aca="false">INDEX(Forecast!$AY$7:$AY$54,C506)</f>
        <v>2</v>
      </c>
      <c r="V506" s="33" t="n">
        <f aca="false">CHOOSE(U506,INDEX(Forecast_Walkforward!$D:$D,H506),INDEX(Forecast_Walkforward!$E:$E,H506),INDEX(Forecast_Walkforward!$F:$F,H506),INDEX(Forecast_Walkforward!$G:$G,H506))</f>
        <v>15.75</v>
      </c>
      <c r="W506" s="79" t="n">
        <f aca="false">INDEX(Forecast!$BA$7:$BA$54,C506)</f>
        <v>3.29893759464978</v>
      </c>
      <c r="X506" s="33" t="n">
        <f aca="false">Z_Value*W506*SQRT(D506)</f>
        <v>10.8525389352925</v>
      </c>
      <c r="Y506" s="33" t="n">
        <f aca="false">V506*D506+X506</f>
        <v>73.8525389352925</v>
      </c>
      <c r="Z506" s="33" t="n">
        <f aca="false">SQRT((2*V506*Weeks_Per_Year*F506)/(E506*Holding_Rate))</f>
        <v>122.535709081067</v>
      </c>
      <c r="AA506" s="46" t="n">
        <f aca="false">ROUNDUP(Z506/G506,0)*G506</f>
        <v>124</v>
      </c>
      <c r="AB506" s="46" t="n">
        <f aca="false">SUMIFS(AF$501:AF505,$B$501:$B505,$B506-$D506)</f>
        <v>0</v>
      </c>
      <c r="AC506" s="46" t="n">
        <f aca="false">AI505+AB506</f>
        <v>17</v>
      </c>
      <c r="AD506" s="46" t="n">
        <f aca="false">SUMIFS(AF$501:AF505,$B$501:$B505,"&gt;"&amp;($B506-$D506))</f>
        <v>120</v>
      </c>
      <c r="AE506" s="46" t="n">
        <f aca="false">AC506+AD506</f>
        <v>137</v>
      </c>
      <c r="AF506" s="47" t="n">
        <f aca="false">IF(AE506&lt;=Y506,AA506,0)</f>
        <v>0</v>
      </c>
      <c r="AG506" s="46" t="n">
        <f aca="false">MIN(AC506,I506)</f>
        <v>17</v>
      </c>
      <c r="AH506" s="46" t="n">
        <f aca="false">I506-AG506</f>
        <v>4</v>
      </c>
      <c r="AI506" s="46" t="n">
        <f aca="false">AC506-AG506</f>
        <v>0</v>
      </c>
      <c r="AJ506" s="46" t="n">
        <f aca="false">IF(AH506&gt;0,1,0)</f>
        <v>1</v>
      </c>
    </row>
    <row r="507" customFormat="false" ht="15" hidden="false" customHeight="false" outlineLevel="0" collapsed="false">
      <c r="A507" s="31" t="str">
        <f aca="false">Inputs!$B$68</f>
        <v>BED-009</v>
      </c>
      <c r="B507" s="46" t="n">
        <f aca="false">B506+1</f>
        <v>95</v>
      </c>
      <c r="C507" s="46" t="n">
        <f aca="false">MATCH(A507,Inputs!$B$40:$B$87,0)</f>
        <v>29</v>
      </c>
      <c r="D507" s="32" t="n">
        <f aca="false">INDEX(Inputs!$F$40:$F$87,C507)</f>
        <v>4</v>
      </c>
      <c r="E507" s="78" t="n">
        <f aca="false">INDEX(Inputs!$H$40:$H$87,C507)</f>
        <v>30</v>
      </c>
      <c r="F507" s="78" t="n">
        <f aca="false">INDEX(Inputs!$G$40:$G$87,C507)</f>
        <v>55</v>
      </c>
      <c r="G507" s="32" t="n">
        <f aca="false">INDEX(Inputs!$I$40:$I$87,C507)</f>
        <v>4</v>
      </c>
      <c r="H507" s="46" t="n">
        <f aca="false">MATCH(A507,Demand_History!$C:$C,0)+B507-1</f>
        <v>3008</v>
      </c>
      <c r="I507" s="32" t="n">
        <f aca="false">INDEX(Forecast_Walkforward!$C:$C,H507)</f>
        <v>17</v>
      </c>
      <c r="J507" s="79" t="n">
        <f aca="false">INDEX(Forecast_Walkforward!$E:$E,H507)</f>
        <v>16.5</v>
      </c>
      <c r="K507" s="33" t="n">
        <f aca="false">Baseline_Weeks*J507</f>
        <v>66</v>
      </c>
      <c r="L507" s="46" t="n">
        <f aca="false">SUMIFS(P$501:P506,$B$501:$B506,$B507-$D507)</f>
        <v>0</v>
      </c>
      <c r="M507" s="46" t="n">
        <f aca="false">S506+L507</f>
        <v>0</v>
      </c>
      <c r="N507" s="46" t="n">
        <f aca="false">SUMIFS(P$501:P506,$B$501:$B506,"&gt;"&amp;($B507-$D507))</f>
        <v>48</v>
      </c>
      <c r="O507" s="46" t="n">
        <f aca="false">M507+N507</f>
        <v>48</v>
      </c>
      <c r="P507" s="47" t="n">
        <f aca="false">IF(O507&lt;K507,ROUNDUP((K507-O507)/G507,0)*G507,0)</f>
        <v>20</v>
      </c>
      <c r="Q507" s="46" t="n">
        <f aca="false">MIN(M507,I507)</f>
        <v>0</v>
      </c>
      <c r="R507" s="46" t="n">
        <f aca="false">I507-Q507</f>
        <v>17</v>
      </c>
      <c r="S507" s="46" t="n">
        <f aca="false">M507-Q507</f>
        <v>0</v>
      </c>
      <c r="T507" s="46" t="n">
        <f aca="false">IF(R507&gt;0,1,0)</f>
        <v>1</v>
      </c>
      <c r="U507" s="32" t="n">
        <f aca="false">INDEX(Forecast!$AY$7:$AY$54,C507)</f>
        <v>2</v>
      </c>
      <c r="V507" s="33" t="n">
        <f aca="false">CHOOSE(U507,INDEX(Forecast_Walkforward!$D:$D,H507),INDEX(Forecast_Walkforward!$E:$E,H507),INDEX(Forecast_Walkforward!$F:$F,H507),INDEX(Forecast_Walkforward!$G:$G,H507))</f>
        <v>16.5</v>
      </c>
      <c r="W507" s="79" t="n">
        <f aca="false">INDEX(Forecast!$BA$7:$BA$54,C507)</f>
        <v>3.29893759464978</v>
      </c>
      <c r="X507" s="33" t="n">
        <f aca="false">Z_Value*W507*SQRT(D507)</f>
        <v>10.8525389352925</v>
      </c>
      <c r="Y507" s="33" t="n">
        <f aca="false">V507*D507+X507</f>
        <v>76.8525389352925</v>
      </c>
      <c r="Z507" s="33" t="n">
        <f aca="false">SQRT((2*V507*Weeks_Per_Year*F507)/(E507*Holding_Rate))</f>
        <v>125.419296760905</v>
      </c>
      <c r="AA507" s="46" t="n">
        <f aca="false">ROUNDUP(Z507/G507,0)*G507</f>
        <v>128</v>
      </c>
      <c r="AB507" s="46" t="n">
        <f aca="false">SUMIFS(AF$501:AF506,$B$501:$B506,$B507-$D507)</f>
        <v>120</v>
      </c>
      <c r="AC507" s="46" t="n">
        <f aca="false">AI506+AB507</f>
        <v>120</v>
      </c>
      <c r="AD507" s="46" t="n">
        <f aca="false">SUMIFS(AF$501:AF506,$B$501:$B506,"&gt;"&amp;($B507-$D507))</f>
        <v>0</v>
      </c>
      <c r="AE507" s="46" t="n">
        <f aca="false">AC507+AD507</f>
        <v>120</v>
      </c>
      <c r="AF507" s="47" t="n">
        <f aca="false">IF(AE507&lt;=Y507,AA507,0)</f>
        <v>0</v>
      </c>
      <c r="AG507" s="46" t="n">
        <f aca="false">MIN(AC507,I507)</f>
        <v>17</v>
      </c>
      <c r="AH507" s="46" t="n">
        <f aca="false">I507-AG507</f>
        <v>0</v>
      </c>
      <c r="AI507" s="46" t="n">
        <f aca="false">AC507-AG507</f>
        <v>103</v>
      </c>
      <c r="AJ507" s="46" t="n">
        <f aca="false">IF(AH507&gt;0,1,0)</f>
        <v>0</v>
      </c>
    </row>
    <row r="508" customFormat="false" ht="15" hidden="false" customHeight="false" outlineLevel="0" collapsed="false">
      <c r="A508" s="31" t="str">
        <f aca="false">Inputs!$B$68</f>
        <v>BED-009</v>
      </c>
      <c r="B508" s="46" t="n">
        <f aca="false">B507+1</f>
        <v>96</v>
      </c>
      <c r="C508" s="46" t="n">
        <f aca="false">MATCH(A508,Inputs!$B$40:$B$87,0)</f>
        <v>29</v>
      </c>
      <c r="D508" s="32" t="n">
        <f aca="false">INDEX(Inputs!$F$40:$F$87,C508)</f>
        <v>4</v>
      </c>
      <c r="E508" s="78" t="n">
        <f aca="false">INDEX(Inputs!$H$40:$H$87,C508)</f>
        <v>30</v>
      </c>
      <c r="F508" s="78" t="n">
        <f aca="false">INDEX(Inputs!$G$40:$G$87,C508)</f>
        <v>55</v>
      </c>
      <c r="G508" s="32" t="n">
        <f aca="false">INDEX(Inputs!$I$40:$I$87,C508)</f>
        <v>4</v>
      </c>
      <c r="H508" s="46" t="n">
        <f aca="false">MATCH(A508,Demand_History!$C:$C,0)+B508-1</f>
        <v>3009</v>
      </c>
      <c r="I508" s="32" t="n">
        <f aca="false">INDEX(Forecast_Walkforward!$C:$C,H508)</f>
        <v>20</v>
      </c>
      <c r="J508" s="79" t="n">
        <f aca="false">INDEX(Forecast_Walkforward!$E:$E,H508)</f>
        <v>17.25</v>
      </c>
      <c r="K508" s="33" t="n">
        <f aca="false">Baseline_Weeks*J508</f>
        <v>69</v>
      </c>
      <c r="L508" s="46" t="n">
        <f aca="false">SUMIFS(P$501:P507,$B$501:$B507,$B508-$D508)</f>
        <v>16</v>
      </c>
      <c r="M508" s="46" t="n">
        <f aca="false">S507+L508</f>
        <v>16</v>
      </c>
      <c r="N508" s="46" t="n">
        <f aca="false">SUMIFS(P$501:P507,$B$501:$B507,"&gt;"&amp;($B508-$D508))</f>
        <v>52</v>
      </c>
      <c r="O508" s="46" t="n">
        <f aca="false">M508+N508</f>
        <v>68</v>
      </c>
      <c r="P508" s="47" t="n">
        <f aca="false">IF(O508&lt;K508,ROUNDUP((K508-O508)/G508,0)*G508,0)</f>
        <v>4</v>
      </c>
      <c r="Q508" s="46" t="n">
        <f aca="false">MIN(M508,I508)</f>
        <v>16</v>
      </c>
      <c r="R508" s="46" t="n">
        <f aca="false">I508-Q508</f>
        <v>4</v>
      </c>
      <c r="S508" s="46" t="n">
        <f aca="false">M508-Q508</f>
        <v>0</v>
      </c>
      <c r="T508" s="46" t="n">
        <f aca="false">IF(R508&gt;0,1,0)</f>
        <v>1</v>
      </c>
      <c r="U508" s="32" t="n">
        <f aca="false">INDEX(Forecast!$AY$7:$AY$54,C508)</f>
        <v>2</v>
      </c>
      <c r="V508" s="33" t="n">
        <f aca="false">CHOOSE(U508,INDEX(Forecast_Walkforward!$D:$D,H508),INDEX(Forecast_Walkforward!$E:$E,H508),INDEX(Forecast_Walkforward!$F:$F,H508),INDEX(Forecast_Walkforward!$G:$G,H508))</f>
        <v>17.25</v>
      </c>
      <c r="W508" s="79" t="n">
        <f aca="false">INDEX(Forecast!$BA$7:$BA$54,C508)</f>
        <v>3.29893759464978</v>
      </c>
      <c r="X508" s="33" t="n">
        <f aca="false">Z_Value*W508*SQRT(D508)</f>
        <v>10.8525389352925</v>
      </c>
      <c r="Y508" s="33" t="n">
        <f aca="false">V508*D508+X508</f>
        <v>79.8525389352925</v>
      </c>
      <c r="Z508" s="33" t="n">
        <f aca="false">SQRT((2*V508*Weeks_Per_Year*F508)/(E508*Holding_Rate))</f>
        <v>128.238059873035</v>
      </c>
      <c r="AA508" s="46" t="n">
        <f aca="false">ROUNDUP(Z508/G508,0)*G508</f>
        <v>132</v>
      </c>
      <c r="AB508" s="46" t="n">
        <f aca="false">SUMIFS(AF$501:AF507,$B$501:$B507,$B508-$D508)</f>
        <v>0</v>
      </c>
      <c r="AC508" s="46" t="n">
        <f aca="false">AI507+AB508</f>
        <v>103</v>
      </c>
      <c r="AD508" s="46" t="n">
        <f aca="false">SUMIFS(AF$501:AF507,$B$501:$B507,"&gt;"&amp;($B508-$D508))</f>
        <v>0</v>
      </c>
      <c r="AE508" s="46" t="n">
        <f aca="false">AC508+AD508</f>
        <v>103</v>
      </c>
      <c r="AF508" s="47" t="n">
        <f aca="false">IF(AE508&lt;=Y508,AA508,0)</f>
        <v>0</v>
      </c>
      <c r="AG508" s="46" t="n">
        <f aca="false">MIN(AC508,I508)</f>
        <v>20</v>
      </c>
      <c r="AH508" s="46" t="n">
        <f aca="false">I508-AG508</f>
        <v>0</v>
      </c>
      <c r="AI508" s="46" t="n">
        <f aca="false">AC508-AG508</f>
        <v>83</v>
      </c>
      <c r="AJ508" s="46" t="n">
        <f aca="false">IF(AH508&gt;0,1,0)</f>
        <v>0</v>
      </c>
    </row>
    <row r="509" customFormat="false" ht="15" hidden="false" customHeight="false" outlineLevel="0" collapsed="false">
      <c r="A509" s="31" t="str">
        <f aca="false">Inputs!$B$68</f>
        <v>BED-009</v>
      </c>
      <c r="B509" s="46" t="n">
        <f aca="false">B508+1</f>
        <v>97</v>
      </c>
      <c r="C509" s="46" t="n">
        <f aca="false">MATCH(A509,Inputs!$B$40:$B$87,0)</f>
        <v>29</v>
      </c>
      <c r="D509" s="32" t="n">
        <f aca="false">INDEX(Inputs!$F$40:$F$87,C509)</f>
        <v>4</v>
      </c>
      <c r="E509" s="78" t="n">
        <f aca="false">INDEX(Inputs!$H$40:$H$87,C509)</f>
        <v>30</v>
      </c>
      <c r="F509" s="78" t="n">
        <f aca="false">INDEX(Inputs!$G$40:$G$87,C509)</f>
        <v>55</v>
      </c>
      <c r="G509" s="32" t="n">
        <f aca="false">INDEX(Inputs!$I$40:$I$87,C509)</f>
        <v>4</v>
      </c>
      <c r="H509" s="46" t="n">
        <f aca="false">MATCH(A509,Demand_History!$C:$C,0)+B509-1</f>
        <v>3010</v>
      </c>
      <c r="I509" s="32" t="n">
        <f aca="false">INDEX(Forecast_Walkforward!$C:$C,H509)</f>
        <v>13</v>
      </c>
      <c r="J509" s="79" t="n">
        <f aca="false">INDEX(Forecast_Walkforward!$E:$E,H509)</f>
        <v>18</v>
      </c>
      <c r="K509" s="33" t="n">
        <f aca="false">Baseline_Weeks*J509</f>
        <v>72</v>
      </c>
      <c r="L509" s="46" t="n">
        <f aca="false">SUMIFS(P$501:P508,$B$501:$B508,$B509-$D509)</f>
        <v>20</v>
      </c>
      <c r="M509" s="46" t="n">
        <f aca="false">S508+L509</f>
        <v>20</v>
      </c>
      <c r="N509" s="46" t="n">
        <f aca="false">SUMIFS(P$501:P508,$B$501:$B508,"&gt;"&amp;($B509-$D509))</f>
        <v>36</v>
      </c>
      <c r="O509" s="46" t="n">
        <f aca="false">M509+N509</f>
        <v>56</v>
      </c>
      <c r="P509" s="47" t="n">
        <f aca="false">IF(O509&lt;K509,ROUNDUP((K509-O509)/G509,0)*G509,0)</f>
        <v>16</v>
      </c>
      <c r="Q509" s="46" t="n">
        <f aca="false">MIN(M509,I509)</f>
        <v>13</v>
      </c>
      <c r="R509" s="46" t="n">
        <f aca="false">I509-Q509</f>
        <v>0</v>
      </c>
      <c r="S509" s="46" t="n">
        <f aca="false">M509-Q509</f>
        <v>7</v>
      </c>
      <c r="T509" s="46" t="n">
        <f aca="false">IF(R509&gt;0,1,0)</f>
        <v>0</v>
      </c>
      <c r="U509" s="32" t="n">
        <f aca="false">INDEX(Forecast!$AY$7:$AY$54,C509)</f>
        <v>2</v>
      </c>
      <c r="V509" s="33" t="n">
        <f aca="false">CHOOSE(U509,INDEX(Forecast_Walkforward!$D:$D,H509),INDEX(Forecast_Walkforward!$E:$E,H509),INDEX(Forecast_Walkforward!$F:$F,H509),INDEX(Forecast_Walkforward!$G:$G,H509))</f>
        <v>18</v>
      </c>
      <c r="W509" s="79" t="n">
        <f aca="false">INDEX(Forecast!$BA$7:$BA$54,C509)</f>
        <v>3.29893759464978</v>
      </c>
      <c r="X509" s="33" t="n">
        <f aca="false">Z_Value*W509*SQRT(D509)</f>
        <v>10.8525389352925</v>
      </c>
      <c r="Y509" s="33" t="n">
        <f aca="false">V509*D509+X509</f>
        <v>82.8525389352925</v>
      </c>
      <c r="Z509" s="33" t="n">
        <f aca="false">SQRT((2*V509*Weeks_Per_Year*F509)/(E509*Holding_Rate))</f>
        <v>130.996183150503</v>
      </c>
      <c r="AA509" s="46" t="n">
        <f aca="false">ROUNDUP(Z509/G509,0)*G509</f>
        <v>132</v>
      </c>
      <c r="AB509" s="46" t="n">
        <f aca="false">SUMIFS(AF$501:AF508,$B$501:$B508,$B509-$D509)</f>
        <v>0</v>
      </c>
      <c r="AC509" s="46" t="n">
        <f aca="false">AI508+AB509</f>
        <v>83</v>
      </c>
      <c r="AD509" s="46" t="n">
        <f aca="false">SUMIFS(AF$501:AF508,$B$501:$B508,"&gt;"&amp;($B509-$D509))</f>
        <v>0</v>
      </c>
      <c r="AE509" s="46" t="n">
        <f aca="false">AC509+AD509</f>
        <v>83</v>
      </c>
      <c r="AF509" s="47" t="n">
        <f aca="false">IF(AE509&lt;=Y509,AA509,0)</f>
        <v>0</v>
      </c>
      <c r="AG509" s="46" t="n">
        <f aca="false">MIN(AC509,I509)</f>
        <v>13</v>
      </c>
      <c r="AH509" s="46" t="n">
        <f aca="false">I509-AG509</f>
        <v>0</v>
      </c>
      <c r="AI509" s="46" t="n">
        <f aca="false">AC509-AG509</f>
        <v>70</v>
      </c>
      <c r="AJ509" s="46" t="n">
        <f aca="false">IF(AH509&gt;0,1,0)</f>
        <v>0</v>
      </c>
    </row>
    <row r="510" customFormat="false" ht="15" hidden="false" customHeight="false" outlineLevel="0" collapsed="false">
      <c r="A510" s="31" t="str">
        <f aca="false">Inputs!$B$68</f>
        <v>BED-009</v>
      </c>
      <c r="B510" s="46" t="n">
        <f aca="false">B509+1</f>
        <v>98</v>
      </c>
      <c r="C510" s="46" t="n">
        <f aca="false">MATCH(A510,Inputs!$B$40:$B$87,0)</f>
        <v>29</v>
      </c>
      <c r="D510" s="32" t="n">
        <f aca="false">INDEX(Inputs!$F$40:$F$87,C510)</f>
        <v>4</v>
      </c>
      <c r="E510" s="78" t="n">
        <f aca="false">INDEX(Inputs!$H$40:$H$87,C510)</f>
        <v>30</v>
      </c>
      <c r="F510" s="78" t="n">
        <f aca="false">INDEX(Inputs!$G$40:$G$87,C510)</f>
        <v>55</v>
      </c>
      <c r="G510" s="32" t="n">
        <f aca="false">INDEX(Inputs!$I$40:$I$87,C510)</f>
        <v>4</v>
      </c>
      <c r="H510" s="46" t="n">
        <f aca="false">MATCH(A510,Demand_History!$C:$C,0)+B510-1</f>
        <v>3011</v>
      </c>
      <c r="I510" s="32" t="n">
        <f aca="false">INDEX(Forecast_Walkforward!$C:$C,H510)</f>
        <v>17</v>
      </c>
      <c r="J510" s="79" t="n">
        <f aca="false">INDEX(Forecast_Walkforward!$E:$E,H510)</f>
        <v>17.75</v>
      </c>
      <c r="K510" s="33" t="n">
        <f aca="false">Baseline_Weeks*J510</f>
        <v>71</v>
      </c>
      <c r="L510" s="46" t="n">
        <f aca="false">SUMIFS(P$501:P509,$B$501:$B509,$B510-$D510)</f>
        <v>12</v>
      </c>
      <c r="M510" s="46" t="n">
        <f aca="false">S509+L510</f>
        <v>19</v>
      </c>
      <c r="N510" s="46" t="n">
        <f aca="false">SUMIFS(P$501:P509,$B$501:$B509,"&gt;"&amp;($B510-$D510))</f>
        <v>40</v>
      </c>
      <c r="O510" s="46" t="n">
        <f aca="false">M510+N510</f>
        <v>59</v>
      </c>
      <c r="P510" s="47" t="n">
        <f aca="false">IF(O510&lt;K510,ROUNDUP((K510-O510)/G510,0)*G510,0)</f>
        <v>12</v>
      </c>
      <c r="Q510" s="46" t="n">
        <f aca="false">MIN(M510,I510)</f>
        <v>17</v>
      </c>
      <c r="R510" s="46" t="n">
        <f aca="false">I510-Q510</f>
        <v>0</v>
      </c>
      <c r="S510" s="46" t="n">
        <f aca="false">M510-Q510</f>
        <v>2</v>
      </c>
      <c r="T510" s="46" t="n">
        <f aca="false">IF(R510&gt;0,1,0)</f>
        <v>0</v>
      </c>
      <c r="U510" s="32" t="n">
        <f aca="false">INDEX(Forecast!$AY$7:$AY$54,C510)</f>
        <v>2</v>
      </c>
      <c r="V510" s="33" t="n">
        <f aca="false">CHOOSE(U510,INDEX(Forecast_Walkforward!$D:$D,H510),INDEX(Forecast_Walkforward!$E:$E,H510),INDEX(Forecast_Walkforward!$F:$F,H510),INDEX(Forecast_Walkforward!$G:$G,H510))</f>
        <v>17.75</v>
      </c>
      <c r="W510" s="79" t="n">
        <f aca="false">INDEX(Forecast!$BA$7:$BA$54,C510)</f>
        <v>3.29893759464978</v>
      </c>
      <c r="X510" s="33" t="n">
        <f aca="false">Z_Value*W510*SQRT(D510)</f>
        <v>10.8525389352925</v>
      </c>
      <c r="Y510" s="33" t="n">
        <f aca="false">V510*D510+X510</f>
        <v>81.8525389352925</v>
      </c>
      <c r="Z510" s="33" t="n">
        <f aca="false">SQRT((2*V510*Weeks_Per_Year*F510)/(E510*Holding_Rate))</f>
        <v>130.083306641039</v>
      </c>
      <c r="AA510" s="46" t="n">
        <f aca="false">ROUNDUP(Z510/G510,0)*G510</f>
        <v>132</v>
      </c>
      <c r="AB510" s="46" t="n">
        <f aca="false">SUMIFS(AF$501:AF509,$B$501:$B509,$B510-$D510)</f>
        <v>0</v>
      </c>
      <c r="AC510" s="46" t="n">
        <f aca="false">AI509+AB510</f>
        <v>70</v>
      </c>
      <c r="AD510" s="46" t="n">
        <f aca="false">SUMIFS(AF$501:AF509,$B$501:$B509,"&gt;"&amp;($B510-$D510))</f>
        <v>0</v>
      </c>
      <c r="AE510" s="46" t="n">
        <f aca="false">AC510+AD510</f>
        <v>70</v>
      </c>
      <c r="AF510" s="47" t="n">
        <f aca="false">IF(AE510&lt;=Y510,AA510,0)</f>
        <v>132</v>
      </c>
      <c r="AG510" s="46" t="n">
        <f aca="false">MIN(AC510,I510)</f>
        <v>17</v>
      </c>
      <c r="AH510" s="46" t="n">
        <f aca="false">I510-AG510</f>
        <v>0</v>
      </c>
      <c r="AI510" s="46" t="n">
        <f aca="false">AC510-AG510</f>
        <v>53</v>
      </c>
      <c r="AJ510" s="46" t="n">
        <f aca="false">IF(AH510&gt;0,1,0)</f>
        <v>0</v>
      </c>
    </row>
    <row r="511" customFormat="false" ht="15" hidden="false" customHeight="false" outlineLevel="0" collapsed="false">
      <c r="A511" s="31" t="str">
        <f aca="false">Inputs!$B$68</f>
        <v>BED-009</v>
      </c>
      <c r="B511" s="46" t="n">
        <f aca="false">B510+1</f>
        <v>99</v>
      </c>
      <c r="C511" s="46" t="n">
        <f aca="false">MATCH(A511,Inputs!$B$40:$B$87,0)</f>
        <v>29</v>
      </c>
      <c r="D511" s="32" t="n">
        <f aca="false">INDEX(Inputs!$F$40:$F$87,C511)</f>
        <v>4</v>
      </c>
      <c r="E511" s="78" t="n">
        <f aca="false">INDEX(Inputs!$H$40:$H$87,C511)</f>
        <v>30</v>
      </c>
      <c r="F511" s="78" t="n">
        <f aca="false">INDEX(Inputs!$G$40:$G$87,C511)</f>
        <v>55</v>
      </c>
      <c r="G511" s="32" t="n">
        <f aca="false">INDEX(Inputs!$I$40:$I$87,C511)</f>
        <v>4</v>
      </c>
      <c r="H511" s="46" t="n">
        <f aca="false">MATCH(A511,Demand_History!$C:$C,0)+B511-1</f>
        <v>3012</v>
      </c>
      <c r="I511" s="32" t="n">
        <f aca="false">INDEX(Forecast_Walkforward!$C:$C,H511)</f>
        <v>13</v>
      </c>
      <c r="J511" s="79" t="n">
        <f aca="false">INDEX(Forecast_Walkforward!$E:$E,H511)</f>
        <v>16.75</v>
      </c>
      <c r="K511" s="33" t="n">
        <f aca="false">Baseline_Weeks*J511</f>
        <v>67</v>
      </c>
      <c r="L511" s="46" t="n">
        <f aca="false">SUMIFS(P$501:P510,$B$501:$B510,$B511-$D511)</f>
        <v>20</v>
      </c>
      <c r="M511" s="46" t="n">
        <f aca="false">S510+L511</f>
        <v>22</v>
      </c>
      <c r="N511" s="46" t="n">
        <f aca="false">SUMIFS(P$501:P510,$B$501:$B510,"&gt;"&amp;($B511-$D511))</f>
        <v>32</v>
      </c>
      <c r="O511" s="46" t="n">
        <f aca="false">M511+N511</f>
        <v>54</v>
      </c>
      <c r="P511" s="47" t="n">
        <f aca="false">IF(O511&lt;K511,ROUNDUP((K511-O511)/G511,0)*G511,0)</f>
        <v>16</v>
      </c>
      <c r="Q511" s="46" t="n">
        <f aca="false">MIN(M511,I511)</f>
        <v>13</v>
      </c>
      <c r="R511" s="46" t="n">
        <f aca="false">I511-Q511</f>
        <v>0</v>
      </c>
      <c r="S511" s="46" t="n">
        <f aca="false">M511-Q511</f>
        <v>9</v>
      </c>
      <c r="T511" s="46" t="n">
        <f aca="false">IF(R511&gt;0,1,0)</f>
        <v>0</v>
      </c>
      <c r="U511" s="32" t="n">
        <f aca="false">INDEX(Forecast!$AY$7:$AY$54,C511)</f>
        <v>2</v>
      </c>
      <c r="V511" s="33" t="n">
        <f aca="false">CHOOSE(U511,INDEX(Forecast_Walkforward!$D:$D,H511),INDEX(Forecast_Walkforward!$E:$E,H511),INDEX(Forecast_Walkforward!$F:$F,H511),INDEX(Forecast_Walkforward!$G:$G,H511))</f>
        <v>16.75</v>
      </c>
      <c r="W511" s="79" t="n">
        <f aca="false">INDEX(Forecast!$BA$7:$BA$54,C511)</f>
        <v>3.29893759464978</v>
      </c>
      <c r="X511" s="33" t="n">
        <f aca="false">Z_Value*W511*SQRT(D511)</f>
        <v>10.8525389352925</v>
      </c>
      <c r="Y511" s="33" t="n">
        <f aca="false">V511*D511+X511</f>
        <v>77.8525389352925</v>
      </c>
      <c r="Z511" s="33" t="n">
        <f aca="false">SQRT((2*V511*Weeks_Per_Year*F511)/(E511*Holding_Rate))</f>
        <v>126.365870919855</v>
      </c>
      <c r="AA511" s="46" t="n">
        <f aca="false">ROUNDUP(Z511/G511,0)*G511</f>
        <v>128</v>
      </c>
      <c r="AB511" s="46" t="n">
        <f aca="false">SUMIFS(AF$501:AF510,$B$501:$B510,$B511-$D511)</f>
        <v>0</v>
      </c>
      <c r="AC511" s="46" t="n">
        <f aca="false">AI510+AB511</f>
        <v>53</v>
      </c>
      <c r="AD511" s="46" t="n">
        <f aca="false">SUMIFS(AF$501:AF510,$B$501:$B510,"&gt;"&amp;($B511-$D511))</f>
        <v>132</v>
      </c>
      <c r="AE511" s="46" t="n">
        <f aca="false">AC511+AD511</f>
        <v>185</v>
      </c>
      <c r="AF511" s="47" t="n">
        <f aca="false">IF(AE511&lt;=Y511,AA511,0)</f>
        <v>0</v>
      </c>
      <c r="AG511" s="46" t="n">
        <f aca="false">MIN(AC511,I511)</f>
        <v>13</v>
      </c>
      <c r="AH511" s="46" t="n">
        <f aca="false">I511-AG511</f>
        <v>0</v>
      </c>
      <c r="AI511" s="46" t="n">
        <f aca="false">AC511-AG511</f>
        <v>40</v>
      </c>
      <c r="AJ511" s="46" t="n">
        <f aca="false">IF(AH511&gt;0,1,0)</f>
        <v>0</v>
      </c>
    </row>
    <row r="512" customFormat="false" ht="15" hidden="false" customHeight="false" outlineLevel="0" collapsed="false">
      <c r="A512" s="31" t="str">
        <f aca="false">Inputs!$B$68</f>
        <v>BED-009</v>
      </c>
      <c r="B512" s="46" t="n">
        <f aca="false">B511+1</f>
        <v>100</v>
      </c>
      <c r="C512" s="46" t="n">
        <f aca="false">MATCH(A512,Inputs!$B$40:$B$87,0)</f>
        <v>29</v>
      </c>
      <c r="D512" s="32" t="n">
        <f aca="false">INDEX(Inputs!$F$40:$F$87,C512)</f>
        <v>4</v>
      </c>
      <c r="E512" s="78" t="n">
        <f aca="false">INDEX(Inputs!$H$40:$H$87,C512)</f>
        <v>30</v>
      </c>
      <c r="F512" s="78" t="n">
        <f aca="false">INDEX(Inputs!$G$40:$G$87,C512)</f>
        <v>55</v>
      </c>
      <c r="G512" s="32" t="n">
        <f aca="false">INDEX(Inputs!$I$40:$I$87,C512)</f>
        <v>4</v>
      </c>
      <c r="H512" s="46" t="n">
        <f aca="false">MATCH(A512,Demand_History!$C:$C,0)+B512-1</f>
        <v>3013</v>
      </c>
      <c r="I512" s="32" t="n">
        <f aca="false">INDEX(Forecast_Walkforward!$C:$C,H512)</f>
        <v>16</v>
      </c>
      <c r="J512" s="79" t="n">
        <f aca="false">INDEX(Forecast_Walkforward!$E:$E,H512)</f>
        <v>15.75</v>
      </c>
      <c r="K512" s="33" t="n">
        <f aca="false">Baseline_Weeks*J512</f>
        <v>63</v>
      </c>
      <c r="L512" s="46" t="n">
        <f aca="false">SUMIFS(P$501:P511,$B$501:$B511,$B512-$D512)</f>
        <v>4</v>
      </c>
      <c r="M512" s="46" t="n">
        <f aca="false">S511+L512</f>
        <v>13</v>
      </c>
      <c r="N512" s="46" t="n">
        <f aca="false">SUMIFS(P$501:P511,$B$501:$B511,"&gt;"&amp;($B512-$D512))</f>
        <v>44</v>
      </c>
      <c r="O512" s="46" t="n">
        <f aca="false">M512+N512</f>
        <v>57</v>
      </c>
      <c r="P512" s="47" t="n">
        <f aca="false">IF(O512&lt;K512,ROUNDUP((K512-O512)/G512,0)*G512,0)</f>
        <v>8</v>
      </c>
      <c r="Q512" s="46" t="n">
        <f aca="false">MIN(M512,I512)</f>
        <v>13</v>
      </c>
      <c r="R512" s="46" t="n">
        <f aca="false">I512-Q512</f>
        <v>3</v>
      </c>
      <c r="S512" s="46" t="n">
        <f aca="false">M512-Q512</f>
        <v>0</v>
      </c>
      <c r="T512" s="46" t="n">
        <f aca="false">IF(R512&gt;0,1,0)</f>
        <v>1</v>
      </c>
      <c r="U512" s="32" t="n">
        <f aca="false">INDEX(Forecast!$AY$7:$AY$54,C512)</f>
        <v>2</v>
      </c>
      <c r="V512" s="33" t="n">
        <f aca="false">CHOOSE(U512,INDEX(Forecast_Walkforward!$D:$D,H512),INDEX(Forecast_Walkforward!$E:$E,H512),INDEX(Forecast_Walkforward!$F:$F,H512),INDEX(Forecast_Walkforward!$G:$G,H512))</f>
        <v>15.75</v>
      </c>
      <c r="W512" s="79" t="n">
        <f aca="false">INDEX(Forecast!$BA$7:$BA$54,C512)</f>
        <v>3.29893759464978</v>
      </c>
      <c r="X512" s="33" t="n">
        <f aca="false">Z_Value*W512*SQRT(D512)</f>
        <v>10.8525389352925</v>
      </c>
      <c r="Y512" s="33" t="n">
        <f aca="false">V512*D512+X512</f>
        <v>73.8525389352925</v>
      </c>
      <c r="Z512" s="33" t="n">
        <f aca="false">SQRT((2*V512*Weeks_Per_Year*F512)/(E512*Holding_Rate))</f>
        <v>122.535709081067</v>
      </c>
      <c r="AA512" s="46" t="n">
        <f aca="false">ROUNDUP(Z512/G512,0)*G512</f>
        <v>124</v>
      </c>
      <c r="AB512" s="46" t="n">
        <f aca="false">SUMIFS(AF$501:AF511,$B$501:$B511,$B512-$D512)</f>
        <v>0</v>
      </c>
      <c r="AC512" s="46" t="n">
        <f aca="false">AI511+AB512</f>
        <v>40</v>
      </c>
      <c r="AD512" s="46" t="n">
        <f aca="false">SUMIFS(AF$501:AF511,$B$501:$B511,"&gt;"&amp;($B512-$D512))</f>
        <v>132</v>
      </c>
      <c r="AE512" s="46" t="n">
        <f aca="false">AC512+AD512</f>
        <v>172</v>
      </c>
      <c r="AF512" s="47" t="n">
        <f aca="false">IF(AE512&lt;=Y512,AA512,0)</f>
        <v>0</v>
      </c>
      <c r="AG512" s="46" t="n">
        <f aca="false">MIN(AC512,I512)</f>
        <v>16</v>
      </c>
      <c r="AH512" s="46" t="n">
        <f aca="false">I512-AG512</f>
        <v>0</v>
      </c>
      <c r="AI512" s="46" t="n">
        <f aca="false">AC512-AG512</f>
        <v>24</v>
      </c>
      <c r="AJ512" s="46" t="n">
        <f aca="false">IF(AH512&gt;0,1,0)</f>
        <v>0</v>
      </c>
    </row>
    <row r="513" customFormat="false" ht="15" hidden="false" customHeight="false" outlineLevel="0" collapsed="false">
      <c r="A513" s="31" t="str">
        <f aca="false">Inputs!$B$68</f>
        <v>BED-009</v>
      </c>
      <c r="B513" s="46" t="n">
        <f aca="false">B512+1</f>
        <v>101</v>
      </c>
      <c r="C513" s="46" t="n">
        <f aca="false">MATCH(A513,Inputs!$B$40:$B$87,0)</f>
        <v>29</v>
      </c>
      <c r="D513" s="32" t="n">
        <f aca="false">INDEX(Inputs!$F$40:$F$87,C513)</f>
        <v>4</v>
      </c>
      <c r="E513" s="78" t="n">
        <f aca="false">INDEX(Inputs!$H$40:$H$87,C513)</f>
        <v>30</v>
      </c>
      <c r="F513" s="78" t="n">
        <f aca="false">INDEX(Inputs!$G$40:$G$87,C513)</f>
        <v>55</v>
      </c>
      <c r="G513" s="32" t="n">
        <f aca="false">INDEX(Inputs!$I$40:$I$87,C513)</f>
        <v>4</v>
      </c>
      <c r="H513" s="46" t="n">
        <f aca="false">MATCH(A513,Demand_History!$C:$C,0)+B513-1</f>
        <v>3014</v>
      </c>
      <c r="I513" s="32" t="n">
        <f aca="false">INDEX(Forecast_Walkforward!$C:$C,H513)</f>
        <v>16</v>
      </c>
      <c r="J513" s="79" t="n">
        <f aca="false">INDEX(Forecast_Walkforward!$E:$E,H513)</f>
        <v>14.75</v>
      </c>
      <c r="K513" s="33" t="n">
        <f aca="false">Baseline_Weeks*J513</f>
        <v>59</v>
      </c>
      <c r="L513" s="46" t="n">
        <f aca="false">SUMIFS(P$501:P512,$B$501:$B512,$B513-$D513)</f>
        <v>16</v>
      </c>
      <c r="M513" s="46" t="n">
        <f aca="false">S512+L513</f>
        <v>16</v>
      </c>
      <c r="N513" s="46" t="n">
        <f aca="false">SUMIFS(P$501:P512,$B$501:$B512,"&gt;"&amp;($B513-$D513))</f>
        <v>36</v>
      </c>
      <c r="O513" s="46" t="n">
        <f aca="false">M513+N513</f>
        <v>52</v>
      </c>
      <c r="P513" s="47" t="n">
        <f aca="false">IF(O513&lt;K513,ROUNDUP((K513-O513)/G513,0)*G513,0)</f>
        <v>8</v>
      </c>
      <c r="Q513" s="46" t="n">
        <f aca="false">MIN(M513,I513)</f>
        <v>16</v>
      </c>
      <c r="R513" s="46" t="n">
        <f aca="false">I513-Q513</f>
        <v>0</v>
      </c>
      <c r="S513" s="46" t="n">
        <f aca="false">M513-Q513</f>
        <v>0</v>
      </c>
      <c r="T513" s="46" t="n">
        <f aca="false">IF(R513&gt;0,1,0)</f>
        <v>0</v>
      </c>
      <c r="U513" s="32" t="n">
        <f aca="false">INDEX(Forecast!$AY$7:$AY$54,C513)</f>
        <v>2</v>
      </c>
      <c r="V513" s="33" t="n">
        <f aca="false">CHOOSE(U513,INDEX(Forecast_Walkforward!$D:$D,H513),INDEX(Forecast_Walkforward!$E:$E,H513),INDEX(Forecast_Walkforward!$F:$F,H513),INDEX(Forecast_Walkforward!$G:$G,H513))</f>
        <v>14.75</v>
      </c>
      <c r="W513" s="79" t="n">
        <f aca="false">INDEX(Forecast!$BA$7:$BA$54,C513)</f>
        <v>3.29893759464978</v>
      </c>
      <c r="X513" s="33" t="n">
        <f aca="false">Z_Value*W513*SQRT(D513)</f>
        <v>10.8525389352925</v>
      </c>
      <c r="Y513" s="33" t="n">
        <f aca="false">V513*D513+X513</f>
        <v>69.8525389352925</v>
      </c>
      <c r="Z513" s="33" t="n">
        <f aca="false">SQRT((2*V513*Weeks_Per_Year*F513)/(E513*Holding_Rate))</f>
        <v>118.581898562414</v>
      </c>
      <c r="AA513" s="46" t="n">
        <f aca="false">ROUNDUP(Z513/G513,0)*G513</f>
        <v>120</v>
      </c>
      <c r="AB513" s="46" t="n">
        <f aca="false">SUMIFS(AF$501:AF512,$B$501:$B512,$B513-$D513)</f>
        <v>0</v>
      </c>
      <c r="AC513" s="46" t="n">
        <f aca="false">AI512+AB513</f>
        <v>24</v>
      </c>
      <c r="AD513" s="46" t="n">
        <f aca="false">SUMIFS(AF$501:AF512,$B$501:$B512,"&gt;"&amp;($B513-$D513))</f>
        <v>132</v>
      </c>
      <c r="AE513" s="46" t="n">
        <f aca="false">AC513+AD513</f>
        <v>156</v>
      </c>
      <c r="AF513" s="47" t="n">
        <f aca="false">IF(AE513&lt;=Y513,AA513,0)</f>
        <v>0</v>
      </c>
      <c r="AG513" s="46" t="n">
        <f aca="false">MIN(AC513,I513)</f>
        <v>16</v>
      </c>
      <c r="AH513" s="46" t="n">
        <f aca="false">I513-AG513</f>
        <v>0</v>
      </c>
      <c r="AI513" s="46" t="n">
        <f aca="false">AC513-AG513</f>
        <v>8</v>
      </c>
      <c r="AJ513" s="46" t="n">
        <f aca="false">IF(AH513&gt;0,1,0)</f>
        <v>0</v>
      </c>
    </row>
    <row r="514" customFormat="false" ht="15" hidden="false" customHeight="false" outlineLevel="0" collapsed="false">
      <c r="A514" s="31" t="str">
        <f aca="false">Inputs!$B$68</f>
        <v>BED-009</v>
      </c>
      <c r="B514" s="46" t="n">
        <f aca="false">B513+1</f>
        <v>102</v>
      </c>
      <c r="C514" s="46" t="n">
        <f aca="false">MATCH(A514,Inputs!$B$40:$B$87,0)</f>
        <v>29</v>
      </c>
      <c r="D514" s="32" t="n">
        <f aca="false">INDEX(Inputs!$F$40:$F$87,C514)</f>
        <v>4</v>
      </c>
      <c r="E514" s="78" t="n">
        <f aca="false">INDEX(Inputs!$H$40:$H$87,C514)</f>
        <v>30</v>
      </c>
      <c r="F514" s="78" t="n">
        <f aca="false">INDEX(Inputs!$G$40:$G$87,C514)</f>
        <v>55</v>
      </c>
      <c r="G514" s="32" t="n">
        <f aca="false">INDEX(Inputs!$I$40:$I$87,C514)</f>
        <v>4</v>
      </c>
      <c r="H514" s="46" t="n">
        <f aca="false">MATCH(A514,Demand_History!$C:$C,0)+B514-1</f>
        <v>3015</v>
      </c>
      <c r="I514" s="32" t="n">
        <f aca="false">INDEX(Forecast_Walkforward!$C:$C,H514)</f>
        <v>11</v>
      </c>
      <c r="J514" s="79" t="n">
        <f aca="false">INDEX(Forecast_Walkforward!$E:$E,H514)</f>
        <v>15.5</v>
      </c>
      <c r="K514" s="33" t="n">
        <f aca="false">Baseline_Weeks*J514</f>
        <v>62</v>
      </c>
      <c r="L514" s="46" t="n">
        <f aca="false">SUMIFS(P$501:P513,$B$501:$B513,$B514-$D514)</f>
        <v>12</v>
      </c>
      <c r="M514" s="46" t="n">
        <f aca="false">S513+L514</f>
        <v>12</v>
      </c>
      <c r="N514" s="46" t="n">
        <f aca="false">SUMIFS(P$501:P513,$B$501:$B513,"&gt;"&amp;($B514-$D514))</f>
        <v>32</v>
      </c>
      <c r="O514" s="46" t="n">
        <f aca="false">M514+N514</f>
        <v>44</v>
      </c>
      <c r="P514" s="47" t="n">
        <f aca="false">IF(O514&lt;K514,ROUNDUP((K514-O514)/G514,0)*G514,0)</f>
        <v>20</v>
      </c>
      <c r="Q514" s="46" t="n">
        <f aca="false">MIN(M514,I514)</f>
        <v>11</v>
      </c>
      <c r="R514" s="46" t="n">
        <f aca="false">I514-Q514</f>
        <v>0</v>
      </c>
      <c r="S514" s="46" t="n">
        <f aca="false">M514-Q514</f>
        <v>1</v>
      </c>
      <c r="T514" s="46" t="n">
        <f aca="false">IF(R514&gt;0,1,0)</f>
        <v>0</v>
      </c>
      <c r="U514" s="32" t="n">
        <f aca="false">INDEX(Forecast!$AY$7:$AY$54,C514)</f>
        <v>2</v>
      </c>
      <c r="V514" s="33" t="n">
        <f aca="false">CHOOSE(U514,INDEX(Forecast_Walkforward!$D:$D,H514),INDEX(Forecast_Walkforward!$E:$E,H514),INDEX(Forecast_Walkforward!$F:$F,H514),INDEX(Forecast_Walkforward!$G:$G,H514))</f>
        <v>15.5</v>
      </c>
      <c r="W514" s="79" t="n">
        <f aca="false">INDEX(Forecast!$BA$7:$BA$54,C514)</f>
        <v>3.29893759464978</v>
      </c>
      <c r="X514" s="33" t="n">
        <f aca="false">Z_Value*W514*SQRT(D514)</f>
        <v>10.8525389352925</v>
      </c>
      <c r="Y514" s="33" t="n">
        <f aca="false">V514*D514+X514</f>
        <v>72.8525389352925</v>
      </c>
      <c r="Z514" s="33" t="n">
        <f aca="false">SQRT((2*V514*Weeks_Per_Year*F514)/(E514*Holding_Rate))</f>
        <v>121.559313368687</v>
      </c>
      <c r="AA514" s="46" t="n">
        <f aca="false">ROUNDUP(Z514/G514,0)*G514</f>
        <v>124</v>
      </c>
      <c r="AB514" s="46" t="n">
        <f aca="false">SUMIFS(AF$501:AF513,$B$501:$B513,$B514-$D514)</f>
        <v>132</v>
      </c>
      <c r="AC514" s="46" t="n">
        <f aca="false">AI513+AB514</f>
        <v>140</v>
      </c>
      <c r="AD514" s="46" t="n">
        <f aca="false">SUMIFS(AF$501:AF513,$B$501:$B513,"&gt;"&amp;($B514-$D514))</f>
        <v>0</v>
      </c>
      <c r="AE514" s="46" t="n">
        <f aca="false">AC514+AD514</f>
        <v>140</v>
      </c>
      <c r="AF514" s="47" t="n">
        <f aca="false">IF(AE514&lt;=Y514,AA514,0)</f>
        <v>0</v>
      </c>
      <c r="AG514" s="46" t="n">
        <f aca="false">MIN(AC514,I514)</f>
        <v>11</v>
      </c>
      <c r="AH514" s="46" t="n">
        <f aca="false">I514-AG514</f>
        <v>0</v>
      </c>
      <c r="AI514" s="46" t="n">
        <f aca="false">AC514-AG514</f>
        <v>129</v>
      </c>
      <c r="AJ514" s="46" t="n">
        <f aca="false">IF(AH514&gt;0,1,0)</f>
        <v>0</v>
      </c>
    </row>
    <row r="515" customFormat="false" ht="15" hidden="false" customHeight="false" outlineLevel="0" collapsed="false">
      <c r="A515" s="31" t="str">
        <f aca="false">Inputs!$B$68</f>
        <v>BED-009</v>
      </c>
      <c r="B515" s="46" t="n">
        <f aca="false">B514+1</f>
        <v>103</v>
      </c>
      <c r="C515" s="46" t="n">
        <f aca="false">MATCH(A515,Inputs!$B$40:$B$87,0)</f>
        <v>29</v>
      </c>
      <c r="D515" s="32" t="n">
        <f aca="false">INDEX(Inputs!$F$40:$F$87,C515)</f>
        <v>4</v>
      </c>
      <c r="E515" s="78" t="n">
        <f aca="false">INDEX(Inputs!$H$40:$H$87,C515)</f>
        <v>30</v>
      </c>
      <c r="F515" s="78" t="n">
        <f aca="false">INDEX(Inputs!$G$40:$G$87,C515)</f>
        <v>55</v>
      </c>
      <c r="G515" s="32" t="n">
        <f aca="false">INDEX(Inputs!$I$40:$I$87,C515)</f>
        <v>4</v>
      </c>
      <c r="H515" s="46" t="n">
        <f aca="false">MATCH(A515,Demand_History!$C:$C,0)+B515-1</f>
        <v>3016</v>
      </c>
      <c r="I515" s="32" t="n">
        <f aca="false">INDEX(Forecast_Walkforward!$C:$C,H515)</f>
        <v>12</v>
      </c>
      <c r="J515" s="79" t="n">
        <f aca="false">INDEX(Forecast_Walkforward!$E:$E,H515)</f>
        <v>14</v>
      </c>
      <c r="K515" s="33" t="n">
        <f aca="false">Baseline_Weeks*J515</f>
        <v>56</v>
      </c>
      <c r="L515" s="46" t="n">
        <f aca="false">SUMIFS(P$501:P514,$B$501:$B514,$B515-$D515)</f>
        <v>16</v>
      </c>
      <c r="M515" s="46" t="n">
        <f aca="false">S514+L515</f>
        <v>17</v>
      </c>
      <c r="N515" s="46" t="n">
        <f aca="false">SUMIFS(P$501:P514,$B$501:$B514,"&gt;"&amp;($B515-$D515))</f>
        <v>36</v>
      </c>
      <c r="O515" s="46" t="n">
        <f aca="false">M515+N515</f>
        <v>53</v>
      </c>
      <c r="P515" s="47" t="n">
        <f aca="false">IF(O515&lt;K515,ROUNDUP((K515-O515)/G515,0)*G515,0)</f>
        <v>4</v>
      </c>
      <c r="Q515" s="46" t="n">
        <f aca="false">MIN(M515,I515)</f>
        <v>12</v>
      </c>
      <c r="R515" s="46" t="n">
        <f aca="false">I515-Q515</f>
        <v>0</v>
      </c>
      <c r="S515" s="46" t="n">
        <f aca="false">M515-Q515</f>
        <v>5</v>
      </c>
      <c r="T515" s="46" t="n">
        <f aca="false">IF(R515&gt;0,1,0)</f>
        <v>0</v>
      </c>
      <c r="U515" s="32" t="n">
        <f aca="false">INDEX(Forecast!$AY$7:$AY$54,C515)</f>
        <v>2</v>
      </c>
      <c r="V515" s="33" t="n">
        <f aca="false">CHOOSE(U515,INDEX(Forecast_Walkforward!$D:$D,H515),INDEX(Forecast_Walkforward!$E:$E,H515),INDEX(Forecast_Walkforward!$F:$F,H515),INDEX(Forecast_Walkforward!$G:$G,H515))</f>
        <v>14</v>
      </c>
      <c r="W515" s="79" t="n">
        <f aca="false">INDEX(Forecast!$BA$7:$BA$54,C515)</f>
        <v>3.29893759464978</v>
      </c>
      <c r="X515" s="33" t="n">
        <f aca="false">Z_Value*W515*SQRT(D515)</f>
        <v>10.8525389352925</v>
      </c>
      <c r="Y515" s="33" t="n">
        <f aca="false">V515*D515+X515</f>
        <v>66.8525389352925</v>
      </c>
      <c r="Z515" s="33" t="n">
        <f aca="false">SQRT((2*V515*Weeks_Per_Year*F515)/(E515*Holding_Rate))</f>
        <v>115.5277744383</v>
      </c>
      <c r="AA515" s="46" t="n">
        <f aca="false">ROUNDUP(Z515/G515,0)*G515</f>
        <v>116</v>
      </c>
      <c r="AB515" s="46" t="n">
        <f aca="false">SUMIFS(AF$501:AF514,$B$501:$B514,$B515-$D515)</f>
        <v>0</v>
      </c>
      <c r="AC515" s="46" t="n">
        <f aca="false">AI514+AB515</f>
        <v>129</v>
      </c>
      <c r="AD515" s="46" t="n">
        <f aca="false">SUMIFS(AF$501:AF514,$B$501:$B514,"&gt;"&amp;($B515-$D515))</f>
        <v>0</v>
      </c>
      <c r="AE515" s="46" t="n">
        <f aca="false">AC515+AD515</f>
        <v>129</v>
      </c>
      <c r="AF515" s="47" t="n">
        <f aca="false">IF(AE515&lt;=Y515,AA515,0)</f>
        <v>0</v>
      </c>
      <c r="AG515" s="46" t="n">
        <f aca="false">MIN(AC515,I515)</f>
        <v>12</v>
      </c>
      <c r="AH515" s="46" t="n">
        <f aca="false">I515-AG515</f>
        <v>0</v>
      </c>
      <c r="AI515" s="46" t="n">
        <f aca="false">AC515-AG515</f>
        <v>117</v>
      </c>
      <c r="AJ515" s="46" t="n">
        <f aca="false">IF(AH515&gt;0,1,0)</f>
        <v>0</v>
      </c>
    </row>
    <row r="516" customFormat="false" ht="15" hidden="false" customHeight="false" outlineLevel="0" collapsed="false">
      <c r="A516" s="80" t="str">
        <f aca="false">Inputs!$B$68</f>
        <v>BED-009</v>
      </c>
      <c r="B516" s="81" t="n">
        <f aca="false">B515+1</f>
        <v>104</v>
      </c>
      <c r="C516" s="81" t="n">
        <f aca="false">MATCH(A516,Inputs!$B$40:$B$87,0)</f>
        <v>29</v>
      </c>
      <c r="D516" s="82" t="n">
        <f aca="false">INDEX(Inputs!$F$40:$F$87,C516)</f>
        <v>4</v>
      </c>
      <c r="E516" s="83" t="n">
        <f aca="false">INDEX(Inputs!$H$40:$H$87,C516)</f>
        <v>30</v>
      </c>
      <c r="F516" s="83" t="n">
        <f aca="false">INDEX(Inputs!$G$40:$G$87,C516)</f>
        <v>55</v>
      </c>
      <c r="G516" s="82" t="n">
        <f aca="false">INDEX(Inputs!$I$40:$I$87,C516)</f>
        <v>4</v>
      </c>
      <c r="H516" s="81" t="n">
        <f aca="false">MATCH(A516,Demand_History!$C:$C,0)+B516-1</f>
        <v>3017</v>
      </c>
      <c r="I516" s="82" t="n">
        <f aca="false">INDEX(Forecast_Walkforward!$C:$C,H516)</f>
        <v>12</v>
      </c>
      <c r="J516" s="84" t="n">
        <f aca="false">INDEX(Forecast_Walkforward!$E:$E,H516)</f>
        <v>13.75</v>
      </c>
      <c r="K516" s="85" t="n">
        <f aca="false">Baseline_Weeks*J516</f>
        <v>55</v>
      </c>
      <c r="L516" s="81" t="n">
        <f aca="false">SUMIFS(P$501:P515,$B$501:$B515,$B516-$D516)</f>
        <v>8</v>
      </c>
      <c r="M516" s="81" t="n">
        <f aca="false">S515+L516</f>
        <v>13</v>
      </c>
      <c r="N516" s="81" t="n">
        <f aca="false">SUMIFS(P$501:P515,$B$501:$B515,"&gt;"&amp;($B516-$D516))</f>
        <v>32</v>
      </c>
      <c r="O516" s="81" t="n">
        <f aca="false">M516+N516</f>
        <v>45</v>
      </c>
      <c r="P516" s="86" t="n">
        <f aca="false">IF(O516&lt;K516,ROUNDUP((K516-O516)/G516,0)*G516,0)</f>
        <v>12</v>
      </c>
      <c r="Q516" s="81" t="n">
        <f aca="false">MIN(M516,I516)</f>
        <v>12</v>
      </c>
      <c r="R516" s="81" t="n">
        <f aca="false">I516-Q516</f>
        <v>0</v>
      </c>
      <c r="S516" s="81" t="n">
        <f aca="false">M516-Q516</f>
        <v>1</v>
      </c>
      <c r="T516" s="81" t="n">
        <f aca="false">IF(R516&gt;0,1,0)</f>
        <v>0</v>
      </c>
      <c r="U516" s="82" t="n">
        <f aca="false">INDEX(Forecast!$AY$7:$AY$54,C516)</f>
        <v>2</v>
      </c>
      <c r="V516" s="85" t="n">
        <f aca="false">CHOOSE(U516,INDEX(Forecast_Walkforward!$D:$D,H516),INDEX(Forecast_Walkforward!$E:$E,H516),INDEX(Forecast_Walkforward!$F:$F,H516),INDEX(Forecast_Walkforward!$G:$G,H516))</f>
        <v>13.75</v>
      </c>
      <c r="W516" s="84" t="n">
        <f aca="false">INDEX(Forecast!$BA$7:$BA$54,C516)</f>
        <v>3.29893759464978</v>
      </c>
      <c r="X516" s="85" t="n">
        <f aca="false">Z_Value*W516*SQRT(D516)</f>
        <v>10.8525389352925</v>
      </c>
      <c r="Y516" s="85" t="n">
        <f aca="false">V516*D516+X516</f>
        <v>65.8525389352925</v>
      </c>
      <c r="Z516" s="85" t="n">
        <f aca="false">SQRT((2*V516*Weeks_Per_Year*F516)/(E516*Holding_Rate))</f>
        <v>114.491629970637</v>
      </c>
      <c r="AA516" s="81" t="n">
        <f aca="false">ROUNDUP(Z516/G516,0)*G516</f>
        <v>116</v>
      </c>
      <c r="AB516" s="81" t="n">
        <f aca="false">SUMIFS(AF$501:AF515,$B$501:$B515,$B516-$D516)</f>
        <v>0</v>
      </c>
      <c r="AC516" s="81" t="n">
        <f aca="false">AI515+AB516</f>
        <v>117</v>
      </c>
      <c r="AD516" s="81" t="n">
        <f aca="false">SUMIFS(AF$501:AF515,$B$501:$B515,"&gt;"&amp;($B516-$D516))</f>
        <v>0</v>
      </c>
      <c r="AE516" s="81" t="n">
        <f aca="false">AC516+AD516</f>
        <v>117</v>
      </c>
      <c r="AF516" s="86" t="n">
        <f aca="false">IF(AE516&lt;=Y516,AA516,0)</f>
        <v>0</v>
      </c>
      <c r="AG516" s="81" t="n">
        <f aca="false">MIN(AC516,I516)</f>
        <v>12</v>
      </c>
      <c r="AH516" s="81" t="n">
        <f aca="false">I516-AG516</f>
        <v>0</v>
      </c>
      <c r="AI516" s="81" t="n">
        <f aca="false">AC516-AG516</f>
        <v>105</v>
      </c>
      <c r="AJ516" s="81" t="n">
        <f aca="false">IF(AH516&gt;0,1,0)</f>
        <v>0</v>
      </c>
    </row>
    <row r="517" customFormat="false" ht="15" hidden="false" customHeight="false" outlineLevel="0" collapsed="false">
      <c r="A517" s="31" t="str">
        <f aca="false">Inputs!$B$69</f>
        <v>ELE-001</v>
      </c>
      <c r="B517" s="46" t="n">
        <f aca="false">BT_Start_Week</f>
        <v>89</v>
      </c>
      <c r="C517" s="46" t="n">
        <f aca="false">MATCH(A517,Inputs!$B$40:$B$87,0)</f>
        <v>30</v>
      </c>
      <c r="D517" s="32" t="n">
        <f aca="false">INDEX(Inputs!$F$40:$F$87,C517)</f>
        <v>6</v>
      </c>
      <c r="E517" s="78" t="n">
        <f aca="false">INDEX(Inputs!$H$40:$H$87,C517)</f>
        <v>27</v>
      </c>
      <c r="F517" s="78" t="n">
        <f aca="false">INDEX(Inputs!$G$40:$G$87,C517)</f>
        <v>90</v>
      </c>
      <c r="G517" s="32" t="n">
        <f aca="false">INDEX(Inputs!$I$40:$I$87,C517)</f>
        <v>6</v>
      </c>
      <c r="H517" s="46" t="n">
        <f aca="false">MATCH(A517,Demand_History!$C:$C,0)+B517-1</f>
        <v>3106</v>
      </c>
      <c r="I517" s="32" t="n">
        <f aca="false">INDEX(Forecast_Walkforward!$C:$C,H517)</f>
        <v>35</v>
      </c>
      <c r="J517" s="79" t="n">
        <f aca="false">INDEX(Forecast_Walkforward!$E:$E,H517)</f>
        <v>33.25</v>
      </c>
      <c r="K517" s="33" t="n">
        <f aca="false">Baseline_Weeks*J517</f>
        <v>133</v>
      </c>
      <c r="L517" s="46" t="n">
        <f aca="false">0</f>
        <v>0</v>
      </c>
      <c r="M517" s="46" t="n">
        <f aca="false">ROUND(BT_Open_Cover*INDEX(Forecast_Walkforward!$F:$F,H517),0)+L517</f>
        <v>212</v>
      </c>
      <c r="N517" s="46" t="n">
        <f aca="false">0</f>
        <v>0</v>
      </c>
      <c r="O517" s="46" t="n">
        <f aca="false">M517+N517</f>
        <v>212</v>
      </c>
      <c r="P517" s="47" t="n">
        <f aca="false">IF(O517&lt;K517,ROUNDUP((K517-O517)/G517,0)*G517,0)</f>
        <v>0</v>
      </c>
      <c r="Q517" s="46" t="n">
        <f aca="false">MIN(M517,I517)</f>
        <v>35</v>
      </c>
      <c r="R517" s="46" t="n">
        <f aca="false">I517-Q517</f>
        <v>0</v>
      </c>
      <c r="S517" s="46" t="n">
        <f aca="false">M517-Q517</f>
        <v>177</v>
      </c>
      <c r="T517" s="46" t="n">
        <f aca="false">IF(R517&gt;0,1,0)</f>
        <v>0</v>
      </c>
      <c r="U517" s="32" t="n">
        <f aca="false">INDEX(Forecast!$AY$7:$AY$54,C517)</f>
        <v>2</v>
      </c>
      <c r="V517" s="33" t="n">
        <f aca="false">CHOOSE(U517,INDEX(Forecast_Walkforward!$D:$D,H517),INDEX(Forecast_Walkforward!$E:$E,H517),INDEX(Forecast_Walkforward!$F:$F,H517),INDEX(Forecast_Walkforward!$G:$G,H517))</f>
        <v>33.25</v>
      </c>
      <c r="W517" s="79" t="n">
        <f aca="false">INDEX(Forecast!$BA$7:$BA$54,C517)</f>
        <v>5.326418529503</v>
      </c>
      <c r="X517" s="33" t="n">
        <f aca="false">Z_Value*W517*SQRT(D517)</f>
        <v>21.4604176957112</v>
      </c>
      <c r="Y517" s="33" t="n">
        <f aca="false">V517*D517+X517</f>
        <v>220.960417695711</v>
      </c>
      <c r="Z517" s="33" t="n">
        <f aca="false">SQRT((2*V517*Weeks_Per_Year*F517)/(E517*Holding_Rate))</f>
        <v>240.069434400411</v>
      </c>
      <c r="AA517" s="46" t="n">
        <f aca="false">ROUNDUP(Z517/G517,0)*G517</f>
        <v>246</v>
      </c>
      <c r="AB517" s="46" t="n">
        <f aca="false">0</f>
        <v>0</v>
      </c>
      <c r="AC517" s="46" t="n">
        <f aca="false">ROUND(BT_Open_Cover*INDEX(Forecast_Walkforward!$F:$F,H517),0)+AB517</f>
        <v>212</v>
      </c>
      <c r="AD517" s="46" t="n">
        <f aca="false">0</f>
        <v>0</v>
      </c>
      <c r="AE517" s="46" t="n">
        <f aca="false">AC517+AD517</f>
        <v>212</v>
      </c>
      <c r="AF517" s="47" t="n">
        <f aca="false">IF(AE517&lt;=Y517,AA517,0)</f>
        <v>246</v>
      </c>
      <c r="AG517" s="46" t="n">
        <f aca="false">MIN(AC517,I517)</f>
        <v>35</v>
      </c>
      <c r="AH517" s="46" t="n">
        <f aca="false">I517-AG517</f>
        <v>0</v>
      </c>
      <c r="AI517" s="46" t="n">
        <f aca="false">AC517-AG517</f>
        <v>177</v>
      </c>
      <c r="AJ517" s="46" t="n">
        <f aca="false">IF(AH517&gt;0,1,0)</f>
        <v>0</v>
      </c>
    </row>
    <row r="518" customFormat="false" ht="15" hidden="false" customHeight="false" outlineLevel="0" collapsed="false">
      <c r="A518" s="31" t="str">
        <f aca="false">Inputs!$B$69</f>
        <v>ELE-001</v>
      </c>
      <c r="B518" s="46" t="n">
        <f aca="false">B517+1</f>
        <v>90</v>
      </c>
      <c r="C518" s="46" t="n">
        <f aca="false">MATCH(A518,Inputs!$B$40:$B$87,0)</f>
        <v>30</v>
      </c>
      <c r="D518" s="32" t="n">
        <f aca="false">INDEX(Inputs!$F$40:$F$87,C518)</f>
        <v>6</v>
      </c>
      <c r="E518" s="78" t="n">
        <f aca="false">INDEX(Inputs!$H$40:$H$87,C518)</f>
        <v>27</v>
      </c>
      <c r="F518" s="78" t="n">
        <f aca="false">INDEX(Inputs!$G$40:$G$87,C518)</f>
        <v>90</v>
      </c>
      <c r="G518" s="32" t="n">
        <f aca="false">INDEX(Inputs!$I$40:$I$87,C518)</f>
        <v>6</v>
      </c>
      <c r="H518" s="46" t="n">
        <f aca="false">MATCH(A518,Demand_History!$C:$C,0)+B518-1</f>
        <v>3107</v>
      </c>
      <c r="I518" s="32" t="n">
        <f aca="false">INDEX(Forecast_Walkforward!$C:$C,H518)</f>
        <v>38</v>
      </c>
      <c r="J518" s="79" t="n">
        <f aca="false">INDEX(Forecast_Walkforward!$E:$E,H518)</f>
        <v>34.25</v>
      </c>
      <c r="K518" s="33" t="n">
        <f aca="false">Baseline_Weeks*J518</f>
        <v>137</v>
      </c>
      <c r="L518" s="46" t="n">
        <f aca="false">SUMIFS(P$517:P517,$B$517:$B517,$B518-$D518)</f>
        <v>0</v>
      </c>
      <c r="M518" s="46" t="n">
        <f aca="false">S517+L518</f>
        <v>177</v>
      </c>
      <c r="N518" s="46" t="n">
        <f aca="false">SUMIFS(P$517:P517,$B$517:$B517,"&gt;"&amp;($B518-$D518))</f>
        <v>0</v>
      </c>
      <c r="O518" s="46" t="n">
        <f aca="false">M518+N518</f>
        <v>177</v>
      </c>
      <c r="P518" s="47" t="n">
        <f aca="false">IF(O518&lt;K518,ROUNDUP((K518-O518)/G518,0)*G518,0)</f>
        <v>0</v>
      </c>
      <c r="Q518" s="46" t="n">
        <f aca="false">MIN(M518,I518)</f>
        <v>38</v>
      </c>
      <c r="R518" s="46" t="n">
        <f aca="false">I518-Q518</f>
        <v>0</v>
      </c>
      <c r="S518" s="46" t="n">
        <f aca="false">M518-Q518</f>
        <v>139</v>
      </c>
      <c r="T518" s="46" t="n">
        <f aca="false">IF(R518&gt;0,1,0)</f>
        <v>0</v>
      </c>
      <c r="U518" s="32" t="n">
        <f aca="false">INDEX(Forecast!$AY$7:$AY$54,C518)</f>
        <v>2</v>
      </c>
      <c r="V518" s="33" t="n">
        <f aca="false">CHOOSE(U518,INDEX(Forecast_Walkforward!$D:$D,H518),INDEX(Forecast_Walkforward!$E:$E,H518),INDEX(Forecast_Walkforward!$F:$F,H518),INDEX(Forecast_Walkforward!$G:$G,H518))</f>
        <v>34.25</v>
      </c>
      <c r="W518" s="79" t="n">
        <f aca="false">INDEX(Forecast!$BA$7:$BA$54,C518)</f>
        <v>5.326418529503</v>
      </c>
      <c r="X518" s="33" t="n">
        <f aca="false">Z_Value*W518*SQRT(D518)</f>
        <v>21.4604176957112</v>
      </c>
      <c r="Y518" s="33" t="n">
        <f aca="false">V518*D518+X518</f>
        <v>226.960417695711</v>
      </c>
      <c r="Z518" s="33" t="n">
        <f aca="false">SQRT((2*V518*Weeks_Per_Year*F518)/(E518*Holding_Rate))</f>
        <v>243.652758380993</v>
      </c>
      <c r="AA518" s="46" t="n">
        <f aca="false">ROUNDUP(Z518/G518,0)*G518</f>
        <v>246</v>
      </c>
      <c r="AB518" s="46" t="n">
        <f aca="false">SUMIFS(AF$517:AF517,$B$517:$B517,$B518-$D518)</f>
        <v>0</v>
      </c>
      <c r="AC518" s="46" t="n">
        <f aca="false">AI517+AB518</f>
        <v>177</v>
      </c>
      <c r="AD518" s="46" t="n">
        <f aca="false">SUMIFS(AF$517:AF517,$B$517:$B517,"&gt;"&amp;($B518-$D518))</f>
        <v>246</v>
      </c>
      <c r="AE518" s="46" t="n">
        <f aca="false">AC518+AD518</f>
        <v>423</v>
      </c>
      <c r="AF518" s="47" t="n">
        <f aca="false">IF(AE518&lt;=Y518,AA518,0)</f>
        <v>0</v>
      </c>
      <c r="AG518" s="46" t="n">
        <f aca="false">MIN(AC518,I518)</f>
        <v>38</v>
      </c>
      <c r="AH518" s="46" t="n">
        <f aca="false">I518-AG518</f>
        <v>0</v>
      </c>
      <c r="AI518" s="46" t="n">
        <f aca="false">AC518-AG518</f>
        <v>139</v>
      </c>
      <c r="AJ518" s="46" t="n">
        <f aca="false">IF(AH518&gt;0,1,0)</f>
        <v>0</v>
      </c>
    </row>
    <row r="519" customFormat="false" ht="15" hidden="false" customHeight="false" outlineLevel="0" collapsed="false">
      <c r="A519" s="31" t="str">
        <f aca="false">Inputs!$B$69</f>
        <v>ELE-001</v>
      </c>
      <c r="B519" s="46" t="n">
        <f aca="false">B518+1</f>
        <v>91</v>
      </c>
      <c r="C519" s="46" t="n">
        <f aca="false">MATCH(A519,Inputs!$B$40:$B$87,0)</f>
        <v>30</v>
      </c>
      <c r="D519" s="32" t="n">
        <f aca="false">INDEX(Inputs!$F$40:$F$87,C519)</f>
        <v>6</v>
      </c>
      <c r="E519" s="78" t="n">
        <f aca="false">INDEX(Inputs!$H$40:$H$87,C519)</f>
        <v>27</v>
      </c>
      <c r="F519" s="78" t="n">
        <f aca="false">INDEX(Inputs!$G$40:$G$87,C519)</f>
        <v>90</v>
      </c>
      <c r="G519" s="32" t="n">
        <f aca="false">INDEX(Inputs!$I$40:$I$87,C519)</f>
        <v>6</v>
      </c>
      <c r="H519" s="46" t="n">
        <f aca="false">MATCH(A519,Demand_History!$C:$C,0)+B519-1</f>
        <v>3108</v>
      </c>
      <c r="I519" s="32" t="n">
        <f aca="false">INDEX(Forecast_Walkforward!$C:$C,H519)</f>
        <v>39</v>
      </c>
      <c r="J519" s="79" t="n">
        <f aca="false">INDEX(Forecast_Walkforward!$E:$E,H519)</f>
        <v>35.25</v>
      </c>
      <c r="K519" s="33" t="n">
        <f aca="false">Baseline_Weeks*J519</f>
        <v>141</v>
      </c>
      <c r="L519" s="46" t="n">
        <f aca="false">SUMIFS(P$517:P518,$B$517:$B518,$B519-$D519)</f>
        <v>0</v>
      </c>
      <c r="M519" s="46" t="n">
        <f aca="false">S518+L519</f>
        <v>139</v>
      </c>
      <c r="N519" s="46" t="n">
        <f aca="false">SUMIFS(P$517:P518,$B$517:$B518,"&gt;"&amp;($B519-$D519))</f>
        <v>0</v>
      </c>
      <c r="O519" s="46" t="n">
        <f aca="false">M519+N519</f>
        <v>139</v>
      </c>
      <c r="P519" s="47" t="n">
        <f aca="false">IF(O519&lt;K519,ROUNDUP((K519-O519)/G519,0)*G519,0)</f>
        <v>6</v>
      </c>
      <c r="Q519" s="46" t="n">
        <f aca="false">MIN(M519,I519)</f>
        <v>39</v>
      </c>
      <c r="R519" s="46" t="n">
        <f aca="false">I519-Q519</f>
        <v>0</v>
      </c>
      <c r="S519" s="46" t="n">
        <f aca="false">M519-Q519</f>
        <v>100</v>
      </c>
      <c r="T519" s="46" t="n">
        <f aca="false">IF(R519&gt;0,1,0)</f>
        <v>0</v>
      </c>
      <c r="U519" s="32" t="n">
        <f aca="false">INDEX(Forecast!$AY$7:$AY$54,C519)</f>
        <v>2</v>
      </c>
      <c r="V519" s="33" t="n">
        <f aca="false">CHOOSE(U519,INDEX(Forecast_Walkforward!$D:$D,H519),INDEX(Forecast_Walkforward!$E:$E,H519),INDEX(Forecast_Walkforward!$F:$F,H519),INDEX(Forecast_Walkforward!$G:$G,H519))</f>
        <v>35.25</v>
      </c>
      <c r="W519" s="79" t="n">
        <f aca="false">INDEX(Forecast!$BA$7:$BA$54,C519)</f>
        <v>5.326418529503</v>
      </c>
      <c r="X519" s="33" t="n">
        <f aca="false">Z_Value*W519*SQRT(D519)</f>
        <v>21.4604176957112</v>
      </c>
      <c r="Y519" s="33" t="n">
        <f aca="false">V519*D519+X519</f>
        <v>232.960417695711</v>
      </c>
      <c r="Z519" s="33" t="n">
        <f aca="false">SQRT((2*V519*Weeks_Per_Year*F519)/(E519*Holding_Rate))</f>
        <v>247.184141886166</v>
      </c>
      <c r="AA519" s="46" t="n">
        <f aca="false">ROUNDUP(Z519/G519,0)*G519</f>
        <v>252</v>
      </c>
      <c r="AB519" s="46" t="n">
        <f aca="false">SUMIFS(AF$517:AF518,$B$517:$B518,$B519-$D519)</f>
        <v>0</v>
      </c>
      <c r="AC519" s="46" t="n">
        <f aca="false">AI518+AB519</f>
        <v>139</v>
      </c>
      <c r="AD519" s="46" t="n">
        <f aca="false">SUMIFS(AF$517:AF518,$B$517:$B518,"&gt;"&amp;($B519-$D519))</f>
        <v>246</v>
      </c>
      <c r="AE519" s="46" t="n">
        <f aca="false">AC519+AD519</f>
        <v>385</v>
      </c>
      <c r="AF519" s="47" t="n">
        <f aca="false">IF(AE519&lt;=Y519,AA519,0)</f>
        <v>0</v>
      </c>
      <c r="AG519" s="46" t="n">
        <f aca="false">MIN(AC519,I519)</f>
        <v>39</v>
      </c>
      <c r="AH519" s="46" t="n">
        <f aca="false">I519-AG519</f>
        <v>0</v>
      </c>
      <c r="AI519" s="46" t="n">
        <f aca="false">AC519-AG519</f>
        <v>100</v>
      </c>
      <c r="AJ519" s="46" t="n">
        <f aca="false">IF(AH519&gt;0,1,0)</f>
        <v>0</v>
      </c>
    </row>
    <row r="520" customFormat="false" ht="15" hidden="false" customHeight="false" outlineLevel="0" collapsed="false">
      <c r="A520" s="31" t="str">
        <f aca="false">Inputs!$B$69</f>
        <v>ELE-001</v>
      </c>
      <c r="B520" s="46" t="n">
        <f aca="false">B519+1</f>
        <v>92</v>
      </c>
      <c r="C520" s="46" t="n">
        <f aca="false">MATCH(A520,Inputs!$B$40:$B$87,0)</f>
        <v>30</v>
      </c>
      <c r="D520" s="32" t="n">
        <f aca="false">INDEX(Inputs!$F$40:$F$87,C520)</f>
        <v>6</v>
      </c>
      <c r="E520" s="78" t="n">
        <f aca="false">INDEX(Inputs!$H$40:$H$87,C520)</f>
        <v>27</v>
      </c>
      <c r="F520" s="78" t="n">
        <f aca="false">INDEX(Inputs!$G$40:$G$87,C520)</f>
        <v>90</v>
      </c>
      <c r="G520" s="32" t="n">
        <f aca="false">INDEX(Inputs!$I$40:$I$87,C520)</f>
        <v>6</v>
      </c>
      <c r="H520" s="46" t="n">
        <f aca="false">MATCH(A520,Demand_History!$C:$C,0)+B520-1</f>
        <v>3109</v>
      </c>
      <c r="I520" s="32" t="n">
        <f aca="false">INDEX(Forecast_Walkforward!$C:$C,H520)</f>
        <v>19</v>
      </c>
      <c r="J520" s="79" t="n">
        <f aca="false">INDEX(Forecast_Walkforward!$E:$E,H520)</f>
        <v>37.5</v>
      </c>
      <c r="K520" s="33" t="n">
        <f aca="false">Baseline_Weeks*J520</f>
        <v>150</v>
      </c>
      <c r="L520" s="46" t="n">
        <f aca="false">SUMIFS(P$517:P519,$B$517:$B519,$B520-$D520)</f>
        <v>0</v>
      </c>
      <c r="M520" s="46" t="n">
        <f aca="false">S519+L520</f>
        <v>100</v>
      </c>
      <c r="N520" s="46" t="n">
        <f aca="false">SUMIFS(P$517:P519,$B$517:$B519,"&gt;"&amp;($B520-$D520))</f>
        <v>6</v>
      </c>
      <c r="O520" s="46" t="n">
        <f aca="false">M520+N520</f>
        <v>106</v>
      </c>
      <c r="P520" s="47" t="n">
        <f aca="false">IF(O520&lt;K520,ROUNDUP((K520-O520)/G520,0)*G520,0)</f>
        <v>48</v>
      </c>
      <c r="Q520" s="46" t="n">
        <f aca="false">MIN(M520,I520)</f>
        <v>19</v>
      </c>
      <c r="R520" s="46" t="n">
        <f aca="false">I520-Q520</f>
        <v>0</v>
      </c>
      <c r="S520" s="46" t="n">
        <f aca="false">M520-Q520</f>
        <v>81</v>
      </c>
      <c r="T520" s="46" t="n">
        <f aca="false">IF(R520&gt;0,1,0)</f>
        <v>0</v>
      </c>
      <c r="U520" s="32" t="n">
        <f aca="false">INDEX(Forecast!$AY$7:$AY$54,C520)</f>
        <v>2</v>
      </c>
      <c r="V520" s="33" t="n">
        <f aca="false">CHOOSE(U520,INDEX(Forecast_Walkforward!$D:$D,H520),INDEX(Forecast_Walkforward!$E:$E,H520),INDEX(Forecast_Walkforward!$F:$F,H520),INDEX(Forecast_Walkforward!$G:$G,H520))</f>
        <v>37.5</v>
      </c>
      <c r="W520" s="79" t="n">
        <f aca="false">INDEX(Forecast!$BA$7:$BA$54,C520)</f>
        <v>5.326418529503</v>
      </c>
      <c r="X520" s="33" t="n">
        <f aca="false">Z_Value*W520*SQRT(D520)</f>
        <v>21.4604176957112</v>
      </c>
      <c r="Y520" s="33" t="n">
        <f aca="false">V520*D520+X520</f>
        <v>246.460417695711</v>
      </c>
      <c r="Z520" s="33" t="n">
        <f aca="false">SQRT((2*V520*Weeks_Per_Year*F520)/(E520*Holding_Rate))</f>
        <v>254.950975679639</v>
      </c>
      <c r="AA520" s="46" t="n">
        <f aca="false">ROUNDUP(Z520/G520,0)*G520</f>
        <v>258</v>
      </c>
      <c r="AB520" s="46" t="n">
        <f aca="false">SUMIFS(AF$517:AF519,$B$517:$B519,$B520-$D520)</f>
        <v>0</v>
      </c>
      <c r="AC520" s="46" t="n">
        <f aca="false">AI519+AB520</f>
        <v>100</v>
      </c>
      <c r="AD520" s="46" t="n">
        <f aca="false">SUMIFS(AF$517:AF519,$B$517:$B519,"&gt;"&amp;($B520-$D520))</f>
        <v>246</v>
      </c>
      <c r="AE520" s="46" t="n">
        <f aca="false">AC520+AD520</f>
        <v>346</v>
      </c>
      <c r="AF520" s="47" t="n">
        <f aca="false">IF(AE520&lt;=Y520,AA520,0)</f>
        <v>0</v>
      </c>
      <c r="AG520" s="46" t="n">
        <f aca="false">MIN(AC520,I520)</f>
        <v>19</v>
      </c>
      <c r="AH520" s="46" t="n">
        <f aca="false">I520-AG520</f>
        <v>0</v>
      </c>
      <c r="AI520" s="46" t="n">
        <f aca="false">AC520-AG520</f>
        <v>81</v>
      </c>
      <c r="AJ520" s="46" t="n">
        <f aca="false">IF(AH520&gt;0,1,0)</f>
        <v>0</v>
      </c>
    </row>
    <row r="521" customFormat="false" ht="15" hidden="false" customHeight="false" outlineLevel="0" collapsed="false">
      <c r="A521" s="31" t="str">
        <f aca="false">Inputs!$B$69</f>
        <v>ELE-001</v>
      </c>
      <c r="B521" s="46" t="n">
        <f aca="false">B520+1</f>
        <v>93</v>
      </c>
      <c r="C521" s="46" t="n">
        <f aca="false">MATCH(A521,Inputs!$B$40:$B$87,0)</f>
        <v>30</v>
      </c>
      <c r="D521" s="32" t="n">
        <f aca="false">INDEX(Inputs!$F$40:$F$87,C521)</f>
        <v>6</v>
      </c>
      <c r="E521" s="78" t="n">
        <f aca="false">INDEX(Inputs!$H$40:$H$87,C521)</f>
        <v>27</v>
      </c>
      <c r="F521" s="78" t="n">
        <f aca="false">INDEX(Inputs!$G$40:$G$87,C521)</f>
        <v>90</v>
      </c>
      <c r="G521" s="32" t="n">
        <f aca="false">INDEX(Inputs!$I$40:$I$87,C521)</f>
        <v>6</v>
      </c>
      <c r="H521" s="46" t="n">
        <f aca="false">MATCH(A521,Demand_History!$C:$C,0)+B521-1</f>
        <v>3110</v>
      </c>
      <c r="I521" s="32" t="n">
        <f aca="false">INDEX(Forecast_Walkforward!$C:$C,H521)</f>
        <v>37</v>
      </c>
      <c r="J521" s="79" t="n">
        <f aca="false">INDEX(Forecast_Walkforward!$E:$E,H521)</f>
        <v>32.75</v>
      </c>
      <c r="K521" s="33" t="n">
        <f aca="false">Baseline_Weeks*J521</f>
        <v>131</v>
      </c>
      <c r="L521" s="46" t="n">
        <f aca="false">SUMIFS(P$517:P520,$B$517:$B520,$B521-$D521)</f>
        <v>0</v>
      </c>
      <c r="M521" s="46" t="n">
        <f aca="false">S520+L521</f>
        <v>81</v>
      </c>
      <c r="N521" s="46" t="n">
        <f aca="false">SUMIFS(P$517:P520,$B$517:$B520,"&gt;"&amp;($B521-$D521))</f>
        <v>54</v>
      </c>
      <c r="O521" s="46" t="n">
        <f aca="false">M521+N521</f>
        <v>135</v>
      </c>
      <c r="P521" s="47" t="n">
        <f aca="false">IF(O521&lt;K521,ROUNDUP((K521-O521)/G521,0)*G521,0)</f>
        <v>0</v>
      </c>
      <c r="Q521" s="46" t="n">
        <f aca="false">MIN(M521,I521)</f>
        <v>37</v>
      </c>
      <c r="R521" s="46" t="n">
        <f aca="false">I521-Q521</f>
        <v>0</v>
      </c>
      <c r="S521" s="46" t="n">
        <f aca="false">M521-Q521</f>
        <v>44</v>
      </c>
      <c r="T521" s="46" t="n">
        <f aca="false">IF(R521&gt;0,1,0)</f>
        <v>0</v>
      </c>
      <c r="U521" s="32" t="n">
        <f aca="false">INDEX(Forecast!$AY$7:$AY$54,C521)</f>
        <v>2</v>
      </c>
      <c r="V521" s="33" t="n">
        <f aca="false">CHOOSE(U521,INDEX(Forecast_Walkforward!$D:$D,H521),INDEX(Forecast_Walkforward!$E:$E,H521),INDEX(Forecast_Walkforward!$F:$F,H521),INDEX(Forecast_Walkforward!$G:$G,H521))</f>
        <v>32.75</v>
      </c>
      <c r="W521" s="79" t="n">
        <f aca="false">INDEX(Forecast!$BA$7:$BA$54,C521)</f>
        <v>5.326418529503</v>
      </c>
      <c r="X521" s="33" t="n">
        <f aca="false">Z_Value*W521*SQRT(D521)</f>
        <v>21.4604176957112</v>
      </c>
      <c r="Y521" s="33" t="n">
        <f aca="false">V521*D521+X521</f>
        <v>217.960417695711</v>
      </c>
      <c r="Z521" s="33" t="n">
        <f aca="false">SQRT((2*V521*Weeks_Per_Year*F521)/(E521*Holding_Rate))</f>
        <v>238.257563713446</v>
      </c>
      <c r="AA521" s="46" t="n">
        <f aca="false">ROUNDUP(Z521/G521,0)*G521</f>
        <v>240</v>
      </c>
      <c r="AB521" s="46" t="n">
        <f aca="false">SUMIFS(AF$517:AF520,$B$517:$B520,$B521-$D521)</f>
        <v>0</v>
      </c>
      <c r="AC521" s="46" t="n">
        <f aca="false">AI520+AB521</f>
        <v>81</v>
      </c>
      <c r="AD521" s="46" t="n">
        <f aca="false">SUMIFS(AF$517:AF520,$B$517:$B520,"&gt;"&amp;($B521-$D521))</f>
        <v>246</v>
      </c>
      <c r="AE521" s="46" t="n">
        <f aca="false">AC521+AD521</f>
        <v>327</v>
      </c>
      <c r="AF521" s="47" t="n">
        <f aca="false">IF(AE521&lt;=Y521,AA521,0)</f>
        <v>0</v>
      </c>
      <c r="AG521" s="46" t="n">
        <f aca="false">MIN(AC521,I521)</f>
        <v>37</v>
      </c>
      <c r="AH521" s="46" t="n">
        <f aca="false">I521-AG521</f>
        <v>0</v>
      </c>
      <c r="AI521" s="46" t="n">
        <f aca="false">AC521-AG521</f>
        <v>44</v>
      </c>
      <c r="AJ521" s="46" t="n">
        <f aca="false">IF(AH521&gt;0,1,0)</f>
        <v>0</v>
      </c>
    </row>
    <row r="522" customFormat="false" ht="15" hidden="false" customHeight="false" outlineLevel="0" collapsed="false">
      <c r="A522" s="31" t="str">
        <f aca="false">Inputs!$B$69</f>
        <v>ELE-001</v>
      </c>
      <c r="B522" s="46" t="n">
        <f aca="false">B521+1</f>
        <v>94</v>
      </c>
      <c r="C522" s="46" t="n">
        <f aca="false">MATCH(A522,Inputs!$B$40:$B$87,0)</f>
        <v>30</v>
      </c>
      <c r="D522" s="32" t="n">
        <f aca="false">INDEX(Inputs!$F$40:$F$87,C522)</f>
        <v>6</v>
      </c>
      <c r="E522" s="78" t="n">
        <f aca="false">INDEX(Inputs!$H$40:$H$87,C522)</f>
        <v>27</v>
      </c>
      <c r="F522" s="78" t="n">
        <f aca="false">INDEX(Inputs!$G$40:$G$87,C522)</f>
        <v>90</v>
      </c>
      <c r="G522" s="32" t="n">
        <f aca="false">INDEX(Inputs!$I$40:$I$87,C522)</f>
        <v>6</v>
      </c>
      <c r="H522" s="46" t="n">
        <f aca="false">MATCH(A522,Demand_History!$C:$C,0)+B522-1</f>
        <v>3111</v>
      </c>
      <c r="I522" s="32" t="n">
        <f aca="false">INDEX(Forecast_Walkforward!$C:$C,H522)</f>
        <v>26</v>
      </c>
      <c r="J522" s="79" t="n">
        <f aca="false">INDEX(Forecast_Walkforward!$E:$E,H522)</f>
        <v>33.25</v>
      </c>
      <c r="K522" s="33" t="n">
        <f aca="false">Baseline_Weeks*J522</f>
        <v>133</v>
      </c>
      <c r="L522" s="46" t="n">
        <f aca="false">SUMIFS(P$517:P521,$B$517:$B521,$B522-$D522)</f>
        <v>0</v>
      </c>
      <c r="M522" s="46" t="n">
        <f aca="false">S521+L522</f>
        <v>44</v>
      </c>
      <c r="N522" s="46" t="n">
        <f aca="false">SUMIFS(P$517:P521,$B$517:$B521,"&gt;"&amp;($B522-$D522))</f>
        <v>54</v>
      </c>
      <c r="O522" s="46" t="n">
        <f aca="false">M522+N522</f>
        <v>98</v>
      </c>
      <c r="P522" s="47" t="n">
        <f aca="false">IF(O522&lt;K522,ROUNDUP((K522-O522)/G522,0)*G522,0)</f>
        <v>36</v>
      </c>
      <c r="Q522" s="46" t="n">
        <f aca="false">MIN(M522,I522)</f>
        <v>26</v>
      </c>
      <c r="R522" s="46" t="n">
        <f aca="false">I522-Q522</f>
        <v>0</v>
      </c>
      <c r="S522" s="46" t="n">
        <f aca="false">M522-Q522</f>
        <v>18</v>
      </c>
      <c r="T522" s="46" t="n">
        <f aca="false">IF(R522&gt;0,1,0)</f>
        <v>0</v>
      </c>
      <c r="U522" s="32" t="n">
        <f aca="false">INDEX(Forecast!$AY$7:$AY$54,C522)</f>
        <v>2</v>
      </c>
      <c r="V522" s="33" t="n">
        <f aca="false">CHOOSE(U522,INDEX(Forecast_Walkforward!$D:$D,H522),INDEX(Forecast_Walkforward!$E:$E,H522),INDEX(Forecast_Walkforward!$F:$F,H522),INDEX(Forecast_Walkforward!$G:$G,H522))</f>
        <v>33.25</v>
      </c>
      <c r="W522" s="79" t="n">
        <f aca="false">INDEX(Forecast!$BA$7:$BA$54,C522)</f>
        <v>5.326418529503</v>
      </c>
      <c r="X522" s="33" t="n">
        <f aca="false">Z_Value*W522*SQRT(D522)</f>
        <v>21.4604176957112</v>
      </c>
      <c r="Y522" s="33" t="n">
        <f aca="false">V522*D522+X522</f>
        <v>220.960417695711</v>
      </c>
      <c r="Z522" s="33" t="n">
        <f aca="false">SQRT((2*V522*Weeks_Per_Year*F522)/(E522*Holding_Rate))</f>
        <v>240.069434400411</v>
      </c>
      <c r="AA522" s="46" t="n">
        <f aca="false">ROUNDUP(Z522/G522,0)*G522</f>
        <v>246</v>
      </c>
      <c r="AB522" s="46" t="n">
        <f aca="false">SUMIFS(AF$517:AF521,$B$517:$B521,$B522-$D522)</f>
        <v>0</v>
      </c>
      <c r="AC522" s="46" t="n">
        <f aca="false">AI521+AB522</f>
        <v>44</v>
      </c>
      <c r="AD522" s="46" t="n">
        <f aca="false">SUMIFS(AF$517:AF521,$B$517:$B521,"&gt;"&amp;($B522-$D522))</f>
        <v>246</v>
      </c>
      <c r="AE522" s="46" t="n">
        <f aca="false">AC522+AD522</f>
        <v>290</v>
      </c>
      <c r="AF522" s="47" t="n">
        <f aca="false">IF(AE522&lt;=Y522,AA522,0)</f>
        <v>0</v>
      </c>
      <c r="AG522" s="46" t="n">
        <f aca="false">MIN(AC522,I522)</f>
        <v>26</v>
      </c>
      <c r="AH522" s="46" t="n">
        <f aca="false">I522-AG522</f>
        <v>0</v>
      </c>
      <c r="AI522" s="46" t="n">
        <f aca="false">AC522-AG522</f>
        <v>18</v>
      </c>
      <c r="AJ522" s="46" t="n">
        <f aca="false">IF(AH522&gt;0,1,0)</f>
        <v>0</v>
      </c>
    </row>
    <row r="523" customFormat="false" ht="15" hidden="false" customHeight="false" outlineLevel="0" collapsed="false">
      <c r="A523" s="31" t="str">
        <f aca="false">Inputs!$B$69</f>
        <v>ELE-001</v>
      </c>
      <c r="B523" s="46" t="n">
        <f aca="false">B522+1</f>
        <v>95</v>
      </c>
      <c r="C523" s="46" t="n">
        <f aca="false">MATCH(A523,Inputs!$B$40:$B$87,0)</f>
        <v>30</v>
      </c>
      <c r="D523" s="32" t="n">
        <f aca="false">INDEX(Inputs!$F$40:$F$87,C523)</f>
        <v>6</v>
      </c>
      <c r="E523" s="78" t="n">
        <f aca="false">INDEX(Inputs!$H$40:$H$87,C523)</f>
        <v>27</v>
      </c>
      <c r="F523" s="78" t="n">
        <f aca="false">INDEX(Inputs!$G$40:$G$87,C523)</f>
        <v>90</v>
      </c>
      <c r="G523" s="32" t="n">
        <f aca="false">INDEX(Inputs!$I$40:$I$87,C523)</f>
        <v>6</v>
      </c>
      <c r="H523" s="46" t="n">
        <f aca="false">MATCH(A523,Demand_History!$C:$C,0)+B523-1</f>
        <v>3112</v>
      </c>
      <c r="I523" s="32" t="n">
        <f aca="false">INDEX(Forecast_Walkforward!$C:$C,H523)</f>
        <v>36</v>
      </c>
      <c r="J523" s="79" t="n">
        <f aca="false">INDEX(Forecast_Walkforward!$E:$E,H523)</f>
        <v>30.25</v>
      </c>
      <c r="K523" s="33" t="n">
        <f aca="false">Baseline_Weeks*J523</f>
        <v>121</v>
      </c>
      <c r="L523" s="46" t="n">
        <f aca="false">SUMIFS(P$517:P522,$B$517:$B522,$B523-$D523)</f>
        <v>0</v>
      </c>
      <c r="M523" s="46" t="n">
        <f aca="false">S522+L523</f>
        <v>18</v>
      </c>
      <c r="N523" s="46" t="n">
        <f aca="false">SUMIFS(P$517:P522,$B$517:$B522,"&gt;"&amp;($B523-$D523))</f>
        <v>90</v>
      </c>
      <c r="O523" s="46" t="n">
        <f aca="false">M523+N523</f>
        <v>108</v>
      </c>
      <c r="P523" s="47" t="n">
        <f aca="false">IF(O523&lt;K523,ROUNDUP((K523-O523)/G523,0)*G523,0)</f>
        <v>18</v>
      </c>
      <c r="Q523" s="46" t="n">
        <f aca="false">MIN(M523,I523)</f>
        <v>18</v>
      </c>
      <c r="R523" s="46" t="n">
        <f aca="false">I523-Q523</f>
        <v>18</v>
      </c>
      <c r="S523" s="46" t="n">
        <f aca="false">M523-Q523</f>
        <v>0</v>
      </c>
      <c r="T523" s="46" t="n">
        <f aca="false">IF(R523&gt;0,1,0)</f>
        <v>1</v>
      </c>
      <c r="U523" s="32" t="n">
        <f aca="false">INDEX(Forecast!$AY$7:$AY$54,C523)</f>
        <v>2</v>
      </c>
      <c r="V523" s="33" t="n">
        <f aca="false">CHOOSE(U523,INDEX(Forecast_Walkforward!$D:$D,H523),INDEX(Forecast_Walkforward!$E:$E,H523),INDEX(Forecast_Walkforward!$F:$F,H523),INDEX(Forecast_Walkforward!$G:$G,H523))</f>
        <v>30.25</v>
      </c>
      <c r="W523" s="79" t="n">
        <f aca="false">INDEX(Forecast!$BA$7:$BA$54,C523)</f>
        <v>5.326418529503</v>
      </c>
      <c r="X523" s="33" t="n">
        <f aca="false">Z_Value*W523*SQRT(D523)</f>
        <v>21.4604176957112</v>
      </c>
      <c r="Y523" s="33" t="n">
        <f aca="false">V523*D523+X523</f>
        <v>202.960417695711</v>
      </c>
      <c r="Z523" s="33" t="n">
        <f aca="false">SQRT((2*V523*Weeks_Per_Year*F523)/(E523*Holding_Rate))</f>
        <v>228.983259941275</v>
      </c>
      <c r="AA523" s="46" t="n">
        <f aca="false">ROUNDUP(Z523/G523,0)*G523</f>
        <v>234</v>
      </c>
      <c r="AB523" s="46" t="n">
        <f aca="false">SUMIFS(AF$517:AF522,$B$517:$B522,$B523-$D523)</f>
        <v>246</v>
      </c>
      <c r="AC523" s="46" t="n">
        <f aca="false">AI522+AB523</f>
        <v>264</v>
      </c>
      <c r="AD523" s="46" t="n">
        <f aca="false">SUMIFS(AF$517:AF522,$B$517:$B522,"&gt;"&amp;($B523-$D523))</f>
        <v>0</v>
      </c>
      <c r="AE523" s="46" t="n">
        <f aca="false">AC523+AD523</f>
        <v>264</v>
      </c>
      <c r="AF523" s="47" t="n">
        <f aca="false">IF(AE523&lt;=Y523,AA523,0)</f>
        <v>0</v>
      </c>
      <c r="AG523" s="46" t="n">
        <f aca="false">MIN(AC523,I523)</f>
        <v>36</v>
      </c>
      <c r="AH523" s="46" t="n">
        <f aca="false">I523-AG523</f>
        <v>0</v>
      </c>
      <c r="AI523" s="46" t="n">
        <f aca="false">AC523-AG523</f>
        <v>228</v>
      </c>
      <c r="AJ523" s="46" t="n">
        <f aca="false">IF(AH523&gt;0,1,0)</f>
        <v>0</v>
      </c>
    </row>
    <row r="524" customFormat="false" ht="15" hidden="false" customHeight="false" outlineLevel="0" collapsed="false">
      <c r="A524" s="31" t="str">
        <f aca="false">Inputs!$B$69</f>
        <v>ELE-001</v>
      </c>
      <c r="B524" s="46" t="n">
        <f aca="false">B523+1</f>
        <v>96</v>
      </c>
      <c r="C524" s="46" t="n">
        <f aca="false">MATCH(A524,Inputs!$B$40:$B$87,0)</f>
        <v>30</v>
      </c>
      <c r="D524" s="32" t="n">
        <f aca="false">INDEX(Inputs!$F$40:$F$87,C524)</f>
        <v>6</v>
      </c>
      <c r="E524" s="78" t="n">
        <f aca="false">INDEX(Inputs!$H$40:$H$87,C524)</f>
        <v>27</v>
      </c>
      <c r="F524" s="78" t="n">
        <f aca="false">INDEX(Inputs!$G$40:$G$87,C524)</f>
        <v>90</v>
      </c>
      <c r="G524" s="32" t="n">
        <f aca="false">INDEX(Inputs!$I$40:$I$87,C524)</f>
        <v>6</v>
      </c>
      <c r="H524" s="46" t="n">
        <f aca="false">MATCH(A524,Demand_History!$C:$C,0)+B524-1</f>
        <v>3113</v>
      </c>
      <c r="I524" s="32" t="n">
        <f aca="false">INDEX(Forecast_Walkforward!$C:$C,H524)</f>
        <v>30</v>
      </c>
      <c r="J524" s="79" t="n">
        <f aca="false">INDEX(Forecast_Walkforward!$E:$E,H524)</f>
        <v>29.5</v>
      </c>
      <c r="K524" s="33" t="n">
        <f aca="false">Baseline_Weeks*J524</f>
        <v>118</v>
      </c>
      <c r="L524" s="46" t="n">
        <f aca="false">SUMIFS(P$517:P523,$B$517:$B523,$B524-$D524)</f>
        <v>0</v>
      </c>
      <c r="M524" s="46" t="n">
        <f aca="false">S523+L524</f>
        <v>0</v>
      </c>
      <c r="N524" s="46" t="n">
        <f aca="false">SUMIFS(P$517:P523,$B$517:$B523,"&gt;"&amp;($B524-$D524))</f>
        <v>108</v>
      </c>
      <c r="O524" s="46" t="n">
        <f aca="false">M524+N524</f>
        <v>108</v>
      </c>
      <c r="P524" s="47" t="n">
        <f aca="false">IF(O524&lt;K524,ROUNDUP((K524-O524)/G524,0)*G524,0)</f>
        <v>12</v>
      </c>
      <c r="Q524" s="46" t="n">
        <f aca="false">MIN(M524,I524)</f>
        <v>0</v>
      </c>
      <c r="R524" s="46" t="n">
        <f aca="false">I524-Q524</f>
        <v>30</v>
      </c>
      <c r="S524" s="46" t="n">
        <f aca="false">M524-Q524</f>
        <v>0</v>
      </c>
      <c r="T524" s="46" t="n">
        <f aca="false">IF(R524&gt;0,1,0)</f>
        <v>1</v>
      </c>
      <c r="U524" s="32" t="n">
        <f aca="false">INDEX(Forecast!$AY$7:$AY$54,C524)</f>
        <v>2</v>
      </c>
      <c r="V524" s="33" t="n">
        <f aca="false">CHOOSE(U524,INDEX(Forecast_Walkforward!$D:$D,H524),INDEX(Forecast_Walkforward!$E:$E,H524),INDEX(Forecast_Walkforward!$F:$F,H524),INDEX(Forecast_Walkforward!$G:$G,H524))</f>
        <v>29.5</v>
      </c>
      <c r="W524" s="79" t="n">
        <f aca="false">INDEX(Forecast!$BA$7:$BA$54,C524)</f>
        <v>5.326418529503</v>
      </c>
      <c r="X524" s="33" t="n">
        <f aca="false">Z_Value*W524*SQRT(D524)</f>
        <v>21.4604176957112</v>
      </c>
      <c r="Y524" s="33" t="n">
        <f aca="false">V524*D524+X524</f>
        <v>198.460417695711</v>
      </c>
      <c r="Z524" s="33" t="n">
        <f aca="false">SQRT((2*V524*Weeks_Per_Year*F524)/(E524*Holding_Rate))</f>
        <v>226.126808081955</v>
      </c>
      <c r="AA524" s="46" t="n">
        <f aca="false">ROUNDUP(Z524/G524,0)*G524</f>
        <v>228</v>
      </c>
      <c r="AB524" s="46" t="n">
        <f aca="false">SUMIFS(AF$517:AF523,$B$517:$B523,$B524-$D524)</f>
        <v>0</v>
      </c>
      <c r="AC524" s="46" t="n">
        <f aca="false">AI523+AB524</f>
        <v>228</v>
      </c>
      <c r="AD524" s="46" t="n">
        <f aca="false">SUMIFS(AF$517:AF523,$B$517:$B523,"&gt;"&amp;($B524-$D524))</f>
        <v>0</v>
      </c>
      <c r="AE524" s="46" t="n">
        <f aca="false">AC524+AD524</f>
        <v>228</v>
      </c>
      <c r="AF524" s="47" t="n">
        <f aca="false">IF(AE524&lt;=Y524,AA524,0)</f>
        <v>0</v>
      </c>
      <c r="AG524" s="46" t="n">
        <f aca="false">MIN(AC524,I524)</f>
        <v>30</v>
      </c>
      <c r="AH524" s="46" t="n">
        <f aca="false">I524-AG524</f>
        <v>0</v>
      </c>
      <c r="AI524" s="46" t="n">
        <f aca="false">AC524-AG524</f>
        <v>198</v>
      </c>
      <c r="AJ524" s="46" t="n">
        <f aca="false">IF(AH524&gt;0,1,0)</f>
        <v>0</v>
      </c>
    </row>
    <row r="525" customFormat="false" ht="15" hidden="false" customHeight="false" outlineLevel="0" collapsed="false">
      <c r="A525" s="31" t="str">
        <f aca="false">Inputs!$B$69</f>
        <v>ELE-001</v>
      </c>
      <c r="B525" s="46" t="n">
        <f aca="false">B524+1</f>
        <v>97</v>
      </c>
      <c r="C525" s="46" t="n">
        <f aca="false">MATCH(A525,Inputs!$B$40:$B$87,0)</f>
        <v>30</v>
      </c>
      <c r="D525" s="32" t="n">
        <f aca="false">INDEX(Inputs!$F$40:$F$87,C525)</f>
        <v>6</v>
      </c>
      <c r="E525" s="78" t="n">
        <f aca="false">INDEX(Inputs!$H$40:$H$87,C525)</f>
        <v>27</v>
      </c>
      <c r="F525" s="78" t="n">
        <f aca="false">INDEX(Inputs!$G$40:$G$87,C525)</f>
        <v>90</v>
      </c>
      <c r="G525" s="32" t="n">
        <f aca="false">INDEX(Inputs!$I$40:$I$87,C525)</f>
        <v>6</v>
      </c>
      <c r="H525" s="46" t="n">
        <f aca="false">MATCH(A525,Demand_History!$C:$C,0)+B525-1</f>
        <v>3114</v>
      </c>
      <c r="I525" s="32" t="n">
        <f aca="false">INDEX(Forecast_Walkforward!$C:$C,H525)</f>
        <v>36</v>
      </c>
      <c r="J525" s="79" t="n">
        <f aca="false">INDEX(Forecast_Walkforward!$E:$E,H525)</f>
        <v>32.25</v>
      </c>
      <c r="K525" s="33" t="n">
        <f aca="false">Baseline_Weeks*J525</f>
        <v>129</v>
      </c>
      <c r="L525" s="46" t="n">
        <f aca="false">SUMIFS(P$517:P524,$B$517:$B524,$B525-$D525)</f>
        <v>6</v>
      </c>
      <c r="M525" s="46" t="n">
        <f aca="false">S524+L525</f>
        <v>6</v>
      </c>
      <c r="N525" s="46" t="n">
        <f aca="false">SUMIFS(P$517:P524,$B$517:$B524,"&gt;"&amp;($B525-$D525))</f>
        <v>114</v>
      </c>
      <c r="O525" s="46" t="n">
        <f aca="false">M525+N525</f>
        <v>120</v>
      </c>
      <c r="P525" s="47" t="n">
        <f aca="false">IF(O525&lt;K525,ROUNDUP((K525-O525)/G525,0)*G525,0)</f>
        <v>12</v>
      </c>
      <c r="Q525" s="46" t="n">
        <f aca="false">MIN(M525,I525)</f>
        <v>6</v>
      </c>
      <c r="R525" s="46" t="n">
        <f aca="false">I525-Q525</f>
        <v>30</v>
      </c>
      <c r="S525" s="46" t="n">
        <f aca="false">M525-Q525</f>
        <v>0</v>
      </c>
      <c r="T525" s="46" t="n">
        <f aca="false">IF(R525&gt;0,1,0)</f>
        <v>1</v>
      </c>
      <c r="U525" s="32" t="n">
        <f aca="false">INDEX(Forecast!$AY$7:$AY$54,C525)</f>
        <v>2</v>
      </c>
      <c r="V525" s="33" t="n">
        <f aca="false">CHOOSE(U525,INDEX(Forecast_Walkforward!$D:$D,H525),INDEX(Forecast_Walkforward!$E:$E,H525),INDEX(Forecast_Walkforward!$F:$F,H525),INDEX(Forecast_Walkforward!$G:$G,H525))</f>
        <v>32.25</v>
      </c>
      <c r="W525" s="79" t="n">
        <f aca="false">INDEX(Forecast!$BA$7:$BA$54,C525)</f>
        <v>5.326418529503</v>
      </c>
      <c r="X525" s="33" t="n">
        <f aca="false">Z_Value*W525*SQRT(D525)</f>
        <v>21.4604176957112</v>
      </c>
      <c r="Y525" s="33" t="n">
        <f aca="false">V525*D525+X525</f>
        <v>214.960417695711</v>
      </c>
      <c r="Z525" s="33" t="n">
        <f aca="false">SQRT((2*V525*Weeks_Per_Year*F525)/(E525*Holding_Rate))</f>
        <v>236.431808350738</v>
      </c>
      <c r="AA525" s="46" t="n">
        <f aca="false">ROUNDUP(Z525/G525,0)*G525</f>
        <v>240</v>
      </c>
      <c r="AB525" s="46" t="n">
        <f aca="false">SUMIFS(AF$517:AF524,$B$517:$B524,$B525-$D525)</f>
        <v>0</v>
      </c>
      <c r="AC525" s="46" t="n">
        <f aca="false">AI524+AB525</f>
        <v>198</v>
      </c>
      <c r="AD525" s="46" t="n">
        <f aca="false">SUMIFS(AF$517:AF524,$B$517:$B524,"&gt;"&amp;($B525-$D525))</f>
        <v>0</v>
      </c>
      <c r="AE525" s="46" t="n">
        <f aca="false">AC525+AD525</f>
        <v>198</v>
      </c>
      <c r="AF525" s="47" t="n">
        <f aca="false">IF(AE525&lt;=Y525,AA525,0)</f>
        <v>240</v>
      </c>
      <c r="AG525" s="46" t="n">
        <f aca="false">MIN(AC525,I525)</f>
        <v>36</v>
      </c>
      <c r="AH525" s="46" t="n">
        <f aca="false">I525-AG525</f>
        <v>0</v>
      </c>
      <c r="AI525" s="46" t="n">
        <f aca="false">AC525-AG525</f>
        <v>162</v>
      </c>
      <c r="AJ525" s="46" t="n">
        <f aca="false">IF(AH525&gt;0,1,0)</f>
        <v>0</v>
      </c>
    </row>
    <row r="526" customFormat="false" ht="15" hidden="false" customHeight="false" outlineLevel="0" collapsed="false">
      <c r="A526" s="31" t="str">
        <f aca="false">Inputs!$B$69</f>
        <v>ELE-001</v>
      </c>
      <c r="B526" s="46" t="n">
        <f aca="false">B525+1</f>
        <v>98</v>
      </c>
      <c r="C526" s="46" t="n">
        <f aca="false">MATCH(A526,Inputs!$B$40:$B$87,0)</f>
        <v>30</v>
      </c>
      <c r="D526" s="32" t="n">
        <f aca="false">INDEX(Inputs!$F$40:$F$87,C526)</f>
        <v>6</v>
      </c>
      <c r="E526" s="78" t="n">
        <f aca="false">INDEX(Inputs!$H$40:$H$87,C526)</f>
        <v>27</v>
      </c>
      <c r="F526" s="78" t="n">
        <f aca="false">INDEX(Inputs!$G$40:$G$87,C526)</f>
        <v>90</v>
      </c>
      <c r="G526" s="32" t="n">
        <f aca="false">INDEX(Inputs!$I$40:$I$87,C526)</f>
        <v>6</v>
      </c>
      <c r="H526" s="46" t="n">
        <f aca="false">MATCH(A526,Demand_History!$C:$C,0)+B526-1</f>
        <v>3115</v>
      </c>
      <c r="I526" s="32" t="n">
        <f aca="false">INDEX(Forecast_Walkforward!$C:$C,H526)</f>
        <v>42</v>
      </c>
      <c r="J526" s="79" t="n">
        <f aca="false">INDEX(Forecast_Walkforward!$E:$E,H526)</f>
        <v>32</v>
      </c>
      <c r="K526" s="33" t="n">
        <f aca="false">Baseline_Weeks*J526</f>
        <v>128</v>
      </c>
      <c r="L526" s="46" t="n">
        <f aca="false">SUMIFS(P$517:P525,$B$517:$B525,$B526-$D526)</f>
        <v>48</v>
      </c>
      <c r="M526" s="46" t="n">
        <f aca="false">S525+L526</f>
        <v>48</v>
      </c>
      <c r="N526" s="46" t="n">
        <f aca="false">SUMIFS(P$517:P525,$B$517:$B525,"&gt;"&amp;($B526-$D526))</f>
        <v>78</v>
      </c>
      <c r="O526" s="46" t="n">
        <f aca="false">M526+N526</f>
        <v>126</v>
      </c>
      <c r="P526" s="47" t="n">
        <f aca="false">IF(O526&lt;K526,ROUNDUP((K526-O526)/G526,0)*G526,0)</f>
        <v>6</v>
      </c>
      <c r="Q526" s="46" t="n">
        <f aca="false">MIN(M526,I526)</f>
        <v>42</v>
      </c>
      <c r="R526" s="46" t="n">
        <f aca="false">I526-Q526</f>
        <v>0</v>
      </c>
      <c r="S526" s="46" t="n">
        <f aca="false">M526-Q526</f>
        <v>6</v>
      </c>
      <c r="T526" s="46" t="n">
        <f aca="false">IF(R526&gt;0,1,0)</f>
        <v>0</v>
      </c>
      <c r="U526" s="32" t="n">
        <f aca="false">INDEX(Forecast!$AY$7:$AY$54,C526)</f>
        <v>2</v>
      </c>
      <c r="V526" s="33" t="n">
        <f aca="false">CHOOSE(U526,INDEX(Forecast_Walkforward!$D:$D,H526),INDEX(Forecast_Walkforward!$E:$E,H526),INDEX(Forecast_Walkforward!$F:$F,H526),INDEX(Forecast_Walkforward!$G:$G,H526))</f>
        <v>32</v>
      </c>
      <c r="W526" s="79" t="n">
        <f aca="false">INDEX(Forecast!$BA$7:$BA$54,C526)</f>
        <v>5.326418529503</v>
      </c>
      <c r="X526" s="33" t="n">
        <f aca="false">Z_Value*W526*SQRT(D526)</f>
        <v>21.4604176957112</v>
      </c>
      <c r="Y526" s="33" t="n">
        <f aca="false">V526*D526+X526</f>
        <v>213.460417695711</v>
      </c>
      <c r="Z526" s="33" t="n">
        <f aca="false">SQRT((2*V526*Weeks_Per_Year*F526)/(E526*Holding_Rate))</f>
        <v>235.513623102076</v>
      </c>
      <c r="AA526" s="46" t="n">
        <f aca="false">ROUNDUP(Z526/G526,0)*G526</f>
        <v>240</v>
      </c>
      <c r="AB526" s="46" t="n">
        <f aca="false">SUMIFS(AF$517:AF525,$B$517:$B525,$B526-$D526)</f>
        <v>0</v>
      </c>
      <c r="AC526" s="46" t="n">
        <f aca="false">AI525+AB526</f>
        <v>162</v>
      </c>
      <c r="AD526" s="46" t="n">
        <f aca="false">SUMIFS(AF$517:AF525,$B$517:$B525,"&gt;"&amp;($B526-$D526))</f>
        <v>240</v>
      </c>
      <c r="AE526" s="46" t="n">
        <f aca="false">AC526+AD526</f>
        <v>402</v>
      </c>
      <c r="AF526" s="47" t="n">
        <f aca="false">IF(AE526&lt;=Y526,AA526,0)</f>
        <v>0</v>
      </c>
      <c r="AG526" s="46" t="n">
        <f aca="false">MIN(AC526,I526)</f>
        <v>42</v>
      </c>
      <c r="AH526" s="46" t="n">
        <f aca="false">I526-AG526</f>
        <v>0</v>
      </c>
      <c r="AI526" s="46" t="n">
        <f aca="false">AC526-AG526</f>
        <v>120</v>
      </c>
      <c r="AJ526" s="46" t="n">
        <f aca="false">IF(AH526&gt;0,1,0)</f>
        <v>0</v>
      </c>
    </row>
    <row r="527" customFormat="false" ht="15" hidden="false" customHeight="false" outlineLevel="0" collapsed="false">
      <c r="A527" s="31" t="str">
        <f aca="false">Inputs!$B$69</f>
        <v>ELE-001</v>
      </c>
      <c r="B527" s="46" t="n">
        <f aca="false">B526+1</f>
        <v>99</v>
      </c>
      <c r="C527" s="46" t="n">
        <f aca="false">MATCH(A527,Inputs!$B$40:$B$87,0)</f>
        <v>30</v>
      </c>
      <c r="D527" s="32" t="n">
        <f aca="false">INDEX(Inputs!$F$40:$F$87,C527)</f>
        <v>6</v>
      </c>
      <c r="E527" s="78" t="n">
        <f aca="false">INDEX(Inputs!$H$40:$H$87,C527)</f>
        <v>27</v>
      </c>
      <c r="F527" s="78" t="n">
        <f aca="false">INDEX(Inputs!$G$40:$G$87,C527)</f>
        <v>90</v>
      </c>
      <c r="G527" s="32" t="n">
        <f aca="false">INDEX(Inputs!$I$40:$I$87,C527)</f>
        <v>6</v>
      </c>
      <c r="H527" s="46" t="n">
        <f aca="false">MATCH(A527,Demand_History!$C:$C,0)+B527-1</f>
        <v>3116</v>
      </c>
      <c r="I527" s="32" t="n">
        <f aca="false">INDEX(Forecast_Walkforward!$C:$C,H527)</f>
        <v>26</v>
      </c>
      <c r="J527" s="79" t="n">
        <f aca="false">INDEX(Forecast_Walkforward!$E:$E,H527)</f>
        <v>36</v>
      </c>
      <c r="K527" s="33" t="n">
        <f aca="false">Baseline_Weeks*J527</f>
        <v>144</v>
      </c>
      <c r="L527" s="46" t="n">
        <f aca="false">SUMIFS(P$517:P526,$B$517:$B526,$B527-$D527)</f>
        <v>0</v>
      </c>
      <c r="M527" s="46" t="n">
        <f aca="false">S526+L527</f>
        <v>6</v>
      </c>
      <c r="N527" s="46" t="n">
        <f aca="false">SUMIFS(P$517:P526,$B$517:$B526,"&gt;"&amp;($B527-$D527))</f>
        <v>84</v>
      </c>
      <c r="O527" s="46" t="n">
        <f aca="false">M527+N527</f>
        <v>90</v>
      </c>
      <c r="P527" s="47" t="n">
        <f aca="false">IF(O527&lt;K527,ROUNDUP((K527-O527)/G527,0)*G527,0)</f>
        <v>54</v>
      </c>
      <c r="Q527" s="46" t="n">
        <f aca="false">MIN(M527,I527)</f>
        <v>6</v>
      </c>
      <c r="R527" s="46" t="n">
        <f aca="false">I527-Q527</f>
        <v>20</v>
      </c>
      <c r="S527" s="46" t="n">
        <f aca="false">M527-Q527</f>
        <v>0</v>
      </c>
      <c r="T527" s="46" t="n">
        <f aca="false">IF(R527&gt;0,1,0)</f>
        <v>1</v>
      </c>
      <c r="U527" s="32" t="n">
        <f aca="false">INDEX(Forecast!$AY$7:$AY$54,C527)</f>
        <v>2</v>
      </c>
      <c r="V527" s="33" t="n">
        <f aca="false">CHOOSE(U527,INDEX(Forecast_Walkforward!$D:$D,H527),INDEX(Forecast_Walkforward!$E:$E,H527),INDEX(Forecast_Walkforward!$F:$F,H527),INDEX(Forecast_Walkforward!$G:$G,H527))</f>
        <v>36</v>
      </c>
      <c r="W527" s="79" t="n">
        <f aca="false">INDEX(Forecast!$BA$7:$BA$54,C527)</f>
        <v>5.326418529503</v>
      </c>
      <c r="X527" s="33" t="n">
        <f aca="false">Z_Value*W527*SQRT(D527)</f>
        <v>21.4604176957112</v>
      </c>
      <c r="Y527" s="33" t="n">
        <f aca="false">V527*D527+X527</f>
        <v>237.460417695711</v>
      </c>
      <c r="Z527" s="33" t="n">
        <f aca="false">SQRT((2*V527*Weeks_Per_Year*F527)/(E527*Holding_Rate))</f>
        <v>249.799919935936</v>
      </c>
      <c r="AA527" s="46" t="n">
        <f aca="false">ROUNDUP(Z527/G527,0)*G527</f>
        <v>252</v>
      </c>
      <c r="AB527" s="46" t="n">
        <f aca="false">SUMIFS(AF$517:AF526,$B$517:$B526,$B527-$D527)</f>
        <v>0</v>
      </c>
      <c r="AC527" s="46" t="n">
        <f aca="false">AI526+AB527</f>
        <v>120</v>
      </c>
      <c r="AD527" s="46" t="n">
        <f aca="false">SUMIFS(AF$517:AF526,$B$517:$B526,"&gt;"&amp;($B527-$D527))</f>
        <v>240</v>
      </c>
      <c r="AE527" s="46" t="n">
        <f aca="false">AC527+AD527</f>
        <v>360</v>
      </c>
      <c r="AF527" s="47" t="n">
        <f aca="false">IF(AE527&lt;=Y527,AA527,0)</f>
        <v>0</v>
      </c>
      <c r="AG527" s="46" t="n">
        <f aca="false">MIN(AC527,I527)</f>
        <v>26</v>
      </c>
      <c r="AH527" s="46" t="n">
        <f aca="false">I527-AG527</f>
        <v>0</v>
      </c>
      <c r="AI527" s="46" t="n">
        <f aca="false">AC527-AG527</f>
        <v>94</v>
      </c>
      <c r="AJ527" s="46" t="n">
        <f aca="false">IF(AH527&gt;0,1,0)</f>
        <v>0</v>
      </c>
    </row>
    <row r="528" customFormat="false" ht="15" hidden="false" customHeight="false" outlineLevel="0" collapsed="false">
      <c r="A528" s="31" t="str">
        <f aca="false">Inputs!$B$69</f>
        <v>ELE-001</v>
      </c>
      <c r="B528" s="46" t="n">
        <f aca="false">B527+1</f>
        <v>100</v>
      </c>
      <c r="C528" s="46" t="n">
        <f aca="false">MATCH(A528,Inputs!$B$40:$B$87,0)</f>
        <v>30</v>
      </c>
      <c r="D528" s="32" t="n">
        <f aca="false">INDEX(Inputs!$F$40:$F$87,C528)</f>
        <v>6</v>
      </c>
      <c r="E528" s="78" t="n">
        <f aca="false">INDEX(Inputs!$H$40:$H$87,C528)</f>
        <v>27</v>
      </c>
      <c r="F528" s="78" t="n">
        <f aca="false">INDEX(Inputs!$G$40:$G$87,C528)</f>
        <v>90</v>
      </c>
      <c r="G528" s="32" t="n">
        <f aca="false">INDEX(Inputs!$I$40:$I$87,C528)</f>
        <v>6</v>
      </c>
      <c r="H528" s="46" t="n">
        <f aca="false">MATCH(A528,Demand_History!$C:$C,0)+B528-1</f>
        <v>3117</v>
      </c>
      <c r="I528" s="32" t="n">
        <f aca="false">INDEX(Forecast_Walkforward!$C:$C,H528)</f>
        <v>36</v>
      </c>
      <c r="J528" s="79" t="n">
        <f aca="false">INDEX(Forecast_Walkforward!$E:$E,H528)</f>
        <v>33.5</v>
      </c>
      <c r="K528" s="33" t="n">
        <f aca="false">Baseline_Weeks*J528</f>
        <v>134</v>
      </c>
      <c r="L528" s="46" t="n">
        <f aca="false">SUMIFS(P$517:P527,$B$517:$B527,$B528-$D528)</f>
        <v>36</v>
      </c>
      <c r="M528" s="46" t="n">
        <f aca="false">S527+L528</f>
        <v>36</v>
      </c>
      <c r="N528" s="46" t="n">
        <f aca="false">SUMIFS(P$517:P527,$B$517:$B527,"&gt;"&amp;($B528-$D528))</f>
        <v>102</v>
      </c>
      <c r="O528" s="46" t="n">
        <f aca="false">M528+N528</f>
        <v>138</v>
      </c>
      <c r="P528" s="47" t="n">
        <f aca="false">IF(O528&lt;K528,ROUNDUP((K528-O528)/G528,0)*G528,0)</f>
        <v>0</v>
      </c>
      <c r="Q528" s="46" t="n">
        <f aca="false">MIN(M528,I528)</f>
        <v>36</v>
      </c>
      <c r="R528" s="46" t="n">
        <f aca="false">I528-Q528</f>
        <v>0</v>
      </c>
      <c r="S528" s="46" t="n">
        <f aca="false">M528-Q528</f>
        <v>0</v>
      </c>
      <c r="T528" s="46" t="n">
        <f aca="false">IF(R528&gt;0,1,0)</f>
        <v>0</v>
      </c>
      <c r="U528" s="32" t="n">
        <f aca="false">INDEX(Forecast!$AY$7:$AY$54,C528)</f>
        <v>2</v>
      </c>
      <c r="V528" s="33" t="n">
        <f aca="false">CHOOSE(U528,INDEX(Forecast_Walkforward!$D:$D,H528),INDEX(Forecast_Walkforward!$E:$E,H528),INDEX(Forecast_Walkforward!$F:$F,H528),INDEX(Forecast_Walkforward!$G:$G,H528))</f>
        <v>33.5</v>
      </c>
      <c r="W528" s="79" t="n">
        <f aca="false">INDEX(Forecast!$BA$7:$BA$54,C528)</f>
        <v>5.326418529503</v>
      </c>
      <c r="X528" s="33" t="n">
        <f aca="false">Z_Value*W528*SQRT(D528)</f>
        <v>21.4604176957112</v>
      </c>
      <c r="Y528" s="33" t="n">
        <f aca="false">V528*D528+X528</f>
        <v>222.460417695711</v>
      </c>
      <c r="Z528" s="33" t="n">
        <f aca="false">SQRT((2*V528*Weeks_Per_Year*F528)/(E528*Holding_Rate))</f>
        <v>240.970260959038</v>
      </c>
      <c r="AA528" s="46" t="n">
        <f aca="false">ROUNDUP(Z528/G528,0)*G528</f>
        <v>246</v>
      </c>
      <c r="AB528" s="46" t="n">
        <f aca="false">SUMIFS(AF$517:AF527,$B$517:$B527,$B528-$D528)</f>
        <v>0</v>
      </c>
      <c r="AC528" s="46" t="n">
        <f aca="false">AI527+AB528</f>
        <v>94</v>
      </c>
      <c r="AD528" s="46" t="n">
        <f aca="false">SUMIFS(AF$517:AF527,$B$517:$B527,"&gt;"&amp;($B528-$D528))</f>
        <v>240</v>
      </c>
      <c r="AE528" s="46" t="n">
        <f aca="false">AC528+AD528</f>
        <v>334</v>
      </c>
      <c r="AF528" s="47" t="n">
        <f aca="false">IF(AE528&lt;=Y528,AA528,0)</f>
        <v>0</v>
      </c>
      <c r="AG528" s="46" t="n">
        <f aca="false">MIN(AC528,I528)</f>
        <v>36</v>
      </c>
      <c r="AH528" s="46" t="n">
        <f aca="false">I528-AG528</f>
        <v>0</v>
      </c>
      <c r="AI528" s="46" t="n">
        <f aca="false">AC528-AG528</f>
        <v>58</v>
      </c>
      <c r="AJ528" s="46" t="n">
        <f aca="false">IF(AH528&gt;0,1,0)</f>
        <v>0</v>
      </c>
    </row>
    <row r="529" customFormat="false" ht="15" hidden="false" customHeight="false" outlineLevel="0" collapsed="false">
      <c r="A529" s="31" t="str">
        <f aca="false">Inputs!$B$69</f>
        <v>ELE-001</v>
      </c>
      <c r="B529" s="46" t="n">
        <f aca="false">B528+1</f>
        <v>101</v>
      </c>
      <c r="C529" s="46" t="n">
        <f aca="false">MATCH(A529,Inputs!$B$40:$B$87,0)</f>
        <v>30</v>
      </c>
      <c r="D529" s="32" t="n">
        <f aca="false">INDEX(Inputs!$F$40:$F$87,C529)</f>
        <v>6</v>
      </c>
      <c r="E529" s="78" t="n">
        <f aca="false">INDEX(Inputs!$H$40:$H$87,C529)</f>
        <v>27</v>
      </c>
      <c r="F529" s="78" t="n">
        <f aca="false">INDEX(Inputs!$G$40:$G$87,C529)</f>
        <v>90</v>
      </c>
      <c r="G529" s="32" t="n">
        <f aca="false">INDEX(Inputs!$I$40:$I$87,C529)</f>
        <v>6</v>
      </c>
      <c r="H529" s="46" t="n">
        <f aca="false">MATCH(A529,Demand_History!$C:$C,0)+B529-1</f>
        <v>3118</v>
      </c>
      <c r="I529" s="32" t="n">
        <f aca="false">INDEX(Forecast_Walkforward!$C:$C,H529)</f>
        <v>35</v>
      </c>
      <c r="J529" s="79" t="n">
        <f aca="false">INDEX(Forecast_Walkforward!$E:$E,H529)</f>
        <v>35</v>
      </c>
      <c r="K529" s="33" t="n">
        <f aca="false">Baseline_Weeks*J529</f>
        <v>140</v>
      </c>
      <c r="L529" s="46" t="n">
        <f aca="false">SUMIFS(P$517:P528,$B$517:$B528,$B529-$D529)</f>
        <v>18</v>
      </c>
      <c r="M529" s="46" t="n">
        <f aca="false">S528+L529</f>
        <v>18</v>
      </c>
      <c r="N529" s="46" t="n">
        <f aca="false">SUMIFS(P$517:P528,$B$517:$B528,"&gt;"&amp;($B529-$D529))</f>
        <v>84</v>
      </c>
      <c r="O529" s="46" t="n">
        <f aca="false">M529+N529</f>
        <v>102</v>
      </c>
      <c r="P529" s="47" t="n">
        <f aca="false">IF(O529&lt;K529,ROUNDUP((K529-O529)/G529,0)*G529,0)</f>
        <v>42</v>
      </c>
      <c r="Q529" s="46" t="n">
        <f aca="false">MIN(M529,I529)</f>
        <v>18</v>
      </c>
      <c r="R529" s="46" t="n">
        <f aca="false">I529-Q529</f>
        <v>17</v>
      </c>
      <c r="S529" s="46" t="n">
        <f aca="false">M529-Q529</f>
        <v>0</v>
      </c>
      <c r="T529" s="46" t="n">
        <f aca="false">IF(R529&gt;0,1,0)</f>
        <v>1</v>
      </c>
      <c r="U529" s="32" t="n">
        <f aca="false">INDEX(Forecast!$AY$7:$AY$54,C529)</f>
        <v>2</v>
      </c>
      <c r="V529" s="33" t="n">
        <f aca="false">CHOOSE(U529,INDEX(Forecast_Walkforward!$D:$D,H529),INDEX(Forecast_Walkforward!$E:$E,H529),INDEX(Forecast_Walkforward!$F:$F,H529),INDEX(Forecast_Walkforward!$G:$G,H529))</f>
        <v>35</v>
      </c>
      <c r="W529" s="79" t="n">
        <f aca="false">INDEX(Forecast!$BA$7:$BA$54,C529)</f>
        <v>5.326418529503</v>
      </c>
      <c r="X529" s="33" t="n">
        <f aca="false">Z_Value*W529*SQRT(D529)</f>
        <v>21.4604176957112</v>
      </c>
      <c r="Y529" s="33" t="n">
        <f aca="false">V529*D529+X529</f>
        <v>231.460417695711</v>
      </c>
      <c r="Z529" s="33" t="n">
        <f aca="false">SQRT((2*V529*Weeks_Per_Year*F529)/(E529*Holding_Rate))</f>
        <v>246.306042692149</v>
      </c>
      <c r="AA529" s="46" t="n">
        <f aca="false">ROUNDUP(Z529/G529,0)*G529</f>
        <v>252</v>
      </c>
      <c r="AB529" s="46" t="n">
        <f aca="false">SUMIFS(AF$517:AF528,$B$517:$B528,$B529-$D529)</f>
        <v>0</v>
      </c>
      <c r="AC529" s="46" t="n">
        <f aca="false">AI528+AB529</f>
        <v>58</v>
      </c>
      <c r="AD529" s="46" t="n">
        <f aca="false">SUMIFS(AF$517:AF528,$B$517:$B528,"&gt;"&amp;($B529-$D529))</f>
        <v>240</v>
      </c>
      <c r="AE529" s="46" t="n">
        <f aca="false">AC529+AD529</f>
        <v>298</v>
      </c>
      <c r="AF529" s="47" t="n">
        <f aca="false">IF(AE529&lt;=Y529,AA529,0)</f>
        <v>0</v>
      </c>
      <c r="AG529" s="46" t="n">
        <f aca="false">MIN(AC529,I529)</f>
        <v>35</v>
      </c>
      <c r="AH529" s="46" t="n">
        <f aca="false">I529-AG529</f>
        <v>0</v>
      </c>
      <c r="AI529" s="46" t="n">
        <f aca="false">AC529-AG529</f>
        <v>23</v>
      </c>
      <c r="AJ529" s="46" t="n">
        <f aca="false">IF(AH529&gt;0,1,0)</f>
        <v>0</v>
      </c>
    </row>
    <row r="530" customFormat="false" ht="15" hidden="false" customHeight="false" outlineLevel="0" collapsed="false">
      <c r="A530" s="31" t="str">
        <f aca="false">Inputs!$B$69</f>
        <v>ELE-001</v>
      </c>
      <c r="B530" s="46" t="n">
        <f aca="false">B529+1</f>
        <v>102</v>
      </c>
      <c r="C530" s="46" t="n">
        <f aca="false">MATCH(A530,Inputs!$B$40:$B$87,0)</f>
        <v>30</v>
      </c>
      <c r="D530" s="32" t="n">
        <f aca="false">INDEX(Inputs!$F$40:$F$87,C530)</f>
        <v>6</v>
      </c>
      <c r="E530" s="78" t="n">
        <f aca="false">INDEX(Inputs!$H$40:$H$87,C530)</f>
        <v>27</v>
      </c>
      <c r="F530" s="78" t="n">
        <f aca="false">INDEX(Inputs!$G$40:$G$87,C530)</f>
        <v>90</v>
      </c>
      <c r="G530" s="32" t="n">
        <f aca="false">INDEX(Inputs!$I$40:$I$87,C530)</f>
        <v>6</v>
      </c>
      <c r="H530" s="46" t="n">
        <f aca="false">MATCH(A530,Demand_History!$C:$C,0)+B530-1</f>
        <v>3119</v>
      </c>
      <c r="I530" s="32" t="n">
        <f aca="false">INDEX(Forecast_Walkforward!$C:$C,H530)</f>
        <v>25</v>
      </c>
      <c r="J530" s="79" t="n">
        <f aca="false">INDEX(Forecast_Walkforward!$E:$E,H530)</f>
        <v>34.75</v>
      </c>
      <c r="K530" s="33" t="n">
        <f aca="false">Baseline_Weeks*J530</f>
        <v>139</v>
      </c>
      <c r="L530" s="46" t="n">
        <f aca="false">SUMIFS(P$517:P529,$B$517:$B529,$B530-$D530)</f>
        <v>12</v>
      </c>
      <c r="M530" s="46" t="n">
        <f aca="false">S529+L530</f>
        <v>12</v>
      </c>
      <c r="N530" s="46" t="n">
        <f aca="false">SUMIFS(P$517:P529,$B$517:$B529,"&gt;"&amp;($B530-$D530))</f>
        <v>114</v>
      </c>
      <c r="O530" s="46" t="n">
        <f aca="false">M530+N530</f>
        <v>126</v>
      </c>
      <c r="P530" s="47" t="n">
        <f aca="false">IF(O530&lt;K530,ROUNDUP((K530-O530)/G530,0)*G530,0)</f>
        <v>18</v>
      </c>
      <c r="Q530" s="46" t="n">
        <f aca="false">MIN(M530,I530)</f>
        <v>12</v>
      </c>
      <c r="R530" s="46" t="n">
        <f aca="false">I530-Q530</f>
        <v>13</v>
      </c>
      <c r="S530" s="46" t="n">
        <f aca="false">M530-Q530</f>
        <v>0</v>
      </c>
      <c r="T530" s="46" t="n">
        <f aca="false">IF(R530&gt;0,1,0)</f>
        <v>1</v>
      </c>
      <c r="U530" s="32" t="n">
        <f aca="false">INDEX(Forecast!$AY$7:$AY$54,C530)</f>
        <v>2</v>
      </c>
      <c r="V530" s="33" t="n">
        <f aca="false">CHOOSE(U530,INDEX(Forecast_Walkforward!$D:$D,H530),INDEX(Forecast_Walkforward!$E:$E,H530),INDEX(Forecast_Walkforward!$F:$F,H530),INDEX(Forecast_Walkforward!$G:$G,H530))</f>
        <v>34.75</v>
      </c>
      <c r="W530" s="79" t="n">
        <f aca="false">INDEX(Forecast!$BA$7:$BA$54,C530)</f>
        <v>5.326418529503</v>
      </c>
      <c r="X530" s="33" t="n">
        <f aca="false">Z_Value*W530*SQRT(D530)</f>
        <v>21.4604176957112</v>
      </c>
      <c r="Y530" s="33" t="n">
        <f aca="false">V530*D530+X530</f>
        <v>229.960417695711</v>
      </c>
      <c r="Z530" s="33" t="n">
        <f aca="false">SQRT((2*V530*Weeks_Per_Year*F530)/(E530*Holding_Rate))</f>
        <v>245.424801789333</v>
      </c>
      <c r="AA530" s="46" t="n">
        <f aca="false">ROUNDUP(Z530/G530,0)*G530</f>
        <v>246</v>
      </c>
      <c r="AB530" s="46" t="n">
        <f aca="false">SUMIFS(AF$517:AF529,$B$517:$B529,$B530-$D530)</f>
        <v>0</v>
      </c>
      <c r="AC530" s="46" t="n">
        <f aca="false">AI529+AB530</f>
        <v>23</v>
      </c>
      <c r="AD530" s="46" t="n">
        <f aca="false">SUMIFS(AF$517:AF529,$B$517:$B529,"&gt;"&amp;($B530-$D530))</f>
        <v>240</v>
      </c>
      <c r="AE530" s="46" t="n">
        <f aca="false">AC530+AD530</f>
        <v>263</v>
      </c>
      <c r="AF530" s="47" t="n">
        <f aca="false">IF(AE530&lt;=Y530,AA530,0)</f>
        <v>0</v>
      </c>
      <c r="AG530" s="46" t="n">
        <f aca="false">MIN(AC530,I530)</f>
        <v>23</v>
      </c>
      <c r="AH530" s="46" t="n">
        <f aca="false">I530-AG530</f>
        <v>2</v>
      </c>
      <c r="AI530" s="46" t="n">
        <f aca="false">AC530-AG530</f>
        <v>0</v>
      </c>
      <c r="AJ530" s="46" t="n">
        <f aca="false">IF(AH530&gt;0,1,0)</f>
        <v>1</v>
      </c>
    </row>
    <row r="531" customFormat="false" ht="15" hidden="false" customHeight="false" outlineLevel="0" collapsed="false">
      <c r="A531" s="31" t="str">
        <f aca="false">Inputs!$B$69</f>
        <v>ELE-001</v>
      </c>
      <c r="B531" s="46" t="n">
        <f aca="false">B530+1</f>
        <v>103</v>
      </c>
      <c r="C531" s="46" t="n">
        <f aca="false">MATCH(A531,Inputs!$B$40:$B$87,0)</f>
        <v>30</v>
      </c>
      <c r="D531" s="32" t="n">
        <f aca="false">INDEX(Inputs!$F$40:$F$87,C531)</f>
        <v>6</v>
      </c>
      <c r="E531" s="78" t="n">
        <f aca="false">INDEX(Inputs!$H$40:$H$87,C531)</f>
        <v>27</v>
      </c>
      <c r="F531" s="78" t="n">
        <f aca="false">INDEX(Inputs!$G$40:$G$87,C531)</f>
        <v>90</v>
      </c>
      <c r="G531" s="32" t="n">
        <f aca="false">INDEX(Inputs!$I$40:$I$87,C531)</f>
        <v>6</v>
      </c>
      <c r="H531" s="46" t="n">
        <f aca="false">MATCH(A531,Demand_History!$C:$C,0)+B531-1</f>
        <v>3120</v>
      </c>
      <c r="I531" s="32" t="n">
        <f aca="false">INDEX(Forecast_Walkforward!$C:$C,H531)</f>
        <v>38</v>
      </c>
      <c r="J531" s="79" t="n">
        <f aca="false">INDEX(Forecast_Walkforward!$E:$E,H531)</f>
        <v>30.5</v>
      </c>
      <c r="K531" s="33" t="n">
        <f aca="false">Baseline_Weeks*J531</f>
        <v>122</v>
      </c>
      <c r="L531" s="46" t="n">
        <f aca="false">SUMIFS(P$517:P530,$B$517:$B530,$B531-$D531)</f>
        <v>12</v>
      </c>
      <c r="M531" s="46" t="n">
        <f aca="false">S530+L531</f>
        <v>12</v>
      </c>
      <c r="N531" s="46" t="n">
        <f aca="false">SUMIFS(P$517:P530,$B$517:$B530,"&gt;"&amp;($B531-$D531))</f>
        <v>120</v>
      </c>
      <c r="O531" s="46" t="n">
        <f aca="false">M531+N531</f>
        <v>132</v>
      </c>
      <c r="P531" s="47" t="n">
        <f aca="false">IF(O531&lt;K531,ROUNDUP((K531-O531)/G531,0)*G531,0)</f>
        <v>0</v>
      </c>
      <c r="Q531" s="46" t="n">
        <f aca="false">MIN(M531,I531)</f>
        <v>12</v>
      </c>
      <c r="R531" s="46" t="n">
        <f aca="false">I531-Q531</f>
        <v>26</v>
      </c>
      <c r="S531" s="46" t="n">
        <f aca="false">M531-Q531</f>
        <v>0</v>
      </c>
      <c r="T531" s="46" t="n">
        <f aca="false">IF(R531&gt;0,1,0)</f>
        <v>1</v>
      </c>
      <c r="U531" s="32" t="n">
        <f aca="false">INDEX(Forecast!$AY$7:$AY$54,C531)</f>
        <v>2</v>
      </c>
      <c r="V531" s="33" t="n">
        <f aca="false">CHOOSE(U531,INDEX(Forecast_Walkforward!$D:$D,H531),INDEX(Forecast_Walkforward!$E:$E,H531),INDEX(Forecast_Walkforward!$F:$F,H531),INDEX(Forecast_Walkforward!$G:$G,H531))</f>
        <v>30.5</v>
      </c>
      <c r="W531" s="79" t="n">
        <f aca="false">INDEX(Forecast!$BA$7:$BA$54,C531)</f>
        <v>5.326418529503</v>
      </c>
      <c r="X531" s="33" t="n">
        <f aca="false">Z_Value*W531*SQRT(D531)</f>
        <v>21.4604176957112</v>
      </c>
      <c r="Y531" s="33" t="n">
        <f aca="false">V531*D531+X531</f>
        <v>204.460417695711</v>
      </c>
      <c r="Z531" s="33" t="n">
        <f aca="false">SQRT((2*V531*Weeks_Per_Year*F531)/(E531*Holding_Rate))</f>
        <v>229.927524813074</v>
      </c>
      <c r="AA531" s="46" t="n">
        <f aca="false">ROUNDUP(Z531/G531,0)*G531</f>
        <v>234</v>
      </c>
      <c r="AB531" s="46" t="n">
        <f aca="false">SUMIFS(AF$517:AF530,$B$517:$B530,$B531-$D531)</f>
        <v>240</v>
      </c>
      <c r="AC531" s="46" t="n">
        <f aca="false">AI530+AB531</f>
        <v>240</v>
      </c>
      <c r="AD531" s="46" t="n">
        <f aca="false">SUMIFS(AF$517:AF530,$B$517:$B530,"&gt;"&amp;($B531-$D531))</f>
        <v>0</v>
      </c>
      <c r="AE531" s="46" t="n">
        <f aca="false">AC531+AD531</f>
        <v>240</v>
      </c>
      <c r="AF531" s="47" t="n">
        <f aca="false">IF(AE531&lt;=Y531,AA531,0)</f>
        <v>0</v>
      </c>
      <c r="AG531" s="46" t="n">
        <f aca="false">MIN(AC531,I531)</f>
        <v>38</v>
      </c>
      <c r="AH531" s="46" t="n">
        <f aca="false">I531-AG531</f>
        <v>0</v>
      </c>
      <c r="AI531" s="46" t="n">
        <f aca="false">AC531-AG531</f>
        <v>202</v>
      </c>
      <c r="AJ531" s="46" t="n">
        <f aca="false">IF(AH531&gt;0,1,0)</f>
        <v>0</v>
      </c>
    </row>
    <row r="532" customFormat="false" ht="15" hidden="false" customHeight="false" outlineLevel="0" collapsed="false">
      <c r="A532" s="80" t="str">
        <f aca="false">Inputs!$B$69</f>
        <v>ELE-001</v>
      </c>
      <c r="B532" s="81" t="n">
        <f aca="false">B531+1</f>
        <v>104</v>
      </c>
      <c r="C532" s="81" t="n">
        <f aca="false">MATCH(A532,Inputs!$B$40:$B$87,0)</f>
        <v>30</v>
      </c>
      <c r="D532" s="82" t="n">
        <f aca="false">INDEX(Inputs!$F$40:$F$87,C532)</f>
        <v>6</v>
      </c>
      <c r="E532" s="83" t="n">
        <f aca="false">INDEX(Inputs!$H$40:$H$87,C532)</f>
        <v>27</v>
      </c>
      <c r="F532" s="83" t="n">
        <f aca="false">INDEX(Inputs!$G$40:$G$87,C532)</f>
        <v>90</v>
      </c>
      <c r="G532" s="82" t="n">
        <f aca="false">INDEX(Inputs!$I$40:$I$87,C532)</f>
        <v>6</v>
      </c>
      <c r="H532" s="81" t="n">
        <f aca="false">MATCH(A532,Demand_History!$C:$C,0)+B532-1</f>
        <v>3121</v>
      </c>
      <c r="I532" s="82" t="n">
        <f aca="false">INDEX(Forecast_Walkforward!$C:$C,H532)</f>
        <v>35</v>
      </c>
      <c r="J532" s="84" t="n">
        <f aca="false">INDEX(Forecast_Walkforward!$E:$E,H532)</f>
        <v>33.5</v>
      </c>
      <c r="K532" s="85" t="n">
        <f aca="false">Baseline_Weeks*J532</f>
        <v>134</v>
      </c>
      <c r="L532" s="81" t="n">
        <f aca="false">SUMIFS(P$517:P531,$B$517:$B531,$B532-$D532)</f>
        <v>6</v>
      </c>
      <c r="M532" s="81" t="n">
        <f aca="false">S531+L532</f>
        <v>6</v>
      </c>
      <c r="N532" s="81" t="n">
        <f aca="false">SUMIFS(P$517:P531,$B$517:$B531,"&gt;"&amp;($B532-$D532))</f>
        <v>114</v>
      </c>
      <c r="O532" s="81" t="n">
        <f aca="false">M532+N532</f>
        <v>120</v>
      </c>
      <c r="P532" s="86" t="n">
        <f aca="false">IF(O532&lt;K532,ROUNDUP((K532-O532)/G532,0)*G532,0)</f>
        <v>18</v>
      </c>
      <c r="Q532" s="81" t="n">
        <f aca="false">MIN(M532,I532)</f>
        <v>6</v>
      </c>
      <c r="R532" s="81" t="n">
        <f aca="false">I532-Q532</f>
        <v>29</v>
      </c>
      <c r="S532" s="81" t="n">
        <f aca="false">M532-Q532</f>
        <v>0</v>
      </c>
      <c r="T532" s="81" t="n">
        <f aca="false">IF(R532&gt;0,1,0)</f>
        <v>1</v>
      </c>
      <c r="U532" s="82" t="n">
        <f aca="false">INDEX(Forecast!$AY$7:$AY$54,C532)</f>
        <v>2</v>
      </c>
      <c r="V532" s="85" t="n">
        <f aca="false">CHOOSE(U532,INDEX(Forecast_Walkforward!$D:$D,H532),INDEX(Forecast_Walkforward!$E:$E,H532),INDEX(Forecast_Walkforward!$F:$F,H532),INDEX(Forecast_Walkforward!$G:$G,H532))</f>
        <v>33.5</v>
      </c>
      <c r="W532" s="84" t="n">
        <f aca="false">INDEX(Forecast!$BA$7:$BA$54,C532)</f>
        <v>5.326418529503</v>
      </c>
      <c r="X532" s="85" t="n">
        <f aca="false">Z_Value*W532*SQRT(D532)</f>
        <v>21.4604176957112</v>
      </c>
      <c r="Y532" s="85" t="n">
        <f aca="false">V532*D532+X532</f>
        <v>222.460417695711</v>
      </c>
      <c r="Z532" s="85" t="n">
        <f aca="false">SQRT((2*V532*Weeks_Per_Year*F532)/(E532*Holding_Rate))</f>
        <v>240.970260959038</v>
      </c>
      <c r="AA532" s="81" t="n">
        <f aca="false">ROUNDUP(Z532/G532,0)*G532</f>
        <v>246</v>
      </c>
      <c r="AB532" s="81" t="n">
        <f aca="false">SUMIFS(AF$517:AF531,$B$517:$B531,$B532-$D532)</f>
        <v>0</v>
      </c>
      <c r="AC532" s="81" t="n">
        <f aca="false">AI531+AB532</f>
        <v>202</v>
      </c>
      <c r="AD532" s="81" t="n">
        <f aca="false">SUMIFS(AF$517:AF531,$B$517:$B531,"&gt;"&amp;($B532-$D532))</f>
        <v>0</v>
      </c>
      <c r="AE532" s="81" t="n">
        <f aca="false">AC532+AD532</f>
        <v>202</v>
      </c>
      <c r="AF532" s="86" t="n">
        <f aca="false">IF(AE532&lt;=Y532,AA532,0)</f>
        <v>246</v>
      </c>
      <c r="AG532" s="81" t="n">
        <f aca="false">MIN(AC532,I532)</f>
        <v>35</v>
      </c>
      <c r="AH532" s="81" t="n">
        <f aca="false">I532-AG532</f>
        <v>0</v>
      </c>
      <c r="AI532" s="81" t="n">
        <f aca="false">AC532-AG532</f>
        <v>167</v>
      </c>
      <c r="AJ532" s="81" t="n">
        <f aca="false">IF(AH532&gt;0,1,0)</f>
        <v>0</v>
      </c>
    </row>
    <row r="533" customFormat="false" ht="15" hidden="false" customHeight="false" outlineLevel="0" collapsed="false">
      <c r="A533" s="31" t="str">
        <f aca="false">Inputs!$B$70</f>
        <v>ELE-002</v>
      </c>
      <c r="B533" s="46" t="n">
        <f aca="false">BT_Start_Week</f>
        <v>89</v>
      </c>
      <c r="C533" s="46" t="n">
        <f aca="false">MATCH(A533,Inputs!$B$40:$B$87,0)</f>
        <v>31</v>
      </c>
      <c r="D533" s="32" t="n">
        <f aca="false">INDEX(Inputs!$F$40:$F$87,C533)</f>
        <v>6</v>
      </c>
      <c r="E533" s="78" t="n">
        <f aca="false">INDEX(Inputs!$H$40:$H$87,C533)</f>
        <v>31</v>
      </c>
      <c r="F533" s="78" t="n">
        <f aca="false">INDEX(Inputs!$G$40:$G$87,C533)</f>
        <v>90</v>
      </c>
      <c r="G533" s="32" t="n">
        <f aca="false">INDEX(Inputs!$I$40:$I$87,C533)</f>
        <v>4</v>
      </c>
      <c r="H533" s="46" t="n">
        <f aca="false">MATCH(A533,Demand_History!$C:$C,0)+B533-1</f>
        <v>3210</v>
      </c>
      <c r="I533" s="32" t="n">
        <f aca="false">INDEX(Forecast_Walkforward!$C:$C,H533)</f>
        <v>25</v>
      </c>
      <c r="J533" s="79" t="n">
        <f aca="false">INDEX(Forecast_Walkforward!$E:$E,H533)</f>
        <v>25.75</v>
      </c>
      <c r="K533" s="33" t="n">
        <f aca="false">Baseline_Weeks*J533</f>
        <v>103</v>
      </c>
      <c r="L533" s="46" t="n">
        <f aca="false">0</f>
        <v>0</v>
      </c>
      <c r="M533" s="46" t="n">
        <f aca="false">ROUND(BT_Open_Cover*INDEX(Forecast_Walkforward!$F:$F,H533),0)+L533</f>
        <v>175</v>
      </c>
      <c r="N533" s="46" t="n">
        <f aca="false">0</f>
        <v>0</v>
      </c>
      <c r="O533" s="46" t="n">
        <f aca="false">M533+N533</f>
        <v>175</v>
      </c>
      <c r="P533" s="47" t="n">
        <f aca="false">IF(O533&lt;K533,ROUNDUP((K533-O533)/G533,0)*G533,0)</f>
        <v>0</v>
      </c>
      <c r="Q533" s="46" t="n">
        <f aca="false">MIN(M533,I533)</f>
        <v>25</v>
      </c>
      <c r="R533" s="46" t="n">
        <f aca="false">I533-Q533</f>
        <v>0</v>
      </c>
      <c r="S533" s="46" t="n">
        <f aca="false">M533-Q533</f>
        <v>150</v>
      </c>
      <c r="T533" s="46" t="n">
        <f aca="false">IF(R533&gt;0,1,0)</f>
        <v>0</v>
      </c>
      <c r="U533" s="32" t="n">
        <f aca="false">INDEX(Forecast!$AY$7:$AY$54,C533)</f>
        <v>3</v>
      </c>
      <c r="V533" s="33" t="n">
        <f aca="false">CHOOSE(U533,INDEX(Forecast_Walkforward!$D:$D,H533),INDEX(Forecast_Walkforward!$E:$E,H533),INDEX(Forecast_Walkforward!$F:$F,H533),INDEX(Forecast_Walkforward!$G:$G,H533))</f>
        <v>29.125</v>
      </c>
      <c r="W533" s="79" t="n">
        <f aca="false">INDEX(Forecast!$BA$7:$BA$54,C533)</f>
        <v>12.6643689742457</v>
      </c>
      <c r="X533" s="33" t="n">
        <f aca="false">Z_Value*W533*SQRT(D533)</f>
        <v>51.0254022537876</v>
      </c>
      <c r="Y533" s="33" t="n">
        <f aca="false">V533*D533+X533</f>
        <v>225.775402253788</v>
      </c>
      <c r="Z533" s="33" t="n">
        <f aca="false">SQRT((2*V533*Weeks_Per_Year*F533)/(E533*Holding_Rate))</f>
        <v>209.688709373465</v>
      </c>
      <c r="AA533" s="46" t="n">
        <f aca="false">ROUNDUP(Z533/G533,0)*G533</f>
        <v>212</v>
      </c>
      <c r="AB533" s="46" t="n">
        <f aca="false">0</f>
        <v>0</v>
      </c>
      <c r="AC533" s="46" t="n">
        <f aca="false">ROUND(BT_Open_Cover*INDEX(Forecast_Walkforward!$F:$F,H533),0)+AB533</f>
        <v>175</v>
      </c>
      <c r="AD533" s="46" t="n">
        <f aca="false">0</f>
        <v>0</v>
      </c>
      <c r="AE533" s="46" t="n">
        <f aca="false">AC533+AD533</f>
        <v>175</v>
      </c>
      <c r="AF533" s="47" t="n">
        <f aca="false">IF(AE533&lt;=Y533,AA533,0)</f>
        <v>212</v>
      </c>
      <c r="AG533" s="46" t="n">
        <f aca="false">MIN(AC533,I533)</f>
        <v>25</v>
      </c>
      <c r="AH533" s="46" t="n">
        <f aca="false">I533-AG533</f>
        <v>0</v>
      </c>
      <c r="AI533" s="46" t="n">
        <f aca="false">AC533-AG533</f>
        <v>150</v>
      </c>
      <c r="AJ533" s="46" t="n">
        <f aca="false">IF(AH533&gt;0,1,0)</f>
        <v>0</v>
      </c>
    </row>
    <row r="534" customFormat="false" ht="15" hidden="false" customHeight="false" outlineLevel="0" collapsed="false">
      <c r="A534" s="31" t="str">
        <f aca="false">Inputs!$B$70</f>
        <v>ELE-002</v>
      </c>
      <c r="B534" s="46" t="n">
        <f aca="false">B533+1</f>
        <v>90</v>
      </c>
      <c r="C534" s="46" t="n">
        <f aca="false">MATCH(A534,Inputs!$B$40:$B$87,0)</f>
        <v>31</v>
      </c>
      <c r="D534" s="32" t="n">
        <f aca="false">INDEX(Inputs!$F$40:$F$87,C534)</f>
        <v>6</v>
      </c>
      <c r="E534" s="78" t="n">
        <f aca="false">INDEX(Inputs!$H$40:$H$87,C534)</f>
        <v>31</v>
      </c>
      <c r="F534" s="78" t="n">
        <f aca="false">INDEX(Inputs!$G$40:$G$87,C534)</f>
        <v>90</v>
      </c>
      <c r="G534" s="32" t="n">
        <f aca="false">INDEX(Inputs!$I$40:$I$87,C534)</f>
        <v>4</v>
      </c>
      <c r="H534" s="46" t="n">
        <f aca="false">MATCH(A534,Demand_History!$C:$C,0)+B534-1</f>
        <v>3211</v>
      </c>
      <c r="I534" s="32" t="n">
        <f aca="false">INDEX(Forecast_Walkforward!$C:$C,H534)</f>
        <v>53</v>
      </c>
      <c r="J534" s="79" t="n">
        <f aca="false">INDEX(Forecast_Walkforward!$E:$E,H534)</f>
        <v>23.5</v>
      </c>
      <c r="K534" s="33" t="n">
        <f aca="false">Baseline_Weeks*J534</f>
        <v>94</v>
      </c>
      <c r="L534" s="46" t="n">
        <f aca="false">SUMIFS(P$533:P533,$B$533:$B533,$B534-$D534)</f>
        <v>0</v>
      </c>
      <c r="M534" s="46" t="n">
        <f aca="false">S533+L534</f>
        <v>150</v>
      </c>
      <c r="N534" s="46" t="n">
        <f aca="false">SUMIFS(P$533:P533,$B$533:$B533,"&gt;"&amp;($B534-$D534))</f>
        <v>0</v>
      </c>
      <c r="O534" s="46" t="n">
        <f aca="false">M534+N534</f>
        <v>150</v>
      </c>
      <c r="P534" s="47" t="n">
        <f aca="false">IF(O534&lt;K534,ROUNDUP((K534-O534)/G534,0)*G534,0)</f>
        <v>0</v>
      </c>
      <c r="Q534" s="46" t="n">
        <f aca="false">MIN(M534,I534)</f>
        <v>53</v>
      </c>
      <c r="R534" s="46" t="n">
        <f aca="false">I534-Q534</f>
        <v>0</v>
      </c>
      <c r="S534" s="46" t="n">
        <f aca="false">M534-Q534</f>
        <v>97</v>
      </c>
      <c r="T534" s="46" t="n">
        <f aca="false">IF(R534&gt;0,1,0)</f>
        <v>0</v>
      </c>
      <c r="U534" s="32" t="n">
        <f aca="false">INDEX(Forecast!$AY$7:$AY$54,C534)</f>
        <v>3</v>
      </c>
      <c r="V534" s="33" t="n">
        <f aca="false">CHOOSE(U534,INDEX(Forecast_Walkforward!$D:$D,H534),INDEX(Forecast_Walkforward!$E:$E,H534),INDEX(Forecast_Walkforward!$F:$F,H534),INDEX(Forecast_Walkforward!$G:$G,H534))</f>
        <v>29.375</v>
      </c>
      <c r="W534" s="79" t="n">
        <f aca="false">INDEX(Forecast!$BA$7:$BA$54,C534)</f>
        <v>12.6643689742457</v>
      </c>
      <c r="X534" s="33" t="n">
        <f aca="false">Z_Value*W534*SQRT(D534)</f>
        <v>51.0254022537876</v>
      </c>
      <c r="Y534" s="33" t="n">
        <f aca="false">V534*D534+X534</f>
        <v>227.275402253788</v>
      </c>
      <c r="Z534" s="33" t="n">
        <f aca="false">SQRT((2*V534*Weeks_Per_Year*F534)/(E534*Holding_Rate))</f>
        <v>210.58673793368</v>
      </c>
      <c r="AA534" s="46" t="n">
        <f aca="false">ROUNDUP(Z534/G534,0)*G534</f>
        <v>212</v>
      </c>
      <c r="AB534" s="46" t="n">
        <f aca="false">SUMIFS(AF$533:AF533,$B$533:$B533,$B534-$D534)</f>
        <v>0</v>
      </c>
      <c r="AC534" s="46" t="n">
        <f aca="false">AI533+AB534</f>
        <v>150</v>
      </c>
      <c r="AD534" s="46" t="n">
        <f aca="false">SUMIFS(AF$533:AF533,$B$533:$B533,"&gt;"&amp;($B534-$D534))</f>
        <v>212</v>
      </c>
      <c r="AE534" s="46" t="n">
        <f aca="false">AC534+AD534</f>
        <v>362</v>
      </c>
      <c r="AF534" s="47" t="n">
        <f aca="false">IF(AE534&lt;=Y534,AA534,0)</f>
        <v>0</v>
      </c>
      <c r="AG534" s="46" t="n">
        <f aca="false">MIN(AC534,I534)</f>
        <v>53</v>
      </c>
      <c r="AH534" s="46" t="n">
        <f aca="false">I534-AG534</f>
        <v>0</v>
      </c>
      <c r="AI534" s="46" t="n">
        <f aca="false">AC534-AG534</f>
        <v>97</v>
      </c>
      <c r="AJ534" s="46" t="n">
        <f aca="false">IF(AH534&gt;0,1,0)</f>
        <v>0</v>
      </c>
    </row>
    <row r="535" customFormat="false" ht="15" hidden="false" customHeight="false" outlineLevel="0" collapsed="false">
      <c r="A535" s="31" t="str">
        <f aca="false">Inputs!$B$70</f>
        <v>ELE-002</v>
      </c>
      <c r="B535" s="46" t="n">
        <f aca="false">B534+1</f>
        <v>91</v>
      </c>
      <c r="C535" s="46" t="n">
        <f aca="false">MATCH(A535,Inputs!$B$40:$B$87,0)</f>
        <v>31</v>
      </c>
      <c r="D535" s="32" t="n">
        <f aca="false">INDEX(Inputs!$F$40:$F$87,C535)</f>
        <v>6</v>
      </c>
      <c r="E535" s="78" t="n">
        <f aca="false">INDEX(Inputs!$H$40:$H$87,C535)</f>
        <v>31</v>
      </c>
      <c r="F535" s="78" t="n">
        <f aca="false">INDEX(Inputs!$G$40:$G$87,C535)</f>
        <v>90</v>
      </c>
      <c r="G535" s="32" t="n">
        <f aca="false">INDEX(Inputs!$I$40:$I$87,C535)</f>
        <v>4</v>
      </c>
      <c r="H535" s="46" t="n">
        <f aca="false">MATCH(A535,Demand_History!$C:$C,0)+B535-1</f>
        <v>3212</v>
      </c>
      <c r="I535" s="32" t="n">
        <f aca="false">INDEX(Forecast_Walkforward!$C:$C,H535)</f>
        <v>38</v>
      </c>
      <c r="J535" s="79" t="n">
        <f aca="false">INDEX(Forecast_Walkforward!$E:$E,H535)</f>
        <v>25</v>
      </c>
      <c r="K535" s="33" t="n">
        <f aca="false">Baseline_Weeks*J535</f>
        <v>100</v>
      </c>
      <c r="L535" s="46" t="n">
        <f aca="false">SUMIFS(P$533:P534,$B$533:$B534,$B535-$D535)</f>
        <v>0</v>
      </c>
      <c r="M535" s="46" t="n">
        <f aca="false">S534+L535</f>
        <v>97</v>
      </c>
      <c r="N535" s="46" t="n">
        <f aca="false">SUMIFS(P$533:P534,$B$533:$B534,"&gt;"&amp;($B535-$D535))</f>
        <v>0</v>
      </c>
      <c r="O535" s="46" t="n">
        <f aca="false">M535+N535</f>
        <v>97</v>
      </c>
      <c r="P535" s="47" t="n">
        <f aca="false">IF(O535&lt;K535,ROUNDUP((K535-O535)/G535,0)*G535,0)</f>
        <v>4</v>
      </c>
      <c r="Q535" s="46" t="n">
        <f aca="false">MIN(M535,I535)</f>
        <v>38</v>
      </c>
      <c r="R535" s="46" t="n">
        <f aca="false">I535-Q535</f>
        <v>0</v>
      </c>
      <c r="S535" s="46" t="n">
        <f aca="false">M535-Q535</f>
        <v>59</v>
      </c>
      <c r="T535" s="46" t="n">
        <f aca="false">IF(R535&gt;0,1,0)</f>
        <v>0</v>
      </c>
      <c r="U535" s="32" t="n">
        <f aca="false">INDEX(Forecast!$AY$7:$AY$54,C535)</f>
        <v>3</v>
      </c>
      <c r="V535" s="33" t="n">
        <f aca="false">CHOOSE(U535,INDEX(Forecast_Walkforward!$D:$D,H535),INDEX(Forecast_Walkforward!$E:$E,H535),INDEX(Forecast_Walkforward!$F:$F,H535),INDEX(Forecast_Walkforward!$G:$G,H535))</f>
        <v>30.375</v>
      </c>
      <c r="W535" s="79" t="n">
        <f aca="false">INDEX(Forecast!$BA$7:$BA$54,C535)</f>
        <v>12.6643689742457</v>
      </c>
      <c r="X535" s="33" t="n">
        <f aca="false">Z_Value*W535*SQRT(D535)</f>
        <v>51.0254022537876</v>
      </c>
      <c r="Y535" s="33" t="n">
        <f aca="false">V535*D535+X535</f>
        <v>233.275402253788</v>
      </c>
      <c r="Z535" s="33" t="n">
        <f aca="false">SQRT((2*V535*Weeks_Per_Year*F535)/(E535*Holding_Rate))</f>
        <v>214.141195506384</v>
      </c>
      <c r="AA535" s="46" t="n">
        <f aca="false">ROUNDUP(Z535/G535,0)*G535</f>
        <v>216</v>
      </c>
      <c r="AB535" s="46" t="n">
        <f aca="false">SUMIFS(AF$533:AF534,$B$533:$B534,$B535-$D535)</f>
        <v>0</v>
      </c>
      <c r="AC535" s="46" t="n">
        <f aca="false">AI534+AB535</f>
        <v>97</v>
      </c>
      <c r="AD535" s="46" t="n">
        <f aca="false">SUMIFS(AF$533:AF534,$B$533:$B534,"&gt;"&amp;($B535-$D535))</f>
        <v>212</v>
      </c>
      <c r="AE535" s="46" t="n">
        <f aca="false">AC535+AD535</f>
        <v>309</v>
      </c>
      <c r="AF535" s="47" t="n">
        <f aca="false">IF(AE535&lt;=Y535,AA535,0)</f>
        <v>0</v>
      </c>
      <c r="AG535" s="46" t="n">
        <f aca="false">MIN(AC535,I535)</f>
        <v>38</v>
      </c>
      <c r="AH535" s="46" t="n">
        <f aca="false">I535-AG535</f>
        <v>0</v>
      </c>
      <c r="AI535" s="46" t="n">
        <f aca="false">AC535-AG535</f>
        <v>59</v>
      </c>
      <c r="AJ535" s="46" t="n">
        <f aca="false">IF(AH535&gt;0,1,0)</f>
        <v>0</v>
      </c>
    </row>
    <row r="536" customFormat="false" ht="15" hidden="false" customHeight="false" outlineLevel="0" collapsed="false">
      <c r="A536" s="31" t="str">
        <f aca="false">Inputs!$B$70</f>
        <v>ELE-002</v>
      </c>
      <c r="B536" s="46" t="n">
        <f aca="false">B535+1</f>
        <v>92</v>
      </c>
      <c r="C536" s="46" t="n">
        <f aca="false">MATCH(A536,Inputs!$B$40:$B$87,0)</f>
        <v>31</v>
      </c>
      <c r="D536" s="32" t="n">
        <f aca="false">INDEX(Inputs!$F$40:$F$87,C536)</f>
        <v>6</v>
      </c>
      <c r="E536" s="78" t="n">
        <f aca="false">INDEX(Inputs!$H$40:$H$87,C536)</f>
        <v>31</v>
      </c>
      <c r="F536" s="78" t="n">
        <f aca="false">INDEX(Inputs!$G$40:$G$87,C536)</f>
        <v>90</v>
      </c>
      <c r="G536" s="32" t="n">
        <f aca="false">INDEX(Inputs!$I$40:$I$87,C536)</f>
        <v>4</v>
      </c>
      <c r="H536" s="46" t="n">
        <f aca="false">MATCH(A536,Demand_History!$C:$C,0)+B536-1</f>
        <v>3213</v>
      </c>
      <c r="I536" s="32" t="n">
        <f aca="false">INDEX(Forecast_Walkforward!$C:$C,H536)</f>
        <v>19</v>
      </c>
      <c r="J536" s="79" t="n">
        <f aca="false">INDEX(Forecast_Walkforward!$E:$E,H536)</f>
        <v>32.25</v>
      </c>
      <c r="K536" s="33" t="n">
        <f aca="false">Baseline_Weeks*J536</f>
        <v>129</v>
      </c>
      <c r="L536" s="46" t="n">
        <f aca="false">SUMIFS(P$533:P535,$B$533:$B535,$B536-$D536)</f>
        <v>0</v>
      </c>
      <c r="M536" s="46" t="n">
        <f aca="false">S535+L536</f>
        <v>59</v>
      </c>
      <c r="N536" s="46" t="n">
        <f aca="false">SUMIFS(P$533:P535,$B$533:$B535,"&gt;"&amp;($B536-$D536))</f>
        <v>4</v>
      </c>
      <c r="O536" s="46" t="n">
        <f aca="false">M536+N536</f>
        <v>63</v>
      </c>
      <c r="P536" s="47" t="n">
        <f aca="false">IF(O536&lt;K536,ROUNDUP((K536-O536)/G536,0)*G536,0)</f>
        <v>68</v>
      </c>
      <c r="Q536" s="46" t="n">
        <f aca="false">MIN(M536,I536)</f>
        <v>19</v>
      </c>
      <c r="R536" s="46" t="n">
        <f aca="false">I536-Q536</f>
        <v>0</v>
      </c>
      <c r="S536" s="46" t="n">
        <f aca="false">M536-Q536</f>
        <v>40</v>
      </c>
      <c r="T536" s="46" t="n">
        <f aca="false">IF(R536&gt;0,1,0)</f>
        <v>0</v>
      </c>
      <c r="U536" s="32" t="n">
        <f aca="false">INDEX(Forecast!$AY$7:$AY$54,C536)</f>
        <v>3</v>
      </c>
      <c r="V536" s="33" t="n">
        <f aca="false">CHOOSE(U536,INDEX(Forecast_Walkforward!$D:$D,H536),INDEX(Forecast_Walkforward!$E:$E,H536),INDEX(Forecast_Walkforward!$F:$F,H536),INDEX(Forecast_Walkforward!$G:$G,H536))</f>
        <v>32</v>
      </c>
      <c r="W536" s="79" t="n">
        <f aca="false">INDEX(Forecast!$BA$7:$BA$54,C536)</f>
        <v>12.6643689742457</v>
      </c>
      <c r="X536" s="33" t="n">
        <f aca="false">Z_Value*W536*SQRT(D536)</f>
        <v>51.0254022537876</v>
      </c>
      <c r="Y536" s="33" t="n">
        <f aca="false">V536*D536+X536</f>
        <v>243.025402253788</v>
      </c>
      <c r="Z536" s="33" t="n">
        <f aca="false">SQRT((2*V536*Weeks_Per_Year*F536)/(E536*Holding_Rate))</f>
        <v>219.79462554702</v>
      </c>
      <c r="AA536" s="46" t="n">
        <f aca="false">ROUNDUP(Z536/G536,0)*G536</f>
        <v>220</v>
      </c>
      <c r="AB536" s="46" t="n">
        <f aca="false">SUMIFS(AF$533:AF535,$B$533:$B535,$B536-$D536)</f>
        <v>0</v>
      </c>
      <c r="AC536" s="46" t="n">
        <f aca="false">AI535+AB536</f>
        <v>59</v>
      </c>
      <c r="AD536" s="46" t="n">
        <f aca="false">SUMIFS(AF$533:AF535,$B$533:$B535,"&gt;"&amp;($B536-$D536))</f>
        <v>212</v>
      </c>
      <c r="AE536" s="46" t="n">
        <f aca="false">AC536+AD536</f>
        <v>271</v>
      </c>
      <c r="AF536" s="47" t="n">
        <f aca="false">IF(AE536&lt;=Y536,AA536,0)</f>
        <v>0</v>
      </c>
      <c r="AG536" s="46" t="n">
        <f aca="false">MIN(AC536,I536)</f>
        <v>19</v>
      </c>
      <c r="AH536" s="46" t="n">
        <f aca="false">I536-AG536</f>
        <v>0</v>
      </c>
      <c r="AI536" s="46" t="n">
        <f aca="false">AC536-AG536</f>
        <v>40</v>
      </c>
      <c r="AJ536" s="46" t="n">
        <f aca="false">IF(AH536&gt;0,1,0)</f>
        <v>0</v>
      </c>
    </row>
    <row r="537" customFormat="false" ht="15" hidden="false" customHeight="false" outlineLevel="0" collapsed="false">
      <c r="A537" s="31" t="str">
        <f aca="false">Inputs!$B$70</f>
        <v>ELE-002</v>
      </c>
      <c r="B537" s="46" t="n">
        <f aca="false">B536+1</f>
        <v>93</v>
      </c>
      <c r="C537" s="46" t="n">
        <f aca="false">MATCH(A537,Inputs!$B$40:$B$87,0)</f>
        <v>31</v>
      </c>
      <c r="D537" s="32" t="n">
        <f aca="false">INDEX(Inputs!$F$40:$F$87,C537)</f>
        <v>6</v>
      </c>
      <c r="E537" s="78" t="n">
        <f aca="false">INDEX(Inputs!$H$40:$H$87,C537)</f>
        <v>31</v>
      </c>
      <c r="F537" s="78" t="n">
        <f aca="false">INDEX(Inputs!$G$40:$G$87,C537)</f>
        <v>90</v>
      </c>
      <c r="G537" s="32" t="n">
        <f aca="false">INDEX(Inputs!$I$40:$I$87,C537)</f>
        <v>4</v>
      </c>
      <c r="H537" s="46" t="n">
        <f aca="false">MATCH(A537,Demand_History!$C:$C,0)+B537-1</f>
        <v>3214</v>
      </c>
      <c r="I537" s="32" t="n">
        <f aca="false">INDEX(Forecast_Walkforward!$C:$C,H537)</f>
        <v>46</v>
      </c>
      <c r="J537" s="79" t="n">
        <f aca="false">INDEX(Forecast_Walkforward!$E:$E,H537)</f>
        <v>33.75</v>
      </c>
      <c r="K537" s="33" t="n">
        <f aca="false">Baseline_Weeks*J537</f>
        <v>135</v>
      </c>
      <c r="L537" s="46" t="n">
        <f aca="false">SUMIFS(P$533:P536,$B$533:$B536,$B537-$D537)</f>
        <v>0</v>
      </c>
      <c r="M537" s="46" t="n">
        <f aca="false">S536+L537</f>
        <v>40</v>
      </c>
      <c r="N537" s="46" t="n">
        <f aca="false">SUMIFS(P$533:P536,$B$533:$B536,"&gt;"&amp;($B537-$D537))</f>
        <v>72</v>
      </c>
      <c r="O537" s="46" t="n">
        <f aca="false">M537+N537</f>
        <v>112</v>
      </c>
      <c r="P537" s="47" t="n">
        <f aca="false">IF(O537&lt;K537,ROUNDUP((K537-O537)/G537,0)*G537,0)</f>
        <v>24</v>
      </c>
      <c r="Q537" s="46" t="n">
        <f aca="false">MIN(M537,I537)</f>
        <v>40</v>
      </c>
      <c r="R537" s="46" t="n">
        <f aca="false">I537-Q537</f>
        <v>6</v>
      </c>
      <c r="S537" s="46" t="n">
        <f aca="false">M537-Q537</f>
        <v>0</v>
      </c>
      <c r="T537" s="46" t="n">
        <f aca="false">IF(R537&gt;0,1,0)</f>
        <v>1</v>
      </c>
      <c r="U537" s="32" t="n">
        <f aca="false">INDEX(Forecast!$AY$7:$AY$54,C537)</f>
        <v>3</v>
      </c>
      <c r="V537" s="33" t="n">
        <f aca="false">CHOOSE(U537,INDEX(Forecast_Walkforward!$D:$D,H537),INDEX(Forecast_Walkforward!$E:$E,H537),INDEX(Forecast_Walkforward!$F:$F,H537),INDEX(Forecast_Walkforward!$G:$G,H537))</f>
        <v>29.75</v>
      </c>
      <c r="W537" s="79" t="n">
        <f aca="false">INDEX(Forecast!$BA$7:$BA$54,C537)</f>
        <v>12.6643689742457</v>
      </c>
      <c r="X537" s="33" t="n">
        <f aca="false">Z_Value*W537*SQRT(D537)</f>
        <v>51.0254022537876</v>
      </c>
      <c r="Y537" s="33" t="n">
        <f aca="false">V537*D537+X537</f>
        <v>229.525402253788</v>
      </c>
      <c r="Z537" s="33" t="n">
        <f aca="false">SQRT((2*V537*Weeks_Per_Year*F537)/(E537*Holding_Rate))</f>
        <v>211.926645860794</v>
      </c>
      <c r="AA537" s="46" t="n">
        <f aca="false">ROUNDUP(Z537/G537,0)*G537</f>
        <v>212</v>
      </c>
      <c r="AB537" s="46" t="n">
        <f aca="false">SUMIFS(AF$533:AF536,$B$533:$B536,$B537-$D537)</f>
        <v>0</v>
      </c>
      <c r="AC537" s="46" t="n">
        <f aca="false">AI536+AB537</f>
        <v>40</v>
      </c>
      <c r="AD537" s="46" t="n">
        <f aca="false">SUMIFS(AF$533:AF536,$B$533:$B536,"&gt;"&amp;($B537-$D537))</f>
        <v>212</v>
      </c>
      <c r="AE537" s="46" t="n">
        <f aca="false">AC537+AD537</f>
        <v>252</v>
      </c>
      <c r="AF537" s="47" t="n">
        <f aca="false">IF(AE537&lt;=Y537,AA537,0)</f>
        <v>0</v>
      </c>
      <c r="AG537" s="46" t="n">
        <f aca="false">MIN(AC537,I537)</f>
        <v>40</v>
      </c>
      <c r="AH537" s="46" t="n">
        <f aca="false">I537-AG537</f>
        <v>6</v>
      </c>
      <c r="AI537" s="46" t="n">
        <f aca="false">AC537-AG537</f>
        <v>0</v>
      </c>
      <c r="AJ537" s="46" t="n">
        <f aca="false">IF(AH537&gt;0,1,0)</f>
        <v>1</v>
      </c>
    </row>
    <row r="538" customFormat="false" ht="15" hidden="false" customHeight="false" outlineLevel="0" collapsed="false">
      <c r="A538" s="31" t="str">
        <f aca="false">Inputs!$B$70</f>
        <v>ELE-002</v>
      </c>
      <c r="B538" s="46" t="n">
        <f aca="false">B537+1</f>
        <v>94</v>
      </c>
      <c r="C538" s="46" t="n">
        <f aca="false">MATCH(A538,Inputs!$B$40:$B$87,0)</f>
        <v>31</v>
      </c>
      <c r="D538" s="32" t="n">
        <f aca="false">INDEX(Inputs!$F$40:$F$87,C538)</f>
        <v>6</v>
      </c>
      <c r="E538" s="78" t="n">
        <f aca="false">INDEX(Inputs!$H$40:$H$87,C538)</f>
        <v>31</v>
      </c>
      <c r="F538" s="78" t="n">
        <f aca="false">INDEX(Inputs!$G$40:$G$87,C538)</f>
        <v>90</v>
      </c>
      <c r="G538" s="32" t="n">
        <f aca="false">INDEX(Inputs!$I$40:$I$87,C538)</f>
        <v>4</v>
      </c>
      <c r="H538" s="46" t="n">
        <f aca="false">MATCH(A538,Demand_History!$C:$C,0)+B538-1</f>
        <v>3215</v>
      </c>
      <c r="I538" s="32" t="n">
        <f aca="false">INDEX(Forecast_Walkforward!$C:$C,H538)</f>
        <v>49</v>
      </c>
      <c r="J538" s="79" t="n">
        <f aca="false">INDEX(Forecast_Walkforward!$E:$E,H538)</f>
        <v>39</v>
      </c>
      <c r="K538" s="33" t="n">
        <f aca="false">Baseline_Weeks*J538</f>
        <v>156</v>
      </c>
      <c r="L538" s="46" t="n">
        <f aca="false">SUMIFS(P$533:P537,$B$533:$B537,$B538-$D538)</f>
        <v>0</v>
      </c>
      <c r="M538" s="46" t="n">
        <f aca="false">S537+L538</f>
        <v>0</v>
      </c>
      <c r="N538" s="46" t="n">
        <f aca="false">SUMIFS(P$533:P537,$B$533:$B537,"&gt;"&amp;($B538-$D538))</f>
        <v>96</v>
      </c>
      <c r="O538" s="46" t="n">
        <f aca="false">M538+N538</f>
        <v>96</v>
      </c>
      <c r="P538" s="47" t="n">
        <f aca="false">IF(O538&lt;K538,ROUNDUP((K538-O538)/G538,0)*G538,0)</f>
        <v>60</v>
      </c>
      <c r="Q538" s="46" t="n">
        <f aca="false">MIN(M538,I538)</f>
        <v>0</v>
      </c>
      <c r="R538" s="46" t="n">
        <f aca="false">I538-Q538</f>
        <v>49</v>
      </c>
      <c r="S538" s="46" t="n">
        <f aca="false">M538-Q538</f>
        <v>0</v>
      </c>
      <c r="T538" s="46" t="n">
        <f aca="false">IF(R538&gt;0,1,0)</f>
        <v>1</v>
      </c>
      <c r="U538" s="32" t="n">
        <f aca="false">INDEX(Forecast!$AY$7:$AY$54,C538)</f>
        <v>3</v>
      </c>
      <c r="V538" s="33" t="n">
        <f aca="false">CHOOSE(U538,INDEX(Forecast_Walkforward!$D:$D,H538),INDEX(Forecast_Walkforward!$E:$E,H538),INDEX(Forecast_Walkforward!$F:$F,H538),INDEX(Forecast_Walkforward!$G:$G,H538))</f>
        <v>31.25</v>
      </c>
      <c r="W538" s="79" t="n">
        <f aca="false">INDEX(Forecast!$BA$7:$BA$54,C538)</f>
        <v>12.6643689742457</v>
      </c>
      <c r="X538" s="33" t="n">
        <f aca="false">Z_Value*W538*SQRT(D538)</f>
        <v>51.0254022537876</v>
      </c>
      <c r="Y538" s="33" t="n">
        <f aca="false">V538*D538+X538</f>
        <v>238.525402253788</v>
      </c>
      <c r="Z538" s="33" t="n">
        <f aca="false">SQRT((2*V538*Weeks_Per_Year*F538)/(E538*Holding_Rate))</f>
        <v>217.20363568513</v>
      </c>
      <c r="AA538" s="46" t="n">
        <f aca="false">ROUNDUP(Z538/G538,0)*G538</f>
        <v>220</v>
      </c>
      <c r="AB538" s="46" t="n">
        <f aca="false">SUMIFS(AF$533:AF537,$B$533:$B537,$B538-$D538)</f>
        <v>0</v>
      </c>
      <c r="AC538" s="46" t="n">
        <f aca="false">AI537+AB538</f>
        <v>0</v>
      </c>
      <c r="AD538" s="46" t="n">
        <f aca="false">SUMIFS(AF$533:AF537,$B$533:$B537,"&gt;"&amp;($B538-$D538))</f>
        <v>212</v>
      </c>
      <c r="AE538" s="46" t="n">
        <f aca="false">AC538+AD538</f>
        <v>212</v>
      </c>
      <c r="AF538" s="47" t="n">
        <f aca="false">IF(AE538&lt;=Y538,AA538,0)</f>
        <v>220</v>
      </c>
      <c r="AG538" s="46" t="n">
        <f aca="false">MIN(AC538,I538)</f>
        <v>0</v>
      </c>
      <c r="AH538" s="46" t="n">
        <f aca="false">I538-AG538</f>
        <v>49</v>
      </c>
      <c r="AI538" s="46" t="n">
        <f aca="false">AC538-AG538</f>
        <v>0</v>
      </c>
      <c r="AJ538" s="46" t="n">
        <f aca="false">IF(AH538&gt;0,1,0)</f>
        <v>1</v>
      </c>
    </row>
    <row r="539" customFormat="false" ht="15" hidden="false" customHeight="false" outlineLevel="0" collapsed="false">
      <c r="A539" s="31" t="str">
        <f aca="false">Inputs!$B$70</f>
        <v>ELE-002</v>
      </c>
      <c r="B539" s="46" t="n">
        <f aca="false">B538+1</f>
        <v>95</v>
      </c>
      <c r="C539" s="46" t="n">
        <f aca="false">MATCH(A539,Inputs!$B$40:$B$87,0)</f>
        <v>31</v>
      </c>
      <c r="D539" s="32" t="n">
        <f aca="false">INDEX(Inputs!$F$40:$F$87,C539)</f>
        <v>6</v>
      </c>
      <c r="E539" s="78" t="n">
        <f aca="false">INDEX(Inputs!$H$40:$H$87,C539)</f>
        <v>31</v>
      </c>
      <c r="F539" s="78" t="n">
        <f aca="false">INDEX(Inputs!$G$40:$G$87,C539)</f>
        <v>90</v>
      </c>
      <c r="G539" s="32" t="n">
        <f aca="false">INDEX(Inputs!$I$40:$I$87,C539)</f>
        <v>4</v>
      </c>
      <c r="H539" s="46" t="n">
        <f aca="false">MATCH(A539,Demand_History!$C:$C,0)+B539-1</f>
        <v>3216</v>
      </c>
      <c r="I539" s="32" t="n">
        <f aca="false">INDEX(Forecast_Walkforward!$C:$C,H539)</f>
        <v>37</v>
      </c>
      <c r="J539" s="79" t="n">
        <f aca="false">INDEX(Forecast_Walkforward!$E:$E,H539)</f>
        <v>38</v>
      </c>
      <c r="K539" s="33" t="n">
        <f aca="false">Baseline_Weeks*J539</f>
        <v>152</v>
      </c>
      <c r="L539" s="46" t="n">
        <f aca="false">SUMIFS(P$533:P538,$B$533:$B538,$B539-$D539)</f>
        <v>0</v>
      </c>
      <c r="M539" s="46" t="n">
        <f aca="false">S538+L539</f>
        <v>0</v>
      </c>
      <c r="N539" s="46" t="n">
        <f aca="false">SUMIFS(P$533:P538,$B$533:$B538,"&gt;"&amp;($B539-$D539))</f>
        <v>156</v>
      </c>
      <c r="O539" s="46" t="n">
        <f aca="false">M539+N539</f>
        <v>156</v>
      </c>
      <c r="P539" s="47" t="n">
        <f aca="false">IF(O539&lt;K539,ROUNDUP((K539-O539)/G539,0)*G539,0)</f>
        <v>0</v>
      </c>
      <c r="Q539" s="46" t="n">
        <f aca="false">MIN(M539,I539)</f>
        <v>0</v>
      </c>
      <c r="R539" s="46" t="n">
        <f aca="false">I539-Q539</f>
        <v>37</v>
      </c>
      <c r="S539" s="46" t="n">
        <f aca="false">M539-Q539</f>
        <v>0</v>
      </c>
      <c r="T539" s="46" t="n">
        <f aca="false">IF(R539&gt;0,1,0)</f>
        <v>1</v>
      </c>
      <c r="U539" s="32" t="n">
        <f aca="false">INDEX(Forecast!$AY$7:$AY$54,C539)</f>
        <v>3</v>
      </c>
      <c r="V539" s="33" t="n">
        <f aca="false">CHOOSE(U539,INDEX(Forecast_Walkforward!$D:$D,H539),INDEX(Forecast_Walkforward!$E:$E,H539),INDEX(Forecast_Walkforward!$F:$F,H539),INDEX(Forecast_Walkforward!$G:$G,H539))</f>
        <v>31.5</v>
      </c>
      <c r="W539" s="79" t="n">
        <f aca="false">INDEX(Forecast!$BA$7:$BA$54,C539)</f>
        <v>12.6643689742457</v>
      </c>
      <c r="X539" s="33" t="n">
        <f aca="false">Z_Value*W539*SQRT(D539)</f>
        <v>51.0254022537876</v>
      </c>
      <c r="Y539" s="33" t="n">
        <f aca="false">V539*D539+X539</f>
        <v>240.025402253788</v>
      </c>
      <c r="Z539" s="33" t="n">
        <f aca="false">SQRT((2*V539*Weeks_Per_Year*F539)/(E539*Holding_Rate))</f>
        <v>218.070719514742</v>
      </c>
      <c r="AA539" s="46" t="n">
        <f aca="false">ROUNDUP(Z539/G539,0)*G539</f>
        <v>220</v>
      </c>
      <c r="AB539" s="46" t="n">
        <f aca="false">SUMIFS(AF$533:AF538,$B$533:$B538,$B539-$D539)</f>
        <v>212</v>
      </c>
      <c r="AC539" s="46" t="n">
        <f aca="false">AI538+AB539</f>
        <v>212</v>
      </c>
      <c r="AD539" s="46" t="n">
        <f aca="false">SUMIFS(AF$533:AF538,$B$533:$B538,"&gt;"&amp;($B539-$D539))</f>
        <v>220</v>
      </c>
      <c r="AE539" s="46" t="n">
        <f aca="false">AC539+AD539</f>
        <v>432</v>
      </c>
      <c r="AF539" s="47" t="n">
        <f aca="false">IF(AE539&lt;=Y539,AA539,0)</f>
        <v>0</v>
      </c>
      <c r="AG539" s="46" t="n">
        <f aca="false">MIN(AC539,I539)</f>
        <v>37</v>
      </c>
      <c r="AH539" s="46" t="n">
        <f aca="false">I539-AG539</f>
        <v>0</v>
      </c>
      <c r="AI539" s="46" t="n">
        <f aca="false">AC539-AG539</f>
        <v>175</v>
      </c>
      <c r="AJ539" s="46" t="n">
        <f aca="false">IF(AH539&gt;0,1,0)</f>
        <v>0</v>
      </c>
    </row>
    <row r="540" customFormat="false" ht="15" hidden="false" customHeight="false" outlineLevel="0" collapsed="false">
      <c r="A540" s="31" t="str">
        <f aca="false">Inputs!$B$70</f>
        <v>ELE-002</v>
      </c>
      <c r="B540" s="46" t="n">
        <f aca="false">B539+1</f>
        <v>96</v>
      </c>
      <c r="C540" s="46" t="n">
        <f aca="false">MATCH(A540,Inputs!$B$40:$B$87,0)</f>
        <v>31</v>
      </c>
      <c r="D540" s="32" t="n">
        <f aca="false">INDEX(Inputs!$F$40:$F$87,C540)</f>
        <v>6</v>
      </c>
      <c r="E540" s="78" t="n">
        <f aca="false">INDEX(Inputs!$H$40:$H$87,C540)</f>
        <v>31</v>
      </c>
      <c r="F540" s="78" t="n">
        <f aca="false">INDEX(Inputs!$G$40:$G$87,C540)</f>
        <v>90</v>
      </c>
      <c r="G540" s="32" t="n">
        <f aca="false">INDEX(Inputs!$I$40:$I$87,C540)</f>
        <v>4</v>
      </c>
      <c r="H540" s="46" t="n">
        <f aca="false">MATCH(A540,Demand_History!$C:$C,0)+B540-1</f>
        <v>3217</v>
      </c>
      <c r="I540" s="32" t="n">
        <f aca="false">INDEX(Forecast_Walkforward!$C:$C,H540)</f>
        <v>36</v>
      </c>
      <c r="J540" s="79" t="n">
        <f aca="false">INDEX(Forecast_Walkforward!$E:$E,H540)</f>
        <v>37.75</v>
      </c>
      <c r="K540" s="33" t="n">
        <f aca="false">Baseline_Weeks*J540</f>
        <v>151</v>
      </c>
      <c r="L540" s="46" t="n">
        <f aca="false">SUMIFS(P$533:P539,$B$533:$B539,$B540-$D540)</f>
        <v>0</v>
      </c>
      <c r="M540" s="46" t="n">
        <f aca="false">S539+L540</f>
        <v>0</v>
      </c>
      <c r="N540" s="46" t="n">
        <f aca="false">SUMIFS(P$533:P539,$B$533:$B539,"&gt;"&amp;($B540-$D540))</f>
        <v>156</v>
      </c>
      <c r="O540" s="46" t="n">
        <f aca="false">M540+N540</f>
        <v>156</v>
      </c>
      <c r="P540" s="47" t="n">
        <f aca="false">IF(O540&lt;K540,ROUNDUP((K540-O540)/G540,0)*G540,0)</f>
        <v>0</v>
      </c>
      <c r="Q540" s="46" t="n">
        <f aca="false">MIN(M540,I540)</f>
        <v>0</v>
      </c>
      <c r="R540" s="46" t="n">
        <f aca="false">I540-Q540</f>
        <v>36</v>
      </c>
      <c r="S540" s="46" t="n">
        <f aca="false">M540-Q540</f>
        <v>0</v>
      </c>
      <c r="T540" s="46" t="n">
        <f aca="false">IF(R540&gt;0,1,0)</f>
        <v>1</v>
      </c>
      <c r="U540" s="32" t="n">
        <f aca="false">INDEX(Forecast!$AY$7:$AY$54,C540)</f>
        <v>3</v>
      </c>
      <c r="V540" s="33" t="n">
        <f aca="false">CHOOSE(U540,INDEX(Forecast_Walkforward!$D:$D,H540),INDEX(Forecast_Walkforward!$E:$E,H540),INDEX(Forecast_Walkforward!$F:$F,H540),INDEX(Forecast_Walkforward!$G:$G,H540))</f>
        <v>35</v>
      </c>
      <c r="W540" s="79" t="n">
        <f aca="false">INDEX(Forecast!$BA$7:$BA$54,C540)</f>
        <v>12.6643689742457</v>
      </c>
      <c r="X540" s="33" t="n">
        <f aca="false">Z_Value*W540*SQRT(D540)</f>
        <v>51.0254022537876</v>
      </c>
      <c r="Y540" s="33" t="n">
        <f aca="false">V540*D540+X540</f>
        <v>261.025402253788</v>
      </c>
      <c r="Z540" s="33" t="n">
        <f aca="false">SQRT((2*V540*Weeks_Per_Year*F540)/(E540*Holding_Rate))</f>
        <v>229.866721552771</v>
      </c>
      <c r="AA540" s="46" t="n">
        <f aca="false">ROUNDUP(Z540/G540,0)*G540</f>
        <v>232</v>
      </c>
      <c r="AB540" s="46" t="n">
        <f aca="false">SUMIFS(AF$533:AF539,$B$533:$B539,$B540-$D540)</f>
        <v>0</v>
      </c>
      <c r="AC540" s="46" t="n">
        <f aca="false">AI539+AB540</f>
        <v>175</v>
      </c>
      <c r="AD540" s="46" t="n">
        <f aca="false">SUMIFS(AF$533:AF539,$B$533:$B539,"&gt;"&amp;($B540-$D540))</f>
        <v>220</v>
      </c>
      <c r="AE540" s="46" t="n">
        <f aca="false">AC540+AD540</f>
        <v>395</v>
      </c>
      <c r="AF540" s="47" t="n">
        <f aca="false">IF(AE540&lt;=Y540,AA540,0)</f>
        <v>0</v>
      </c>
      <c r="AG540" s="46" t="n">
        <f aca="false">MIN(AC540,I540)</f>
        <v>36</v>
      </c>
      <c r="AH540" s="46" t="n">
        <f aca="false">I540-AG540</f>
        <v>0</v>
      </c>
      <c r="AI540" s="46" t="n">
        <f aca="false">AC540-AG540</f>
        <v>139</v>
      </c>
      <c r="AJ540" s="46" t="n">
        <f aca="false">IF(AH540&gt;0,1,0)</f>
        <v>0</v>
      </c>
    </row>
    <row r="541" customFormat="false" ht="15" hidden="false" customHeight="false" outlineLevel="0" collapsed="false">
      <c r="A541" s="31" t="str">
        <f aca="false">Inputs!$B$70</f>
        <v>ELE-002</v>
      </c>
      <c r="B541" s="46" t="n">
        <f aca="false">B540+1</f>
        <v>97</v>
      </c>
      <c r="C541" s="46" t="n">
        <f aca="false">MATCH(A541,Inputs!$B$40:$B$87,0)</f>
        <v>31</v>
      </c>
      <c r="D541" s="32" t="n">
        <f aca="false">INDEX(Inputs!$F$40:$F$87,C541)</f>
        <v>6</v>
      </c>
      <c r="E541" s="78" t="n">
        <f aca="false">INDEX(Inputs!$H$40:$H$87,C541)</f>
        <v>31</v>
      </c>
      <c r="F541" s="78" t="n">
        <f aca="false">INDEX(Inputs!$G$40:$G$87,C541)</f>
        <v>90</v>
      </c>
      <c r="G541" s="32" t="n">
        <f aca="false">INDEX(Inputs!$I$40:$I$87,C541)</f>
        <v>4</v>
      </c>
      <c r="H541" s="46" t="n">
        <f aca="false">MATCH(A541,Demand_History!$C:$C,0)+B541-1</f>
        <v>3218</v>
      </c>
      <c r="I541" s="32" t="n">
        <f aca="false">INDEX(Forecast_Walkforward!$C:$C,H541)</f>
        <v>45</v>
      </c>
      <c r="J541" s="79" t="n">
        <f aca="false">INDEX(Forecast_Walkforward!$E:$E,H541)</f>
        <v>42</v>
      </c>
      <c r="K541" s="33" t="n">
        <f aca="false">Baseline_Weeks*J541</f>
        <v>168</v>
      </c>
      <c r="L541" s="46" t="n">
        <f aca="false">SUMIFS(P$533:P540,$B$533:$B540,$B541-$D541)</f>
        <v>4</v>
      </c>
      <c r="M541" s="46" t="n">
        <f aca="false">S540+L541</f>
        <v>4</v>
      </c>
      <c r="N541" s="46" t="n">
        <f aca="false">SUMIFS(P$533:P540,$B$533:$B540,"&gt;"&amp;($B541-$D541))</f>
        <v>152</v>
      </c>
      <c r="O541" s="46" t="n">
        <f aca="false">M541+N541</f>
        <v>156</v>
      </c>
      <c r="P541" s="47" t="n">
        <f aca="false">IF(O541&lt;K541,ROUNDUP((K541-O541)/G541,0)*G541,0)</f>
        <v>12</v>
      </c>
      <c r="Q541" s="46" t="n">
        <f aca="false">MIN(M541,I541)</f>
        <v>4</v>
      </c>
      <c r="R541" s="46" t="n">
        <f aca="false">I541-Q541</f>
        <v>41</v>
      </c>
      <c r="S541" s="46" t="n">
        <f aca="false">M541-Q541</f>
        <v>0</v>
      </c>
      <c r="T541" s="46" t="n">
        <f aca="false">IF(R541&gt;0,1,0)</f>
        <v>1</v>
      </c>
      <c r="U541" s="32" t="n">
        <f aca="false">INDEX(Forecast!$AY$7:$AY$54,C541)</f>
        <v>3</v>
      </c>
      <c r="V541" s="33" t="n">
        <f aca="false">CHOOSE(U541,INDEX(Forecast_Walkforward!$D:$D,H541),INDEX(Forecast_Walkforward!$E:$E,H541),INDEX(Forecast_Walkforward!$F:$F,H541),INDEX(Forecast_Walkforward!$G:$G,H541))</f>
        <v>37.875</v>
      </c>
      <c r="W541" s="79" t="n">
        <f aca="false">INDEX(Forecast!$BA$7:$BA$54,C541)</f>
        <v>12.6643689742457</v>
      </c>
      <c r="X541" s="33" t="n">
        <f aca="false">Z_Value*W541*SQRT(D541)</f>
        <v>51.0254022537876</v>
      </c>
      <c r="Y541" s="33" t="n">
        <f aca="false">V541*D541+X541</f>
        <v>278.275402253788</v>
      </c>
      <c r="Z541" s="33" t="n">
        <f aca="false">SQRT((2*V541*Weeks_Per_Year*F541)/(E541*Holding_Rate))</f>
        <v>239.121375577476</v>
      </c>
      <c r="AA541" s="46" t="n">
        <f aca="false">ROUNDUP(Z541/G541,0)*G541</f>
        <v>240</v>
      </c>
      <c r="AB541" s="46" t="n">
        <f aca="false">SUMIFS(AF$533:AF540,$B$533:$B540,$B541-$D541)</f>
        <v>0</v>
      </c>
      <c r="AC541" s="46" t="n">
        <f aca="false">AI540+AB541</f>
        <v>139</v>
      </c>
      <c r="AD541" s="46" t="n">
        <f aca="false">SUMIFS(AF$533:AF540,$B$533:$B540,"&gt;"&amp;($B541-$D541))</f>
        <v>220</v>
      </c>
      <c r="AE541" s="46" t="n">
        <f aca="false">AC541+AD541</f>
        <v>359</v>
      </c>
      <c r="AF541" s="47" t="n">
        <f aca="false">IF(AE541&lt;=Y541,AA541,0)</f>
        <v>0</v>
      </c>
      <c r="AG541" s="46" t="n">
        <f aca="false">MIN(AC541,I541)</f>
        <v>45</v>
      </c>
      <c r="AH541" s="46" t="n">
        <f aca="false">I541-AG541</f>
        <v>0</v>
      </c>
      <c r="AI541" s="46" t="n">
        <f aca="false">AC541-AG541</f>
        <v>94</v>
      </c>
      <c r="AJ541" s="46" t="n">
        <f aca="false">IF(AH541&gt;0,1,0)</f>
        <v>0</v>
      </c>
    </row>
    <row r="542" customFormat="false" ht="15" hidden="false" customHeight="false" outlineLevel="0" collapsed="false">
      <c r="A542" s="31" t="str">
        <f aca="false">Inputs!$B$70</f>
        <v>ELE-002</v>
      </c>
      <c r="B542" s="46" t="n">
        <f aca="false">B541+1</f>
        <v>98</v>
      </c>
      <c r="C542" s="46" t="n">
        <f aca="false">MATCH(A542,Inputs!$B$40:$B$87,0)</f>
        <v>31</v>
      </c>
      <c r="D542" s="32" t="n">
        <f aca="false">INDEX(Inputs!$F$40:$F$87,C542)</f>
        <v>6</v>
      </c>
      <c r="E542" s="78" t="n">
        <f aca="false">INDEX(Inputs!$H$40:$H$87,C542)</f>
        <v>31</v>
      </c>
      <c r="F542" s="78" t="n">
        <f aca="false">INDEX(Inputs!$G$40:$G$87,C542)</f>
        <v>90</v>
      </c>
      <c r="G542" s="32" t="n">
        <f aca="false">INDEX(Inputs!$I$40:$I$87,C542)</f>
        <v>4</v>
      </c>
      <c r="H542" s="46" t="n">
        <f aca="false">MATCH(A542,Demand_History!$C:$C,0)+B542-1</f>
        <v>3219</v>
      </c>
      <c r="I542" s="32" t="n">
        <f aca="false">INDEX(Forecast_Walkforward!$C:$C,H542)</f>
        <v>55</v>
      </c>
      <c r="J542" s="79" t="n">
        <f aca="false">INDEX(Forecast_Walkforward!$E:$E,H542)</f>
        <v>41.75</v>
      </c>
      <c r="K542" s="33" t="n">
        <f aca="false">Baseline_Weeks*J542</f>
        <v>167</v>
      </c>
      <c r="L542" s="46" t="n">
        <f aca="false">SUMIFS(P$533:P541,$B$533:$B541,$B542-$D542)</f>
        <v>68</v>
      </c>
      <c r="M542" s="46" t="n">
        <f aca="false">S541+L542</f>
        <v>68</v>
      </c>
      <c r="N542" s="46" t="n">
        <f aca="false">SUMIFS(P$533:P541,$B$533:$B541,"&gt;"&amp;($B542-$D542))</f>
        <v>96</v>
      </c>
      <c r="O542" s="46" t="n">
        <f aca="false">M542+N542</f>
        <v>164</v>
      </c>
      <c r="P542" s="47" t="n">
        <f aca="false">IF(O542&lt;K542,ROUNDUP((K542-O542)/G542,0)*G542,0)</f>
        <v>4</v>
      </c>
      <c r="Q542" s="46" t="n">
        <f aca="false">MIN(M542,I542)</f>
        <v>55</v>
      </c>
      <c r="R542" s="46" t="n">
        <f aca="false">I542-Q542</f>
        <v>0</v>
      </c>
      <c r="S542" s="46" t="n">
        <f aca="false">M542-Q542</f>
        <v>13</v>
      </c>
      <c r="T542" s="46" t="n">
        <f aca="false">IF(R542&gt;0,1,0)</f>
        <v>0</v>
      </c>
      <c r="U542" s="32" t="n">
        <f aca="false">INDEX(Forecast!$AY$7:$AY$54,C542)</f>
        <v>3</v>
      </c>
      <c r="V542" s="33" t="n">
        <f aca="false">CHOOSE(U542,INDEX(Forecast_Walkforward!$D:$D,H542),INDEX(Forecast_Walkforward!$E:$E,H542),INDEX(Forecast_Walkforward!$F:$F,H542),INDEX(Forecast_Walkforward!$G:$G,H542))</f>
        <v>40.375</v>
      </c>
      <c r="W542" s="79" t="n">
        <f aca="false">INDEX(Forecast!$BA$7:$BA$54,C542)</f>
        <v>12.6643689742457</v>
      </c>
      <c r="X542" s="33" t="n">
        <f aca="false">Z_Value*W542*SQRT(D542)</f>
        <v>51.0254022537876</v>
      </c>
      <c r="Y542" s="33" t="n">
        <f aca="false">V542*D542+X542</f>
        <v>293.275402253788</v>
      </c>
      <c r="Z542" s="33" t="n">
        <f aca="false">SQRT((2*V542*Weeks_Per_Year*F542)/(E542*Holding_Rate))</f>
        <v>246.887070958468</v>
      </c>
      <c r="AA542" s="46" t="n">
        <f aca="false">ROUNDUP(Z542/G542,0)*G542</f>
        <v>248</v>
      </c>
      <c r="AB542" s="46" t="n">
        <f aca="false">SUMIFS(AF$533:AF541,$B$533:$B541,$B542-$D542)</f>
        <v>0</v>
      </c>
      <c r="AC542" s="46" t="n">
        <f aca="false">AI541+AB542</f>
        <v>94</v>
      </c>
      <c r="AD542" s="46" t="n">
        <f aca="false">SUMIFS(AF$533:AF541,$B$533:$B541,"&gt;"&amp;($B542-$D542))</f>
        <v>220</v>
      </c>
      <c r="AE542" s="46" t="n">
        <f aca="false">AC542+AD542</f>
        <v>314</v>
      </c>
      <c r="AF542" s="47" t="n">
        <f aca="false">IF(AE542&lt;=Y542,AA542,0)</f>
        <v>0</v>
      </c>
      <c r="AG542" s="46" t="n">
        <f aca="false">MIN(AC542,I542)</f>
        <v>55</v>
      </c>
      <c r="AH542" s="46" t="n">
        <f aca="false">I542-AG542</f>
        <v>0</v>
      </c>
      <c r="AI542" s="46" t="n">
        <f aca="false">AC542-AG542</f>
        <v>39</v>
      </c>
      <c r="AJ542" s="46" t="n">
        <f aca="false">IF(AH542&gt;0,1,0)</f>
        <v>0</v>
      </c>
    </row>
    <row r="543" customFormat="false" ht="15" hidden="false" customHeight="false" outlineLevel="0" collapsed="false">
      <c r="A543" s="31" t="str">
        <f aca="false">Inputs!$B$70</f>
        <v>ELE-002</v>
      </c>
      <c r="B543" s="46" t="n">
        <f aca="false">B542+1</f>
        <v>99</v>
      </c>
      <c r="C543" s="46" t="n">
        <f aca="false">MATCH(A543,Inputs!$B$40:$B$87,0)</f>
        <v>31</v>
      </c>
      <c r="D543" s="32" t="n">
        <f aca="false">INDEX(Inputs!$F$40:$F$87,C543)</f>
        <v>6</v>
      </c>
      <c r="E543" s="78" t="n">
        <f aca="false">INDEX(Inputs!$H$40:$H$87,C543)</f>
        <v>31</v>
      </c>
      <c r="F543" s="78" t="n">
        <f aca="false">INDEX(Inputs!$G$40:$G$87,C543)</f>
        <v>90</v>
      </c>
      <c r="G543" s="32" t="n">
        <f aca="false">INDEX(Inputs!$I$40:$I$87,C543)</f>
        <v>4</v>
      </c>
      <c r="H543" s="46" t="n">
        <f aca="false">MATCH(A543,Demand_History!$C:$C,0)+B543-1</f>
        <v>3220</v>
      </c>
      <c r="I543" s="32" t="n">
        <f aca="false">INDEX(Forecast_Walkforward!$C:$C,H543)</f>
        <v>42</v>
      </c>
      <c r="J543" s="79" t="n">
        <f aca="false">INDEX(Forecast_Walkforward!$E:$E,H543)</f>
        <v>43.25</v>
      </c>
      <c r="K543" s="33" t="n">
        <f aca="false">Baseline_Weeks*J543</f>
        <v>173</v>
      </c>
      <c r="L543" s="46" t="n">
        <f aca="false">SUMIFS(P$533:P542,$B$533:$B542,$B543-$D543)</f>
        <v>24</v>
      </c>
      <c r="M543" s="46" t="n">
        <f aca="false">S542+L543</f>
        <v>37</v>
      </c>
      <c r="N543" s="46" t="n">
        <f aca="false">SUMIFS(P$533:P542,$B$533:$B542,"&gt;"&amp;($B543-$D543))</f>
        <v>76</v>
      </c>
      <c r="O543" s="46" t="n">
        <f aca="false">M543+N543</f>
        <v>113</v>
      </c>
      <c r="P543" s="47" t="n">
        <f aca="false">IF(O543&lt;K543,ROUNDUP((K543-O543)/G543,0)*G543,0)</f>
        <v>60</v>
      </c>
      <c r="Q543" s="46" t="n">
        <f aca="false">MIN(M543,I543)</f>
        <v>37</v>
      </c>
      <c r="R543" s="46" t="n">
        <f aca="false">I543-Q543</f>
        <v>5</v>
      </c>
      <c r="S543" s="46" t="n">
        <f aca="false">M543-Q543</f>
        <v>0</v>
      </c>
      <c r="T543" s="46" t="n">
        <f aca="false">IF(R543&gt;0,1,0)</f>
        <v>1</v>
      </c>
      <c r="U543" s="32" t="n">
        <f aca="false">INDEX(Forecast!$AY$7:$AY$54,C543)</f>
        <v>3</v>
      </c>
      <c r="V543" s="33" t="n">
        <f aca="false">CHOOSE(U543,INDEX(Forecast_Walkforward!$D:$D,H543),INDEX(Forecast_Walkforward!$E:$E,H543),INDEX(Forecast_Walkforward!$F:$F,H543),INDEX(Forecast_Walkforward!$G:$G,H543))</f>
        <v>40.625</v>
      </c>
      <c r="W543" s="79" t="n">
        <f aca="false">INDEX(Forecast!$BA$7:$BA$54,C543)</f>
        <v>12.6643689742457</v>
      </c>
      <c r="X543" s="33" t="n">
        <f aca="false">Z_Value*W543*SQRT(D543)</f>
        <v>51.0254022537876</v>
      </c>
      <c r="Y543" s="33" t="n">
        <f aca="false">V543*D543+X543</f>
        <v>294.775402253788</v>
      </c>
      <c r="Z543" s="33" t="n">
        <f aca="false">SQRT((2*V543*Weeks_Per_Year*F543)/(E543*Holding_Rate))</f>
        <v>247.650247650371</v>
      </c>
      <c r="AA543" s="46" t="n">
        <f aca="false">ROUNDUP(Z543/G543,0)*G543</f>
        <v>248</v>
      </c>
      <c r="AB543" s="46" t="n">
        <f aca="false">SUMIFS(AF$533:AF542,$B$533:$B542,$B543-$D543)</f>
        <v>0</v>
      </c>
      <c r="AC543" s="46" t="n">
        <f aca="false">AI542+AB543</f>
        <v>39</v>
      </c>
      <c r="AD543" s="46" t="n">
        <f aca="false">SUMIFS(AF$533:AF542,$B$533:$B542,"&gt;"&amp;($B543-$D543))</f>
        <v>220</v>
      </c>
      <c r="AE543" s="46" t="n">
        <f aca="false">AC543+AD543</f>
        <v>259</v>
      </c>
      <c r="AF543" s="47" t="n">
        <f aca="false">IF(AE543&lt;=Y543,AA543,0)</f>
        <v>248</v>
      </c>
      <c r="AG543" s="46" t="n">
        <f aca="false">MIN(AC543,I543)</f>
        <v>39</v>
      </c>
      <c r="AH543" s="46" t="n">
        <f aca="false">I543-AG543</f>
        <v>3</v>
      </c>
      <c r="AI543" s="46" t="n">
        <f aca="false">AC543-AG543</f>
        <v>0</v>
      </c>
      <c r="AJ543" s="46" t="n">
        <f aca="false">IF(AH543&gt;0,1,0)</f>
        <v>1</v>
      </c>
    </row>
    <row r="544" customFormat="false" ht="15" hidden="false" customHeight="false" outlineLevel="0" collapsed="false">
      <c r="A544" s="31" t="str">
        <f aca="false">Inputs!$B$70</f>
        <v>ELE-002</v>
      </c>
      <c r="B544" s="46" t="n">
        <f aca="false">B543+1</f>
        <v>100</v>
      </c>
      <c r="C544" s="46" t="n">
        <f aca="false">MATCH(A544,Inputs!$B$40:$B$87,0)</f>
        <v>31</v>
      </c>
      <c r="D544" s="32" t="n">
        <f aca="false">INDEX(Inputs!$F$40:$F$87,C544)</f>
        <v>6</v>
      </c>
      <c r="E544" s="78" t="n">
        <f aca="false">INDEX(Inputs!$H$40:$H$87,C544)</f>
        <v>31</v>
      </c>
      <c r="F544" s="78" t="n">
        <f aca="false">INDEX(Inputs!$G$40:$G$87,C544)</f>
        <v>90</v>
      </c>
      <c r="G544" s="32" t="n">
        <f aca="false">INDEX(Inputs!$I$40:$I$87,C544)</f>
        <v>4</v>
      </c>
      <c r="H544" s="46" t="n">
        <f aca="false">MATCH(A544,Demand_History!$C:$C,0)+B544-1</f>
        <v>3221</v>
      </c>
      <c r="I544" s="32" t="n">
        <f aca="false">INDEX(Forecast_Walkforward!$C:$C,H544)</f>
        <v>47</v>
      </c>
      <c r="J544" s="79" t="n">
        <f aca="false">INDEX(Forecast_Walkforward!$E:$E,H544)</f>
        <v>44.5</v>
      </c>
      <c r="K544" s="33" t="n">
        <f aca="false">Baseline_Weeks*J544</f>
        <v>178</v>
      </c>
      <c r="L544" s="46" t="n">
        <f aca="false">SUMIFS(P$533:P543,$B$533:$B543,$B544-$D544)</f>
        <v>60</v>
      </c>
      <c r="M544" s="46" t="n">
        <f aca="false">S543+L544</f>
        <v>60</v>
      </c>
      <c r="N544" s="46" t="n">
        <f aca="false">SUMIFS(P$533:P543,$B$533:$B543,"&gt;"&amp;($B544-$D544))</f>
        <v>76</v>
      </c>
      <c r="O544" s="46" t="n">
        <f aca="false">M544+N544</f>
        <v>136</v>
      </c>
      <c r="P544" s="47" t="n">
        <f aca="false">IF(O544&lt;K544,ROUNDUP((K544-O544)/G544,0)*G544,0)</f>
        <v>44</v>
      </c>
      <c r="Q544" s="46" t="n">
        <f aca="false">MIN(M544,I544)</f>
        <v>47</v>
      </c>
      <c r="R544" s="46" t="n">
        <f aca="false">I544-Q544</f>
        <v>0</v>
      </c>
      <c r="S544" s="46" t="n">
        <f aca="false">M544-Q544</f>
        <v>13</v>
      </c>
      <c r="T544" s="46" t="n">
        <f aca="false">IF(R544&gt;0,1,0)</f>
        <v>0</v>
      </c>
      <c r="U544" s="32" t="n">
        <f aca="false">INDEX(Forecast!$AY$7:$AY$54,C544)</f>
        <v>3</v>
      </c>
      <c r="V544" s="33" t="n">
        <f aca="false">CHOOSE(U544,INDEX(Forecast_Walkforward!$D:$D,H544),INDEX(Forecast_Walkforward!$E:$E,H544),INDEX(Forecast_Walkforward!$F:$F,H544),INDEX(Forecast_Walkforward!$G:$G,H544))</f>
        <v>41.125</v>
      </c>
      <c r="W544" s="79" t="n">
        <f aca="false">INDEX(Forecast!$BA$7:$BA$54,C544)</f>
        <v>12.6643689742457</v>
      </c>
      <c r="X544" s="33" t="n">
        <f aca="false">Z_Value*W544*SQRT(D544)</f>
        <v>51.0254022537876</v>
      </c>
      <c r="Y544" s="33" t="n">
        <f aca="false">V544*D544+X544</f>
        <v>297.775402253788</v>
      </c>
      <c r="Z544" s="33" t="n">
        <f aca="false">SQRT((2*V544*Weeks_Per_Year*F544)/(E544*Holding_Rate))</f>
        <v>249.169588575668</v>
      </c>
      <c r="AA544" s="46" t="n">
        <f aca="false">ROUNDUP(Z544/G544,0)*G544</f>
        <v>252</v>
      </c>
      <c r="AB544" s="46" t="n">
        <f aca="false">SUMIFS(AF$533:AF543,$B$533:$B543,$B544-$D544)</f>
        <v>220</v>
      </c>
      <c r="AC544" s="46" t="n">
        <f aca="false">AI543+AB544</f>
        <v>220</v>
      </c>
      <c r="AD544" s="46" t="n">
        <f aca="false">SUMIFS(AF$533:AF543,$B$533:$B543,"&gt;"&amp;($B544-$D544))</f>
        <v>248</v>
      </c>
      <c r="AE544" s="46" t="n">
        <f aca="false">AC544+AD544</f>
        <v>468</v>
      </c>
      <c r="AF544" s="47" t="n">
        <f aca="false">IF(AE544&lt;=Y544,AA544,0)</f>
        <v>0</v>
      </c>
      <c r="AG544" s="46" t="n">
        <f aca="false">MIN(AC544,I544)</f>
        <v>47</v>
      </c>
      <c r="AH544" s="46" t="n">
        <f aca="false">I544-AG544</f>
        <v>0</v>
      </c>
      <c r="AI544" s="46" t="n">
        <f aca="false">AC544-AG544</f>
        <v>173</v>
      </c>
      <c r="AJ544" s="46" t="n">
        <f aca="false">IF(AH544&gt;0,1,0)</f>
        <v>0</v>
      </c>
    </row>
    <row r="545" customFormat="false" ht="15" hidden="false" customHeight="false" outlineLevel="0" collapsed="false">
      <c r="A545" s="31" t="str">
        <f aca="false">Inputs!$B$70</f>
        <v>ELE-002</v>
      </c>
      <c r="B545" s="46" t="n">
        <f aca="false">B544+1</f>
        <v>101</v>
      </c>
      <c r="C545" s="46" t="n">
        <f aca="false">MATCH(A545,Inputs!$B$40:$B$87,0)</f>
        <v>31</v>
      </c>
      <c r="D545" s="32" t="n">
        <f aca="false">INDEX(Inputs!$F$40:$F$87,C545)</f>
        <v>6</v>
      </c>
      <c r="E545" s="78" t="n">
        <f aca="false">INDEX(Inputs!$H$40:$H$87,C545)</f>
        <v>31</v>
      </c>
      <c r="F545" s="78" t="n">
        <f aca="false">INDEX(Inputs!$G$40:$G$87,C545)</f>
        <v>90</v>
      </c>
      <c r="G545" s="32" t="n">
        <f aca="false">INDEX(Inputs!$I$40:$I$87,C545)</f>
        <v>4</v>
      </c>
      <c r="H545" s="46" t="n">
        <f aca="false">MATCH(A545,Demand_History!$C:$C,0)+B545-1</f>
        <v>3222</v>
      </c>
      <c r="I545" s="32" t="n">
        <f aca="false">INDEX(Forecast_Walkforward!$C:$C,H545)</f>
        <v>39</v>
      </c>
      <c r="J545" s="79" t="n">
        <f aca="false">INDEX(Forecast_Walkforward!$E:$E,H545)</f>
        <v>47.25</v>
      </c>
      <c r="K545" s="33" t="n">
        <f aca="false">Baseline_Weeks*J545</f>
        <v>189</v>
      </c>
      <c r="L545" s="46" t="n">
        <f aca="false">SUMIFS(P$533:P544,$B$533:$B544,$B545-$D545)</f>
        <v>0</v>
      </c>
      <c r="M545" s="46" t="n">
        <f aca="false">S544+L545</f>
        <v>13</v>
      </c>
      <c r="N545" s="46" t="n">
        <f aca="false">SUMIFS(P$533:P544,$B$533:$B544,"&gt;"&amp;($B545-$D545))</f>
        <v>120</v>
      </c>
      <c r="O545" s="46" t="n">
        <f aca="false">M545+N545</f>
        <v>133</v>
      </c>
      <c r="P545" s="47" t="n">
        <f aca="false">IF(O545&lt;K545,ROUNDUP((K545-O545)/G545,0)*G545,0)</f>
        <v>56</v>
      </c>
      <c r="Q545" s="46" t="n">
        <f aca="false">MIN(M545,I545)</f>
        <v>13</v>
      </c>
      <c r="R545" s="46" t="n">
        <f aca="false">I545-Q545</f>
        <v>26</v>
      </c>
      <c r="S545" s="46" t="n">
        <f aca="false">M545-Q545</f>
        <v>0</v>
      </c>
      <c r="T545" s="46" t="n">
        <f aca="false">IF(R545&gt;0,1,0)</f>
        <v>1</v>
      </c>
      <c r="U545" s="32" t="n">
        <f aca="false">INDEX(Forecast!$AY$7:$AY$54,C545)</f>
        <v>3</v>
      </c>
      <c r="V545" s="33" t="n">
        <f aca="false">CHOOSE(U545,INDEX(Forecast_Walkforward!$D:$D,H545),INDEX(Forecast_Walkforward!$E:$E,H545),INDEX(Forecast_Walkforward!$F:$F,H545),INDEX(Forecast_Walkforward!$G:$G,H545))</f>
        <v>44.625</v>
      </c>
      <c r="W545" s="79" t="n">
        <f aca="false">INDEX(Forecast!$BA$7:$BA$54,C545)</f>
        <v>12.6643689742457</v>
      </c>
      <c r="X545" s="33" t="n">
        <f aca="false">Z_Value*W545*SQRT(D545)</f>
        <v>51.0254022537876</v>
      </c>
      <c r="Y545" s="33" t="n">
        <f aca="false">V545*D545+X545</f>
        <v>318.775402253788</v>
      </c>
      <c r="Z545" s="33" t="n">
        <f aca="false">SQRT((2*V545*Weeks_Per_Year*F545)/(E545*Holding_Rate))</f>
        <v>259.556072629229</v>
      </c>
      <c r="AA545" s="46" t="n">
        <f aca="false">ROUNDUP(Z545/G545,0)*G545</f>
        <v>260</v>
      </c>
      <c r="AB545" s="46" t="n">
        <f aca="false">SUMIFS(AF$533:AF544,$B$533:$B544,$B545-$D545)</f>
        <v>0</v>
      </c>
      <c r="AC545" s="46" t="n">
        <f aca="false">AI544+AB545</f>
        <v>173</v>
      </c>
      <c r="AD545" s="46" t="n">
        <f aca="false">SUMIFS(AF$533:AF544,$B$533:$B544,"&gt;"&amp;($B545-$D545))</f>
        <v>248</v>
      </c>
      <c r="AE545" s="46" t="n">
        <f aca="false">AC545+AD545</f>
        <v>421</v>
      </c>
      <c r="AF545" s="47" t="n">
        <f aca="false">IF(AE545&lt;=Y545,AA545,0)</f>
        <v>0</v>
      </c>
      <c r="AG545" s="46" t="n">
        <f aca="false">MIN(AC545,I545)</f>
        <v>39</v>
      </c>
      <c r="AH545" s="46" t="n">
        <f aca="false">I545-AG545</f>
        <v>0</v>
      </c>
      <c r="AI545" s="46" t="n">
        <f aca="false">AC545-AG545</f>
        <v>134</v>
      </c>
      <c r="AJ545" s="46" t="n">
        <f aca="false">IF(AH545&gt;0,1,0)</f>
        <v>0</v>
      </c>
    </row>
    <row r="546" customFormat="false" ht="15" hidden="false" customHeight="false" outlineLevel="0" collapsed="false">
      <c r="A546" s="31" t="str">
        <f aca="false">Inputs!$B$70</f>
        <v>ELE-002</v>
      </c>
      <c r="B546" s="46" t="n">
        <f aca="false">B545+1</f>
        <v>102</v>
      </c>
      <c r="C546" s="46" t="n">
        <f aca="false">MATCH(A546,Inputs!$B$40:$B$87,0)</f>
        <v>31</v>
      </c>
      <c r="D546" s="32" t="n">
        <f aca="false">INDEX(Inputs!$F$40:$F$87,C546)</f>
        <v>6</v>
      </c>
      <c r="E546" s="78" t="n">
        <f aca="false">INDEX(Inputs!$H$40:$H$87,C546)</f>
        <v>31</v>
      </c>
      <c r="F546" s="78" t="n">
        <f aca="false">INDEX(Inputs!$G$40:$G$87,C546)</f>
        <v>90</v>
      </c>
      <c r="G546" s="32" t="n">
        <f aca="false">INDEX(Inputs!$I$40:$I$87,C546)</f>
        <v>4</v>
      </c>
      <c r="H546" s="46" t="n">
        <f aca="false">MATCH(A546,Demand_History!$C:$C,0)+B546-1</f>
        <v>3223</v>
      </c>
      <c r="I546" s="32" t="n">
        <f aca="false">INDEX(Forecast_Walkforward!$C:$C,H546)</f>
        <v>35</v>
      </c>
      <c r="J546" s="79" t="n">
        <f aca="false">INDEX(Forecast_Walkforward!$E:$E,H546)</f>
        <v>45.75</v>
      </c>
      <c r="K546" s="33" t="n">
        <f aca="false">Baseline_Weeks*J546</f>
        <v>183</v>
      </c>
      <c r="L546" s="46" t="n">
        <f aca="false">SUMIFS(P$533:P545,$B$533:$B545,$B546-$D546)</f>
        <v>0</v>
      </c>
      <c r="M546" s="46" t="n">
        <f aca="false">S545+L546</f>
        <v>0</v>
      </c>
      <c r="N546" s="46" t="n">
        <f aca="false">SUMIFS(P$533:P545,$B$533:$B545,"&gt;"&amp;($B546-$D546))</f>
        <v>176</v>
      </c>
      <c r="O546" s="46" t="n">
        <f aca="false">M546+N546</f>
        <v>176</v>
      </c>
      <c r="P546" s="47" t="n">
        <f aca="false">IF(O546&lt;K546,ROUNDUP((K546-O546)/G546,0)*G546,0)</f>
        <v>8</v>
      </c>
      <c r="Q546" s="46" t="n">
        <f aca="false">MIN(M546,I546)</f>
        <v>0</v>
      </c>
      <c r="R546" s="46" t="n">
        <f aca="false">I546-Q546</f>
        <v>35</v>
      </c>
      <c r="S546" s="46" t="n">
        <f aca="false">M546-Q546</f>
        <v>0</v>
      </c>
      <c r="T546" s="46" t="n">
        <f aca="false">IF(R546&gt;0,1,0)</f>
        <v>1</v>
      </c>
      <c r="U546" s="32" t="n">
        <f aca="false">INDEX(Forecast!$AY$7:$AY$54,C546)</f>
        <v>3</v>
      </c>
      <c r="V546" s="33" t="n">
        <f aca="false">CHOOSE(U546,INDEX(Forecast_Walkforward!$D:$D,H546),INDEX(Forecast_Walkforward!$E:$E,H546),INDEX(Forecast_Walkforward!$F:$F,H546),INDEX(Forecast_Walkforward!$G:$G,H546))</f>
        <v>43.75</v>
      </c>
      <c r="W546" s="79" t="n">
        <f aca="false">INDEX(Forecast!$BA$7:$BA$54,C546)</f>
        <v>12.6643689742457</v>
      </c>
      <c r="X546" s="33" t="n">
        <f aca="false">Z_Value*W546*SQRT(D546)</f>
        <v>51.0254022537876</v>
      </c>
      <c r="Y546" s="33" t="n">
        <f aca="false">V546*D546+X546</f>
        <v>313.525402253788</v>
      </c>
      <c r="Z546" s="33" t="n">
        <f aca="false">SQRT((2*V546*Weeks_Per_Year*F546)/(E546*Holding_Rate))</f>
        <v>256.998807578507</v>
      </c>
      <c r="AA546" s="46" t="n">
        <f aca="false">ROUNDUP(Z546/G546,0)*G546</f>
        <v>260</v>
      </c>
      <c r="AB546" s="46" t="n">
        <f aca="false">SUMIFS(AF$533:AF545,$B$533:$B545,$B546-$D546)</f>
        <v>0</v>
      </c>
      <c r="AC546" s="46" t="n">
        <f aca="false">AI545+AB546</f>
        <v>134</v>
      </c>
      <c r="AD546" s="46" t="n">
        <f aca="false">SUMIFS(AF$533:AF545,$B$533:$B545,"&gt;"&amp;($B546-$D546))</f>
        <v>248</v>
      </c>
      <c r="AE546" s="46" t="n">
        <f aca="false">AC546+AD546</f>
        <v>382</v>
      </c>
      <c r="AF546" s="47" t="n">
        <f aca="false">IF(AE546&lt;=Y546,AA546,0)</f>
        <v>0</v>
      </c>
      <c r="AG546" s="46" t="n">
        <f aca="false">MIN(AC546,I546)</f>
        <v>35</v>
      </c>
      <c r="AH546" s="46" t="n">
        <f aca="false">I546-AG546</f>
        <v>0</v>
      </c>
      <c r="AI546" s="46" t="n">
        <f aca="false">AC546-AG546</f>
        <v>99</v>
      </c>
      <c r="AJ546" s="46" t="n">
        <f aca="false">IF(AH546&gt;0,1,0)</f>
        <v>0</v>
      </c>
    </row>
    <row r="547" customFormat="false" ht="15" hidden="false" customHeight="false" outlineLevel="0" collapsed="false">
      <c r="A547" s="31" t="str">
        <f aca="false">Inputs!$B$70</f>
        <v>ELE-002</v>
      </c>
      <c r="B547" s="46" t="n">
        <f aca="false">B546+1</f>
        <v>103</v>
      </c>
      <c r="C547" s="46" t="n">
        <f aca="false">MATCH(A547,Inputs!$B$40:$B$87,0)</f>
        <v>31</v>
      </c>
      <c r="D547" s="32" t="n">
        <f aca="false">INDEX(Inputs!$F$40:$F$87,C547)</f>
        <v>6</v>
      </c>
      <c r="E547" s="78" t="n">
        <f aca="false">INDEX(Inputs!$H$40:$H$87,C547)</f>
        <v>31</v>
      </c>
      <c r="F547" s="78" t="n">
        <f aca="false">INDEX(Inputs!$G$40:$G$87,C547)</f>
        <v>90</v>
      </c>
      <c r="G547" s="32" t="n">
        <f aca="false">INDEX(Inputs!$I$40:$I$87,C547)</f>
        <v>4</v>
      </c>
      <c r="H547" s="46" t="n">
        <f aca="false">MATCH(A547,Demand_History!$C:$C,0)+B547-1</f>
        <v>3224</v>
      </c>
      <c r="I547" s="32" t="n">
        <f aca="false">INDEX(Forecast_Walkforward!$C:$C,H547)</f>
        <v>29</v>
      </c>
      <c r="J547" s="79" t="n">
        <f aca="false">INDEX(Forecast_Walkforward!$E:$E,H547)</f>
        <v>40.75</v>
      </c>
      <c r="K547" s="33" t="n">
        <f aca="false">Baseline_Weeks*J547</f>
        <v>163</v>
      </c>
      <c r="L547" s="46" t="n">
        <f aca="false">SUMIFS(P$533:P546,$B$533:$B546,$B547-$D547)</f>
        <v>12</v>
      </c>
      <c r="M547" s="46" t="n">
        <f aca="false">S546+L547</f>
        <v>12</v>
      </c>
      <c r="N547" s="46" t="n">
        <f aca="false">SUMIFS(P$533:P546,$B$533:$B546,"&gt;"&amp;($B547-$D547))</f>
        <v>172</v>
      </c>
      <c r="O547" s="46" t="n">
        <f aca="false">M547+N547</f>
        <v>184</v>
      </c>
      <c r="P547" s="47" t="n">
        <f aca="false">IF(O547&lt;K547,ROUNDUP((K547-O547)/G547,0)*G547,0)</f>
        <v>0</v>
      </c>
      <c r="Q547" s="46" t="n">
        <f aca="false">MIN(M547,I547)</f>
        <v>12</v>
      </c>
      <c r="R547" s="46" t="n">
        <f aca="false">I547-Q547</f>
        <v>17</v>
      </c>
      <c r="S547" s="46" t="n">
        <f aca="false">M547-Q547</f>
        <v>0</v>
      </c>
      <c r="T547" s="46" t="n">
        <f aca="false">IF(R547&gt;0,1,0)</f>
        <v>1</v>
      </c>
      <c r="U547" s="32" t="n">
        <f aca="false">INDEX(Forecast!$AY$7:$AY$54,C547)</f>
        <v>3</v>
      </c>
      <c r="V547" s="33" t="n">
        <f aca="false">CHOOSE(U547,INDEX(Forecast_Walkforward!$D:$D,H547),INDEX(Forecast_Walkforward!$E:$E,H547),INDEX(Forecast_Walkforward!$F:$F,H547),INDEX(Forecast_Walkforward!$G:$G,H547))</f>
        <v>42</v>
      </c>
      <c r="W547" s="79" t="n">
        <f aca="false">INDEX(Forecast!$BA$7:$BA$54,C547)</f>
        <v>12.6643689742457</v>
      </c>
      <c r="X547" s="33" t="n">
        <f aca="false">Z_Value*W547*SQRT(D547)</f>
        <v>51.0254022537876</v>
      </c>
      <c r="Y547" s="33" t="n">
        <f aca="false">V547*D547+X547</f>
        <v>303.025402253788</v>
      </c>
      <c r="Z547" s="33" t="n">
        <f aca="false">SQRT((2*V547*Weeks_Per_Year*F547)/(E547*Holding_Rate))</f>
        <v>251.806377228424</v>
      </c>
      <c r="AA547" s="46" t="n">
        <f aca="false">ROUNDUP(Z547/G547,0)*G547</f>
        <v>252</v>
      </c>
      <c r="AB547" s="46" t="n">
        <f aca="false">SUMIFS(AF$533:AF546,$B$533:$B546,$B547-$D547)</f>
        <v>0</v>
      </c>
      <c r="AC547" s="46" t="n">
        <f aca="false">AI546+AB547</f>
        <v>99</v>
      </c>
      <c r="AD547" s="46" t="n">
        <f aca="false">SUMIFS(AF$533:AF546,$B$533:$B546,"&gt;"&amp;($B547-$D547))</f>
        <v>248</v>
      </c>
      <c r="AE547" s="46" t="n">
        <f aca="false">AC547+AD547</f>
        <v>347</v>
      </c>
      <c r="AF547" s="47" t="n">
        <f aca="false">IF(AE547&lt;=Y547,AA547,0)</f>
        <v>0</v>
      </c>
      <c r="AG547" s="46" t="n">
        <f aca="false">MIN(AC547,I547)</f>
        <v>29</v>
      </c>
      <c r="AH547" s="46" t="n">
        <f aca="false">I547-AG547</f>
        <v>0</v>
      </c>
      <c r="AI547" s="46" t="n">
        <f aca="false">AC547-AG547</f>
        <v>70</v>
      </c>
      <c r="AJ547" s="46" t="n">
        <f aca="false">IF(AH547&gt;0,1,0)</f>
        <v>0</v>
      </c>
    </row>
    <row r="548" customFormat="false" ht="15" hidden="false" customHeight="false" outlineLevel="0" collapsed="false">
      <c r="A548" s="80" t="str">
        <f aca="false">Inputs!$B$70</f>
        <v>ELE-002</v>
      </c>
      <c r="B548" s="81" t="n">
        <f aca="false">B547+1</f>
        <v>104</v>
      </c>
      <c r="C548" s="81" t="n">
        <f aca="false">MATCH(A548,Inputs!$B$40:$B$87,0)</f>
        <v>31</v>
      </c>
      <c r="D548" s="82" t="n">
        <f aca="false">INDEX(Inputs!$F$40:$F$87,C548)</f>
        <v>6</v>
      </c>
      <c r="E548" s="83" t="n">
        <f aca="false">INDEX(Inputs!$H$40:$H$87,C548)</f>
        <v>31</v>
      </c>
      <c r="F548" s="83" t="n">
        <f aca="false">INDEX(Inputs!$G$40:$G$87,C548)</f>
        <v>90</v>
      </c>
      <c r="G548" s="82" t="n">
        <f aca="false">INDEX(Inputs!$I$40:$I$87,C548)</f>
        <v>4</v>
      </c>
      <c r="H548" s="81" t="n">
        <f aca="false">MATCH(A548,Demand_History!$C:$C,0)+B548-1</f>
        <v>3225</v>
      </c>
      <c r="I548" s="82" t="n">
        <f aca="false">INDEX(Forecast_Walkforward!$C:$C,H548)</f>
        <v>43</v>
      </c>
      <c r="J548" s="84" t="n">
        <f aca="false">INDEX(Forecast_Walkforward!$E:$E,H548)</f>
        <v>37.5</v>
      </c>
      <c r="K548" s="85" t="n">
        <f aca="false">Baseline_Weeks*J548</f>
        <v>150</v>
      </c>
      <c r="L548" s="81" t="n">
        <f aca="false">SUMIFS(P$533:P547,$B$533:$B547,$B548-$D548)</f>
        <v>4</v>
      </c>
      <c r="M548" s="81" t="n">
        <f aca="false">S547+L548</f>
        <v>4</v>
      </c>
      <c r="N548" s="81" t="n">
        <f aca="false">SUMIFS(P$533:P547,$B$533:$B547,"&gt;"&amp;($B548-$D548))</f>
        <v>168</v>
      </c>
      <c r="O548" s="81" t="n">
        <f aca="false">M548+N548</f>
        <v>172</v>
      </c>
      <c r="P548" s="86" t="n">
        <f aca="false">IF(O548&lt;K548,ROUNDUP((K548-O548)/G548,0)*G548,0)</f>
        <v>0</v>
      </c>
      <c r="Q548" s="81" t="n">
        <f aca="false">MIN(M548,I548)</f>
        <v>4</v>
      </c>
      <c r="R548" s="81" t="n">
        <f aca="false">I548-Q548</f>
        <v>39</v>
      </c>
      <c r="S548" s="81" t="n">
        <f aca="false">M548-Q548</f>
        <v>0</v>
      </c>
      <c r="T548" s="81" t="n">
        <f aca="false">IF(R548&gt;0,1,0)</f>
        <v>1</v>
      </c>
      <c r="U548" s="82" t="n">
        <f aca="false">INDEX(Forecast!$AY$7:$AY$54,C548)</f>
        <v>3</v>
      </c>
      <c r="V548" s="85" t="n">
        <f aca="false">CHOOSE(U548,INDEX(Forecast_Walkforward!$D:$D,H548),INDEX(Forecast_Walkforward!$E:$E,H548),INDEX(Forecast_Walkforward!$F:$F,H548),INDEX(Forecast_Walkforward!$G:$G,H548))</f>
        <v>41</v>
      </c>
      <c r="W548" s="84" t="n">
        <f aca="false">INDEX(Forecast!$BA$7:$BA$54,C548)</f>
        <v>12.6643689742457</v>
      </c>
      <c r="X548" s="85" t="n">
        <f aca="false">Z_Value*W548*SQRT(D548)</f>
        <v>51.0254022537876</v>
      </c>
      <c r="Y548" s="85" t="n">
        <f aca="false">V548*D548+X548</f>
        <v>297.025402253788</v>
      </c>
      <c r="Z548" s="85" t="n">
        <f aca="false">SQRT((2*V548*Weeks_Per_Year*F548)/(E548*Holding_Rate))</f>
        <v>248.790623202621</v>
      </c>
      <c r="AA548" s="81" t="n">
        <f aca="false">ROUNDUP(Z548/G548,0)*G548</f>
        <v>252</v>
      </c>
      <c r="AB548" s="81" t="n">
        <f aca="false">SUMIFS(AF$533:AF547,$B$533:$B547,$B548-$D548)</f>
        <v>0</v>
      </c>
      <c r="AC548" s="81" t="n">
        <f aca="false">AI547+AB548</f>
        <v>70</v>
      </c>
      <c r="AD548" s="81" t="n">
        <f aca="false">SUMIFS(AF$533:AF547,$B$533:$B547,"&gt;"&amp;($B548-$D548))</f>
        <v>248</v>
      </c>
      <c r="AE548" s="81" t="n">
        <f aca="false">AC548+AD548</f>
        <v>318</v>
      </c>
      <c r="AF548" s="86" t="n">
        <f aca="false">IF(AE548&lt;=Y548,AA548,0)</f>
        <v>0</v>
      </c>
      <c r="AG548" s="81" t="n">
        <f aca="false">MIN(AC548,I548)</f>
        <v>43</v>
      </c>
      <c r="AH548" s="81" t="n">
        <f aca="false">I548-AG548</f>
        <v>0</v>
      </c>
      <c r="AI548" s="81" t="n">
        <f aca="false">AC548-AG548</f>
        <v>27</v>
      </c>
      <c r="AJ548" s="81" t="n">
        <f aca="false">IF(AH548&gt;0,1,0)</f>
        <v>0</v>
      </c>
    </row>
    <row r="549" customFormat="false" ht="15" hidden="false" customHeight="false" outlineLevel="0" collapsed="false">
      <c r="A549" s="31" t="str">
        <f aca="false">Inputs!$B$71</f>
        <v>ELE-003</v>
      </c>
      <c r="B549" s="46" t="n">
        <f aca="false">BT_Start_Week</f>
        <v>89</v>
      </c>
      <c r="C549" s="46" t="n">
        <f aca="false">MATCH(A549,Inputs!$B$40:$B$87,0)</f>
        <v>32</v>
      </c>
      <c r="D549" s="32" t="n">
        <f aca="false">INDEX(Inputs!$F$40:$F$87,C549)</f>
        <v>6</v>
      </c>
      <c r="E549" s="78" t="n">
        <f aca="false">INDEX(Inputs!$H$40:$H$87,C549)</f>
        <v>36</v>
      </c>
      <c r="F549" s="78" t="n">
        <f aca="false">INDEX(Inputs!$G$40:$G$87,C549)</f>
        <v>90</v>
      </c>
      <c r="G549" s="32" t="n">
        <f aca="false">INDEX(Inputs!$I$40:$I$87,C549)</f>
        <v>4</v>
      </c>
      <c r="H549" s="46" t="n">
        <f aca="false">MATCH(A549,Demand_History!$C:$C,0)+B549-1</f>
        <v>3314</v>
      </c>
      <c r="I549" s="32" t="n">
        <f aca="false">INDEX(Forecast_Walkforward!$C:$C,H549)</f>
        <v>41</v>
      </c>
      <c r="J549" s="79" t="n">
        <f aca="false">INDEX(Forecast_Walkforward!$E:$E,H549)</f>
        <v>35.25</v>
      </c>
      <c r="K549" s="33" t="n">
        <f aca="false">Baseline_Weeks*J549</f>
        <v>141</v>
      </c>
      <c r="L549" s="46" t="n">
        <f aca="false">0</f>
        <v>0</v>
      </c>
      <c r="M549" s="46" t="n">
        <f aca="false">ROUND(BT_Open_Cover*INDEX(Forecast_Walkforward!$F:$F,H549),0)+L549</f>
        <v>197</v>
      </c>
      <c r="N549" s="46" t="n">
        <f aca="false">0</f>
        <v>0</v>
      </c>
      <c r="O549" s="46" t="n">
        <f aca="false">M549+N549</f>
        <v>197</v>
      </c>
      <c r="P549" s="47" t="n">
        <f aca="false">IF(O549&lt;K549,ROUNDUP((K549-O549)/G549,0)*G549,0)</f>
        <v>0</v>
      </c>
      <c r="Q549" s="46" t="n">
        <f aca="false">MIN(M549,I549)</f>
        <v>41</v>
      </c>
      <c r="R549" s="46" t="n">
        <f aca="false">I549-Q549</f>
        <v>0</v>
      </c>
      <c r="S549" s="46" t="n">
        <f aca="false">M549-Q549</f>
        <v>156</v>
      </c>
      <c r="T549" s="46" t="n">
        <f aca="false">IF(R549&gt;0,1,0)</f>
        <v>0</v>
      </c>
      <c r="U549" s="32" t="n">
        <f aca="false">INDEX(Forecast!$AY$7:$AY$54,C549)</f>
        <v>2</v>
      </c>
      <c r="V549" s="33" t="n">
        <f aca="false">CHOOSE(U549,INDEX(Forecast_Walkforward!$D:$D,H549),INDEX(Forecast_Walkforward!$E:$E,H549),INDEX(Forecast_Walkforward!$F:$F,H549),INDEX(Forecast_Walkforward!$G:$G,H549))</f>
        <v>35.25</v>
      </c>
      <c r="W549" s="79" t="n">
        <f aca="false">INDEX(Forecast!$BA$7:$BA$54,C549)</f>
        <v>5.52245860279711</v>
      </c>
      <c r="X549" s="33" t="n">
        <f aca="false">Z_Value*W549*SQRT(D549)</f>
        <v>22.2502733622696</v>
      </c>
      <c r="Y549" s="33" t="n">
        <f aca="false">V549*D549+X549</f>
        <v>233.75027336227</v>
      </c>
      <c r="Z549" s="33" t="n">
        <f aca="false">SQRT((2*V549*Weeks_Per_Year*F549)/(E549*Holding_Rate))</f>
        <v>214.067746286076</v>
      </c>
      <c r="AA549" s="46" t="n">
        <f aca="false">ROUNDUP(Z549/G549,0)*G549</f>
        <v>216</v>
      </c>
      <c r="AB549" s="46" t="n">
        <f aca="false">0</f>
        <v>0</v>
      </c>
      <c r="AC549" s="46" t="n">
        <f aca="false">ROUND(BT_Open_Cover*INDEX(Forecast_Walkforward!$F:$F,H549),0)+AB549</f>
        <v>197</v>
      </c>
      <c r="AD549" s="46" t="n">
        <f aca="false">0</f>
        <v>0</v>
      </c>
      <c r="AE549" s="46" t="n">
        <f aca="false">AC549+AD549</f>
        <v>197</v>
      </c>
      <c r="AF549" s="47" t="n">
        <f aca="false">IF(AE549&lt;=Y549,AA549,0)</f>
        <v>216</v>
      </c>
      <c r="AG549" s="46" t="n">
        <f aca="false">MIN(AC549,I549)</f>
        <v>41</v>
      </c>
      <c r="AH549" s="46" t="n">
        <f aca="false">I549-AG549</f>
        <v>0</v>
      </c>
      <c r="AI549" s="46" t="n">
        <f aca="false">AC549-AG549</f>
        <v>156</v>
      </c>
      <c r="AJ549" s="46" t="n">
        <f aca="false">IF(AH549&gt;0,1,0)</f>
        <v>0</v>
      </c>
    </row>
    <row r="550" customFormat="false" ht="15" hidden="false" customHeight="false" outlineLevel="0" collapsed="false">
      <c r="A550" s="31" t="str">
        <f aca="false">Inputs!$B$71</f>
        <v>ELE-003</v>
      </c>
      <c r="B550" s="46" t="n">
        <f aca="false">B549+1</f>
        <v>90</v>
      </c>
      <c r="C550" s="46" t="n">
        <f aca="false">MATCH(A550,Inputs!$B$40:$B$87,0)</f>
        <v>32</v>
      </c>
      <c r="D550" s="32" t="n">
        <f aca="false">INDEX(Inputs!$F$40:$F$87,C550)</f>
        <v>6</v>
      </c>
      <c r="E550" s="78" t="n">
        <f aca="false">INDEX(Inputs!$H$40:$H$87,C550)</f>
        <v>36</v>
      </c>
      <c r="F550" s="78" t="n">
        <f aca="false">INDEX(Inputs!$G$40:$G$87,C550)</f>
        <v>90</v>
      </c>
      <c r="G550" s="32" t="n">
        <f aca="false">INDEX(Inputs!$I$40:$I$87,C550)</f>
        <v>4</v>
      </c>
      <c r="H550" s="46" t="n">
        <f aca="false">MATCH(A550,Demand_History!$C:$C,0)+B550-1</f>
        <v>3315</v>
      </c>
      <c r="I550" s="32" t="n">
        <f aca="false">INDEX(Forecast_Walkforward!$C:$C,H550)</f>
        <v>29</v>
      </c>
      <c r="J550" s="79" t="n">
        <f aca="false">INDEX(Forecast_Walkforward!$E:$E,H550)</f>
        <v>36.25</v>
      </c>
      <c r="K550" s="33" t="n">
        <f aca="false">Baseline_Weeks*J550</f>
        <v>145</v>
      </c>
      <c r="L550" s="46" t="n">
        <f aca="false">SUMIFS(P$549:P549,$B$549:$B549,$B550-$D550)</f>
        <v>0</v>
      </c>
      <c r="M550" s="46" t="n">
        <f aca="false">S549+L550</f>
        <v>156</v>
      </c>
      <c r="N550" s="46" t="n">
        <f aca="false">SUMIFS(P$549:P549,$B$549:$B549,"&gt;"&amp;($B550-$D550))</f>
        <v>0</v>
      </c>
      <c r="O550" s="46" t="n">
        <f aca="false">M550+N550</f>
        <v>156</v>
      </c>
      <c r="P550" s="47" t="n">
        <f aca="false">IF(O550&lt;K550,ROUNDUP((K550-O550)/G550,0)*G550,0)</f>
        <v>0</v>
      </c>
      <c r="Q550" s="46" t="n">
        <f aca="false">MIN(M550,I550)</f>
        <v>29</v>
      </c>
      <c r="R550" s="46" t="n">
        <f aca="false">I550-Q550</f>
        <v>0</v>
      </c>
      <c r="S550" s="46" t="n">
        <f aca="false">M550-Q550</f>
        <v>127</v>
      </c>
      <c r="T550" s="46" t="n">
        <f aca="false">IF(R550&gt;0,1,0)</f>
        <v>0</v>
      </c>
      <c r="U550" s="32" t="n">
        <f aca="false">INDEX(Forecast!$AY$7:$AY$54,C550)</f>
        <v>2</v>
      </c>
      <c r="V550" s="33" t="n">
        <f aca="false">CHOOSE(U550,INDEX(Forecast_Walkforward!$D:$D,H550),INDEX(Forecast_Walkforward!$E:$E,H550),INDEX(Forecast_Walkforward!$F:$F,H550),INDEX(Forecast_Walkforward!$G:$G,H550))</f>
        <v>36.25</v>
      </c>
      <c r="W550" s="79" t="n">
        <f aca="false">INDEX(Forecast!$BA$7:$BA$54,C550)</f>
        <v>5.52245860279711</v>
      </c>
      <c r="X550" s="33" t="n">
        <f aca="false">Z_Value*W550*SQRT(D550)</f>
        <v>22.2502733622696</v>
      </c>
      <c r="Y550" s="33" t="n">
        <f aca="false">V550*D550+X550</f>
        <v>239.75027336227</v>
      </c>
      <c r="Z550" s="33" t="n">
        <f aca="false">SQRT((2*V550*Weeks_Per_Year*F550)/(E550*Holding_Rate))</f>
        <v>217.082933460924</v>
      </c>
      <c r="AA550" s="46" t="n">
        <f aca="false">ROUNDUP(Z550/G550,0)*G550</f>
        <v>220</v>
      </c>
      <c r="AB550" s="46" t="n">
        <f aca="false">SUMIFS(AF$549:AF549,$B$549:$B549,$B550-$D550)</f>
        <v>0</v>
      </c>
      <c r="AC550" s="46" t="n">
        <f aca="false">AI549+AB550</f>
        <v>156</v>
      </c>
      <c r="AD550" s="46" t="n">
        <f aca="false">SUMIFS(AF$549:AF549,$B$549:$B549,"&gt;"&amp;($B550-$D550))</f>
        <v>216</v>
      </c>
      <c r="AE550" s="46" t="n">
        <f aca="false">AC550+AD550</f>
        <v>372</v>
      </c>
      <c r="AF550" s="47" t="n">
        <f aca="false">IF(AE550&lt;=Y550,AA550,0)</f>
        <v>0</v>
      </c>
      <c r="AG550" s="46" t="n">
        <f aca="false">MIN(AC550,I550)</f>
        <v>29</v>
      </c>
      <c r="AH550" s="46" t="n">
        <f aca="false">I550-AG550</f>
        <v>0</v>
      </c>
      <c r="AI550" s="46" t="n">
        <f aca="false">AC550-AG550</f>
        <v>127</v>
      </c>
      <c r="AJ550" s="46" t="n">
        <f aca="false">IF(AH550&gt;0,1,0)</f>
        <v>0</v>
      </c>
    </row>
    <row r="551" customFormat="false" ht="15" hidden="false" customHeight="false" outlineLevel="0" collapsed="false">
      <c r="A551" s="31" t="str">
        <f aca="false">Inputs!$B$71</f>
        <v>ELE-003</v>
      </c>
      <c r="B551" s="46" t="n">
        <f aca="false">B550+1</f>
        <v>91</v>
      </c>
      <c r="C551" s="46" t="n">
        <f aca="false">MATCH(A551,Inputs!$B$40:$B$87,0)</f>
        <v>32</v>
      </c>
      <c r="D551" s="32" t="n">
        <f aca="false">INDEX(Inputs!$F$40:$F$87,C551)</f>
        <v>6</v>
      </c>
      <c r="E551" s="78" t="n">
        <f aca="false">INDEX(Inputs!$H$40:$H$87,C551)</f>
        <v>36</v>
      </c>
      <c r="F551" s="78" t="n">
        <f aca="false">INDEX(Inputs!$G$40:$G$87,C551)</f>
        <v>90</v>
      </c>
      <c r="G551" s="32" t="n">
        <f aca="false">INDEX(Inputs!$I$40:$I$87,C551)</f>
        <v>4</v>
      </c>
      <c r="H551" s="46" t="n">
        <f aca="false">MATCH(A551,Demand_History!$C:$C,0)+B551-1</f>
        <v>3316</v>
      </c>
      <c r="I551" s="32" t="n">
        <f aca="false">INDEX(Forecast_Walkforward!$C:$C,H551)</f>
        <v>34</v>
      </c>
      <c r="J551" s="79" t="n">
        <f aca="false">INDEX(Forecast_Walkforward!$E:$E,H551)</f>
        <v>34</v>
      </c>
      <c r="K551" s="33" t="n">
        <f aca="false">Baseline_Weeks*J551</f>
        <v>136</v>
      </c>
      <c r="L551" s="46" t="n">
        <f aca="false">SUMIFS(P$549:P550,$B$549:$B550,$B551-$D551)</f>
        <v>0</v>
      </c>
      <c r="M551" s="46" t="n">
        <f aca="false">S550+L551</f>
        <v>127</v>
      </c>
      <c r="N551" s="46" t="n">
        <f aca="false">SUMIFS(P$549:P550,$B$549:$B550,"&gt;"&amp;($B551-$D551))</f>
        <v>0</v>
      </c>
      <c r="O551" s="46" t="n">
        <f aca="false">M551+N551</f>
        <v>127</v>
      </c>
      <c r="P551" s="47" t="n">
        <f aca="false">IF(O551&lt;K551,ROUNDUP((K551-O551)/G551,0)*G551,0)</f>
        <v>12</v>
      </c>
      <c r="Q551" s="46" t="n">
        <f aca="false">MIN(M551,I551)</f>
        <v>34</v>
      </c>
      <c r="R551" s="46" t="n">
        <f aca="false">I551-Q551</f>
        <v>0</v>
      </c>
      <c r="S551" s="46" t="n">
        <f aca="false">M551-Q551</f>
        <v>93</v>
      </c>
      <c r="T551" s="46" t="n">
        <f aca="false">IF(R551&gt;0,1,0)</f>
        <v>0</v>
      </c>
      <c r="U551" s="32" t="n">
        <f aca="false">INDEX(Forecast!$AY$7:$AY$54,C551)</f>
        <v>2</v>
      </c>
      <c r="V551" s="33" t="n">
        <f aca="false">CHOOSE(U551,INDEX(Forecast_Walkforward!$D:$D,H551),INDEX(Forecast_Walkforward!$E:$E,H551),INDEX(Forecast_Walkforward!$F:$F,H551),INDEX(Forecast_Walkforward!$G:$G,H551))</f>
        <v>34</v>
      </c>
      <c r="W551" s="79" t="n">
        <f aca="false">INDEX(Forecast!$BA$7:$BA$54,C551)</f>
        <v>5.52245860279711</v>
      </c>
      <c r="X551" s="33" t="n">
        <f aca="false">Z_Value*W551*SQRT(D551)</f>
        <v>22.2502733622696</v>
      </c>
      <c r="Y551" s="33" t="n">
        <f aca="false">V551*D551+X551</f>
        <v>226.25027336227</v>
      </c>
      <c r="Z551" s="33" t="n">
        <f aca="false">SQRT((2*V551*Weeks_Per_Year*F551)/(E551*Holding_Rate))</f>
        <v>210.237960416286</v>
      </c>
      <c r="AA551" s="46" t="n">
        <f aca="false">ROUNDUP(Z551/G551,0)*G551</f>
        <v>212</v>
      </c>
      <c r="AB551" s="46" t="n">
        <f aca="false">SUMIFS(AF$549:AF550,$B$549:$B550,$B551-$D551)</f>
        <v>0</v>
      </c>
      <c r="AC551" s="46" t="n">
        <f aca="false">AI550+AB551</f>
        <v>127</v>
      </c>
      <c r="AD551" s="46" t="n">
        <f aca="false">SUMIFS(AF$549:AF550,$B$549:$B550,"&gt;"&amp;($B551-$D551))</f>
        <v>216</v>
      </c>
      <c r="AE551" s="46" t="n">
        <f aca="false">AC551+AD551</f>
        <v>343</v>
      </c>
      <c r="AF551" s="47" t="n">
        <f aca="false">IF(AE551&lt;=Y551,AA551,0)</f>
        <v>0</v>
      </c>
      <c r="AG551" s="46" t="n">
        <f aca="false">MIN(AC551,I551)</f>
        <v>34</v>
      </c>
      <c r="AH551" s="46" t="n">
        <f aca="false">I551-AG551</f>
        <v>0</v>
      </c>
      <c r="AI551" s="46" t="n">
        <f aca="false">AC551-AG551</f>
        <v>93</v>
      </c>
      <c r="AJ551" s="46" t="n">
        <f aca="false">IF(AH551&gt;0,1,0)</f>
        <v>0</v>
      </c>
    </row>
    <row r="552" customFormat="false" ht="15" hidden="false" customHeight="false" outlineLevel="0" collapsed="false">
      <c r="A552" s="31" t="str">
        <f aca="false">Inputs!$B$71</f>
        <v>ELE-003</v>
      </c>
      <c r="B552" s="46" t="n">
        <f aca="false">B551+1</f>
        <v>92</v>
      </c>
      <c r="C552" s="46" t="n">
        <f aca="false">MATCH(A552,Inputs!$B$40:$B$87,0)</f>
        <v>32</v>
      </c>
      <c r="D552" s="32" t="n">
        <f aca="false">INDEX(Inputs!$F$40:$F$87,C552)</f>
        <v>6</v>
      </c>
      <c r="E552" s="78" t="n">
        <f aca="false">INDEX(Inputs!$H$40:$H$87,C552)</f>
        <v>36</v>
      </c>
      <c r="F552" s="78" t="n">
        <f aca="false">INDEX(Inputs!$G$40:$G$87,C552)</f>
        <v>90</v>
      </c>
      <c r="G552" s="32" t="n">
        <f aca="false">INDEX(Inputs!$I$40:$I$87,C552)</f>
        <v>4</v>
      </c>
      <c r="H552" s="46" t="n">
        <f aca="false">MATCH(A552,Demand_History!$C:$C,0)+B552-1</f>
        <v>3317</v>
      </c>
      <c r="I552" s="32" t="n">
        <f aca="false">INDEX(Forecast_Walkforward!$C:$C,H552)</f>
        <v>33</v>
      </c>
      <c r="J552" s="79" t="n">
        <f aca="false">INDEX(Forecast_Walkforward!$E:$E,H552)</f>
        <v>33.5</v>
      </c>
      <c r="K552" s="33" t="n">
        <f aca="false">Baseline_Weeks*J552</f>
        <v>134</v>
      </c>
      <c r="L552" s="46" t="n">
        <f aca="false">SUMIFS(P$549:P551,$B$549:$B551,$B552-$D552)</f>
        <v>0</v>
      </c>
      <c r="M552" s="46" t="n">
        <f aca="false">S551+L552</f>
        <v>93</v>
      </c>
      <c r="N552" s="46" t="n">
        <f aca="false">SUMIFS(P$549:P551,$B$549:$B551,"&gt;"&amp;($B552-$D552))</f>
        <v>12</v>
      </c>
      <c r="O552" s="46" t="n">
        <f aca="false">M552+N552</f>
        <v>105</v>
      </c>
      <c r="P552" s="47" t="n">
        <f aca="false">IF(O552&lt;K552,ROUNDUP((K552-O552)/G552,0)*G552,0)</f>
        <v>32</v>
      </c>
      <c r="Q552" s="46" t="n">
        <f aca="false">MIN(M552,I552)</f>
        <v>33</v>
      </c>
      <c r="R552" s="46" t="n">
        <f aca="false">I552-Q552</f>
        <v>0</v>
      </c>
      <c r="S552" s="46" t="n">
        <f aca="false">M552-Q552</f>
        <v>60</v>
      </c>
      <c r="T552" s="46" t="n">
        <f aca="false">IF(R552&gt;0,1,0)</f>
        <v>0</v>
      </c>
      <c r="U552" s="32" t="n">
        <f aca="false">INDEX(Forecast!$AY$7:$AY$54,C552)</f>
        <v>2</v>
      </c>
      <c r="V552" s="33" t="n">
        <f aca="false">CHOOSE(U552,INDEX(Forecast_Walkforward!$D:$D,H552),INDEX(Forecast_Walkforward!$E:$E,H552),INDEX(Forecast_Walkforward!$F:$F,H552),INDEX(Forecast_Walkforward!$G:$G,H552))</f>
        <v>33.5</v>
      </c>
      <c r="W552" s="79" t="n">
        <f aca="false">INDEX(Forecast!$BA$7:$BA$54,C552)</f>
        <v>5.52245860279711</v>
      </c>
      <c r="X552" s="33" t="n">
        <f aca="false">Z_Value*W552*SQRT(D552)</f>
        <v>22.2502733622696</v>
      </c>
      <c r="Y552" s="33" t="n">
        <f aca="false">V552*D552+X552</f>
        <v>223.25027336227</v>
      </c>
      <c r="Z552" s="33" t="n">
        <f aca="false">SQRT((2*V552*Weeks_Per_Year*F552)/(E552*Holding_Rate))</f>
        <v>208.686367547092</v>
      </c>
      <c r="AA552" s="46" t="n">
        <f aca="false">ROUNDUP(Z552/G552,0)*G552</f>
        <v>212</v>
      </c>
      <c r="AB552" s="46" t="n">
        <f aca="false">SUMIFS(AF$549:AF551,$B$549:$B551,$B552-$D552)</f>
        <v>0</v>
      </c>
      <c r="AC552" s="46" t="n">
        <f aca="false">AI551+AB552</f>
        <v>93</v>
      </c>
      <c r="AD552" s="46" t="n">
        <f aca="false">SUMIFS(AF$549:AF551,$B$549:$B551,"&gt;"&amp;($B552-$D552))</f>
        <v>216</v>
      </c>
      <c r="AE552" s="46" t="n">
        <f aca="false">AC552+AD552</f>
        <v>309</v>
      </c>
      <c r="AF552" s="47" t="n">
        <f aca="false">IF(AE552&lt;=Y552,AA552,0)</f>
        <v>0</v>
      </c>
      <c r="AG552" s="46" t="n">
        <f aca="false">MIN(AC552,I552)</f>
        <v>33</v>
      </c>
      <c r="AH552" s="46" t="n">
        <f aca="false">I552-AG552</f>
        <v>0</v>
      </c>
      <c r="AI552" s="46" t="n">
        <f aca="false">AC552-AG552</f>
        <v>60</v>
      </c>
      <c r="AJ552" s="46" t="n">
        <f aca="false">IF(AH552&gt;0,1,0)</f>
        <v>0</v>
      </c>
    </row>
    <row r="553" customFormat="false" ht="15" hidden="false" customHeight="false" outlineLevel="0" collapsed="false">
      <c r="A553" s="31" t="str">
        <f aca="false">Inputs!$B$71</f>
        <v>ELE-003</v>
      </c>
      <c r="B553" s="46" t="n">
        <f aca="false">B552+1</f>
        <v>93</v>
      </c>
      <c r="C553" s="46" t="n">
        <f aca="false">MATCH(A553,Inputs!$B$40:$B$87,0)</f>
        <v>32</v>
      </c>
      <c r="D553" s="32" t="n">
        <f aca="false">INDEX(Inputs!$F$40:$F$87,C553)</f>
        <v>6</v>
      </c>
      <c r="E553" s="78" t="n">
        <f aca="false">INDEX(Inputs!$H$40:$H$87,C553)</f>
        <v>36</v>
      </c>
      <c r="F553" s="78" t="n">
        <f aca="false">INDEX(Inputs!$G$40:$G$87,C553)</f>
        <v>90</v>
      </c>
      <c r="G553" s="32" t="n">
        <f aca="false">INDEX(Inputs!$I$40:$I$87,C553)</f>
        <v>4</v>
      </c>
      <c r="H553" s="46" t="n">
        <f aca="false">MATCH(A553,Demand_History!$C:$C,0)+B553-1</f>
        <v>3318</v>
      </c>
      <c r="I553" s="32" t="n">
        <f aca="false">INDEX(Forecast_Walkforward!$C:$C,H553)</f>
        <v>35</v>
      </c>
      <c r="J553" s="79" t="n">
        <f aca="false">INDEX(Forecast_Walkforward!$E:$E,H553)</f>
        <v>34.25</v>
      </c>
      <c r="K553" s="33" t="n">
        <f aca="false">Baseline_Weeks*J553</f>
        <v>137</v>
      </c>
      <c r="L553" s="46" t="n">
        <f aca="false">SUMIFS(P$549:P552,$B$549:$B552,$B553-$D553)</f>
        <v>0</v>
      </c>
      <c r="M553" s="46" t="n">
        <f aca="false">S552+L553</f>
        <v>60</v>
      </c>
      <c r="N553" s="46" t="n">
        <f aca="false">SUMIFS(P$549:P552,$B$549:$B552,"&gt;"&amp;($B553-$D553))</f>
        <v>44</v>
      </c>
      <c r="O553" s="46" t="n">
        <f aca="false">M553+N553</f>
        <v>104</v>
      </c>
      <c r="P553" s="47" t="n">
        <f aca="false">IF(O553&lt;K553,ROUNDUP((K553-O553)/G553,0)*G553,0)</f>
        <v>36</v>
      </c>
      <c r="Q553" s="46" t="n">
        <f aca="false">MIN(M553,I553)</f>
        <v>35</v>
      </c>
      <c r="R553" s="46" t="n">
        <f aca="false">I553-Q553</f>
        <v>0</v>
      </c>
      <c r="S553" s="46" t="n">
        <f aca="false">M553-Q553</f>
        <v>25</v>
      </c>
      <c r="T553" s="46" t="n">
        <f aca="false">IF(R553&gt;0,1,0)</f>
        <v>0</v>
      </c>
      <c r="U553" s="32" t="n">
        <f aca="false">INDEX(Forecast!$AY$7:$AY$54,C553)</f>
        <v>2</v>
      </c>
      <c r="V553" s="33" t="n">
        <f aca="false">CHOOSE(U553,INDEX(Forecast_Walkforward!$D:$D,H553),INDEX(Forecast_Walkforward!$E:$E,H553),INDEX(Forecast_Walkforward!$F:$F,H553),INDEX(Forecast_Walkforward!$G:$G,H553))</f>
        <v>34.25</v>
      </c>
      <c r="W553" s="79" t="n">
        <f aca="false">INDEX(Forecast!$BA$7:$BA$54,C553)</f>
        <v>5.52245860279711</v>
      </c>
      <c r="X553" s="33" t="n">
        <f aca="false">Z_Value*W553*SQRT(D553)</f>
        <v>22.2502733622696</v>
      </c>
      <c r="Y553" s="33" t="n">
        <f aca="false">V553*D553+X553</f>
        <v>227.75027336227</v>
      </c>
      <c r="Z553" s="33" t="n">
        <f aca="false">SQRT((2*V553*Weeks_Per_Year*F553)/(E553*Holding_Rate))</f>
        <v>211.009478460092</v>
      </c>
      <c r="AA553" s="46" t="n">
        <f aca="false">ROUNDUP(Z553/G553,0)*G553</f>
        <v>212</v>
      </c>
      <c r="AB553" s="46" t="n">
        <f aca="false">SUMIFS(AF$549:AF552,$B$549:$B552,$B553-$D553)</f>
        <v>0</v>
      </c>
      <c r="AC553" s="46" t="n">
        <f aca="false">AI552+AB553</f>
        <v>60</v>
      </c>
      <c r="AD553" s="46" t="n">
        <f aca="false">SUMIFS(AF$549:AF552,$B$549:$B552,"&gt;"&amp;($B553-$D553))</f>
        <v>216</v>
      </c>
      <c r="AE553" s="46" t="n">
        <f aca="false">AC553+AD553</f>
        <v>276</v>
      </c>
      <c r="AF553" s="47" t="n">
        <f aca="false">IF(AE553&lt;=Y553,AA553,0)</f>
        <v>0</v>
      </c>
      <c r="AG553" s="46" t="n">
        <f aca="false">MIN(AC553,I553)</f>
        <v>35</v>
      </c>
      <c r="AH553" s="46" t="n">
        <f aca="false">I553-AG553</f>
        <v>0</v>
      </c>
      <c r="AI553" s="46" t="n">
        <f aca="false">AC553-AG553</f>
        <v>25</v>
      </c>
      <c r="AJ553" s="46" t="n">
        <f aca="false">IF(AH553&gt;0,1,0)</f>
        <v>0</v>
      </c>
    </row>
    <row r="554" customFormat="false" ht="15" hidden="false" customHeight="false" outlineLevel="0" collapsed="false">
      <c r="A554" s="31" t="str">
        <f aca="false">Inputs!$B$71</f>
        <v>ELE-003</v>
      </c>
      <c r="B554" s="46" t="n">
        <f aca="false">B553+1</f>
        <v>94</v>
      </c>
      <c r="C554" s="46" t="n">
        <f aca="false">MATCH(A554,Inputs!$B$40:$B$87,0)</f>
        <v>32</v>
      </c>
      <c r="D554" s="32" t="n">
        <f aca="false">INDEX(Inputs!$F$40:$F$87,C554)</f>
        <v>6</v>
      </c>
      <c r="E554" s="78" t="n">
        <f aca="false">INDEX(Inputs!$H$40:$H$87,C554)</f>
        <v>36</v>
      </c>
      <c r="F554" s="78" t="n">
        <f aca="false">INDEX(Inputs!$G$40:$G$87,C554)</f>
        <v>90</v>
      </c>
      <c r="G554" s="32" t="n">
        <f aca="false">INDEX(Inputs!$I$40:$I$87,C554)</f>
        <v>4</v>
      </c>
      <c r="H554" s="46" t="n">
        <f aca="false">MATCH(A554,Demand_History!$C:$C,0)+B554-1</f>
        <v>3319</v>
      </c>
      <c r="I554" s="32" t="n">
        <f aca="false">INDEX(Forecast_Walkforward!$C:$C,H554)</f>
        <v>42</v>
      </c>
      <c r="J554" s="79" t="n">
        <f aca="false">INDEX(Forecast_Walkforward!$E:$E,H554)</f>
        <v>32.75</v>
      </c>
      <c r="K554" s="33" t="n">
        <f aca="false">Baseline_Weeks*J554</f>
        <v>131</v>
      </c>
      <c r="L554" s="46" t="n">
        <f aca="false">SUMIFS(P$549:P553,$B$549:$B553,$B554-$D554)</f>
        <v>0</v>
      </c>
      <c r="M554" s="46" t="n">
        <f aca="false">S553+L554</f>
        <v>25</v>
      </c>
      <c r="N554" s="46" t="n">
        <f aca="false">SUMIFS(P$549:P553,$B$549:$B553,"&gt;"&amp;($B554-$D554))</f>
        <v>80</v>
      </c>
      <c r="O554" s="46" t="n">
        <f aca="false">M554+N554</f>
        <v>105</v>
      </c>
      <c r="P554" s="47" t="n">
        <f aca="false">IF(O554&lt;K554,ROUNDUP((K554-O554)/G554,0)*G554,0)</f>
        <v>28</v>
      </c>
      <c r="Q554" s="46" t="n">
        <f aca="false">MIN(M554,I554)</f>
        <v>25</v>
      </c>
      <c r="R554" s="46" t="n">
        <f aca="false">I554-Q554</f>
        <v>17</v>
      </c>
      <c r="S554" s="46" t="n">
        <f aca="false">M554-Q554</f>
        <v>0</v>
      </c>
      <c r="T554" s="46" t="n">
        <f aca="false">IF(R554&gt;0,1,0)</f>
        <v>1</v>
      </c>
      <c r="U554" s="32" t="n">
        <f aca="false">INDEX(Forecast!$AY$7:$AY$54,C554)</f>
        <v>2</v>
      </c>
      <c r="V554" s="33" t="n">
        <f aca="false">CHOOSE(U554,INDEX(Forecast_Walkforward!$D:$D,H554),INDEX(Forecast_Walkforward!$E:$E,H554),INDEX(Forecast_Walkforward!$F:$F,H554),INDEX(Forecast_Walkforward!$G:$G,H554))</f>
        <v>32.75</v>
      </c>
      <c r="W554" s="79" t="n">
        <f aca="false">INDEX(Forecast!$BA$7:$BA$54,C554)</f>
        <v>5.52245860279711</v>
      </c>
      <c r="X554" s="33" t="n">
        <f aca="false">Z_Value*W554*SQRT(D554)</f>
        <v>22.2502733622696</v>
      </c>
      <c r="Y554" s="33" t="n">
        <f aca="false">V554*D554+X554</f>
        <v>218.75027336227</v>
      </c>
      <c r="Z554" s="33" t="n">
        <f aca="false">SQRT((2*V554*Weeks_Per_Year*F554)/(E554*Holding_Rate))</f>
        <v>206.337102819634</v>
      </c>
      <c r="AA554" s="46" t="n">
        <f aca="false">ROUNDUP(Z554/G554,0)*G554</f>
        <v>208</v>
      </c>
      <c r="AB554" s="46" t="n">
        <f aca="false">SUMIFS(AF$549:AF553,$B$549:$B553,$B554-$D554)</f>
        <v>0</v>
      </c>
      <c r="AC554" s="46" t="n">
        <f aca="false">AI553+AB554</f>
        <v>25</v>
      </c>
      <c r="AD554" s="46" t="n">
        <f aca="false">SUMIFS(AF$549:AF553,$B$549:$B553,"&gt;"&amp;($B554-$D554))</f>
        <v>216</v>
      </c>
      <c r="AE554" s="46" t="n">
        <f aca="false">AC554+AD554</f>
        <v>241</v>
      </c>
      <c r="AF554" s="47" t="n">
        <f aca="false">IF(AE554&lt;=Y554,AA554,0)</f>
        <v>0</v>
      </c>
      <c r="AG554" s="46" t="n">
        <f aca="false">MIN(AC554,I554)</f>
        <v>25</v>
      </c>
      <c r="AH554" s="46" t="n">
        <f aca="false">I554-AG554</f>
        <v>17</v>
      </c>
      <c r="AI554" s="46" t="n">
        <f aca="false">AC554-AG554</f>
        <v>0</v>
      </c>
      <c r="AJ554" s="46" t="n">
        <f aca="false">IF(AH554&gt;0,1,0)</f>
        <v>1</v>
      </c>
    </row>
    <row r="555" customFormat="false" ht="15" hidden="false" customHeight="false" outlineLevel="0" collapsed="false">
      <c r="A555" s="31" t="str">
        <f aca="false">Inputs!$B$71</f>
        <v>ELE-003</v>
      </c>
      <c r="B555" s="46" t="n">
        <f aca="false">B554+1</f>
        <v>95</v>
      </c>
      <c r="C555" s="46" t="n">
        <f aca="false">MATCH(A555,Inputs!$B$40:$B$87,0)</f>
        <v>32</v>
      </c>
      <c r="D555" s="32" t="n">
        <f aca="false">INDEX(Inputs!$F$40:$F$87,C555)</f>
        <v>6</v>
      </c>
      <c r="E555" s="78" t="n">
        <f aca="false">INDEX(Inputs!$H$40:$H$87,C555)</f>
        <v>36</v>
      </c>
      <c r="F555" s="78" t="n">
        <f aca="false">INDEX(Inputs!$G$40:$G$87,C555)</f>
        <v>90</v>
      </c>
      <c r="G555" s="32" t="n">
        <f aca="false">INDEX(Inputs!$I$40:$I$87,C555)</f>
        <v>4</v>
      </c>
      <c r="H555" s="46" t="n">
        <f aca="false">MATCH(A555,Demand_History!$C:$C,0)+B555-1</f>
        <v>3320</v>
      </c>
      <c r="I555" s="32" t="n">
        <f aca="false">INDEX(Forecast_Walkforward!$C:$C,H555)</f>
        <v>34</v>
      </c>
      <c r="J555" s="79" t="n">
        <f aca="false">INDEX(Forecast_Walkforward!$E:$E,H555)</f>
        <v>36</v>
      </c>
      <c r="K555" s="33" t="n">
        <f aca="false">Baseline_Weeks*J555</f>
        <v>144</v>
      </c>
      <c r="L555" s="46" t="n">
        <f aca="false">SUMIFS(P$549:P554,$B$549:$B554,$B555-$D555)</f>
        <v>0</v>
      </c>
      <c r="M555" s="46" t="n">
        <f aca="false">S554+L555</f>
        <v>0</v>
      </c>
      <c r="N555" s="46" t="n">
        <f aca="false">SUMIFS(P$549:P554,$B$549:$B554,"&gt;"&amp;($B555-$D555))</f>
        <v>108</v>
      </c>
      <c r="O555" s="46" t="n">
        <f aca="false">M555+N555</f>
        <v>108</v>
      </c>
      <c r="P555" s="47" t="n">
        <f aca="false">IF(O555&lt;K555,ROUNDUP((K555-O555)/G555,0)*G555,0)</f>
        <v>36</v>
      </c>
      <c r="Q555" s="46" t="n">
        <f aca="false">MIN(M555,I555)</f>
        <v>0</v>
      </c>
      <c r="R555" s="46" t="n">
        <f aca="false">I555-Q555</f>
        <v>34</v>
      </c>
      <c r="S555" s="46" t="n">
        <f aca="false">M555-Q555</f>
        <v>0</v>
      </c>
      <c r="T555" s="46" t="n">
        <f aca="false">IF(R555&gt;0,1,0)</f>
        <v>1</v>
      </c>
      <c r="U555" s="32" t="n">
        <f aca="false">INDEX(Forecast!$AY$7:$AY$54,C555)</f>
        <v>2</v>
      </c>
      <c r="V555" s="33" t="n">
        <f aca="false">CHOOSE(U555,INDEX(Forecast_Walkforward!$D:$D,H555),INDEX(Forecast_Walkforward!$E:$E,H555),INDEX(Forecast_Walkforward!$F:$F,H555),INDEX(Forecast_Walkforward!$G:$G,H555))</f>
        <v>36</v>
      </c>
      <c r="W555" s="79" t="n">
        <f aca="false">INDEX(Forecast!$BA$7:$BA$54,C555)</f>
        <v>5.52245860279711</v>
      </c>
      <c r="X555" s="33" t="n">
        <f aca="false">Z_Value*W555*SQRT(D555)</f>
        <v>22.2502733622696</v>
      </c>
      <c r="Y555" s="33" t="n">
        <f aca="false">V555*D555+X555</f>
        <v>238.25027336227</v>
      </c>
      <c r="Z555" s="33" t="n">
        <f aca="false">SQRT((2*V555*Weeks_Per_Year*F555)/(E555*Holding_Rate))</f>
        <v>216.333076527839</v>
      </c>
      <c r="AA555" s="46" t="n">
        <f aca="false">ROUNDUP(Z555/G555,0)*G555</f>
        <v>220</v>
      </c>
      <c r="AB555" s="46" t="n">
        <f aca="false">SUMIFS(AF$549:AF554,$B$549:$B554,$B555-$D555)</f>
        <v>216</v>
      </c>
      <c r="AC555" s="46" t="n">
        <f aca="false">AI554+AB555</f>
        <v>216</v>
      </c>
      <c r="AD555" s="46" t="n">
        <f aca="false">SUMIFS(AF$549:AF554,$B$549:$B554,"&gt;"&amp;($B555-$D555))</f>
        <v>0</v>
      </c>
      <c r="AE555" s="46" t="n">
        <f aca="false">AC555+AD555</f>
        <v>216</v>
      </c>
      <c r="AF555" s="47" t="n">
        <f aca="false">IF(AE555&lt;=Y555,AA555,0)</f>
        <v>220</v>
      </c>
      <c r="AG555" s="46" t="n">
        <f aca="false">MIN(AC555,I555)</f>
        <v>34</v>
      </c>
      <c r="AH555" s="46" t="n">
        <f aca="false">I555-AG555</f>
        <v>0</v>
      </c>
      <c r="AI555" s="46" t="n">
        <f aca="false">AC555-AG555</f>
        <v>182</v>
      </c>
      <c r="AJ555" s="46" t="n">
        <f aca="false">IF(AH555&gt;0,1,0)</f>
        <v>0</v>
      </c>
    </row>
    <row r="556" customFormat="false" ht="15" hidden="false" customHeight="false" outlineLevel="0" collapsed="false">
      <c r="A556" s="31" t="str">
        <f aca="false">Inputs!$B$71</f>
        <v>ELE-003</v>
      </c>
      <c r="B556" s="46" t="n">
        <f aca="false">B555+1</f>
        <v>96</v>
      </c>
      <c r="C556" s="46" t="n">
        <f aca="false">MATCH(A556,Inputs!$B$40:$B$87,0)</f>
        <v>32</v>
      </c>
      <c r="D556" s="32" t="n">
        <f aca="false">INDEX(Inputs!$F$40:$F$87,C556)</f>
        <v>6</v>
      </c>
      <c r="E556" s="78" t="n">
        <f aca="false">INDEX(Inputs!$H$40:$H$87,C556)</f>
        <v>36</v>
      </c>
      <c r="F556" s="78" t="n">
        <f aca="false">INDEX(Inputs!$G$40:$G$87,C556)</f>
        <v>90</v>
      </c>
      <c r="G556" s="32" t="n">
        <f aca="false">INDEX(Inputs!$I$40:$I$87,C556)</f>
        <v>4</v>
      </c>
      <c r="H556" s="46" t="n">
        <f aca="false">MATCH(A556,Demand_History!$C:$C,0)+B556-1</f>
        <v>3321</v>
      </c>
      <c r="I556" s="32" t="n">
        <f aca="false">INDEX(Forecast_Walkforward!$C:$C,H556)</f>
        <v>41</v>
      </c>
      <c r="J556" s="79" t="n">
        <f aca="false">INDEX(Forecast_Walkforward!$E:$E,H556)</f>
        <v>36</v>
      </c>
      <c r="K556" s="33" t="n">
        <f aca="false">Baseline_Weeks*J556</f>
        <v>144</v>
      </c>
      <c r="L556" s="46" t="n">
        <f aca="false">SUMIFS(P$549:P555,$B$549:$B555,$B556-$D556)</f>
        <v>0</v>
      </c>
      <c r="M556" s="46" t="n">
        <f aca="false">S555+L556</f>
        <v>0</v>
      </c>
      <c r="N556" s="46" t="n">
        <f aca="false">SUMIFS(P$549:P555,$B$549:$B555,"&gt;"&amp;($B556-$D556))</f>
        <v>144</v>
      </c>
      <c r="O556" s="46" t="n">
        <f aca="false">M556+N556</f>
        <v>144</v>
      </c>
      <c r="P556" s="47" t="n">
        <f aca="false">IF(O556&lt;K556,ROUNDUP((K556-O556)/G556,0)*G556,0)</f>
        <v>0</v>
      </c>
      <c r="Q556" s="46" t="n">
        <f aca="false">MIN(M556,I556)</f>
        <v>0</v>
      </c>
      <c r="R556" s="46" t="n">
        <f aca="false">I556-Q556</f>
        <v>41</v>
      </c>
      <c r="S556" s="46" t="n">
        <f aca="false">M556-Q556</f>
        <v>0</v>
      </c>
      <c r="T556" s="46" t="n">
        <f aca="false">IF(R556&gt;0,1,0)</f>
        <v>1</v>
      </c>
      <c r="U556" s="32" t="n">
        <f aca="false">INDEX(Forecast!$AY$7:$AY$54,C556)</f>
        <v>2</v>
      </c>
      <c r="V556" s="33" t="n">
        <f aca="false">CHOOSE(U556,INDEX(Forecast_Walkforward!$D:$D,H556),INDEX(Forecast_Walkforward!$E:$E,H556),INDEX(Forecast_Walkforward!$F:$F,H556),INDEX(Forecast_Walkforward!$G:$G,H556))</f>
        <v>36</v>
      </c>
      <c r="W556" s="79" t="n">
        <f aca="false">INDEX(Forecast!$BA$7:$BA$54,C556)</f>
        <v>5.52245860279711</v>
      </c>
      <c r="X556" s="33" t="n">
        <f aca="false">Z_Value*W556*SQRT(D556)</f>
        <v>22.2502733622696</v>
      </c>
      <c r="Y556" s="33" t="n">
        <f aca="false">V556*D556+X556</f>
        <v>238.25027336227</v>
      </c>
      <c r="Z556" s="33" t="n">
        <f aca="false">SQRT((2*V556*Weeks_Per_Year*F556)/(E556*Holding_Rate))</f>
        <v>216.333076527839</v>
      </c>
      <c r="AA556" s="46" t="n">
        <f aca="false">ROUNDUP(Z556/G556,0)*G556</f>
        <v>220</v>
      </c>
      <c r="AB556" s="46" t="n">
        <f aca="false">SUMIFS(AF$549:AF555,$B$549:$B555,$B556-$D556)</f>
        <v>0</v>
      </c>
      <c r="AC556" s="46" t="n">
        <f aca="false">AI555+AB556</f>
        <v>182</v>
      </c>
      <c r="AD556" s="46" t="n">
        <f aca="false">SUMIFS(AF$549:AF555,$B$549:$B555,"&gt;"&amp;($B556-$D556))</f>
        <v>220</v>
      </c>
      <c r="AE556" s="46" t="n">
        <f aca="false">AC556+AD556</f>
        <v>402</v>
      </c>
      <c r="AF556" s="47" t="n">
        <f aca="false">IF(AE556&lt;=Y556,AA556,0)</f>
        <v>0</v>
      </c>
      <c r="AG556" s="46" t="n">
        <f aca="false">MIN(AC556,I556)</f>
        <v>41</v>
      </c>
      <c r="AH556" s="46" t="n">
        <f aca="false">I556-AG556</f>
        <v>0</v>
      </c>
      <c r="AI556" s="46" t="n">
        <f aca="false">AC556-AG556</f>
        <v>141</v>
      </c>
      <c r="AJ556" s="46" t="n">
        <f aca="false">IF(AH556&gt;0,1,0)</f>
        <v>0</v>
      </c>
    </row>
    <row r="557" customFormat="false" ht="15" hidden="false" customHeight="false" outlineLevel="0" collapsed="false">
      <c r="A557" s="31" t="str">
        <f aca="false">Inputs!$B$71</f>
        <v>ELE-003</v>
      </c>
      <c r="B557" s="46" t="n">
        <f aca="false">B556+1</f>
        <v>97</v>
      </c>
      <c r="C557" s="46" t="n">
        <f aca="false">MATCH(A557,Inputs!$B$40:$B$87,0)</f>
        <v>32</v>
      </c>
      <c r="D557" s="32" t="n">
        <f aca="false">INDEX(Inputs!$F$40:$F$87,C557)</f>
        <v>6</v>
      </c>
      <c r="E557" s="78" t="n">
        <f aca="false">INDEX(Inputs!$H$40:$H$87,C557)</f>
        <v>36</v>
      </c>
      <c r="F557" s="78" t="n">
        <f aca="false">INDEX(Inputs!$G$40:$G$87,C557)</f>
        <v>90</v>
      </c>
      <c r="G557" s="32" t="n">
        <f aca="false">INDEX(Inputs!$I$40:$I$87,C557)</f>
        <v>4</v>
      </c>
      <c r="H557" s="46" t="n">
        <f aca="false">MATCH(A557,Demand_History!$C:$C,0)+B557-1</f>
        <v>3322</v>
      </c>
      <c r="I557" s="32" t="n">
        <f aca="false">INDEX(Forecast_Walkforward!$C:$C,H557)</f>
        <v>41</v>
      </c>
      <c r="J557" s="79" t="n">
        <f aca="false">INDEX(Forecast_Walkforward!$E:$E,H557)</f>
        <v>38</v>
      </c>
      <c r="K557" s="33" t="n">
        <f aca="false">Baseline_Weeks*J557</f>
        <v>152</v>
      </c>
      <c r="L557" s="46" t="n">
        <f aca="false">SUMIFS(P$549:P556,$B$549:$B556,$B557-$D557)</f>
        <v>12</v>
      </c>
      <c r="M557" s="46" t="n">
        <f aca="false">S556+L557</f>
        <v>12</v>
      </c>
      <c r="N557" s="46" t="n">
        <f aca="false">SUMIFS(P$549:P556,$B$549:$B556,"&gt;"&amp;($B557-$D557))</f>
        <v>132</v>
      </c>
      <c r="O557" s="46" t="n">
        <f aca="false">M557+N557</f>
        <v>144</v>
      </c>
      <c r="P557" s="47" t="n">
        <f aca="false">IF(O557&lt;K557,ROUNDUP((K557-O557)/G557,0)*G557,0)</f>
        <v>8</v>
      </c>
      <c r="Q557" s="46" t="n">
        <f aca="false">MIN(M557,I557)</f>
        <v>12</v>
      </c>
      <c r="R557" s="46" t="n">
        <f aca="false">I557-Q557</f>
        <v>29</v>
      </c>
      <c r="S557" s="46" t="n">
        <f aca="false">M557-Q557</f>
        <v>0</v>
      </c>
      <c r="T557" s="46" t="n">
        <f aca="false">IF(R557&gt;0,1,0)</f>
        <v>1</v>
      </c>
      <c r="U557" s="32" t="n">
        <f aca="false">INDEX(Forecast!$AY$7:$AY$54,C557)</f>
        <v>2</v>
      </c>
      <c r="V557" s="33" t="n">
        <f aca="false">CHOOSE(U557,INDEX(Forecast_Walkforward!$D:$D,H557),INDEX(Forecast_Walkforward!$E:$E,H557),INDEX(Forecast_Walkforward!$F:$F,H557),INDEX(Forecast_Walkforward!$G:$G,H557))</f>
        <v>38</v>
      </c>
      <c r="W557" s="79" t="n">
        <f aca="false">INDEX(Forecast!$BA$7:$BA$54,C557)</f>
        <v>5.52245860279711</v>
      </c>
      <c r="X557" s="33" t="n">
        <f aca="false">Z_Value*W557*SQRT(D557)</f>
        <v>22.2502733622696</v>
      </c>
      <c r="Y557" s="33" t="n">
        <f aca="false">V557*D557+X557</f>
        <v>250.25027336227</v>
      </c>
      <c r="Z557" s="33" t="n">
        <f aca="false">SQRT((2*V557*Weeks_Per_Year*F557)/(E557*Holding_Rate))</f>
        <v>222.261107708929</v>
      </c>
      <c r="AA557" s="46" t="n">
        <f aca="false">ROUNDUP(Z557/G557,0)*G557</f>
        <v>224</v>
      </c>
      <c r="AB557" s="46" t="n">
        <f aca="false">SUMIFS(AF$549:AF556,$B$549:$B556,$B557-$D557)</f>
        <v>0</v>
      </c>
      <c r="AC557" s="46" t="n">
        <f aca="false">AI556+AB557</f>
        <v>141</v>
      </c>
      <c r="AD557" s="46" t="n">
        <f aca="false">SUMIFS(AF$549:AF556,$B$549:$B556,"&gt;"&amp;($B557-$D557))</f>
        <v>220</v>
      </c>
      <c r="AE557" s="46" t="n">
        <f aca="false">AC557+AD557</f>
        <v>361</v>
      </c>
      <c r="AF557" s="47" t="n">
        <f aca="false">IF(AE557&lt;=Y557,AA557,0)</f>
        <v>0</v>
      </c>
      <c r="AG557" s="46" t="n">
        <f aca="false">MIN(AC557,I557)</f>
        <v>41</v>
      </c>
      <c r="AH557" s="46" t="n">
        <f aca="false">I557-AG557</f>
        <v>0</v>
      </c>
      <c r="AI557" s="46" t="n">
        <f aca="false">AC557-AG557</f>
        <v>100</v>
      </c>
      <c r="AJ557" s="46" t="n">
        <f aca="false">IF(AH557&gt;0,1,0)</f>
        <v>0</v>
      </c>
    </row>
    <row r="558" customFormat="false" ht="15" hidden="false" customHeight="false" outlineLevel="0" collapsed="false">
      <c r="A558" s="31" t="str">
        <f aca="false">Inputs!$B$71</f>
        <v>ELE-003</v>
      </c>
      <c r="B558" s="46" t="n">
        <f aca="false">B557+1</f>
        <v>98</v>
      </c>
      <c r="C558" s="46" t="n">
        <f aca="false">MATCH(A558,Inputs!$B$40:$B$87,0)</f>
        <v>32</v>
      </c>
      <c r="D558" s="32" t="n">
        <f aca="false">INDEX(Inputs!$F$40:$F$87,C558)</f>
        <v>6</v>
      </c>
      <c r="E558" s="78" t="n">
        <f aca="false">INDEX(Inputs!$H$40:$H$87,C558)</f>
        <v>36</v>
      </c>
      <c r="F558" s="78" t="n">
        <f aca="false">INDEX(Inputs!$G$40:$G$87,C558)</f>
        <v>90</v>
      </c>
      <c r="G558" s="32" t="n">
        <f aca="false">INDEX(Inputs!$I$40:$I$87,C558)</f>
        <v>4</v>
      </c>
      <c r="H558" s="46" t="n">
        <f aca="false">MATCH(A558,Demand_History!$C:$C,0)+B558-1</f>
        <v>3323</v>
      </c>
      <c r="I558" s="32" t="n">
        <f aca="false">INDEX(Forecast_Walkforward!$C:$C,H558)</f>
        <v>29</v>
      </c>
      <c r="J558" s="79" t="n">
        <f aca="false">INDEX(Forecast_Walkforward!$E:$E,H558)</f>
        <v>39.5</v>
      </c>
      <c r="K558" s="33" t="n">
        <f aca="false">Baseline_Weeks*J558</f>
        <v>158</v>
      </c>
      <c r="L558" s="46" t="n">
        <f aca="false">SUMIFS(P$549:P557,$B$549:$B557,$B558-$D558)</f>
        <v>32</v>
      </c>
      <c r="M558" s="46" t="n">
        <f aca="false">S557+L558</f>
        <v>32</v>
      </c>
      <c r="N558" s="46" t="n">
        <f aca="false">SUMIFS(P$549:P557,$B$549:$B557,"&gt;"&amp;($B558-$D558))</f>
        <v>108</v>
      </c>
      <c r="O558" s="46" t="n">
        <f aca="false">M558+N558</f>
        <v>140</v>
      </c>
      <c r="P558" s="47" t="n">
        <f aca="false">IF(O558&lt;K558,ROUNDUP((K558-O558)/G558,0)*G558,0)</f>
        <v>20</v>
      </c>
      <c r="Q558" s="46" t="n">
        <f aca="false">MIN(M558,I558)</f>
        <v>29</v>
      </c>
      <c r="R558" s="46" t="n">
        <f aca="false">I558-Q558</f>
        <v>0</v>
      </c>
      <c r="S558" s="46" t="n">
        <f aca="false">M558-Q558</f>
        <v>3</v>
      </c>
      <c r="T558" s="46" t="n">
        <f aca="false">IF(R558&gt;0,1,0)</f>
        <v>0</v>
      </c>
      <c r="U558" s="32" t="n">
        <f aca="false">INDEX(Forecast!$AY$7:$AY$54,C558)</f>
        <v>2</v>
      </c>
      <c r="V558" s="33" t="n">
        <f aca="false">CHOOSE(U558,INDEX(Forecast_Walkforward!$D:$D,H558),INDEX(Forecast_Walkforward!$E:$E,H558),INDEX(Forecast_Walkforward!$F:$F,H558),INDEX(Forecast_Walkforward!$G:$G,H558))</f>
        <v>39.5</v>
      </c>
      <c r="W558" s="79" t="n">
        <f aca="false">INDEX(Forecast!$BA$7:$BA$54,C558)</f>
        <v>5.52245860279711</v>
      </c>
      <c r="X558" s="33" t="n">
        <f aca="false">Z_Value*W558*SQRT(D558)</f>
        <v>22.2502733622696</v>
      </c>
      <c r="Y558" s="33" t="n">
        <f aca="false">V558*D558+X558</f>
        <v>259.25027336227</v>
      </c>
      <c r="Z558" s="33" t="n">
        <f aca="false">SQRT((2*V558*Weeks_Per_Year*F558)/(E558*Holding_Rate))</f>
        <v>226.605383872493</v>
      </c>
      <c r="AA558" s="46" t="n">
        <f aca="false">ROUNDUP(Z558/G558,0)*G558</f>
        <v>228</v>
      </c>
      <c r="AB558" s="46" t="n">
        <f aca="false">SUMIFS(AF$549:AF557,$B$549:$B557,$B558-$D558)</f>
        <v>0</v>
      </c>
      <c r="AC558" s="46" t="n">
        <f aca="false">AI557+AB558</f>
        <v>100</v>
      </c>
      <c r="AD558" s="46" t="n">
        <f aca="false">SUMIFS(AF$549:AF557,$B$549:$B557,"&gt;"&amp;($B558-$D558))</f>
        <v>220</v>
      </c>
      <c r="AE558" s="46" t="n">
        <f aca="false">AC558+AD558</f>
        <v>320</v>
      </c>
      <c r="AF558" s="47" t="n">
        <f aca="false">IF(AE558&lt;=Y558,AA558,0)</f>
        <v>0</v>
      </c>
      <c r="AG558" s="46" t="n">
        <f aca="false">MIN(AC558,I558)</f>
        <v>29</v>
      </c>
      <c r="AH558" s="46" t="n">
        <f aca="false">I558-AG558</f>
        <v>0</v>
      </c>
      <c r="AI558" s="46" t="n">
        <f aca="false">AC558-AG558</f>
        <v>71</v>
      </c>
      <c r="AJ558" s="46" t="n">
        <f aca="false">IF(AH558&gt;0,1,0)</f>
        <v>0</v>
      </c>
    </row>
    <row r="559" customFormat="false" ht="15" hidden="false" customHeight="false" outlineLevel="0" collapsed="false">
      <c r="A559" s="31" t="str">
        <f aca="false">Inputs!$B$71</f>
        <v>ELE-003</v>
      </c>
      <c r="B559" s="46" t="n">
        <f aca="false">B558+1</f>
        <v>99</v>
      </c>
      <c r="C559" s="46" t="n">
        <f aca="false">MATCH(A559,Inputs!$B$40:$B$87,0)</f>
        <v>32</v>
      </c>
      <c r="D559" s="32" t="n">
        <f aca="false">INDEX(Inputs!$F$40:$F$87,C559)</f>
        <v>6</v>
      </c>
      <c r="E559" s="78" t="n">
        <f aca="false">INDEX(Inputs!$H$40:$H$87,C559)</f>
        <v>36</v>
      </c>
      <c r="F559" s="78" t="n">
        <f aca="false">INDEX(Inputs!$G$40:$G$87,C559)</f>
        <v>90</v>
      </c>
      <c r="G559" s="32" t="n">
        <f aca="false">INDEX(Inputs!$I$40:$I$87,C559)</f>
        <v>4</v>
      </c>
      <c r="H559" s="46" t="n">
        <f aca="false">MATCH(A559,Demand_History!$C:$C,0)+B559-1</f>
        <v>3324</v>
      </c>
      <c r="I559" s="32" t="n">
        <f aca="false">INDEX(Forecast_Walkforward!$C:$C,H559)</f>
        <v>32</v>
      </c>
      <c r="J559" s="79" t="n">
        <f aca="false">INDEX(Forecast_Walkforward!$E:$E,H559)</f>
        <v>36.25</v>
      </c>
      <c r="K559" s="33" t="n">
        <f aca="false">Baseline_Weeks*J559</f>
        <v>145</v>
      </c>
      <c r="L559" s="46" t="n">
        <f aca="false">SUMIFS(P$549:P558,$B$549:$B558,$B559-$D559)</f>
        <v>36</v>
      </c>
      <c r="M559" s="46" t="n">
        <f aca="false">S558+L559</f>
        <v>39</v>
      </c>
      <c r="N559" s="46" t="n">
        <f aca="false">SUMIFS(P$549:P558,$B$549:$B558,"&gt;"&amp;($B559-$D559))</f>
        <v>92</v>
      </c>
      <c r="O559" s="46" t="n">
        <f aca="false">M559+N559</f>
        <v>131</v>
      </c>
      <c r="P559" s="47" t="n">
        <f aca="false">IF(O559&lt;K559,ROUNDUP((K559-O559)/G559,0)*G559,0)</f>
        <v>16</v>
      </c>
      <c r="Q559" s="46" t="n">
        <f aca="false">MIN(M559,I559)</f>
        <v>32</v>
      </c>
      <c r="R559" s="46" t="n">
        <f aca="false">I559-Q559</f>
        <v>0</v>
      </c>
      <c r="S559" s="46" t="n">
        <f aca="false">M559-Q559</f>
        <v>7</v>
      </c>
      <c r="T559" s="46" t="n">
        <f aca="false">IF(R559&gt;0,1,0)</f>
        <v>0</v>
      </c>
      <c r="U559" s="32" t="n">
        <f aca="false">INDEX(Forecast!$AY$7:$AY$54,C559)</f>
        <v>2</v>
      </c>
      <c r="V559" s="33" t="n">
        <f aca="false">CHOOSE(U559,INDEX(Forecast_Walkforward!$D:$D,H559),INDEX(Forecast_Walkforward!$E:$E,H559),INDEX(Forecast_Walkforward!$F:$F,H559),INDEX(Forecast_Walkforward!$G:$G,H559))</f>
        <v>36.25</v>
      </c>
      <c r="W559" s="79" t="n">
        <f aca="false">INDEX(Forecast!$BA$7:$BA$54,C559)</f>
        <v>5.52245860279711</v>
      </c>
      <c r="X559" s="33" t="n">
        <f aca="false">Z_Value*W559*SQRT(D559)</f>
        <v>22.2502733622696</v>
      </c>
      <c r="Y559" s="33" t="n">
        <f aca="false">V559*D559+X559</f>
        <v>239.75027336227</v>
      </c>
      <c r="Z559" s="33" t="n">
        <f aca="false">SQRT((2*V559*Weeks_Per_Year*F559)/(E559*Holding_Rate))</f>
        <v>217.082933460924</v>
      </c>
      <c r="AA559" s="46" t="n">
        <f aca="false">ROUNDUP(Z559/G559,0)*G559</f>
        <v>220</v>
      </c>
      <c r="AB559" s="46" t="n">
        <f aca="false">SUMIFS(AF$549:AF558,$B$549:$B558,$B559-$D559)</f>
        <v>0</v>
      </c>
      <c r="AC559" s="46" t="n">
        <f aca="false">AI558+AB559</f>
        <v>71</v>
      </c>
      <c r="AD559" s="46" t="n">
        <f aca="false">SUMIFS(AF$549:AF558,$B$549:$B558,"&gt;"&amp;($B559-$D559))</f>
        <v>220</v>
      </c>
      <c r="AE559" s="46" t="n">
        <f aca="false">AC559+AD559</f>
        <v>291</v>
      </c>
      <c r="AF559" s="47" t="n">
        <f aca="false">IF(AE559&lt;=Y559,AA559,0)</f>
        <v>0</v>
      </c>
      <c r="AG559" s="46" t="n">
        <f aca="false">MIN(AC559,I559)</f>
        <v>32</v>
      </c>
      <c r="AH559" s="46" t="n">
        <f aca="false">I559-AG559</f>
        <v>0</v>
      </c>
      <c r="AI559" s="46" t="n">
        <f aca="false">AC559-AG559</f>
        <v>39</v>
      </c>
      <c r="AJ559" s="46" t="n">
        <f aca="false">IF(AH559&gt;0,1,0)</f>
        <v>0</v>
      </c>
    </row>
    <row r="560" customFormat="false" ht="15" hidden="false" customHeight="false" outlineLevel="0" collapsed="false">
      <c r="A560" s="31" t="str">
        <f aca="false">Inputs!$B$71</f>
        <v>ELE-003</v>
      </c>
      <c r="B560" s="46" t="n">
        <f aca="false">B559+1</f>
        <v>100</v>
      </c>
      <c r="C560" s="46" t="n">
        <f aca="false">MATCH(A560,Inputs!$B$40:$B$87,0)</f>
        <v>32</v>
      </c>
      <c r="D560" s="32" t="n">
        <f aca="false">INDEX(Inputs!$F$40:$F$87,C560)</f>
        <v>6</v>
      </c>
      <c r="E560" s="78" t="n">
        <f aca="false">INDEX(Inputs!$H$40:$H$87,C560)</f>
        <v>36</v>
      </c>
      <c r="F560" s="78" t="n">
        <f aca="false">INDEX(Inputs!$G$40:$G$87,C560)</f>
        <v>90</v>
      </c>
      <c r="G560" s="32" t="n">
        <f aca="false">INDEX(Inputs!$I$40:$I$87,C560)</f>
        <v>4</v>
      </c>
      <c r="H560" s="46" t="n">
        <f aca="false">MATCH(A560,Demand_History!$C:$C,0)+B560-1</f>
        <v>3325</v>
      </c>
      <c r="I560" s="32" t="n">
        <f aca="false">INDEX(Forecast_Walkforward!$C:$C,H560)</f>
        <v>36</v>
      </c>
      <c r="J560" s="79" t="n">
        <f aca="false">INDEX(Forecast_Walkforward!$E:$E,H560)</f>
        <v>35.75</v>
      </c>
      <c r="K560" s="33" t="n">
        <f aca="false">Baseline_Weeks*J560</f>
        <v>143</v>
      </c>
      <c r="L560" s="46" t="n">
        <f aca="false">SUMIFS(P$549:P559,$B$549:$B559,$B560-$D560)</f>
        <v>28</v>
      </c>
      <c r="M560" s="46" t="n">
        <f aca="false">S559+L560</f>
        <v>35</v>
      </c>
      <c r="N560" s="46" t="n">
        <f aca="false">SUMIFS(P$549:P559,$B$549:$B559,"&gt;"&amp;($B560-$D560))</f>
        <v>80</v>
      </c>
      <c r="O560" s="46" t="n">
        <f aca="false">M560+N560</f>
        <v>115</v>
      </c>
      <c r="P560" s="47" t="n">
        <f aca="false">IF(O560&lt;K560,ROUNDUP((K560-O560)/G560,0)*G560,0)</f>
        <v>28</v>
      </c>
      <c r="Q560" s="46" t="n">
        <f aca="false">MIN(M560,I560)</f>
        <v>35</v>
      </c>
      <c r="R560" s="46" t="n">
        <f aca="false">I560-Q560</f>
        <v>1</v>
      </c>
      <c r="S560" s="46" t="n">
        <f aca="false">M560-Q560</f>
        <v>0</v>
      </c>
      <c r="T560" s="46" t="n">
        <f aca="false">IF(R560&gt;0,1,0)</f>
        <v>1</v>
      </c>
      <c r="U560" s="32" t="n">
        <f aca="false">INDEX(Forecast!$AY$7:$AY$54,C560)</f>
        <v>2</v>
      </c>
      <c r="V560" s="33" t="n">
        <f aca="false">CHOOSE(U560,INDEX(Forecast_Walkforward!$D:$D,H560),INDEX(Forecast_Walkforward!$E:$E,H560),INDEX(Forecast_Walkforward!$F:$F,H560),INDEX(Forecast_Walkforward!$G:$G,H560))</f>
        <v>35.75</v>
      </c>
      <c r="W560" s="79" t="n">
        <f aca="false">INDEX(Forecast!$BA$7:$BA$54,C560)</f>
        <v>5.52245860279711</v>
      </c>
      <c r="X560" s="33" t="n">
        <f aca="false">Z_Value*W560*SQRT(D560)</f>
        <v>22.2502733622696</v>
      </c>
      <c r="Y560" s="33" t="n">
        <f aca="false">V560*D560+X560</f>
        <v>236.75027336227</v>
      </c>
      <c r="Z560" s="33" t="n">
        <f aca="false">SQRT((2*V560*Weeks_Per_Year*F560)/(E560*Holding_Rate))</f>
        <v>215.580611373101</v>
      </c>
      <c r="AA560" s="46" t="n">
        <f aca="false">ROUNDUP(Z560/G560,0)*G560</f>
        <v>216</v>
      </c>
      <c r="AB560" s="46" t="n">
        <f aca="false">SUMIFS(AF$549:AF559,$B$549:$B559,$B560-$D560)</f>
        <v>0</v>
      </c>
      <c r="AC560" s="46" t="n">
        <f aca="false">AI559+AB560</f>
        <v>39</v>
      </c>
      <c r="AD560" s="46" t="n">
        <f aca="false">SUMIFS(AF$549:AF559,$B$549:$B559,"&gt;"&amp;($B560-$D560))</f>
        <v>220</v>
      </c>
      <c r="AE560" s="46" t="n">
        <f aca="false">AC560+AD560</f>
        <v>259</v>
      </c>
      <c r="AF560" s="47" t="n">
        <f aca="false">IF(AE560&lt;=Y560,AA560,0)</f>
        <v>0</v>
      </c>
      <c r="AG560" s="46" t="n">
        <f aca="false">MIN(AC560,I560)</f>
        <v>36</v>
      </c>
      <c r="AH560" s="46" t="n">
        <f aca="false">I560-AG560</f>
        <v>0</v>
      </c>
      <c r="AI560" s="46" t="n">
        <f aca="false">AC560-AG560</f>
        <v>3</v>
      </c>
      <c r="AJ560" s="46" t="n">
        <f aca="false">IF(AH560&gt;0,1,0)</f>
        <v>0</v>
      </c>
    </row>
    <row r="561" customFormat="false" ht="15" hidden="false" customHeight="false" outlineLevel="0" collapsed="false">
      <c r="A561" s="31" t="str">
        <f aca="false">Inputs!$B$71</f>
        <v>ELE-003</v>
      </c>
      <c r="B561" s="46" t="n">
        <f aca="false">B560+1</f>
        <v>101</v>
      </c>
      <c r="C561" s="46" t="n">
        <f aca="false">MATCH(A561,Inputs!$B$40:$B$87,0)</f>
        <v>32</v>
      </c>
      <c r="D561" s="32" t="n">
        <f aca="false">INDEX(Inputs!$F$40:$F$87,C561)</f>
        <v>6</v>
      </c>
      <c r="E561" s="78" t="n">
        <f aca="false">INDEX(Inputs!$H$40:$H$87,C561)</f>
        <v>36</v>
      </c>
      <c r="F561" s="78" t="n">
        <f aca="false">INDEX(Inputs!$G$40:$G$87,C561)</f>
        <v>90</v>
      </c>
      <c r="G561" s="32" t="n">
        <f aca="false">INDEX(Inputs!$I$40:$I$87,C561)</f>
        <v>4</v>
      </c>
      <c r="H561" s="46" t="n">
        <f aca="false">MATCH(A561,Demand_History!$C:$C,0)+B561-1</f>
        <v>3326</v>
      </c>
      <c r="I561" s="32" t="n">
        <f aca="false">INDEX(Forecast_Walkforward!$C:$C,H561)</f>
        <v>35</v>
      </c>
      <c r="J561" s="79" t="n">
        <f aca="false">INDEX(Forecast_Walkforward!$E:$E,H561)</f>
        <v>34.5</v>
      </c>
      <c r="K561" s="33" t="n">
        <f aca="false">Baseline_Weeks*J561</f>
        <v>138</v>
      </c>
      <c r="L561" s="46" t="n">
        <f aca="false">SUMIFS(P$549:P560,$B$549:$B560,$B561-$D561)</f>
        <v>36</v>
      </c>
      <c r="M561" s="46" t="n">
        <f aca="false">S560+L561</f>
        <v>36</v>
      </c>
      <c r="N561" s="46" t="n">
        <f aca="false">SUMIFS(P$549:P560,$B$549:$B560,"&gt;"&amp;($B561-$D561))</f>
        <v>72</v>
      </c>
      <c r="O561" s="46" t="n">
        <f aca="false">M561+N561</f>
        <v>108</v>
      </c>
      <c r="P561" s="47" t="n">
        <f aca="false">IF(O561&lt;K561,ROUNDUP((K561-O561)/G561,0)*G561,0)</f>
        <v>32</v>
      </c>
      <c r="Q561" s="46" t="n">
        <f aca="false">MIN(M561,I561)</f>
        <v>35</v>
      </c>
      <c r="R561" s="46" t="n">
        <f aca="false">I561-Q561</f>
        <v>0</v>
      </c>
      <c r="S561" s="46" t="n">
        <f aca="false">M561-Q561</f>
        <v>1</v>
      </c>
      <c r="T561" s="46" t="n">
        <f aca="false">IF(R561&gt;0,1,0)</f>
        <v>0</v>
      </c>
      <c r="U561" s="32" t="n">
        <f aca="false">INDEX(Forecast!$AY$7:$AY$54,C561)</f>
        <v>2</v>
      </c>
      <c r="V561" s="33" t="n">
        <f aca="false">CHOOSE(U561,INDEX(Forecast_Walkforward!$D:$D,H561),INDEX(Forecast_Walkforward!$E:$E,H561),INDEX(Forecast_Walkforward!$F:$F,H561),INDEX(Forecast_Walkforward!$G:$G,H561))</f>
        <v>34.5</v>
      </c>
      <c r="W561" s="79" t="n">
        <f aca="false">INDEX(Forecast!$BA$7:$BA$54,C561)</f>
        <v>5.52245860279711</v>
      </c>
      <c r="X561" s="33" t="n">
        <f aca="false">Z_Value*W561*SQRT(D561)</f>
        <v>22.2502733622696</v>
      </c>
      <c r="Y561" s="33" t="n">
        <f aca="false">V561*D561+X561</f>
        <v>229.25027336227</v>
      </c>
      <c r="Z561" s="33" t="n">
        <f aca="false">SQRT((2*V561*Weeks_Per_Year*F561)/(E561*Holding_Rate))</f>
        <v>211.778185845474</v>
      </c>
      <c r="AA561" s="46" t="n">
        <f aca="false">ROUNDUP(Z561/G561,0)*G561</f>
        <v>212</v>
      </c>
      <c r="AB561" s="46" t="n">
        <f aca="false">SUMIFS(AF$549:AF560,$B$549:$B560,$B561-$D561)</f>
        <v>220</v>
      </c>
      <c r="AC561" s="46" t="n">
        <f aca="false">AI560+AB561</f>
        <v>223</v>
      </c>
      <c r="AD561" s="46" t="n">
        <f aca="false">SUMIFS(AF$549:AF560,$B$549:$B560,"&gt;"&amp;($B561-$D561))</f>
        <v>0</v>
      </c>
      <c r="AE561" s="46" t="n">
        <f aca="false">AC561+AD561</f>
        <v>223</v>
      </c>
      <c r="AF561" s="47" t="n">
        <f aca="false">IF(AE561&lt;=Y561,AA561,0)</f>
        <v>212</v>
      </c>
      <c r="AG561" s="46" t="n">
        <f aca="false">MIN(AC561,I561)</f>
        <v>35</v>
      </c>
      <c r="AH561" s="46" t="n">
        <f aca="false">I561-AG561</f>
        <v>0</v>
      </c>
      <c r="AI561" s="46" t="n">
        <f aca="false">AC561-AG561</f>
        <v>188</v>
      </c>
      <c r="AJ561" s="46" t="n">
        <f aca="false">IF(AH561&gt;0,1,0)</f>
        <v>0</v>
      </c>
    </row>
    <row r="562" customFormat="false" ht="15" hidden="false" customHeight="false" outlineLevel="0" collapsed="false">
      <c r="A562" s="31" t="str">
        <f aca="false">Inputs!$B$71</f>
        <v>ELE-003</v>
      </c>
      <c r="B562" s="46" t="n">
        <f aca="false">B561+1</f>
        <v>102</v>
      </c>
      <c r="C562" s="46" t="n">
        <f aca="false">MATCH(A562,Inputs!$B$40:$B$87,0)</f>
        <v>32</v>
      </c>
      <c r="D562" s="32" t="n">
        <f aca="false">INDEX(Inputs!$F$40:$F$87,C562)</f>
        <v>6</v>
      </c>
      <c r="E562" s="78" t="n">
        <f aca="false">INDEX(Inputs!$H$40:$H$87,C562)</f>
        <v>36</v>
      </c>
      <c r="F562" s="78" t="n">
        <f aca="false">INDEX(Inputs!$G$40:$G$87,C562)</f>
        <v>90</v>
      </c>
      <c r="G562" s="32" t="n">
        <f aca="false">INDEX(Inputs!$I$40:$I$87,C562)</f>
        <v>4</v>
      </c>
      <c r="H562" s="46" t="n">
        <f aca="false">MATCH(A562,Demand_History!$C:$C,0)+B562-1</f>
        <v>3327</v>
      </c>
      <c r="I562" s="32" t="n">
        <f aca="false">INDEX(Forecast_Walkforward!$C:$C,H562)</f>
        <v>40</v>
      </c>
      <c r="J562" s="79" t="n">
        <f aca="false">INDEX(Forecast_Walkforward!$E:$E,H562)</f>
        <v>33</v>
      </c>
      <c r="K562" s="33" t="n">
        <f aca="false">Baseline_Weeks*J562</f>
        <v>132</v>
      </c>
      <c r="L562" s="46" t="n">
        <f aca="false">SUMIFS(P$549:P561,$B$549:$B561,$B562-$D562)</f>
        <v>0</v>
      </c>
      <c r="M562" s="46" t="n">
        <f aca="false">S561+L562</f>
        <v>1</v>
      </c>
      <c r="N562" s="46" t="n">
        <f aca="false">SUMIFS(P$549:P561,$B$549:$B561,"&gt;"&amp;($B562-$D562))</f>
        <v>104</v>
      </c>
      <c r="O562" s="46" t="n">
        <f aca="false">M562+N562</f>
        <v>105</v>
      </c>
      <c r="P562" s="47" t="n">
        <f aca="false">IF(O562&lt;K562,ROUNDUP((K562-O562)/G562,0)*G562,0)</f>
        <v>28</v>
      </c>
      <c r="Q562" s="46" t="n">
        <f aca="false">MIN(M562,I562)</f>
        <v>1</v>
      </c>
      <c r="R562" s="46" t="n">
        <f aca="false">I562-Q562</f>
        <v>39</v>
      </c>
      <c r="S562" s="46" t="n">
        <f aca="false">M562-Q562</f>
        <v>0</v>
      </c>
      <c r="T562" s="46" t="n">
        <f aca="false">IF(R562&gt;0,1,0)</f>
        <v>1</v>
      </c>
      <c r="U562" s="32" t="n">
        <f aca="false">INDEX(Forecast!$AY$7:$AY$54,C562)</f>
        <v>2</v>
      </c>
      <c r="V562" s="33" t="n">
        <f aca="false">CHOOSE(U562,INDEX(Forecast_Walkforward!$D:$D,H562),INDEX(Forecast_Walkforward!$E:$E,H562),INDEX(Forecast_Walkforward!$F:$F,H562),INDEX(Forecast_Walkforward!$G:$G,H562))</f>
        <v>33</v>
      </c>
      <c r="W562" s="79" t="n">
        <f aca="false">INDEX(Forecast!$BA$7:$BA$54,C562)</f>
        <v>5.52245860279711</v>
      </c>
      <c r="X562" s="33" t="n">
        <f aca="false">Z_Value*W562*SQRT(D562)</f>
        <v>22.2502733622696</v>
      </c>
      <c r="Y562" s="33" t="n">
        <f aca="false">V562*D562+X562</f>
        <v>220.25027336227</v>
      </c>
      <c r="Z562" s="33" t="n">
        <f aca="false">SQRT((2*V562*Weeks_Per_Year*F562)/(E562*Holding_Rate))</f>
        <v>207.12315177208</v>
      </c>
      <c r="AA562" s="46" t="n">
        <f aca="false">ROUNDUP(Z562/G562,0)*G562</f>
        <v>208</v>
      </c>
      <c r="AB562" s="46" t="n">
        <f aca="false">SUMIFS(AF$549:AF561,$B$549:$B561,$B562-$D562)</f>
        <v>0</v>
      </c>
      <c r="AC562" s="46" t="n">
        <f aca="false">AI561+AB562</f>
        <v>188</v>
      </c>
      <c r="AD562" s="46" t="n">
        <f aca="false">SUMIFS(AF$549:AF561,$B$549:$B561,"&gt;"&amp;($B562-$D562))</f>
        <v>212</v>
      </c>
      <c r="AE562" s="46" t="n">
        <f aca="false">AC562+AD562</f>
        <v>400</v>
      </c>
      <c r="AF562" s="47" t="n">
        <f aca="false">IF(AE562&lt;=Y562,AA562,0)</f>
        <v>0</v>
      </c>
      <c r="AG562" s="46" t="n">
        <f aca="false">MIN(AC562,I562)</f>
        <v>40</v>
      </c>
      <c r="AH562" s="46" t="n">
        <f aca="false">I562-AG562</f>
        <v>0</v>
      </c>
      <c r="AI562" s="46" t="n">
        <f aca="false">AC562-AG562</f>
        <v>148</v>
      </c>
      <c r="AJ562" s="46" t="n">
        <f aca="false">IF(AH562&gt;0,1,0)</f>
        <v>0</v>
      </c>
    </row>
    <row r="563" customFormat="false" ht="15" hidden="false" customHeight="false" outlineLevel="0" collapsed="false">
      <c r="A563" s="31" t="str">
        <f aca="false">Inputs!$B$71</f>
        <v>ELE-003</v>
      </c>
      <c r="B563" s="46" t="n">
        <f aca="false">B562+1</f>
        <v>103</v>
      </c>
      <c r="C563" s="46" t="n">
        <f aca="false">MATCH(A563,Inputs!$B$40:$B$87,0)</f>
        <v>32</v>
      </c>
      <c r="D563" s="32" t="n">
        <f aca="false">INDEX(Inputs!$F$40:$F$87,C563)</f>
        <v>6</v>
      </c>
      <c r="E563" s="78" t="n">
        <f aca="false">INDEX(Inputs!$H$40:$H$87,C563)</f>
        <v>36</v>
      </c>
      <c r="F563" s="78" t="n">
        <f aca="false">INDEX(Inputs!$G$40:$G$87,C563)</f>
        <v>90</v>
      </c>
      <c r="G563" s="32" t="n">
        <f aca="false">INDEX(Inputs!$I$40:$I$87,C563)</f>
        <v>4</v>
      </c>
      <c r="H563" s="46" t="n">
        <f aca="false">MATCH(A563,Demand_History!$C:$C,0)+B563-1</f>
        <v>3328</v>
      </c>
      <c r="I563" s="32" t="n">
        <f aca="false">INDEX(Forecast_Walkforward!$C:$C,H563)</f>
        <v>28</v>
      </c>
      <c r="J563" s="79" t="n">
        <f aca="false">INDEX(Forecast_Walkforward!$E:$E,H563)</f>
        <v>35.75</v>
      </c>
      <c r="K563" s="33" t="n">
        <f aca="false">Baseline_Weeks*J563</f>
        <v>143</v>
      </c>
      <c r="L563" s="46" t="n">
        <f aca="false">SUMIFS(P$549:P562,$B$549:$B562,$B563-$D563)</f>
        <v>8</v>
      </c>
      <c r="M563" s="46" t="n">
        <f aca="false">S562+L563</f>
        <v>8</v>
      </c>
      <c r="N563" s="46" t="n">
        <f aca="false">SUMIFS(P$549:P562,$B$549:$B562,"&gt;"&amp;($B563-$D563))</f>
        <v>124</v>
      </c>
      <c r="O563" s="46" t="n">
        <f aca="false">M563+N563</f>
        <v>132</v>
      </c>
      <c r="P563" s="47" t="n">
        <f aca="false">IF(O563&lt;K563,ROUNDUP((K563-O563)/G563,0)*G563,0)</f>
        <v>12</v>
      </c>
      <c r="Q563" s="46" t="n">
        <f aca="false">MIN(M563,I563)</f>
        <v>8</v>
      </c>
      <c r="R563" s="46" t="n">
        <f aca="false">I563-Q563</f>
        <v>20</v>
      </c>
      <c r="S563" s="46" t="n">
        <f aca="false">M563-Q563</f>
        <v>0</v>
      </c>
      <c r="T563" s="46" t="n">
        <f aca="false">IF(R563&gt;0,1,0)</f>
        <v>1</v>
      </c>
      <c r="U563" s="32" t="n">
        <f aca="false">INDEX(Forecast!$AY$7:$AY$54,C563)</f>
        <v>2</v>
      </c>
      <c r="V563" s="33" t="n">
        <f aca="false">CHOOSE(U563,INDEX(Forecast_Walkforward!$D:$D,H563),INDEX(Forecast_Walkforward!$E:$E,H563),INDEX(Forecast_Walkforward!$F:$F,H563),INDEX(Forecast_Walkforward!$G:$G,H563))</f>
        <v>35.75</v>
      </c>
      <c r="W563" s="79" t="n">
        <f aca="false">INDEX(Forecast!$BA$7:$BA$54,C563)</f>
        <v>5.52245860279711</v>
      </c>
      <c r="X563" s="33" t="n">
        <f aca="false">Z_Value*W563*SQRT(D563)</f>
        <v>22.2502733622696</v>
      </c>
      <c r="Y563" s="33" t="n">
        <f aca="false">V563*D563+X563</f>
        <v>236.75027336227</v>
      </c>
      <c r="Z563" s="33" t="n">
        <f aca="false">SQRT((2*V563*Weeks_Per_Year*F563)/(E563*Holding_Rate))</f>
        <v>215.580611373101</v>
      </c>
      <c r="AA563" s="46" t="n">
        <f aca="false">ROUNDUP(Z563/G563,0)*G563</f>
        <v>216</v>
      </c>
      <c r="AB563" s="46" t="n">
        <f aca="false">SUMIFS(AF$549:AF562,$B$549:$B562,$B563-$D563)</f>
        <v>0</v>
      </c>
      <c r="AC563" s="46" t="n">
        <f aca="false">AI562+AB563</f>
        <v>148</v>
      </c>
      <c r="AD563" s="46" t="n">
        <f aca="false">SUMIFS(AF$549:AF562,$B$549:$B562,"&gt;"&amp;($B563-$D563))</f>
        <v>212</v>
      </c>
      <c r="AE563" s="46" t="n">
        <f aca="false">AC563+AD563</f>
        <v>360</v>
      </c>
      <c r="AF563" s="47" t="n">
        <f aca="false">IF(AE563&lt;=Y563,AA563,0)</f>
        <v>0</v>
      </c>
      <c r="AG563" s="46" t="n">
        <f aca="false">MIN(AC563,I563)</f>
        <v>28</v>
      </c>
      <c r="AH563" s="46" t="n">
        <f aca="false">I563-AG563</f>
        <v>0</v>
      </c>
      <c r="AI563" s="46" t="n">
        <f aca="false">AC563-AG563</f>
        <v>120</v>
      </c>
      <c r="AJ563" s="46" t="n">
        <f aca="false">IF(AH563&gt;0,1,0)</f>
        <v>0</v>
      </c>
    </row>
    <row r="564" customFormat="false" ht="15" hidden="false" customHeight="false" outlineLevel="0" collapsed="false">
      <c r="A564" s="80" t="str">
        <f aca="false">Inputs!$B$71</f>
        <v>ELE-003</v>
      </c>
      <c r="B564" s="81" t="n">
        <f aca="false">B563+1</f>
        <v>104</v>
      </c>
      <c r="C564" s="81" t="n">
        <f aca="false">MATCH(A564,Inputs!$B$40:$B$87,0)</f>
        <v>32</v>
      </c>
      <c r="D564" s="82" t="n">
        <f aca="false">INDEX(Inputs!$F$40:$F$87,C564)</f>
        <v>6</v>
      </c>
      <c r="E564" s="83" t="n">
        <f aca="false">INDEX(Inputs!$H$40:$H$87,C564)</f>
        <v>36</v>
      </c>
      <c r="F564" s="83" t="n">
        <f aca="false">INDEX(Inputs!$G$40:$G$87,C564)</f>
        <v>90</v>
      </c>
      <c r="G564" s="82" t="n">
        <f aca="false">INDEX(Inputs!$I$40:$I$87,C564)</f>
        <v>4</v>
      </c>
      <c r="H564" s="81" t="n">
        <f aca="false">MATCH(A564,Demand_History!$C:$C,0)+B564-1</f>
        <v>3329</v>
      </c>
      <c r="I564" s="82" t="n">
        <f aca="false">INDEX(Forecast_Walkforward!$C:$C,H564)</f>
        <v>43</v>
      </c>
      <c r="J564" s="84" t="n">
        <f aca="false">INDEX(Forecast_Walkforward!$E:$E,H564)</f>
        <v>34.75</v>
      </c>
      <c r="K564" s="85" t="n">
        <f aca="false">Baseline_Weeks*J564</f>
        <v>139</v>
      </c>
      <c r="L564" s="81" t="n">
        <f aca="false">SUMIFS(P$549:P563,$B$549:$B563,$B564-$D564)</f>
        <v>20</v>
      </c>
      <c r="M564" s="81" t="n">
        <f aca="false">S563+L564</f>
        <v>20</v>
      </c>
      <c r="N564" s="81" t="n">
        <f aca="false">SUMIFS(P$549:P563,$B$549:$B563,"&gt;"&amp;($B564-$D564))</f>
        <v>116</v>
      </c>
      <c r="O564" s="81" t="n">
        <f aca="false">M564+N564</f>
        <v>136</v>
      </c>
      <c r="P564" s="86" t="n">
        <f aca="false">IF(O564&lt;K564,ROUNDUP((K564-O564)/G564,0)*G564,0)</f>
        <v>4</v>
      </c>
      <c r="Q564" s="81" t="n">
        <f aca="false">MIN(M564,I564)</f>
        <v>20</v>
      </c>
      <c r="R564" s="81" t="n">
        <f aca="false">I564-Q564</f>
        <v>23</v>
      </c>
      <c r="S564" s="81" t="n">
        <f aca="false">M564-Q564</f>
        <v>0</v>
      </c>
      <c r="T564" s="81" t="n">
        <f aca="false">IF(R564&gt;0,1,0)</f>
        <v>1</v>
      </c>
      <c r="U564" s="82" t="n">
        <f aca="false">INDEX(Forecast!$AY$7:$AY$54,C564)</f>
        <v>2</v>
      </c>
      <c r="V564" s="85" t="n">
        <f aca="false">CHOOSE(U564,INDEX(Forecast_Walkforward!$D:$D,H564),INDEX(Forecast_Walkforward!$E:$E,H564),INDEX(Forecast_Walkforward!$F:$F,H564),INDEX(Forecast_Walkforward!$G:$G,H564))</f>
        <v>34.75</v>
      </c>
      <c r="W564" s="84" t="n">
        <f aca="false">INDEX(Forecast!$BA$7:$BA$54,C564)</f>
        <v>5.52245860279711</v>
      </c>
      <c r="X564" s="85" t="n">
        <f aca="false">Z_Value*W564*SQRT(D564)</f>
        <v>22.2502733622696</v>
      </c>
      <c r="Y564" s="85" t="n">
        <f aca="false">V564*D564+X564</f>
        <v>230.75027336227</v>
      </c>
      <c r="Z564" s="85" t="n">
        <f aca="false">SQRT((2*V564*Weeks_Per_Year*F564)/(E564*Holding_Rate))</f>
        <v>212.544113068323</v>
      </c>
      <c r="AA564" s="81" t="n">
        <f aca="false">ROUNDUP(Z564/G564,0)*G564</f>
        <v>216</v>
      </c>
      <c r="AB564" s="81" t="n">
        <f aca="false">SUMIFS(AF$549:AF563,$B$549:$B563,$B564-$D564)</f>
        <v>0</v>
      </c>
      <c r="AC564" s="81" t="n">
        <f aca="false">AI563+AB564</f>
        <v>120</v>
      </c>
      <c r="AD564" s="81" t="n">
        <f aca="false">SUMIFS(AF$549:AF563,$B$549:$B563,"&gt;"&amp;($B564-$D564))</f>
        <v>212</v>
      </c>
      <c r="AE564" s="81" t="n">
        <f aca="false">AC564+AD564</f>
        <v>332</v>
      </c>
      <c r="AF564" s="86" t="n">
        <f aca="false">IF(AE564&lt;=Y564,AA564,0)</f>
        <v>0</v>
      </c>
      <c r="AG564" s="81" t="n">
        <f aca="false">MIN(AC564,I564)</f>
        <v>43</v>
      </c>
      <c r="AH564" s="81" t="n">
        <f aca="false">I564-AG564</f>
        <v>0</v>
      </c>
      <c r="AI564" s="81" t="n">
        <f aca="false">AC564-AG564</f>
        <v>77</v>
      </c>
      <c r="AJ564" s="81" t="n">
        <f aca="false">IF(AH564&gt;0,1,0)</f>
        <v>0</v>
      </c>
    </row>
    <row r="565" customFormat="false" ht="15" hidden="false" customHeight="false" outlineLevel="0" collapsed="false">
      <c r="A565" s="31" t="str">
        <f aca="false">Inputs!$B$72</f>
        <v>ELE-004</v>
      </c>
      <c r="B565" s="46" t="n">
        <f aca="false">BT_Start_Week</f>
        <v>89</v>
      </c>
      <c r="C565" s="46" t="n">
        <f aca="false">MATCH(A565,Inputs!$B$40:$B$87,0)</f>
        <v>33</v>
      </c>
      <c r="D565" s="32" t="n">
        <f aca="false">INDEX(Inputs!$F$40:$F$87,C565)</f>
        <v>6</v>
      </c>
      <c r="E565" s="78" t="n">
        <f aca="false">INDEX(Inputs!$H$40:$H$87,C565)</f>
        <v>14</v>
      </c>
      <c r="F565" s="78" t="n">
        <f aca="false">INDEX(Inputs!$G$40:$G$87,C565)</f>
        <v>90</v>
      </c>
      <c r="G565" s="32" t="n">
        <f aca="false">INDEX(Inputs!$I$40:$I$87,C565)</f>
        <v>10</v>
      </c>
      <c r="H565" s="46" t="n">
        <f aca="false">MATCH(A565,Demand_History!$C:$C,0)+B565-1</f>
        <v>3418</v>
      </c>
      <c r="I565" s="32" t="n">
        <f aca="false">INDEX(Forecast_Walkforward!$C:$C,H565)</f>
        <v>87</v>
      </c>
      <c r="J565" s="79" t="n">
        <f aca="false">INDEX(Forecast_Walkforward!$E:$E,H565)</f>
        <v>123</v>
      </c>
      <c r="K565" s="33" t="n">
        <f aca="false">Baseline_Weeks*J565</f>
        <v>492</v>
      </c>
      <c r="L565" s="46" t="n">
        <f aca="false">0</f>
        <v>0</v>
      </c>
      <c r="M565" s="46" t="n">
        <f aca="false">ROUND(BT_Open_Cover*INDEX(Forecast_Walkforward!$F:$F,H565),0)+L565</f>
        <v>708</v>
      </c>
      <c r="N565" s="46" t="n">
        <f aca="false">0</f>
        <v>0</v>
      </c>
      <c r="O565" s="46" t="n">
        <f aca="false">M565+N565</f>
        <v>708</v>
      </c>
      <c r="P565" s="47" t="n">
        <f aca="false">IF(O565&lt;K565,ROUNDUP((K565-O565)/G565,0)*G565,0)</f>
        <v>0</v>
      </c>
      <c r="Q565" s="46" t="n">
        <f aca="false">MIN(M565,I565)</f>
        <v>87</v>
      </c>
      <c r="R565" s="46" t="n">
        <f aca="false">I565-Q565</f>
        <v>0</v>
      </c>
      <c r="S565" s="46" t="n">
        <f aca="false">M565-Q565</f>
        <v>621</v>
      </c>
      <c r="T565" s="46" t="n">
        <f aca="false">IF(R565&gt;0,1,0)</f>
        <v>0</v>
      </c>
      <c r="U565" s="32" t="n">
        <f aca="false">INDEX(Forecast!$AY$7:$AY$54,C565)</f>
        <v>3</v>
      </c>
      <c r="V565" s="33" t="n">
        <f aca="false">CHOOSE(U565,INDEX(Forecast_Walkforward!$D:$D,H565),INDEX(Forecast_Walkforward!$E:$E,H565),INDEX(Forecast_Walkforward!$F:$F,H565),INDEX(Forecast_Walkforward!$G:$G,H565))</f>
        <v>118</v>
      </c>
      <c r="W565" s="79" t="n">
        <f aca="false">INDEX(Forecast!$BA$7:$BA$54,C565)</f>
        <v>14.4082144231642</v>
      </c>
      <c r="X565" s="33" t="n">
        <f aca="false">Z_Value*W565*SQRT(D565)</f>
        <v>58.0514464001997</v>
      </c>
      <c r="Y565" s="33" t="n">
        <f aca="false">V565*D565+X565</f>
        <v>766.0514464002</v>
      </c>
      <c r="Z565" s="33" t="n">
        <f aca="false">SQRT((2*V565*Weeks_Per_Year*F565)/(E565*Holding_Rate))</f>
        <v>628.058232059053</v>
      </c>
      <c r="AA565" s="46" t="n">
        <f aca="false">ROUNDUP(Z565/G565,0)*G565</f>
        <v>630</v>
      </c>
      <c r="AB565" s="46" t="n">
        <f aca="false">0</f>
        <v>0</v>
      </c>
      <c r="AC565" s="46" t="n">
        <f aca="false">ROUND(BT_Open_Cover*INDEX(Forecast_Walkforward!$F:$F,H565),0)+AB565</f>
        <v>708</v>
      </c>
      <c r="AD565" s="46" t="n">
        <f aca="false">0</f>
        <v>0</v>
      </c>
      <c r="AE565" s="46" t="n">
        <f aca="false">AC565+AD565</f>
        <v>708</v>
      </c>
      <c r="AF565" s="47" t="n">
        <f aca="false">IF(AE565&lt;=Y565,AA565,0)</f>
        <v>630</v>
      </c>
      <c r="AG565" s="46" t="n">
        <f aca="false">MIN(AC565,I565)</f>
        <v>87</v>
      </c>
      <c r="AH565" s="46" t="n">
        <f aca="false">I565-AG565</f>
        <v>0</v>
      </c>
      <c r="AI565" s="46" t="n">
        <f aca="false">AC565-AG565</f>
        <v>621</v>
      </c>
      <c r="AJ565" s="46" t="n">
        <f aca="false">IF(AH565&gt;0,1,0)</f>
        <v>0</v>
      </c>
    </row>
    <row r="566" customFormat="false" ht="15" hidden="false" customHeight="false" outlineLevel="0" collapsed="false">
      <c r="A566" s="31" t="str">
        <f aca="false">Inputs!$B$72</f>
        <v>ELE-004</v>
      </c>
      <c r="B566" s="46" t="n">
        <f aca="false">B565+1</f>
        <v>90</v>
      </c>
      <c r="C566" s="46" t="n">
        <f aca="false">MATCH(A566,Inputs!$B$40:$B$87,0)</f>
        <v>33</v>
      </c>
      <c r="D566" s="32" t="n">
        <f aca="false">INDEX(Inputs!$F$40:$F$87,C566)</f>
        <v>6</v>
      </c>
      <c r="E566" s="78" t="n">
        <f aca="false">INDEX(Inputs!$H$40:$H$87,C566)</f>
        <v>14</v>
      </c>
      <c r="F566" s="78" t="n">
        <f aca="false">INDEX(Inputs!$G$40:$G$87,C566)</f>
        <v>90</v>
      </c>
      <c r="G566" s="32" t="n">
        <f aca="false">INDEX(Inputs!$I$40:$I$87,C566)</f>
        <v>10</v>
      </c>
      <c r="H566" s="46" t="n">
        <f aca="false">MATCH(A566,Demand_History!$C:$C,0)+B566-1</f>
        <v>3419</v>
      </c>
      <c r="I566" s="32" t="n">
        <f aca="false">INDEX(Forecast_Walkforward!$C:$C,H566)</f>
        <v>104</v>
      </c>
      <c r="J566" s="79" t="n">
        <f aca="false">INDEX(Forecast_Walkforward!$E:$E,H566)</f>
        <v>114.5</v>
      </c>
      <c r="K566" s="33" t="n">
        <f aca="false">Baseline_Weeks*J566</f>
        <v>458</v>
      </c>
      <c r="L566" s="46" t="n">
        <f aca="false">SUMIFS(P$565:P565,$B$565:$B565,$B566-$D566)</f>
        <v>0</v>
      </c>
      <c r="M566" s="46" t="n">
        <f aca="false">S565+L566</f>
        <v>621</v>
      </c>
      <c r="N566" s="46" t="n">
        <f aca="false">SUMIFS(P$565:P565,$B$565:$B565,"&gt;"&amp;($B566-$D566))</f>
        <v>0</v>
      </c>
      <c r="O566" s="46" t="n">
        <f aca="false">M566+N566</f>
        <v>621</v>
      </c>
      <c r="P566" s="47" t="n">
        <f aca="false">IF(O566&lt;K566,ROUNDUP((K566-O566)/G566,0)*G566,0)</f>
        <v>0</v>
      </c>
      <c r="Q566" s="46" t="n">
        <f aca="false">MIN(M566,I566)</f>
        <v>104</v>
      </c>
      <c r="R566" s="46" t="n">
        <f aca="false">I566-Q566</f>
        <v>0</v>
      </c>
      <c r="S566" s="46" t="n">
        <f aca="false">M566-Q566</f>
        <v>517</v>
      </c>
      <c r="T566" s="46" t="n">
        <f aca="false">IF(R566&gt;0,1,0)</f>
        <v>0</v>
      </c>
      <c r="U566" s="32" t="n">
        <f aca="false">INDEX(Forecast!$AY$7:$AY$54,C566)</f>
        <v>3</v>
      </c>
      <c r="V566" s="33" t="n">
        <f aca="false">CHOOSE(U566,INDEX(Forecast_Walkforward!$D:$D,H566),INDEX(Forecast_Walkforward!$E:$E,H566),INDEX(Forecast_Walkforward!$F:$F,H566),INDEX(Forecast_Walkforward!$G:$G,H566))</f>
        <v>114</v>
      </c>
      <c r="W566" s="79" t="n">
        <f aca="false">INDEX(Forecast!$BA$7:$BA$54,C566)</f>
        <v>14.4082144231642</v>
      </c>
      <c r="X566" s="33" t="n">
        <f aca="false">Z_Value*W566*SQRT(D566)</f>
        <v>58.0514464001997</v>
      </c>
      <c r="Y566" s="33" t="n">
        <f aca="false">V566*D566+X566</f>
        <v>742.0514464002</v>
      </c>
      <c r="Z566" s="33" t="n">
        <f aca="false">SQRT((2*V566*Weeks_Per_Year*F566)/(E566*Holding_Rate))</f>
        <v>617.321402743915</v>
      </c>
      <c r="AA566" s="46" t="n">
        <f aca="false">ROUNDUP(Z566/G566,0)*G566</f>
        <v>620</v>
      </c>
      <c r="AB566" s="46" t="n">
        <f aca="false">SUMIFS(AF$565:AF565,$B$565:$B565,$B566-$D566)</f>
        <v>0</v>
      </c>
      <c r="AC566" s="46" t="n">
        <f aca="false">AI565+AB566</f>
        <v>621</v>
      </c>
      <c r="AD566" s="46" t="n">
        <f aca="false">SUMIFS(AF$565:AF565,$B$565:$B565,"&gt;"&amp;($B566-$D566))</f>
        <v>630</v>
      </c>
      <c r="AE566" s="46" t="n">
        <f aca="false">AC566+AD566</f>
        <v>1251</v>
      </c>
      <c r="AF566" s="47" t="n">
        <f aca="false">IF(AE566&lt;=Y566,AA566,0)</f>
        <v>0</v>
      </c>
      <c r="AG566" s="46" t="n">
        <f aca="false">MIN(AC566,I566)</f>
        <v>104</v>
      </c>
      <c r="AH566" s="46" t="n">
        <f aca="false">I566-AG566</f>
        <v>0</v>
      </c>
      <c r="AI566" s="46" t="n">
        <f aca="false">AC566-AG566</f>
        <v>517</v>
      </c>
      <c r="AJ566" s="46" t="n">
        <f aca="false">IF(AH566&gt;0,1,0)</f>
        <v>0</v>
      </c>
    </row>
    <row r="567" customFormat="false" ht="15" hidden="false" customHeight="false" outlineLevel="0" collapsed="false">
      <c r="A567" s="31" t="str">
        <f aca="false">Inputs!$B$72</f>
        <v>ELE-004</v>
      </c>
      <c r="B567" s="46" t="n">
        <f aca="false">B566+1</f>
        <v>91</v>
      </c>
      <c r="C567" s="46" t="n">
        <f aca="false">MATCH(A567,Inputs!$B$40:$B$87,0)</f>
        <v>33</v>
      </c>
      <c r="D567" s="32" t="n">
        <f aca="false">INDEX(Inputs!$F$40:$F$87,C567)</f>
        <v>6</v>
      </c>
      <c r="E567" s="78" t="n">
        <f aca="false">INDEX(Inputs!$H$40:$H$87,C567)</f>
        <v>14</v>
      </c>
      <c r="F567" s="78" t="n">
        <f aca="false">INDEX(Inputs!$G$40:$G$87,C567)</f>
        <v>90</v>
      </c>
      <c r="G567" s="32" t="n">
        <f aca="false">INDEX(Inputs!$I$40:$I$87,C567)</f>
        <v>10</v>
      </c>
      <c r="H567" s="46" t="n">
        <f aca="false">MATCH(A567,Demand_History!$C:$C,0)+B567-1</f>
        <v>3420</v>
      </c>
      <c r="I567" s="32" t="n">
        <f aca="false">INDEX(Forecast_Walkforward!$C:$C,H567)</f>
        <v>141</v>
      </c>
      <c r="J567" s="79" t="n">
        <f aca="false">INDEX(Forecast_Walkforward!$E:$E,H567)</f>
        <v>108.5</v>
      </c>
      <c r="K567" s="33" t="n">
        <f aca="false">Baseline_Weeks*J567</f>
        <v>434</v>
      </c>
      <c r="L567" s="46" t="n">
        <f aca="false">SUMIFS(P$565:P566,$B$565:$B566,$B567-$D567)</f>
        <v>0</v>
      </c>
      <c r="M567" s="46" t="n">
        <f aca="false">S566+L567</f>
        <v>517</v>
      </c>
      <c r="N567" s="46" t="n">
        <f aca="false">SUMIFS(P$565:P566,$B$565:$B566,"&gt;"&amp;($B567-$D567))</f>
        <v>0</v>
      </c>
      <c r="O567" s="46" t="n">
        <f aca="false">M567+N567</f>
        <v>517</v>
      </c>
      <c r="P567" s="47" t="n">
        <f aca="false">IF(O567&lt;K567,ROUNDUP((K567-O567)/G567,0)*G567,0)</f>
        <v>0</v>
      </c>
      <c r="Q567" s="46" t="n">
        <f aca="false">MIN(M567,I567)</f>
        <v>141</v>
      </c>
      <c r="R567" s="46" t="n">
        <f aca="false">I567-Q567</f>
        <v>0</v>
      </c>
      <c r="S567" s="46" t="n">
        <f aca="false">M567-Q567</f>
        <v>376</v>
      </c>
      <c r="T567" s="46" t="n">
        <f aca="false">IF(R567&gt;0,1,0)</f>
        <v>0</v>
      </c>
      <c r="U567" s="32" t="n">
        <f aca="false">INDEX(Forecast!$AY$7:$AY$54,C567)</f>
        <v>3</v>
      </c>
      <c r="V567" s="33" t="n">
        <f aca="false">CHOOSE(U567,INDEX(Forecast_Walkforward!$D:$D,H567),INDEX(Forecast_Walkforward!$E:$E,H567),INDEX(Forecast_Walkforward!$F:$F,H567),INDEX(Forecast_Walkforward!$G:$G,H567))</f>
        <v>113.125</v>
      </c>
      <c r="W567" s="79" t="n">
        <f aca="false">INDEX(Forecast!$BA$7:$BA$54,C567)</f>
        <v>14.4082144231642</v>
      </c>
      <c r="X567" s="33" t="n">
        <f aca="false">Z_Value*W567*SQRT(D567)</f>
        <v>58.0514464001997</v>
      </c>
      <c r="Y567" s="33" t="n">
        <f aca="false">V567*D567+X567</f>
        <v>736.8014464002</v>
      </c>
      <c r="Z567" s="33" t="n">
        <f aca="false">SQRT((2*V567*Weeks_Per_Year*F567)/(E567*Holding_Rate))</f>
        <v>614.947732970628</v>
      </c>
      <c r="AA567" s="46" t="n">
        <f aca="false">ROUNDUP(Z567/G567,0)*G567</f>
        <v>620</v>
      </c>
      <c r="AB567" s="46" t="n">
        <f aca="false">SUMIFS(AF$565:AF566,$B$565:$B566,$B567-$D567)</f>
        <v>0</v>
      </c>
      <c r="AC567" s="46" t="n">
        <f aca="false">AI566+AB567</f>
        <v>517</v>
      </c>
      <c r="AD567" s="46" t="n">
        <f aca="false">SUMIFS(AF$565:AF566,$B$565:$B566,"&gt;"&amp;($B567-$D567))</f>
        <v>630</v>
      </c>
      <c r="AE567" s="46" t="n">
        <f aca="false">AC567+AD567</f>
        <v>1147</v>
      </c>
      <c r="AF567" s="47" t="n">
        <f aca="false">IF(AE567&lt;=Y567,AA567,0)</f>
        <v>0</v>
      </c>
      <c r="AG567" s="46" t="n">
        <f aca="false">MIN(AC567,I567)</f>
        <v>141</v>
      </c>
      <c r="AH567" s="46" t="n">
        <f aca="false">I567-AG567</f>
        <v>0</v>
      </c>
      <c r="AI567" s="46" t="n">
        <f aca="false">AC567-AG567</f>
        <v>376</v>
      </c>
      <c r="AJ567" s="46" t="n">
        <f aca="false">IF(AH567&gt;0,1,0)</f>
        <v>0</v>
      </c>
    </row>
    <row r="568" customFormat="false" ht="15" hidden="false" customHeight="false" outlineLevel="0" collapsed="false">
      <c r="A568" s="31" t="str">
        <f aca="false">Inputs!$B$72</f>
        <v>ELE-004</v>
      </c>
      <c r="B568" s="46" t="n">
        <f aca="false">B567+1</f>
        <v>92</v>
      </c>
      <c r="C568" s="46" t="n">
        <f aca="false">MATCH(A568,Inputs!$B$40:$B$87,0)</f>
        <v>33</v>
      </c>
      <c r="D568" s="32" t="n">
        <f aca="false">INDEX(Inputs!$F$40:$F$87,C568)</f>
        <v>6</v>
      </c>
      <c r="E568" s="78" t="n">
        <f aca="false">INDEX(Inputs!$H$40:$H$87,C568)</f>
        <v>14</v>
      </c>
      <c r="F568" s="78" t="n">
        <f aca="false">INDEX(Inputs!$G$40:$G$87,C568)</f>
        <v>90</v>
      </c>
      <c r="G568" s="32" t="n">
        <f aca="false">INDEX(Inputs!$I$40:$I$87,C568)</f>
        <v>10</v>
      </c>
      <c r="H568" s="46" t="n">
        <f aca="false">MATCH(A568,Demand_History!$C:$C,0)+B568-1</f>
        <v>3421</v>
      </c>
      <c r="I568" s="32" t="n">
        <f aca="false">INDEX(Forecast_Walkforward!$C:$C,H568)</f>
        <v>147</v>
      </c>
      <c r="J568" s="79" t="n">
        <f aca="false">INDEX(Forecast_Walkforward!$E:$E,H568)</f>
        <v>115.25</v>
      </c>
      <c r="K568" s="33" t="n">
        <f aca="false">Baseline_Weeks*J568</f>
        <v>461</v>
      </c>
      <c r="L568" s="46" t="n">
        <f aca="false">SUMIFS(P$565:P567,$B$565:$B567,$B568-$D568)</f>
        <v>0</v>
      </c>
      <c r="M568" s="46" t="n">
        <f aca="false">S567+L568</f>
        <v>376</v>
      </c>
      <c r="N568" s="46" t="n">
        <f aca="false">SUMIFS(P$565:P567,$B$565:$B567,"&gt;"&amp;($B568-$D568))</f>
        <v>0</v>
      </c>
      <c r="O568" s="46" t="n">
        <f aca="false">M568+N568</f>
        <v>376</v>
      </c>
      <c r="P568" s="47" t="n">
        <f aca="false">IF(O568&lt;K568,ROUNDUP((K568-O568)/G568,0)*G568,0)</f>
        <v>90</v>
      </c>
      <c r="Q568" s="46" t="n">
        <f aca="false">MIN(M568,I568)</f>
        <v>147</v>
      </c>
      <c r="R568" s="46" t="n">
        <f aca="false">I568-Q568</f>
        <v>0</v>
      </c>
      <c r="S568" s="46" t="n">
        <f aca="false">M568-Q568</f>
        <v>229</v>
      </c>
      <c r="T568" s="46" t="n">
        <f aca="false">IF(R568&gt;0,1,0)</f>
        <v>0</v>
      </c>
      <c r="U568" s="32" t="n">
        <f aca="false">INDEX(Forecast!$AY$7:$AY$54,C568)</f>
        <v>3</v>
      </c>
      <c r="V568" s="33" t="n">
        <f aca="false">CHOOSE(U568,INDEX(Forecast_Walkforward!$D:$D,H568),INDEX(Forecast_Walkforward!$E:$E,H568),INDEX(Forecast_Walkforward!$F:$F,H568),INDEX(Forecast_Walkforward!$G:$G,H568))</f>
        <v>116.125</v>
      </c>
      <c r="W568" s="79" t="n">
        <f aca="false">INDEX(Forecast!$BA$7:$BA$54,C568)</f>
        <v>14.4082144231642</v>
      </c>
      <c r="X568" s="33" t="n">
        <f aca="false">Z_Value*W568*SQRT(D568)</f>
        <v>58.0514464001997</v>
      </c>
      <c r="Y568" s="33" t="n">
        <f aca="false">V568*D568+X568</f>
        <v>754.8014464002</v>
      </c>
      <c r="Z568" s="33" t="n">
        <f aca="false">SQRT((2*V568*Weeks_Per_Year*F568)/(E568*Holding_Rate))</f>
        <v>623.048381519674</v>
      </c>
      <c r="AA568" s="46" t="n">
        <f aca="false">ROUNDUP(Z568/G568,0)*G568</f>
        <v>630</v>
      </c>
      <c r="AB568" s="46" t="n">
        <f aca="false">SUMIFS(AF$565:AF567,$B$565:$B567,$B568-$D568)</f>
        <v>0</v>
      </c>
      <c r="AC568" s="46" t="n">
        <f aca="false">AI567+AB568</f>
        <v>376</v>
      </c>
      <c r="AD568" s="46" t="n">
        <f aca="false">SUMIFS(AF$565:AF567,$B$565:$B567,"&gt;"&amp;($B568-$D568))</f>
        <v>630</v>
      </c>
      <c r="AE568" s="46" t="n">
        <f aca="false">AC568+AD568</f>
        <v>1006</v>
      </c>
      <c r="AF568" s="47" t="n">
        <f aca="false">IF(AE568&lt;=Y568,AA568,0)</f>
        <v>0</v>
      </c>
      <c r="AG568" s="46" t="n">
        <f aca="false">MIN(AC568,I568)</f>
        <v>147</v>
      </c>
      <c r="AH568" s="46" t="n">
        <f aca="false">I568-AG568</f>
        <v>0</v>
      </c>
      <c r="AI568" s="46" t="n">
        <f aca="false">AC568-AG568</f>
        <v>229</v>
      </c>
      <c r="AJ568" s="46" t="n">
        <f aca="false">IF(AH568&gt;0,1,0)</f>
        <v>0</v>
      </c>
    </row>
    <row r="569" customFormat="false" ht="15" hidden="false" customHeight="false" outlineLevel="0" collapsed="false">
      <c r="A569" s="31" t="str">
        <f aca="false">Inputs!$B$72</f>
        <v>ELE-004</v>
      </c>
      <c r="B569" s="46" t="n">
        <f aca="false">B568+1</f>
        <v>93</v>
      </c>
      <c r="C569" s="46" t="n">
        <f aca="false">MATCH(A569,Inputs!$B$40:$B$87,0)</f>
        <v>33</v>
      </c>
      <c r="D569" s="32" t="n">
        <f aca="false">INDEX(Inputs!$F$40:$F$87,C569)</f>
        <v>6</v>
      </c>
      <c r="E569" s="78" t="n">
        <f aca="false">INDEX(Inputs!$H$40:$H$87,C569)</f>
        <v>14</v>
      </c>
      <c r="F569" s="78" t="n">
        <f aca="false">INDEX(Inputs!$G$40:$G$87,C569)</f>
        <v>90</v>
      </c>
      <c r="G569" s="32" t="n">
        <f aca="false">INDEX(Inputs!$I$40:$I$87,C569)</f>
        <v>10</v>
      </c>
      <c r="H569" s="46" t="n">
        <f aca="false">MATCH(A569,Demand_History!$C:$C,0)+B569-1</f>
        <v>3422</v>
      </c>
      <c r="I569" s="32" t="n">
        <f aca="false">INDEX(Forecast_Walkforward!$C:$C,H569)</f>
        <v>123</v>
      </c>
      <c r="J569" s="79" t="n">
        <f aca="false">INDEX(Forecast_Walkforward!$E:$E,H569)</f>
        <v>119.75</v>
      </c>
      <c r="K569" s="33" t="n">
        <f aca="false">Baseline_Weeks*J569</f>
        <v>479</v>
      </c>
      <c r="L569" s="46" t="n">
        <f aca="false">SUMIFS(P$565:P568,$B$565:$B568,$B569-$D569)</f>
        <v>0</v>
      </c>
      <c r="M569" s="46" t="n">
        <f aca="false">S568+L569</f>
        <v>229</v>
      </c>
      <c r="N569" s="46" t="n">
        <f aca="false">SUMIFS(P$565:P568,$B$565:$B568,"&gt;"&amp;($B569-$D569))</f>
        <v>90</v>
      </c>
      <c r="O569" s="46" t="n">
        <f aca="false">M569+N569</f>
        <v>319</v>
      </c>
      <c r="P569" s="47" t="n">
        <f aca="false">IF(O569&lt;K569,ROUNDUP((K569-O569)/G569,0)*G569,0)</f>
        <v>160</v>
      </c>
      <c r="Q569" s="46" t="n">
        <f aca="false">MIN(M569,I569)</f>
        <v>123</v>
      </c>
      <c r="R569" s="46" t="n">
        <f aca="false">I569-Q569</f>
        <v>0</v>
      </c>
      <c r="S569" s="46" t="n">
        <f aca="false">M569-Q569</f>
        <v>106</v>
      </c>
      <c r="T569" s="46" t="n">
        <f aca="false">IF(R569&gt;0,1,0)</f>
        <v>0</v>
      </c>
      <c r="U569" s="32" t="n">
        <f aca="false">INDEX(Forecast!$AY$7:$AY$54,C569)</f>
        <v>3</v>
      </c>
      <c r="V569" s="33" t="n">
        <f aca="false">CHOOSE(U569,INDEX(Forecast_Walkforward!$D:$D,H569),INDEX(Forecast_Walkforward!$E:$E,H569),INDEX(Forecast_Walkforward!$F:$F,H569),INDEX(Forecast_Walkforward!$G:$G,H569))</f>
        <v>121.375</v>
      </c>
      <c r="W569" s="79" t="n">
        <f aca="false">INDEX(Forecast!$BA$7:$BA$54,C569)</f>
        <v>14.4082144231642</v>
      </c>
      <c r="X569" s="33" t="n">
        <f aca="false">Z_Value*W569*SQRT(D569)</f>
        <v>58.0514464001997</v>
      </c>
      <c r="Y569" s="33" t="n">
        <f aca="false">V569*D569+X569</f>
        <v>786.3014464002</v>
      </c>
      <c r="Z569" s="33" t="n">
        <f aca="false">SQRT((2*V569*Weeks_Per_Year*F569)/(E569*Holding_Rate))</f>
        <v>636.97667595783</v>
      </c>
      <c r="AA569" s="46" t="n">
        <f aca="false">ROUNDUP(Z569/G569,0)*G569</f>
        <v>640</v>
      </c>
      <c r="AB569" s="46" t="n">
        <f aca="false">SUMIFS(AF$565:AF568,$B$565:$B568,$B569-$D569)</f>
        <v>0</v>
      </c>
      <c r="AC569" s="46" t="n">
        <f aca="false">AI568+AB569</f>
        <v>229</v>
      </c>
      <c r="AD569" s="46" t="n">
        <f aca="false">SUMIFS(AF$565:AF568,$B$565:$B568,"&gt;"&amp;($B569-$D569))</f>
        <v>630</v>
      </c>
      <c r="AE569" s="46" t="n">
        <f aca="false">AC569+AD569</f>
        <v>859</v>
      </c>
      <c r="AF569" s="47" t="n">
        <f aca="false">IF(AE569&lt;=Y569,AA569,0)</f>
        <v>0</v>
      </c>
      <c r="AG569" s="46" t="n">
        <f aca="false">MIN(AC569,I569)</f>
        <v>123</v>
      </c>
      <c r="AH569" s="46" t="n">
        <f aca="false">I569-AG569</f>
        <v>0</v>
      </c>
      <c r="AI569" s="46" t="n">
        <f aca="false">AC569-AG569</f>
        <v>106</v>
      </c>
      <c r="AJ569" s="46" t="n">
        <f aca="false">IF(AH569&gt;0,1,0)</f>
        <v>0</v>
      </c>
    </row>
    <row r="570" customFormat="false" ht="15" hidden="false" customHeight="false" outlineLevel="0" collapsed="false">
      <c r="A570" s="31" t="str">
        <f aca="false">Inputs!$B$72</f>
        <v>ELE-004</v>
      </c>
      <c r="B570" s="46" t="n">
        <f aca="false">B569+1</f>
        <v>94</v>
      </c>
      <c r="C570" s="46" t="n">
        <f aca="false">MATCH(A570,Inputs!$B$40:$B$87,0)</f>
        <v>33</v>
      </c>
      <c r="D570" s="32" t="n">
        <f aca="false">INDEX(Inputs!$F$40:$F$87,C570)</f>
        <v>6</v>
      </c>
      <c r="E570" s="78" t="n">
        <f aca="false">INDEX(Inputs!$H$40:$H$87,C570)</f>
        <v>14</v>
      </c>
      <c r="F570" s="78" t="n">
        <f aca="false">INDEX(Inputs!$G$40:$G$87,C570)</f>
        <v>90</v>
      </c>
      <c r="G570" s="32" t="n">
        <f aca="false">INDEX(Inputs!$I$40:$I$87,C570)</f>
        <v>10</v>
      </c>
      <c r="H570" s="46" t="n">
        <f aca="false">MATCH(A570,Demand_History!$C:$C,0)+B570-1</f>
        <v>3423</v>
      </c>
      <c r="I570" s="32" t="n">
        <f aca="false">INDEX(Forecast_Walkforward!$C:$C,H570)</f>
        <v>118</v>
      </c>
      <c r="J570" s="79" t="n">
        <f aca="false">INDEX(Forecast_Walkforward!$E:$E,H570)</f>
        <v>128.75</v>
      </c>
      <c r="K570" s="33" t="n">
        <f aca="false">Baseline_Weeks*J570</f>
        <v>515</v>
      </c>
      <c r="L570" s="46" t="n">
        <f aca="false">SUMIFS(P$565:P569,$B$565:$B569,$B570-$D570)</f>
        <v>0</v>
      </c>
      <c r="M570" s="46" t="n">
        <f aca="false">S569+L570</f>
        <v>106</v>
      </c>
      <c r="N570" s="46" t="n">
        <f aca="false">SUMIFS(P$565:P569,$B$565:$B569,"&gt;"&amp;($B570-$D570))</f>
        <v>250</v>
      </c>
      <c r="O570" s="46" t="n">
        <f aca="false">M570+N570</f>
        <v>356</v>
      </c>
      <c r="P570" s="47" t="n">
        <f aca="false">IF(O570&lt;K570,ROUNDUP((K570-O570)/G570,0)*G570,0)</f>
        <v>160</v>
      </c>
      <c r="Q570" s="46" t="n">
        <f aca="false">MIN(M570,I570)</f>
        <v>106</v>
      </c>
      <c r="R570" s="46" t="n">
        <f aca="false">I570-Q570</f>
        <v>12</v>
      </c>
      <c r="S570" s="46" t="n">
        <f aca="false">M570-Q570</f>
        <v>0</v>
      </c>
      <c r="T570" s="46" t="n">
        <f aca="false">IF(R570&gt;0,1,0)</f>
        <v>1</v>
      </c>
      <c r="U570" s="32" t="n">
        <f aca="false">INDEX(Forecast!$AY$7:$AY$54,C570)</f>
        <v>3</v>
      </c>
      <c r="V570" s="33" t="n">
        <f aca="false">CHOOSE(U570,INDEX(Forecast_Walkforward!$D:$D,H570),INDEX(Forecast_Walkforward!$E:$E,H570),INDEX(Forecast_Walkforward!$F:$F,H570),INDEX(Forecast_Walkforward!$G:$G,H570))</f>
        <v>121.625</v>
      </c>
      <c r="W570" s="79" t="n">
        <f aca="false">INDEX(Forecast!$BA$7:$BA$54,C570)</f>
        <v>14.4082144231642</v>
      </c>
      <c r="X570" s="33" t="n">
        <f aca="false">Z_Value*W570*SQRT(D570)</f>
        <v>58.0514464001997</v>
      </c>
      <c r="Y570" s="33" t="n">
        <f aca="false">V570*D570+X570</f>
        <v>787.8014464002</v>
      </c>
      <c r="Z570" s="33" t="n">
        <f aca="false">SQRT((2*V570*Weeks_Per_Year*F570)/(E570*Holding_Rate))</f>
        <v>637.632339204969</v>
      </c>
      <c r="AA570" s="46" t="n">
        <f aca="false">ROUNDUP(Z570/G570,0)*G570</f>
        <v>640</v>
      </c>
      <c r="AB570" s="46" t="n">
        <f aca="false">SUMIFS(AF$565:AF569,$B$565:$B569,$B570-$D570)</f>
        <v>0</v>
      </c>
      <c r="AC570" s="46" t="n">
        <f aca="false">AI569+AB570</f>
        <v>106</v>
      </c>
      <c r="AD570" s="46" t="n">
        <f aca="false">SUMIFS(AF$565:AF569,$B$565:$B569,"&gt;"&amp;($B570-$D570))</f>
        <v>630</v>
      </c>
      <c r="AE570" s="46" t="n">
        <f aca="false">AC570+AD570</f>
        <v>736</v>
      </c>
      <c r="AF570" s="47" t="n">
        <f aca="false">IF(AE570&lt;=Y570,AA570,0)</f>
        <v>640</v>
      </c>
      <c r="AG570" s="46" t="n">
        <f aca="false">MIN(AC570,I570)</f>
        <v>106</v>
      </c>
      <c r="AH570" s="46" t="n">
        <f aca="false">I570-AG570</f>
        <v>12</v>
      </c>
      <c r="AI570" s="46" t="n">
        <f aca="false">AC570-AG570</f>
        <v>0</v>
      </c>
      <c r="AJ570" s="46" t="n">
        <f aca="false">IF(AH570&gt;0,1,0)</f>
        <v>1</v>
      </c>
    </row>
    <row r="571" customFormat="false" ht="15" hidden="false" customHeight="false" outlineLevel="0" collapsed="false">
      <c r="A571" s="31" t="str">
        <f aca="false">Inputs!$B$72</f>
        <v>ELE-004</v>
      </c>
      <c r="B571" s="46" t="n">
        <f aca="false">B570+1</f>
        <v>95</v>
      </c>
      <c r="C571" s="46" t="n">
        <f aca="false">MATCH(A571,Inputs!$B$40:$B$87,0)</f>
        <v>33</v>
      </c>
      <c r="D571" s="32" t="n">
        <f aca="false">INDEX(Inputs!$F$40:$F$87,C571)</f>
        <v>6</v>
      </c>
      <c r="E571" s="78" t="n">
        <f aca="false">INDEX(Inputs!$H$40:$H$87,C571)</f>
        <v>14</v>
      </c>
      <c r="F571" s="78" t="n">
        <f aca="false">INDEX(Inputs!$G$40:$G$87,C571)</f>
        <v>90</v>
      </c>
      <c r="G571" s="32" t="n">
        <f aca="false">INDEX(Inputs!$I$40:$I$87,C571)</f>
        <v>10</v>
      </c>
      <c r="H571" s="46" t="n">
        <f aca="false">MATCH(A571,Demand_History!$C:$C,0)+B571-1</f>
        <v>3424</v>
      </c>
      <c r="I571" s="32" t="n">
        <f aca="false">INDEX(Forecast_Walkforward!$C:$C,H571)</f>
        <v>99</v>
      </c>
      <c r="J571" s="79" t="n">
        <f aca="false">INDEX(Forecast_Walkforward!$E:$E,H571)</f>
        <v>132.25</v>
      </c>
      <c r="K571" s="33" t="n">
        <f aca="false">Baseline_Weeks*J571</f>
        <v>529</v>
      </c>
      <c r="L571" s="46" t="n">
        <f aca="false">SUMIFS(P$565:P570,$B$565:$B570,$B571-$D571)</f>
        <v>0</v>
      </c>
      <c r="M571" s="46" t="n">
        <f aca="false">S570+L571</f>
        <v>0</v>
      </c>
      <c r="N571" s="46" t="n">
        <f aca="false">SUMIFS(P$565:P570,$B$565:$B570,"&gt;"&amp;($B571-$D571))</f>
        <v>410</v>
      </c>
      <c r="O571" s="46" t="n">
        <f aca="false">M571+N571</f>
        <v>410</v>
      </c>
      <c r="P571" s="47" t="n">
        <f aca="false">IF(O571&lt;K571,ROUNDUP((K571-O571)/G571,0)*G571,0)</f>
        <v>120</v>
      </c>
      <c r="Q571" s="46" t="n">
        <f aca="false">MIN(M571,I571)</f>
        <v>0</v>
      </c>
      <c r="R571" s="46" t="n">
        <f aca="false">I571-Q571</f>
        <v>99</v>
      </c>
      <c r="S571" s="46" t="n">
        <f aca="false">M571-Q571</f>
        <v>0</v>
      </c>
      <c r="T571" s="46" t="n">
        <f aca="false">IF(R571&gt;0,1,0)</f>
        <v>1</v>
      </c>
      <c r="U571" s="32" t="n">
        <f aca="false">INDEX(Forecast!$AY$7:$AY$54,C571)</f>
        <v>3</v>
      </c>
      <c r="V571" s="33" t="n">
        <f aca="false">CHOOSE(U571,INDEX(Forecast_Walkforward!$D:$D,H571),INDEX(Forecast_Walkforward!$E:$E,H571),INDEX(Forecast_Walkforward!$F:$F,H571),INDEX(Forecast_Walkforward!$G:$G,H571))</f>
        <v>120.375</v>
      </c>
      <c r="W571" s="79" t="n">
        <f aca="false">INDEX(Forecast!$BA$7:$BA$54,C571)</f>
        <v>14.4082144231642</v>
      </c>
      <c r="X571" s="33" t="n">
        <f aca="false">Z_Value*W571*SQRT(D571)</f>
        <v>58.0514464001997</v>
      </c>
      <c r="Y571" s="33" t="n">
        <f aca="false">V571*D571+X571</f>
        <v>780.3014464002</v>
      </c>
      <c r="Z571" s="33" t="n">
        <f aca="false">SQRT((2*V571*Weeks_Per_Year*F571)/(E571*Holding_Rate))</f>
        <v>634.347246050165</v>
      </c>
      <c r="AA571" s="46" t="n">
        <f aca="false">ROUNDUP(Z571/G571,0)*G571</f>
        <v>640</v>
      </c>
      <c r="AB571" s="46" t="n">
        <f aca="false">SUMIFS(AF$565:AF570,$B$565:$B570,$B571-$D571)</f>
        <v>630</v>
      </c>
      <c r="AC571" s="46" t="n">
        <f aca="false">AI570+AB571</f>
        <v>630</v>
      </c>
      <c r="AD571" s="46" t="n">
        <f aca="false">SUMIFS(AF$565:AF570,$B$565:$B570,"&gt;"&amp;($B571-$D571))</f>
        <v>640</v>
      </c>
      <c r="AE571" s="46" t="n">
        <f aca="false">AC571+AD571</f>
        <v>1270</v>
      </c>
      <c r="AF571" s="47" t="n">
        <f aca="false">IF(AE571&lt;=Y571,AA571,0)</f>
        <v>0</v>
      </c>
      <c r="AG571" s="46" t="n">
        <f aca="false">MIN(AC571,I571)</f>
        <v>99</v>
      </c>
      <c r="AH571" s="46" t="n">
        <f aca="false">I571-AG571</f>
        <v>0</v>
      </c>
      <c r="AI571" s="46" t="n">
        <f aca="false">AC571-AG571</f>
        <v>531</v>
      </c>
      <c r="AJ571" s="46" t="n">
        <f aca="false">IF(AH571&gt;0,1,0)</f>
        <v>0</v>
      </c>
    </row>
    <row r="572" customFormat="false" ht="15" hidden="false" customHeight="false" outlineLevel="0" collapsed="false">
      <c r="A572" s="31" t="str">
        <f aca="false">Inputs!$B$72</f>
        <v>ELE-004</v>
      </c>
      <c r="B572" s="46" t="n">
        <f aca="false">B571+1</f>
        <v>96</v>
      </c>
      <c r="C572" s="46" t="n">
        <f aca="false">MATCH(A572,Inputs!$B$40:$B$87,0)</f>
        <v>33</v>
      </c>
      <c r="D572" s="32" t="n">
        <f aca="false">INDEX(Inputs!$F$40:$F$87,C572)</f>
        <v>6</v>
      </c>
      <c r="E572" s="78" t="n">
        <f aca="false">INDEX(Inputs!$H$40:$H$87,C572)</f>
        <v>14</v>
      </c>
      <c r="F572" s="78" t="n">
        <f aca="false">INDEX(Inputs!$G$40:$G$87,C572)</f>
        <v>90</v>
      </c>
      <c r="G572" s="32" t="n">
        <f aca="false">INDEX(Inputs!$I$40:$I$87,C572)</f>
        <v>10</v>
      </c>
      <c r="H572" s="46" t="n">
        <f aca="false">MATCH(A572,Demand_History!$C:$C,0)+B572-1</f>
        <v>3425</v>
      </c>
      <c r="I572" s="32" t="n">
        <f aca="false">INDEX(Forecast_Walkforward!$C:$C,H572)</f>
        <v>127</v>
      </c>
      <c r="J572" s="79" t="n">
        <f aca="false">INDEX(Forecast_Walkforward!$E:$E,H572)</f>
        <v>121.75</v>
      </c>
      <c r="K572" s="33" t="n">
        <f aca="false">Baseline_Weeks*J572</f>
        <v>487</v>
      </c>
      <c r="L572" s="46" t="n">
        <f aca="false">SUMIFS(P$565:P571,$B$565:$B571,$B572-$D572)</f>
        <v>0</v>
      </c>
      <c r="M572" s="46" t="n">
        <f aca="false">S571+L572</f>
        <v>0</v>
      </c>
      <c r="N572" s="46" t="n">
        <f aca="false">SUMIFS(P$565:P571,$B$565:$B571,"&gt;"&amp;($B572-$D572))</f>
        <v>530</v>
      </c>
      <c r="O572" s="46" t="n">
        <f aca="false">M572+N572</f>
        <v>530</v>
      </c>
      <c r="P572" s="47" t="n">
        <f aca="false">IF(O572&lt;K572,ROUNDUP((K572-O572)/G572,0)*G572,0)</f>
        <v>0</v>
      </c>
      <c r="Q572" s="46" t="n">
        <f aca="false">MIN(M572,I572)</f>
        <v>0</v>
      </c>
      <c r="R572" s="46" t="n">
        <f aca="false">I572-Q572</f>
        <v>127</v>
      </c>
      <c r="S572" s="46" t="n">
        <f aca="false">M572-Q572</f>
        <v>0</v>
      </c>
      <c r="T572" s="46" t="n">
        <f aca="false">IF(R572&gt;0,1,0)</f>
        <v>1</v>
      </c>
      <c r="U572" s="32" t="n">
        <f aca="false">INDEX(Forecast!$AY$7:$AY$54,C572)</f>
        <v>3</v>
      </c>
      <c r="V572" s="33" t="n">
        <f aca="false">CHOOSE(U572,INDEX(Forecast_Walkforward!$D:$D,H572),INDEX(Forecast_Walkforward!$E:$E,H572),INDEX(Forecast_Walkforward!$F:$F,H572),INDEX(Forecast_Walkforward!$G:$G,H572))</f>
        <v>118.5</v>
      </c>
      <c r="W572" s="79" t="n">
        <f aca="false">INDEX(Forecast!$BA$7:$BA$54,C572)</f>
        <v>14.4082144231642</v>
      </c>
      <c r="X572" s="33" t="n">
        <f aca="false">Z_Value*W572*SQRT(D572)</f>
        <v>58.0514464001997</v>
      </c>
      <c r="Y572" s="33" t="n">
        <f aca="false">V572*D572+X572</f>
        <v>769.0514464002</v>
      </c>
      <c r="Z572" s="33" t="n">
        <f aca="false">SQRT((2*V572*Weeks_Per_Year*F572)/(E572*Holding_Rate))</f>
        <v>629.387457317487</v>
      </c>
      <c r="AA572" s="46" t="n">
        <f aca="false">ROUNDUP(Z572/G572,0)*G572</f>
        <v>630</v>
      </c>
      <c r="AB572" s="46" t="n">
        <f aca="false">SUMIFS(AF$565:AF571,$B$565:$B571,$B572-$D572)</f>
        <v>0</v>
      </c>
      <c r="AC572" s="46" t="n">
        <f aca="false">AI571+AB572</f>
        <v>531</v>
      </c>
      <c r="AD572" s="46" t="n">
        <f aca="false">SUMIFS(AF$565:AF571,$B$565:$B571,"&gt;"&amp;($B572-$D572))</f>
        <v>640</v>
      </c>
      <c r="AE572" s="46" t="n">
        <f aca="false">AC572+AD572</f>
        <v>1171</v>
      </c>
      <c r="AF572" s="47" t="n">
        <f aca="false">IF(AE572&lt;=Y572,AA572,0)</f>
        <v>0</v>
      </c>
      <c r="AG572" s="46" t="n">
        <f aca="false">MIN(AC572,I572)</f>
        <v>127</v>
      </c>
      <c r="AH572" s="46" t="n">
        <f aca="false">I572-AG572</f>
        <v>0</v>
      </c>
      <c r="AI572" s="46" t="n">
        <f aca="false">AC572-AG572</f>
        <v>404</v>
      </c>
      <c r="AJ572" s="46" t="n">
        <f aca="false">IF(AH572&gt;0,1,0)</f>
        <v>0</v>
      </c>
    </row>
    <row r="573" customFormat="false" ht="15" hidden="false" customHeight="false" outlineLevel="0" collapsed="false">
      <c r="A573" s="31" t="str">
        <f aca="false">Inputs!$B$72</f>
        <v>ELE-004</v>
      </c>
      <c r="B573" s="46" t="n">
        <f aca="false">B572+1</f>
        <v>97</v>
      </c>
      <c r="C573" s="46" t="n">
        <f aca="false">MATCH(A573,Inputs!$B$40:$B$87,0)</f>
        <v>33</v>
      </c>
      <c r="D573" s="32" t="n">
        <f aca="false">INDEX(Inputs!$F$40:$F$87,C573)</f>
        <v>6</v>
      </c>
      <c r="E573" s="78" t="n">
        <f aca="false">INDEX(Inputs!$H$40:$H$87,C573)</f>
        <v>14</v>
      </c>
      <c r="F573" s="78" t="n">
        <f aca="false">INDEX(Inputs!$G$40:$G$87,C573)</f>
        <v>90</v>
      </c>
      <c r="G573" s="32" t="n">
        <f aca="false">INDEX(Inputs!$I$40:$I$87,C573)</f>
        <v>10</v>
      </c>
      <c r="H573" s="46" t="n">
        <f aca="false">MATCH(A573,Demand_History!$C:$C,0)+B573-1</f>
        <v>3426</v>
      </c>
      <c r="I573" s="32" t="n">
        <f aca="false">INDEX(Forecast_Walkforward!$C:$C,H573)</f>
        <v>135</v>
      </c>
      <c r="J573" s="79" t="n">
        <f aca="false">INDEX(Forecast_Walkforward!$E:$E,H573)</f>
        <v>116.75</v>
      </c>
      <c r="K573" s="33" t="n">
        <f aca="false">Baseline_Weeks*J573</f>
        <v>467</v>
      </c>
      <c r="L573" s="46" t="n">
        <f aca="false">SUMIFS(P$565:P572,$B$565:$B572,$B573-$D573)</f>
        <v>0</v>
      </c>
      <c r="M573" s="46" t="n">
        <f aca="false">S572+L573</f>
        <v>0</v>
      </c>
      <c r="N573" s="46" t="n">
        <f aca="false">SUMIFS(P$565:P572,$B$565:$B572,"&gt;"&amp;($B573-$D573))</f>
        <v>530</v>
      </c>
      <c r="O573" s="46" t="n">
        <f aca="false">M573+N573</f>
        <v>530</v>
      </c>
      <c r="P573" s="47" t="n">
        <f aca="false">IF(O573&lt;K573,ROUNDUP((K573-O573)/G573,0)*G573,0)</f>
        <v>0</v>
      </c>
      <c r="Q573" s="46" t="n">
        <f aca="false">MIN(M573,I573)</f>
        <v>0</v>
      </c>
      <c r="R573" s="46" t="n">
        <f aca="false">I573-Q573</f>
        <v>135</v>
      </c>
      <c r="S573" s="46" t="n">
        <f aca="false">M573-Q573</f>
        <v>0</v>
      </c>
      <c r="T573" s="46" t="n">
        <f aca="false">IF(R573&gt;0,1,0)</f>
        <v>1</v>
      </c>
      <c r="U573" s="32" t="n">
        <f aca="false">INDEX(Forecast!$AY$7:$AY$54,C573)</f>
        <v>3</v>
      </c>
      <c r="V573" s="33" t="n">
        <f aca="false">CHOOSE(U573,INDEX(Forecast_Walkforward!$D:$D,H573),INDEX(Forecast_Walkforward!$E:$E,H573),INDEX(Forecast_Walkforward!$F:$F,H573),INDEX(Forecast_Walkforward!$G:$G,H573))</f>
        <v>118.25</v>
      </c>
      <c r="W573" s="79" t="n">
        <f aca="false">INDEX(Forecast!$BA$7:$BA$54,C573)</f>
        <v>14.4082144231642</v>
      </c>
      <c r="X573" s="33" t="n">
        <f aca="false">Z_Value*W573*SQRT(D573)</f>
        <v>58.0514464001997</v>
      </c>
      <c r="Y573" s="33" t="n">
        <f aca="false">V573*D573+X573</f>
        <v>767.5514464002</v>
      </c>
      <c r="Z573" s="33" t="n">
        <f aca="false">SQRT((2*V573*Weeks_Per_Year*F573)/(E573*Holding_Rate))</f>
        <v>628.723195963738</v>
      </c>
      <c r="AA573" s="46" t="n">
        <f aca="false">ROUNDUP(Z573/G573,0)*G573</f>
        <v>630</v>
      </c>
      <c r="AB573" s="46" t="n">
        <f aca="false">SUMIFS(AF$565:AF572,$B$565:$B572,$B573-$D573)</f>
        <v>0</v>
      </c>
      <c r="AC573" s="46" t="n">
        <f aca="false">AI572+AB573</f>
        <v>404</v>
      </c>
      <c r="AD573" s="46" t="n">
        <f aca="false">SUMIFS(AF$565:AF572,$B$565:$B572,"&gt;"&amp;($B573-$D573))</f>
        <v>640</v>
      </c>
      <c r="AE573" s="46" t="n">
        <f aca="false">AC573+AD573</f>
        <v>1044</v>
      </c>
      <c r="AF573" s="47" t="n">
        <f aca="false">IF(AE573&lt;=Y573,AA573,0)</f>
        <v>0</v>
      </c>
      <c r="AG573" s="46" t="n">
        <f aca="false">MIN(AC573,I573)</f>
        <v>135</v>
      </c>
      <c r="AH573" s="46" t="n">
        <f aca="false">I573-AG573</f>
        <v>0</v>
      </c>
      <c r="AI573" s="46" t="n">
        <f aca="false">AC573-AG573</f>
        <v>269</v>
      </c>
      <c r="AJ573" s="46" t="n">
        <f aca="false">IF(AH573&gt;0,1,0)</f>
        <v>0</v>
      </c>
    </row>
    <row r="574" customFormat="false" ht="15" hidden="false" customHeight="false" outlineLevel="0" collapsed="false">
      <c r="A574" s="31" t="str">
        <f aca="false">Inputs!$B$72</f>
        <v>ELE-004</v>
      </c>
      <c r="B574" s="46" t="n">
        <f aca="false">B573+1</f>
        <v>98</v>
      </c>
      <c r="C574" s="46" t="n">
        <f aca="false">MATCH(A574,Inputs!$B$40:$B$87,0)</f>
        <v>33</v>
      </c>
      <c r="D574" s="32" t="n">
        <f aca="false">INDEX(Inputs!$F$40:$F$87,C574)</f>
        <v>6</v>
      </c>
      <c r="E574" s="78" t="n">
        <f aca="false">INDEX(Inputs!$H$40:$H$87,C574)</f>
        <v>14</v>
      </c>
      <c r="F574" s="78" t="n">
        <f aca="false">INDEX(Inputs!$G$40:$G$87,C574)</f>
        <v>90</v>
      </c>
      <c r="G574" s="32" t="n">
        <f aca="false">INDEX(Inputs!$I$40:$I$87,C574)</f>
        <v>10</v>
      </c>
      <c r="H574" s="46" t="n">
        <f aca="false">MATCH(A574,Demand_History!$C:$C,0)+B574-1</f>
        <v>3427</v>
      </c>
      <c r="I574" s="32" t="n">
        <f aca="false">INDEX(Forecast_Walkforward!$C:$C,H574)</f>
        <v>97</v>
      </c>
      <c r="J574" s="79" t="n">
        <f aca="false">INDEX(Forecast_Walkforward!$E:$E,H574)</f>
        <v>119.75</v>
      </c>
      <c r="K574" s="33" t="n">
        <f aca="false">Baseline_Weeks*J574</f>
        <v>479</v>
      </c>
      <c r="L574" s="46" t="n">
        <f aca="false">SUMIFS(P$565:P573,$B$565:$B573,$B574-$D574)</f>
        <v>90</v>
      </c>
      <c r="M574" s="46" t="n">
        <f aca="false">S573+L574</f>
        <v>90</v>
      </c>
      <c r="N574" s="46" t="n">
        <f aca="false">SUMIFS(P$565:P573,$B$565:$B573,"&gt;"&amp;($B574-$D574))</f>
        <v>440</v>
      </c>
      <c r="O574" s="46" t="n">
        <f aca="false">M574+N574</f>
        <v>530</v>
      </c>
      <c r="P574" s="47" t="n">
        <f aca="false">IF(O574&lt;K574,ROUNDUP((K574-O574)/G574,0)*G574,0)</f>
        <v>0</v>
      </c>
      <c r="Q574" s="46" t="n">
        <f aca="false">MIN(M574,I574)</f>
        <v>90</v>
      </c>
      <c r="R574" s="46" t="n">
        <f aca="false">I574-Q574</f>
        <v>7</v>
      </c>
      <c r="S574" s="46" t="n">
        <f aca="false">M574-Q574</f>
        <v>0</v>
      </c>
      <c r="T574" s="46" t="n">
        <f aca="false">IF(R574&gt;0,1,0)</f>
        <v>1</v>
      </c>
      <c r="U574" s="32" t="n">
        <f aca="false">INDEX(Forecast!$AY$7:$AY$54,C574)</f>
        <v>3</v>
      </c>
      <c r="V574" s="33" t="n">
        <f aca="false">CHOOSE(U574,INDEX(Forecast_Walkforward!$D:$D,H574),INDEX(Forecast_Walkforward!$E:$E,H574),INDEX(Forecast_Walkforward!$F:$F,H574),INDEX(Forecast_Walkforward!$G:$G,H574))</f>
        <v>124.25</v>
      </c>
      <c r="W574" s="79" t="n">
        <f aca="false">INDEX(Forecast!$BA$7:$BA$54,C574)</f>
        <v>14.4082144231642</v>
      </c>
      <c r="X574" s="33" t="n">
        <f aca="false">Z_Value*W574*SQRT(D574)</f>
        <v>58.0514464001997</v>
      </c>
      <c r="Y574" s="33" t="n">
        <f aca="false">V574*D574+X574</f>
        <v>803.5514464002</v>
      </c>
      <c r="Z574" s="33" t="n">
        <f aca="false">SQRT((2*V574*Weeks_Per_Year*F574)/(E574*Holding_Rate))</f>
        <v>644.476531768225</v>
      </c>
      <c r="AA574" s="46" t="n">
        <f aca="false">ROUNDUP(Z574/G574,0)*G574</f>
        <v>650</v>
      </c>
      <c r="AB574" s="46" t="n">
        <f aca="false">SUMIFS(AF$565:AF573,$B$565:$B573,$B574-$D574)</f>
        <v>0</v>
      </c>
      <c r="AC574" s="46" t="n">
        <f aca="false">AI573+AB574</f>
        <v>269</v>
      </c>
      <c r="AD574" s="46" t="n">
        <f aca="false">SUMIFS(AF$565:AF573,$B$565:$B573,"&gt;"&amp;($B574-$D574))</f>
        <v>640</v>
      </c>
      <c r="AE574" s="46" t="n">
        <f aca="false">AC574+AD574</f>
        <v>909</v>
      </c>
      <c r="AF574" s="47" t="n">
        <f aca="false">IF(AE574&lt;=Y574,AA574,0)</f>
        <v>0</v>
      </c>
      <c r="AG574" s="46" t="n">
        <f aca="false">MIN(AC574,I574)</f>
        <v>97</v>
      </c>
      <c r="AH574" s="46" t="n">
        <f aca="false">I574-AG574</f>
        <v>0</v>
      </c>
      <c r="AI574" s="46" t="n">
        <f aca="false">AC574-AG574</f>
        <v>172</v>
      </c>
      <c r="AJ574" s="46" t="n">
        <f aca="false">IF(AH574&gt;0,1,0)</f>
        <v>0</v>
      </c>
    </row>
    <row r="575" customFormat="false" ht="15" hidden="false" customHeight="false" outlineLevel="0" collapsed="false">
      <c r="A575" s="31" t="str">
        <f aca="false">Inputs!$B$72</f>
        <v>ELE-004</v>
      </c>
      <c r="B575" s="46" t="n">
        <f aca="false">B574+1</f>
        <v>99</v>
      </c>
      <c r="C575" s="46" t="n">
        <f aca="false">MATCH(A575,Inputs!$B$40:$B$87,0)</f>
        <v>33</v>
      </c>
      <c r="D575" s="32" t="n">
        <f aca="false">INDEX(Inputs!$F$40:$F$87,C575)</f>
        <v>6</v>
      </c>
      <c r="E575" s="78" t="n">
        <f aca="false">INDEX(Inputs!$H$40:$H$87,C575)</f>
        <v>14</v>
      </c>
      <c r="F575" s="78" t="n">
        <f aca="false">INDEX(Inputs!$G$40:$G$87,C575)</f>
        <v>90</v>
      </c>
      <c r="G575" s="32" t="n">
        <f aca="false">INDEX(Inputs!$I$40:$I$87,C575)</f>
        <v>10</v>
      </c>
      <c r="H575" s="46" t="n">
        <f aca="false">MATCH(A575,Demand_History!$C:$C,0)+B575-1</f>
        <v>3428</v>
      </c>
      <c r="I575" s="32" t="n">
        <f aca="false">INDEX(Forecast_Walkforward!$C:$C,H575)</f>
        <v>132</v>
      </c>
      <c r="J575" s="79" t="n">
        <f aca="false">INDEX(Forecast_Walkforward!$E:$E,H575)</f>
        <v>114.5</v>
      </c>
      <c r="K575" s="33" t="n">
        <f aca="false">Baseline_Weeks*J575</f>
        <v>458</v>
      </c>
      <c r="L575" s="46" t="n">
        <f aca="false">SUMIFS(P$565:P574,$B$565:$B574,$B575-$D575)</f>
        <v>160</v>
      </c>
      <c r="M575" s="46" t="n">
        <f aca="false">S574+L575</f>
        <v>160</v>
      </c>
      <c r="N575" s="46" t="n">
        <f aca="false">SUMIFS(P$565:P574,$B$565:$B574,"&gt;"&amp;($B575-$D575))</f>
        <v>280</v>
      </c>
      <c r="O575" s="46" t="n">
        <f aca="false">M575+N575</f>
        <v>440</v>
      </c>
      <c r="P575" s="47" t="n">
        <f aca="false">IF(O575&lt;K575,ROUNDUP((K575-O575)/G575,0)*G575,0)</f>
        <v>20</v>
      </c>
      <c r="Q575" s="46" t="n">
        <f aca="false">MIN(M575,I575)</f>
        <v>132</v>
      </c>
      <c r="R575" s="46" t="n">
        <f aca="false">I575-Q575</f>
        <v>0</v>
      </c>
      <c r="S575" s="46" t="n">
        <f aca="false">M575-Q575</f>
        <v>28</v>
      </c>
      <c r="T575" s="46" t="n">
        <f aca="false">IF(R575&gt;0,1,0)</f>
        <v>0</v>
      </c>
      <c r="U575" s="32" t="n">
        <f aca="false">INDEX(Forecast!$AY$7:$AY$54,C575)</f>
        <v>3</v>
      </c>
      <c r="V575" s="33" t="n">
        <f aca="false">CHOOSE(U575,INDEX(Forecast_Walkforward!$D:$D,H575),INDEX(Forecast_Walkforward!$E:$E,H575),INDEX(Forecast_Walkforward!$F:$F,H575),INDEX(Forecast_Walkforward!$G:$G,H575))</f>
        <v>123.375</v>
      </c>
      <c r="W575" s="79" t="n">
        <f aca="false">INDEX(Forecast!$BA$7:$BA$54,C575)</f>
        <v>14.4082144231642</v>
      </c>
      <c r="X575" s="33" t="n">
        <f aca="false">Z_Value*W575*SQRT(D575)</f>
        <v>58.0514464001997</v>
      </c>
      <c r="Y575" s="33" t="n">
        <f aca="false">V575*D575+X575</f>
        <v>798.3014464002</v>
      </c>
      <c r="Z575" s="33" t="n">
        <f aca="false">SQRT((2*V575*Weeks_Per_Year*F575)/(E575*Holding_Rate))</f>
        <v>642.203238858229</v>
      </c>
      <c r="AA575" s="46" t="n">
        <f aca="false">ROUNDUP(Z575/G575,0)*G575</f>
        <v>650</v>
      </c>
      <c r="AB575" s="46" t="n">
        <f aca="false">SUMIFS(AF$565:AF574,$B$565:$B574,$B575-$D575)</f>
        <v>0</v>
      </c>
      <c r="AC575" s="46" t="n">
        <f aca="false">AI574+AB575</f>
        <v>172</v>
      </c>
      <c r="AD575" s="46" t="n">
        <f aca="false">SUMIFS(AF$565:AF574,$B$565:$B574,"&gt;"&amp;($B575-$D575))</f>
        <v>640</v>
      </c>
      <c r="AE575" s="46" t="n">
        <f aca="false">AC575+AD575</f>
        <v>812</v>
      </c>
      <c r="AF575" s="47" t="n">
        <f aca="false">IF(AE575&lt;=Y575,AA575,0)</f>
        <v>0</v>
      </c>
      <c r="AG575" s="46" t="n">
        <f aca="false">MIN(AC575,I575)</f>
        <v>132</v>
      </c>
      <c r="AH575" s="46" t="n">
        <f aca="false">I575-AG575</f>
        <v>0</v>
      </c>
      <c r="AI575" s="46" t="n">
        <f aca="false">AC575-AG575</f>
        <v>40</v>
      </c>
      <c r="AJ575" s="46" t="n">
        <f aca="false">IF(AH575&gt;0,1,0)</f>
        <v>0</v>
      </c>
    </row>
    <row r="576" customFormat="false" ht="15" hidden="false" customHeight="false" outlineLevel="0" collapsed="false">
      <c r="A576" s="31" t="str">
        <f aca="false">Inputs!$B$72</f>
        <v>ELE-004</v>
      </c>
      <c r="B576" s="46" t="n">
        <f aca="false">B575+1</f>
        <v>100</v>
      </c>
      <c r="C576" s="46" t="n">
        <f aca="false">MATCH(A576,Inputs!$B$40:$B$87,0)</f>
        <v>33</v>
      </c>
      <c r="D576" s="32" t="n">
        <f aca="false">INDEX(Inputs!$F$40:$F$87,C576)</f>
        <v>6</v>
      </c>
      <c r="E576" s="78" t="n">
        <f aca="false">INDEX(Inputs!$H$40:$H$87,C576)</f>
        <v>14</v>
      </c>
      <c r="F576" s="78" t="n">
        <f aca="false">INDEX(Inputs!$G$40:$G$87,C576)</f>
        <v>90</v>
      </c>
      <c r="G576" s="32" t="n">
        <f aca="false">INDEX(Inputs!$I$40:$I$87,C576)</f>
        <v>10</v>
      </c>
      <c r="H576" s="46" t="n">
        <f aca="false">MATCH(A576,Demand_History!$C:$C,0)+B576-1</f>
        <v>3429</v>
      </c>
      <c r="I576" s="32" t="n">
        <f aca="false">INDEX(Forecast_Walkforward!$C:$C,H576)</f>
        <v>132</v>
      </c>
      <c r="J576" s="79" t="n">
        <f aca="false">INDEX(Forecast_Walkforward!$E:$E,H576)</f>
        <v>122.75</v>
      </c>
      <c r="K576" s="33" t="n">
        <f aca="false">Baseline_Weeks*J576</f>
        <v>491</v>
      </c>
      <c r="L576" s="46" t="n">
        <f aca="false">SUMIFS(P$565:P575,$B$565:$B575,$B576-$D576)</f>
        <v>160</v>
      </c>
      <c r="M576" s="46" t="n">
        <f aca="false">S575+L576</f>
        <v>188</v>
      </c>
      <c r="N576" s="46" t="n">
        <f aca="false">SUMIFS(P$565:P575,$B$565:$B575,"&gt;"&amp;($B576-$D576))</f>
        <v>140</v>
      </c>
      <c r="O576" s="46" t="n">
        <f aca="false">M576+N576</f>
        <v>328</v>
      </c>
      <c r="P576" s="47" t="n">
        <f aca="false">IF(O576&lt;K576,ROUNDUP((K576-O576)/G576,0)*G576,0)</f>
        <v>170</v>
      </c>
      <c r="Q576" s="46" t="n">
        <f aca="false">MIN(M576,I576)</f>
        <v>132</v>
      </c>
      <c r="R576" s="46" t="n">
        <f aca="false">I576-Q576</f>
        <v>0</v>
      </c>
      <c r="S576" s="46" t="n">
        <f aca="false">M576-Q576</f>
        <v>56</v>
      </c>
      <c r="T576" s="46" t="n">
        <f aca="false">IF(R576&gt;0,1,0)</f>
        <v>0</v>
      </c>
      <c r="U576" s="32" t="n">
        <f aca="false">INDEX(Forecast!$AY$7:$AY$54,C576)</f>
        <v>3</v>
      </c>
      <c r="V576" s="33" t="n">
        <f aca="false">CHOOSE(U576,INDEX(Forecast_Walkforward!$D:$D,H576),INDEX(Forecast_Walkforward!$E:$E,H576),INDEX(Forecast_Walkforward!$F:$F,H576),INDEX(Forecast_Walkforward!$G:$G,H576))</f>
        <v>122.25</v>
      </c>
      <c r="W576" s="79" t="n">
        <f aca="false">INDEX(Forecast!$BA$7:$BA$54,C576)</f>
        <v>14.4082144231642</v>
      </c>
      <c r="X576" s="33" t="n">
        <f aca="false">Z_Value*W576*SQRT(D576)</f>
        <v>58.0514464001997</v>
      </c>
      <c r="Y576" s="33" t="n">
        <f aca="false">V576*D576+X576</f>
        <v>791.5514464002</v>
      </c>
      <c r="Z576" s="33" t="n">
        <f aca="false">SQRT((2*V576*Weeks_Per_Year*F576)/(E576*Holding_Rate))</f>
        <v>639.268555236597</v>
      </c>
      <c r="AA576" s="46" t="n">
        <f aca="false">ROUNDUP(Z576/G576,0)*G576</f>
        <v>640</v>
      </c>
      <c r="AB576" s="46" t="n">
        <f aca="false">SUMIFS(AF$565:AF575,$B$565:$B575,$B576-$D576)</f>
        <v>640</v>
      </c>
      <c r="AC576" s="46" t="n">
        <f aca="false">AI575+AB576</f>
        <v>680</v>
      </c>
      <c r="AD576" s="46" t="n">
        <f aca="false">SUMIFS(AF$565:AF575,$B$565:$B575,"&gt;"&amp;($B576-$D576))</f>
        <v>0</v>
      </c>
      <c r="AE576" s="46" t="n">
        <f aca="false">AC576+AD576</f>
        <v>680</v>
      </c>
      <c r="AF576" s="47" t="n">
        <f aca="false">IF(AE576&lt;=Y576,AA576,0)</f>
        <v>640</v>
      </c>
      <c r="AG576" s="46" t="n">
        <f aca="false">MIN(AC576,I576)</f>
        <v>132</v>
      </c>
      <c r="AH576" s="46" t="n">
        <f aca="false">I576-AG576</f>
        <v>0</v>
      </c>
      <c r="AI576" s="46" t="n">
        <f aca="false">AC576-AG576</f>
        <v>548</v>
      </c>
      <c r="AJ576" s="46" t="n">
        <f aca="false">IF(AH576&gt;0,1,0)</f>
        <v>0</v>
      </c>
    </row>
    <row r="577" customFormat="false" ht="15" hidden="false" customHeight="false" outlineLevel="0" collapsed="false">
      <c r="A577" s="31" t="str">
        <f aca="false">Inputs!$B$72</f>
        <v>ELE-004</v>
      </c>
      <c r="B577" s="46" t="n">
        <f aca="false">B576+1</f>
        <v>101</v>
      </c>
      <c r="C577" s="46" t="n">
        <f aca="false">MATCH(A577,Inputs!$B$40:$B$87,0)</f>
        <v>33</v>
      </c>
      <c r="D577" s="32" t="n">
        <f aca="false">INDEX(Inputs!$F$40:$F$87,C577)</f>
        <v>6</v>
      </c>
      <c r="E577" s="78" t="n">
        <f aca="false">INDEX(Inputs!$H$40:$H$87,C577)</f>
        <v>14</v>
      </c>
      <c r="F577" s="78" t="n">
        <f aca="false">INDEX(Inputs!$G$40:$G$87,C577)</f>
        <v>90</v>
      </c>
      <c r="G577" s="32" t="n">
        <f aca="false">INDEX(Inputs!$I$40:$I$87,C577)</f>
        <v>10</v>
      </c>
      <c r="H577" s="46" t="n">
        <f aca="false">MATCH(A577,Demand_History!$C:$C,0)+B577-1</f>
        <v>3430</v>
      </c>
      <c r="I577" s="32" t="n">
        <f aca="false">INDEX(Forecast_Walkforward!$C:$C,H577)</f>
        <v>132</v>
      </c>
      <c r="J577" s="79" t="n">
        <f aca="false">INDEX(Forecast_Walkforward!$E:$E,H577)</f>
        <v>124</v>
      </c>
      <c r="K577" s="33" t="n">
        <f aca="false">Baseline_Weeks*J577</f>
        <v>496</v>
      </c>
      <c r="L577" s="46" t="n">
        <f aca="false">SUMIFS(P$565:P576,$B$565:$B576,$B577-$D577)</f>
        <v>120</v>
      </c>
      <c r="M577" s="46" t="n">
        <f aca="false">S576+L577</f>
        <v>176</v>
      </c>
      <c r="N577" s="46" t="n">
        <f aca="false">SUMIFS(P$565:P576,$B$565:$B576,"&gt;"&amp;($B577-$D577))</f>
        <v>190</v>
      </c>
      <c r="O577" s="46" t="n">
        <f aca="false">M577+N577</f>
        <v>366</v>
      </c>
      <c r="P577" s="47" t="n">
        <f aca="false">IF(O577&lt;K577,ROUNDUP((K577-O577)/G577,0)*G577,0)</f>
        <v>130</v>
      </c>
      <c r="Q577" s="46" t="n">
        <f aca="false">MIN(M577,I577)</f>
        <v>132</v>
      </c>
      <c r="R577" s="46" t="n">
        <f aca="false">I577-Q577</f>
        <v>0</v>
      </c>
      <c r="S577" s="46" t="n">
        <f aca="false">M577-Q577</f>
        <v>44</v>
      </c>
      <c r="T577" s="46" t="n">
        <f aca="false">IF(R577&gt;0,1,0)</f>
        <v>0</v>
      </c>
      <c r="U577" s="32" t="n">
        <f aca="false">INDEX(Forecast!$AY$7:$AY$54,C577)</f>
        <v>3</v>
      </c>
      <c r="V577" s="33" t="n">
        <f aca="false">CHOOSE(U577,INDEX(Forecast_Walkforward!$D:$D,H577),INDEX(Forecast_Walkforward!$E:$E,H577),INDEX(Forecast_Walkforward!$F:$F,H577),INDEX(Forecast_Walkforward!$G:$G,H577))</f>
        <v>120.375</v>
      </c>
      <c r="W577" s="79" t="n">
        <f aca="false">INDEX(Forecast!$BA$7:$BA$54,C577)</f>
        <v>14.4082144231642</v>
      </c>
      <c r="X577" s="33" t="n">
        <f aca="false">Z_Value*W577*SQRT(D577)</f>
        <v>58.0514464001997</v>
      </c>
      <c r="Y577" s="33" t="n">
        <f aca="false">V577*D577+X577</f>
        <v>780.3014464002</v>
      </c>
      <c r="Z577" s="33" t="n">
        <f aca="false">SQRT((2*V577*Weeks_Per_Year*F577)/(E577*Holding_Rate))</f>
        <v>634.347246050165</v>
      </c>
      <c r="AA577" s="46" t="n">
        <f aca="false">ROUNDUP(Z577/G577,0)*G577</f>
        <v>640</v>
      </c>
      <c r="AB577" s="46" t="n">
        <f aca="false">SUMIFS(AF$565:AF576,$B$565:$B576,$B577-$D577)</f>
        <v>0</v>
      </c>
      <c r="AC577" s="46" t="n">
        <f aca="false">AI576+AB577</f>
        <v>548</v>
      </c>
      <c r="AD577" s="46" t="n">
        <f aca="false">SUMIFS(AF$565:AF576,$B$565:$B576,"&gt;"&amp;($B577-$D577))</f>
        <v>640</v>
      </c>
      <c r="AE577" s="46" t="n">
        <f aca="false">AC577+AD577</f>
        <v>1188</v>
      </c>
      <c r="AF577" s="47" t="n">
        <f aca="false">IF(AE577&lt;=Y577,AA577,0)</f>
        <v>0</v>
      </c>
      <c r="AG577" s="46" t="n">
        <f aca="false">MIN(AC577,I577)</f>
        <v>132</v>
      </c>
      <c r="AH577" s="46" t="n">
        <f aca="false">I577-AG577</f>
        <v>0</v>
      </c>
      <c r="AI577" s="46" t="n">
        <f aca="false">AC577-AG577</f>
        <v>416</v>
      </c>
      <c r="AJ577" s="46" t="n">
        <f aca="false">IF(AH577&gt;0,1,0)</f>
        <v>0</v>
      </c>
    </row>
    <row r="578" customFormat="false" ht="15" hidden="false" customHeight="false" outlineLevel="0" collapsed="false">
      <c r="A578" s="31" t="str">
        <f aca="false">Inputs!$B$72</f>
        <v>ELE-004</v>
      </c>
      <c r="B578" s="46" t="n">
        <f aca="false">B577+1</f>
        <v>102</v>
      </c>
      <c r="C578" s="46" t="n">
        <f aca="false">MATCH(A578,Inputs!$B$40:$B$87,0)</f>
        <v>33</v>
      </c>
      <c r="D578" s="32" t="n">
        <f aca="false">INDEX(Inputs!$F$40:$F$87,C578)</f>
        <v>6</v>
      </c>
      <c r="E578" s="78" t="n">
        <f aca="false">INDEX(Inputs!$H$40:$H$87,C578)</f>
        <v>14</v>
      </c>
      <c r="F578" s="78" t="n">
        <f aca="false">INDEX(Inputs!$G$40:$G$87,C578)</f>
        <v>90</v>
      </c>
      <c r="G578" s="32" t="n">
        <f aca="false">INDEX(Inputs!$I$40:$I$87,C578)</f>
        <v>10</v>
      </c>
      <c r="H578" s="46" t="n">
        <f aca="false">MATCH(A578,Demand_History!$C:$C,0)+B578-1</f>
        <v>3431</v>
      </c>
      <c r="I578" s="32" t="n">
        <f aca="false">INDEX(Forecast_Walkforward!$C:$C,H578)</f>
        <v>105</v>
      </c>
      <c r="J578" s="79" t="n">
        <f aca="false">INDEX(Forecast_Walkforward!$E:$E,H578)</f>
        <v>123.25</v>
      </c>
      <c r="K578" s="33" t="n">
        <f aca="false">Baseline_Weeks*J578</f>
        <v>493</v>
      </c>
      <c r="L578" s="46" t="n">
        <f aca="false">SUMIFS(P$565:P577,$B$565:$B577,$B578-$D578)</f>
        <v>0</v>
      </c>
      <c r="M578" s="46" t="n">
        <f aca="false">S577+L578</f>
        <v>44</v>
      </c>
      <c r="N578" s="46" t="n">
        <f aca="false">SUMIFS(P$565:P577,$B$565:$B577,"&gt;"&amp;($B578-$D578))</f>
        <v>320</v>
      </c>
      <c r="O578" s="46" t="n">
        <f aca="false">M578+N578</f>
        <v>364</v>
      </c>
      <c r="P578" s="47" t="n">
        <f aca="false">IF(O578&lt;K578,ROUNDUP((K578-O578)/G578,0)*G578,0)</f>
        <v>130</v>
      </c>
      <c r="Q578" s="46" t="n">
        <f aca="false">MIN(M578,I578)</f>
        <v>44</v>
      </c>
      <c r="R578" s="46" t="n">
        <f aca="false">I578-Q578</f>
        <v>61</v>
      </c>
      <c r="S578" s="46" t="n">
        <f aca="false">M578-Q578</f>
        <v>0</v>
      </c>
      <c r="T578" s="46" t="n">
        <f aca="false">IF(R578&gt;0,1,0)</f>
        <v>1</v>
      </c>
      <c r="U578" s="32" t="n">
        <f aca="false">INDEX(Forecast!$AY$7:$AY$54,C578)</f>
        <v>3</v>
      </c>
      <c r="V578" s="33" t="n">
        <f aca="false">CHOOSE(U578,INDEX(Forecast_Walkforward!$D:$D,H578),INDEX(Forecast_Walkforward!$E:$E,H578),INDEX(Forecast_Walkforward!$F:$F,H578),INDEX(Forecast_Walkforward!$G:$G,H578))</f>
        <v>121.5</v>
      </c>
      <c r="W578" s="79" t="n">
        <f aca="false">INDEX(Forecast!$BA$7:$BA$54,C578)</f>
        <v>14.4082144231642</v>
      </c>
      <c r="X578" s="33" t="n">
        <f aca="false">Z_Value*W578*SQRT(D578)</f>
        <v>58.0514464001997</v>
      </c>
      <c r="Y578" s="33" t="n">
        <f aca="false">V578*D578+X578</f>
        <v>787.0514464002</v>
      </c>
      <c r="Z578" s="33" t="n">
        <f aca="false">SQRT((2*V578*Weeks_Per_Year*F578)/(E578*Holding_Rate))</f>
        <v>637.304591900249</v>
      </c>
      <c r="AA578" s="46" t="n">
        <f aca="false">ROUNDUP(Z578/G578,0)*G578</f>
        <v>640</v>
      </c>
      <c r="AB578" s="46" t="n">
        <f aca="false">SUMIFS(AF$565:AF577,$B$565:$B577,$B578-$D578)</f>
        <v>0</v>
      </c>
      <c r="AC578" s="46" t="n">
        <f aca="false">AI577+AB578</f>
        <v>416</v>
      </c>
      <c r="AD578" s="46" t="n">
        <f aca="false">SUMIFS(AF$565:AF577,$B$565:$B577,"&gt;"&amp;($B578-$D578))</f>
        <v>640</v>
      </c>
      <c r="AE578" s="46" t="n">
        <f aca="false">AC578+AD578</f>
        <v>1056</v>
      </c>
      <c r="AF578" s="47" t="n">
        <f aca="false">IF(AE578&lt;=Y578,AA578,0)</f>
        <v>0</v>
      </c>
      <c r="AG578" s="46" t="n">
        <f aca="false">MIN(AC578,I578)</f>
        <v>105</v>
      </c>
      <c r="AH578" s="46" t="n">
        <f aca="false">I578-AG578</f>
        <v>0</v>
      </c>
      <c r="AI578" s="46" t="n">
        <f aca="false">AC578-AG578</f>
        <v>311</v>
      </c>
      <c r="AJ578" s="46" t="n">
        <f aca="false">IF(AH578&gt;0,1,0)</f>
        <v>0</v>
      </c>
    </row>
    <row r="579" customFormat="false" ht="15" hidden="false" customHeight="false" outlineLevel="0" collapsed="false">
      <c r="A579" s="31" t="str">
        <f aca="false">Inputs!$B$72</f>
        <v>ELE-004</v>
      </c>
      <c r="B579" s="46" t="n">
        <f aca="false">B578+1</f>
        <v>103</v>
      </c>
      <c r="C579" s="46" t="n">
        <f aca="false">MATCH(A579,Inputs!$B$40:$B$87,0)</f>
        <v>33</v>
      </c>
      <c r="D579" s="32" t="n">
        <f aca="false">INDEX(Inputs!$F$40:$F$87,C579)</f>
        <v>6</v>
      </c>
      <c r="E579" s="78" t="n">
        <f aca="false">INDEX(Inputs!$H$40:$H$87,C579)</f>
        <v>14</v>
      </c>
      <c r="F579" s="78" t="n">
        <f aca="false">INDEX(Inputs!$G$40:$G$87,C579)</f>
        <v>90</v>
      </c>
      <c r="G579" s="32" t="n">
        <f aca="false">INDEX(Inputs!$I$40:$I$87,C579)</f>
        <v>10</v>
      </c>
      <c r="H579" s="46" t="n">
        <f aca="false">MATCH(A579,Demand_History!$C:$C,0)+B579-1</f>
        <v>3432</v>
      </c>
      <c r="I579" s="32" t="n">
        <f aca="false">INDEX(Forecast_Walkforward!$C:$C,H579)</f>
        <v>135</v>
      </c>
      <c r="J579" s="79" t="n">
        <f aca="false">INDEX(Forecast_Walkforward!$E:$E,H579)</f>
        <v>125.25</v>
      </c>
      <c r="K579" s="33" t="n">
        <f aca="false">Baseline_Weeks*J579</f>
        <v>501</v>
      </c>
      <c r="L579" s="46" t="n">
        <f aca="false">SUMIFS(P$565:P578,$B$565:$B578,$B579-$D579)</f>
        <v>0</v>
      </c>
      <c r="M579" s="46" t="n">
        <f aca="false">S578+L579</f>
        <v>0</v>
      </c>
      <c r="N579" s="46" t="n">
        <f aca="false">SUMIFS(P$565:P578,$B$565:$B578,"&gt;"&amp;($B579-$D579))</f>
        <v>450</v>
      </c>
      <c r="O579" s="46" t="n">
        <f aca="false">M579+N579</f>
        <v>450</v>
      </c>
      <c r="P579" s="47" t="n">
        <f aca="false">IF(O579&lt;K579,ROUNDUP((K579-O579)/G579,0)*G579,0)</f>
        <v>60</v>
      </c>
      <c r="Q579" s="46" t="n">
        <f aca="false">MIN(M579,I579)</f>
        <v>0</v>
      </c>
      <c r="R579" s="46" t="n">
        <f aca="false">I579-Q579</f>
        <v>135</v>
      </c>
      <c r="S579" s="46" t="n">
        <f aca="false">M579-Q579</f>
        <v>0</v>
      </c>
      <c r="T579" s="46" t="n">
        <f aca="false">IF(R579&gt;0,1,0)</f>
        <v>1</v>
      </c>
      <c r="U579" s="32" t="n">
        <f aca="false">INDEX(Forecast!$AY$7:$AY$54,C579)</f>
        <v>3</v>
      </c>
      <c r="V579" s="33" t="n">
        <f aca="false">CHOOSE(U579,INDEX(Forecast_Walkforward!$D:$D,H579),INDEX(Forecast_Walkforward!$E:$E,H579),INDEX(Forecast_Walkforward!$F:$F,H579),INDEX(Forecast_Walkforward!$G:$G,H579))</f>
        <v>119.875</v>
      </c>
      <c r="W579" s="79" t="n">
        <f aca="false">INDEX(Forecast!$BA$7:$BA$54,C579)</f>
        <v>14.4082144231642</v>
      </c>
      <c r="X579" s="33" t="n">
        <f aca="false">Z_Value*W579*SQRT(D579)</f>
        <v>58.0514464001997</v>
      </c>
      <c r="Y579" s="33" t="n">
        <f aca="false">V579*D579+X579</f>
        <v>777.3014464002</v>
      </c>
      <c r="Z579" s="33" t="n">
        <f aca="false">SQRT((2*V579*Weeks_Per_Year*F579)/(E579*Holding_Rate))</f>
        <v>633.028435380276</v>
      </c>
      <c r="AA579" s="46" t="n">
        <f aca="false">ROUNDUP(Z579/G579,0)*G579</f>
        <v>640</v>
      </c>
      <c r="AB579" s="46" t="n">
        <f aca="false">SUMIFS(AF$565:AF578,$B$565:$B578,$B579-$D579)</f>
        <v>0</v>
      </c>
      <c r="AC579" s="46" t="n">
        <f aca="false">AI578+AB579</f>
        <v>311</v>
      </c>
      <c r="AD579" s="46" t="n">
        <f aca="false">SUMIFS(AF$565:AF578,$B$565:$B578,"&gt;"&amp;($B579-$D579))</f>
        <v>640</v>
      </c>
      <c r="AE579" s="46" t="n">
        <f aca="false">AC579+AD579</f>
        <v>951</v>
      </c>
      <c r="AF579" s="47" t="n">
        <f aca="false">IF(AE579&lt;=Y579,AA579,0)</f>
        <v>0</v>
      </c>
      <c r="AG579" s="46" t="n">
        <f aca="false">MIN(AC579,I579)</f>
        <v>135</v>
      </c>
      <c r="AH579" s="46" t="n">
        <f aca="false">I579-AG579</f>
        <v>0</v>
      </c>
      <c r="AI579" s="46" t="n">
        <f aca="false">AC579-AG579</f>
        <v>176</v>
      </c>
      <c r="AJ579" s="46" t="n">
        <f aca="false">IF(AH579&gt;0,1,0)</f>
        <v>0</v>
      </c>
    </row>
    <row r="580" customFormat="false" ht="15" hidden="false" customHeight="false" outlineLevel="0" collapsed="false">
      <c r="A580" s="80" t="str">
        <f aca="false">Inputs!$B$72</f>
        <v>ELE-004</v>
      </c>
      <c r="B580" s="81" t="n">
        <f aca="false">B579+1</f>
        <v>104</v>
      </c>
      <c r="C580" s="81" t="n">
        <f aca="false">MATCH(A580,Inputs!$B$40:$B$87,0)</f>
        <v>33</v>
      </c>
      <c r="D580" s="82" t="n">
        <f aca="false">INDEX(Inputs!$F$40:$F$87,C580)</f>
        <v>6</v>
      </c>
      <c r="E580" s="83" t="n">
        <f aca="false">INDEX(Inputs!$H$40:$H$87,C580)</f>
        <v>14</v>
      </c>
      <c r="F580" s="83" t="n">
        <f aca="false">INDEX(Inputs!$G$40:$G$87,C580)</f>
        <v>90</v>
      </c>
      <c r="G580" s="82" t="n">
        <f aca="false">INDEX(Inputs!$I$40:$I$87,C580)</f>
        <v>10</v>
      </c>
      <c r="H580" s="81" t="n">
        <f aca="false">MATCH(A580,Demand_History!$C:$C,0)+B580-1</f>
        <v>3433</v>
      </c>
      <c r="I580" s="82" t="n">
        <f aca="false">INDEX(Forecast_Walkforward!$C:$C,H580)</f>
        <v>100</v>
      </c>
      <c r="J580" s="84" t="n">
        <f aca="false">INDEX(Forecast_Walkforward!$E:$E,H580)</f>
        <v>126</v>
      </c>
      <c r="K580" s="85" t="n">
        <f aca="false">Baseline_Weeks*J580</f>
        <v>504</v>
      </c>
      <c r="L580" s="81" t="n">
        <f aca="false">SUMIFS(P$565:P579,$B$565:$B579,$B580-$D580)</f>
        <v>0</v>
      </c>
      <c r="M580" s="81" t="n">
        <f aca="false">S579+L580</f>
        <v>0</v>
      </c>
      <c r="N580" s="81" t="n">
        <f aca="false">SUMIFS(P$565:P579,$B$565:$B579,"&gt;"&amp;($B580-$D580))</f>
        <v>510</v>
      </c>
      <c r="O580" s="81" t="n">
        <f aca="false">M580+N580</f>
        <v>510</v>
      </c>
      <c r="P580" s="86" t="n">
        <f aca="false">IF(O580&lt;K580,ROUNDUP((K580-O580)/G580,0)*G580,0)</f>
        <v>0</v>
      </c>
      <c r="Q580" s="81" t="n">
        <f aca="false">MIN(M580,I580)</f>
        <v>0</v>
      </c>
      <c r="R580" s="81" t="n">
        <f aca="false">I580-Q580</f>
        <v>100</v>
      </c>
      <c r="S580" s="81" t="n">
        <f aca="false">M580-Q580</f>
        <v>0</v>
      </c>
      <c r="T580" s="81" t="n">
        <f aca="false">IF(R580&gt;0,1,0)</f>
        <v>1</v>
      </c>
      <c r="U580" s="82" t="n">
        <f aca="false">INDEX(Forecast!$AY$7:$AY$54,C580)</f>
        <v>3</v>
      </c>
      <c r="V580" s="85" t="n">
        <f aca="false">CHOOSE(U580,INDEX(Forecast_Walkforward!$D:$D,H580),INDEX(Forecast_Walkforward!$E:$E,H580),INDEX(Forecast_Walkforward!$F:$F,H580),INDEX(Forecast_Walkforward!$G:$G,H580))</f>
        <v>124.375</v>
      </c>
      <c r="W580" s="84" t="n">
        <f aca="false">INDEX(Forecast!$BA$7:$BA$54,C580)</f>
        <v>14.4082144231642</v>
      </c>
      <c r="X580" s="85" t="n">
        <f aca="false">Z_Value*W580*SQRT(D580)</f>
        <v>58.0514464001997</v>
      </c>
      <c r="Y580" s="85" t="n">
        <f aca="false">V580*D580+X580</f>
        <v>804.3014464002</v>
      </c>
      <c r="Z580" s="85" t="n">
        <f aca="false">SQRT((2*V580*Weeks_Per_Year*F580)/(E580*Holding_Rate))</f>
        <v>644.800633640242</v>
      </c>
      <c r="AA580" s="81" t="n">
        <f aca="false">ROUNDUP(Z580/G580,0)*G580</f>
        <v>650</v>
      </c>
      <c r="AB580" s="81" t="n">
        <f aca="false">SUMIFS(AF$565:AF579,$B$565:$B579,$B580-$D580)</f>
        <v>0</v>
      </c>
      <c r="AC580" s="81" t="n">
        <f aca="false">AI579+AB580</f>
        <v>176</v>
      </c>
      <c r="AD580" s="81" t="n">
        <f aca="false">SUMIFS(AF$565:AF579,$B$565:$B579,"&gt;"&amp;($B580-$D580))</f>
        <v>640</v>
      </c>
      <c r="AE580" s="81" t="n">
        <f aca="false">AC580+AD580</f>
        <v>816</v>
      </c>
      <c r="AF580" s="86" t="n">
        <f aca="false">IF(AE580&lt;=Y580,AA580,0)</f>
        <v>0</v>
      </c>
      <c r="AG580" s="81" t="n">
        <f aca="false">MIN(AC580,I580)</f>
        <v>100</v>
      </c>
      <c r="AH580" s="81" t="n">
        <f aca="false">I580-AG580</f>
        <v>0</v>
      </c>
      <c r="AI580" s="81" t="n">
        <f aca="false">AC580-AG580</f>
        <v>76</v>
      </c>
      <c r="AJ580" s="81" t="n">
        <f aca="false">IF(AH580&gt;0,1,0)</f>
        <v>0</v>
      </c>
    </row>
    <row r="581" customFormat="false" ht="15" hidden="false" customHeight="false" outlineLevel="0" collapsed="false">
      <c r="A581" s="31" t="str">
        <f aca="false">Inputs!$B$73</f>
        <v>ELE-005</v>
      </c>
      <c r="B581" s="46" t="n">
        <f aca="false">BT_Start_Week</f>
        <v>89</v>
      </c>
      <c r="C581" s="46" t="n">
        <f aca="false">MATCH(A581,Inputs!$B$40:$B$87,0)</f>
        <v>34</v>
      </c>
      <c r="D581" s="32" t="n">
        <f aca="false">INDEX(Inputs!$F$40:$F$87,C581)</f>
        <v>6</v>
      </c>
      <c r="E581" s="78" t="n">
        <f aca="false">INDEX(Inputs!$H$40:$H$87,C581)</f>
        <v>23</v>
      </c>
      <c r="F581" s="78" t="n">
        <f aca="false">INDEX(Inputs!$G$40:$G$87,C581)</f>
        <v>90</v>
      </c>
      <c r="G581" s="32" t="n">
        <f aca="false">INDEX(Inputs!$I$40:$I$87,C581)</f>
        <v>6</v>
      </c>
      <c r="H581" s="46" t="n">
        <f aca="false">MATCH(A581,Demand_History!$C:$C,0)+B581-1</f>
        <v>3522</v>
      </c>
      <c r="I581" s="32" t="n">
        <f aca="false">INDEX(Forecast_Walkforward!$C:$C,H581)</f>
        <v>42</v>
      </c>
      <c r="J581" s="79" t="n">
        <f aca="false">INDEX(Forecast_Walkforward!$E:$E,H581)</f>
        <v>34.5</v>
      </c>
      <c r="K581" s="33" t="n">
        <f aca="false">Baseline_Weeks*J581</f>
        <v>138</v>
      </c>
      <c r="L581" s="46" t="n">
        <f aca="false">0</f>
        <v>0</v>
      </c>
      <c r="M581" s="46" t="n">
        <f aca="false">ROUND(BT_Open_Cover*INDEX(Forecast_Walkforward!$F:$F,H581),0)+L581</f>
        <v>202</v>
      </c>
      <c r="N581" s="46" t="n">
        <f aca="false">0</f>
        <v>0</v>
      </c>
      <c r="O581" s="46" t="n">
        <f aca="false">M581+N581</f>
        <v>202</v>
      </c>
      <c r="P581" s="47" t="n">
        <f aca="false">IF(O581&lt;K581,ROUNDUP((K581-O581)/G581,0)*G581,0)</f>
        <v>0</v>
      </c>
      <c r="Q581" s="46" t="n">
        <f aca="false">MIN(M581,I581)</f>
        <v>42</v>
      </c>
      <c r="R581" s="46" t="n">
        <f aca="false">I581-Q581</f>
        <v>0</v>
      </c>
      <c r="S581" s="46" t="n">
        <f aca="false">M581-Q581</f>
        <v>160</v>
      </c>
      <c r="T581" s="46" t="n">
        <f aca="false">IF(R581&gt;0,1,0)</f>
        <v>0</v>
      </c>
      <c r="U581" s="32" t="n">
        <f aca="false">INDEX(Forecast!$AY$7:$AY$54,C581)</f>
        <v>2</v>
      </c>
      <c r="V581" s="33" t="n">
        <f aca="false">CHOOSE(U581,INDEX(Forecast_Walkforward!$D:$D,H581),INDEX(Forecast_Walkforward!$E:$E,H581),INDEX(Forecast_Walkforward!$F:$F,H581),INDEX(Forecast_Walkforward!$G:$G,H581))</f>
        <v>34.5</v>
      </c>
      <c r="W581" s="79" t="n">
        <f aca="false">INDEX(Forecast!$BA$7:$BA$54,C581)</f>
        <v>5.24319029739728</v>
      </c>
      <c r="X581" s="33" t="n">
        <f aca="false">Z_Value*W581*SQRT(D581)</f>
        <v>21.1250868133986</v>
      </c>
      <c r="Y581" s="33" t="n">
        <f aca="false">V581*D581+X581</f>
        <v>228.125086813399</v>
      </c>
      <c r="Z581" s="33" t="n">
        <f aca="false">SQRT((2*V581*Weeks_Per_Year*F581)/(E581*Holding_Rate))</f>
        <v>264.952825989835</v>
      </c>
      <c r="AA581" s="46" t="n">
        <f aca="false">ROUNDUP(Z581/G581,0)*G581</f>
        <v>270</v>
      </c>
      <c r="AB581" s="46" t="n">
        <f aca="false">0</f>
        <v>0</v>
      </c>
      <c r="AC581" s="46" t="n">
        <f aca="false">ROUND(BT_Open_Cover*INDEX(Forecast_Walkforward!$F:$F,H581),0)+AB581</f>
        <v>202</v>
      </c>
      <c r="AD581" s="46" t="n">
        <f aca="false">0</f>
        <v>0</v>
      </c>
      <c r="AE581" s="46" t="n">
        <f aca="false">AC581+AD581</f>
        <v>202</v>
      </c>
      <c r="AF581" s="47" t="n">
        <f aca="false">IF(AE581&lt;=Y581,AA581,0)</f>
        <v>270</v>
      </c>
      <c r="AG581" s="46" t="n">
        <f aca="false">MIN(AC581,I581)</f>
        <v>42</v>
      </c>
      <c r="AH581" s="46" t="n">
        <f aca="false">I581-AG581</f>
        <v>0</v>
      </c>
      <c r="AI581" s="46" t="n">
        <f aca="false">AC581-AG581</f>
        <v>160</v>
      </c>
      <c r="AJ581" s="46" t="n">
        <f aca="false">IF(AH581&gt;0,1,0)</f>
        <v>0</v>
      </c>
    </row>
    <row r="582" customFormat="false" ht="15" hidden="false" customHeight="false" outlineLevel="0" collapsed="false">
      <c r="A582" s="31" t="str">
        <f aca="false">Inputs!$B$73</f>
        <v>ELE-005</v>
      </c>
      <c r="B582" s="46" t="n">
        <f aca="false">B581+1</f>
        <v>90</v>
      </c>
      <c r="C582" s="46" t="n">
        <f aca="false">MATCH(A582,Inputs!$B$40:$B$87,0)</f>
        <v>34</v>
      </c>
      <c r="D582" s="32" t="n">
        <f aca="false">INDEX(Inputs!$F$40:$F$87,C582)</f>
        <v>6</v>
      </c>
      <c r="E582" s="78" t="n">
        <f aca="false">INDEX(Inputs!$H$40:$H$87,C582)</f>
        <v>23</v>
      </c>
      <c r="F582" s="78" t="n">
        <f aca="false">INDEX(Inputs!$G$40:$G$87,C582)</f>
        <v>90</v>
      </c>
      <c r="G582" s="32" t="n">
        <f aca="false">INDEX(Inputs!$I$40:$I$87,C582)</f>
        <v>6</v>
      </c>
      <c r="H582" s="46" t="n">
        <f aca="false">MATCH(A582,Demand_History!$C:$C,0)+B582-1</f>
        <v>3523</v>
      </c>
      <c r="I582" s="32" t="n">
        <f aca="false">INDEX(Forecast_Walkforward!$C:$C,H582)</f>
        <v>35</v>
      </c>
      <c r="J582" s="79" t="n">
        <f aca="false">INDEX(Forecast_Walkforward!$E:$E,H582)</f>
        <v>38.25</v>
      </c>
      <c r="K582" s="33" t="n">
        <f aca="false">Baseline_Weeks*J582</f>
        <v>153</v>
      </c>
      <c r="L582" s="46" t="n">
        <f aca="false">SUMIFS(P$581:P581,$B$581:$B581,$B582-$D582)</f>
        <v>0</v>
      </c>
      <c r="M582" s="46" t="n">
        <f aca="false">S581+L582</f>
        <v>160</v>
      </c>
      <c r="N582" s="46" t="n">
        <f aca="false">SUMIFS(P$581:P581,$B$581:$B581,"&gt;"&amp;($B582-$D582))</f>
        <v>0</v>
      </c>
      <c r="O582" s="46" t="n">
        <f aca="false">M582+N582</f>
        <v>160</v>
      </c>
      <c r="P582" s="47" t="n">
        <f aca="false">IF(O582&lt;K582,ROUNDUP((K582-O582)/G582,0)*G582,0)</f>
        <v>0</v>
      </c>
      <c r="Q582" s="46" t="n">
        <f aca="false">MIN(M582,I582)</f>
        <v>35</v>
      </c>
      <c r="R582" s="46" t="n">
        <f aca="false">I582-Q582</f>
        <v>0</v>
      </c>
      <c r="S582" s="46" t="n">
        <f aca="false">M582-Q582</f>
        <v>125</v>
      </c>
      <c r="T582" s="46" t="n">
        <f aca="false">IF(R582&gt;0,1,0)</f>
        <v>0</v>
      </c>
      <c r="U582" s="32" t="n">
        <f aca="false">INDEX(Forecast!$AY$7:$AY$54,C582)</f>
        <v>2</v>
      </c>
      <c r="V582" s="33" t="n">
        <f aca="false">CHOOSE(U582,INDEX(Forecast_Walkforward!$D:$D,H582),INDEX(Forecast_Walkforward!$E:$E,H582),INDEX(Forecast_Walkforward!$F:$F,H582),INDEX(Forecast_Walkforward!$G:$G,H582))</f>
        <v>38.25</v>
      </c>
      <c r="W582" s="79" t="n">
        <f aca="false">INDEX(Forecast!$BA$7:$BA$54,C582)</f>
        <v>5.24319029739728</v>
      </c>
      <c r="X582" s="33" t="n">
        <f aca="false">Z_Value*W582*SQRT(D582)</f>
        <v>21.1250868133986</v>
      </c>
      <c r="Y582" s="33" t="n">
        <f aca="false">V582*D582+X582</f>
        <v>250.625086813399</v>
      </c>
      <c r="Z582" s="33" t="n">
        <f aca="false">SQRT((2*V582*Weeks_Per_Year*F582)/(E582*Holding_Rate))</f>
        <v>278.981065276138</v>
      </c>
      <c r="AA582" s="46" t="n">
        <f aca="false">ROUNDUP(Z582/G582,0)*G582</f>
        <v>282</v>
      </c>
      <c r="AB582" s="46" t="n">
        <f aca="false">SUMIFS(AF$581:AF581,$B$581:$B581,$B582-$D582)</f>
        <v>0</v>
      </c>
      <c r="AC582" s="46" t="n">
        <f aca="false">AI581+AB582</f>
        <v>160</v>
      </c>
      <c r="AD582" s="46" t="n">
        <f aca="false">SUMIFS(AF$581:AF581,$B$581:$B581,"&gt;"&amp;($B582-$D582))</f>
        <v>270</v>
      </c>
      <c r="AE582" s="46" t="n">
        <f aca="false">AC582+AD582</f>
        <v>430</v>
      </c>
      <c r="AF582" s="47" t="n">
        <f aca="false">IF(AE582&lt;=Y582,AA582,0)</f>
        <v>0</v>
      </c>
      <c r="AG582" s="46" t="n">
        <f aca="false">MIN(AC582,I582)</f>
        <v>35</v>
      </c>
      <c r="AH582" s="46" t="n">
        <f aca="false">I582-AG582</f>
        <v>0</v>
      </c>
      <c r="AI582" s="46" t="n">
        <f aca="false">AC582-AG582</f>
        <v>125</v>
      </c>
      <c r="AJ582" s="46" t="n">
        <f aca="false">IF(AH582&gt;0,1,0)</f>
        <v>0</v>
      </c>
    </row>
    <row r="583" customFormat="false" ht="15" hidden="false" customHeight="false" outlineLevel="0" collapsed="false">
      <c r="A583" s="31" t="str">
        <f aca="false">Inputs!$B$73</f>
        <v>ELE-005</v>
      </c>
      <c r="B583" s="46" t="n">
        <f aca="false">B582+1</f>
        <v>91</v>
      </c>
      <c r="C583" s="46" t="n">
        <f aca="false">MATCH(A583,Inputs!$B$40:$B$87,0)</f>
        <v>34</v>
      </c>
      <c r="D583" s="32" t="n">
        <f aca="false">INDEX(Inputs!$F$40:$F$87,C583)</f>
        <v>6</v>
      </c>
      <c r="E583" s="78" t="n">
        <f aca="false">INDEX(Inputs!$H$40:$H$87,C583)</f>
        <v>23</v>
      </c>
      <c r="F583" s="78" t="n">
        <f aca="false">INDEX(Inputs!$G$40:$G$87,C583)</f>
        <v>90</v>
      </c>
      <c r="G583" s="32" t="n">
        <f aca="false">INDEX(Inputs!$I$40:$I$87,C583)</f>
        <v>6</v>
      </c>
      <c r="H583" s="46" t="n">
        <f aca="false">MATCH(A583,Demand_History!$C:$C,0)+B583-1</f>
        <v>3524</v>
      </c>
      <c r="I583" s="32" t="n">
        <f aca="false">INDEX(Forecast_Walkforward!$C:$C,H583)</f>
        <v>31</v>
      </c>
      <c r="J583" s="79" t="n">
        <f aca="false">INDEX(Forecast_Walkforward!$E:$E,H583)</f>
        <v>38</v>
      </c>
      <c r="K583" s="33" t="n">
        <f aca="false">Baseline_Weeks*J583</f>
        <v>152</v>
      </c>
      <c r="L583" s="46" t="n">
        <f aca="false">SUMIFS(P$581:P582,$B$581:$B582,$B583-$D583)</f>
        <v>0</v>
      </c>
      <c r="M583" s="46" t="n">
        <f aca="false">S582+L583</f>
        <v>125</v>
      </c>
      <c r="N583" s="46" t="n">
        <f aca="false">SUMIFS(P$581:P582,$B$581:$B582,"&gt;"&amp;($B583-$D583))</f>
        <v>0</v>
      </c>
      <c r="O583" s="46" t="n">
        <f aca="false">M583+N583</f>
        <v>125</v>
      </c>
      <c r="P583" s="47" t="n">
        <f aca="false">IF(O583&lt;K583,ROUNDUP((K583-O583)/G583,0)*G583,0)</f>
        <v>30</v>
      </c>
      <c r="Q583" s="46" t="n">
        <f aca="false">MIN(M583,I583)</f>
        <v>31</v>
      </c>
      <c r="R583" s="46" t="n">
        <f aca="false">I583-Q583</f>
        <v>0</v>
      </c>
      <c r="S583" s="46" t="n">
        <f aca="false">M583-Q583</f>
        <v>94</v>
      </c>
      <c r="T583" s="46" t="n">
        <f aca="false">IF(R583&gt;0,1,0)</f>
        <v>0</v>
      </c>
      <c r="U583" s="32" t="n">
        <f aca="false">INDEX(Forecast!$AY$7:$AY$54,C583)</f>
        <v>2</v>
      </c>
      <c r="V583" s="33" t="n">
        <f aca="false">CHOOSE(U583,INDEX(Forecast_Walkforward!$D:$D,H583),INDEX(Forecast_Walkforward!$E:$E,H583),INDEX(Forecast_Walkforward!$F:$F,H583),INDEX(Forecast_Walkforward!$G:$G,H583))</f>
        <v>38</v>
      </c>
      <c r="W583" s="79" t="n">
        <f aca="false">INDEX(Forecast!$BA$7:$BA$54,C583)</f>
        <v>5.24319029739728</v>
      </c>
      <c r="X583" s="33" t="n">
        <f aca="false">Z_Value*W583*SQRT(D583)</f>
        <v>21.1250868133986</v>
      </c>
      <c r="Y583" s="33" t="n">
        <f aca="false">V583*D583+X583</f>
        <v>249.125086813399</v>
      </c>
      <c r="Z583" s="33" t="n">
        <f aca="false">SQRT((2*V583*Weeks_Per_Year*F583)/(E583*Holding_Rate))</f>
        <v>278.067867849622</v>
      </c>
      <c r="AA583" s="46" t="n">
        <f aca="false">ROUNDUP(Z583/G583,0)*G583</f>
        <v>282</v>
      </c>
      <c r="AB583" s="46" t="n">
        <f aca="false">SUMIFS(AF$581:AF582,$B$581:$B582,$B583-$D583)</f>
        <v>0</v>
      </c>
      <c r="AC583" s="46" t="n">
        <f aca="false">AI582+AB583</f>
        <v>125</v>
      </c>
      <c r="AD583" s="46" t="n">
        <f aca="false">SUMIFS(AF$581:AF582,$B$581:$B582,"&gt;"&amp;($B583-$D583))</f>
        <v>270</v>
      </c>
      <c r="AE583" s="46" t="n">
        <f aca="false">AC583+AD583</f>
        <v>395</v>
      </c>
      <c r="AF583" s="47" t="n">
        <f aca="false">IF(AE583&lt;=Y583,AA583,0)</f>
        <v>0</v>
      </c>
      <c r="AG583" s="46" t="n">
        <f aca="false">MIN(AC583,I583)</f>
        <v>31</v>
      </c>
      <c r="AH583" s="46" t="n">
        <f aca="false">I583-AG583</f>
        <v>0</v>
      </c>
      <c r="AI583" s="46" t="n">
        <f aca="false">AC583-AG583</f>
        <v>94</v>
      </c>
      <c r="AJ583" s="46" t="n">
        <f aca="false">IF(AH583&gt;0,1,0)</f>
        <v>0</v>
      </c>
    </row>
    <row r="584" customFormat="false" ht="15" hidden="false" customHeight="false" outlineLevel="0" collapsed="false">
      <c r="A584" s="31" t="str">
        <f aca="false">Inputs!$B$73</f>
        <v>ELE-005</v>
      </c>
      <c r="B584" s="46" t="n">
        <f aca="false">B583+1</f>
        <v>92</v>
      </c>
      <c r="C584" s="46" t="n">
        <f aca="false">MATCH(A584,Inputs!$B$40:$B$87,0)</f>
        <v>34</v>
      </c>
      <c r="D584" s="32" t="n">
        <f aca="false">INDEX(Inputs!$F$40:$F$87,C584)</f>
        <v>6</v>
      </c>
      <c r="E584" s="78" t="n">
        <f aca="false">INDEX(Inputs!$H$40:$H$87,C584)</f>
        <v>23</v>
      </c>
      <c r="F584" s="78" t="n">
        <f aca="false">INDEX(Inputs!$G$40:$G$87,C584)</f>
        <v>90</v>
      </c>
      <c r="G584" s="32" t="n">
        <f aca="false">INDEX(Inputs!$I$40:$I$87,C584)</f>
        <v>6</v>
      </c>
      <c r="H584" s="46" t="n">
        <f aca="false">MATCH(A584,Demand_History!$C:$C,0)+B584-1</f>
        <v>3525</v>
      </c>
      <c r="I584" s="32" t="n">
        <f aca="false">INDEX(Forecast_Walkforward!$C:$C,H584)</f>
        <v>28</v>
      </c>
      <c r="J584" s="79" t="n">
        <f aca="false">INDEX(Forecast_Walkforward!$E:$E,H584)</f>
        <v>37</v>
      </c>
      <c r="K584" s="33" t="n">
        <f aca="false">Baseline_Weeks*J584</f>
        <v>148</v>
      </c>
      <c r="L584" s="46" t="n">
        <f aca="false">SUMIFS(P$581:P583,$B$581:$B583,$B584-$D584)</f>
        <v>0</v>
      </c>
      <c r="M584" s="46" t="n">
        <f aca="false">S583+L584</f>
        <v>94</v>
      </c>
      <c r="N584" s="46" t="n">
        <f aca="false">SUMIFS(P$581:P583,$B$581:$B583,"&gt;"&amp;($B584-$D584))</f>
        <v>30</v>
      </c>
      <c r="O584" s="46" t="n">
        <f aca="false">M584+N584</f>
        <v>124</v>
      </c>
      <c r="P584" s="47" t="n">
        <f aca="false">IF(O584&lt;K584,ROUNDUP((K584-O584)/G584,0)*G584,0)</f>
        <v>24</v>
      </c>
      <c r="Q584" s="46" t="n">
        <f aca="false">MIN(M584,I584)</f>
        <v>28</v>
      </c>
      <c r="R584" s="46" t="n">
        <f aca="false">I584-Q584</f>
        <v>0</v>
      </c>
      <c r="S584" s="46" t="n">
        <f aca="false">M584-Q584</f>
        <v>66</v>
      </c>
      <c r="T584" s="46" t="n">
        <f aca="false">IF(R584&gt;0,1,0)</f>
        <v>0</v>
      </c>
      <c r="U584" s="32" t="n">
        <f aca="false">INDEX(Forecast!$AY$7:$AY$54,C584)</f>
        <v>2</v>
      </c>
      <c r="V584" s="33" t="n">
        <f aca="false">CHOOSE(U584,INDEX(Forecast_Walkforward!$D:$D,H584),INDEX(Forecast_Walkforward!$E:$E,H584),INDEX(Forecast_Walkforward!$F:$F,H584),INDEX(Forecast_Walkforward!$G:$G,H584))</f>
        <v>37</v>
      </c>
      <c r="W584" s="79" t="n">
        <f aca="false">INDEX(Forecast!$BA$7:$BA$54,C584)</f>
        <v>5.24319029739728</v>
      </c>
      <c r="X584" s="33" t="n">
        <f aca="false">Z_Value*W584*SQRT(D584)</f>
        <v>21.1250868133986</v>
      </c>
      <c r="Y584" s="33" t="n">
        <f aca="false">V584*D584+X584</f>
        <v>243.125086813399</v>
      </c>
      <c r="Z584" s="33" t="n">
        <f aca="false">SQRT((2*V584*Weeks_Per_Year*F584)/(E584*Holding_Rate))</f>
        <v>274.384687112344</v>
      </c>
      <c r="AA584" s="46" t="n">
        <f aca="false">ROUNDUP(Z584/G584,0)*G584</f>
        <v>276</v>
      </c>
      <c r="AB584" s="46" t="n">
        <f aca="false">SUMIFS(AF$581:AF583,$B$581:$B583,$B584-$D584)</f>
        <v>0</v>
      </c>
      <c r="AC584" s="46" t="n">
        <f aca="false">AI583+AB584</f>
        <v>94</v>
      </c>
      <c r="AD584" s="46" t="n">
        <f aca="false">SUMIFS(AF$581:AF583,$B$581:$B583,"&gt;"&amp;($B584-$D584))</f>
        <v>270</v>
      </c>
      <c r="AE584" s="46" t="n">
        <f aca="false">AC584+AD584</f>
        <v>364</v>
      </c>
      <c r="AF584" s="47" t="n">
        <f aca="false">IF(AE584&lt;=Y584,AA584,0)</f>
        <v>0</v>
      </c>
      <c r="AG584" s="46" t="n">
        <f aca="false">MIN(AC584,I584)</f>
        <v>28</v>
      </c>
      <c r="AH584" s="46" t="n">
        <f aca="false">I584-AG584</f>
        <v>0</v>
      </c>
      <c r="AI584" s="46" t="n">
        <f aca="false">AC584-AG584</f>
        <v>66</v>
      </c>
      <c r="AJ584" s="46" t="n">
        <f aca="false">IF(AH584&gt;0,1,0)</f>
        <v>0</v>
      </c>
    </row>
    <row r="585" customFormat="false" ht="15" hidden="false" customHeight="false" outlineLevel="0" collapsed="false">
      <c r="A585" s="31" t="str">
        <f aca="false">Inputs!$B$73</f>
        <v>ELE-005</v>
      </c>
      <c r="B585" s="46" t="n">
        <f aca="false">B584+1</f>
        <v>93</v>
      </c>
      <c r="C585" s="46" t="n">
        <f aca="false">MATCH(A585,Inputs!$B$40:$B$87,0)</f>
        <v>34</v>
      </c>
      <c r="D585" s="32" t="n">
        <f aca="false">INDEX(Inputs!$F$40:$F$87,C585)</f>
        <v>6</v>
      </c>
      <c r="E585" s="78" t="n">
        <f aca="false">INDEX(Inputs!$H$40:$H$87,C585)</f>
        <v>23</v>
      </c>
      <c r="F585" s="78" t="n">
        <f aca="false">INDEX(Inputs!$G$40:$G$87,C585)</f>
        <v>90</v>
      </c>
      <c r="G585" s="32" t="n">
        <f aca="false">INDEX(Inputs!$I$40:$I$87,C585)</f>
        <v>6</v>
      </c>
      <c r="H585" s="46" t="n">
        <f aca="false">MATCH(A585,Demand_History!$C:$C,0)+B585-1</f>
        <v>3526</v>
      </c>
      <c r="I585" s="32" t="n">
        <f aca="false">INDEX(Forecast_Walkforward!$C:$C,H585)</f>
        <v>29</v>
      </c>
      <c r="J585" s="79" t="n">
        <f aca="false">INDEX(Forecast_Walkforward!$E:$E,H585)</f>
        <v>34</v>
      </c>
      <c r="K585" s="33" t="n">
        <f aca="false">Baseline_Weeks*J585</f>
        <v>136</v>
      </c>
      <c r="L585" s="46" t="n">
        <f aca="false">SUMIFS(P$581:P584,$B$581:$B584,$B585-$D585)</f>
        <v>0</v>
      </c>
      <c r="M585" s="46" t="n">
        <f aca="false">S584+L585</f>
        <v>66</v>
      </c>
      <c r="N585" s="46" t="n">
        <f aca="false">SUMIFS(P$581:P584,$B$581:$B584,"&gt;"&amp;($B585-$D585))</f>
        <v>54</v>
      </c>
      <c r="O585" s="46" t="n">
        <f aca="false">M585+N585</f>
        <v>120</v>
      </c>
      <c r="P585" s="47" t="n">
        <f aca="false">IF(O585&lt;K585,ROUNDUP((K585-O585)/G585,0)*G585,0)</f>
        <v>18</v>
      </c>
      <c r="Q585" s="46" t="n">
        <f aca="false">MIN(M585,I585)</f>
        <v>29</v>
      </c>
      <c r="R585" s="46" t="n">
        <f aca="false">I585-Q585</f>
        <v>0</v>
      </c>
      <c r="S585" s="46" t="n">
        <f aca="false">M585-Q585</f>
        <v>37</v>
      </c>
      <c r="T585" s="46" t="n">
        <f aca="false">IF(R585&gt;0,1,0)</f>
        <v>0</v>
      </c>
      <c r="U585" s="32" t="n">
        <f aca="false">INDEX(Forecast!$AY$7:$AY$54,C585)</f>
        <v>2</v>
      </c>
      <c r="V585" s="33" t="n">
        <f aca="false">CHOOSE(U585,INDEX(Forecast_Walkforward!$D:$D,H585),INDEX(Forecast_Walkforward!$E:$E,H585),INDEX(Forecast_Walkforward!$F:$F,H585),INDEX(Forecast_Walkforward!$G:$G,H585))</f>
        <v>34</v>
      </c>
      <c r="W585" s="79" t="n">
        <f aca="false">INDEX(Forecast!$BA$7:$BA$54,C585)</f>
        <v>5.24319029739728</v>
      </c>
      <c r="X585" s="33" t="n">
        <f aca="false">Z_Value*W585*SQRT(D585)</f>
        <v>21.1250868133986</v>
      </c>
      <c r="Y585" s="33" t="n">
        <f aca="false">V585*D585+X585</f>
        <v>225.125086813399</v>
      </c>
      <c r="Z585" s="33" t="n">
        <f aca="false">SQRT((2*V585*Weeks_Per_Year*F585)/(E585*Holding_Rate))</f>
        <v>263.025870772539</v>
      </c>
      <c r="AA585" s="46" t="n">
        <f aca="false">ROUNDUP(Z585/G585,0)*G585</f>
        <v>264</v>
      </c>
      <c r="AB585" s="46" t="n">
        <f aca="false">SUMIFS(AF$581:AF584,$B$581:$B584,$B585-$D585)</f>
        <v>0</v>
      </c>
      <c r="AC585" s="46" t="n">
        <f aca="false">AI584+AB585</f>
        <v>66</v>
      </c>
      <c r="AD585" s="46" t="n">
        <f aca="false">SUMIFS(AF$581:AF584,$B$581:$B584,"&gt;"&amp;($B585-$D585))</f>
        <v>270</v>
      </c>
      <c r="AE585" s="46" t="n">
        <f aca="false">AC585+AD585</f>
        <v>336</v>
      </c>
      <c r="AF585" s="47" t="n">
        <f aca="false">IF(AE585&lt;=Y585,AA585,0)</f>
        <v>0</v>
      </c>
      <c r="AG585" s="46" t="n">
        <f aca="false">MIN(AC585,I585)</f>
        <v>29</v>
      </c>
      <c r="AH585" s="46" t="n">
        <f aca="false">I585-AG585</f>
        <v>0</v>
      </c>
      <c r="AI585" s="46" t="n">
        <f aca="false">AC585-AG585</f>
        <v>37</v>
      </c>
      <c r="AJ585" s="46" t="n">
        <f aca="false">IF(AH585&gt;0,1,0)</f>
        <v>0</v>
      </c>
    </row>
    <row r="586" customFormat="false" ht="15" hidden="false" customHeight="false" outlineLevel="0" collapsed="false">
      <c r="A586" s="31" t="str">
        <f aca="false">Inputs!$B$73</f>
        <v>ELE-005</v>
      </c>
      <c r="B586" s="46" t="n">
        <f aca="false">B585+1</f>
        <v>94</v>
      </c>
      <c r="C586" s="46" t="n">
        <f aca="false">MATCH(A586,Inputs!$B$40:$B$87,0)</f>
        <v>34</v>
      </c>
      <c r="D586" s="32" t="n">
        <f aca="false">INDEX(Inputs!$F$40:$F$87,C586)</f>
        <v>6</v>
      </c>
      <c r="E586" s="78" t="n">
        <f aca="false">INDEX(Inputs!$H$40:$H$87,C586)</f>
        <v>23</v>
      </c>
      <c r="F586" s="78" t="n">
        <f aca="false">INDEX(Inputs!$G$40:$G$87,C586)</f>
        <v>90</v>
      </c>
      <c r="G586" s="32" t="n">
        <f aca="false">INDEX(Inputs!$I$40:$I$87,C586)</f>
        <v>6</v>
      </c>
      <c r="H586" s="46" t="n">
        <f aca="false">MATCH(A586,Demand_History!$C:$C,0)+B586-1</f>
        <v>3527</v>
      </c>
      <c r="I586" s="32" t="n">
        <f aca="false">INDEX(Forecast_Walkforward!$C:$C,H586)</f>
        <v>32</v>
      </c>
      <c r="J586" s="79" t="n">
        <f aca="false">INDEX(Forecast_Walkforward!$E:$E,H586)</f>
        <v>30.75</v>
      </c>
      <c r="K586" s="33" t="n">
        <f aca="false">Baseline_Weeks*J586</f>
        <v>123</v>
      </c>
      <c r="L586" s="46" t="n">
        <f aca="false">SUMIFS(P$581:P585,$B$581:$B585,$B586-$D586)</f>
        <v>0</v>
      </c>
      <c r="M586" s="46" t="n">
        <f aca="false">S585+L586</f>
        <v>37</v>
      </c>
      <c r="N586" s="46" t="n">
        <f aca="false">SUMIFS(P$581:P585,$B$581:$B585,"&gt;"&amp;($B586-$D586))</f>
        <v>72</v>
      </c>
      <c r="O586" s="46" t="n">
        <f aca="false">M586+N586</f>
        <v>109</v>
      </c>
      <c r="P586" s="47" t="n">
        <f aca="false">IF(O586&lt;K586,ROUNDUP((K586-O586)/G586,0)*G586,0)</f>
        <v>18</v>
      </c>
      <c r="Q586" s="46" t="n">
        <f aca="false">MIN(M586,I586)</f>
        <v>32</v>
      </c>
      <c r="R586" s="46" t="n">
        <f aca="false">I586-Q586</f>
        <v>0</v>
      </c>
      <c r="S586" s="46" t="n">
        <f aca="false">M586-Q586</f>
        <v>5</v>
      </c>
      <c r="T586" s="46" t="n">
        <f aca="false">IF(R586&gt;0,1,0)</f>
        <v>0</v>
      </c>
      <c r="U586" s="32" t="n">
        <f aca="false">INDEX(Forecast!$AY$7:$AY$54,C586)</f>
        <v>2</v>
      </c>
      <c r="V586" s="33" t="n">
        <f aca="false">CHOOSE(U586,INDEX(Forecast_Walkforward!$D:$D,H586),INDEX(Forecast_Walkforward!$E:$E,H586),INDEX(Forecast_Walkforward!$F:$F,H586),INDEX(Forecast_Walkforward!$G:$G,H586))</f>
        <v>30.75</v>
      </c>
      <c r="W586" s="79" t="n">
        <f aca="false">INDEX(Forecast!$BA$7:$BA$54,C586)</f>
        <v>5.24319029739728</v>
      </c>
      <c r="X586" s="33" t="n">
        <f aca="false">Z_Value*W586*SQRT(D586)</f>
        <v>21.1250868133986</v>
      </c>
      <c r="Y586" s="33" t="n">
        <f aca="false">V586*D586+X586</f>
        <v>205.625086813399</v>
      </c>
      <c r="Z586" s="33" t="n">
        <f aca="false">SQRT((2*V586*Weeks_Per_Year*F586)/(E586*Holding_Rate))</f>
        <v>250.139091741757</v>
      </c>
      <c r="AA586" s="46" t="n">
        <f aca="false">ROUNDUP(Z586/G586,0)*G586</f>
        <v>252</v>
      </c>
      <c r="AB586" s="46" t="n">
        <f aca="false">SUMIFS(AF$581:AF585,$B$581:$B585,$B586-$D586)</f>
        <v>0</v>
      </c>
      <c r="AC586" s="46" t="n">
        <f aca="false">AI585+AB586</f>
        <v>37</v>
      </c>
      <c r="AD586" s="46" t="n">
        <f aca="false">SUMIFS(AF$581:AF585,$B$581:$B585,"&gt;"&amp;($B586-$D586))</f>
        <v>270</v>
      </c>
      <c r="AE586" s="46" t="n">
        <f aca="false">AC586+AD586</f>
        <v>307</v>
      </c>
      <c r="AF586" s="47" t="n">
        <f aca="false">IF(AE586&lt;=Y586,AA586,0)</f>
        <v>0</v>
      </c>
      <c r="AG586" s="46" t="n">
        <f aca="false">MIN(AC586,I586)</f>
        <v>32</v>
      </c>
      <c r="AH586" s="46" t="n">
        <f aca="false">I586-AG586</f>
        <v>0</v>
      </c>
      <c r="AI586" s="46" t="n">
        <f aca="false">AC586-AG586</f>
        <v>5</v>
      </c>
      <c r="AJ586" s="46" t="n">
        <f aca="false">IF(AH586&gt;0,1,0)</f>
        <v>0</v>
      </c>
    </row>
    <row r="587" customFormat="false" ht="15" hidden="false" customHeight="false" outlineLevel="0" collapsed="false">
      <c r="A587" s="31" t="str">
        <f aca="false">Inputs!$B$73</f>
        <v>ELE-005</v>
      </c>
      <c r="B587" s="46" t="n">
        <f aca="false">B586+1</f>
        <v>95</v>
      </c>
      <c r="C587" s="46" t="n">
        <f aca="false">MATCH(A587,Inputs!$B$40:$B$87,0)</f>
        <v>34</v>
      </c>
      <c r="D587" s="32" t="n">
        <f aca="false">INDEX(Inputs!$F$40:$F$87,C587)</f>
        <v>6</v>
      </c>
      <c r="E587" s="78" t="n">
        <f aca="false">INDEX(Inputs!$H$40:$H$87,C587)</f>
        <v>23</v>
      </c>
      <c r="F587" s="78" t="n">
        <f aca="false">INDEX(Inputs!$G$40:$G$87,C587)</f>
        <v>90</v>
      </c>
      <c r="G587" s="32" t="n">
        <f aca="false">INDEX(Inputs!$I$40:$I$87,C587)</f>
        <v>6</v>
      </c>
      <c r="H587" s="46" t="n">
        <f aca="false">MATCH(A587,Demand_History!$C:$C,0)+B587-1</f>
        <v>3528</v>
      </c>
      <c r="I587" s="32" t="n">
        <f aca="false">INDEX(Forecast_Walkforward!$C:$C,H587)</f>
        <v>23</v>
      </c>
      <c r="J587" s="79" t="n">
        <f aca="false">INDEX(Forecast_Walkforward!$E:$E,H587)</f>
        <v>30</v>
      </c>
      <c r="K587" s="33" t="n">
        <f aca="false">Baseline_Weeks*J587</f>
        <v>120</v>
      </c>
      <c r="L587" s="46" t="n">
        <f aca="false">SUMIFS(P$581:P586,$B$581:$B586,$B587-$D587)</f>
        <v>0</v>
      </c>
      <c r="M587" s="46" t="n">
        <f aca="false">S586+L587</f>
        <v>5</v>
      </c>
      <c r="N587" s="46" t="n">
        <f aca="false">SUMIFS(P$581:P586,$B$581:$B586,"&gt;"&amp;($B587-$D587))</f>
        <v>90</v>
      </c>
      <c r="O587" s="46" t="n">
        <f aca="false">M587+N587</f>
        <v>95</v>
      </c>
      <c r="P587" s="47" t="n">
        <f aca="false">IF(O587&lt;K587,ROUNDUP((K587-O587)/G587,0)*G587,0)</f>
        <v>30</v>
      </c>
      <c r="Q587" s="46" t="n">
        <f aca="false">MIN(M587,I587)</f>
        <v>5</v>
      </c>
      <c r="R587" s="46" t="n">
        <f aca="false">I587-Q587</f>
        <v>18</v>
      </c>
      <c r="S587" s="46" t="n">
        <f aca="false">M587-Q587</f>
        <v>0</v>
      </c>
      <c r="T587" s="46" t="n">
        <f aca="false">IF(R587&gt;0,1,0)</f>
        <v>1</v>
      </c>
      <c r="U587" s="32" t="n">
        <f aca="false">INDEX(Forecast!$AY$7:$AY$54,C587)</f>
        <v>2</v>
      </c>
      <c r="V587" s="33" t="n">
        <f aca="false">CHOOSE(U587,INDEX(Forecast_Walkforward!$D:$D,H587),INDEX(Forecast_Walkforward!$E:$E,H587),INDEX(Forecast_Walkforward!$F:$F,H587),INDEX(Forecast_Walkforward!$G:$G,H587))</f>
        <v>30</v>
      </c>
      <c r="W587" s="79" t="n">
        <f aca="false">INDEX(Forecast!$BA$7:$BA$54,C587)</f>
        <v>5.24319029739728</v>
      </c>
      <c r="X587" s="33" t="n">
        <f aca="false">Z_Value*W587*SQRT(D587)</f>
        <v>21.1250868133986</v>
      </c>
      <c r="Y587" s="33" t="n">
        <f aca="false">V587*D587+X587</f>
        <v>201.125086813399</v>
      </c>
      <c r="Z587" s="33" t="n">
        <f aca="false">SQRT((2*V587*Weeks_Per_Year*F587)/(E587*Holding_Rate))</f>
        <v>247.069784192381</v>
      </c>
      <c r="AA587" s="46" t="n">
        <f aca="false">ROUNDUP(Z587/G587,0)*G587</f>
        <v>252</v>
      </c>
      <c r="AB587" s="46" t="n">
        <f aca="false">SUMIFS(AF$581:AF586,$B$581:$B586,$B587-$D587)</f>
        <v>270</v>
      </c>
      <c r="AC587" s="46" t="n">
        <f aca="false">AI586+AB587</f>
        <v>275</v>
      </c>
      <c r="AD587" s="46" t="n">
        <f aca="false">SUMIFS(AF$581:AF586,$B$581:$B586,"&gt;"&amp;($B587-$D587))</f>
        <v>0</v>
      </c>
      <c r="AE587" s="46" t="n">
        <f aca="false">AC587+AD587</f>
        <v>275</v>
      </c>
      <c r="AF587" s="47" t="n">
        <f aca="false">IF(AE587&lt;=Y587,AA587,0)</f>
        <v>0</v>
      </c>
      <c r="AG587" s="46" t="n">
        <f aca="false">MIN(AC587,I587)</f>
        <v>23</v>
      </c>
      <c r="AH587" s="46" t="n">
        <f aca="false">I587-AG587</f>
        <v>0</v>
      </c>
      <c r="AI587" s="46" t="n">
        <f aca="false">AC587-AG587</f>
        <v>252</v>
      </c>
      <c r="AJ587" s="46" t="n">
        <f aca="false">IF(AH587&gt;0,1,0)</f>
        <v>0</v>
      </c>
    </row>
    <row r="588" customFormat="false" ht="15" hidden="false" customHeight="false" outlineLevel="0" collapsed="false">
      <c r="A588" s="31" t="str">
        <f aca="false">Inputs!$B$73</f>
        <v>ELE-005</v>
      </c>
      <c r="B588" s="46" t="n">
        <f aca="false">B587+1</f>
        <v>96</v>
      </c>
      <c r="C588" s="46" t="n">
        <f aca="false">MATCH(A588,Inputs!$B$40:$B$87,0)</f>
        <v>34</v>
      </c>
      <c r="D588" s="32" t="n">
        <f aca="false">INDEX(Inputs!$F$40:$F$87,C588)</f>
        <v>6</v>
      </c>
      <c r="E588" s="78" t="n">
        <f aca="false">INDEX(Inputs!$H$40:$H$87,C588)</f>
        <v>23</v>
      </c>
      <c r="F588" s="78" t="n">
        <f aca="false">INDEX(Inputs!$G$40:$G$87,C588)</f>
        <v>90</v>
      </c>
      <c r="G588" s="32" t="n">
        <f aca="false">INDEX(Inputs!$I$40:$I$87,C588)</f>
        <v>6</v>
      </c>
      <c r="H588" s="46" t="n">
        <f aca="false">MATCH(A588,Demand_History!$C:$C,0)+B588-1</f>
        <v>3529</v>
      </c>
      <c r="I588" s="32" t="n">
        <f aca="false">INDEX(Forecast_Walkforward!$C:$C,H588)</f>
        <v>32</v>
      </c>
      <c r="J588" s="79" t="n">
        <f aca="false">INDEX(Forecast_Walkforward!$E:$E,H588)</f>
        <v>28</v>
      </c>
      <c r="K588" s="33" t="n">
        <f aca="false">Baseline_Weeks*J588</f>
        <v>112</v>
      </c>
      <c r="L588" s="46" t="n">
        <f aca="false">SUMIFS(P$581:P587,$B$581:$B587,$B588-$D588)</f>
        <v>0</v>
      </c>
      <c r="M588" s="46" t="n">
        <f aca="false">S587+L588</f>
        <v>0</v>
      </c>
      <c r="N588" s="46" t="n">
        <f aca="false">SUMIFS(P$581:P587,$B$581:$B587,"&gt;"&amp;($B588-$D588))</f>
        <v>120</v>
      </c>
      <c r="O588" s="46" t="n">
        <f aca="false">M588+N588</f>
        <v>120</v>
      </c>
      <c r="P588" s="47" t="n">
        <f aca="false">IF(O588&lt;K588,ROUNDUP((K588-O588)/G588,0)*G588,0)</f>
        <v>0</v>
      </c>
      <c r="Q588" s="46" t="n">
        <f aca="false">MIN(M588,I588)</f>
        <v>0</v>
      </c>
      <c r="R588" s="46" t="n">
        <f aca="false">I588-Q588</f>
        <v>32</v>
      </c>
      <c r="S588" s="46" t="n">
        <f aca="false">M588-Q588</f>
        <v>0</v>
      </c>
      <c r="T588" s="46" t="n">
        <f aca="false">IF(R588&gt;0,1,0)</f>
        <v>1</v>
      </c>
      <c r="U588" s="32" t="n">
        <f aca="false">INDEX(Forecast!$AY$7:$AY$54,C588)</f>
        <v>2</v>
      </c>
      <c r="V588" s="33" t="n">
        <f aca="false">CHOOSE(U588,INDEX(Forecast_Walkforward!$D:$D,H588),INDEX(Forecast_Walkforward!$E:$E,H588),INDEX(Forecast_Walkforward!$F:$F,H588),INDEX(Forecast_Walkforward!$G:$G,H588))</f>
        <v>28</v>
      </c>
      <c r="W588" s="79" t="n">
        <f aca="false">INDEX(Forecast!$BA$7:$BA$54,C588)</f>
        <v>5.24319029739728</v>
      </c>
      <c r="X588" s="33" t="n">
        <f aca="false">Z_Value*W588*SQRT(D588)</f>
        <v>21.1250868133986</v>
      </c>
      <c r="Y588" s="33" t="n">
        <f aca="false">V588*D588+X588</f>
        <v>189.125086813399</v>
      </c>
      <c r="Z588" s="33" t="n">
        <f aca="false">SQRT((2*V588*Weeks_Per_Year*F588)/(E588*Holding_Rate))</f>
        <v>238.692088355434</v>
      </c>
      <c r="AA588" s="46" t="n">
        <f aca="false">ROUNDUP(Z588/G588,0)*G588</f>
        <v>240</v>
      </c>
      <c r="AB588" s="46" t="n">
        <f aca="false">SUMIFS(AF$581:AF587,$B$581:$B587,$B588-$D588)</f>
        <v>0</v>
      </c>
      <c r="AC588" s="46" t="n">
        <f aca="false">AI587+AB588</f>
        <v>252</v>
      </c>
      <c r="AD588" s="46" t="n">
        <f aca="false">SUMIFS(AF$581:AF587,$B$581:$B587,"&gt;"&amp;($B588-$D588))</f>
        <v>0</v>
      </c>
      <c r="AE588" s="46" t="n">
        <f aca="false">AC588+AD588</f>
        <v>252</v>
      </c>
      <c r="AF588" s="47" t="n">
        <f aca="false">IF(AE588&lt;=Y588,AA588,0)</f>
        <v>0</v>
      </c>
      <c r="AG588" s="46" t="n">
        <f aca="false">MIN(AC588,I588)</f>
        <v>32</v>
      </c>
      <c r="AH588" s="46" t="n">
        <f aca="false">I588-AG588</f>
        <v>0</v>
      </c>
      <c r="AI588" s="46" t="n">
        <f aca="false">AC588-AG588</f>
        <v>220</v>
      </c>
      <c r="AJ588" s="46" t="n">
        <f aca="false">IF(AH588&gt;0,1,0)</f>
        <v>0</v>
      </c>
    </row>
    <row r="589" customFormat="false" ht="15" hidden="false" customHeight="false" outlineLevel="0" collapsed="false">
      <c r="A589" s="31" t="str">
        <f aca="false">Inputs!$B$73</f>
        <v>ELE-005</v>
      </c>
      <c r="B589" s="46" t="n">
        <f aca="false">B588+1</f>
        <v>97</v>
      </c>
      <c r="C589" s="46" t="n">
        <f aca="false">MATCH(A589,Inputs!$B$40:$B$87,0)</f>
        <v>34</v>
      </c>
      <c r="D589" s="32" t="n">
        <f aca="false">INDEX(Inputs!$F$40:$F$87,C589)</f>
        <v>6</v>
      </c>
      <c r="E589" s="78" t="n">
        <f aca="false">INDEX(Inputs!$H$40:$H$87,C589)</f>
        <v>23</v>
      </c>
      <c r="F589" s="78" t="n">
        <f aca="false">INDEX(Inputs!$G$40:$G$87,C589)</f>
        <v>90</v>
      </c>
      <c r="G589" s="32" t="n">
        <f aca="false">INDEX(Inputs!$I$40:$I$87,C589)</f>
        <v>6</v>
      </c>
      <c r="H589" s="46" t="n">
        <f aca="false">MATCH(A589,Demand_History!$C:$C,0)+B589-1</f>
        <v>3530</v>
      </c>
      <c r="I589" s="32" t="n">
        <f aca="false">INDEX(Forecast_Walkforward!$C:$C,H589)</f>
        <v>31</v>
      </c>
      <c r="J589" s="79" t="n">
        <f aca="false">INDEX(Forecast_Walkforward!$E:$E,H589)</f>
        <v>29</v>
      </c>
      <c r="K589" s="33" t="n">
        <f aca="false">Baseline_Weeks*J589</f>
        <v>116</v>
      </c>
      <c r="L589" s="46" t="n">
        <f aca="false">SUMIFS(P$581:P588,$B$581:$B588,$B589-$D589)</f>
        <v>30</v>
      </c>
      <c r="M589" s="46" t="n">
        <f aca="false">S588+L589</f>
        <v>30</v>
      </c>
      <c r="N589" s="46" t="n">
        <f aca="false">SUMIFS(P$581:P588,$B$581:$B588,"&gt;"&amp;($B589-$D589))</f>
        <v>90</v>
      </c>
      <c r="O589" s="46" t="n">
        <f aca="false">M589+N589</f>
        <v>120</v>
      </c>
      <c r="P589" s="47" t="n">
        <f aca="false">IF(O589&lt;K589,ROUNDUP((K589-O589)/G589,0)*G589,0)</f>
        <v>0</v>
      </c>
      <c r="Q589" s="46" t="n">
        <f aca="false">MIN(M589,I589)</f>
        <v>30</v>
      </c>
      <c r="R589" s="46" t="n">
        <f aca="false">I589-Q589</f>
        <v>1</v>
      </c>
      <c r="S589" s="46" t="n">
        <f aca="false">M589-Q589</f>
        <v>0</v>
      </c>
      <c r="T589" s="46" t="n">
        <f aca="false">IF(R589&gt;0,1,0)</f>
        <v>1</v>
      </c>
      <c r="U589" s="32" t="n">
        <f aca="false">INDEX(Forecast!$AY$7:$AY$54,C589)</f>
        <v>2</v>
      </c>
      <c r="V589" s="33" t="n">
        <f aca="false">CHOOSE(U589,INDEX(Forecast_Walkforward!$D:$D,H589),INDEX(Forecast_Walkforward!$E:$E,H589),INDEX(Forecast_Walkforward!$F:$F,H589),INDEX(Forecast_Walkforward!$G:$G,H589))</f>
        <v>29</v>
      </c>
      <c r="W589" s="79" t="n">
        <f aca="false">INDEX(Forecast!$BA$7:$BA$54,C589)</f>
        <v>5.24319029739728</v>
      </c>
      <c r="X589" s="33" t="n">
        <f aca="false">Z_Value*W589*SQRT(D589)</f>
        <v>21.1250868133986</v>
      </c>
      <c r="Y589" s="33" t="n">
        <f aca="false">V589*D589+X589</f>
        <v>195.125086813399</v>
      </c>
      <c r="Z589" s="33" t="n">
        <f aca="false">SQRT((2*V589*Weeks_Per_Year*F589)/(E589*Holding_Rate))</f>
        <v>242.917055087069</v>
      </c>
      <c r="AA589" s="46" t="n">
        <f aca="false">ROUNDUP(Z589/G589,0)*G589</f>
        <v>246</v>
      </c>
      <c r="AB589" s="46" t="n">
        <f aca="false">SUMIFS(AF$581:AF588,$B$581:$B588,$B589-$D589)</f>
        <v>0</v>
      </c>
      <c r="AC589" s="46" t="n">
        <f aca="false">AI588+AB589</f>
        <v>220</v>
      </c>
      <c r="AD589" s="46" t="n">
        <f aca="false">SUMIFS(AF$581:AF588,$B$581:$B588,"&gt;"&amp;($B589-$D589))</f>
        <v>0</v>
      </c>
      <c r="AE589" s="46" t="n">
        <f aca="false">AC589+AD589</f>
        <v>220</v>
      </c>
      <c r="AF589" s="47" t="n">
        <f aca="false">IF(AE589&lt;=Y589,AA589,0)</f>
        <v>0</v>
      </c>
      <c r="AG589" s="46" t="n">
        <f aca="false">MIN(AC589,I589)</f>
        <v>31</v>
      </c>
      <c r="AH589" s="46" t="n">
        <f aca="false">I589-AG589</f>
        <v>0</v>
      </c>
      <c r="AI589" s="46" t="n">
        <f aca="false">AC589-AG589</f>
        <v>189</v>
      </c>
      <c r="AJ589" s="46" t="n">
        <f aca="false">IF(AH589&gt;0,1,0)</f>
        <v>0</v>
      </c>
    </row>
    <row r="590" customFormat="false" ht="15" hidden="false" customHeight="false" outlineLevel="0" collapsed="false">
      <c r="A590" s="31" t="str">
        <f aca="false">Inputs!$B$73</f>
        <v>ELE-005</v>
      </c>
      <c r="B590" s="46" t="n">
        <f aca="false">B589+1</f>
        <v>98</v>
      </c>
      <c r="C590" s="46" t="n">
        <f aca="false">MATCH(A590,Inputs!$B$40:$B$87,0)</f>
        <v>34</v>
      </c>
      <c r="D590" s="32" t="n">
        <f aca="false">INDEX(Inputs!$F$40:$F$87,C590)</f>
        <v>6</v>
      </c>
      <c r="E590" s="78" t="n">
        <f aca="false">INDEX(Inputs!$H$40:$H$87,C590)</f>
        <v>23</v>
      </c>
      <c r="F590" s="78" t="n">
        <f aca="false">INDEX(Inputs!$G$40:$G$87,C590)</f>
        <v>90</v>
      </c>
      <c r="G590" s="32" t="n">
        <f aca="false">INDEX(Inputs!$I$40:$I$87,C590)</f>
        <v>6</v>
      </c>
      <c r="H590" s="46" t="n">
        <f aca="false">MATCH(A590,Demand_History!$C:$C,0)+B590-1</f>
        <v>3531</v>
      </c>
      <c r="I590" s="32" t="n">
        <f aca="false">INDEX(Forecast_Walkforward!$C:$C,H590)</f>
        <v>34</v>
      </c>
      <c r="J590" s="79" t="n">
        <f aca="false">INDEX(Forecast_Walkforward!$E:$E,H590)</f>
        <v>29.5</v>
      </c>
      <c r="K590" s="33" t="n">
        <f aca="false">Baseline_Weeks*J590</f>
        <v>118</v>
      </c>
      <c r="L590" s="46" t="n">
        <f aca="false">SUMIFS(P$581:P589,$B$581:$B589,$B590-$D590)</f>
        <v>24</v>
      </c>
      <c r="M590" s="46" t="n">
        <f aca="false">S589+L590</f>
        <v>24</v>
      </c>
      <c r="N590" s="46" t="n">
        <f aca="false">SUMIFS(P$581:P589,$B$581:$B589,"&gt;"&amp;($B590-$D590))</f>
        <v>66</v>
      </c>
      <c r="O590" s="46" t="n">
        <f aca="false">M590+N590</f>
        <v>90</v>
      </c>
      <c r="P590" s="47" t="n">
        <f aca="false">IF(O590&lt;K590,ROUNDUP((K590-O590)/G590,0)*G590,0)</f>
        <v>30</v>
      </c>
      <c r="Q590" s="46" t="n">
        <f aca="false">MIN(M590,I590)</f>
        <v>24</v>
      </c>
      <c r="R590" s="46" t="n">
        <f aca="false">I590-Q590</f>
        <v>10</v>
      </c>
      <c r="S590" s="46" t="n">
        <f aca="false">M590-Q590</f>
        <v>0</v>
      </c>
      <c r="T590" s="46" t="n">
        <f aca="false">IF(R590&gt;0,1,0)</f>
        <v>1</v>
      </c>
      <c r="U590" s="32" t="n">
        <f aca="false">INDEX(Forecast!$AY$7:$AY$54,C590)</f>
        <v>2</v>
      </c>
      <c r="V590" s="33" t="n">
        <f aca="false">CHOOSE(U590,INDEX(Forecast_Walkforward!$D:$D,H590),INDEX(Forecast_Walkforward!$E:$E,H590),INDEX(Forecast_Walkforward!$F:$F,H590),INDEX(Forecast_Walkforward!$G:$G,H590))</f>
        <v>29.5</v>
      </c>
      <c r="W590" s="79" t="n">
        <f aca="false">INDEX(Forecast!$BA$7:$BA$54,C590)</f>
        <v>5.24319029739728</v>
      </c>
      <c r="X590" s="33" t="n">
        <f aca="false">Z_Value*W590*SQRT(D590)</f>
        <v>21.1250868133986</v>
      </c>
      <c r="Y590" s="33" t="n">
        <f aca="false">V590*D590+X590</f>
        <v>198.125086813399</v>
      </c>
      <c r="Z590" s="33" t="n">
        <f aca="false">SQRT((2*V590*Weeks_Per_Year*F590)/(E590*Holding_Rate))</f>
        <v>245.002218268574</v>
      </c>
      <c r="AA590" s="46" t="n">
        <f aca="false">ROUNDUP(Z590/G590,0)*G590</f>
        <v>246</v>
      </c>
      <c r="AB590" s="46" t="n">
        <f aca="false">SUMIFS(AF$581:AF589,$B$581:$B589,$B590-$D590)</f>
        <v>0</v>
      </c>
      <c r="AC590" s="46" t="n">
        <f aca="false">AI589+AB590</f>
        <v>189</v>
      </c>
      <c r="AD590" s="46" t="n">
        <f aca="false">SUMIFS(AF$581:AF589,$B$581:$B589,"&gt;"&amp;($B590-$D590))</f>
        <v>0</v>
      </c>
      <c r="AE590" s="46" t="n">
        <f aca="false">AC590+AD590</f>
        <v>189</v>
      </c>
      <c r="AF590" s="47" t="n">
        <f aca="false">IF(AE590&lt;=Y590,AA590,0)</f>
        <v>246</v>
      </c>
      <c r="AG590" s="46" t="n">
        <f aca="false">MIN(AC590,I590)</f>
        <v>34</v>
      </c>
      <c r="AH590" s="46" t="n">
        <f aca="false">I590-AG590</f>
        <v>0</v>
      </c>
      <c r="AI590" s="46" t="n">
        <f aca="false">AC590-AG590</f>
        <v>155</v>
      </c>
      <c r="AJ590" s="46" t="n">
        <f aca="false">IF(AH590&gt;0,1,0)</f>
        <v>0</v>
      </c>
    </row>
    <row r="591" customFormat="false" ht="15" hidden="false" customHeight="false" outlineLevel="0" collapsed="false">
      <c r="A591" s="31" t="str">
        <f aca="false">Inputs!$B$73</f>
        <v>ELE-005</v>
      </c>
      <c r="B591" s="46" t="n">
        <f aca="false">B590+1</f>
        <v>99</v>
      </c>
      <c r="C591" s="46" t="n">
        <f aca="false">MATCH(A591,Inputs!$B$40:$B$87,0)</f>
        <v>34</v>
      </c>
      <c r="D591" s="32" t="n">
        <f aca="false">INDEX(Inputs!$F$40:$F$87,C591)</f>
        <v>6</v>
      </c>
      <c r="E591" s="78" t="n">
        <f aca="false">INDEX(Inputs!$H$40:$H$87,C591)</f>
        <v>23</v>
      </c>
      <c r="F591" s="78" t="n">
        <f aca="false">INDEX(Inputs!$G$40:$G$87,C591)</f>
        <v>90</v>
      </c>
      <c r="G591" s="32" t="n">
        <f aca="false">INDEX(Inputs!$I$40:$I$87,C591)</f>
        <v>6</v>
      </c>
      <c r="H591" s="46" t="n">
        <f aca="false">MATCH(A591,Demand_History!$C:$C,0)+B591-1</f>
        <v>3532</v>
      </c>
      <c r="I591" s="32" t="n">
        <f aca="false">INDEX(Forecast_Walkforward!$C:$C,H591)</f>
        <v>29</v>
      </c>
      <c r="J591" s="79" t="n">
        <f aca="false">INDEX(Forecast_Walkforward!$E:$E,H591)</f>
        <v>30</v>
      </c>
      <c r="K591" s="33" t="n">
        <f aca="false">Baseline_Weeks*J591</f>
        <v>120</v>
      </c>
      <c r="L591" s="46" t="n">
        <f aca="false">SUMIFS(P$581:P590,$B$581:$B590,$B591-$D591)</f>
        <v>18</v>
      </c>
      <c r="M591" s="46" t="n">
        <f aca="false">S590+L591</f>
        <v>18</v>
      </c>
      <c r="N591" s="46" t="n">
        <f aca="false">SUMIFS(P$581:P590,$B$581:$B590,"&gt;"&amp;($B591-$D591))</f>
        <v>78</v>
      </c>
      <c r="O591" s="46" t="n">
        <f aca="false">M591+N591</f>
        <v>96</v>
      </c>
      <c r="P591" s="47" t="n">
        <f aca="false">IF(O591&lt;K591,ROUNDUP((K591-O591)/G591,0)*G591,0)</f>
        <v>24</v>
      </c>
      <c r="Q591" s="46" t="n">
        <f aca="false">MIN(M591,I591)</f>
        <v>18</v>
      </c>
      <c r="R591" s="46" t="n">
        <f aca="false">I591-Q591</f>
        <v>11</v>
      </c>
      <c r="S591" s="46" t="n">
        <f aca="false">M591-Q591</f>
        <v>0</v>
      </c>
      <c r="T591" s="46" t="n">
        <f aca="false">IF(R591&gt;0,1,0)</f>
        <v>1</v>
      </c>
      <c r="U591" s="32" t="n">
        <f aca="false">INDEX(Forecast!$AY$7:$AY$54,C591)</f>
        <v>2</v>
      </c>
      <c r="V591" s="33" t="n">
        <f aca="false">CHOOSE(U591,INDEX(Forecast_Walkforward!$D:$D,H591),INDEX(Forecast_Walkforward!$E:$E,H591),INDEX(Forecast_Walkforward!$F:$F,H591),INDEX(Forecast_Walkforward!$G:$G,H591))</f>
        <v>30</v>
      </c>
      <c r="W591" s="79" t="n">
        <f aca="false">INDEX(Forecast!$BA$7:$BA$54,C591)</f>
        <v>5.24319029739728</v>
      </c>
      <c r="X591" s="33" t="n">
        <f aca="false">Z_Value*W591*SQRT(D591)</f>
        <v>21.1250868133986</v>
      </c>
      <c r="Y591" s="33" t="n">
        <f aca="false">V591*D591+X591</f>
        <v>201.125086813399</v>
      </c>
      <c r="Z591" s="33" t="n">
        <f aca="false">SQRT((2*V591*Weeks_Per_Year*F591)/(E591*Holding_Rate))</f>
        <v>247.069784192381</v>
      </c>
      <c r="AA591" s="46" t="n">
        <f aca="false">ROUNDUP(Z591/G591,0)*G591</f>
        <v>252</v>
      </c>
      <c r="AB591" s="46" t="n">
        <f aca="false">SUMIFS(AF$581:AF590,$B$581:$B590,$B591-$D591)</f>
        <v>0</v>
      </c>
      <c r="AC591" s="46" t="n">
        <f aca="false">AI590+AB591</f>
        <v>155</v>
      </c>
      <c r="AD591" s="46" t="n">
        <f aca="false">SUMIFS(AF$581:AF590,$B$581:$B590,"&gt;"&amp;($B591-$D591))</f>
        <v>246</v>
      </c>
      <c r="AE591" s="46" t="n">
        <f aca="false">AC591+AD591</f>
        <v>401</v>
      </c>
      <c r="AF591" s="47" t="n">
        <f aca="false">IF(AE591&lt;=Y591,AA591,0)</f>
        <v>0</v>
      </c>
      <c r="AG591" s="46" t="n">
        <f aca="false">MIN(AC591,I591)</f>
        <v>29</v>
      </c>
      <c r="AH591" s="46" t="n">
        <f aca="false">I591-AG591</f>
        <v>0</v>
      </c>
      <c r="AI591" s="46" t="n">
        <f aca="false">AC591-AG591</f>
        <v>126</v>
      </c>
      <c r="AJ591" s="46" t="n">
        <f aca="false">IF(AH591&gt;0,1,0)</f>
        <v>0</v>
      </c>
    </row>
    <row r="592" customFormat="false" ht="15" hidden="false" customHeight="false" outlineLevel="0" collapsed="false">
      <c r="A592" s="31" t="str">
        <f aca="false">Inputs!$B$73</f>
        <v>ELE-005</v>
      </c>
      <c r="B592" s="46" t="n">
        <f aca="false">B591+1</f>
        <v>100</v>
      </c>
      <c r="C592" s="46" t="n">
        <f aca="false">MATCH(A592,Inputs!$B$40:$B$87,0)</f>
        <v>34</v>
      </c>
      <c r="D592" s="32" t="n">
        <f aca="false">INDEX(Inputs!$F$40:$F$87,C592)</f>
        <v>6</v>
      </c>
      <c r="E592" s="78" t="n">
        <f aca="false">INDEX(Inputs!$H$40:$H$87,C592)</f>
        <v>23</v>
      </c>
      <c r="F592" s="78" t="n">
        <f aca="false">INDEX(Inputs!$G$40:$G$87,C592)</f>
        <v>90</v>
      </c>
      <c r="G592" s="32" t="n">
        <f aca="false">INDEX(Inputs!$I$40:$I$87,C592)</f>
        <v>6</v>
      </c>
      <c r="H592" s="46" t="n">
        <f aca="false">MATCH(A592,Demand_History!$C:$C,0)+B592-1</f>
        <v>3533</v>
      </c>
      <c r="I592" s="32" t="n">
        <f aca="false">INDEX(Forecast_Walkforward!$C:$C,H592)</f>
        <v>31</v>
      </c>
      <c r="J592" s="79" t="n">
        <f aca="false">INDEX(Forecast_Walkforward!$E:$E,H592)</f>
        <v>31.5</v>
      </c>
      <c r="K592" s="33" t="n">
        <f aca="false">Baseline_Weeks*J592</f>
        <v>126</v>
      </c>
      <c r="L592" s="46" t="n">
        <f aca="false">SUMIFS(P$581:P591,$B$581:$B591,$B592-$D592)</f>
        <v>18</v>
      </c>
      <c r="M592" s="46" t="n">
        <f aca="false">S591+L592</f>
        <v>18</v>
      </c>
      <c r="N592" s="46" t="n">
        <f aca="false">SUMIFS(P$581:P591,$B$581:$B591,"&gt;"&amp;($B592-$D592))</f>
        <v>84</v>
      </c>
      <c r="O592" s="46" t="n">
        <f aca="false">M592+N592</f>
        <v>102</v>
      </c>
      <c r="P592" s="47" t="n">
        <f aca="false">IF(O592&lt;K592,ROUNDUP((K592-O592)/G592,0)*G592,0)</f>
        <v>24</v>
      </c>
      <c r="Q592" s="46" t="n">
        <f aca="false">MIN(M592,I592)</f>
        <v>18</v>
      </c>
      <c r="R592" s="46" t="n">
        <f aca="false">I592-Q592</f>
        <v>13</v>
      </c>
      <c r="S592" s="46" t="n">
        <f aca="false">M592-Q592</f>
        <v>0</v>
      </c>
      <c r="T592" s="46" t="n">
        <f aca="false">IF(R592&gt;0,1,0)</f>
        <v>1</v>
      </c>
      <c r="U592" s="32" t="n">
        <f aca="false">INDEX(Forecast!$AY$7:$AY$54,C592)</f>
        <v>2</v>
      </c>
      <c r="V592" s="33" t="n">
        <f aca="false">CHOOSE(U592,INDEX(Forecast_Walkforward!$D:$D,H592),INDEX(Forecast_Walkforward!$E:$E,H592),INDEX(Forecast_Walkforward!$F:$F,H592),INDEX(Forecast_Walkforward!$G:$G,H592))</f>
        <v>31.5</v>
      </c>
      <c r="W592" s="79" t="n">
        <f aca="false">INDEX(Forecast!$BA$7:$BA$54,C592)</f>
        <v>5.24319029739728</v>
      </c>
      <c r="X592" s="33" t="n">
        <f aca="false">Z_Value*W592*SQRT(D592)</f>
        <v>21.1250868133986</v>
      </c>
      <c r="Y592" s="33" t="n">
        <f aca="false">V592*D592+X592</f>
        <v>210.125086813399</v>
      </c>
      <c r="Z592" s="33" t="n">
        <f aca="false">SQRT((2*V592*Weeks_Per_Year*F592)/(E592*Holding_Rate))</f>
        <v>253.171191437559</v>
      </c>
      <c r="AA592" s="46" t="n">
        <f aca="false">ROUNDUP(Z592/G592,0)*G592</f>
        <v>258</v>
      </c>
      <c r="AB592" s="46" t="n">
        <f aca="false">SUMIFS(AF$581:AF591,$B$581:$B591,$B592-$D592)</f>
        <v>0</v>
      </c>
      <c r="AC592" s="46" t="n">
        <f aca="false">AI591+AB592</f>
        <v>126</v>
      </c>
      <c r="AD592" s="46" t="n">
        <f aca="false">SUMIFS(AF$581:AF591,$B$581:$B591,"&gt;"&amp;($B592-$D592))</f>
        <v>246</v>
      </c>
      <c r="AE592" s="46" t="n">
        <f aca="false">AC592+AD592</f>
        <v>372</v>
      </c>
      <c r="AF592" s="47" t="n">
        <f aca="false">IF(AE592&lt;=Y592,AA592,0)</f>
        <v>0</v>
      </c>
      <c r="AG592" s="46" t="n">
        <f aca="false">MIN(AC592,I592)</f>
        <v>31</v>
      </c>
      <c r="AH592" s="46" t="n">
        <f aca="false">I592-AG592</f>
        <v>0</v>
      </c>
      <c r="AI592" s="46" t="n">
        <f aca="false">AC592-AG592</f>
        <v>95</v>
      </c>
      <c r="AJ592" s="46" t="n">
        <f aca="false">IF(AH592&gt;0,1,0)</f>
        <v>0</v>
      </c>
    </row>
    <row r="593" customFormat="false" ht="15" hidden="false" customHeight="false" outlineLevel="0" collapsed="false">
      <c r="A593" s="31" t="str">
        <f aca="false">Inputs!$B$73</f>
        <v>ELE-005</v>
      </c>
      <c r="B593" s="46" t="n">
        <f aca="false">B592+1</f>
        <v>101</v>
      </c>
      <c r="C593" s="46" t="n">
        <f aca="false">MATCH(A593,Inputs!$B$40:$B$87,0)</f>
        <v>34</v>
      </c>
      <c r="D593" s="32" t="n">
        <f aca="false">INDEX(Inputs!$F$40:$F$87,C593)</f>
        <v>6</v>
      </c>
      <c r="E593" s="78" t="n">
        <f aca="false">INDEX(Inputs!$H$40:$H$87,C593)</f>
        <v>23</v>
      </c>
      <c r="F593" s="78" t="n">
        <f aca="false">INDEX(Inputs!$G$40:$G$87,C593)</f>
        <v>90</v>
      </c>
      <c r="G593" s="32" t="n">
        <f aca="false">INDEX(Inputs!$I$40:$I$87,C593)</f>
        <v>6</v>
      </c>
      <c r="H593" s="46" t="n">
        <f aca="false">MATCH(A593,Demand_History!$C:$C,0)+B593-1</f>
        <v>3534</v>
      </c>
      <c r="I593" s="32" t="n">
        <f aca="false">INDEX(Forecast_Walkforward!$C:$C,H593)</f>
        <v>27</v>
      </c>
      <c r="J593" s="79" t="n">
        <f aca="false">INDEX(Forecast_Walkforward!$E:$E,H593)</f>
        <v>31.25</v>
      </c>
      <c r="K593" s="33" t="n">
        <f aca="false">Baseline_Weeks*J593</f>
        <v>125</v>
      </c>
      <c r="L593" s="46" t="n">
        <f aca="false">SUMIFS(P$581:P592,$B$581:$B592,$B593-$D593)</f>
        <v>30</v>
      </c>
      <c r="M593" s="46" t="n">
        <f aca="false">S592+L593</f>
        <v>30</v>
      </c>
      <c r="N593" s="46" t="n">
        <f aca="false">SUMIFS(P$581:P592,$B$581:$B592,"&gt;"&amp;($B593-$D593))</f>
        <v>78</v>
      </c>
      <c r="O593" s="46" t="n">
        <f aca="false">M593+N593</f>
        <v>108</v>
      </c>
      <c r="P593" s="47" t="n">
        <f aca="false">IF(O593&lt;K593,ROUNDUP((K593-O593)/G593,0)*G593,0)</f>
        <v>18</v>
      </c>
      <c r="Q593" s="46" t="n">
        <f aca="false">MIN(M593,I593)</f>
        <v>27</v>
      </c>
      <c r="R593" s="46" t="n">
        <f aca="false">I593-Q593</f>
        <v>0</v>
      </c>
      <c r="S593" s="46" t="n">
        <f aca="false">M593-Q593</f>
        <v>3</v>
      </c>
      <c r="T593" s="46" t="n">
        <f aca="false">IF(R593&gt;0,1,0)</f>
        <v>0</v>
      </c>
      <c r="U593" s="32" t="n">
        <f aca="false">INDEX(Forecast!$AY$7:$AY$54,C593)</f>
        <v>2</v>
      </c>
      <c r="V593" s="33" t="n">
        <f aca="false">CHOOSE(U593,INDEX(Forecast_Walkforward!$D:$D,H593),INDEX(Forecast_Walkforward!$E:$E,H593),INDEX(Forecast_Walkforward!$F:$F,H593),INDEX(Forecast_Walkforward!$G:$G,H593))</f>
        <v>31.25</v>
      </c>
      <c r="W593" s="79" t="n">
        <f aca="false">INDEX(Forecast!$BA$7:$BA$54,C593)</f>
        <v>5.24319029739728</v>
      </c>
      <c r="X593" s="33" t="n">
        <f aca="false">Z_Value*W593*SQRT(D593)</f>
        <v>21.1250868133986</v>
      </c>
      <c r="Y593" s="33" t="n">
        <f aca="false">V593*D593+X593</f>
        <v>208.625086813399</v>
      </c>
      <c r="Z593" s="33" t="n">
        <f aca="false">SQRT((2*V593*Weeks_Per_Year*F593)/(E593*Holding_Rate))</f>
        <v>252.164542554537</v>
      </c>
      <c r="AA593" s="46" t="n">
        <f aca="false">ROUNDUP(Z593/G593,0)*G593</f>
        <v>258</v>
      </c>
      <c r="AB593" s="46" t="n">
        <f aca="false">SUMIFS(AF$581:AF592,$B$581:$B592,$B593-$D593)</f>
        <v>0</v>
      </c>
      <c r="AC593" s="46" t="n">
        <f aca="false">AI592+AB593</f>
        <v>95</v>
      </c>
      <c r="AD593" s="46" t="n">
        <f aca="false">SUMIFS(AF$581:AF592,$B$581:$B592,"&gt;"&amp;($B593-$D593))</f>
        <v>246</v>
      </c>
      <c r="AE593" s="46" t="n">
        <f aca="false">AC593+AD593</f>
        <v>341</v>
      </c>
      <c r="AF593" s="47" t="n">
        <f aca="false">IF(AE593&lt;=Y593,AA593,0)</f>
        <v>0</v>
      </c>
      <c r="AG593" s="46" t="n">
        <f aca="false">MIN(AC593,I593)</f>
        <v>27</v>
      </c>
      <c r="AH593" s="46" t="n">
        <f aca="false">I593-AG593</f>
        <v>0</v>
      </c>
      <c r="AI593" s="46" t="n">
        <f aca="false">AC593-AG593</f>
        <v>68</v>
      </c>
      <c r="AJ593" s="46" t="n">
        <f aca="false">IF(AH593&gt;0,1,0)</f>
        <v>0</v>
      </c>
    </row>
    <row r="594" customFormat="false" ht="15" hidden="false" customHeight="false" outlineLevel="0" collapsed="false">
      <c r="A594" s="31" t="str">
        <f aca="false">Inputs!$B$73</f>
        <v>ELE-005</v>
      </c>
      <c r="B594" s="46" t="n">
        <f aca="false">B593+1</f>
        <v>102</v>
      </c>
      <c r="C594" s="46" t="n">
        <f aca="false">MATCH(A594,Inputs!$B$40:$B$87,0)</f>
        <v>34</v>
      </c>
      <c r="D594" s="32" t="n">
        <f aca="false">INDEX(Inputs!$F$40:$F$87,C594)</f>
        <v>6</v>
      </c>
      <c r="E594" s="78" t="n">
        <f aca="false">INDEX(Inputs!$H$40:$H$87,C594)</f>
        <v>23</v>
      </c>
      <c r="F594" s="78" t="n">
        <f aca="false">INDEX(Inputs!$G$40:$G$87,C594)</f>
        <v>90</v>
      </c>
      <c r="G594" s="32" t="n">
        <f aca="false">INDEX(Inputs!$I$40:$I$87,C594)</f>
        <v>6</v>
      </c>
      <c r="H594" s="46" t="n">
        <f aca="false">MATCH(A594,Demand_History!$C:$C,0)+B594-1</f>
        <v>3535</v>
      </c>
      <c r="I594" s="32" t="n">
        <f aca="false">INDEX(Forecast_Walkforward!$C:$C,H594)</f>
        <v>28</v>
      </c>
      <c r="J594" s="79" t="n">
        <f aca="false">INDEX(Forecast_Walkforward!$E:$E,H594)</f>
        <v>30.25</v>
      </c>
      <c r="K594" s="33" t="n">
        <f aca="false">Baseline_Weeks*J594</f>
        <v>121</v>
      </c>
      <c r="L594" s="46" t="n">
        <f aca="false">SUMIFS(P$581:P593,$B$581:$B593,$B594-$D594)</f>
        <v>0</v>
      </c>
      <c r="M594" s="46" t="n">
        <f aca="false">S593+L594</f>
        <v>3</v>
      </c>
      <c r="N594" s="46" t="n">
        <f aca="false">SUMIFS(P$581:P593,$B$581:$B593,"&gt;"&amp;($B594-$D594))</f>
        <v>96</v>
      </c>
      <c r="O594" s="46" t="n">
        <f aca="false">M594+N594</f>
        <v>99</v>
      </c>
      <c r="P594" s="47" t="n">
        <f aca="false">IF(O594&lt;K594,ROUNDUP((K594-O594)/G594,0)*G594,0)</f>
        <v>24</v>
      </c>
      <c r="Q594" s="46" t="n">
        <f aca="false">MIN(M594,I594)</f>
        <v>3</v>
      </c>
      <c r="R594" s="46" t="n">
        <f aca="false">I594-Q594</f>
        <v>25</v>
      </c>
      <c r="S594" s="46" t="n">
        <f aca="false">M594-Q594</f>
        <v>0</v>
      </c>
      <c r="T594" s="46" t="n">
        <f aca="false">IF(R594&gt;0,1,0)</f>
        <v>1</v>
      </c>
      <c r="U594" s="32" t="n">
        <f aca="false">INDEX(Forecast!$AY$7:$AY$54,C594)</f>
        <v>2</v>
      </c>
      <c r="V594" s="33" t="n">
        <f aca="false">CHOOSE(U594,INDEX(Forecast_Walkforward!$D:$D,H594),INDEX(Forecast_Walkforward!$E:$E,H594),INDEX(Forecast_Walkforward!$F:$F,H594),INDEX(Forecast_Walkforward!$G:$G,H594))</f>
        <v>30.25</v>
      </c>
      <c r="W594" s="79" t="n">
        <f aca="false">INDEX(Forecast!$BA$7:$BA$54,C594)</f>
        <v>5.24319029739728</v>
      </c>
      <c r="X594" s="33" t="n">
        <f aca="false">Z_Value*W594*SQRT(D594)</f>
        <v>21.1250868133986</v>
      </c>
      <c r="Y594" s="33" t="n">
        <f aca="false">V594*D594+X594</f>
        <v>202.625086813399</v>
      </c>
      <c r="Z594" s="33" t="n">
        <f aca="false">SQRT((2*V594*Weeks_Per_Year*F594)/(E594*Holding_Rate))</f>
        <v>248.097105813517</v>
      </c>
      <c r="AA594" s="46" t="n">
        <f aca="false">ROUNDUP(Z594/G594,0)*G594</f>
        <v>252</v>
      </c>
      <c r="AB594" s="46" t="n">
        <f aca="false">SUMIFS(AF$581:AF593,$B$581:$B593,$B594-$D594)</f>
        <v>0</v>
      </c>
      <c r="AC594" s="46" t="n">
        <f aca="false">AI593+AB594</f>
        <v>68</v>
      </c>
      <c r="AD594" s="46" t="n">
        <f aca="false">SUMIFS(AF$581:AF593,$B$581:$B593,"&gt;"&amp;($B594-$D594))</f>
        <v>246</v>
      </c>
      <c r="AE594" s="46" t="n">
        <f aca="false">AC594+AD594</f>
        <v>314</v>
      </c>
      <c r="AF594" s="47" t="n">
        <f aca="false">IF(AE594&lt;=Y594,AA594,0)</f>
        <v>0</v>
      </c>
      <c r="AG594" s="46" t="n">
        <f aca="false">MIN(AC594,I594)</f>
        <v>28</v>
      </c>
      <c r="AH594" s="46" t="n">
        <f aca="false">I594-AG594</f>
        <v>0</v>
      </c>
      <c r="AI594" s="46" t="n">
        <f aca="false">AC594-AG594</f>
        <v>40</v>
      </c>
      <c r="AJ594" s="46" t="n">
        <f aca="false">IF(AH594&gt;0,1,0)</f>
        <v>0</v>
      </c>
    </row>
    <row r="595" customFormat="false" ht="15" hidden="false" customHeight="false" outlineLevel="0" collapsed="false">
      <c r="A595" s="31" t="str">
        <f aca="false">Inputs!$B$73</f>
        <v>ELE-005</v>
      </c>
      <c r="B595" s="46" t="n">
        <f aca="false">B594+1</f>
        <v>103</v>
      </c>
      <c r="C595" s="46" t="n">
        <f aca="false">MATCH(A595,Inputs!$B$40:$B$87,0)</f>
        <v>34</v>
      </c>
      <c r="D595" s="32" t="n">
        <f aca="false">INDEX(Inputs!$F$40:$F$87,C595)</f>
        <v>6</v>
      </c>
      <c r="E595" s="78" t="n">
        <f aca="false">INDEX(Inputs!$H$40:$H$87,C595)</f>
        <v>23</v>
      </c>
      <c r="F595" s="78" t="n">
        <f aca="false">INDEX(Inputs!$G$40:$G$87,C595)</f>
        <v>90</v>
      </c>
      <c r="G595" s="32" t="n">
        <f aca="false">INDEX(Inputs!$I$40:$I$87,C595)</f>
        <v>6</v>
      </c>
      <c r="H595" s="46" t="n">
        <f aca="false">MATCH(A595,Demand_History!$C:$C,0)+B595-1</f>
        <v>3536</v>
      </c>
      <c r="I595" s="32" t="n">
        <f aca="false">INDEX(Forecast_Walkforward!$C:$C,H595)</f>
        <v>22</v>
      </c>
      <c r="J595" s="79" t="n">
        <f aca="false">INDEX(Forecast_Walkforward!$E:$E,H595)</f>
        <v>28.75</v>
      </c>
      <c r="K595" s="33" t="n">
        <f aca="false">Baseline_Weeks*J595</f>
        <v>115</v>
      </c>
      <c r="L595" s="46" t="n">
        <f aca="false">SUMIFS(P$581:P594,$B$581:$B594,$B595-$D595)</f>
        <v>0</v>
      </c>
      <c r="M595" s="46" t="n">
        <f aca="false">S594+L595</f>
        <v>0</v>
      </c>
      <c r="N595" s="46" t="n">
        <f aca="false">SUMIFS(P$581:P594,$B$581:$B594,"&gt;"&amp;($B595-$D595))</f>
        <v>120</v>
      </c>
      <c r="O595" s="46" t="n">
        <f aca="false">M595+N595</f>
        <v>120</v>
      </c>
      <c r="P595" s="47" t="n">
        <f aca="false">IF(O595&lt;K595,ROUNDUP((K595-O595)/G595,0)*G595,0)</f>
        <v>0</v>
      </c>
      <c r="Q595" s="46" t="n">
        <f aca="false">MIN(M595,I595)</f>
        <v>0</v>
      </c>
      <c r="R595" s="46" t="n">
        <f aca="false">I595-Q595</f>
        <v>22</v>
      </c>
      <c r="S595" s="46" t="n">
        <f aca="false">M595-Q595</f>
        <v>0</v>
      </c>
      <c r="T595" s="46" t="n">
        <f aca="false">IF(R595&gt;0,1,0)</f>
        <v>1</v>
      </c>
      <c r="U595" s="32" t="n">
        <f aca="false">INDEX(Forecast!$AY$7:$AY$54,C595)</f>
        <v>2</v>
      </c>
      <c r="V595" s="33" t="n">
        <f aca="false">CHOOSE(U595,INDEX(Forecast_Walkforward!$D:$D,H595),INDEX(Forecast_Walkforward!$E:$E,H595),INDEX(Forecast_Walkforward!$F:$F,H595),INDEX(Forecast_Walkforward!$G:$G,H595))</f>
        <v>28.75</v>
      </c>
      <c r="W595" s="79" t="n">
        <f aca="false">INDEX(Forecast!$BA$7:$BA$54,C595)</f>
        <v>5.24319029739728</v>
      </c>
      <c r="X595" s="33" t="n">
        <f aca="false">Z_Value*W595*SQRT(D595)</f>
        <v>21.1250868133986</v>
      </c>
      <c r="Y595" s="33" t="n">
        <f aca="false">V595*D595+X595</f>
        <v>193.625086813399</v>
      </c>
      <c r="Z595" s="33" t="n">
        <f aca="false">SQRT((2*V595*Weeks_Per_Year*F595)/(E595*Holding_Rate))</f>
        <v>241.867732448956</v>
      </c>
      <c r="AA595" s="46" t="n">
        <f aca="false">ROUNDUP(Z595/G595,0)*G595</f>
        <v>246</v>
      </c>
      <c r="AB595" s="46" t="n">
        <f aca="false">SUMIFS(AF$581:AF594,$B$581:$B594,$B595-$D595)</f>
        <v>0</v>
      </c>
      <c r="AC595" s="46" t="n">
        <f aca="false">AI594+AB595</f>
        <v>40</v>
      </c>
      <c r="AD595" s="46" t="n">
        <f aca="false">SUMIFS(AF$581:AF594,$B$581:$B594,"&gt;"&amp;($B595-$D595))</f>
        <v>246</v>
      </c>
      <c r="AE595" s="46" t="n">
        <f aca="false">AC595+AD595</f>
        <v>286</v>
      </c>
      <c r="AF595" s="47" t="n">
        <f aca="false">IF(AE595&lt;=Y595,AA595,0)</f>
        <v>0</v>
      </c>
      <c r="AG595" s="46" t="n">
        <f aca="false">MIN(AC595,I595)</f>
        <v>22</v>
      </c>
      <c r="AH595" s="46" t="n">
        <f aca="false">I595-AG595</f>
        <v>0</v>
      </c>
      <c r="AI595" s="46" t="n">
        <f aca="false">AC595-AG595</f>
        <v>18</v>
      </c>
      <c r="AJ595" s="46" t="n">
        <f aca="false">IF(AH595&gt;0,1,0)</f>
        <v>0</v>
      </c>
    </row>
    <row r="596" customFormat="false" ht="15" hidden="false" customHeight="false" outlineLevel="0" collapsed="false">
      <c r="A596" s="80" t="str">
        <f aca="false">Inputs!$B$73</f>
        <v>ELE-005</v>
      </c>
      <c r="B596" s="81" t="n">
        <f aca="false">B595+1</f>
        <v>104</v>
      </c>
      <c r="C596" s="81" t="n">
        <f aca="false">MATCH(A596,Inputs!$B$40:$B$87,0)</f>
        <v>34</v>
      </c>
      <c r="D596" s="82" t="n">
        <f aca="false">INDEX(Inputs!$F$40:$F$87,C596)</f>
        <v>6</v>
      </c>
      <c r="E596" s="83" t="n">
        <f aca="false">INDEX(Inputs!$H$40:$H$87,C596)</f>
        <v>23</v>
      </c>
      <c r="F596" s="83" t="n">
        <f aca="false">INDEX(Inputs!$G$40:$G$87,C596)</f>
        <v>90</v>
      </c>
      <c r="G596" s="82" t="n">
        <f aca="false">INDEX(Inputs!$I$40:$I$87,C596)</f>
        <v>6</v>
      </c>
      <c r="H596" s="81" t="n">
        <f aca="false">MATCH(A596,Demand_History!$C:$C,0)+B596-1</f>
        <v>3537</v>
      </c>
      <c r="I596" s="82" t="n">
        <f aca="false">INDEX(Forecast_Walkforward!$C:$C,H596)</f>
        <v>30</v>
      </c>
      <c r="J596" s="84" t="n">
        <f aca="false">INDEX(Forecast_Walkforward!$E:$E,H596)</f>
        <v>27</v>
      </c>
      <c r="K596" s="85" t="n">
        <f aca="false">Baseline_Weeks*J596</f>
        <v>108</v>
      </c>
      <c r="L596" s="81" t="n">
        <f aca="false">SUMIFS(P$581:P595,$B$581:$B595,$B596-$D596)</f>
        <v>30</v>
      </c>
      <c r="M596" s="81" t="n">
        <f aca="false">S595+L596</f>
        <v>30</v>
      </c>
      <c r="N596" s="81" t="n">
        <f aca="false">SUMIFS(P$581:P595,$B$581:$B595,"&gt;"&amp;($B596-$D596))</f>
        <v>90</v>
      </c>
      <c r="O596" s="81" t="n">
        <f aca="false">M596+N596</f>
        <v>120</v>
      </c>
      <c r="P596" s="86" t="n">
        <f aca="false">IF(O596&lt;K596,ROUNDUP((K596-O596)/G596,0)*G596,0)</f>
        <v>0</v>
      </c>
      <c r="Q596" s="81" t="n">
        <f aca="false">MIN(M596,I596)</f>
        <v>30</v>
      </c>
      <c r="R596" s="81" t="n">
        <f aca="false">I596-Q596</f>
        <v>0</v>
      </c>
      <c r="S596" s="81" t="n">
        <f aca="false">M596-Q596</f>
        <v>0</v>
      </c>
      <c r="T596" s="81" t="n">
        <f aca="false">IF(R596&gt;0,1,0)</f>
        <v>0</v>
      </c>
      <c r="U596" s="82" t="n">
        <f aca="false">INDEX(Forecast!$AY$7:$AY$54,C596)</f>
        <v>2</v>
      </c>
      <c r="V596" s="85" t="n">
        <f aca="false">CHOOSE(U596,INDEX(Forecast_Walkforward!$D:$D,H596),INDEX(Forecast_Walkforward!$E:$E,H596),INDEX(Forecast_Walkforward!$F:$F,H596),INDEX(Forecast_Walkforward!$G:$G,H596))</f>
        <v>27</v>
      </c>
      <c r="W596" s="84" t="n">
        <f aca="false">INDEX(Forecast!$BA$7:$BA$54,C596)</f>
        <v>5.24319029739728</v>
      </c>
      <c r="X596" s="85" t="n">
        <f aca="false">Z_Value*W596*SQRT(D596)</f>
        <v>21.1250868133986</v>
      </c>
      <c r="Y596" s="85" t="n">
        <f aca="false">V596*D596+X596</f>
        <v>183.125086813399</v>
      </c>
      <c r="Z596" s="85" t="n">
        <f aca="false">SQRT((2*V596*Weeks_Per_Year*F596)/(E596*Holding_Rate))</f>
        <v>234.390977716256</v>
      </c>
      <c r="AA596" s="81" t="n">
        <f aca="false">ROUNDUP(Z596/G596,0)*G596</f>
        <v>240</v>
      </c>
      <c r="AB596" s="81" t="n">
        <f aca="false">SUMIFS(AF$581:AF595,$B$581:$B595,$B596-$D596)</f>
        <v>246</v>
      </c>
      <c r="AC596" s="81" t="n">
        <f aca="false">AI595+AB596</f>
        <v>264</v>
      </c>
      <c r="AD596" s="81" t="n">
        <f aca="false">SUMIFS(AF$581:AF595,$B$581:$B595,"&gt;"&amp;($B596-$D596))</f>
        <v>0</v>
      </c>
      <c r="AE596" s="81" t="n">
        <f aca="false">AC596+AD596</f>
        <v>264</v>
      </c>
      <c r="AF596" s="86" t="n">
        <f aca="false">IF(AE596&lt;=Y596,AA596,0)</f>
        <v>0</v>
      </c>
      <c r="AG596" s="81" t="n">
        <f aca="false">MIN(AC596,I596)</f>
        <v>30</v>
      </c>
      <c r="AH596" s="81" t="n">
        <f aca="false">I596-AG596</f>
        <v>0</v>
      </c>
      <c r="AI596" s="81" t="n">
        <f aca="false">AC596-AG596</f>
        <v>234</v>
      </c>
      <c r="AJ596" s="81" t="n">
        <f aca="false">IF(AH596&gt;0,1,0)</f>
        <v>0</v>
      </c>
    </row>
    <row r="597" customFormat="false" ht="15" hidden="false" customHeight="false" outlineLevel="0" collapsed="false">
      <c r="A597" s="31" t="str">
        <f aca="false">Inputs!$B$74</f>
        <v>ELE-006</v>
      </c>
      <c r="B597" s="46" t="n">
        <f aca="false">BT_Start_Week</f>
        <v>89</v>
      </c>
      <c r="C597" s="46" t="n">
        <f aca="false">MATCH(A597,Inputs!$B$40:$B$87,0)</f>
        <v>35</v>
      </c>
      <c r="D597" s="32" t="n">
        <f aca="false">INDEX(Inputs!$F$40:$F$87,C597)</f>
        <v>6</v>
      </c>
      <c r="E597" s="78" t="n">
        <f aca="false">INDEX(Inputs!$H$40:$H$87,C597)</f>
        <v>17</v>
      </c>
      <c r="F597" s="78" t="n">
        <f aca="false">INDEX(Inputs!$G$40:$G$87,C597)</f>
        <v>90</v>
      </c>
      <c r="G597" s="32" t="n">
        <f aca="false">INDEX(Inputs!$I$40:$I$87,C597)</f>
        <v>10</v>
      </c>
      <c r="H597" s="46" t="n">
        <f aca="false">MATCH(A597,Demand_History!$C:$C,0)+B597-1</f>
        <v>3626</v>
      </c>
      <c r="I597" s="32" t="n">
        <f aca="false">INDEX(Forecast_Walkforward!$C:$C,H597)</f>
        <v>71</v>
      </c>
      <c r="J597" s="79" t="n">
        <f aca="false">INDEX(Forecast_Walkforward!$E:$E,H597)</f>
        <v>70.5</v>
      </c>
      <c r="K597" s="33" t="n">
        <f aca="false">Baseline_Weeks*J597</f>
        <v>282</v>
      </c>
      <c r="L597" s="46" t="n">
        <f aca="false">0</f>
        <v>0</v>
      </c>
      <c r="M597" s="46" t="n">
        <f aca="false">ROUND(BT_Open_Cover*INDEX(Forecast_Walkforward!$F:$F,H597),0)+L597</f>
        <v>394</v>
      </c>
      <c r="N597" s="46" t="n">
        <f aca="false">0</f>
        <v>0</v>
      </c>
      <c r="O597" s="46" t="n">
        <f aca="false">M597+N597</f>
        <v>394</v>
      </c>
      <c r="P597" s="47" t="n">
        <f aca="false">IF(O597&lt;K597,ROUNDUP((K597-O597)/G597,0)*G597,0)</f>
        <v>0</v>
      </c>
      <c r="Q597" s="46" t="n">
        <f aca="false">MIN(M597,I597)</f>
        <v>71</v>
      </c>
      <c r="R597" s="46" t="n">
        <f aca="false">I597-Q597</f>
        <v>0</v>
      </c>
      <c r="S597" s="46" t="n">
        <f aca="false">M597-Q597</f>
        <v>323</v>
      </c>
      <c r="T597" s="46" t="n">
        <f aca="false">IF(R597&gt;0,1,0)</f>
        <v>0</v>
      </c>
      <c r="U597" s="32" t="n">
        <f aca="false">INDEX(Forecast!$AY$7:$AY$54,C597)</f>
        <v>2</v>
      </c>
      <c r="V597" s="33" t="n">
        <f aca="false">CHOOSE(U597,INDEX(Forecast_Walkforward!$D:$D,H597),INDEX(Forecast_Walkforward!$E:$E,H597),INDEX(Forecast_Walkforward!$F:$F,H597),INDEX(Forecast_Walkforward!$G:$G,H597))</f>
        <v>70.5</v>
      </c>
      <c r="W597" s="79" t="n">
        <f aca="false">INDEX(Forecast!$BA$7:$BA$54,C597)</f>
        <v>7.19619735765053</v>
      </c>
      <c r="X597" s="33" t="n">
        <f aca="false">Z_Value*W597*SQRT(D597)</f>
        <v>28.9938539866043</v>
      </c>
      <c r="Y597" s="33" t="n">
        <f aca="false">V597*D597+X597</f>
        <v>451.993853986604</v>
      </c>
      <c r="Z597" s="33" t="n">
        <f aca="false">SQRT((2*V597*Weeks_Per_Year*F597)/(E597*Holding_Rate))</f>
        <v>440.547787352492</v>
      </c>
      <c r="AA597" s="46" t="n">
        <f aca="false">ROUNDUP(Z597/G597,0)*G597</f>
        <v>450</v>
      </c>
      <c r="AB597" s="46" t="n">
        <f aca="false">0</f>
        <v>0</v>
      </c>
      <c r="AC597" s="46" t="n">
        <f aca="false">ROUND(BT_Open_Cover*INDEX(Forecast_Walkforward!$F:$F,H597),0)+AB597</f>
        <v>394</v>
      </c>
      <c r="AD597" s="46" t="n">
        <f aca="false">0</f>
        <v>0</v>
      </c>
      <c r="AE597" s="46" t="n">
        <f aca="false">AC597+AD597</f>
        <v>394</v>
      </c>
      <c r="AF597" s="47" t="n">
        <f aca="false">IF(AE597&lt;=Y597,AA597,0)</f>
        <v>450</v>
      </c>
      <c r="AG597" s="46" t="n">
        <f aca="false">MIN(AC597,I597)</f>
        <v>71</v>
      </c>
      <c r="AH597" s="46" t="n">
        <f aca="false">I597-AG597</f>
        <v>0</v>
      </c>
      <c r="AI597" s="46" t="n">
        <f aca="false">AC597-AG597</f>
        <v>323</v>
      </c>
      <c r="AJ597" s="46" t="n">
        <f aca="false">IF(AH597&gt;0,1,0)</f>
        <v>0</v>
      </c>
    </row>
    <row r="598" customFormat="false" ht="15" hidden="false" customHeight="false" outlineLevel="0" collapsed="false">
      <c r="A598" s="31" t="str">
        <f aca="false">Inputs!$B$74</f>
        <v>ELE-006</v>
      </c>
      <c r="B598" s="46" t="n">
        <f aca="false">B597+1</f>
        <v>90</v>
      </c>
      <c r="C598" s="46" t="n">
        <f aca="false">MATCH(A598,Inputs!$B$40:$B$87,0)</f>
        <v>35</v>
      </c>
      <c r="D598" s="32" t="n">
        <f aca="false">INDEX(Inputs!$F$40:$F$87,C598)</f>
        <v>6</v>
      </c>
      <c r="E598" s="78" t="n">
        <f aca="false">INDEX(Inputs!$H$40:$H$87,C598)</f>
        <v>17</v>
      </c>
      <c r="F598" s="78" t="n">
        <f aca="false">INDEX(Inputs!$G$40:$G$87,C598)</f>
        <v>90</v>
      </c>
      <c r="G598" s="32" t="n">
        <f aca="false">INDEX(Inputs!$I$40:$I$87,C598)</f>
        <v>10</v>
      </c>
      <c r="H598" s="46" t="n">
        <f aca="false">MATCH(A598,Demand_History!$C:$C,0)+B598-1</f>
        <v>3627</v>
      </c>
      <c r="I598" s="32" t="n">
        <f aca="false">INDEX(Forecast_Walkforward!$C:$C,H598)</f>
        <v>57</v>
      </c>
      <c r="J598" s="79" t="n">
        <f aca="false">INDEX(Forecast_Walkforward!$E:$E,H598)</f>
        <v>69.5</v>
      </c>
      <c r="K598" s="33" t="n">
        <f aca="false">Baseline_Weeks*J598</f>
        <v>278</v>
      </c>
      <c r="L598" s="46" t="n">
        <f aca="false">SUMIFS(P$597:P597,$B$597:$B597,$B598-$D598)</f>
        <v>0</v>
      </c>
      <c r="M598" s="46" t="n">
        <f aca="false">S597+L598</f>
        <v>323</v>
      </c>
      <c r="N598" s="46" t="n">
        <f aca="false">SUMIFS(P$597:P597,$B$597:$B597,"&gt;"&amp;($B598-$D598))</f>
        <v>0</v>
      </c>
      <c r="O598" s="46" t="n">
        <f aca="false">M598+N598</f>
        <v>323</v>
      </c>
      <c r="P598" s="47" t="n">
        <f aca="false">IF(O598&lt;K598,ROUNDUP((K598-O598)/G598,0)*G598,0)</f>
        <v>0</v>
      </c>
      <c r="Q598" s="46" t="n">
        <f aca="false">MIN(M598,I598)</f>
        <v>57</v>
      </c>
      <c r="R598" s="46" t="n">
        <f aca="false">I598-Q598</f>
        <v>0</v>
      </c>
      <c r="S598" s="46" t="n">
        <f aca="false">M598-Q598</f>
        <v>266</v>
      </c>
      <c r="T598" s="46" t="n">
        <f aca="false">IF(R598&gt;0,1,0)</f>
        <v>0</v>
      </c>
      <c r="U598" s="32" t="n">
        <f aca="false">INDEX(Forecast!$AY$7:$AY$54,C598)</f>
        <v>2</v>
      </c>
      <c r="V598" s="33" t="n">
        <f aca="false">CHOOSE(U598,INDEX(Forecast_Walkforward!$D:$D,H598),INDEX(Forecast_Walkforward!$E:$E,H598),INDEX(Forecast_Walkforward!$F:$F,H598),INDEX(Forecast_Walkforward!$G:$G,H598))</f>
        <v>69.5</v>
      </c>
      <c r="W598" s="79" t="n">
        <f aca="false">INDEX(Forecast!$BA$7:$BA$54,C598)</f>
        <v>7.19619735765053</v>
      </c>
      <c r="X598" s="33" t="n">
        <f aca="false">Z_Value*W598*SQRT(D598)</f>
        <v>28.9938539866043</v>
      </c>
      <c r="Y598" s="33" t="n">
        <f aca="false">V598*D598+X598</f>
        <v>445.993853986604</v>
      </c>
      <c r="Z598" s="33" t="n">
        <f aca="false">SQRT((2*V598*Weeks_Per_Year*F598)/(E598*Holding_Rate))</f>
        <v>437.412176059041</v>
      </c>
      <c r="AA598" s="46" t="n">
        <f aca="false">ROUNDUP(Z598/G598,0)*G598</f>
        <v>440</v>
      </c>
      <c r="AB598" s="46" t="n">
        <f aca="false">SUMIFS(AF$597:AF597,$B$597:$B597,$B598-$D598)</f>
        <v>0</v>
      </c>
      <c r="AC598" s="46" t="n">
        <f aca="false">AI597+AB598</f>
        <v>323</v>
      </c>
      <c r="AD598" s="46" t="n">
        <f aca="false">SUMIFS(AF$597:AF597,$B$597:$B597,"&gt;"&amp;($B598-$D598))</f>
        <v>450</v>
      </c>
      <c r="AE598" s="46" t="n">
        <f aca="false">AC598+AD598</f>
        <v>773</v>
      </c>
      <c r="AF598" s="47" t="n">
        <f aca="false">IF(AE598&lt;=Y598,AA598,0)</f>
        <v>0</v>
      </c>
      <c r="AG598" s="46" t="n">
        <f aca="false">MIN(AC598,I598)</f>
        <v>57</v>
      </c>
      <c r="AH598" s="46" t="n">
        <f aca="false">I598-AG598</f>
        <v>0</v>
      </c>
      <c r="AI598" s="46" t="n">
        <f aca="false">AC598-AG598</f>
        <v>266</v>
      </c>
      <c r="AJ598" s="46" t="n">
        <f aca="false">IF(AH598&gt;0,1,0)</f>
        <v>0</v>
      </c>
    </row>
    <row r="599" customFormat="false" ht="15" hidden="false" customHeight="false" outlineLevel="0" collapsed="false">
      <c r="A599" s="31" t="str">
        <f aca="false">Inputs!$B$74</f>
        <v>ELE-006</v>
      </c>
      <c r="B599" s="46" t="n">
        <f aca="false">B598+1</f>
        <v>91</v>
      </c>
      <c r="C599" s="46" t="n">
        <f aca="false">MATCH(A599,Inputs!$B$40:$B$87,0)</f>
        <v>35</v>
      </c>
      <c r="D599" s="32" t="n">
        <f aca="false">INDEX(Inputs!$F$40:$F$87,C599)</f>
        <v>6</v>
      </c>
      <c r="E599" s="78" t="n">
        <f aca="false">INDEX(Inputs!$H$40:$H$87,C599)</f>
        <v>17</v>
      </c>
      <c r="F599" s="78" t="n">
        <f aca="false">INDEX(Inputs!$G$40:$G$87,C599)</f>
        <v>90</v>
      </c>
      <c r="G599" s="32" t="n">
        <f aca="false">INDEX(Inputs!$I$40:$I$87,C599)</f>
        <v>10</v>
      </c>
      <c r="H599" s="46" t="n">
        <f aca="false">MATCH(A599,Demand_History!$C:$C,0)+B599-1</f>
        <v>3628</v>
      </c>
      <c r="I599" s="32" t="n">
        <f aca="false">INDEX(Forecast_Walkforward!$C:$C,H599)</f>
        <v>66</v>
      </c>
      <c r="J599" s="79" t="n">
        <f aca="false">INDEX(Forecast_Walkforward!$E:$E,H599)</f>
        <v>66.25</v>
      </c>
      <c r="K599" s="33" t="n">
        <f aca="false">Baseline_Weeks*J599</f>
        <v>265</v>
      </c>
      <c r="L599" s="46" t="n">
        <f aca="false">SUMIFS(P$597:P598,$B$597:$B598,$B599-$D599)</f>
        <v>0</v>
      </c>
      <c r="M599" s="46" t="n">
        <f aca="false">S598+L599</f>
        <v>266</v>
      </c>
      <c r="N599" s="46" t="n">
        <f aca="false">SUMIFS(P$597:P598,$B$597:$B598,"&gt;"&amp;($B599-$D599))</f>
        <v>0</v>
      </c>
      <c r="O599" s="46" t="n">
        <f aca="false">M599+N599</f>
        <v>266</v>
      </c>
      <c r="P599" s="47" t="n">
        <f aca="false">IF(O599&lt;K599,ROUNDUP((K599-O599)/G599,0)*G599,0)</f>
        <v>0</v>
      </c>
      <c r="Q599" s="46" t="n">
        <f aca="false">MIN(M599,I599)</f>
        <v>66</v>
      </c>
      <c r="R599" s="46" t="n">
        <f aca="false">I599-Q599</f>
        <v>0</v>
      </c>
      <c r="S599" s="46" t="n">
        <f aca="false">M599-Q599</f>
        <v>200</v>
      </c>
      <c r="T599" s="46" t="n">
        <f aca="false">IF(R599&gt;0,1,0)</f>
        <v>0</v>
      </c>
      <c r="U599" s="32" t="n">
        <f aca="false">INDEX(Forecast!$AY$7:$AY$54,C599)</f>
        <v>2</v>
      </c>
      <c r="V599" s="33" t="n">
        <f aca="false">CHOOSE(U599,INDEX(Forecast_Walkforward!$D:$D,H599),INDEX(Forecast_Walkforward!$E:$E,H599),INDEX(Forecast_Walkforward!$F:$F,H599),INDEX(Forecast_Walkforward!$G:$G,H599))</f>
        <v>66.25</v>
      </c>
      <c r="W599" s="79" t="n">
        <f aca="false">INDEX(Forecast!$BA$7:$BA$54,C599)</f>
        <v>7.19619735765053</v>
      </c>
      <c r="X599" s="33" t="n">
        <f aca="false">Z_Value*W599*SQRT(D599)</f>
        <v>28.9938539866043</v>
      </c>
      <c r="Y599" s="33" t="n">
        <f aca="false">V599*D599+X599</f>
        <v>426.493853986604</v>
      </c>
      <c r="Z599" s="33" t="n">
        <f aca="false">SQRT((2*V599*Weeks_Per_Year*F599)/(E599*Holding_Rate))</f>
        <v>427.062469600381</v>
      </c>
      <c r="AA599" s="46" t="n">
        <f aca="false">ROUNDUP(Z599/G599,0)*G599</f>
        <v>430</v>
      </c>
      <c r="AB599" s="46" t="n">
        <f aca="false">SUMIFS(AF$597:AF598,$B$597:$B598,$B599-$D599)</f>
        <v>0</v>
      </c>
      <c r="AC599" s="46" t="n">
        <f aca="false">AI598+AB599</f>
        <v>266</v>
      </c>
      <c r="AD599" s="46" t="n">
        <f aca="false">SUMIFS(AF$597:AF598,$B$597:$B598,"&gt;"&amp;($B599-$D599))</f>
        <v>450</v>
      </c>
      <c r="AE599" s="46" t="n">
        <f aca="false">AC599+AD599</f>
        <v>716</v>
      </c>
      <c r="AF599" s="47" t="n">
        <f aca="false">IF(AE599&lt;=Y599,AA599,0)</f>
        <v>0</v>
      </c>
      <c r="AG599" s="46" t="n">
        <f aca="false">MIN(AC599,I599)</f>
        <v>66</v>
      </c>
      <c r="AH599" s="46" t="n">
        <f aca="false">I599-AG599</f>
        <v>0</v>
      </c>
      <c r="AI599" s="46" t="n">
        <f aca="false">AC599-AG599</f>
        <v>200</v>
      </c>
      <c r="AJ599" s="46" t="n">
        <f aca="false">IF(AH599&gt;0,1,0)</f>
        <v>0</v>
      </c>
    </row>
    <row r="600" customFormat="false" ht="15" hidden="false" customHeight="false" outlineLevel="0" collapsed="false">
      <c r="A600" s="31" t="str">
        <f aca="false">Inputs!$B$74</f>
        <v>ELE-006</v>
      </c>
      <c r="B600" s="46" t="n">
        <f aca="false">B599+1</f>
        <v>92</v>
      </c>
      <c r="C600" s="46" t="n">
        <f aca="false">MATCH(A600,Inputs!$B$40:$B$87,0)</f>
        <v>35</v>
      </c>
      <c r="D600" s="32" t="n">
        <f aca="false">INDEX(Inputs!$F$40:$F$87,C600)</f>
        <v>6</v>
      </c>
      <c r="E600" s="78" t="n">
        <f aca="false">INDEX(Inputs!$H$40:$H$87,C600)</f>
        <v>17</v>
      </c>
      <c r="F600" s="78" t="n">
        <f aca="false">INDEX(Inputs!$G$40:$G$87,C600)</f>
        <v>90</v>
      </c>
      <c r="G600" s="32" t="n">
        <f aca="false">INDEX(Inputs!$I$40:$I$87,C600)</f>
        <v>10</v>
      </c>
      <c r="H600" s="46" t="n">
        <f aca="false">MATCH(A600,Demand_History!$C:$C,0)+B600-1</f>
        <v>3629</v>
      </c>
      <c r="I600" s="32" t="n">
        <f aca="false">INDEX(Forecast_Walkforward!$C:$C,H600)</f>
        <v>63</v>
      </c>
      <c r="J600" s="79" t="n">
        <f aca="false">INDEX(Forecast_Walkforward!$E:$E,H600)</f>
        <v>65.75</v>
      </c>
      <c r="K600" s="33" t="n">
        <f aca="false">Baseline_Weeks*J600</f>
        <v>263</v>
      </c>
      <c r="L600" s="46" t="n">
        <f aca="false">SUMIFS(P$597:P599,$B$597:$B599,$B600-$D600)</f>
        <v>0</v>
      </c>
      <c r="M600" s="46" t="n">
        <f aca="false">S599+L600</f>
        <v>200</v>
      </c>
      <c r="N600" s="46" t="n">
        <f aca="false">SUMIFS(P$597:P599,$B$597:$B599,"&gt;"&amp;($B600-$D600))</f>
        <v>0</v>
      </c>
      <c r="O600" s="46" t="n">
        <f aca="false">M600+N600</f>
        <v>200</v>
      </c>
      <c r="P600" s="47" t="n">
        <f aca="false">IF(O600&lt;K600,ROUNDUP((K600-O600)/G600,0)*G600,0)</f>
        <v>70</v>
      </c>
      <c r="Q600" s="46" t="n">
        <f aca="false">MIN(M600,I600)</f>
        <v>63</v>
      </c>
      <c r="R600" s="46" t="n">
        <f aca="false">I600-Q600</f>
        <v>0</v>
      </c>
      <c r="S600" s="46" t="n">
        <f aca="false">M600-Q600</f>
        <v>137</v>
      </c>
      <c r="T600" s="46" t="n">
        <f aca="false">IF(R600&gt;0,1,0)</f>
        <v>0</v>
      </c>
      <c r="U600" s="32" t="n">
        <f aca="false">INDEX(Forecast!$AY$7:$AY$54,C600)</f>
        <v>2</v>
      </c>
      <c r="V600" s="33" t="n">
        <f aca="false">CHOOSE(U600,INDEX(Forecast_Walkforward!$D:$D,H600),INDEX(Forecast_Walkforward!$E:$E,H600),INDEX(Forecast_Walkforward!$F:$F,H600),INDEX(Forecast_Walkforward!$G:$G,H600))</f>
        <v>65.75</v>
      </c>
      <c r="W600" s="79" t="n">
        <f aca="false">INDEX(Forecast!$BA$7:$BA$54,C600)</f>
        <v>7.19619735765053</v>
      </c>
      <c r="X600" s="33" t="n">
        <f aca="false">Z_Value*W600*SQRT(D600)</f>
        <v>28.9938539866043</v>
      </c>
      <c r="Y600" s="33" t="n">
        <f aca="false">V600*D600+X600</f>
        <v>423.493853986604</v>
      </c>
      <c r="Z600" s="33" t="n">
        <f aca="false">SQRT((2*V600*Weeks_Per_Year*F600)/(E600*Holding_Rate))</f>
        <v>425.447860910055</v>
      </c>
      <c r="AA600" s="46" t="n">
        <f aca="false">ROUNDUP(Z600/G600,0)*G600</f>
        <v>430</v>
      </c>
      <c r="AB600" s="46" t="n">
        <f aca="false">SUMIFS(AF$597:AF599,$B$597:$B599,$B600-$D600)</f>
        <v>0</v>
      </c>
      <c r="AC600" s="46" t="n">
        <f aca="false">AI599+AB600</f>
        <v>200</v>
      </c>
      <c r="AD600" s="46" t="n">
        <f aca="false">SUMIFS(AF$597:AF599,$B$597:$B599,"&gt;"&amp;($B600-$D600))</f>
        <v>450</v>
      </c>
      <c r="AE600" s="46" t="n">
        <f aca="false">AC600+AD600</f>
        <v>650</v>
      </c>
      <c r="AF600" s="47" t="n">
        <f aca="false">IF(AE600&lt;=Y600,AA600,0)</f>
        <v>0</v>
      </c>
      <c r="AG600" s="46" t="n">
        <f aca="false">MIN(AC600,I600)</f>
        <v>63</v>
      </c>
      <c r="AH600" s="46" t="n">
        <f aca="false">I600-AG600</f>
        <v>0</v>
      </c>
      <c r="AI600" s="46" t="n">
        <f aca="false">AC600-AG600</f>
        <v>137</v>
      </c>
      <c r="AJ600" s="46" t="n">
        <f aca="false">IF(AH600&gt;0,1,0)</f>
        <v>0</v>
      </c>
    </row>
    <row r="601" customFormat="false" ht="15" hidden="false" customHeight="false" outlineLevel="0" collapsed="false">
      <c r="A601" s="31" t="str">
        <f aca="false">Inputs!$B$74</f>
        <v>ELE-006</v>
      </c>
      <c r="B601" s="46" t="n">
        <f aca="false">B600+1</f>
        <v>93</v>
      </c>
      <c r="C601" s="46" t="n">
        <f aca="false">MATCH(A601,Inputs!$B$40:$B$87,0)</f>
        <v>35</v>
      </c>
      <c r="D601" s="32" t="n">
        <f aca="false">INDEX(Inputs!$F$40:$F$87,C601)</f>
        <v>6</v>
      </c>
      <c r="E601" s="78" t="n">
        <f aca="false">INDEX(Inputs!$H$40:$H$87,C601)</f>
        <v>17</v>
      </c>
      <c r="F601" s="78" t="n">
        <f aca="false">INDEX(Inputs!$G$40:$G$87,C601)</f>
        <v>90</v>
      </c>
      <c r="G601" s="32" t="n">
        <f aca="false">INDEX(Inputs!$I$40:$I$87,C601)</f>
        <v>10</v>
      </c>
      <c r="H601" s="46" t="n">
        <f aca="false">MATCH(A601,Demand_History!$C:$C,0)+B601-1</f>
        <v>3630</v>
      </c>
      <c r="I601" s="32" t="n">
        <f aca="false">INDEX(Forecast_Walkforward!$C:$C,H601)</f>
        <v>59</v>
      </c>
      <c r="J601" s="79" t="n">
        <f aca="false">INDEX(Forecast_Walkforward!$E:$E,H601)</f>
        <v>64.25</v>
      </c>
      <c r="K601" s="33" t="n">
        <f aca="false">Baseline_Weeks*J601</f>
        <v>257</v>
      </c>
      <c r="L601" s="46" t="n">
        <f aca="false">SUMIFS(P$597:P600,$B$597:$B600,$B601-$D601)</f>
        <v>0</v>
      </c>
      <c r="M601" s="46" t="n">
        <f aca="false">S600+L601</f>
        <v>137</v>
      </c>
      <c r="N601" s="46" t="n">
        <f aca="false">SUMIFS(P$597:P600,$B$597:$B600,"&gt;"&amp;($B601-$D601))</f>
        <v>70</v>
      </c>
      <c r="O601" s="46" t="n">
        <f aca="false">M601+N601</f>
        <v>207</v>
      </c>
      <c r="P601" s="47" t="n">
        <f aca="false">IF(O601&lt;K601,ROUNDUP((K601-O601)/G601,0)*G601,0)</f>
        <v>50</v>
      </c>
      <c r="Q601" s="46" t="n">
        <f aca="false">MIN(M601,I601)</f>
        <v>59</v>
      </c>
      <c r="R601" s="46" t="n">
        <f aca="false">I601-Q601</f>
        <v>0</v>
      </c>
      <c r="S601" s="46" t="n">
        <f aca="false">M601-Q601</f>
        <v>78</v>
      </c>
      <c r="T601" s="46" t="n">
        <f aca="false">IF(R601&gt;0,1,0)</f>
        <v>0</v>
      </c>
      <c r="U601" s="32" t="n">
        <f aca="false">INDEX(Forecast!$AY$7:$AY$54,C601)</f>
        <v>2</v>
      </c>
      <c r="V601" s="33" t="n">
        <f aca="false">CHOOSE(U601,INDEX(Forecast_Walkforward!$D:$D,H601),INDEX(Forecast_Walkforward!$E:$E,H601),INDEX(Forecast_Walkforward!$F:$F,H601),INDEX(Forecast_Walkforward!$G:$G,H601))</f>
        <v>64.25</v>
      </c>
      <c r="W601" s="79" t="n">
        <f aca="false">INDEX(Forecast!$BA$7:$BA$54,C601)</f>
        <v>7.19619735765053</v>
      </c>
      <c r="X601" s="33" t="n">
        <f aca="false">Z_Value*W601*SQRT(D601)</f>
        <v>28.9938539866043</v>
      </c>
      <c r="Y601" s="33" t="n">
        <f aca="false">V601*D601+X601</f>
        <v>414.493853986604</v>
      </c>
      <c r="Z601" s="33" t="n">
        <f aca="false">SQRT((2*V601*Weeks_Per_Year*F601)/(E601*Holding_Rate))</f>
        <v>420.56684437582</v>
      </c>
      <c r="AA601" s="46" t="n">
        <f aca="false">ROUNDUP(Z601/G601,0)*G601</f>
        <v>430</v>
      </c>
      <c r="AB601" s="46" t="n">
        <f aca="false">SUMIFS(AF$597:AF600,$B$597:$B600,$B601-$D601)</f>
        <v>0</v>
      </c>
      <c r="AC601" s="46" t="n">
        <f aca="false">AI600+AB601</f>
        <v>137</v>
      </c>
      <c r="AD601" s="46" t="n">
        <f aca="false">SUMIFS(AF$597:AF600,$B$597:$B600,"&gt;"&amp;($B601-$D601))</f>
        <v>450</v>
      </c>
      <c r="AE601" s="46" t="n">
        <f aca="false">AC601+AD601</f>
        <v>587</v>
      </c>
      <c r="AF601" s="47" t="n">
        <f aca="false">IF(AE601&lt;=Y601,AA601,0)</f>
        <v>0</v>
      </c>
      <c r="AG601" s="46" t="n">
        <f aca="false">MIN(AC601,I601)</f>
        <v>59</v>
      </c>
      <c r="AH601" s="46" t="n">
        <f aca="false">I601-AG601</f>
        <v>0</v>
      </c>
      <c r="AI601" s="46" t="n">
        <f aca="false">AC601-AG601</f>
        <v>78</v>
      </c>
      <c r="AJ601" s="46" t="n">
        <f aca="false">IF(AH601&gt;0,1,0)</f>
        <v>0</v>
      </c>
    </row>
    <row r="602" customFormat="false" ht="15" hidden="false" customHeight="false" outlineLevel="0" collapsed="false">
      <c r="A602" s="31" t="str">
        <f aca="false">Inputs!$B$74</f>
        <v>ELE-006</v>
      </c>
      <c r="B602" s="46" t="n">
        <f aca="false">B601+1</f>
        <v>94</v>
      </c>
      <c r="C602" s="46" t="n">
        <f aca="false">MATCH(A602,Inputs!$B$40:$B$87,0)</f>
        <v>35</v>
      </c>
      <c r="D602" s="32" t="n">
        <f aca="false">INDEX(Inputs!$F$40:$F$87,C602)</f>
        <v>6</v>
      </c>
      <c r="E602" s="78" t="n">
        <f aca="false">INDEX(Inputs!$H$40:$H$87,C602)</f>
        <v>17</v>
      </c>
      <c r="F602" s="78" t="n">
        <f aca="false">INDEX(Inputs!$G$40:$G$87,C602)</f>
        <v>90</v>
      </c>
      <c r="G602" s="32" t="n">
        <f aca="false">INDEX(Inputs!$I$40:$I$87,C602)</f>
        <v>10</v>
      </c>
      <c r="H602" s="46" t="n">
        <f aca="false">MATCH(A602,Demand_History!$C:$C,0)+B602-1</f>
        <v>3631</v>
      </c>
      <c r="I602" s="32" t="n">
        <f aca="false">INDEX(Forecast_Walkforward!$C:$C,H602)</f>
        <v>56</v>
      </c>
      <c r="J602" s="79" t="n">
        <f aca="false">INDEX(Forecast_Walkforward!$E:$E,H602)</f>
        <v>61.25</v>
      </c>
      <c r="K602" s="33" t="n">
        <f aca="false">Baseline_Weeks*J602</f>
        <v>245</v>
      </c>
      <c r="L602" s="46" t="n">
        <f aca="false">SUMIFS(P$597:P601,$B$597:$B601,$B602-$D602)</f>
        <v>0</v>
      </c>
      <c r="M602" s="46" t="n">
        <f aca="false">S601+L602</f>
        <v>78</v>
      </c>
      <c r="N602" s="46" t="n">
        <f aca="false">SUMIFS(P$597:P601,$B$597:$B601,"&gt;"&amp;($B602-$D602))</f>
        <v>120</v>
      </c>
      <c r="O602" s="46" t="n">
        <f aca="false">M602+N602</f>
        <v>198</v>
      </c>
      <c r="P602" s="47" t="n">
        <f aca="false">IF(O602&lt;K602,ROUNDUP((K602-O602)/G602,0)*G602,0)</f>
        <v>50</v>
      </c>
      <c r="Q602" s="46" t="n">
        <f aca="false">MIN(M602,I602)</f>
        <v>56</v>
      </c>
      <c r="R602" s="46" t="n">
        <f aca="false">I602-Q602</f>
        <v>0</v>
      </c>
      <c r="S602" s="46" t="n">
        <f aca="false">M602-Q602</f>
        <v>22</v>
      </c>
      <c r="T602" s="46" t="n">
        <f aca="false">IF(R602&gt;0,1,0)</f>
        <v>0</v>
      </c>
      <c r="U602" s="32" t="n">
        <f aca="false">INDEX(Forecast!$AY$7:$AY$54,C602)</f>
        <v>2</v>
      </c>
      <c r="V602" s="33" t="n">
        <f aca="false">CHOOSE(U602,INDEX(Forecast_Walkforward!$D:$D,H602),INDEX(Forecast_Walkforward!$E:$E,H602),INDEX(Forecast_Walkforward!$F:$F,H602),INDEX(Forecast_Walkforward!$G:$G,H602))</f>
        <v>61.25</v>
      </c>
      <c r="W602" s="79" t="n">
        <f aca="false">INDEX(Forecast!$BA$7:$BA$54,C602)</f>
        <v>7.19619735765053</v>
      </c>
      <c r="X602" s="33" t="n">
        <f aca="false">Z_Value*W602*SQRT(D602)</f>
        <v>28.9938539866043</v>
      </c>
      <c r="Y602" s="33" t="n">
        <f aca="false">V602*D602+X602</f>
        <v>396.493853986604</v>
      </c>
      <c r="Z602" s="33" t="n">
        <f aca="false">SQRT((2*V602*Weeks_Per_Year*F602)/(E602*Holding_Rate))</f>
        <v>410.630791659398</v>
      </c>
      <c r="AA602" s="46" t="n">
        <f aca="false">ROUNDUP(Z602/G602,0)*G602</f>
        <v>420</v>
      </c>
      <c r="AB602" s="46" t="n">
        <f aca="false">SUMIFS(AF$597:AF601,$B$597:$B601,$B602-$D602)</f>
        <v>0</v>
      </c>
      <c r="AC602" s="46" t="n">
        <f aca="false">AI601+AB602</f>
        <v>78</v>
      </c>
      <c r="AD602" s="46" t="n">
        <f aca="false">SUMIFS(AF$597:AF601,$B$597:$B601,"&gt;"&amp;($B602-$D602))</f>
        <v>450</v>
      </c>
      <c r="AE602" s="46" t="n">
        <f aca="false">AC602+AD602</f>
        <v>528</v>
      </c>
      <c r="AF602" s="47" t="n">
        <f aca="false">IF(AE602&lt;=Y602,AA602,0)</f>
        <v>0</v>
      </c>
      <c r="AG602" s="46" t="n">
        <f aca="false">MIN(AC602,I602)</f>
        <v>56</v>
      </c>
      <c r="AH602" s="46" t="n">
        <f aca="false">I602-AG602</f>
        <v>0</v>
      </c>
      <c r="AI602" s="46" t="n">
        <f aca="false">AC602-AG602</f>
        <v>22</v>
      </c>
      <c r="AJ602" s="46" t="n">
        <f aca="false">IF(AH602&gt;0,1,0)</f>
        <v>0</v>
      </c>
    </row>
    <row r="603" customFormat="false" ht="15" hidden="false" customHeight="false" outlineLevel="0" collapsed="false">
      <c r="A603" s="31" t="str">
        <f aca="false">Inputs!$B$74</f>
        <v>ELE-006</v>
      </c>
      <c r="B603" s="46" t="n">
        <f aca="false">B602+1</f>
        <v>95</v>
      </c>
      <c r="C603" s="46" t="n">
        <f aca="false">MATCH(A603,Inputs!$B$40:$B$87,0)</f>
        <v>35</v>
      </c>
      <c r="D603" s="32" t="n">
        <f aca="false">INDEX(Inputs!$F$40:$F$87,C603)</f>
        <v>6</v>
      </c>
      <c r="E603" s="78" t="n">
        <f aca="false">INDEX(Inputs!$H$40:$H$87,C603)</f>
        <v>17</v>
      </c>
      <c r="F603" s="78" t="n">
        <f aca="false">INDEX(Inputs!$G$40:$G$87,C603)</f>
        <v>90</v>
      </c>
      <c r="G603" s="32" t="n">
        <f aca="false">INDEX(Inputs!$I$40:$I$87,C603)</f>
        <v>10</v>
      </c>
      <c r="H603" s="46" t="n">
        <f aca="false">MATCH(A603,Demand_History!$C:$C,0)+B603-1</f>
        <v>3632</v>
      </c>
      <c r="I603" s="32" t="n">
        <f aca="false">INDEX(Forecast_Walkforward!$C:$C,H603)</f>
        <v>56</v>
      </c>
      <c r="J603" s="79" t="n">
        <f aca="false">INDEX(Forecast_Walkforward!$E:$E,H603)</f>
        <v>61</v>
      </c>
      <c r="K603" s="33" t="n">
        <f aca="false">Baseline_Weeks*J603</f>
        <v>244</v>
      </c>
      <c r="L603" s="46" t="n">
        <f aca="false">SUMIFS(P$597:P602,$B$597:$B602,$B603-$D603)</f>
        <v>0</v>
      </c>
      <c r="M603" s="46" t="n">
        <f aca="false">S602+L603</f>
        <v>22</v>
      </c>
      <c r="N603" s="46" t="n">
        <f aca="false">SUMIFS(P$597:P602,$B$597:$B602,"&gt;"&amp;($B603-$D603))</f>
        <v>170</v>
      </c>
      <c r="O603" s="46" t="n">
        <f aca="false">M603+N603</f>
        <v>192</v>
      </c>
      <c r="P603" s="47" t="n">
        <f aca="false">IF(O603&lt;K603,ROUNDUP((K603-O603)/G603,0)*G603,0)</f>
        <v>60</v>
      </c>
      <c r="Q603" s="46" t="n">
        <f aca="false">MIN(M603,I603)</f>
        <v>22</v>
      </c>
      <c r="R603" s="46" t="n">
        <f aca="false">I603-Q603</f>
        <v>34</v>
      </c>
      <c r="S603" s="46" t="n">
        <f aca="false">M603-Q603</f>
        <v>0</v>
      </c>
      <c r="T603" s="46" t="n">
        <f aca="false">IF(R603&gt;0,1,0)</f>
        <v>1</v>
      </c>
      <c r="U603" s="32" t="n">
        <f aca="false">INDEX(Forecast!$AY$7:$AY$54,C603)</f>
        <v>2</v>
      </c>
      <c r="V603" s="33" t="n">
        <f aca="false">CHOOSE(U603,INDEX(Forecast_Walkforward!$D:$D,H603),INDEX(Forecast_Walkforward!$E:$E,H603),INDEX(Forecast_Walkforward!$F:$F,H603),INDEX(Forecast_Walkforward!$G:$G,H603))</f>
        <v>61</v>
      </c>
      <c r="W603" s="79" t="n">
        <f aca="false">INDEX(Forecast!$BA$7:$BA$54,C603)</f>
        <v>7.19619735765053</v>
      </c>
      <c r="X603" s="33" t="n">
        <f aca="false">Z_Value*W603*SQRT(D603)</f>
        <v>28.9938539866043</v>
      </c>
      <c r="Y603" s="33" t="n">
        <f aca="false">V603*D603+X603</f>
        <v>394.993853986604</v>
      </c>
      <c r="Z603" s="33" t="n">
        <f aca="false">SQRT((2*V603*Weeks_Per_Year*F603)/(E603*Holding_Rate))</f>
        <v>409.791912761472</v>
      </c>
      <c r="AA603" s="46" t="n">
        <f aca="false">ROUNDUP(Z603/G603,0)*G603</f>
        <v>410</v>
      </c>
      <c r="AB603" s="46" t="n">
        <f aca="false">SUMIFS(AF$597:AF602,$B$597:$B602,$B603-$D603)</f>
        <v>450</v>
      </c>
      <c r="AC603" s="46" t="n">
        <f aca="false">AI602+AB603</f>
        <v>472</v>
      </c>
      <c r="AD603" s="46" t="n">
        <f aca="false">SUMIFS(AF$597:AF602,$B$597:$B602,"&gt;"&amp;($B603-$D603))</f>
        <v>0</v>
      </c>
      <c r="AE603" s="46" t="n">
        <f aca="false">AC603+AD603</f>
        <v>472</v>
      </c>
      <c r="AF603" s="47" t="n">
        <f aca="false">IF(AE603&lt;=Y603,AA603,0)</f>
        <v>0</v>
      </c>
      <c r="AG603" s="46" t="n">
        <f aca="false">MIN(AC603,I603)</f>
        <v>56</v>
      </c>
      <c r="AH603" s="46" t="n">
        <f aca="false">I603-AG603</f>
        <v>0</v>
      </c>
      <c r="AI603" s="46" t="n">
        <f aca="false">AC603-AG603</f>
        <v>416</v>
      </c>
      <c r="AJ603" s="46" t="n">
        <f aca="false">IF(AH603&gt;0,1,0)</f>
        <v>0</v>
      </c>
    </row>
    <row r="604" customFormat="false" ht="15" hidden="false" customHeight="false" outlineLevel="0" collapsed="false">
      <c r="A604" s="31" t="str">
        <f aca="false">Inputs!$B$74</f>
        <v>ELE-006</v>
      </c>
      <c r="B604" s="46" t="n">
        <f aca="false">B603+1</f>
        <v>96</v>
      </c>
      <c r="C604" s="46" t="n">
        <f aca="false">MATCH(A604,Inputs!$B$40:$B$87,0)</f>
        <v>35</v>
      </c>
      <c r="D604" s="32" t="n">
        <f aca="false">INDEX(Inputs!$F$40:$F$87,C604)</f>
        <v>6</v>
      </c>
      <c r="E604" s="78" t="n">
        <f aca="false">INDEX(Inputs!$H$40:$H$87,C604)</f>
        <v>17</v>
      </c>
      <c r="F604" s="78" t="n">
        <f aca="false">INDEX(Inputs!$G$40:$G$87,C604)</f>
        <v>90</v>
      </c>
      <c r="G604" s="32" t="n">
        <f aca="false">INDEX(Inputs!$I$40:$I$87,C604)</f>
        <v>10</v>
      </c>
      <c r="H604" s="46" t="n">
        <f aca="false">MATCH(A604,Demand_History!$C:$C,0)+B604-1</f>
        <v>3633</v>
      </c>
      <c r="I604" s="32" t="n">
        <f aca="false">INDEX(Forecast_Walkforward!$C:$C,H604)</f>
        <v>58</v>
      </c>
      <c r="J604" s="79" t="n">
        <f aca="false">INDEX(Forecast_Walkforward!$E:$E,H604)</f>
        <v>58.5</v>
      </c>
      <c r="K604" s="33" t="n">
        <f aca="false">Baseline_Weeks*J604</f>
        <v>234</v>
      </c>
      <c r="L604" s="46" t="n">
        <f aca="false">SUMIFS(P$597:P603,$B$597:$B603,$B604-$D604)</f>
        <v>0</v>
      </c>
      <c r="M604" s="46" t="n">
        <f aca="false">S603+L604</f>
        <v>0</v>
      </c>
      <c r="N604" s="46" t="n">
        <f aca="false">SUMIFS(P$597:P603,$B$597:$B603,"&gt;"&amp;($B604-$D604))</f>
        <v>230</v>
      </c>
      <c r="O604" s="46" t="n">
        <f aca="false">M604+N604</f>
        <v>230</v>
      </c>
      <c r="P604" s="47" t="n">
        <f aca="false">IF(O604&lt;K604,ROUNDUP((K604-O604)/G604,0)*G604,0)</f>
        <v>10</v>
      </c>
      <c r="Q604" s="46" t="n">
        <f aca="false">MIN(M604,I604)</f>
        <v>0</v>
      </c>
      <c r="R604" s="46" t="n">
        <f aca="false">I604-Q604</f>
        <v>58</v>
      </c>
      <c r="S604" s="46" t="n">
        <f aca="false">M604-Q604</f>
        <v>0</v>
      </c>
      <c r="T604" s="46" t="n">
        <f aca="false">IF(R604&gt;0,1,0)</f>
        <v>1</v>
      </c>
      <c r="U604" s="32" t="n">
        <f aca="false">INDEX(Forecast!$AY$7:$AY$54,C604)</f>
        <v>2</v>
      </c>
      <c r="V604" s="33" t="n">
        <f aca="false">CHOOSE(U604,INDEX(Forecast_Walkforward!$D:$D,H604),INDEX(Forecast_Walkforward!$E:$E,H604),INDEX(Forecast_Walkforward!$F:$F,H604),INDEX(Forecast_Walkforward!$G:$G,H604))</f>
        <v>58.5</v>
      </c>
      <c r="W604" s="79" t="n">
        <f aca="false">INDEX(Forecast!$BA$7:$BA$54,C604)</f>
        <v>7.19619735765053</v>
      </c>
      <c r="X604" s="33" t="n">
        <f aca="false">Z_Value*W604*SQRT(D604)</f>
        <v>28.9938539866043</v>
      </c>
      <c r="Y604" s="33" t="n">
        <f aca="false">V604*D604+X604</f>
        <v>379.993853986604</v>
      </c>
      <c r="Z604" s="33" t="n">
        <f aca="false">SQRT((2*V604*Weeks_Per_Year*F604)/(E604*Holding_Rate))</f>
        <v>401.306689233471</v>
      </c>
      <c r="AA604" s="46" t="n">
        <f aca="false">ROUNDUP(Z604/G604,0)*G604</f>
        <v>410</v>
      </c>
      <c r="AB604" s="46" t="n">
        <f aca="false">SUMIFS(AF$597:AF603,$B$597:$B603,$B604-$D604)</f>
        <v>0</v>
      </c>
      <c r="AC604" s="46" t="n">
        <f aca="false">AI603+AB604</f>
        <v>416</v>
      </c>
      <c r="AD604" s="46" t="n">
        <f aca="false">SUMIFS(AF$597:AF603,$B$597:$B603,"&gt;"&amp;($B604-$D604))</f>
        <v>0</v>
      </c>
      <c r="AE604" s="46" t="n">
        <f aca="false">AC604+AD604</f>
        <v>416</v>
      </c>
      <c r="AF604" s="47" t="n">
        <f aca="false">IF(AE604&lt;=Y604,AA604,0)</f>
        <v>0</v>
      </c>
      <c r="AG604" s="46" t="n">
        <f aca="false">MIN(AC604,I604)</f>
        <v>58</v>
      </c>
      <c r="AH604" s="46" t="n">
        <f aca="false">I604-AG604</f>
        <v>0</v>
      </c>
      <c r="AI604" s="46" t="n">
        <f aca="false">AC604-AG604</f>
        <v>358</v>
      </c>
      <c r="AJ604" s="46" t="n">
        <f aca="false">IF(AH604&gt;0,1,0)</f>
        <v>0</v>
      </c>
    </row>
    <row r="605" customFormat="false" ht="15" hidden="false" customHeight="false" outlineLevel="0" collapsed="false">
      <c r="A605" s="31" t="str">
        <f aca="false">Inputs!$B$74</f>
        <v>ELE-006</v>
      </c>
      <c r="B605" s="46" t="n">
        <f aca="false">B604+1</f>
        <v>97</v>
      </c>
      <c r="C605" s="46" t="n">
        <f aca="false">MATCH(A605,Inputs!$B$40:$B$87,0)</f>
        <v>35</v>
      </c>
      <c r="D605" s="32" t="n">
        <f aca="false">INDEX(Inputs!$F$40:$F$87,C605)</f>
        <v>6</v>
      </c>
      <c r="E605" s="78" t="n">
        <f aca="false">INDEX(Inputs!$H$40:$H$87,C605)</f>
        <v>17</v>
      </c>
      <c r="F605" s="78" t="n">
        <f aca="false">INDEX(Inputs!$G$40:$G$87,C605)</f>
        <v>90</v>
      </c>
      <c r="G605" s="32" t="n">
        <f aca="false">INDEX(Inputs!$I$40:$I$87,C605)</f>
        <v>10</v>
      </c>
      <c r="H605" s="46" t="n">
        <f aca="false">MATCH(A605,Demand_History!$C:$C,0)+B605-1</f>
        <v>3634</v>
      </c>
      <c r="I605" s="32" t="n">
        <f aca="false">INDEX(Forecast_Walkforward!$C:$C,H605)</f>
        <v>50</v>
      </c>
      <c r="J605" s="79" t="n">
        <f aca="false">INDEX(Forecast_Walkforward!$E:$E,H605)</f>
        <v>57.25</v>
      </c>
      <c r="K605" s="33" t="n">
        <f aca="false">Baseline_Weeks*J605</f>
        <v>229</v>
      </c>
      <c r="L605" s="46" t="n">
        <f aca="false">SUMIFS(P$597:P604,$B$597:$B604,$B605-$D605)</f>
        <v>0</v>
      </c>
      <c r="M605" s="46" t="n">
        <f aca="false">S604+L605</f>
        <v>0</v>
      </c>
      <c r="N605" s="46" t="n">
        <f aca="false">SUMIFS(P$597:P604,$B$597:$B604,"&gt;"&amp;($B605-$D605))</f>
        <v>240</v>
      </c>
      <c r="O605" s="46" t="n">
        <f aca="false">M605+N605</f>
        <v>240</v>
      </c>
      <c r="P605" s="47" t="n">
        <f aca="false">IF(O605&lt;K605,ROUNDUP((K605-O605)/G605,0)*G605,0)</f>
        <v>0</v>
      </c>
      <c r="Q605" s="46" t="n">
        <f aca="false">MIN(M605,I605)</f>
        <v>0</v>
      </c>
      <c r="R605" s="46" t="n">
        <f aca="false">I605-Q605</f>
        <v>50</v>
      </c>
      <c r="S605" s="46" t="n">
        <f aca="false">M605-Q605</f>
        <v>0</v>
      </c>
      <c r="T605" s="46" t="n">
        <f aca="false">IF(R605&gt;0,1,0)</f>
        <v>1</v>
      </c>
      <c r="U605" s="32" t="n">
        <f aca="false">INDEX(Forecast!$AY$7:$AY$54,C605)</f>
        <v>2</v>
      </c>
      <c r="V605" s="33" t="n">
        <f aca="false">CHOOSE(U605,INDEX(Forecast_Walkforward!$D:$D,H605),INDEX(Forecast_Walkforward!$E:$E,H605),INDEX(Forecast_Walkforward!$F:$F,H605),INDEX(Forecast_Walkforward!$G:$G,H605))</f>
        <v>57.25</v>
      </c>
      <c r="W605" s="79" t="n">
        <f aca="false">INDEX(Forecast!$BA$7:$BA$54,C605)</f>
        <v>7.19619735765053</v>
      </c>
      <c r="X605" s="33" t="n">
        <f aca="false">Z_Value*W605*SQRT(D605)</f>
        <v>28.9938539866043</v>
      </c>
      <c r="Y605" s="33" t="n">
        <f aca="false">V605*D605+X605</f>
        <v>372.493853986604</v>
      </c>
      <c r="Z605" s="33" t="n">
        <f aca="false">SQRT((2*V605*Weeks_Per_Year*F605)/(E605*Holding_Rate))</f>
        <v>396.996073472952</v>
      </c>
      <c r="AA605" s="46" t="n">
        <f aca="false">ROUNDUP(Z605/G605,0)*G605</f>
        <v>400</v>
      </c>
      <c r="AB605" s="46" t="n">
        <f aca="false">SUMIFS(AF$597:AF604,$B$597:$B604,$B605-$D605)</f>
        <v>0</v>
      </c>
      <c r="AC605" s="46" t="n">
        <f aca="false">AI604+AB605</f>
        <v>358</v>
      </c>
      <c r="AD605" s="46" t="n">
        <f aca="false">SUMIFS(AF$597:AF604,$B$597:$B604,"&gt;"&amp;($B605-$D605))</f>
        <v>0</v>
      </c>
      <c r="AE605" s="46" t="n">
        <f aca="false">AC605+AD605</f>
        <v>358</v>
      </c>
      <c r="AF605" s="47" t="n">
        <f aca="false">IF(AE605&lt;=Y605,AA605,0)</f>
        <v>400</v>
      </c>
      <c r="AG605" s="46" t="n">
        <f aca="false">MIN(AC605,I605)</f>
        <v>50</v>
      </c>
      <c r="AH605" s="46" t="n">
        <f aca="false">I605-AG605</f>
        <v>0</v>
      </c>
      <c r="AI605" s="46" t="n">
        <f aca="false">AC605-AG605</f>
        <v>308</v>
      </c>
      <c r="AJ605" s="46" t="n">
        <f aca="false">IF(AH605&gt;0,1,0)</f>
        <v>0</v>
      </c>
    </row>
    <row r="606" customFormat="false" ht="15" hidden="false" customHeight="false" outlineLevel="0" collapsed="false">
      <c r="A606" s="31" t="str">
        <f aca="false">Inputs!$B$74</f>
        <v>ELE-006</v>
      </c>
      <c r="B606" s="46" t="n">
        <f aca="false">B605+1</f>
        <v>98</v>
      </c>
      <c r="C606" s="46" t="n">
        <f aca="false">MATCH(A606,Inputs!$B$40:$B$87,0)</f>
        <v>35</v>
      </c>
      <c r="D606" s="32" t="n">
        <f aca="false">INDEX(Inputs!$F$40:$F$87,C606)</f>
        <v>6</v>
      </c>
      <c r="E606" s="78" t="n">
        <f aca="false">INDEX(Inputs!$H$40:$H$87,C606)</f>
        <v>17</v>
      </c>
      <c r="F606" s="78" t="n">
        <f aca="false">INDEX(Inputs!$G$40:$G$87,C606)</f>
        <v>90</v>
      </c>
      <c r="G606" s="32" t="n">
        <f aca="false">INDEX(Inputs!$I$40:$I$87,C606)</f>
        <v>10</v>
      </c>
      <c r="H606" s="46" t="n">
        <f aca="false">MATCH(A606,Demand_History!$C:$C,0)+B606-1</f>
        <v>3635</v>
      </c>
      <c r="I606" s="32" t="n">
        <f aca="false">INDEX(Forecast_Walkforward!$C:$C,H606)</f>
        <v>64</v>
      </c>
      <c r="J606" s="79" t="n">
        <f aca="false">INDEX(Forecast_Walkforward!$E:$E,H606)</f>
        <v>55</v>
      </c>
      <c r="K606" s="33" t="n">
        <f aca="false">Baseline_Weeks*J606</f>
        <v>220</v>
      </c>
      <c r="L606" s="46" t="n">
        <f aca="false">SUMIFS(P$597:P605,$B$597:$B605,$B606-$D606)</f>
        <v>70</v>
      </c>
      <c r="M606" s="46" t="n">
        <f aca="false">S605+L606</f>
        <v>70</v>
      </c>
      <c r="N606" s="46" t="n">
        <f aca="false">SUMIFS(P$597:P605,$B$597:$B605,"&gt;"&amp;($B606-$D606))</f>
        <v>170</v>
      </c>
      <c r="O606" s="46" t="n">
        <f aca="false">M606+N606</f>
        <v>240</v>
      </c>
      <c r="P606" s="47" t="n">
        <f aca="false">IF(O606&lt;K606,ROUNDUP((K606-O606)/G606,0)*G606,0)</f>
        <v>0</v>
      </c>
      <c r="Q606" s="46" t="n">
        <f aca="false">MIN(M606,I606)</f>
        <v>64</v>
      </c>
      <c r="R606" s="46" t="n">
        <f aca="false">I606-Q606</f>
        <v>0</v>
      </c>
      <c r="S606" s="46" t="n">
        <f aca="false">M606-Q606</f>
        <v>6</v>
      </c>
      <c r="T606" s="46" t="n">
        <f aca="false">IF(R606&gt;0,1,0)</f>
        <v>0</v>
      </c>
      <c r="U606" s="32" t="n">
        <f aca="false">INDEX(Forecast!$AY$7:$AY$54,C606)</f>
        <v>2</v>
      </c>
      <c r="V606" s="33" t="n">
        <f aca="false">CHOOSE(U606,INDEX(Forecast_Walkforward!$D:$D,H606),INDEX(Forecast_Walkforward!$E:$E,H606),INDEX(Forecast_Walkforward!$F:$F,H606),INDEX(Forecast_Walkforward!$G:$G,H606))</f>
        <v>55</v>
      </c>
      <c r="W606" s="79" t="n">
        <f aca="false">INDEX(Forecast!$BA$7:$BA$54,C606)</f>
        <v>7.19619735765053</v>
      </c>
      <c r="X606" s="33" t="n">
        <f aca="false">Z_Value*W606*SQRT(D606)</f>
        <v>28.9938539866043</v>
      </c>
      <c r="Y606" s="33" t="n">
        <f aca="false">V606*D606+X606</f>
        <v>358.993853986604</v>
      </c>
      <c r="Z606" s="33" t="n">
        <f aca="false">SQRT((2*V606*Weeks_Per_Year*F606)/(E606*Holding_Rate))</f>
        <v>389.116646657378</v>
      </c>
      <c r="AA606" s="46" t="n">
        <f aca="false">ROUNDUP(Z606/G606,0)*G606</f>
        <v>390</v>
      </c>
      <c r="AB606" s="46" t="n">
        <f aca="false">SUMIFS(AF$597:AF605,$B$597:$B605,$B606-$D606)</f>
        <v>0</v>
      </c>
      <c r="AC606" s="46" t="n">
        <f aca="false">AI605+AB606</f>
        <v>308</v>
      </c>
      <c r="AD606" s="46" t="n">
        <f aca="false">SUMIFS(AF$597:AF605,$B$597:$B605,"&gt;"&amp;($B606-$D606))</f>
        <v>400</v>
      </c>
      <c r="AE606" s="46" t="n">
        <f aca="false">AC606+AD606</f>
        <v>708</v>
      </c>
      <c r="AF606" s="47" t="n">
        <f aca="false">IF(AE606&lt;=Y606,AA606,0)</f>
        <v>0</v>
      </c>
      <c r="AG606" s="46" t="n">
        <f aca="false">MIN(AC606,I606)</f>
        <v>64</v>
      </c>
      <c r="AH606" s="46" t="n">
        <f aca="false">I606-AG606</f>
        <v>0</v>
      </c>
      <c r="AI606" s="46" t="n">
        <f aca="false">AC606-AG606</f>
        <v>244</v>
      </c>
      <c r="AJ606" s="46" t="n">
        <f aca="false">IF(AH606&gt;0,1,0)</f>
        <v>0</v>
      </c>
    </row>
    <row r="607" customFormat="false" ht="15" hidden="false" customHeight="false" outlineLevel="0" collapsed="false">
      <c r="A607" s="31" t="str">
        <f aca="false">Inputs!$B$74</f>
        <v>ELE-006</v>
      </c>
      <c r="B607" s="46" t="n">
        <f aca="false">B606+1</f>
        <v>99</v>
      </c>
      <c r="C607" s="46" t="n">
        <f aca="false">MATCH(A607,Inputs!$B$40:$B$87,0)</f>
        <v>35</v>
      </c>
      <c r="D607" s="32" t="n">
        <f aca="false">INDEX(Inputs!$F$40:$F$87,C607)</f>
        <v>6</v>
      </c>
      <c r="E607" s="78" t="n">
        <f aca="false">INDEX(Inputs!$H$40:$H$87,C607)</f>
        <v>17</v>
      </c>
      <c r="F607" s="78" t="n">
        <f aca="false">INDEX(Inputs!$G$40:$G$87,C607)</f>
        <v>90</v>
      </c>
      <c r="G607" s="32" t="n">
        <f aca="false">INDEX(Inputs!$I$40:$I$87,C607)</f>
        <v>10</v>
      </c>
      <c r="H607" s="46" t="n">
        <f aca="false">MATCH(A607,Demand_History!$C:$C,0)+B607-1</f>
        <v>3636</v>
      </c>
      <c r="I607" s="32" t="n">
        <f aca="false">INDEX(Forecast_Walkforward!$C:$C,H607)</f>
        <v>60</v>
      </c>
      <c r="J607" s="79" t="n">
        <f aca="false">INDEX(Forecast_Walkforward!$E:$E,H607)</f>
        <v>57</v>
      </c>
      <c r="K607" s="33" t="n">
        <f aca="false">Baseline_Weeks*J607</f>
        <v>228</v>
      </c>
      <c r="L607" s="46" t="n">
        <f aca="false">SUMIFS(P$597:P606,$B$597:$B606,$B607-$D607)</f>
        <v>50</v>
      </c>
      <c r="M607" s="46" t="n">
        <f aca="false">S606+L607</f>
        <v>56</v>
      </c>
      <c r="N607" s="46" t="n">
        <f aca="false">SUMIFS(P$597:P606,$B$597:$B606,"&gt;"&amp;($B607-$D607))</f>
        <v>120</v>
      </c>
      <c r="O607" s="46" t="n">
        <f aca="false">M607+N607</f>
        <v>176</v>
      </c>
      <c r="P607" s="47" t="n">
        <f aca="false">IF(O607&lt;K607,ROUNDUP((K607-O607)/G607,0)*G607,0)</f>
        <v>60</v>
      </c>
      <c r="Q607" s="46" t="n">
        <f aca="false">MIN(M607,I607)</f>
        <v>56</v>
      </c>
      <c r="R607" s="46" t="n">
        <f aca="false">I607-Q607</f>
        <v>4</v>
      </c>
      <c r="S607" s="46" t="n">
        <f aca="false">M607-Q607</f>
        <v>0</v>
      </c>
      <c r="T607" s="46" t="n">
        <f aca="false">IF(R607&gt;0,1,0)</f>
        <v>1</v>
      </c>
      <c r="U607" s="32" t="n">
        <f aca="false">INDEX(Forecast!$AY$7:$AY$54,C607)</f>
        <v>2</v>
      </c>
      <c r="V607" s="33" t="n">
        <f aca="false">CHOOSE(U607,INDEX(Forecast_Walkforward!$D:$D,H607),INDEX(Forecast_Walkforward!$E:$E,H607),INDEX(Forecast_Walkforward!$F:$F,H607),INDEX(Forecast_Walkforward!$G:$G,H607))</f>
        <v>57</v>
      </c>
      <c r="W607" s="79" t="n">
        <f aca="false">INDEX(Forecast!$BA$7:$BA$54,C607)</f>
        <v>7.19619735765053</v>
      </c>
      <c r="X607" s="33" t="n">
        <f aca="false">Z_Value*W607*SQRT(D607)</f>
        <v>28.9938539866043</v>
      </c>
      <c r="Y607" s="33" t="n">
        <f aca="false">V607*D607+X607</f>
        <v>370.993853986604</v>
      </c>
      <c r="Z607" s="33" t="n">
        <f aca="false">SQRT((2*V607*Weeks_Per_Year*F607)/(E607*Holding_Rate))</f>
        <v>396.128321455086</v>
      </c>
      <c r="AA607" s="46" t="n">
        <f aca="false">ROUNDUP(Z607/G607,0)*G607</f>
        <v>400</v>
      </c>
      <c r="AB607" s="46" t="n">
        <f aca="false">SUMIFS(AF$597:AF606,$B$597:$B606,$B607-$D607)</f>
        <v>0</v>
      </c>
      <c r="AC607" s="46" t="n">
        <f aca="false">AI606+AB607</f>
        <v>244</v>
      </c>
      <c r="AD607" s="46" t="n">
        <f aca="false">SUMIFS(AF$597:AF606,$B$597:$B606,"&gt;"&amp;($B607-$D607))</f>
        <v>400</v>
      </c>
      <c r="AE607" s="46" t="n">
        <f aca="false">AC607+AD607</f>
        <v>644</v>
      </c>
      <c r="AF607" s="47" t="n">
        <f aca="false">IF(AE607&lt;=Y607,AA607,0)</f>
        <v>0</v>
      </c>
      <c r="AG607" s="46" t="n">
        <f aca="false">MIN(AC607,I607)</f>
        <v>60</v>
      </c>
      <c r="AH607" s="46" t="n">
        <f aca="false">I607-AG607</f>
        <v>0</v>
      </c>
      <c r="AI607" s="46" t="n">
        <f aca="false">AC607-AG607</f>
        <v>184</v>
      </c>
      <c r="AJ607" s="46" t="n">
        <f aca="false">IF(AH607&gt;0,1,0)</f>
        <v>0</v>
      </c>
    </row>
    <row r="608" customFormat="false" ht="15" hidden="false" customHeight="false" outlineLevel="0" collapsed="false">
      <c r="A608" s="31" t="str">
        <f aca="false">Inputs!$B$74</f>
        <v>ELE-006</v>
      </c>
      <c r="B608" s="46" t="n">
        <f aca="false">B607+1</f>
        <v>100</v>
      </c>
      <c r="C608" s="46" t="n">
        <f aca="false">MATCH(A608,Inputs!$B$40:$B$87,0)</f>
        <v>35</v>
      </c>
      <c r="D608" s="32" t="n">
        <f aca="false">INDEX(Inputs!$F$40:$F$87,C608)</f>
        <v>6</v>
      </c>
      <c r="E608" s="78" t="n">
        <f aca="false">INDEX(Inputs!$H$40:$H$87,C608)</f>
        <v>17</v>
      </c>
      <c r="F608" s="78" t="n">
        <f aca="false">INDEX(Inputs!$G$40:$G$87,C608)</f>
        <v>90</v>
      </c>
      <c r="G608" s="32" t="n">
        <f aca="false">INDEX(Inputs!$I$40:$I$87,C608)</f>
        <v>10</v>
      </c>
      <c r="H608" s="46" t="n">
        <f aca="false">MATCH(A608,Demand_History!$C:$C,0)+B608-1</f>
        <v>3637</v>
      </c>
      <c r="I608" s="32" t="n">
        <f aca="false">INDEX(Forecast_Walkforward!$C:$C,H608)</f>
        <v>61</v>
      </c>
      <c r="J608" s="79" t="n">
        <f aca="false">INDEX(Forecast_Walkforward!$E:$E,H608)</f>
        <v>58</v>
      </c>
      <c r="K608" s="33" t="n">
        <f aca="false">Baseline_Weeks*J608</f>
        <v>232</v>
      </c>
      <c r="L608" s="46" t="n">
        <f aca="false">SUMIFS(P$597:P607,$B$597:$B607,$B608-$D608)</f>
        <v>50</v>
      </c>
      <c r="M608" s="46" t="n">
        <f aca="false">S607+L608</f>
        <v>50</v>
      </c>
      <c r="N608" s="46" t="n">
        <f aca="false">SUMIFS(P$597:P607,$B$597:$B607,"&gt;"&amp;($B608-$D608))</f>
        <v>130</v>
      </c>
      <c r="O608" s="46" t="n">
        <f aca="false">M608+N608</f>
        <v>180</v>
      </c>
      <c r="P608" s="47" t="n">
        <f aca="false">IF(O608&lt;K608,ROUNDUP((K608-O608)/G608,0)*G608,0)</f>
        <v>60</v>
      </c>
      <c r="Q608" s="46" t="n">
        <f aca="false">MIN(M608,I608)</f>
        <v>50</v>
      </c>
      <c r="R608" s="46" t="n">
        <f aca="false">I608-Q608</f>
        <v>11</v>
      </c>
      <c r="S608" s="46" t="n">
        <f aca="false">M608-Q608</f>
        <v>0</v>
      </c>
      <c r="T608" s="46" t="n">
        <f aca="false">IF(R608&gt;0,1,0)</f>
        <v>1</v>
      </c>
      <c r="U608" s="32" t="n">
        <f aca="false">INDEX(Forecast!$AY$7:$AY$54,C608)</f>
        <v>2</v>
      </c>
      <c r="V608" s="33" t="n">
        <f aca="false">CHOOSE(U608,INDEX(Forecast_Walkforward!$D:$D,H608),INDEX(Forecast_Walkforward!$E:$E,H608),INDEX(Forecast_Walkforward!$F:$F,H608),INDEX(Forecast_Walkforward!$G:$G,H608))</f>
        <v>58</v>
      </c>
      <c r="W608" s="79" t="n">
        <f aca="false">INDEX(Forecast!$BA$7:$BA$54,C608)</f>
        <v>7.19619735765053</v>
      </c>
      <c r="X608" s="33" t="n">
        <f aca="false">Z_Value*W608*SQRT(D608)</f>
        <v>28.9938539866043</v>
      </c>
      <c r="Y608" s="33" t="n">
        <f aca="false">V608*D608+X608</f>
        <v>376.993853986604</v>
      </c>
      <c r="Z608" s="33" t="n">
        <f aca="false">SQRT((2*V608*Weeks_Per_Year*F608)/(E608*Holding_Rate))</f>
        <v>399.588023137949</v>
      </c>
      <c r="AA608" s="46" t="n">
        <f aca="false">ROUNDUP(Z608/G608,0)*G608</f>
        <v>400</v>
      </c>
      <c r="AB608" s="46" t="n">
        <f aca="false">SUMIFS(AF$597:AF607,$B$597:$B607,$B608-$D608)</f>
        <v>0</v>
      </c>
      <c r="AC608" s="46" t="n">
        <f aca="false">AI607+AB608</f>
        <v>184</v>
      </c>
      <c r="AD608" s="46" t="n">
        <f aca="false">SUMIFS(AF$597:AF607,$B$597:$B607,"&gt;"&amp;($B608-$D608))</f>
        <v>400</v>
      </c>
      <c r="AE608" s="46" t="n">
        <f aca="false">AC608+AD608</f>
        <v>584</v>
      </c>
      <c r="AF608" s="47" t="n">
        <f aca="false">IF(AE608&lt;=Y608,AA608,0)</f>
        <v>0</v>
      </c>
      <c r="AG608" s="46" t="n">
        <f aca="false">MIN(AC608,I608)</f>
        <v>61</v>
      </c>
      <c r="AH608" s="46" t="n">
        <f aca="false">I608-AG608</f>
        <v>0</v>
      </c>
      <c r="AI608" s="46" t="n">
        <f aca="false">AC608-AG608</f>
        <v>123</v>
      </c>
      <c r="AJ608" s="46" t="n">
        <f aca="false">IF(AH608&gt;0,1,0)</f>
        <v>0</v>
      </c>
    </row>
    <row r="609" customFormat="false" ht="15" hidden="false" customHeight="false" outlineLevel="0" collapsed="false">
      <c r="A609" s="31" t="str">
        <f aca="false">Inputs!$B$74</f>
        <v>ELE-006</v>
      </c>
      <c r="B609" s="46" t="n">
        <f aca="false">B608+1</f>
        <v>101</v>
      </c>
      <c r="C609" s="46" t="n">
        <f aca="false">MATCH(A609,Inputs!$B$40:$B$87,0)</f>
        <v>35</v>
      </c>
      <c r="D609" s="32" t="n">
        <f aca="false">INDEX(Inputs!$F$40:$F$87,C609)</f>
        <v>6</v>
      </c>
      <c r="E609" s="78" t="n">
        <f aca="false">INDEX(Inputs!$H$40:$H$87,C609)</f>
        <v>17</v>
      </c>
      <c r="F609" s="78" t="n">
        <f aca="false">INDEX(Inputs!$G$40:$G$87,C609)</f>
        <v>90</v>
      </c>
      <c r="G609" s="32" t="n">
        <f aca="false">INDEX(Inputs!$I$40:$I$87,C609)</f>
        <v>10</v>
      </c>
      <c r="H609" s="46" t="n">
        <f aca="false">MATCH(A609,Demand_History!$C:$C,0)+B609-1</f>
        <v>3638</v>
      </c>
      <c r="I609" s="32" t="n">
        <f aca="false">INDEX(Forecast_Walkforward!$C:$C,H609)</f>
        <v>63</v>
      </c>
      <c r="J609" s="79" t="n">
        <f aca="false">INDEX(Forecast_Walkforward!$E:$E,H609)</f>
        <v>58.75</v>
      </c>
      <c r="K609" s="33" t="n">
        <f aca="false">Baseline_Weeks*J609</f>
        <v>235</v>
      </c>
      <c r="L609" s="46" t="n">
        <f aca="false">SUMIFS(P$597:P608,$B$597:$B608,$B609-$D609)</f>
        <v>60</v>
      </c>
      <c r="M609" s="46" t="n">
        <f aca="false">S608+L609</f>
        <v>60</v>
      </c>
      <c r="N609" s="46" t="n">
        <f aca="false">SUMIFS(P$597:P608,$B$597:$B608,"&gt;"&amp;($B609-$D609))</f>
        <v>130</v>
      </c>
      <c r="O609" s="46" t="n">
        <f aca="false">M609+N609</f>
        <v>190</v>
      </c>
      <c r="P609" s="47" t="n">
        <f aca="false">IF(O609&lt;K609,ROUNDUP((K609-O609)/G609,0)*G609,0)</f>
        <v>50</v>
      </c>
      <c r="Q609" s="46" t="n">
        <f aca="false">MIN(M609,I609)</f>
        <v>60</v>
      </c>
      <c r="R609" s="46" t="n">
        <f aca="false">I609-Q609</f>
        <v>3</v>
      </c>
      <c r="S609" s="46" t="n">
        <f aca="false">M609-Q609</f>
        <v>0</v>
      </c>
      <c r="T609" s="46" t="n">
        <f aca="false">IF(R609&gt;0,1,0)</f>
        <v>1</v>
      </c>
      <c r="U609" s="32" t="n">
        <f aca="false">INDEX(Forecast!$AY$7:$AY$54,C609)</f>
        <v>2</v>
      </c>
      <c r="V609" s="33" t="n">
        <f aca="false">CHOOSE(U609,INDEX(Forecast_Walkforward!$D:$D,H609),INDEX(Forecast_Walkforward!$E:$E,H609),INDEX(Forecast_Walkforward!$F:$F,H609),INDEX(Forecast_Walkforward!$G:$G,H609))</f>
        <v>58.75</v>
      </c>
      <c r="W609" s="79" t="n">
        <f aca="false">INDEX(Forecast!$BA$7:$BA$54,C609)</f>
        <v>7.19619735765053</v>
      </c>
      <c r="X609" s="33" t="n">
        <f aca="false">Z_Value*W609*SQRT(D609)</f>
        <v>28.9938539866043</v>
      </c>
      <c r="Y609" s="33" t="n">
        <f aca="false">V609*D609+X609</f>
        <v>381.493853986604</v>
      </c>
      <c r="Z609" s="33" t="n">
        <f aca="false">SQRT((2*V609*Weeks_Per_Year*F609)/(E609*Holding_Rate))</f>
        <v>402.163267986582</v>
      </c>
      <c r="AA609" s="46" t="n">
        <f aca="false">ROUNDUP(Z609/G609,0)*G609</f>
        <v>410</v>
      </c>
      <c r="AB609" s="46" t="n">
        <f aca="false">SUMIFS(AF$597:AF608,$B$597:$B608,$B609-$D609)</f>
        <v>0</v>
      </c>
      <c r="AC609" s="46" t="n">
        <f aca="false">AI608+AB609</f>
        <v>123</v>
      </c>
      <c r="AD609" s="46" t="n">
        <f aca="false">SUMIFS(AF$597:AF608,$B$597:$B608,"&gt;"&amp;($B609-$D609))</f>
        <v>400</v>
      </c>
      <c r="AE609" s="46" t="n">
        <f aca="false">AC609+AD609</f>
        <v>523</v>
      </c>
      <c r="AF609" s="47" t="n">
        <f aca="false">IF(AE609&lt;=Y609,AA609,0)</f>
        <v>0</v>
      </c>
      <c r="AG609" s="46" t="n">
        <f aca="false">MIN(AC609,I609)</f>
        <v>63</v>
      </c>
      <c r="AH609" s="46" t="n">
        <f aca="false">I609-AG609</f>
        <v>0</v>
      </c>
      <c r="AI609" s="46" t="n">
        <f aca="false">AC609-AG609</f>
        <v>60</v>
      </c>
      <c r="AJ609" s="46" t="n">
        <f aca="false">IF(AH609&gt;0,1,0)</f>
        <v>0</v>
      </c>
    </row>
    <row r="610" customFormat="false" ht="15" hidden="false" customHeight="false" outlineLevel="0" collapsed="false">
      <c r="A610" s="31" t="str">
        <f aca="false">Inputs!$B$74</f>
        <v>ELE-006</v>
      </c>
      <c r="B610" s="46" t="n">
        <f aca="false">B609+1</f>
        <v>102</v>
      </c>
      <c r="C610" s="46" t="n">
        <f aca="false">MATCH(A610,Inputs!$B$40:$B$87,0)</f>
        <v>35</v>
      </c>
      <c r="D610" s="32" t="n">
        <f aca="false">INDEX(Inputs!$F$40:$F$87,C610)</f>
        <v>6</v>
      </c>
      <c r="E610" s="78" t="n">
        <f aca="false">INDEX(Inputs!$H$40:$H$87,C610)</f>
        <v>17</v>
      </c>
      <c r="F610" s="78" t="n">
        <f aca="false">INDEX(Inputs!$G$40:$G$87,C610)</f>
        <v>90</v>
      </c>
      <c r="G610" s="32" t="n">
        <f aca="false">INDEX(Inputs!$I$40:$I$87,C610)</f>
        <v>10</v>
      </c>
      <c r="H610" s="46" t="n">
        <f aca="false">MATCH(A610,Demand_History!$C:$C,0)+B610-1</f>
        <v>3639</v>
      </c>
      <c r="I610" s="32" t="n">
        <f aca="false">INDEX(Forecast_Walkforward!$C:$C,H610)</f>
        <v>66</v>
      </c>
      <c r="J610" s="79" t="n">
        <f aca="false">INDEX(Forecast_Walkforward!$E:$E,H610)</f>
        <v>62</v>
      </c>
      <c r="K610" s="33" t="n">
        <f aca="false">Baseline_Weeks*J610</f>
        <v>248</v>
      </c>
      <c r="L610" s="46" t="n">
        <f aca="false">SUMIFS(P$597:P609,$B$597:$B609,$B610-$D610)</f>
        <v>10</v>
      </c>
      <c r="M610" s="46" t="n">
        <f aca="false">S609+L610</f>
        <v>10</v>
      </c>
      <c r="N610" s="46" t="n">
        <f aca="false">SUMIFS(P$597:P609,$B$597:$B609,"&gt;"&amp;($B610-$D610))</f>
        <v>170</v>
      </c>
      <c r="O610" s="46" t="n">
        <f aca="false">M610+N610</f>
        <v>180</v>
      </c>
      <c r="P610" s="47" t="n">
        <f aca="false">IF(O610&lt;K610,ROUNDUP((K610-O610)/G610,0)*G610,0)</f>
        <v>70</v>
      </c>
      <c r="Q610" s="46" t="n">
        <f aca="false">MIN(M610,I610)</f>
        <v>10</v>
      </c>
      <c r="R610" s="46" t="n">
        <f aca="false">I610-Q610</f>
        <v>56</v>
      </c>
      <c r="S610" s="46" t="n">
        <f aca="false">M610-Q610</f>
        <v>0</v>
      </c>
      <c r="T610" s="46" t="n">
        <f aca="false">IF(R610&gt;0,1,0)</f>
        <v>1</v>
      </c>
      <c r="U610" s="32" t="n">
        <f aca="false">INDEX(Forecast!$AY$7:$AY$54,C610)</f>
        <v>2</v>
      </c>
      <c r="V610" s="33" t="n">
        <f aca="false">CHOOSE(U610,INDEX(Forecast_Walkforward!$D:$D,H610),INDEX(Forecast_Walkforward!$E:$E,H610),INDEX(Forecast_Walkforward!$F:$F,H610),INDEX(Forecast_Walkforward!$G:$G,H610))</f>
        <v>62</v>
      </c>
      <c r="W610" s="79" t="n">
        <f aca="false">INDEX(Forecast!$BA$7:$BA$54,C610)</f>
        <v>7.19619735765053</v>
      </c>
      <c r="X610" s="33" t="n">
        <f aca="false">Z_Value*W610*SQRT(D610)</f>
        <v>28.9938539866043</v>
      </c>
      <c r="Y610" s="33" t="n">
        <f aca="false">V610*D610+X610</f>
        <v>400.993853986604</v>
      </c>
      <c r="Z610" s="33" t="n">
        <f aca="false">SQRT((2*V610*Weeks_Per_Year*F610)/(E610*Holding_Rate))</f>
        <v>413.137208371718</v>
      </c>
      <c r="AA610" s="46" t="n">
        <f aca="false">ROUNDUP(Z610/G610,0)*G610</f>
        <v>420</v>
      </c>
      <c r="AB610" s="46" t="n">
        <f aca="false">SUMIFS(AF$597:AF609,$B$597:$B609,$B610-$D610)</f>
        <v>0</v>
      </c>
      <c r="AC610" s="46" t="n">
        <f aca="false">AI609+AB610</f>
        <v>60</v>
      </c>
      <c r="AD610" s="46" t="n">
        <f aca="false">SUMIFS(AF$597:AF609,$B$597:$B609,"&gt;"&amp;($B610-$D610))</f>
        <v>400</v>
      </c>
      <c r="AE610" s="46" t="n">
        <f aca="false">AC610+AD610</f>
        <v>460</v>
      </c>
      <c r="AF610" s="47" t="n">
        <f aca="false">IF(AE610&lt;=Y610,AA610,0)</f>
        <v>0</v>
      </c>
      <c r="AG610" s="46" t="n">
        <f aca="false">MIN(AC610,I610)</f>
        <v>60</v>
      </c>
      <c r="AH610" s="46" t="n">
        <f aca="false">I610-AG610</f>
        <v>6</v>
      </c>
      <c r="AI610" s="46" t="n">
        <f aca="false">AC610-AG610</f>
        <v>0</v>
      </c>
      <c r="AJ610" s="46" t="n">
        <f aca="false">IF(AH610&gt;0,1,0)</f>
        <v>1</v>
      </c>
    </row>
    <row r="611" customFormat="false" ht="15" hidden="false" customHeight="false" outlineLevel="0" collapsed="false">
      <c r="A611" s="31" t="str">
        <f aca="false">Inputs!$B$74</f>
        <v>ELE-006</v>
      </c>
      <c r="B611" s="46" t="n">
        <f aca="false">B610+1</f>
        <v>103</v>
      </c>
      <c r="C611" s="46" t="n">
        <f aca="false">MATCH(A611,Inputs!$B$40:$B$87,0)</f>
        <v>35</v>
      </c>
      <c r="D611" s="32" t="n">
        <f aca="false">INDEX(Inputs!$F$40:$F$87,C611)</f>
        <v>6</v>
      </c>
      <c r="E611" s="78" t="n">
        <f aca="false">INDEX(Inputs!$H$40:$H$87,C611)</f>
        <v>17</v>
      </c>
      <c r="F611" s="78" t="n">
        <f aca="false">INDEX(Inputs!$G$40:$G$87,C611)</f>
        <v>90</v>
      </c>
      <c r="G611" s="32" t="n">
        <f aca="false">INDEX(Inputs!$I$40:$I$87,C611)</f>
        <v>10</v>
      </c>
      <c r="H611" s="46" t="n">
        <f aca="false">MATCH(A611,Demand_History!$C:$C,0)+B611-1</f>
        <v>3640</v>
      </c>
      <c r="I611" s="32" t="n">
        <f aca="false">INDEX(Forecast_Walkforward!$C:$C,H611)</f>
        <v>55</v>
      </c>
      <c r="J611" s="79" t="n">
        <f aca="false">INDEX(Forecast_Walkforward!$E:$E,H611)</f>
        <v>62.5</v>
      </c>
      <c r="K611" s="33" t="n">
        <f aca="false">Baseline_Weeks*J611</f>
        <v>250</v>
      </c>
      <c r="L611" s="46" t="n">
        <f aca="false">SUMIFS(P$597:P610,$B$597:$B610,$B611-$D611)</f>
        <v>0</v>
      </c>
      <c r="M611" s="46" t="n">
        <f aca="false">S610+L611</f>
        <v>0</v>
      </c>
      <c r="N611" s="46" t="n">
        <f aca="false">SUMIFS(P$597:P610,$B$597:$B610,"&gt;"&amp;($B611-$D611))</f>
        <v>240</v>
      </c>
      <c r="O611" s="46" t="n">
        <f aca="false">M611+N611</f>
        <v>240</v>
      </c>
      <c r="P611" s="47" t="n">
        <f aca="false">IF(O611&lt;K611,ROUNDUP((K611-O611)/G611,0)*G611,0)</f>
        <v>10</v>
      </c>
      <c r="Q611" s="46" t="n">
        <f aca="false">MIN(M611,I611)</f>
        <v>0</v>
      </c>
      <c r="R611" s="46" t="n">
        <f aca="false">I611-Q611</f>
        <v>55</v>
      </c>
      <c r="S611" s="46" t="n">
        <f aca="false">M611-Q611</f>
        <v>0</v>
      </c>
      <c r="T611" s="46" t="n">
        <f aca="false">IF(R611&gt;0,1,0)</f>
        <v>1</v>
      </c>
      <c r="U611" s="32" t="n">
        <f aca="false">INDEX(Forecast!$AY$7:$AY$54,C611)</f>
        <v>2</v>
      </c>
      <c r="V611" s="33" t="n">
        <f aca="false">CHOOSE(U611,INDEX(Forecast_Walkforward!$D:$D,H611),INDEX(Forecast_Walkforward!$E:$E,H611),INDEX(Forecast_Walkforward!$F:$F,H611),INDEX(Forecast_Walkforward!$G:$G,H611))</f>
        <v>62.5</v>
      </c>
      <c r="W611" s="79" t="n">
        <f aca="false">INDEX(Forecast!$BA$7:$BA$54,C611)</f>
        <v>7.19619735765053</v>
      </c>
      <c r="X611" s="33" t="n">
        <f aca="false">Z_Value*W611*SQRT(D611)</f>
        <v>28.9938539866043</v>
      </c>
      <c r="Y611" s="33" t="n">
        <f aca="false">V611*D611+X611</f>
        <v>403.993853986604</v>
      </c>
      <c r="Z611" s="33" t="n">
        <f aca="false">SQRT((2*V611*Weeks_Per_Year*F611)/(E611*Holding_Rate))</f>
        <v>414.799739066229</v>
      </c>
      <c r="AA611" s="46" t="n">
        <f aca="false">ROUNDUP(Z611/G611,0)*G611</f>
        <v>420</v>
      </c>
      <c r="AB611" s="46" t="n">
        <f aca="false">SUMIFS(AF$597:AF610,$B$597:$B610,$B611-$D611)</f>
        <v>400</v>
      </c>
      <c r="AC611" s="46" t="n">
        <f aca="false">AI610+AB611</f>
        <v>400</v>
      </c>
      <c r="AD611" s="46" t="n">
        <f aca="false">SUMIFS(AF$597:AF610,$B$597:$B610,"&gt;"&amp;($B611-$D611))</f>
        <v>0</v>
      </c>
      <c r="AE611" s="46" t="n">
        <f aca="false">AC611+AD611</f>
        <v>400</v>
      </c>
      <c r="AF611" s="47" t="n">
        <f aca="false">IF(AE611&lt;=Y611,AA611,0)</f>
        <v>420</v>
      </c>
      <c r="AG611" s="46" t="n">
        <f aca="false">MIN(AC611,I611)</f>
        <v>55</v>
      </c>
      <c r="AH611" s="46" t="n">
        <f aca="false">I611-AG611</f>
        <v>0</v>
      </c>
      <c r="AI611" s="46" t="n">
        <f aca="false">AC611-AG611</f>
        <v>345</v>
      </c>
      <c r="AJ611" s="46" t="n">
        <f aca="false">IF(AH611&gt;0,1,0)</f>
        <v>0</v>
      </c>
    </row>
    <row r="612" customFormat="false" ht="15" hidden="false" customHeight="false" outlineLevel="0" collapsed="false">
      <c r="A612" s="80" t="str">
        <f aca="false">Inputs!$B$74</f>
        <v>ELE-006</v>
      </c>
      <c r="B612" s="81" t="n">
        <f aca="false">B611+1</f>
        <v>104</v>
      </c>
      <c r="C612" s="81" t="n">
        <f aca="false">MATCH(A612,Inputs!$B$40:$B$87,0)</f>
        <v>35</v>
      </c>
      <c r="D612" s="82" t="n">
        <f aca="false">INDEX(Inputs!$F$40:$F$87,C612)</f>
        <v>6</v>
      </c>
      <c r="E612" s="83" t="n">
        <f aca="false">INDEX(Inputs!$H$40:$H$87,C612)</f>
        <v>17</v>
      </c>
      <c r="F612" s="83" t="n">
        <f aca="false">INDEX(Inputs!$G$40:$G$87,C612)</f>
        <v>90</v>
      </c>
      <c r="G612" s="82" t="n">
        <f aca="false">INDEX(Inputs!$I$40:$I$87,C612)</f>
        <v>10</v>
      </c>
      <c r="H612" s="81" t="n">
        <f aca="false">MATCH(A612,Demand_History!$C:$C,0)+B612-1</f>
        <v>3641</v>
      </c>
      <c r="I612" s="82" t="n">
        <f aca="false">INDEX(Forecast_Walkforward!$C:$C,H612)</f>
        <v>59</v>
      </c>
      <c r="J612" s="84" t="n">
        <f aca="false">INDEX(Forecast_Walkforward!$E:$E,H612)</f>
        <v>61.25</v>
      </c>
      <c r="K612" s="85" t="n">
        <f aca="false">Baseline_Weeks*J612</f>
        <v>245</v>
      </c>
      <c r="L612" s="81" t="n">
        <f aca="false">SUMIFS(P$597:P611,$B$597:$B611,$B612-$D612)</f>
        <v>0</v>
      </c>
      <c r="M612" s="81" t="n">
        <f aca="false">S611+L612</f>
        <v>0</v>
      </c>
      <c r="N612" s="81" t="n">
        <f aca="false">SUMIFS(P$597:P611,$B$597:$B611,"&gt;"&amp;($B612-$D612))</f>
        <v>250</v>
      </c>
      <c r="O612" s="81" t="n">
        <f aca="false">M612+N612</f>
        <v>250</v>
      </c>
      <c r="P612" s="86" t="n">
        <f aca="false">IF(O612&lt;K612,ROUNDUP((K612-O612)/G612,0)*G612,0)</f>
        <v>0</v>
      </c>
      <c r="Q612" s="81" t="n">
        <f aca="false">MIN(M612,I612)</f>
        <v>0</v>
      </c>
      <c r="R612" s="81" t="n">
        <f aca="false">I612-Q612</f>
        <v>59</v>
      </c>
      <c r="S612" s="81" t="n">
        <f aca="false">M612-Q612</f>
        <v>0</v>
      </c>
      <c r="T612" s="81" t="n">
        <f aca="false">IF(R612&gt;0,1,0)</f>
        <v>1</v>
      </c>
      <c r="U612" s="82" t="n">
        <f aca="false">INDEX(Forecast!$AY$7:$AY$54,C612)</f>
        <v>2</v>
      </c>
      <c r="V612" s="85" t="n">
        <f aca="false">CHOOSE(U612,INDEX(Forecast_Walkforward!$D:$D,H612),INDEX(Forecast_Walkforward!$E:$E,H612),INDEX(Forecast_Walkforward!$F:$F,H612),INDEX(Forecast_Walkforward!$G:$G,H612))</f>
        <v>61.25</v>
      </c>
      <c r="W612" s="84" t="n">
        <f aca="false">INDEX(Forecast!$BA$7:$BA$54,C612)</f>
        <v>7.19619735765053</v>
      </c>
      <c r="X612" s="85" t="n">
        <f aca="false">Z_Value*W612*SQRT(D612)</f>
        <v>28.9938539866043</v>
      </c>
      <c r="Y612" s="85" t="n">
        <f aca="false">V612*D612+X612</f>
        <v>396.493853986604</v>
      </c>
      <c r="Z612" s="85" t="n">
        <f aca="false">SQRT((2*V612*Weeks_Per_Year*F612)/(E612*Holding_Rate))</f>
        <v>410.630791659398</v>
      </c>
      <c r="AA612" s="81" t="n">
        <f aca="false">ROUNDUP(Z612/G612,0)*G612</f>
        <v>420</v>
      </c>
      <c r="AB612" s="81" t="n">
        <f aca="false">SUMIFS(AF$597:AF611,$B$597:$B611,$B612-$D612)</f>
        <v>0</v>
      </c>
      <c r="AC612" s="81" t="n">
        <f aca="false">AI611+AB612</f>
        <v>345</v>
      </c>
      <c r="AD612" s="81" t="n">
        <f aca="false">SUMIFS(AF$597:AF611,$B$597:$B611,"&gt;"&amp;($B612-$D612))</f>
        <v>420</v>
      </c>
      <c r="AE612" s="81" t="n">
        <f aca="false">AC612+AD612</f>
        <v>765</v>
      </c>
      <c r="AF612" s="86" t="n">
        <f aca="false">IF(AE612&lt;=Y612,AA612,0)</f>
        <v>0</v>
      </c>
      <c r="AG612" s="81" t="n">
        <f aca="false">MIN(AC612,I612)</f>
        <v>59</v>
      </c>
      <c r="AH612" s="81" t="n">
        <f aca="false">I612-AG612</f>
        <v>0</v>
      </c>
      <c r="AI612" s="81" t="n">
        <f aca="false">AC612-AG612</f>
        <v>286</v>
      </c>
      <c r="AJ612" s="81" t="n">
        <f aca="false">IF(AH612&gt;0,1,0)</f>
        <v>0</v>
      </c>
    </row>
    <row r="613" customFormat="false" ht="15" hidden="false" customHeight="false" outlineLevel="0" collapsed="false">
      <c r="A613" s="31" t="str">
        <f aca="false">Inputs!$B$75</f>
        <v>ELE-007</v>
      </c>
      <c r="B613" s="46" t="n">
        <f aca="false">BT_Start_Week</f>
        <v>89</v>
      </c>
      <c r="C613" s="46" t="n">
        <f aca="false">MATCH(A613,Inputs!$B$40:$B$87,0)</f>
        <v>36</v>
      </c>
      <c r="D613" s="32" t="n">
        <f aca="false">INDEX(Inputs!$F$40:$F$87,C613)</f>
        <v>6</v>
      </c>
      <c r="E613" s="78" t="n">
        <f aca="false">INDEX(Inputs!$H$40:$H$87,C613)</f>
        <v>120</v>
      </c>
      <c r="F613" s="78" t="n">
        <f aca="false">INDEX(Inputs!$G$40:$G$87,C613)</f>
        <v>90</v>
      </c>
      <c r="G613" s="32" t="n">
        <f aca="false">INDEX(Inputs!$I$40:$I$87,C613)</f>
        <v>1</v>
      </c>
      <c r="H613" s="46" t="n">
        <f aca="false">MATCH(A613,Demand_History!$C:$C,0)+B613-1</f>
        <v>3730</v>
      </c>
      <c r="I613" s="32" t="n">
        <f aca="false">INDEX(Forecast_Walkforward!$C:$C,H613)</f>
        <v>10</v>
      </c>
      <c r="J613" s="79" t="n">
        <f aca="false">INDEX(Forecast_Walkforward!$E:$E,H613)</f>
        <v>8</v>
      </c>
      <c r="K613" s="33" t="n">
        <f aca="false">Baseline_Weeks*J613</f>
        <v>32</v>
      </c>
      <c r="L613" s="46" t="n">
        <f aca="false">0</f>
        <v>0</v>
      </c>
      <c r="M613" s="46" t="n">
        <f aca="false">ROUND(BT_Open_Cover*INDEX(Forecast_Walkforward!$F:$F,H613),0)+L613</f>
        <v>50</v>
      </c>
      <c r="N613" s="46" t="n">
        <f aca="false">0</f>
        <v>0</v>
      </c>
      <c r="O613" s="46" t="n">
        <f aca="false">M613+N613</f>
        <v>50</v>
      </c>
      <c r="P613" s="47" t="n">
        <f aca="false">IF(O613&lt;K613,ROUNDUP((K613-O613)/G613,0)*G613,0)</f>
        <v>0</v>
      </c>
      <c r="Q613" s="46" t="n">
        <f aca="false">MIN(M613,I613)</f>
        <v>10</v>
      </c>
      <c r="R613" s="46" t="n">
        <f aca="false">I613-Q613</f>
        <v>0</v>
      </c>
      <c r="S613" s="46" t="n">
        <f aca="false">M613-Q613</f>
        <v>40</v>
      </c>
      <c r="T613" s="46" t="n">
        <f aca="false">IF(R613&gt;0,1,0)</f>
        <v>0</v>
      </c>
      <c r="U613" s="32" t="n">
        <f aca="false">INDEX(Forecast!$AY$7:$AY$54,C613)</f>
        <v>3</v>
      </c>
      <c r="V613" s="33" t="n">
        <f aca="false">CHOOSE(U613,INDEX(Forecast_Walkforward!$D:$D,H613),INDEX(Forecast_Walkforward!$E:$E,H613),INDEX(Forecast_Walkforward!$F:$F,H613),INDEX(Forecast_Walkforward!$G:$G,H613))</f>
        <v>8.375</v>
      </c>
      <c r="W613" s="79" t="n">
        <f aca="false">INDEX(Forecast!$BA$7:$BA$54,C613)</f>
        <v>2.56799846020767</v>
      </c>
      <c r="X613" s="33" t="n">
        <f aca="false">Z_Value*W613*SQRT(D613)</f>
        <v>10.3465995570465</v>
      </c>
      <c r="Y613" s="33" t="n">
        <f aca="false">V613*D613+X613</f>
        <v>60.5965995570465</v>
      </c>
      <c r="Z613" s="33" t="n">
        <f aca="false">SQRT((2*V613*Weeks_Per_Year*F613)/(E613*Holding_Rate))</f>
        <v>57.1511154746782</v>
      </c>
      <c r="AA613" s="46" t="n">
        <f aca="false">ROUNDUP(Z613/G613,0)*G613</f>
        <v>58</v>
      </c>
      <c r="AB613" s="46" t="n">
        <f aca="false">0</f>
        <v>0</v>
      </c>
      <c r="AC613" s="46" t="n">
        <f aca="false">ROUND(BT_Open_Cover*INDEX(Forecast_Walkforward!$F:$F,H613),0)+AB613</f>
        <v>50</v>
      </c>
      <c r="AD613" s="46" t="n">
        <f aca="false">0</f>
        <v>0</v>
      </c>
      <c r="AE613" s="46" t="n">
        <f aca="false">AC613+AD613</f>
        <v>50</v>
      </c>
      <c r="AF613" s="47" t="n">
        <f aca="false">IF(AE613&lt;=Y613,AA613,0)</f>
        <v>58</v>
      </c>
      <c r="AG613" s="46" t="n">
        <f aca="false">MIN(AC613,I613)</f>
        <v>10</v>
      </c>
      <c r="AH613" s="46" t="n">
        <f aca="false">I613-AG613</f>
        <v>0</v>
      </c>
      <c r="AI613" s="46" t="n">
        <f aca="false">AC613-AG613</f>
        <v>40</v>
      </c>
      <c r="AJ613" s="46" t="n">
        <f aca="false">IF(AH613&gt;0,1,0)</f>
        <v>0</v>
      </c>
    </row>
    <row r="614" customFormat="false" ht="15" hidden="false" customHeight="false" outlineLevel="0" collapsed="false">
      <c r="A614" s="31" t="str">
        <f aca="false">Inputs!$B$75</f>
        <v>ELE-007</v>
      </c>
      <c r="B614" s="46" t="n">
        <f aca="false">B613+1</f>
        <v>90</v>
      </c>
      <c r="C614" s="46" t="n">
        <f aca="false">MATCH(A614,Inputs!$B$40:$B$87,0)</f>
        <v>36</v>
      </c>
      <c r="D614" s="32" t="n">
        <f aca="false">INDEX(Inputs!$F$40:$F$87,C614)</f>
        <v>6</v>
      </c>
      <c r="E614" s="78" t="n">
        <f aca="false">INDEX(Inputs!$H$40:$H$87,C614)</f>
        <v>120</v>
      </c>
      <c r="F614" s="78" t="n">
        <f aca="false">INDEX(Inputs!$G$40:$G$87,C614)</f>
        <v>90</v>
      </c>
      <c r="G614" s="32" t="n">
        <f aca="false">INDEX(Inputs!$I$40:$I$87,C614)</f>
        <v>1</v>
      </c>
      <c r="H614" s="46" t="n">
        <f aca="false">MATCH(A614,Demand_History!$C:$C,0)+B614-1</f>
        <v>3731</v>
      </c>
      <c r="I614" s="32" t="n">
        <f aca="false">INDEX(Forecast_Walkforward!$C:$C,H614)</f>
        <v>6</v>
      </c>
      <c r="J614" s="79" t="n">
        <f aca="false">INDEX(Forecast_Walkforward!$E:$E,H614)</f>
        <v>9</v>
      </c>
      <c r="K614" s="33" t="n">
        <f aca="false">Baseline_Weeks*J614</f>
        <v>36</v>
      </c>
      <c r="L614" s="46" t="n">
        <f aca="false">SUMIFS(P$613:P613,$B$613:$B613,$B614-$D614)</f>
        <v>0</v>
      </c>
      <c r="M614" s="46" t="n">
        <f aca="false">S613+L614</f>
        <v>40</v>
      </c>
      <c r="N614" s="46" t="n">
        <f aca="false">SUMIFS(P$613:P613,$B$613:$B613,"&gt;"&amp;($B614-$D614))</f>
        <v>0</v>
      </c>
      <c r="O614" s="46" t="n">
        <f aca="false">M614+N614</f>
        <v>40</v>
      </c>
      <c r="P614" s="47" t="n">
        <f aca="false">IF(O614&lt;K614,ROUNDUP((K614-O614)/G614,0)*G614,0)</f>
        <v>0</v>
      </c>
      <c r="Q614" s="46" t="n">
        <f aca="false">MIN(M614,I614)</f>
        <v>6</v>
      </c>
      <c r="R614" s="46" t="n">
        <f aca="false">I614-Q614</f>
        <v>0</v>
      </c>
      <c r="S614" s="46" t="n">
        <f aca="false">M614-Q614</f>
        <v>34</v>
      </c>
      <c r="T614" s="46" t="n">
        <f aca="false">IF(R614&gt;0,1,0)</f>
        <v>0</v>
      </c>
      <c r="U614" s="32" t="n">
        <f aca="false">INDEX(Forecast!$AY$7:$AY$54,C614)</f>
        <v>3</v>
      </c>
      <c r="V614" s="33" t="n">
        <f aca="false">CHOOSE(U614,INDEX(Forecast_Walkforward!$D:$D,H614),INDEX(Forecast_Walkforward!$E:$E,H614),INDEX(Forecast_Walkforward!$F:$F,H614),INDEX(Forecast_Walkforward!$G:$G,H614))</f>
        <v>9.25</v>
      </c>
      <c r="W614" s="79" t="n">
        <f aca="false">INDEX(Forecast!$BA$7:$BA$54,C614)</f>
        <v>2.56799846020767</v>
      </c>
      <c r="X614" s="33" t="n">
        <f aca="false">Z_Value*W614*SQRT(D614)</f>
        <v>10.3465995570465</v>
      </c>
      <c r="Y614" s="33" t="n">
        <f aca="false">V614*D614+X614</f>
        <v>65.8465995570465</v>
      </c>
      <c r="Z614" s="33" t="n">
        <f aca="false">SQRT((2*V614*Weeks_Per_Year*F614)/(E614*Holding_Rate))</f>
        <v>60.062467481781</v>
      </c>
      <c r="AA614" s="46" t="n">
        <f aca="false">ROUNDUP(Z614/G614,0)*G614</f>
        <v>61</v>
      </c>
      <c r="AB614" s="46" t="n">
        <f aca="false">SUMIFS(AF$613:AF613,$B$613:$B613,$B614-$D614)</f>
        <v>0</v>
      </c>
      <c r="AC614" s="46" t="n">
        <f aca="false">AI613+AB614</f>
        <v>40</v>
      </c>
      <c r="AD614" s="46" t="n">
        <f aca="false">SUMIFS(AF$613:AF613,$B$613:$B613,"&gt;"&amp;($B614-$D614))</f>
        <v>58</v>
      </c>
      <c r="AE614" s="46" t="n">
        <f aca="false">AC614+AD614</f>
        <v>98</v>
      </c>
      <c r="AF614" s="47" t="n">
        <f aca="false">IF(AE614&lt;=Y614,AA614,0)</f>
        <v>0</v>
      </c>
      <c r="AG614" s="46" t="n">
        <f aca="false">MIN(AC614,I614)</f>
        <v>6</v>
      </c>
      <c r="AH614" s="46" t="n">
        <f aca="false">I614-AG614</f>
        <v>0</v>
      </c>
      <c r="AI614" s="46" t="n">
        <f aca="false">AC614-AG614</f>
        <v>34</v>
      </c>
      <c r="AJ614" s="46" t="n">
        <f aca="false">IF(AH614&gt;0,1,0)</f>
        <v>0</v>
      </c>
    </row>
    <row r="615" customFormat="false" ht="15" hidden="false" customHeight="false" outlineLevel="0" collapsed="false">
      <c r="A615" s="31" t="str">
        <f aca="false">Inputs!$B$75</f>
        <v>ELE-007</v>
      </c>
      <c r="B615" s="46" t="n">
        <f aca="false">B614+1</f>
        <v>91</v>
      </c>
      <c r="C615" s="46" t="n">
        <f aca="false">MATCH(A615,Inputs!$B$40:$B$87,0)</f>
        <v>36</v>
      </c>
      <c r="D615" s="32" t="n">
        <f aca="false">INDEX(Inputs!$F$40:$F$87,C615)</f>
        <v>6</v>
      </c>
      <c r="E615" s="78" t="n">
        <f aca="false">INDEX(Inputs!$H$40:$H$87,C615)</f>
        <v>120</v>
      </c>
      <c r="F615" s="78" t="n">
        <f aca="false">INDEX(Inputs!$G$40:$G$87,C615)</f>
        <v>90</v>
      </c>
      <c r="G615" s="32" t="n">
        <f aca="false">INDEX(Inputs!$I$40:$I$87,C615)</f>
        <v>1</v>
      </c>
      <c r="H615" s="46" t="n">
        <f aca="false">MATCH(A615,Demand_History!$C:$C,0)+B615-1</f>
        <v>3732</v>
      </c>
      <c r="I615" s="32" t="n">
        <f aca="false">INDEX(Forecast_Walkforward!$C:$C,H615)</f>
        <v>12</v>
      </c>
      <c r="J615" s="79" t="n">
        <f aca="false">INDEX(Forecast_Walkforward!$E:$E,H615)</f>
        <v>7.5</v>
      </c>
      <c r="K615" s="33" t="n">
        <f aca="false">Baseline_Weeks*J615</f>
        <v>30</v>
      </c>
      <c r="L615" s="46" t="n">
        <f aca="false">SUMIFS(P$613:P614,$B$613:$B614,$B615-$D615)</f>
        <v>0</v>
      </c>
      <c r="M615" s="46" t="n">
        <f aca="false">S614+L615</f>
        <v>34</v>
      </c>
      <c r="N615" s="46" t="n">
        <f aca="false">SUMIFS(P$613:P614,$B$613:$B614,"&gt;"&amp;($B615-$D615))</f>
        <v>0</v>
      </c>
      <c r="O615" s="46" t="n">
        <f aca="false">M615+N615</f>
        <v>34</v>
      </c>
      <c r="P615" s="47" t="n">
        <f aca="false">IF(O615&lt;K615,ROUNDUP((K615-O615)/G615,0)*G615,0)</f>
        <v>0</v>
      </c>
      <c r="Q615" s="46" t="n">
        <f aca="false">MIN(M615,I615)</f>
        <v>12</v>
      </c>
      <c r="R615" s="46" t="n">
        <f aca="false">I615-Q615</f>
        <v>0</v>
      </c>
      <c r="S615" s="46" t="n">
        <f aca="false">M615-Q615</f>
        <v>22</v>
      </c>
      <c r="T615" s="46" t="n">
        <f aca="false">IF(R615&gt;0,1,0)</f>
        <v>0</v>
      </c>
      <c r="U615" s="32" t="n">
        <f aca="false">INDEX(Forecast!$AY$7:$AY$54,C615)</f>
        <v>3</v>
      </c>
      <c r="V615" s="33" t="n">
        <f aca="false">CHOOSE(U615,INDEX(Forecast_Walkforward!$D:$D,H615),INDEX(Forecast_Walkforward!$E:$E,H615),INDEX(Forecast_Walkforward!$F:$F,H615),INDEX(Forecast_Walkforward!$G:$G,H615))</f>
        <v>9</v>
      </c>
      <c r="W615" s="79" t="n">
        <f aca="false">INDEX(Forecast!$BA$7:$BA$54,C615)</f>
        <v>2.56799846020767</v>
      </c>
      <c r="X615" s="33" t="n">
        <f aca="false">Z_Value*W615*SQRT(D615)</f>
        <v>10.3465995570465</v>
      </c>
      <c r="Y615" s="33" t="n">
        <f aca="false">V615*D615+X615</f>
        <v>64.3465995570465</v>
      </c>
      <c r="Z615" s="33" t="n">
        <f aca="false">SQRT((2*V615*Weeks_Per_Year*F615)/(E615*Holding_Rate))</f>
        <v>59.2452529743945</v>
      </c>
      <c r="AA615" s="46" t="n">
        <f aca="false">ROUNDUP(Z615/G615,0)*G615</f>
        <v>60</v>
      </c>
      <c r="AB615" s="46" t="n">
        <f aca="false">SUMIFS(AF$613:AF614,$B$613:$B614,$B615-$D615)</f>
        <v>0</v>
      </c>
      <c r="AC615" s="46" t="n">
        <f aca="false">AI614+AB615</f>
        <v>34</v>
      </c>
      <c r="AD615" s="46" t="n">
        <f aca="false">SUMIFS(AF$613:AF614,$B$613:$B614,"&gt;"&amp;($B615-$D615))</f>
        <v>58</v>
      </c>
      <c r="AE615" s="46" t="n">
        <f aca="false">AC615+AD615</f>
        <v>92</v>
      </c>
      <c r="AF615" s="47" t="n">
        <f aca="false">IF(AE615&lt;=Y615,AA615,0)</f>
        <v>0</v>
      </c>
      <c r="AG615" s="46" t="n">
        <f aca="false">MIN(AC615,I615)</f>
        <v>12</v>
      </c>
      <c r="AH615" s="46" t="n">
        <f aca="false">I615-AG615</f>
        <v>0</v>
      </c>
      <c r="AI615" s="46" t="n">
        <f aca="false">AC615-AG615</f>
        <v>22</v>
      </c>
      <c r="AJ615" s="46" t="n">
        <f aca="false">IF(AH615&gt;0,1,0)</f>
        <v>0</v>
      </c>
    </row>
    <row r="616" customFormat="false" ht="15" hidden="false" customHeight="false" outlineLevel="0" collapsed="false">
      <c r="A616" s="31" t="str">
        <f aca="false">Inputs!$B$75</f>
        <v>ELE-007</v>
      </c>
      <c r="B616" s="46" t="n">
        <f aca="false">B615+1</f>
        <v>92</v>
      </c>
      <c r="C616" s="46" t="n">
        <f aca="false">MATCH(A616,Inputs!$B$40:$B$87,0)</f>
        <v>36</v>
      </c>
      <c r="D616" s="32" t="n">
        <f aca="false">INDEX(Inputs!$F$40:$F$87,C616)</f>
        <v>6</v>
      </c>
      <c r="E616" s="78" t="n">
        <f aca="false">INDEX(Inputs!$H$40:$H$87,C616)</f>
        <v>120</v>
      </c>
      <c r="F616" s="78" t="n">
        <f aca="false">INDEX(Inputs!$G$40:$G$87,C616)</f>
        <v>90</v>
      </c>
      <c r="G616" s="32" t="n">
        <f aca="false">INDEX(Inputs!$I$40:$I$87,C616)</f>
        <v>1</v>
      </c>
      <c r="H616" s="46" t="n">
        <f aca="false">MATCH(A616,Demand_History!$C:$C,0)+B616-1</f>
        <v>3733</v>
      </c>
      <c r="I616" s="32" t="n">
        <f aca="false">INDEX(Forecast_Walkforward!$C:$C,H616)</f>
        <v>9</v>
      </c>
      <c r="J616" s="79" t="n">
        <f aca="false">INDEX(Forecast_Walkforward!$E:$E,H616)</f>
        <v>8.75</v>
      </c>
      <c r="K616" s="33" t="n">
        <f aca="false">Baseline_Weeks*J616</f>
        <v>35</v>
      </c>
      <c r="L616" s="46" t="n">
        <f aca="false">SUMIFS(P$613:P615,$B$613:$B615,$B616-$D616)</f>
        <v>0</v>
      </c>
      <c r="M616" s="46" t="n">
        <f aca="false">S615+L616</f>
        <v>22</v>
      </c>
      <c r="N616" s="46" t="n">
        <f aca="false">SUMIFS(P$613:P615,$B$613:$B615,"&gt;"&amp;($B616-$D616))</f>
        <v>0</v>
      </c>
      <c r="O616" s="46" t="n">
        <f aca="false">M616+N616</f>
        <v>22</v>
      </c>
      <c r="P616" s="47" t="n">
        <f aca="false">IF(O616&lt;K616,ROUNDUP((K616-O616)/G616,0)*G616,0)</f>
        <v>13</v>
      </c>
      <c r="Q616" s="46" t="n">
        <f aca="false">MIN(M616,I616)</f>
        <v>9</v>
      </c>
      <c r="R616" s="46" t="n">
        <f aca="false">I616-Q616</f>
        <v>0</v>
      </c>
      <c r="S616" s="46" t="n">
        <f aca="false">M616-Q616</f>
        <v>13</v>
      </c>
      <c r="T616" s="46" t="n">
        <f aca="false">IF(R616&gt;0,1,0)</f>
        <v>0</v>
      </c>
      <c r="U616" s="32" t="n">
        <f aca="false">INDEX(Forecast!$AY$7:$AY$54,C616)</f>
        <v>3</v>
      </c>
      <c r="V616" s="33" t="n">
        <f aca="false">CHOOSE(U616,INDEX(Forecast_Walkforward!$D:$D,H616),INDEX(Forecast_Walkforward!$E:$E,H616),INDEX(Forecast_Walkforward!$F:$F,H616),INDEX(Forecast_Walkforward!$G:$G,H616))</f>
        <v>9.25</v>
      </c>
      <c r="W616" s="79" t="n">
        <f aca="false">INDEX(Forecast!$BA$7:$BA$54,C616)</f>
        <v>2.56799846020767</v>
      </c>
      <c r="X616" s="33" t="n">
        <f aca="false">Z_Value*W616*SQRT(D616)</f>
        <v>10.3465995570465</v>
      </c>
      <c r="Y616" s="33" t="n">
        <f aca="false">V616*D616+X616</f>
        <v>65.8465995570465</v>
      </c>
      <c r="Z616" s="33" t="n">
        <f aca="false">SQRT((2*V616*Weeks_Per_Year*F616)/(E616*Holding_Rate))</f>
        <v>60.062467481781</v>
      </c>
      <c r="AA616" s="46" t="n">
        <f aca="false">ROUNDUP(Z616/G616,0)*G616</f>
        <v>61</v>
      </c>
      <c r="AB616" s="46" t="n">
        <f aca="false">SUMIFS(AF$613:AF615,$B$613:$B615,$B616-$D616)</f>
        <v>0</v>
      </c>
      <c r="AC616" s="46" t="n">
        <f aca="false">AI615+AB616</f>
        <v>22</v>
      </c>
      <c r="AD616" s="46" t="n">
        <f aca="false">SUMIFS(AF$613:AF615,$B$613:$B615,"&gt;"&amp;($B616-$D616))</f>
        <v>58</v>
      </c>
      <c r="AE616" s="46" t="n">
        <f aca="false">AC616+AD616</f>
        <v>80</v>
      </c>
      <c r="AF616" s="47" t="n">
        <f aca="false">IF(AE616&lt;=Y616,AA616,0)</f>
        <v>0</v>
      </c>
      <c r="AG616" s="46" t="n">
        <f aca="false">MIN(AC616,I616)</f>
        <v>9</v>
      </c>
      <c r="AH616" s="46" t="n">
        <f aca="false">I616-AG616</f>
        <v>0</v>
      </c>
      <c r="AI616" s="46" t="n">
        <f aca="false">AC616-AG616</f>
        <v>13</v>
      </c>
      <c r="AJ616" s="46" t="n">
        <f aca="false">IF(AH616&gt;0,1,0)</f>
        <v>0</v>
      </c>
    </row>
    <row r="617" customFormat="false" ht="15" hidden="false" customHeight="false" outlineLevel="0" collapsed="false">
      <c r="A617" s="31" t="str">
        <f aca="false">Inputs!$B$75</f>
        <v>ELE-007</v>
      </c>
      <c r="B617" s="46" t="n">
        <f aca="false">B616+1</f>
        <v>93</v>
      </c>
      <c r="C617" s="46" t="n">
        <f aca="false">MATCH(A617,Inputs!$B$40:$B$87,0)</f>
        <v>36</v>
      </c>
      <c r="D617" s="32" t="n">
        <f aca="false">INDEX(Inputs!$F$40:$F$87,C617)</f>
        <v>6</v>
      </c>
      <c r="E617" s="78" t="n">
        <f aca="false">INDEX(Inputs!$H$40:$H$87,C617)</f>
        <v>120</v>
      </c>
      <c r="F617" s="78" t="n">
        <f aca="false">INDEX(Inputs!$G$40:$G$87,C617)</f>
        <v>90</v>
      </c>
      <c r="G617" s="32" t="n">
        <f aca="false">INDEX(Inputs!$I$40:$I$87,C617)</f>
        <v>1</v>
      </c>
      <c r="H617" s="46" t="n">
        <f aca="false">MATCH(A617,Demand_History!$C:$C,0)+B617-1</f>
        <v>3734</v>
      </c>
      <c r="I617" s="32" t="n">
        <f aca="false">INDEX(Forecast_Walkforward!$C:$C,H617)</f>
        <v>7</v>
      </c>
      <c r="J617" s="79" t="n">
        <f aca="false">INDEX(Forecast_Walkforward!$E:$E,H617)</f>
        <v>9.25</v>
      </c>
      <c r="K617" s="33" t="n">
        <f aca="false">Baseline_Weeks*J617</f>
        <v>37</v>
      </c>
      <c r="L617" s="46" t="n">
        <f aca="false">SUMIFS(P$613:P616,$B$613:$B616,$B617-$D617)</f>
        <v>0</v>
      </c>
      <c r="M617" s="46" t="n">
        <f aca="false">S616+L617</f>
        <v>13</v>
      </c>
      <c r="N617" s="46" t="n">
        <f aca="false">SUMIFS(P$613:P616,$B$613:$B616,"&gt;"&amp;($B617-$D617))</f>
        <v>13</v>
      </c>
      <c r="O617" s="46" t="n">
        <f aca="false">M617+N617</f>
        <v>26</v>
      </c>
      <c r="P617" s="47" t="n">
        <f aca="false">IF(O617&lt;K617,ROUNDUP((K617-O617)/G617,0)*G617,0)</f>
        <v>11</v>
      </c>
      <c r="Q617" s="46" t="n">
        <f aca="false">MIN(M617,I617)</f>
        <v>7</v>
      </c>
      <c r="R617" s="46" t="n">
        <f aca="false">I617-Q617</f>
        <v>0</v>
      </c>
      <c r="S617" s="46" t="n">
        <f aca="false">M617-Q617</f>
        <v>6</v>
      </c>
      <c r="T617" s="46" t="n">
        <f aca="false">IF(R617&gt;0,1,0)</f>
        <v>0</v>
      </c>
      <c r="U617" s="32" t="n">
        <f aca="false">INDEX(Forecast!$AY$7:$AY$54,C617)</f>
        <v>3</v>
      </c>
      <c r="V617" s="33" t="n">
        <f aca="false">CHOOSE(U617,INDEX(Forecast_Walkforward!$D:$D,H617),INDEX(Forecast_Walkforward!$E:$E,H617),INDEX(Forecast_Walkforward!$F:$F,H617),INDEX(Forecast_Walkforward!$G:$G,H617))</f>
        <v>8.625</v>
      </c>
      <c r="W617" s="79" t="n">
        <f aca="false">INDEX(Forecast!$BA$7:$BA$54,C617)</f>
        <v>2.56799846020767</v>
      </c>
      <c r="X617" s="33" t="n">
        <f aca="false">Z_Value*W617*SQRT(D617)</f>
        <v>10.3465995570465</v>
      </c>
      <c r="Y617" s="33" t="n">
        <f aca="false">V617*D617+X617</f>
        <v>62.0965995570465</v>
      </c>
      <c r="Z617" s="33" t="n">
        <f aca="false">SQRT((2*V617*Weeks_Per_Year*F617)/(E617*Holding_Rate))</f>
        <v>57.9978447875436</v>
      </c>
      <c r="AA617" s="46" t="n">
        <f aca="false">ROUNDUP(Z617/G617,0)*G617</f>
        <v>58</v>
      </c>
      <c r="AB617" s="46" t="n">
        <f aca="false">SUMIFS(AF$613:AF616,$B$613:$B616,$B617-$D617)</f>
        <v>0</v>
      </c>
      <c r="AC617" s="46" t="n">
        <f aca="false">AI616+AB617</f>
        <v>13</v>
      </c>
      <c r="AD617" s="46" t="n">
        <f aca="false">SUMIFS(AF$613:AF616,$B$613:$B616,"&gt;"&amp;($B617-$D617))</f>
        <v>58</v>
      </c>
      <c r="AE617" s="46" t="n">
        <f aca="false">AC617+AD617</f>
        <v>71</v>
      </c>
      <c r="AF617" s="47" t="n">
        <f aca="false">IF(AE617&lt;=Y617,AA617,0)</f>
        <v>0</v>
      </c>
      <c r="AG617" s="46" t="n">
        <f aca="false">MIN(AC617,I617)</f>
        <v>7</v>
      </c>
      <c r="AH617" s="46" t="n">
        <f aca="false">I617-AG617</f>
        <v>0</v>
      </c>
      <c r="AI617" s="46" t="n">
        <f aca="false">AC617-AG617</f>
        <v>6</v>
      </c>
      <c r="AJ617" s="46" t="n">
        <f aca="false">IF(AH617&gt;0,1,0)</f>
        <v>0</v>
      </c>
    </row>
    <row r="618" customFormat="false" ht="15" hidden="false" customHeight="false" outlineLevel="0" collapsed="false">
      <c r="A618" s="31" t="str">
        <f aca="false">Inputs!$B$75</f>
        <v>ELE-007</v>
      </c>
      <c r="B618" s="46" t="n">
        <f aca="false">B617+1</f>
        <v>94</v>
      </c>
      <c r="C618" s="46" t="n">
        <f aca="false">MATCH(A618,Inputs!$B$40:$B$87,0)</f>
        <v>36</v>
      </c>
      <c r="D618" s="32" t="n">
        <f aca="false">INDEX(Inputs!$F$40:$F$87,C618)</f>
        <v>6</v>
      </c>
      <c r="E618" s="78" t="n">
        <f aca="false">INDEX(Inputs!$H$40:$H$87,C618)</f>
        <v>120</v>
      </c>
      <c r="F618" s="78" t="n">
        <f aca="false">INDEX(Inputs!$G$40:$G$87,C618)</f>
        <v>90</v>
      </c>
      <c r="G618" s="32" t="n">
        <f aca="false">INDEX(Inputs!$I$40:$I$87,C618)</f>
        <v>1</v>
      </c>
      <c r="H618" s="46" t="n">
        <f aca="false">MATCH(A618,Demand_History!$C:$C,0)+B618-1</f>
        <v>3735</v>
      </c>
      <c r="I618" s="32" t="n">
        <f aca="false">INDEX(Forecast_Walkforward!$C:$C,H618)</f>
        <v>11</v>
      </c>
      <c r="J618" s="79" t="n">
        <f aca="false">INDEX(Forecast_Walkforward!$E:$E,H618)</f>
        <v>8.5</v>
      </c>
      <c r="K618" s="33" t="n">
        <f aca="false">Baseline_Weeks*J618</f>
        <v>34</v>
      </c>
      <c r="L618" s="46" t="n">
        <f aca="false">SUMIFS(P$613:P617,$B$613:$B617,$B618-$D618)</f>
        <v>0</v>
      </c>
      <c r="M618" s="46" t="n">
        <f aca="false">S617+L618</f>
        <v>6</v>
      </c>
      <c r="N618" s="46" t="n">
        <f aca="false">SUMIFS(P$613:P617,$B$613:$B617,"&gt;"&amp;($B618-$D618))</f>
        <v>24</v>
      </c>
      <c r="O618" s="46" t="n">
        <f aca="false">M618+N618</f>
        <v>30</v>
      </c>
      <c r="P618" s="47" t="n">
        <f aca="false">IF(O618&lt;K618,ROUNDUP((K618-O618)/G618,0)*G618,0)</f>
        <v>4</v>
      </c>
      <c r="Q618" s="46" t="n">
        <f aca="false">MIN(M618,I618)</f>
        <v>6</v>
      </c>
      <c r="R618" s="46" t="n">
        <f aca="false">I618-Q618</f>
        <v>5</v>
      </c>
      <c r="S618" s="46" t="n">
        <f aca="false">M618-Q618</f>
        <v>0</v>
      </c>
      <c r="T618" s="46" t="n">
        <f aca="false">IF(R618&gt;0,1,0)</f>
        <v>1</v>
      </c>
      <c r="U618" s="32" t="n">
        <f aca="false">INDEX(Forecast!$AY$7:$AY$54,C618)</f>
        <v>3</v>
      </c>
      <c r="V618" s="33" t="n">
        <f aca="false">CHOOSE(U618,INDEX(Forecast_Walkforward!$D:$D,H618),INDEX(Forecast_Walkforward!$E:$E,H618),INDEX(Forecast_Walkforward!$F:$F,H618),INDEX(Forecast_Walkforward!$G:$G,H618))</f>
        <v>8.75</v>
      </c>
      <c r="W618" s="79" t="n">
        <f aca="false">INDEX(Forecast!$BA$7:$BA$54,C618)</f>
        <v>2.56799846020767</v>
      </c>
      <c r="X618" s="33" t="n">
        <f aca="false">Z_Value*W618*SQRT(D618)</f>
        <v>10.3465995570465</v>
      </c>
      <c r="Y618" s="33" t="n">
        <f aca="false">V618*D618+X618</f>
        <v>62.8465995570465</v>
      </c>
      <c r="Z618" s="33" t="n">
        <f aca="false">SQRT((2*V618*Weeks_Per_Year*F618)/(E618*Holding_Rate))</f>
        <v>58.4166072277396</v>
      </c>
      <c r="AA618" s="46" t="n">
        <f aca="false">ROUNDUP(Z618/G618,0)*G618</f>
        <v>59</v>
      </c>
      <c r="AB618" s="46" t="n">
        <f aca="false">SUMIFS(AF$613:AF617,$B$613:$B617,$B618-$D618)</f>
        <v>0</v>
      </c>
      <c r="AC618" s="46" t="n">
        <f aca="false">AI617+AB618</f>
        <v>6</v>
      </c>
      <c r="AD618" s="46" t="n">
        <f aca="false">SUMIFS(AF$613:AF617,$B$613:$B617,"&gt;"&amp;($B618-$D618))</f>
        <v>58</v>
      </c>
      <c r="AE618" s="46" t="n">
        <f aca="false">AC618+AD618</f>
        <v>64</v>
      </c>
      <c r="AF618" s="47" t="n">
        <f aca="false">IF(AE618&lt;=Y618,AA618,0)</f>
        <v>0</v>
      </c>
      <c r="AG618" s="46" t="n">
        <f aca="false">MIN(AC618,I618)</f>
        <v>6</v>
      </c>
      <c r="AH618" s="46" t="n">
        <f aca="false">I618-AG618</f>
        <v>5</v>
      </c>
      <c r="AI618" s="46" t="n">
        <f aca="false">AC618-AG618</f>
        <v>0</v>
      </c>
      <c r="AJ618" s="46" t="n">
        <f aca="false">IF(AH618&gt;0,1,0)</f>
        <v>1</v>
      </c>
    </row>
    <row r="619" customFormat="false" ht="15" hidden="false" customHeight="false" outlineLevel="0" collapsed="false">
      <c r="A619" s="31" t="str">
        <f aca="false">Inputs!$B$75</f>
        <v>ELE-007</v>
      </c>
      <c r="B619" s="46" t="n">
        <f aca="false">B618+1</f>
        <v>95</v>
      </c>
      <c r="C619" s="46" t="n">
        <f aca="false">MATCH(A619,Inputs!$B$40:$B$87,0)</f>
        <v>36</v>
      </c>
      <c r="D619" s="32" t="n">
        <f aca="false">INDEX(Inputs!$F$40:$F$87,C619)</f>
        <v>6</v>
      </c>
      <c r="E619" s="78" t="n">
        <f aca="false">INDEX(Inputs!$H$40:$H$87,C619)</f>
        <v>120</v>
      </c>
      <c r="F619" s="78" t="n">
        <f aca="false">INDEX(Inputs!$G$40:$G$87,C619)</f>
        <v>90</v>
      </c>
      <c r="G619" s="32" t="n">
        <f aca="false">INDEX(Inputs!$I$40:$I$87,C619)</f>
        <v>1</v>
      </c>
      <c r="H619" s="46" t="n">
        <f aca="false">MATCH(A619,Demand_History!$C:$C,0)+B619-1</f>
        <v>3736</v>
      </c>
      <c r="I619" s="32" t="n">
        <f aca="false">INDEX(Forecast_Walkforward!$C:$C,H619)</f>
        <v>7</v>
      </c>
      <c r="J619" s="79" t="n">
        <f aca="false">INDEX(Forecast_Walkforward!$E:$E,H619)</f>
        <v>9.75</v>
      </c>
      <c r="K619" s="33" t="n">
        <f aca="false">Baseline_Weeks*J619</f>
        <v>39</v>
      </c>
      <c r="L619" s="46" t="n">
        <f aca="false">SUMIFS(P$613:P618,$B$613:$B618,$B619-$D619)</f>
        <v>0</v>
      </c>
      <c r="M619" s="46" t="n">
        <f aca="false">S618+L619</f>
        <v>0</v>
      </c>
      <c r="N619" s="46" t="n">
        <f aca="false">SUMIFS(P$613:P618,$B$613:$B618,"&gt;"&amp;($B619-$D619))</f>
        <v>28</v>
      </c>
      <c r="O619" s="46" t="n">
        <f aca="false">M619+N619</f>
        <v>28</v>
      </c>
      <c r="P619" s="47" t="n">
        <f aca="false">IF(O619&lt;K619,ROUNDUP((K619-O619)/G619,0)*G619,0)</f>
        <v>11</v>
      </c>
      <c r="Q619" s="46" t="n">
        <f aca="false">MIN(M619,I619)</f>
        <v>0</v>
      </c>
      <c r="R619" s="46" t="n">
        <f aca="false">I619-Q619</f>
        <v>7</v>
      </c>
      <c r="S619" s="46" t="n">
        <f aca="false">M619-Q619</f>
        <v>0</v>
      </c>
      <c r="T619" s="46" t="n">
        <f aca="false">IF(R619&gt;0,1,0)</f>
        <v>1</v>
      </c>
      <c r="U619" s="32" t="n">
        <f aca="false">INDEX(Forecast!$AY$7:$AY$54,C619)</f>
        <v>3</v>
      </c>
      <c r="V619" s="33" t="n">
        <f aca="false">CHOOSE(U619,INDEX(Forecast_Walkforward!$D:$D,H619),INDEX(Forecast_Walkforward!$E:$E,H619),INDEX(Forecast_Walkforward!$F:$F,H619),INDEX(Forecast_Walkforward!$G:$G,H619))</f>
        <v>8.625</v>
      </c>
      <c r="W619" s="79" t="n">
        <f aca="false">INDEX(Forecast!$BA$7:$BA$54,C619)</f>
        <v>2.56799846020767</v>
      </c>
      <c r="X619" s="33" t="n">
        <f aca="false">Z_Value*W619*SQRT(D619)</f>
        <v>10.3465995570465</v>
      </c>
      <c r="Y619" s="33" t="n">
        <f aca="false">V619*D619+X619</f>
        <v>62.0965995570465</v>
      </c>
      <c r="Z619" s="33" t="n">
        <f aca="false">SQRT((2*V619*Weeks_Per_Year*F619)/(E619*Holding_Rate))</f>
        <v>57.9978447875436</v>
      </c>
      <c r="AA619" s="46" t="n">
        <f aca="false">ROUNDUP(Z619/G619,0)*G619</f>
        <v>58</v>
      </c>
      <c r="AB619" s="46" t="n">
        <f aca="false">SUMIFS(AF$613:AF618,$B$613:$B618,$B619-$D619)</f>
        <v>58</v>
      </c>
      <c r="AC619" s="46" t="n">
        <f aca="false">AI618+AB619</f>
        <v>58</v>
      </c>
      <c r="AD619" s="46" t="n">
        <f aca="false">SUMIFS(AF$613:AF618,$B$613:$B618,"&gt;"&amp;($B619-$D619))</f>
        <v>0</v>
      </c>
      <c r="AE619" s="46" t="n">
        <f aca="false">AC619+AD619</f>
        <v>58</v>
      </c>
      <c r="AF619" s="47" t="n">
        <f aca="false">IF(AE619&lt;=Y619,AA619,0)</f>
        <v>58</v>
      </c>
      <c r="AG619" s="46" t="n">
        <f aca="false">MIN(AC619,I619)</f>
        <v>7</v>
      </c>
      <c r="AH619" s="46" t="n">
        <f aca="false">I619-AG619</f>
        <v>0</v>
      </c>
      <c r="AI619" s="46" t="n">
        <f aca="false">AC619-AG619</f>
        <v>51</v>
      </c>
      <c r="AJ619" s="46" t="n">
        <f aca="false">IF(AH619&gt;0,1,0)</f>
        <v>0</v>
      </c>
    </row>
    <row r="620" customFormat="false" ht="15" hidden="false" customHeight="false" outlineLevel="0" collapsed="false">
      <c r="A620" s="31" t="str">
        <f aca="false">Inputs!$B$75</f>
        <v>ELE-007</v>
      </c>
      <c r="B620" s="46" t="n">
        <f aca="false">B619+1</f>
        <v>96</v>
      </c>
      <c r="C620" s="46" t="n">
        <f aca="false">MATCH(A620,Inputs!$B$40:$B$87,0)</f>
        <v>36</v>
      </c>
      <c r="D620" s="32" t="n">
        <f aca="false">INDEX(Inputs!$F$40:$F$87,C620)</f>
        <v>6</v>
      </c>
      <c r="E620" s="78" t="n">
        <f aca="false">INDEX(Inputs!$H$40:$H$87,C620)</f>
        <v>120</v>
      </c>
      <c r="F620" s="78" t="n">
        <f aca="false">INDEX(Inputs!$G$40:$G$87,C620)</f>
        <v>90</v>
      </c>
      <c r="G620" s="32" t="n">
        <f aca="false">INDEX(Inputs!$I$40:$I$87,C620)</f>
        <v>1</v>
      </c>
      <c r="H620" s="46" t="n">
        <f aca="false">MATCH(A620,Demand_History!$C:$C,0)+B620-1</f>
        <v>3737</v>
      </c>
      <c r="I620" s="32" t="n">
        <f aca="false">INDEX(Forecast_Walkforward!$C:$C,H620)</f>
        <v>5</v>
      </c>
      <c r="J620" s="79" t="n">
        <f aca="false">INDEX(Forecast_Walkforward!$E:$E,H620)</f>
        <v>8.5</v>
      </c>
      <c r="K620" s="33" t="n">
        <f aca="false">Baseline_Weeks*J620</f>
        <v>34</v>
      </c>
      <c r="L620" s="46" t="n">
        <f aca="false">SUMIFS(P$613:P619,$B$613:$B619,$B620-$D620)</f>
        <v>0</v>
      </c>
      <c r="M620" s="46" t="n">
        <f aca="false">S619+L620</f>
        <v>0</v>
      </c>
      <c r="N620" s="46" t="n">
        <f aca="false">SUMIFS(P$613:P619,$B$613:$B619,"&gt;"&amp;($B620-$D620))</f>
        <v>39</v>
      </c>
      <c r="O620" s="46" t="n">
        <f aca="false">M620+N620</f>
        <v>39</v>
      </c>
      <c r="P620" s="47" t="n">
        <f aca="false">IF(O620&lt;K620,ROUNDUP((K620-O620)/G620,0)*G620,0)</f>
        <v>0</v>
      </c>
      <c r="Q620" s="46" t="n">
        <f aca="false">MIN(M620,I620)</f>
        <v>0</v>
      </c>
      <c r="R620" s="46" t="n">
        <f aca="false">I620-Q620</f>
        <v>5</v>
      </c>
      <c r="S620" s="46" t="n">
        <f aca="false">M620-Q620</f>
        <v>0</v>
      </c>
      <c r="T620" s="46" t="n">
        <f aca="false">IF(R620&gt;0,1,0)</f>
        <v>1</v>
      </c>
      <c r="U620" s="32" t="n">
        <f aca="false">INDEX(Forecast!$AY$7:$AY$54,C620)</f>
        <v>3</v>
      </c>
      <c r="V620" s="33" t="n">
        <f aca="false">CHOOSE(U620,INDEX(Forecast_Walkforward!$D:$D,H620),INDEX(Forecast_Walkforward!$E:$E,H620),INDEX(Forecast_Walkforward!$F:$F,H620),INDEX(Forecast_Walkforward!$G:$G,H620))</f>
        <v>8.625</v>
      </c>
      <c r="W620" s="79" t="n">
        <f aca="false">INDEX(Forecast!$BA$7:$BA$54,C620)</f>
        <v>2.56799846020767</v>
      </c>
      <c r="X620" s="33" t="n">
        <f aca="false">Z_Value*W620*SQRT(D620)</f>
        <v>10.3465995570465</v>
      </c>
      <c r="Y620" s="33" t="n">
        <f aca="false">V620*D620+X620</f>
        <v>62.0965995570465</v>
      </c>
      <c r="Z620" s="33" t="n">
        <f aca="false">SQRT((2*V620*Weeks_Per_Year*F620)/(E620*Holding_Rate))</f>
        <v>57.9978447875436</v>
      </c>
      <c r="AA620" s="46" t="n">
        <f aca="false">ROUNDUP(Z620/G620,0)*G620</f>
        <v>58</v>
      </c>
      <c r="AB620" s="46" t="n">
        <f aca="false">SUMIFS(AF$613:AF619,$B$613:$B619,$B620-$D620)</f>
        <v>0</v>
      </c>
      <c r="AC620" s="46" t="n">
        <f aca="false">AI619+AB620</f>
        <v>51</v>
      </c>
      <c r="AD620" s="46" t="n">
        <f aca="false">SUMIFS(AF$613:AF619,$B$613:$B619,"&gt;"&amp;($B620-$D620))</f>
        <v>58</v>
      </c>
      <c r="AE620" s="46" t="n">
        <f aca="false">AC620+AD620</f>
        <v>109</v>
      </c>
      <c r="AF620" s="47" t="n">
        <f aca="false">IF(AE620&lt;=Y620,AA620,0)</f>
        <v>0</v>
      </c>
      <c r="AG620" s="46" t="n">
        <f aca="false">MIN(AC620,I620)</f>
        <v>5</v>
      </c>
      <c r="AH620" s="46" t="n">
        <f aca="false">I620-AG620</f>
        <v>0</v>
      </c>
      <c r="AI620" s="46" t="n">
        <f aca="false">AC620-AG620</f>
        <v>46</v>
      </c>
      <c r="AJ620" s="46" t="n">
        <f aca="false">IF(AH620&gt;0,1,0)</f>
        <v>0</v>
      </c>
    </row>
    <row r="621" customFormat="false" ht="15" hidden="false" customHeight="false" outlineLevel="0" collapsed="false">
      <c r="A621" s="31" t="str">
        <f aca="false">Inputs!$B$75</f>
        <v>ELE-007</v>
      </c>
      <c r="B621" s="46" t="n">
        <f aca="false">B620+1</f>
        <v>97</v>
      </c>
      <c r="C621" s="46" t="n">
        <f aca="false">MATCH(A621,Inputs!$B$40:$B$87,0)</f>
        <v>36</v>
      </c>
      <c r="D621" s="32" t="n">
        <f aca="false">INDEX(Inputs!$F$40:$F$87,C621)</f>
        <v>6</v>
      </c>
      <c r="E621" s="78" t="n">
        <f aca="false">INDEX(Inputs!$H$40:$H$87,C621)</f>
        <v>120</v>
      </c>
      <c r="F621" s="78" t="n">
        <f aca="false">INDEX(Inputs!$G$40:$G$87,C621)</f>
        <v>90</v>
      </c>
      <c r="G621" s="32" t="n">
        <f aca="false">INDEX(Inputs!$I$40:$I$87,C621)</f>
        <v>1</v>
      </c>
      <c r="H621" s="46" t="n">
        <f aca="false">MATCH(A621,Demand_History!$C:$C,0)+B621-1</f>
        <v>3738</v>
      </c>
      <c r="I621" s="32" t="n">
        <f aca="false">INDEX(Forecast_Walkforward!$C:$C,H621)</f>
        <v>9</v>
      </c>
      <c r="J621" s="79" t="n">
        <f aca="false">INDEX(Forecast_Walkforward!$E:$E,H621)</f>
        <v>7.5</v>
      </c>
      <c r="K621" s="33" t="n">
        <f aca="false">Baseline_Weeks*J621</f>
        <v>30</v>
      </c>
      <c r="L621" s="46" t="n">
        <f aca="false">SUMIFS(P$613:P620,$B$613:$B620,$B621-$D621)</f>
        <v>0</v>
      </c>
      <c r="M621" s="46" t="n">
        <f aca="false">S620+L621</f>
        <v>0</v>
      </c>
      <c r="N621" s="46" t="n">
        <f aca="false">SUMIFS(P$613:P620,$B$613:$B620,"&gt;"&amp;($B621-$D621))</f>
        <v>39</v>
      </c>
      <c r="O621" s="46" t="n">
        <f aca="false">M621+N621</f>
        <v>39</v>
      </c>
      <c r="P621" s="47" t="n">
        <f aca="false">IF(O621&lt;K621,ROUNDUP((K621-O621)/G621,0)*G621,0)</f>
        <v>0</v>
      </c>
      <c r="Q621" s="46" t="n">
        <f aca="false">MIN(M621,I621)</f>
        <v>0</v>
      </c>
      <c r="R621" s="46" t="n">
        <f aca="false">I621-Q621</f>
        <v>9</v>
      </c>
      <c r="S621" s="46" t="n">
        <f aca="false">M621-Q621</f>
        <v>0</v>
      </c>
      <c r="T621" s="46" t="n">
        <f aca="false">IF(R621&gt;0,1,0)</f>
        <v>1</v>
      </c>
      <c r="U621" s="32" t="n">
        <f aca="false">INDEX(Forecast!$AY$7:$AY$54,C621)</f>
        <v>3</v>
      </c>
      <c r="V621" s="33" t="n">
        <f aca="false">CHOOSE(U621,INDEX(Forecast_Walkforward!$D:$D,H621),INDEX(Forecast_Walkforward!$E:$E,H621),INDEX(Forecast_Walkforward!$F:$F,H621),INDEX(Forecast_Walkforward!$G:$G,H621))</f>
        <v>8.375</v>
      </c>
      <c r="W621" s="79" t="n">
        <f aca="false">INDEX(Forecast!$BA$7:$BA$54,C621)</f>
        <v>2.56799846020767</v>
      </c>
      <c r="X621" s="33" t="n">
        <f aca="false">Z_Value*W621*SQRT(D621)</f>
        <v>10.3465995570465</v>
      </c>
      <c r="Y621" s="33" t="n">
        <f aca="false">V621*D621+X621</f>
        <v>60.5965995570465</v>
      </c>
      <c r="Z621" s="33" t="n">
        <f aca="false">SQRT((2*V621*Weeks_Per_Year*F621)/(E621*Holding_Rate))</f>
        <v>57.1511154746782</v>
      </c>
      <c r="AA621" s="46" t="n">
        <f aca="false">ROUNDUP(Z621/G621,0)*G621</f>
        <v>58</v>
      </c>
      <c r="AB621" s="46" t="n">
        <f aca="false">SUMIFS(AF$613:AF620,$B$613:$B620,$B621-$D621)</f>
        <v>0</v>
      </c>
      <c r="AC621" s="46" t="n">
        <f aca="false">AI620+AB621</f>
        <v>46</v>
      </c>
      <c r="AD621" s="46" t="n">
        <f aca="false">SUMIFS(AF$613:AF620,$B$613:$B620,"&gt;"&amp;($B621-$D621))</f>
        <v>58</v>
      </c>
      <c r="AE621" s="46" t="n">
        <f aca="false">AC621+AD621</f>
        <v>104</v>
      </c>
      <c r="AF621" s="47" t="n">
        <f aca="false">IF(AE621&lt;=Y621,AA621,0)</f>
        <v>0</v>
      </c>
      <c r="AG621" s="46" t="n">
        <f aca="false">MIN(AC621,I621)</f>
        <v>9</v>
      </c>
      <c r="AH621" s="46" t="n">
        <f aca="false">I621-AG621</f>
        <v>0</v>
      </c>
      <c r="AI621" s="46" t="n">
        <f aca="false">AC621-AG621</f>
        <v>37</v>
      </c>
      <c r="AJ621" s="46" t="n">
        <f aca="false">IF(AH621&gt;0,1,0)</f>
        <v>0</v>
      </c>
    </row>
    <row r="622" customFormat="false" ht="15" hidden="false" customHeight="false" outlineLevel="0" collapsed="false">
      <c r="A622" s="31" t="str">
        <f aca="false">Inputs!$B$75</f>
        <v>ELE-007</v>
      </c>
      <c r="B622" s="46" t="n">
        <f aca="false">B621+1</f>
        <v>98</v>
      </c>
      <c r="C622" s="46" t="n">
        <f aca="false">MATCH(A622,Inputs!$B$40:$B$87,0)</f>
        <v>36</v>
      </c>
      <c r="D622" s="32" t="n">
        <f aca="false">INDEX(Inputs!$F$40:$F$87,C622)</f>
        <v>6</v>
      </c>
      <c r="E622" s="78" t="n">
        <f aca="false">INDEX(Inputs!$H$40:$H$87,C622)</f>
        <v>120</v>
      </c>
      <c r="F622" s="78" t="n">
        <f aca="false">INDEX(Inputs!$G$40:$G$87,C622)</f>
        <v>90</v>
      </c>
      <c r="G622" s="32" t="n">
        <f aca="false">INDEX(Inputs!$I$40:$I$87,C622)</f>
        <v>1</v>
      </c>
      <c r="H622" s="46" t="n">
        <f aca="false">MATCH(A622,Demand_History!$C:$C,0)+B622-1</f>
        <v>3739</v>
      </c>
      <c r="I622" s="32" t="n">
        <f aca="false">INDEX(Forecast_Walkforward!$C:$C,H622)</f>
        <v>7</v>
      </c>
      <c r="J622" s="79" t="n">
        <f aca="false">INDEX(Forecast_Walkforward!$E:$E,H622)</f>
        <v>8</v>
      </c>
      <c r="K622" s="33" t="n">
        <f aca="false">Baseline_Weeks*J622</f>
        <v>32</v>
      </c>
      <c r="L622" s="46" t="n">
        <f aca="false">SUMIFS(P$613:P621,$B$613:$B621,$B622-$D622)</f>
        <v>13</v>
      </c>
      <c r="M622" s="46" t="n">
        <f aca="false">S621+L622</f>
        <v>13</v>
      </c>
      <c r="N622" s="46" t="n">
        <f aca="false">SUMIFS(P$613:P621,$B$613:$B621,"&gt;"&amp;($B622-$D622))</f>
        <v>26</v>
      </c>
      <c r="O622" s="46" t="n">
        <f aca="false">M622+N622</f>
        <v>39</v>
      </c>
      <c r="P622" s="47" t="n">
        <f aca="false">IF(O622&lt;K622,ROUNDUP((K622-O622)/G622,0)*G622,0)</f>
        <v>0</v>
      </c>
      <c r="Q622" s="46" t="n">
        <f aca="false">MIN(M622,I622)</f>
        <v>7</v>
      </c>
      <c r="R622" s="46" t="n">
        <f aca="false">I622-Q622</f>
        <v>0</v>
      </c>
      <c r="S622" s="46" t="n">
        <f aca="false">M622-Q622</f>
        <v>6</v>
      </c>
      <c r="T622" s="46" t="n">
        <f aca="false">IF(R622&gt;0,1,0)</f>
        <v>0</v>
      </c>
      <c r="U622" s="32" t="n">
        <f aca="false">INDEX(Forecast!$AY$7:$AY$54,C622)</f>
        <v>3</v>
      </c>
      <c r="V622" s="33" t="n">
        <f aca="false">CHOOSE(U622,INDEX(Forecast_Walkforward!$D:$D,H622),INDEX(Forecast_Walkforward!$E:$E,H622),INDEX(Forecast_Walkforward!$F:$F,H622),INDEX(Forecast_Walkforward!$G:$G,H622))</f>
        <v>8.25</v>
      </c>
      <c r="W622" s="79" t="n">
        <f aca="false">INDEX(Forecast!$BA$7:$BA$54,C622)</f>
        <v>2.56799846020767</v>
      </c>
      <c r="X622" s="33" t="n">
        <f aca="false">Z_Value*W622*SQRT(D622)</f>
        <v>10.3465995570465</v>
      </c>
      <c r="Y622" s="33" t="n">
        <f aca="false">V622*D622+X622</f>
        <v>59.8465995570465</v>
      </c>
      <c r="Z622" s="33" t="n">
        <f aca="false">SQRT((2*V622*Weeks_Per_Year*F622)/(E622*Holding_Rate))</f>
        <v>56.7230112035671</v>
      </c>
      <c r="AA622" s="46" t="n">
        <f aca="false">ROUNDUP(Z622/G622,0)*G622</f>
        <v>57</v>
      </c>
      <c r="AB622" s="46" t="n">
        <f aca="false">SUMIFS(AF$613:AF621,$B$613:$B621,$B622-$D622)</f>
        <v>0</v>
      </c>
      <c r="AC622" s="46" t="n">
        <f aca="false">AI621+AB622</f>
        <v>37</v>
      </c>
      <c r="AD622" s="46" t="n">
        <f aca="false">SUMIFS(AF$613:AF621,$B$613:$B621,"&gt;"&amp;($B622-$D622))</f>
        <v>58</v>
      </c>
      <c r="AE622" s="46" t="n">
        <f aca="false">AC622+AD622</f>
        <v>95</v>
      </c>
      <c r="AF622" s="47" t="n">
        <f aca="false">IF(AE622&lt;=Y622,AA622,0)</f>
        <v>0</v>
      </c>
      <c r="AG622" s="46" t="n">
        <f aca="false">MIN(AC622,I622)</f>
        <v>7</v>
      </c>
      <c r="AH622" s="46" t="n">
        <f aca="false">I622-AG622</f>
        <v>0</v>
      </c>
      <c r="AI622" s="46" t="n">
        <f aca="false">AC622-AG622</f>
        <v>30</v>
      </c>
      <c r="AJ622" s="46" t="n">
        <f aca="false">IF(AH622&gt;0,1,0)</f>
        <v>0</v>
      </c>
    </row>
    <row r="623" customFormat="false" ht="15" hidden="false" customHeight="false" outlineLevel="0" collapsed="false">
      <c r="A623" s="31" t="str">
        <f aca="false">Inputs!$B$75</f>
        <v>ELE-007</v>
      </c>
      <c r="B623" s="46" t="n">
        <f aca="false">B622+1</f>
        <v>99</v>
      </c>
      <c r="C623" s="46" t="n">
        <f aca="false">MATCH(A623,Inputs!$B$40:$B$87,0)</f>
        <v>36</v>
      </c>
      <c r="D623" s="32" t="n">
        <f aca="false">INDEX(Inputs!$F$40:$F$87,C623)</f>
        <v>6</v>
      </c>
      <c r="E623" s="78" t="n">
        <f aca="false">INDEX(Inputs!$H$40:$H$87,C623)</f>
        <v>120</v>
      </c>
      <c r="F623" s="78" t="n">
        <f aca="false">INDEX(Inputs!$G$40:$G$87,C623)</f>
        <v>90</v>
      </c>
      <c r="G623" s="32" t="n">
        <f aca="false">INDEX(Inputs!$I$40:$I$87,C623)</f>
        <v>1</v>
      </c>
      <c r="H623" s="46" t="n">
        <f aca="false">MATCH(A623,Demand_History!$C:$C,0)+B623-1</f>
        <v>3740</v>
      </c>
      <c r="I623" s="32" t="n">
        <f aca="false">INDEX(Forecast_Walkforward!$C:$C,H623)</f>
        <v>4</v>
      </c>
      <c r="J623" s="79" t="n">
        <f aca="false">INDEX(Forecast_Walkforward!$E:$E,H623)</f>
        <v>7</v>
      </c>
      <c r="K623" s="33" t="n">
        <f aca="false">Baseline_Weeks*J623</f>
        <v>28</v>
      </c>
      <c r="L623" s="46" t="n">
        <f aca="false">SUMIFS(P$613:P622,$B$613:$B622,$B623-$D623)</f>
        <v>11</v>
      </c>
      <c r="M623" s="46" t="n">
        <f aca="false">S622+L623</f>
        <v>17</v>
      </c>
      <c r="N623" s="46" t="n">
        <f aca="false">SUMIFS(P$613:P622,$B$613:$B622,"&gt;"&amp;($B623-$D623))</f>
        <v>15</v>
      </c>
      <c r="O623" s="46" t="n">
        <f aca="false">M623+N623</f>
        <v>32</v>
      </c>
      <c r="P623" s="47" t="n">
        <f aca="false">IF(O623&lt;K623,ROUNDUP((K623-O623)/G623,0)*G623,0)</f>
        <v>0</v>
      </c>
      <c r="Q623" s="46" t="n">
        <f aca="false">MIN(M623,I623)</f>
        <v>4</v>
      </c>
      <c r="R623" s="46" t="n">
        <f aca="false">I623-Q623</f>
        <v>0</v>
      </c>
      <c r="S623" s="46" t="n">
        <f aca="false">M623-Q623</f>
        <v>13</v>
      </c>
      <c r="T623" s="46" t="n">
        <f aca="false">IF(R623&gt;0,1,0)</f>
        <v>0</v>
      </c>
      <c r="U623" s="32" t="n">
        <f aca="false">INDEX(Forecast!$AY$7:$AY$54,C623)</f>
        <v>3</v>
      </c>
      <c r="V623" s="33" t="n">
        <f aca="false">CHOOSE(U623,INDEX(Forecast_Walkforward!$D:$D,H623),INDEX(Forecast_Walkforward!$E:$E,H623),INDEX(Forecast_Walkforward!$F:$F,H623),INDEX(Forecast_Walkforward!$G:$G,H623))</f>
        <v>8.375</v>
      </c>
      <c r="W623" s="79" t="n">
        <f aca="false">INDEX(Forecast!$BA$7:$BA$54,C623)</f>
        <v>2.56799846020767</v>
      </c>
      <c r="X623" s="33" t="n">
        <f aca="false">Z_Value*W623*SQRT(D623)</f>
        <v>10.3465995570465</v>
      </c>
      <c r="Y623" s="33" t="n">
        <f aca="false">V623*D623+X623</f>
        <v>60.5965995570465</v>
      </c>
      <c r="Z623" s="33" t="n">
        <f aca="false">SQRT((2*V623*Weeks_Per_Year*F623)/(E623*Holding_Rate))</f>
        <v>57.1511154746782</v>
      </c>
      <c r="AA623" s="46" t="n">
        <f aca="false">ROUNDUP(Z623/G623,0)*G623</f>
        <v>58</v>
      </c>
      <c r="AB623" s="46" t="n">
        <f aca="false">SUMIFS(AF$613:AF622,$B$613:$B622,$B623-$D623)</f>
        <v>0</v>
      </c>
      <c r="AC623" s="46" t="n">
        <f aca="false">AI622+AB623</f>
        <v>30</v>
      </c>
      <c r="AD623" s="46" t="n">
        <f aca="false">SUMIFS(AF$613:AF622,$B$613:$B622,"&gt;"&amp;($B623-$D623))</f>
        <v>58</v>
      </c>
      <c r="AE623" s="46" t="n">
        <f aca="false">AC623+AD623</f>
        <v>88</v>
      </c>
      <c r="AF623" s="47" t="n">
        <f aca="false">IF(AE623&lt;=Y623,AA623,0)</f>
        <v>0</v>
      </c>
      <c r="AG623" s="46" t="n">
        <f aca="false">MIN(AC623,I623)</f>
        <v>4</v>
      </c>
      <c r="AH623" s="46" t="n">
        <f aca="false">I623-AG623</f>
        <v>0</v>
      </c>
      <c r="AI623" s="46" t="n">
        <f aca="false">AC623-AG623</f>
        <v>26</v>
      </c>
      <c r="AJ623" s="46" t="n">
        <f aca="false">IF(AH623&gt;0,1,0)</f>
        <v>0</v>
      </c>
    </row>
    <row r="624" customFormat="false" ht="15" hidden="false" customHeight="false" outlineLevel="0" collapsed="false">
      <c r="A624" s="31" t="str">
        <f aca="false">Inputs!$B$75</f>
        <v>ELE-007</v>
      </c>
      <c r="B624" s="46" t="n">
        <f aca="false">B623+1</f>
        <v>100</v>
      </c>
      <c r="C624" s="46" t="n">
        <f aca="false">MATCH(A624,Inputs!$B$40:$B$87,0)</f>
        <v>36</v>
      </c>
      <c r="D624" s="32" t="n">
        <f aca="false">INDEX(Inputs!$F$40:$F$87,C624)</f>
        <v>6</v>
      </c>
      <c r="E624" s="78" t="n">
        <f aca="false">INDEX(Inputs!$H$40:$H$87,C624)</f>
        <v>120</v>
      </c>
      <c r="F624" s="78" t="n">
        <f aca="false">INDEX(Inputs!$G$40:$G$87,C624)</f>
        <v>90</v>
      </c>
      <c r="G624" s="32" t="n">
        <f aca="false">INDEX(Inputs!$I$40:$I$87,C624)</f>
        <v>1</v>
      </c>
      <c r="H624" s="46" t="n">
        <f aca="false">MATCH(A624,Demand_History!$C:$C,0)+B624-1</f>
        <v>3741</v>
      </c>
      <c r="I624" s="32" t="n">
        <f aca="false">INDEX(Forecast_Walkforward!$C:$C,H624)</f>
        <v>10</v>
      </c>
      <c r="J624" s="79" t="n">
        <f aca="false">INDEX(Forecast_Walkforward!$E:$E,H624)</f>
        <v>6.25</v>
      </c>
      <c r="K624" s="33" t="n">
        <f aca="false">Baseline_Weeks*J624</f>
        <v>25</v>
      </c>
      <c r="L624" s="46" t="n">
        <f aca="false">SUMIFS(P$613:P623,$B$613:$B623,$B624-$D624)</f>
        <v>4</v>
      </c>
      <c r="M624" s="46" t="n">
        <f aca="false">S623+L624</f>
        <v>17</v>
      </c>
      <c r="N624" s="46" t="n">
        <f aca="false">SUMIFS(P$613:P623,$B$613:$B623,"&gt;"&amp;($B624-$D624))</f>
        <v>11</v>
      </c>
      <c r="O624" s="46" t="n">
        <f aca="false">M624+N624</f>
        <v>28</v>
      </c>
      <c r="P624" s="47" t="n">
        <f aca="false">IF(O624&lt;K624,ROUNDUP((K624-O624)/G624,0)*G624,0)</f>
        <v>0</v>
      </c>
      <c r="Q624" s="46" t="n">
        <f aca="false">MIN(M624,I624)</f>
        <v>10</v>
      </c>
      <c r="R624" s="46" t="n">
        <f aca="false">I624-Q624</f>
        <v>0</v>
      </c>
      <c r="S624" s="46" t="n">
        <f aca="false">M624-Q624</f>
        <v>7</v>
      </c>
      <c r="T624" s="46" t="n">
        <f aca="false">IF(R624&gt;0,1,0)</f>
        <v>0</v>
      </c>
      <c r="U624" s="32" t="n">
        <f aca="false">INDEX(Forecast!$AY$7:$AY$54,C624)</f>
        <v>3</v>
      </c>
      <c r="V624" s="33" t="n">
        <f aca="false">CHOOSE(U624,INDEX(Forecast_Walkforward!$D:$D,H624),INDEX(Forecast_Walkforward!$E:$E,H624),INDEX(Forecast_Walkforward!$F:$F,H624),INDEX(Forecast_Walkforward!$G:$G,H624))</f>
        <v>7.375</v>
      </c>
      <c r="W624" s="79" t="n">
        <f aca="false">INDEX(Forecast!$BA$7:$BA$54,C624)</f>
        <v>2.56799846020767</v>
      </c>
      <c r="X624" s="33" t="n">
        <f aca="false">Z_Value*W624*SQRT(D624)</f>
        <v>10.3465995570465</v>
      </c>
      <c r="Y624" s="33" t="n">
        <f aca="false">V624*D624+X624</f>
        <v>54.5965995570465</v>
      </c>
      <c r="Z624" s="33" t="n">
        <f aca="false">SQRT((2*V624*Weeks_Per_Year*F624)/(E624*Holding_Rate))</f>
        <v>53.6306815172062</v>
      </c>
      <c r="AA624" s="46" t="n">
        <f aca="false">ROUNDUP(Z624/G624,0)*G624</f>
        <v>54</v>
      </c>
      <c r="AB624" s="46" t="n">
        <f aca="false">SUMIFS(AF$613:AF623,$B$613:$B623,$B624-$D624)</f>
        <v>0</v>
      </c>
      <c r="AC624" s="46" t="n">
        <f aca="false">AI623+AB624</f>
        <v>26</v>
      </c>
      <c r="AD624" s="46" t="n">
        <f aca="false">SUMIFS(AF$613:AF623,$B$613:$B623,"&gt;"&amp;($B624-$D624))</f>
        <v>58</v>
      </c>
      <c r="AE624" s="46" t="n">
        <f aca="false">AC624+AD624</f>
        <v>84</v>
      </c>
      <c r="AF624" s="47" t="n">
        <f aca="false">IF(AE624&lt;=Y624,AA624,0)</f>
        <v>0</v>
      </c>
      <c r="AG624" s="46" t="n">
        <f aca="false">MIN(AC624,I624)</f>
        <v>10</v>
      </c>
      <c r="AH624" s="46" t="n">
        <f aca="false">I624-AG624</f>
        <v>0</v>
      </c>
      <c r="AI624" s="46" t="n">
        <f aca="false">AC624-AG624</f>
        <v>16</v>
      </c>
      <c r="AJ624" s="46" t="n">
        <f aca="false">IF(AH624&gt;0,1,0)</f>
        <v>0</v>
      </c>
    </row>
    <row r="625" customFormat="false" ht="15" hidden="false" customHeight="false" outlineLevel="0" collapsed="false">
      <c r="A625" s="31" t="str">
        <f aca="false">Inputs!$B$75</f>
        <v>ELE-007</v>
      </c>
      <c r="B625" s="46" t="n">
        <f aca="false">B624+1</f>
        <v>101</v>
      </c>
      <c r="C625" s="46" t="n">
        <f aca="false">MATCH(A625,Inputs!$B$40:$B$87,0)</f>
        <v>36</v>
      </c>
      <c r="D625" s="32" t="n">
        <f aca="false">INDEX(Inputs!$F$40:$F$87,C625)</f>
        <v>6</v>
      </c>
      <c r="E625" s="78" t="n">
        <f aca="false">INDEX(Inputs!$H$40:$H$87,C625)</f>
        <v>120</v>
      </c>
      <c r="F625" s="78" t="n">
        <f aca="false">INDEX(Inputs!$G$40:$G$87,C625)</f>
        <v>90</v>
      </c>
      <c r="G625" s="32" t="n">
        <f aca="false">INDEX(Inputs!$I$40:$I$87,C625)</f>
        <v>1</v>
      </c>
      <c r="H625" s="46" t="n">
        <f aca="false">MATCH(A625,Demand_History!$C:$C,0)+B625-1</f>
        <v>3742</v>
      </c>
      <c r="I625" s="32" t="n">
        <f aca="false">INDEX(Forecast_Walkforward!$C:$C,H625)</f>
        <v>8</v>
      </c>
      <c r="J625" s="79" t="n">
        <f aca="false">INDEX(Forecast_Walkforward!$E:$E,H625)</f>
        <v>7.5</v>
      </c>
      <c r="K625" s="33" t="n">
        <f aca="false">Baseline_Weeks*J625</f>
        <v>30</v>
      </c>
      <c r="L625" s="46" t="n">
        <f aca="false">SUMIFS(P$613:P624,$B$613:$B624,$B625-$D625)</f>
        <v>11</v>
      </c>
      <c r="M625" s="46" t="n">
        <f aca="false">S624+L625</f>
        <v>18</v>
      </c>
      <c r="N625" s="46" t="n">
        <f aca="false">SUMIFS(P$613:P624,$B$613:$B624,"&gt;"&amp;($B625-$D625))</f>
        <v>0</v>
      </c>
      <c r="O625" s="46" t="n">
        <f aca="false">M625+N625</f>
        <v>18</v>
      </c>
      <c r="P625" s="47" t="n">
        <f aca="false">IF(O625&lt;K625,ROUNDUP((K625-O625)/G625,0)*G625,0)</f>
        <v>12</v>
      </c>
      <c r="Q625" s="46" t="n">
        <f aca="false">MIN(M625,I625)</f>
        <v>8</v>
      </c>
      <c r="R625" s="46" t="n">
        <f aca="false">I625-Q625</f>
        <v>0</v>
      </c>
      <c r="S625" s="46" t="n">
        <f aca="false">M625-Q625</f>
        <v>10</v>
      </c>
      <c r="T625" s="46" t="n">
        <f aca="false">IF(R625&gt;0,1,0)</f>
        <v>0</v>
      </c>
      <c r="U625" s="32" t="n">
        <f aca="false">INDEX(Forecast!$AY$7:$AY$54,C625)</f>
        <v>3</v>
      </c>
      <c r="V625" s="33" t="n">
        <f aca="false">CHOOSE(U625,INDEX(Forecast_Walkforward!$D:$D,H625),INDEX(Forecast_Walkforward!$E:$E,H625),INDEX(Forecast_Walkforward!$F:$F,H625),INDEX(Forecast_Walkforward!$G:$G,H625))</f>
        <v>7.5</v>
      </c>
      <c r="W625" s="79" t="n">
        <f aca="false">INDEX(Forecast!$BA$7:$BA$54,C625)</f>
        <v>2.56799846020767</v>
      </c>
      <c r="X625" s="33" t="n">
        <f aca="false">Z_Value*W625*SQRT(D625)</f>
        <v>10.3465995570465</v>
      </c>
      <c r="Y625" s="33" t="n">
        <f aca="false">V625*D625+X625</f>
        <v>55.3465995570465</v>
      </c>
      <c r="Z625" s="33" t="n">
        <f aca="false">SQRT((2*V625*Weeks_Per_Year*F625)/(E625*Holding_Rate))</f>
        <v>54.0832691319598</v>
      </c>
      <c r="AA625" s="46" t="n">
        <f aca="false">ROUNDUP(Z625/G625,0)*G625</f>
        <v>55</v>
      </c>
      <c r="AB625" s="46" t="n">
        <f aca="false">SUMIFS(AF$613:AF624,$B$613:$B624,$B625-$D625)</f>
        <v>58</v>
      </c>
      <c r="AC625" s="46" t="n">
        <f aca="false">AI624+AB625</f>
        <v>74</v>
      </c>
      <c r="AD625" s="46" t="n">
        <f aca="false">SUMIFS(AF$613:AF624,$B$613:$B624,"&gt;"&amp;($B625-$D625))</f>
        <v>0</v>
      </c>
      <c r="AE625" s="46" t="n">
        <f aca="false">AC625+AD625</f>
        <v>74</v>
      </c>
      <c r="AF625" s="47" t="n">
        <f aca="false">IF(AE625&lt;=Y625,AA625,0)</f>
        <v>0</v>
      </c>
      <c r="AG625" s="46" t="n">
        <f aca="false">MIN(AC625,I625)</f>
        <v>8</v>
      </c>
      <c r="AH625" s="46" t="n">
        <f aca="false">I625-AG625</f>
        <v>0</v>
      </c>
      <c r="AI625" s="46" t="n">
        <f aca="false">AC625-AG625</f>
        <v>66</v>
      </c>
      <c r="AJ625" s="46" t="n">
        <f aca="false">IF(AH625&gt;0,1,0)</f>
        <v>0</v>
      </c>
    </row>
    <row r="626" customFormat="false" ht="15" hidden="false" customHeight="false" outlineLevel="0" collapsed="false">
      <c r="A626" s="31" t="str">
        <f aca="false">Inputs!$B$75</f>
        <v>ELE-007</v>
      </c>
      <c r="B626" s="46" t="n">
        <f aca="false">B625+1</f>
        <v>102</v>
      </c>
      <c r="C626" s="46" t="n">
        <f aca="false">MATCH(A626,Inputs!$B$40:$B$87,0)</f>
        <v>36</v>
      </c>
      <c r="D626" s="32" t="n">
        <f aca="false">INDEX(Inputs!$F$40:$F$87,C626)</f>
        <v>6</v>
      </c>
      <c r="E626" s="78" t="n">
        <f aca="false">INDEX(Inputs!$H$40:$H$87,C626)</f>
        <v>120</v>
      </c>
      <c r="F626" s="78" t="n">
        <f aca="false">INDEX(Inputs!$G$40:$G$87,C626)</f>
        <v>90</v>
      </c>
      <c r="G626" s="32" t="n">
        <f aca="false">INDEX(Inputs!$I$40:$I$87,C626)</f>
        <v>1</v>
      </c>
      <c r="H626" s="46" t="n">
        <f aca="false">MATCH(A626,Demand_History!$C:$C,0)+B626-1</f>
        <v>3743</v>
      </c>
      <c r="I626" s="32" t="n">
        <f aca="false">INDEX(Forecast_Walkforward!$C:$C,H626)</f>
        <v>10</v>
      </c>
      <c r="J626" s="79" t="n">
        <f aca="false">INDEX(Forecast_Walkforward!$E:$E,H626)</f>
        <v>7.25</v>
      </c>
      <c r="K626" s="33" t="n">
        <f aca="false">Baseline_Weeks*J626</f>
        <v>29</v>
      </c>
      <c r="L626" s="46" t="n">
        <f aca="false">SUMIFS(P$613:P625,$B$613:$B625,$B626-$D626)</f>
        <v>0</v>
      </c>
      <c r="M626" s="46" t="n">
        <f aca="false">S625+L626</f>
        <v>10</v>
      </c>
      <c r="N626" s="46" t="n">
        <f aca="false">SUMIFS(P$613:P625,$B$613:$B625,"&gt;"&amp;($B626-$D626))</f>
        <v>12</v>
      </c>
      <c r="O626" s="46" t="n">
        <f aca="false">M626+N626</f>
        <v>22</v>
      </c>
      <c r="P626" s="47" t="n">
        <f aca="false">IF(O626&lt;K626,ROUNDUP((K626-O626)/G626,0)*G626,0)</f>
        <v>7</v>
      </c>
      <c r="Q626" s="46" t="n">
        <f aca="false">MIN(M626,I626)</f>
        <v>10</v>
      </c>
      <c r="R626" s="46" t="n">
        <f aca="false">I626-Q626</f>
        <v>0</v>
      </c>
      <c r="S626" s="46" t="n">
        <f aca="false">M626-Q626</f>
        <v>0</v>
      </c>
      <c r="T626" s="46" t="n">
        <f aca="false">IF(R626&gt;0,1,0)</f>
        <v>0</v>
      </c>
      <c r="U626" s="32" t="n">
        <f aca="false">INDEX(Forecast!$AY$7:$AY$54,C626)</f>
        <v>3</v>
      </c>
      <c r="V626" s="33" t="n">
        <f aca="false">CHOOSE(U626,INDEX(Forecast_Walkforward!$D:$D,H626),INDEX(Forecast_Walkforward!$E:$E,H626),INDEX(Forecast_Walkforward!$F:$F,H626),INDEX(Forecast_Walkforward!$G:$G,H626))</f>
        <v>7.625</v>
      </c>
      <c r="W626" s="79" t="n">
        <f aca="false">INDEX(Forecast!$BA$7:$BA$54,C626)</f>
        <v>2.56799846020767</v>
      </c>
      <c r="X626" s="33" t="n">
        <f aca="false">Z_Value*W626*SQRT(D626)</f>
        <v>10.3465995570465</v>
      </c>
      <c r="Y626" s="33" t="n">
        <f aca="false">V626*D626+X626</f>
        <v>56.0965995570465</v>
      </c>
      <c r="Z626" s="33" t="n">
        <f aca="false">SQRT((2*V626*Weeks_Per_Year*F626)/(E626*Holding_Rate))</f>
        <v>54.5321006380646</v>
      </c>
      <c r="AA626" s="46" t="n">
        <f aca="false">ROUNDUP(Z626/G626,0)*G626</f>
        <v>55</v>
      </c>
      <c r="AB626" s="46" t="n">
        <f aca="false">SUMIFS(AF$613:AF625,$B$613:$B625,$B626-$D626)</f>
        <v>0</v>
      </c>
      <c r="AC626" s="46" t="n">
        <f aca="false">AI625+AB626</f>
        <v>66</v>
      </c>
      <c r="AD626" s="46" t="n">
        <f aca="false">SUMIFS(AF$613:AF625,$B$613:$B625,"&gt;"&amp;($B626-$D626))</f>
        <v>0</v>
      </c>
      <c r="AE626" s="46" t="n">
        <f aca="false">AC626+AD626</f>
        <v>66</v>
      </c>
      <c r="AF626" s="47" t="n">
        <f aca="false">IF(AE626&lt;=Y626,AA626,0)</f>
        <v>0</v>
      </c>
      <c r="AG626" s="46" t="n">
        <f aca="false">MIN(AC626,I626)</f>
        <v>10</v>
      </c>
      <c r="AH626" s="46" t="n">
        <f aca="false">I626-AG626</f>
        <v>0</v>
      </c>
      <c r="AI626" s="46" t="n">
        <f aca="false">AC626-AG626</f>
        <v>56</v>
      </c>
      <c r="AJ626" s="46" t="n">
        <f aca="false">IF(AH626&gt;0,1,0)</f>
        <v>0</v>
      </c>
    </row>
    <row r="627" customFormat="false" ht="15" hidden="false" customHeight="false" outlineLevel="0" collapsed="false">
      <c r="A627" s="31" t="str">
        <f aca="false">Inputs!$B$75</f>
        <v>ELE-007</v>
      </c>
      <c r="B627" s="46" t="n">
        <f aca="false">B626+1</f>
        <v>103</v>
      </c>
      <c r="C627" s="46" t="n">
        <f aca="false">MATCH(A627,Inputs!$B$40:$B$87,0)</f>
        <v>36</v>
      </c>
      <c r="D627" s="32" t="n">
        <f aca="false">INDEX(Inputs!$F$40:$F$87,C627)</f>
        <v>6</v>
      </c>
      <c r="E627" s="78" t="n">
        <f aca="false">INDEX(Inputs!$H$40:$H$87,C627)</f>
        <v>120</v>
      </c>
      <c r="F627" s="78" t="n">
        <f aca="false">INDEX(Inputs!$G$40:$G$87,C627)</f>
        <v>90</v>
      </c>
      <c r="G627" s="32" t="n">
        <f aca="false">INDEX(Inputs!$I$40:$I$87,C627)</f>
        <v>1</v>
      </c>
      <c r="H627" s="46" t="n">
        <f aca="false">MATCH(A627,Demand_History!$C:$C,0)+B627-1</f>
        <v>3744</v>
      </c>
      <c r="I627" s="32" t="n">
        <f aca="false">INDEX(Forecast_Walkforward!$C:$C,H627)</f>
        <v>10</v>
      </c>
      <c r="J627" s="79" t="n">
        <f aca="false">INDEX(Forecast_Walkforward!$E:$E,H627)</f>
        <v>8</v>
      </c>
      <c r="K627" s="33" t="n">
        <f aca="false">Baseline_Weeks*J627</f>
        <v>32</v>
      </c>
      <c r="L627" s="46" t="n">
        <f aca="false">SUMIFS(P$613:P626,$B$613:$B626,$B627-$D627)</f>
        <v>0</v>
      </c>
      <c r="M627" s="46" t="n">
        <f aca="false">S626+L627</f>
        <v>0</v>
      </c>
      <c r="N627" s="46" t="n">
        <f aca="false">SUMIFS(P$613:P626,$B$613:$B626,"&gt;"&amp;($B627-$D627))</f>
        <v>19</v>
      </c>
      <c r="O627" s="46" t="n">
        <f aca="false">M627+N627</f>
        <v>19</v>
      </c>
      <c r="P627" s="47" t="n">
        <f aca="false">IF(O627&lt;K627,ROUNDUP((K627-O627)/G627,0)*G627,0)</f>
        <v>13</v>
      </c>
      <c r="Q627" s="46" t="n">
        <f aca="false">MIN(M627,I627)</f>
        <v>0</v>
      </c>
      <c r="R627" s="46" t="n">
        <f aca="false">I627-Q627</f>
        <v>10</v>
      </c>
      <c r="S627" s="46" t="n">
        <f aca="false">M627-Q627</f>
        <v>0</v>
      </c>
      <c r="T627" s="46" t="n">
        <f aca="false">IF(R627&gt;0,1,0)</f>
        <v>1</v>
      </c>
      <c r="U627" s="32" t="n">
        <f aca="false">INDEX(Forecast!$AY$7:$AY$54,C627)</f>
        <v>3</v>
      </c>
      <c r="V627" s="33" t="n">
        <f aca="false">CHOOSE(U627,INDEX(Forecast_Walkforward!$D:$D,H627),INDEX(Forecast_Walkforward!$E:$E,H627),INDEX(Forecast_Walkforward!$F:$F,H627),INDEX(Forecast_Walkforward!$G:$G,H627))</f>
        <v>7.5</v>
      </c>
      <c r="W627" s="79" t="n">
        <f aca="false">INDEX(Forecast!$BA$7:$BA$54,C627)</f>
        <v>2.56799846020767</v>
      </c>
      <c r="X627" s="33" t="n">
        <f aca="false">Z_Value*W627*SQRT(D627)</f>
        <v>10.3465995570465</v>
      </c>
      <c r="Y627" s="33" t="n">
        <f aca="false">V627*D627+X627</f>
        <v>55.3465995570465</v>
      </c>
      <c r="Z627" s="33" t="n">
        <f aca="false">SQRT((2*V627*Weeks_Per_Year*F627)/(E627*Holding_Rate))</f>
        <v>54.0832691319598</v>
      </c>
      <c r="AA627" s="46" t="n">
        <f aca="false">ROUNDUP(Z627/G627,0)*G627</f>
        <v>55</v>
      </c>
      <c r="AB627" s="46" t="n">
        <f aca="false">SUMIFS(AF$613:AF626,$B$613:$B626,$B627-$D627)</f>
        <v>0</v>
      </c>
      <c r="AC627" s="46" t="n">
        <f aca="false">AI626+AB627</f>
        <v>56</v>
      </c>
      <c r="AD627" s="46" t="n">
        <f aca="false">SUMIFS(AF$613:AF626,$B$613:$B626,"&gt;"&amp;($B627-$D627))</f>
        <v>0</v>
      </c>
      <c r="AE627" s="46" t="n">
        <f aca="false">AC627+AD627</f>
        <v>56</v>
      </c>
      <c r="AF627" s="47" t="n">
        <f aca="false">IF(AE627&lt;=Y627,AA627,0)</f>
        <v>0</v>
      </c>
      <c r="AG627" s="46" t="n">
        <f aca="false">MIN(AC627,I627)</f>
        <v>10</v>
      </c>
      <c r="AH627" s="46" t="n">
        <f aca="false">I627-AG627</f>
        <v>0</v>
      </c>
      <c r="AI627" s="46" t="n">
        <f aca="false">AC627-AG627</f>
        <v>46</v>
      </c>
      <c r="AJ627" s="46" t="n">
        <f aca="false">IF(AH627&gt;0,1,0)</f>
        <v>0</v>
      </c>
    </row>
    <row r="628" customFormat="false" ht="15" hidden="false" customHeight="false" outlineLevel="0" collapsed="false">
      <c r="A628" s="80" t="str">
        <f aca="false">Inputs!$B$75</f>
        <v>ELE-007</v>
      </c>
      <c r="B628" s="81" t="n">
        <f aca="false">B627+1</f>
        <v>104</v>
      </c>
      <c r="C628" s="81" t="n">
        <f aca="false">MATCH(A628,Inputs!$B$40:$B$87,0)</f>
        <v>36</v>
      </c>
      <c r="D628" s="82" t="n">
        <f aca="false">INDEX(Inputs!$F$40:$F$87,C628)</f>
        <v>6</v>
      </c>
      <c r="E628" s="83" t="n">
        <f aca="false">INDEX(Inputs!$H$40:$H$87,C628)</f>
        <v>120</v>
      </c>
      <c r="F628" s="83" t="n">
        <f aca="false">INDEX(Inputs!$G$40:$G$87,C628)</f>
        <v>90</v>
      </c>
      <c r="G628" s="82" t="n">
        <f aca="false">INDEX(Inputs!$I$40:$I$87,C628)</f>
        <v>1</v>
      </c>
      <c r="H628" s="81" t="n">
        <f aca="false">MATCH(A628,Demand_History!$C:$C,0)+B628-1</f>
        <v>3745</v>
      </c>
      <c r="I628" s="82" t="n">
        <f aca="false">INDEX(Forecast_Walkforward!$C:$C,H628)</f>
        <v>3</v>
      </c>
      <c r="J628" s="84" t="n">
        <f aca="false">INDEX(Forecast_Walkforward!$E:$E,H628)</f>
        <v>9.5</v>
      </c>
      <c r="K628" s="85" t="n">
        <f aca="false">Baseline_Weeks*J628</f>
        <v>38</v>
      </c>
      <c r="L628" s="81" t="n">
        <f aca="false">SUMIFS(P$613:P627,$B$613:$B627,$B628-$D628)</f>
        <v>0</v>
      </c>
      <c r="M628" s="81" t="n">
        <f aca="false">S627+L628</f>
        <v>0</v>
      </c>
      <c r="N628" s="81" t="n">
        <f aca="false">SUMIFS(P$613:P627,$B$613:$B627,"&gt;"&amp;($B628-$D628))</f>
        <v>32</v>
      </c>
      <c r="O628" s="81" t="n">
        <f aca="false">M628+N628</f>
        <v>32</v>
      </c>
      <c r="P628" s="86" t="n">
        <f aca="false">IF(O628&lt;K628,ROUNDUP((K628-O628)/G628,0)*G628,0)</f>
        <v>6</v>
      </c>
      <c r="Q628" s="81" t="n">
        <f aca="false">MIN(M628,I628)</f>
        <v>0</v>
      </c>
      <c r="R628" s="81" t="n">
        <f aca="false">I628-Q628</f>
        <v>3</v>
      </c>
      <c r="S628" s="81" t="n">
        <f aca="false">M628-Q628</f>
        <v>0</v>
      </c>
      <c r="T628" s="81" t="n">
        <f aca="false">IF(R628&gt;0,1,0)</f>
        <v>1</v>
      </c>
      <c r="U628" s="82" t="n">
        <f aca="false">INDEX(Forecast!$AY$7:$AY$54,C628)</f>
        <v>3</v>
      </c>
      <c r="V628" s="85" t="n">
        <f aca="false">CHOOSE(U628,INDEX(Forecast_Walkforward!$D:$D,H628),INDEX(Forecast_Walkforward!$E:$E,H628),INDEX(Forecast_Walkforward!$F:$F,H628),INDEX(Forecast_Walkforward!$G:$G,H628))</f>
        <v>7.875</v>
      </c>
      <c r="W628" s="84" t="n">
        <f aca="false">INDEX(Forecast!$BA$7:$BA$54,C628)</f>
        <v>2.56799846020767</v>
      </c>
      <c r="X628" s="85" t="n">
        <f aca="false">Z_Value*W628*SQRT(D628)</f>
        <v>10.3465995570465</v>
      </c>
      <c r="Y628" s="85" t="n">
        <f aca="false">V628*D628+X628</f>
        <v>57.5965995570465</v>
      </c>
      <c r="Z628" s="85" t="n">
        <f aca="false">SQRT((2*V628*Weeks_Per_Year*F628)/(E628*Holding_Rate))</f>
        <v>55.4188596057335</v>
      </c>
      <c r="AA628" s="81" t="n">
        <f aca="false">ROUNDUP(Z628/G628,0)*G628</f>
        <v>56</v>
      </c>
      <c r="AB628" s="81" t="n">
        <f aca="false">SUMIFS(AF$613:AF627,$B$613:$B627,$B628-$D628)</f>
        <v>0</v>
      </c>
      <c r="AC628" s="81" t="n">
        <f aca="false">AI627+AB628</f>
        <v>46</v>
      </c>
      <c r="AD628" s="81" t="n">
        <f aca="false">SUMIFS(AF$613:AF627,$B$613:$B627,"&gt;"&amp;($B628-$D628))</f>
        <v>0</v>
      </c>
      <c r="AE628" s="81" t="n">
        <f aca="false">AC628+AD628</f>
        <v>46</v>
      </c>
      <c r="AF628" s="86" t="n">
        <f aca="false">IF(AE628&lt;=Y628,AA628,0)</f>
        <v>56</v>
      </c>
      <c r="AG628" s="81" t="n">
        <f aca="false">MIN(AC628,I628)</f>
        <v>3</v>
      </c>
      <c r="AH628" s="81" t="n">
        <f aca="false">I628-AG628</f>
        <v>0</v>
      </c>
      <c r="AI628" s="81" t="n">
        <f aca="false">AC628-AG628</f>
        <v>43</v>
      </c>
      <c r="AJ628" s="81" t="n">
        <f aca="false">IF(AH628&gt;0,1,0)</f>
        <v>0</v>
      </c>
    </row>
    <row r="629" customFormat="false" ht="15" hidden="false" customHeight="false" outlineLevel="0" collapsed="false">
      <c r="A629" s="31" t="str">
        <f aca="false">Inputs!$B$76</f>
        <v>ELE-008</v>
      </c>
      <c r="B629" s="46" t="n">
        <f aca="false">BT_Start_Week</f>
        <v>89</v>
      </c>
      <c r="C629" s="46" t="n">
        <f aca="false">MATCH(A629,Inputs!$B$40:$B$87,0)</f>
        <v>37</v>
      </c>
      <c r="D629" s="32" t="n">
        <f aca="false">INDEX(Inputs!$F$40:$F$87,C629)</f>
        <v>6</v>
      </c>
      <c r="E629" s="78" t="n">
        <f aca="false">INDEX(Inputs!$H$40:$H$87,C629)</f>
        <v>48</v>
      </c>
      <c r="F629" s="78" t="n">
        <f aca="false">INDEX(Inputs!$G$40:$G$87,C629)</f>
        <v>90</v>
      </c>
      <c r="G629" s="32" t="n">
        <f aca="false">INDEX(Inputs!$I$40:$I$87,C629)</f>
        <v>2</v>
      </c>
      <c r="H629" s="46" t="n">
        <f aca="false">MATCH(A629,Demand_History!$C:$C,0)+B629-1</f>
        <v>3834</v>
      </c>
      <c r="I629" s="32" t="n">
        <f aca="false">INDEX(Forecast_Walkforward!$C:$C,H629)</f>
        <v>9</v>
      </c>
      <c r="J629" s="79" t="n">
        <f aca="false">INDEX(Forecast_Walkforward!$E:$E,H629)</f>
        <v>13.25</v>
      </c>
      <c r="K629" s="33" t="n">
        <f aca="false">Baseline_Weeks*J629</f>
        <v>53</v>
      </c>
      <c r="L629" s="46" t="n">
        <f aca="false">0</f>
        <v>0</v>
      </c>
      <c r="M629" s="46" t="n">
        <f aca="false">ROUND(BT_Open_Cover*INDEX(Forecast_Walkforward!$F:$F,H629),0)+L629</f>
        <v>76</v>
      </c>
      <c r="N629" s="46" t="n">
        <f aca="false">0</f>
        <v>0</v>
      </c>
      <c r="O629" s="46" t="n">
        <f aca="false">M629+N629</f>
        <v>76</v>
      </c>
      <c r="P629" s="47" t="n">
        <f aca="false">IF(O629&lt;K629,ROUNDUP((K629-O629)/G629,0)*G629,0)</f>
        <v>0</v>
      </c>
      <c r="Q629" s="46" t="n">
        <f aca="false">MIN(M629,I629)</f>
        <v>9</v>
      </c>
      <c r="R629" s="46" t="n">
        <f aca="false">I629-Q629</f>
        <v>0</v>
      </c>
      <c r="S629" s="46" t="n">
        <f aca="false">M629-Q629</f>
        <v>67</v>
      </c>
      <c r="T629" s="46" t="n">
        <f aca="false">IF(R629&gt;0,1,0)</f>
        <v>0</v>
      </c>
      <c r="U629" s="32" t="n">
        <f aca="false">INDEX(Forecast!$AY$7:$AY$54,C629)</f>
        <v>3</v>
      </c>
      <c r="V629" s="33" t="n">
        <f aca="false">CHOOSE(U629,INDEX(Forecast_Walkforward!$D:$D,H629),INDEX(Forecast_Walkforward!$E:$E,H629),INDEX(Forecast_Walkforward!$F:$F,H629),INDEX(Forecast_Walkforward!$G:$G,H629))</f>
        <v>12.625</v>
      </c>
      <c r="W629" s="79" t="n">
        <f aca="false">INDEX(Forecast!$BA$7:$BA$54,C629)</f>
        <v>7.13573810117017</v>
      </c>
      <c r="X629" s="33" t="n">
        <f aca="false">Z_Value*W629*SQRT(D629)</f>
        <v>28.7502604930675</v>
      </c>
      <c r="Y629" s="33" t="n">
        <f aca="false">V629*D629+X629</f>
        <v>104.500260493068</v>
      </c>
      <c r="Z629" s="33" t="n">
        <f aca="false">SQRT((2*V629*Weeks_Per_Year*F629)/(E629*Holding_Rate))</f>
        <v>110.947622777597</v>
      </c>
      <c r="AA629" s="46" t="n">
        <f aca="false">ROUNDUP(Z629/G629,0)*G629</f>
        <v>112</v>
      </c>
      <c r="AB629" s="46" t="n">
        <f aca="false">0</f>
        <v>0</v>
      </c>
      <c r="AC629" s="46" t="n">
        <f aca="false">ROUND(BT_Open_Cover*INDEX(Forecast_Walkforward!$F:$F,H629),0)+AB629</f>
        <v>76</v>
      </c>
      <c r="AD629" s="46" t="n">
        <f aca="false">0</f>
        <v>0</v>
      </c>
      <c r="AE629" s="46" t="n">
        <f aca="false">AC629+AD629</f>
        <v>76</v>
      </c>
      <c r="AF629" s="47" t="n">
        <f aca="false">IF(AE629&lt;=Y629,AA629,0)</f>
        <v>112</v>
      </c>
      <c r="AG629" s="46" t="n">
        <f aca="false">MIN(AC629,I629)</f>
        <v>9</v>
      </c>
      <c r="AH629" s="46" t="n">
        <f aca="false">I629-AG629</f>
        <v>0</v>
      </c>
      <c r="AI629" s="46" t="n">
        <f aca="false">AC629-AG629</f>
        <v>67</v>
      </c>
      <c r="AJ629" s="46" t="n">
        <f aca="false">IF(AH629&gt;0,1,0)</f>
        <v>0</v>
      </c>
    </row>
    <row r="630" customFormat="false" ht="15" hidden="false" customHeight="false" outlineLevel="0" collapsed="false">
      <c r="A630" s="31" t="str">
        <f aca="false">Inputs!$B$76</f>
        <v>ELE-008</v>
      </c>
      <c r="B630" s="46" t="n">
        <f aca="false">B629+1</f>
        <v>90</v>
      </c>
      <c r="C630" s="46" t="n">
        <f aca="false">MATCH(A630,Inputs!$B$40:$B$87,0)</f>
        <v>37</v>
      </c>
      <c r="D630" s="32" t="n">
        <f aca="false">INDEX(Inputs!$F$40:$F$87,C630)</f>
        <v>6</v>
      </c>
      <c r="E630" s="78" t="n">
        <f aca="false">INDEX(Inputs!$H$40:$H$87,C630)</f>
        <v>48</v>
      </c>
      <c r="F630" s="78" t="n">
        <f aca="false">INDEX(Inputs!$G$40:$G$87,C630)</f>
        <v>90</v>
      </c>
      <c r="G630" s="32" t="n">
        <f aca="false">INDEX(Inputs!$I$40:$I$87,C630)</f>
        <v>2</v>
      </c>
      <c r="H630" s="46" t="n">
        <f aca="false">MATCH(A630,Demand_History!$C:$C,0)+B630-1</f>
        <v>3835</v>
      </c>
      <c r="I630" s="32" t="n">
        <f aca="false">INDEX(Forecast_Walkforward!$C:$C,H630)</f>
        <v>12</v>
      </c>
      <c r="J630" s="79" t="n">
        <f aca="false">INDEX(Forecast_Walkforward!$E:$E,H630)</f>
        <v>10</v>
      </c>
      <c r="K630" s="33" t="n">
        <f aca="false">Baseline_Weeks*J630</f>
        <v>40</v>
      </c>
      <c r="L630" s="46" t="n">
        <f aca="false">SUMIFS(P$629:P629,$B$629:$B629,$B630-$D630)</f>
        <v>0</v>
      </c>
      <c r="M630" s="46" t="n">
        <f aca="false">S629+L630</f>
        <v>67</v>
      </c>
      <c r="N630" s="46" t="n">
        <f aca="false">SUMIFS(P$629:P629,$B$629:$B629,"&gt;"&amp;($B630-$D630))</f>
        <v>0</v>
      </c>
      <c r="O630" s="46" t="n">
        <f aca="false">M630+N630</f>
        <v>67</v>
      </c>
      <c r="P630" s="47" t="n">
        <f aca="false">IF(O630&lt;K630,ROUNDUP((K630-O630)/G630,0)*G630,0)</f>
        <v>0</v>
      </c>
      <c r="Q630" s="46" t="n">
        <f aca="false">MIN(M630,I630)</f>
        <v>12</v>
      </c>
      <c r="R630" s="46" t="n">
        <f aca="false">I630-Q630</f>
        <v>0</v>
      </c>
      <c r="S630" s="46" t="n">
        <f aca="false">M630-Q630</f>
        <v>55</v>
      </c>
      <c r="T630" s="46" t="n">
        <f aca="false">IF(R630&gt;0,1,0)</f>
        <v>0</v>
      </c>
      <c r="U630" s="32" t="n">
        <f aca="false">INDEX(Forecast!$AY$7:$AY$54,C630)</f>
        <v>3</v>
      </c>
      <c r="V630" s="33" t="n">
        <f aca="false">CHOOSE(U630,INDEX(Forecast_Walkforward!$D:$D,H630),INDEX(Forecast_Walkforward!$E:$E,H630),INDEX(Forecast_Walkforward!$F:$F,H630),INDEX(Forecast_Walkforward!$G:$G,H630))</f>
        <v>12</v>
      </c>
      <c r="W630" s="79" t="n">
        <f aca="false">INDEX(Forecast!$BA$7:$BA$54,C630)</f>
        <v>7.13573810117017</v>
      </c>
      <c r="X630" s="33" t="n">
        <f aca="false">Z_Value*W630*SQRT(D630)</f>
        <v>28.7502604930675</v>
      </c>
      <c r="Y630" s="33" t="n">
        <f aca="false">V630*D630+X630</f>
        <v>100.750260493068</v>
      </c>
      <c r="Z630" s="33" t="n">
        <f aca="false">SQRT((2*V630*Weeks_Per_Year*F630)/(E630*Holding_Rate))</f>
        <v>108.16653826392</v>
      </c>
      <c r="AA630" s="46" t="n">
        <f aca="false">ROUNDUP(Z630/G630,0)*G630</f>
        <v>110</v>
      </c>
      <c r="AB630" s="46" t="n">
        <f aca="false">SUMIFS(AF$629:AF629,$B$629:$B629,$B630-$D630)</f>
        <v>0</v>
      </c>
      <c r="AC630" s="46" t="n">
        <f aca="false">AI629+AB630</f>
        <v>67</v>
      </c>
      <c r="AD630" s="46" t="n">
        <f aca="false">SUMIFS(AF$629:AF629,$B$629:$B629,"&gt;"&amp;($B630-$D630))</f>
        <v>112</v>
      </c>
      <c r="AE630" s="46" t="n">
        <f aca="false">AC630+AD630</f>
        <v>179</v>
      </c>
      <c r="AF630" s="47" t="n">
        <f aca="false">IF(AE630&lt;=Y630,AA630,0)</f>
        <v>0</v>
      </c>
      <c r="AG630" s="46" t="n">
        <f aca="false">MIN(AC630,I630)</f>
        <v>12</v>
      </c>
      <c r="AH630" s="46" t="n">
        <f aca="false">I630-AG630</f>
        <v>0</v>
      </c>
      <c r="AI630" s="46" t="n">
        <f aca="false">AC630-AG630</f>
        <v>55</v>
      </c>
      <c r="AJ630" s="46" t="n">
        <f aca="false">IF(AH630&gt;0,1,0)</f>
        <v>0</v>
      </c>
    </row>
    <row r="631" customFormat="false" ht="15" hidden="false" customHeight="false" outlineLevel="0" collapsed="false">
      <c r="A631" s="31" t="str">
        <f aca="false">Inputs!$B$76</f>
        <v>ELE-008</v>
      </c>
      <c r="B631" s="46" t="n">
        <f aca="false">B630+1</f>
        <v>91</v>
      </c>
      <c r="C631" s="46" t="n">
        <f aca="false">MATCH(A631,Inputs!$B$40:$B$87,0)</f>
        <v>37</v>
      </c>
      <c r="D631" s="32" t="n">
        <f aca="false">INDEX(Inputs!$F$40:$F$87,C631)</f>
        <v>6</v>
      </c>
      <c r="E631" s="78" t="n">
        <f aca="false">INDEX(Inputs!$H$40:$H$87,C631)</f>
        <v>48</v>
      </c>
      <c r="F631" s="78" t="n">
        <f aca="false">INDEX(Inputs!$G$40:$G$87,C631)</f>
        <v>90</v>
      </c>
      <c r="G631" s="32" t="n">
        <f aca="false">INDEX(Inputs!$I$40:$I$87,C631)</f>
        <v>2</v>
      </c>
      <c r="H631" s="46" t="n">
        <f aca="false">MATCH(A631,Demand_History!$C:$C,0)+B631-1</f>
        <v>3836</v>
      </c>
      <c r="I631" s="32" t="n">
        <f aca="false">INDEX(Forecast_Walkforward!$C:$C,H631)</f>
        <v>20</v>
      </c>
      <c r="J631" s="79" t="n">
        <f aca="false">INDEX(Forecast_Walkforward!$E:$E,H631)</f>
        <v>10.75</v>
      </c>
      <c r="K631" s="33" t="n">
        <f aca="false">Baseline_Weeks*J631</f>
        <v>43</v>
      </c>
      <c r="L631" s="46" t="n">
        <f aca="false">SUMIFS(P$629:P630,$B$629:$B630,$B631-$D631)</f>
        <v>0</v>
      </c>
      <c r="M631" s="46" t="n">
        <f aca="false">S630+L631</f>
        <v>55</v>
      </c>
      <c r="N631" s="46" t="n">
        <f aca="false">SUMIFS(P$629:P630,$B$629:$B630,"&gt;"&amp;($B631-$D631))</f>
        <v>0</v>
      </c>
      <c r="O631" s="46" t="n">
        <f aca="false">M631+N631</f>
        <v>55</v>
      </c>
      <c r="P631" s="47" t="n">
        <f aca="false">IF(O631&lt;K631,ROUNDUP((K631-O631)/G631,0)*G631,0)</f>
        <v>0</v>
      </c>
      <c r="Q631" s="46" t="n">
        <f aca="false">MIN(M631,I631)</f>
        <v>20</v>
      </c>
      <c r="R631" s="46" t="n">
        <f aca="false">I631-Q631</f>
        <v>0</v>
      </c>
      <c r="S631" s="46" t="n">
        <f aca="false">M631-Q631</f>
        <v>35</v>
      </c>
      <c r="T631" s="46" t="n">
        <f aca="false">IF(R631&gt;0,1,0)</f>
        <v>0</v>
      </c>
      <c r="U631" s="32" t="n">
        <f aca="false">INDEX(Forecast!$AY$7:$AY$54,C631)</f>
        <v>3</v>
      </c>
      <c r="V631" s="33" t="n">
        <f aca="false">CHOOSE(U631,INDEX(Forecast_Walkforward!$D:$D,H631),INDEX(Forecast_Walkforward!$E:$E,H631),INDEX(Forecast_Walkforward!$F:$F,H631),INDEX(Forecast_Walkforward!$G:$G,H631))</f>
        <v>11</v>
      </c>
      <c r="W631" s="79" t="n">
        <f aca="false">INDEX(Forecast!$BA$7:$BA$54,C631)</f>
        <v>7.13573810117017</v>
      </c>
      <c r="X631" s="33" t="n">
        <f aca="false">Z_Value*W631*SQRT(D631)</f>
        <v>28.7502604930675</v>
      </c>
      <c r="Y631" s="33" t="n">
        <f aca="false">V631*D631+X631</f>
        <v>94.7502604930675</v>
      </c>
      <c r="Z631" s="33" t="n">
        <f aca="false">SQRT((2*V631*Weeks_Per_Year*F631)/(E631*Holding_Rate))</f>
        <v>103.56157588604</v>
      </c>
      <c r="AA631" s="46" t="n">
        <f aca="false">ROUNDUP(Z631/G631,0)*G631</f>
        <v>104</v>
      </c>
      <c r="AB631" s="46" t="n">
        <f aca="false">SUMIFS(AF$629:AF630,$B$629:$B630,$B631-$D631)</f>
        <v>0</v>
      </c>
      <c r="AC631" s="46" t="n">
        <f aca="false">AI630+AB631</f>
        <v>55</v>
      </c>
      <c r="AD631" s="46" t="n">
        <f aca="false">SUMIFS(AF$629:AF630,$B$629:$B630,"&gt;"&amp;($B631-$D631))</f>
        <v>112</v>
      </c>
      <c r="AE631" s="46" t="n">
        <f aca="false">AC631+AD631</f>
        <v>167</v>
      </c>
      <c r="AF631" s="47" t="n">
        <f aca="false">IF(AE631&lt;=Y631,AA631,0)</f>
        <v>0</v>
      </c>
      <c r="AG631" s="46" t="n">
        <f aca="false">MIN(AC631,I631)</f>
        <v>20</v>
      </c>
      <c r="AH631" s="46" t="n">
        <f aca="false">I631-AG631</f>
        <v>0</v>
      </c>
      <c r="AI631" s="46" t="n">
        <f aca="false">AC631-AG631</f>
        <v>35</v>
      </c>
      <c r="AJ631" s="46" t="n">
        <f aca="false">IF(AH631&gt;0,1,0)</f>
        <v>0</v>
      </c>
    </row>
    <row r="632" customFormat="false" ht="15" hidden="false" customHeight="false" outlineLevel="0" collapsed="false">
      <c r="A632" s="31" t="str">
        <f aca="false">Inputs!$B$76</f>
        <v>ELE-008</v>
      </c>
      <c r="B632" s="46" t="n">
        <f aca="false">B631+1</f>
        <v>92</v>
      </c>
      <c r="C632" s="46" t="n">
        <f aca="false">MATCH(A632,Inputs!$B$40:$B$87,0)</f>
        <v>37</v>
      </c>
      <c r="D632" s="32" t="n">
        <f aca="false">INDEX(Inputs!$F$40:$F$87,C632)</f>
        <v>6</v>
      </c>
      <c r="E632" s="78" t="n">
        <f aca="false">INDEX(Inputs!$H$40:$H$87,C632)</f>
        <v>48</v>
      </c>
      <c r="F632" s="78" t="n">
        <f aca="false">INDEX(Inputs!$G$40:$G$87,C632)</f>
        <v>90</v>
      </c>
      <c r="G632" s="32" t="n">
        <f aca="false">INDEX(Inputs!$I$40:$I$87,C632)</f>
        <v>2</v>
      </c>
      <c r="H632" s="46" t="n">
        <f aca="false">MATCH(A632,Demand_History!$C:$C,0)+B632-1</f>
        <v>3837</v>
      </c>
      <c r="I632" s="32" t="n">
        <f aca="false">INDEX(Forecast_Walkforward!$C:$C,H632)</f>
        <v>20</v>
      </c>
      <c r="J632" s="79" t="n">
        <f aca="false">INDEX(Forecast_Walkforward!$E:$E,H632)</f>
        <v>12</v>
      </c>
      <c r="K632" s="33" t="n">
        <f aca="false">Baseline_Weeks*J632</f>
        <v>48</v>
      </c>
      <c r="L632" s="46" t="n">
        <f aca="false">SUMIFS(P$629:P631,$B$629:$B631,$B632-$D632)</f>
        <v>0</v>
      </c>
      <c r="M632" s="46" t="n">
        <f aca="false">S631+L632</f>
        <v>35</v>
      </c>
      <c r="N632" s="46" t="n">
        <f aca="false">SUMIFS(P$629:P631,$B$629:$B631,"&gt;"&amp;($B632-$D632))</f>
        <v>0</v>
      </c>
      <c r="O632" s="46" t="n">
        <f aca="false">M632+N632</f>
        <v>35</v>
      </c>
      <c r="P632" s="47" t="n">
        <f aca="false">IF(O632&lt;K632,ROUNDUP((K632-O632)/G632,0)*G632,0)</f>
        <v>14</v>
      </c>
      <c r="Q632" s="46" t="n">
        <f aca="false">MIN(M632,I632)</f>
        <v>20</v>
      </c>
      <c r="R632" s="46" t="n">
        <f aca="false">I632-Q632</f>
        <v>0</v>
      </c>
      <c r="S632" s="46" t="n">
        <f aca="false">M632-Q632</f>
        <v>15</v>
      </c>
      <c r="T632" s="46" t="n">
        <f aca="false">IF(R632&gt;0,1,0)</f>
        <v>0</v>
      </c>
      <c r="U632" s="32" t="n">
        <f aca="false">INDEX(Forecast!$AY$7:$AY$54,C632)</f>
        <v>3</v>
      </c>
      <c r="V632" s="33" t="n">
        <f aca="false">CHOOSE(U632,INDEX(Forecast_Walkforward!$D:$D,H632),INDEX(Forecast_Walkforward!$E:$E,H632),INDEX(Forecast_Walkforward!$F:$F,H632),INDEX(Forecast_Walkforward!$G:$G,H632))</f>
        <v>11.875</v>
      </c>
      <c r="W632" s="79" t="n">
        <f aca="false">INDEX(Forecast!$BA$7:$BA$54,C632)</f>
        <v>7.13573810117017</v>
      </c>
      <c r="X632" s="33" t="n">
        <f aca="false">Z_Value*W632*SQRT(D632)</f>
        <v>28.7502604930675</v>
      </c>
      <c r="Y632" s="33" t="n">
        <f aca="false">V632*D632+X632</f>
        <v>100.000260493068</v>
      </c>
      <c r="Z632" s="33" t="n">
        <f aca="false">SQRT((2*V632*Weeks_Per_Year*F632)/(E632*Holding_Rate))</f>
        <v>107.601696083287</v>
      </c>
      <c r="AA632" s="46" t="n">
        <f aca="false">ROUNDUP(Z632/G632,0)*G632</f>
        <v>108</v>
      </c>
      <c r="AB632" s="46" t="n">
        <f aca="false">SUMIFS(AF$629:AF631,$B$629:$B631,$B632-$D632)</f>
        <v>0</v>
      </c>
      <c r="AC632" s="46" t="n">
        <f aca="false">AI631+AB632</f>
        <v>35</v>
      </c>
      <c r="AD632" s="46" t="n">
        <f aca="false">SUMIFS(AF$629:AF631,$B$629:$B631,"&gt;"&amp;($B632-$D632))</f>
        <v>112</v>
      </c>
      <c r="AE632" s="46" t="n">
        <f aca="false">AC632+AD632</f>
        <v>147</v>
      </c>
      <c r="AF632" s="47" t="n">
        <f aca="false">IF(AE632&lt;=Y632,AA632,0)</f>
        <v>0</v>
      </c>
      <c r="AG632" s="46" t="n">
        <f aca="false">MIN(AC632,I632)</f>
        <v>20</v>
      </c>
      <c r="AH632" s="46" t="n">
        <f aca="false">I632-AG632</f>
        <v>0</v>
      </c>
      <c r="AI632" s="46" t="n">
        <f aca="false">AC632-AG632</f>
        <v>15</v>
      </c>
      <c r="AJ632" s="46" t="n">
        <f aca="false">IF(AH632&gt;0,1,0)</f>
        <v>0</v>
      </c>
    </row>
    <row r="633" customFormat="false" ht="15" hidden="false" customHeight="false" outlineLevel="0" collapsed="false">
      <c r="A633" s="31" t="str">
        <f aca="false">Inputs!$B$76</f>
        <v>ELE-008</v>
      </c>
      <c r="B633" s="46" t="n">
        <f aca="false">B632+1</f>
        <v>93</v>
      </c>
      <c r="C633" s="46" t="n">
        <f aca="false">MATCH(A633,Inputs!$B$40:$B$87,0)</f>
        <v>37</v>
      </c>
      <c r="D633" s="32" t="n">
        <f aca="false">INDEX(Inputs!$F$40:$F$87,C633)</f>
        <v>6</v>
      </c>
      <c r="E633" s="78" t="n">
        <f aca="false">INDEX(Inputs!$H$40:$H$87,C633)</f>
        <v>48</v>
      </c>
      <c r="F633" s="78" t="n">
        <f aca="false">INDEX(Inputs!$G$40:$G$87,C633)</f>
        <v>90</v>
      </c>
      <c r="G633" s="32" t="n">
        <f aca="false">INDEX(Inputs!$I$40:$I$87,C633)</f>
        <v>2</v>
      </c>
      <c r="H633" s="46" t="n">
        <f aca="false">MATCH(A633,Demand_History!$C:$C,0)+B633-1</f>
        <v>3838</v>
      </c>
      <c r="I633" s="32" t="n">
        <f aca="false">INDEX(Forecast_Walkforward!$C:$C,H633)</f>
        <v>12</v>
      </c>
      <c r="J633" s="79" t="n">
        <f aca="false">INDEX(Forecast_Walkforward!$E:$E,H633)</f>
        <v>15.25</v>
      </c>
      <c r="K633" s="33" t="n">
        <f aca="false">Baseline_Weeks*J633</f>
        <v>61</v>
      </c>
      <c r="L633" s="46" t="n">
        <f aca="false">SUMIFS(P$629:P632,$B$629:$B632,$B633-$D633)</f>
        <v>0</v>
      </c>
      <c r="M633" s="46" t="n">
        <f aca="false">S632+L633</f>
        <v>15</v>
      </c>
      <c r="N633" s="46" t="n">
        <f aca="false">SUMIFS(P$629:P632,$B$629:$B632,"&gt;"&amp;($B633-$D633))</f>
        <v>14</v>
      </c>
      <c r="O633" s="46" t="n">
        <f aca="false">M633+N633</f>
        <v>29</v>
      </c>
      <c r="P633" s="47" t="n">
        <f aca="false">IF(O633&lt;K633,ROUNDUP((K633-O633)/G633,0)*G633,0)</f>
        <v>32</v>
      </c>
      <c r="Q633" s="46" t="n">
        <f aca="false">MIN(M633,I633)</f>
        <v>12</v>
      </c>
      <c r="R633" s="46" t="n">
        <f aca="false">I633-Q633</f>
        <v>0</v>
      </c>
      <c r="S633" s="46" t="n">
        <f aca="false">M633-Q633</f>
        <v>3</v>
      </c>
      <c r="T633" s="46" t="n">
        <f aca="false">IF(R633&gt;0,1,0)</f>
        <v>0</v>
      </c>
      <c r="U633" s="32" t="n">
        <f aca="false">INDEX(Forecast!$AY$7:$AY$54,C633)</f>
        <v>3</v>
      </c>
      <c r="V633" s="33" t="n">
        <f aca="false">CHOOSE(U633,INDEX(Forecast_Walkforward!$D:$D,H633),INDEX(Forecast_Walkforward!$E:$E,H633),INDEX(Forecast_Walkforward!$F:$F,H633),INDEX(Forecast_Walkforward!$G:$G,H633))</f>
        <v>14.25</v>
      </c>
      <c r="W633" s="79" t="n">
        <f aca="false">INDEX(Forecast!$BA$7:$BA$54,C633)</f>
        <v>7.13573810117017</v>
      </c>
      <c r="X633" s="33" t="n">
        <f aca="false">Z_Value*W633*SQRT(D633)</f>
        <v>28.7502604930675</v>
      </c>
      <c r="Y633" s="33" t="n">
        <f aca="false">V633*D633+X633</f>
        <v>114.250260493068</v>
      </c>
      <c r="Z633" s="33" t="n">
        <f aca="false">SQRT((2*V633*Weeks_Per_Year*F633)/(E633*Holding_Rate))</f>
        <v>117.871752341263</v>
      </c>
      <c r="AA633" s="46" t="n">
        <f aca="false">ROUNDUP(Z633/G633,0)*G633</f>
        <v>118</v>
      </c>
      <c r="AB633" s="46" t="n">
        <f aca="false">SUMIFS(AF$629:AF632,$B$629:$B632,$B633-$D633)</f>
        <v>0</v>
      </c>
      <c r="AC633" s="46" t="n">
        <f aca="false">AI632+AB633</f>
        <v>15</v>
      </c>
      <c r="AD633" s="46" t="n">
        <f aca="false">SUMIFS(AF$629:AF632,$B$629:$B632,"&gt;"&amp;($B633-$D633))</f>
        <v>112</v>
      </c>
      <c r="AE633" s="46" t="n">
        <f aca="false">AC633+AD633</f>
        <v>127</v>
      </c>
      <c r="AF633" s="47" t="n">
        <f aca="false">IF(AE633&lt;=Y633,AA633,0)</f>
        <v>0</v>
      </c>
      <c r="AG633" s="46" t="n">
        <f aca="false">MIN(AC633,I633)</f>
        <v>12</v>
      </c>
      <c r="AH633" s="46" t="n">
        <f aca="false">I633-AG633</f>
        <v>0</v>
      </c>
      <c r="AI633" s="46" t="n">
        <f aca="false">AC633-AG633</f>
        <v>3</v>
      </c>
      <c r="AJ633" s="46" t="n">
        <f aca="false">IF(AH633&gt;0,1,0)</f>
        <v>0</v>
      </c>
    </row>
    <row r="634" customFormat="false" ht="15" hidden="false" customHeight="false" outlineLevel="0" collapsed="false">
      <c r="A634" s="31" t="str">
        <f aca="false">Inputs!$B$76</f>
        <v>ELE-008</v>
      </c>
      <c r="B634" s="46" t="n">
        <f aca="false">B633+1</f>
        <v>94</v>
      </c>
      <c r="C634" s="46" t="n">
        <f aca="false">MATCH(A634,Inputs!$B$40:$B$87,0)</f>
        <v>37</v>
      </c>
      <c r="D634" s="32" t="n">
        <f aca="false">INDEX(Inputs!$F$40:$F$87,C634)</f>
        <v>6</v>
      </c>
      <c r="E634" s="78" t="n">
        <f aca="false">INDEX(Inputs!$H$40:$H$87,C634)</f>
        <v>48</v>
      </c>
      <c r="F634" s="78" t="n">
        <f aca="false">INDEX(Inputs!$G$40:$G$87,C634)</f>
        <v>90</v>
      </c>
      <c r="G634" s="32" t="n">
        <f aca="false">INDEX(Inputs!$I$40:$I$87,C634)</f>
        <v>2</v>
      </c>
      <c r="H634" s="46" t="n">
        <f aca="false">MATCH(A634,Demand_History!$C:$C,0)+B634-1</f>
        <v>3839</v>
      </c>
      <c r="I634" s="32" t="n">
        <f aca="false">INDEX(Forecast_Walkforward!$C:$C,H634)</f>
        <v>18</v>
      </c>
      <c r="J634" s="79" t="n">
        <f aca="false">INDEX(Forecast_Walkforward!$E:$E,H634)</f>
        <v>16</v>
      </c>
      <c r="K634" s="33" t="n">
        <f aca="false">Baseline_Weeks*J634</f>
        <v>64</v>
      </c>
      <c r="L634" s="46" t="n">
        <f aca="false">SUMIFS(P$629:P633,$B$629:$B633,$B634-$D634)</f>
        <v>0</v>
      </c>
      <c r="M634" s="46" t="n">
        <f aca="false">S633+L634</f>
        <v>3</v>
      </c>
      <c r="N634" s="46" t="n">
        <f aca="false">SUMIFS(P$629:P633,$B$629:$B633,"&gt;"&amp;($B634-$D634))</f>
        <v>46</v>
      </c>
      <c r="O634" s="46" t="n">
        <f aca="false">M634+N634</f>
        <v>49</v>
      </c>
      <c r="P634" s="47" t="n">
        <f aca="false">IF(O634&lt;K634,ROUNDUP((K634-O634)/G634,0)*G634,0)</f>
        <v>16</v>
      </c>
      <c r="Q634" s="46" t="n">
        <f aca="false">MIN(M634,I634)</f>
        <v>3</v>
      </c>
      <c r="R634" s="46" t="n">
        <f aca="false">I634-Q634</f>
        <v>15</v>
      </c>
      <c r="S634" s="46" t="n">
        <f aca="false">M634-Q634</f>
        <v>0</v>
      </c>
      <c r="T634" s="46" t="n">
        <f aca="false">IF(R634&gt;0,1,0)</f>
        <v>1</v>
      </c>
      <c r="U634" s="32" t="n">
        <f aca="false">INDEX(Forecast!$AY$7:$AY$54,C634)</f>
        <v>3</v>
      </c>
      <c r="V634" s="33" t="n">
        <f aca="false">CHOOSE(U634,INDEX(Forecast_Walkforward!$D:$D,H634),INDEX(Forecast_Walkforward!$E:$E,H634),INDEX(Forecast_Walkforward!$F:$F,H634),INDEX(Forecast_Walkforward!$G:$G,H634))</f>
        <v>13</v>
      </c>
      <c r="W634" s="79" t="n">
        <f aca="false">INDEX(Forecast!$BA$7:$BA$54,C634)</f>
        <v>7.13573810117017</v>
      </c>
      <c r="X634" s="33" t="n">
        <f aca="false">Z_Value*W634*SQRT(D634)</f>
        <v>28.7502604930675</v>
      </c>
      <c r="Y634" s="33" t="n">
        <f aca="false">V634*D634+X634</f>
        <v>106.750260493068</v>
      </c>
      <c r="Z634" s="33" t="n">
        <f aca="false">SQRT((2*V634*Weeks_Per_Year*F634)/(E634*Holding_Rate))</f>
        <v>112.583302491977</v>
      </c>
      <c r="AA634" s="46" t="n">
        <f aca="false">ROUNDUP(Z634/G634,0)*G634</f>
        <v>114</v>
      </c>
      <c r="AB634" s="46" t="n">
        <f aca="false">SUMIFS(AF$629:AF633,$B$629:$B633,$B634-$D634)</f>
        <v>0</v>
      </c>
      <c r="AC634" s="46" t="n">
        <f aca="false">AI633+AB634</f>
        <v>3</v>
      </c>
      <c r="AD634" s="46" t="n">
        <f aca="false">SUMIFS(AF$629:AF633,$B$629:$B633,"&gt;"&amp;($B634-$D634))</f>
        <v>112</v>
      </c>
      <c r="AE634" s="46" t="n">
        <f aca="false">AC634+AD634</f>
        <v>115</v>
      </c>
      <c r="AF634" s="47" t="n">
        <f aca="false">IF(AE634&lt;=Y634,AA634,0)</f>
        <v>0</v>
      </c>
      <c r="AG634" s="46" t="n">
        <f aca="false">MIN(AC634,I634)</f>
        <v>3</v>
      </c>
      <c r="AH634" s="46" t="n">
        <f aca="false">I634-AG634</f>
        <v>15</v>
      </c>
      <c r="AI634" s="46" t="n">
        <f aca="false">AC634-AG634</f>
        <v>0</v>
      </c>
      <c r="AJ634" s="46" t="n">
        <f aca="false">IF(AH634&gt;0,1,0)</f>
        <v>1</v>
      </c>
    </row>
    <row r="635" customFormat="false" ht="15" hidden="false" customHeight="false" outlineLevel="0" collapsed="false">
      <c r="A635" s="31" t="str">
        <f aca="false">Inputs!$B$76</f>
        <v>ELE-008</v>
      </c>
      <c r="B635" s="46" t="n">
        <f aca="false">B634+1</f>
        <v>95</v>
      </c>
      <c r="C635" s="46" t="n">
        <f aca="false">MATCH(A635,Inputs!$B$40:$B$87,0)</f>
        <v>37</v>
      </c>
      <c r="D635" s="32" t="n">
        <f aca="false">INDEX(Inputs!$F$40:$F$87,C635)</f>
        <v>6</v>
      </c>
      <c r="E635" s="78" t="n">
        <f aca="false">INDEX(Inputs!$H$40:$H$87,C635)</f>
        <v>48</v>
      </c>
      <c r="F635" s="78" t="n">
        <f aca="false">INDEX(Inputs!$G$40:$G$87,C635)</f>
        <v>90</v>
      </c>
      <c r="G635" s="32" t="n">
        <f aca="false">INDEX(Inputs!$I$40:$I$87,C635)</f>
        <v>2</v>
      </c>
      <c r="H635" s="46" t="n">
        <f aca="false">MATCH(A635,Demand_History!$C:$C,0)+B635-1</f>
        <v>3840</v>
      </c>
      <c r="I635" s="32" t="n">
        <f aca="false">INDEX(Forecast_Walkforward!$C:$C,H635)</f>
        <v>13</v>
      </c>
      <c r="J635" s="79" t="n">
        <f aca="false">INDEX(Forecast_Walkforward!$E:$E,H635)</f>
        <v>17.5</v>
      </c>
      <c r="K635" s="33" t="n">
        <f aca="false">Baseline_Weeks*J635</f>
        <v>70</v>
      </c>
      <c r="L635" s="46" t="n">
        <f aca="false">SUMIFS(P$629:P634,$B$629:$B634,$B635-$D635)</f>
        <v>0</v>
      </c>
      <c r="M635" s="46" t="n">
        <f aca="false">S634+L635</f>
        <v>0</v>
      </c>
      <c r="N635" s="46" t="n">
        <f aca="false">SUMIFS(P$629:P634,$B$629:$B634,"&gt;"&amp;($B635-$D635))</f>
        <v>62</v>
      </c>
      <c r="O635" s="46" t="n">
        <f aca="false">M635+N635</f>
        <v>62</v>
      </c>
      <c r="P635" s="47" t="n">
        <f aca="false">IF(O635&lt;K635,ROUNDUP((K635-O635)/G635,0)*G635,0)</f>
        <v>8</v>
      </c>
      <c r="Q635" s="46" t="n">
        <f aca="false">MIN(M635,I635)</f>
        <v>0</v>
      </c>
      <c r="R635" s="46" t="n">
        <f aca="false">I635-Q635</f>
        <v>13</v>
      </c>
      <c r="S635" s="46" t="n">
        <f aca="false">M635-Q635</f>
        <v>0</v>
      </c>
      <c r="T635" s="46" t="n">
        <f aca="false">IF(R635&gt;0,1,0)</f>
        <v>1</v>
      </c>
      <c r="U635" s="32" t="n">
        <f aca="false">INDEX(Forecast!$AY$7:$AY$54,C635)</f>
        <v>3</v>
      </c>
      <c r="V635" s="33" t="n">
        <f aca="false">CHOOSE(U635,INDEX(Forecast_Walkforward!$D:$D,H635),INDEX(Forecast_Walkforward!$E:$E,H635),INDEX(Forecast_Walkforward!$F:$F,H635),INDEX(Forecast_Walkforward!$G:$G,H635))</f>
        <v>14.125</v>
      </c>
      <c r="W635" s="79" t="n">
        <f aca="false">INDEX(Forecast!$BA$7:$BA$54,C635)</f>
        <v>7.13573810117017</v>
      </c>
      <c r="X635" s="33" t="n">
        <f aca="false">Z_Value*W635*SQRT(D635)</f>
        <v>28.7502604930675</v>
      </c>
      <c r="Y635" s="33" t="n">
        <f aca="false">V635*D635+X635</f>
        <v>113.500260493068</v>
      </c>
      <c r="Z635" s="33" t="n">
        <f aca="false">SQRT((2*V635*Weeks_Per_Year*F635)/(E635*Holding_Rate))</f>
        <v>117.353632240336</v>
      </c>
      <c r="AA635" s="46" t="n">
        <f aca="false">ROUNDUP(Z635/G635,0)*G635</f>
        <v>118</v>
      </c>
      <c r="AB635" s="46" t="n">
        <f aca="false">SUMIFS(AF$629:AF634,$B$629:$B634,$B635-$D635)</f>
        <v>112</v>
      </c>
      <c r="AC635" s="46" t="n">
        <f aca="false">AI634+AB635</f>
        <v>112</v>
      </c>
      <c r="AD635" s="46" t="n">
        <f aca="false">SUMIFS(AF$629:AF634,$B$629:$B634,"&gt;"&amp;($B635-$D635))</f>
        <v>0</v>
      </c>
      <c r="AE635" s="46" t="n">
        <f aca="false">AC635+AD635</f>
        <v>112</v>
      </c>
      <c r="AF635" s="47" t="n">
        <f aca="false">IF(AE635&lt;=Y635,AA635,0)</f>
        <v>118</v>
      </c>
      <c r="AG635" s="46" t="n">
        <f aca="false">MIN(AC635,I635)</f>
        <v>13</v>
      </c>
      <c r="AH635" s="46" t="n">
        <f aca="false">I635-AG635</f>
        <v>0</v>
      </c>
      <c r="AI635" s="46" t="n">
        <f aca="false">AC635-AG635</f>
        <v>99</v>
      </c>
      <c r="AJ635" s="46" t="n">
        <f aca="false">IF(AH635&gt;0,1,0)</f>
        <v>0</v>
      </c>
    </row>
    <row r="636" customFormat="false" ht="15" hidden="false" customHeight="false" outlineLevel="0" collapsed="false">
      <c r="A636" s="31" t="str">
        <f aca="false">Inputs!$B$76</f>
        <v>ELE-008</v>
      </c>
      <c r="B636" s="46" t="n">
        <f aca="false">B635+1</f>
        <v>96</v>
      </c>
      <c r="C636" s="46" t="n">
        <f aca="false">MATCH(A636,Inputs!$B$40:$B$87,0)</f>
        <v>37</v>
      </c>
      <c r="D636" s="32" t="n">
        <f aca="false">INDEX(Inputs!$F$40:$F$87,C636)</f>
        <v>6</v>
      </c>
      <c r="E636" s="78" t="n">
        <f aca="false">INDEX(Inputs!$H$40:$H$87,C636)</f>
        <v>48</v>
      </c>
      <c r="F636" s="78" t="n">
        <f aca="false">INDEX(Inputs!$G$40:$G$87,C636)</f>
        <v>90</v>
      </c>
      <c r="G636" s="32" t="n">
        <f aca="false">INDEX(Inputs!$I$40:$I$87,C636)</f>
        <v>2</v>
      </c>
      <c r="H636" s="46" t="n">
        <f aca="false">MATCH(A636,Demand_History!$C:$C,0)+B636-1</f>
        <v>3841</v>
      </c>
      <c r="I636" s="32" t="n">
        <f aca="false">INDEX(Forecast_Walkforward!$C:$C,H636)</f>
        <v>15</v>
      </c>
      <c r="J636" s="79" t="n">
        <f aca="false">INDEX(Forecast_Walkforward!$E:$E,H636)</f>
        <v>15.75</v>
      </c>
      <c r="K636" s="33" t="n">
        <f aca="false">Baseline_Weeks*J636</f>
        <v>63</v>
      </c>
      <c r="L636" s="46" t="n">
        <f aca="false">SUMIFS(P$629:P635,$B$629:$B635,$B636-$D636)</f>
        <v>0</v>
      </c>
      <c r="M636" s="46" t="n">
        <f aca="false">S635+L636</f>
        <v>0</v>
      </c>
      <c r="N636" s="46" t="n">
        <f aca="false">SUMIFS(P$629:P635,$B$629:$B635,"&gt;"&amp;($B636-$D636))</f>
        <v>70</v>
      </c>
      <c r="O636" s="46" t="n">
        <f aca="false">M636+N636</f>
        <v>70</v>
      </c>
      <c r="P636" s="47" t="n">
        <f aca="false">IF(O636&lt;K636,ROUNDUP((K636-O636)/G636,0)*G636,0)</f>
        <v>0</v>
      </c>
      <c r="Q636" s="46" t="n">
        <f aca="false">MIN(M636,I636)</f>
        <v>0</v>
      </c>
      <c r="R636" s="46" t="n">
        <f aca="false">I636-Q636</f>
        <v>15</v>
      </c>
      <c r="S636" s="46" t="n">
        <f aca="false">M636-Q636</f>
        <v>0</v>
      </c>
      <c r="T636" s="46" t="n">
        <f aca="false">IF(R636&gt;0,1,0)</f>
        <v>1</v>
      </c>
      <c r="U636" s="32" t="n">
        <f aca="false">INDEX(Forecast!$AY$7:$AY$54,C636)</f>
        <v>3</v>
      </c>
      <c r="V636" s="33" t="n">
        <f aca="false">CHOOSE(U636,INDEX(Forecast_Walkforward!$D:$D,H636),INDEX(Forecast_Walkforward!$E:$E,H636),INDEX(Forecast_Walkforward!$F:$F,H636),INDEX(Forecast_Walkforward!$G:$G,H636))</f>
        <v>13.875</v>
      </c>
      <c r="W636" s="79" t="n">
        <f aca="false">INDEX(Forecast!$BA$7:$BA$54,C636)</f>
        <v>7.13573810117017</v>
      </c>
      <c r="X636" s="33" t="n">
        <f aca="false">Z_Value*W636*SQRT(D636)</f>
        <v>28.7502604930675</v>
      </c>
      <c r="Y636" s="33" t="n">
        <f aca="false">V636*D636+X636</f>
        <v>112.000260493068</v>
      </c>
      <c r="Z636" s="33" t="n">
        <f aca="false">SQRT((2*V636*Weeks_Per_Year*F636)/(E636*Holding_Rate))</f>
        <v>116.310468144531</v>
      </c>
      <c r="AA636" s="46" t="n">
        <f aca="false">ROUNDUP(Z636/G636,0)*G636</f>
        <v>118</v>
      </c>
      <c r="AB636" s="46" t="n">
        <f aca="false">SUMIFS(AF$629:AF635,$B$629:$B635,$B636-$D636)</f>
        <v>0</v>
      </c>
      <c r="AC636" s="46" t="n">
        <f aca="false">AI635+AB636</f>
        <v>99</v>
      </c>
      <c r="AD636" s="46" t="n">
        <f aca="false">SUMIFS(AF$629:AF635,$B$629:$B635,"&gt;"&amp;($B636-$D636))</f>
        <v>118</v>
      </c>
      <c r="AE636" s="46" t="n">
        <f aca="false">AC636+AD636</f>
        <v>217</v>
      </c>
      <c r="AF636" s="47" t="n">
        <f aca="false">IF(AE636&lt;=Y636,AA636,0)</f>
        <v>0</v>
      </c>
      <c r="AG636" s="46" t="n">
        <f aca="false">MIN(AC636,I636)</f>
        <v>15</v>
      </c>
      <c r="AH636" s="46" t="n">
        <f aca="false">I636-AG636</f>
        <v>0</v>
      </c>
      <c r="AI636" s="46" t="n">
        <f aca="false">AC636-AG636</f>
        <v>84</v>
      </c>
      <c r="AJ636" s="46" t="n">
        <f aca="false">IF(AH636&gt;0,1,0)</f>
        <v>0</v>
      </c>
    </row>
    <row r="637" customFormat="false" ht="15" hidden="false" customHeight="false" outlineLevel="0" collapsed="false">
      <c r="A637" s="31" t="str">
        <f aca="false">Inputs!$B$76</f>
        <v>ELE-008</v>
      </c>
      <c r="B637" s="46" t="n">
        <f aca="false">B636+1</f>
        <v>97</v>
      </c>
      <c r="C637" s="46" t="n">
        <f aca="false">MATCH(A637,Inputs!$B$40:$B$87,0)</f>
        <v>37</v>
      </c>
      <c r="D637" s="32" t="n">
        <f aca="false">INDEX(Inputs!$F$40:$F$87,C637)</f>
        <v>6</v>
      </c>
      <c r="E637" s="78" t="n">
        <f aca="false">INDEX(Inputs!$H$40:$H$87,C637)</f>
        <v>48</v>
      </c>
      <c r="F637" s="78" t="n">
        <f aca="false">INDEX(Inputs!$G$40:$G$87,C637)</f>
        <v>90</v>
      </c>
      <c r="G637" s="32" t="n">
        <f aca="false">INDEX(Inputs!$I$40:$I$87,C637)</f>
        <v>2</v>
      </c>
      <c r="H637" s="46" t="n">
        <f aca="false">MATCH(A637,Demand_History!$C:$C,0)+B637-1</f>
        <v>3842</v>
      </c>
      <c r="I637" s="32" t="n">
        <f aca="false">INDEX(Forecast_Walkforward!$C:$C,H637)</f>
        <v>16</v>
      </c>
      <c r="J637" s="79" t="n">
        <f aca="false">INDEX(Forecast_Walkforward!$E:$E,H637)</f>
        <v>14.5</v>
      </c>
      <c r="K637" s="33" t="n">
        <f aca="false">Baseline_Weeks*J637</f>
        <v>58</v>
      </c>
      <c r="L637" s="46" t="n">
        <f aca="false">SUMIFS(P$629:P636,$B$629:$B636,$B637-$D637)</f>
        <v>0</v>
      </c>
      <c r="M637" s="46" t="n">
        <f aca="false">S636+L637</f>
        <v>0</v>
      </c>
      <c r="N637" s="46" t="n">
        <f aca="false">SUMIFS(P$629:P636,$B$629:$B636,"&gt;"&amp;($B637-$D637))</f>
        <v>70</v>
      </c>
      <c r="O637" s="46" t="n">
        <f aca="false">M637+N637</f>
        <v>70</v>
      </c>
      <c r="P637" s="47" t="n">
        <f aca="false">IF(O637&lt;K637,ROUNDUP((K637-O637)/G637,0)*G637,0)</f>
        <v>0</v>
      </c>
      <c r="Q637" s="46" t="n">
        <f aca="false">MIN(M637,I637)</f>
        <v>0</v>
      </c>
      <c r="R637" s="46" t="n">
        <f aca="false">I637-Q637</f>
        <v>16</v>
      </c>
      <c r="S637" s="46" t="n">
        <f aca="false">M637-Q637</f>
        <v>0</v>
      </c>
      <c r="T637" s="46" t="n">
        <f aca="false">IF(R637&gt;0,1,0)</f>
        <v>1</v>
      </c>
      <c r="U637" s="32" t="n">
        <f aca="false">INDEX(Forecast!$AY$7:$AY$54,C637)</f>
        <v>3</v>
      </c>
      <c r="V637" s="33" t="n">
        <f aca="false">CHOOSE(U637,INDEX(Forecast_Walkforward!$D:$D,H637),INDEX(Forecast_Walkforward!$E:$E,H637),INDEX(Forecast_Walkforward!$F:$F,H637),INDEX(Forecast_Walkforward!$G:$G,H637))</f>
        <v>14.875</v>
      </c>
      <c r="W637" s="79" t="n">
        <f aca="false">INDEX(Forecast!$BA$7:$BA$54,C637)</f>
        <v>7.13573810117017</v>
      </c>
      <c r="X637" s="33" t="n">
        <f aca="false">Z_Value*W637*SQRT(D637)</f>
        <v>28.7502604930675</v>
      </c>
      <c r="Y637" s="33" t="n">
        <f aca="false">V637*D637+X637</f>
        <v>118.000260493068</v>
      </c>
      <c r="Z637" s="33" t="n">
        <f aca="false">SQRT((2*V637*Weeks_Per_Year*F637)/(E637*Holding_Rate))</f>
        <v>120.428920945095</v>
      </c>
      <c r="AA637" s="46" t="n">
        <f aca="false">ROUNDUP(Z637/G637,0)*G637</f>
        <v>122</v>
      </c>
      <c r="AB637" s="46" t="n">
        <f aca="false">SUMIFS(AF$629:AF636,$B$629:$B636,$B637-$D637)</f>
        <v>0</v>
      </c>
      <c r="AC637" s="46" t="n">
        <f aca="false">AI636+AB637</f>
        <v>84</v>
      </c>
      <c r="AD637" s="46" t="n">
        <f aca="false">SUMIFS(AF$629:AF636,$B$629:$B636,"&gt;"&amp;($B637-$D637))</f>
        <v>118</v>
      </c>
      <c r="AE637" s="46" t="n">
        <f aca="false">AC637+AD637</f>
        <v>202</v>
      </c>
      <c r="AF637" s="47" t="n">
        <f aca="false">IF(AE637&lt;=Y637,AA637,0)</f>
        <v>0</v>
      </c>
      <c r="AG637" s="46" t="n">
        <f aca="false">MIN(AC637,I637)</f>
        <v>16</v>
      </c>
      <c r="AH637" s="46" t="n">
        <f aca="false">I637-AG637</f>
        <v>0</v>
      </c>
      <c r="AI637" s="46" t="n">
        <f aca="false">AC637-AG637</f>
        <v>68</v>
      </c>
      <c r="AJ637" s="46" t="n">
        <f aca="false">IF(AH637&gt;0,1,0)</f>
        <v>0</v>
      </c>
    </row>
    <row r="638" customFormat="false" ht="15" hidden="false" customHeight="false" outlineLevel="0" collapsed="false">
      <c r="A638" s="31" t="str">
        <f aca="false">Inputs!$B$76</f>
        <v>ELE-008</v>
      </c>
      <c r="B638" s="46" t="n">
        <f aca="false">B637+1</f>
        <v>98</v>
      </c>
      <c r="C638" s="46" t="n">
        <f aca="false">MATCH(A638,Inputs!$B$40:$B$87,0)</f>
        <v>37</v>
      </c>
      <c r="D638" s="32" t="n">
        <f aca="false">INDEX(Inputs!$F$40:$F$87,C638)</f>
        <v>6</v>
      </c>
      <c r="E638" s="78" t="n">
        <f aca="false">INDEX(Inputs!$H$40:$H$87,C638)</f>
        <v>48</v>
      </c>
      <c r="F638" s="78" t="n">
        <f aca="false">INDEX(Inputs!$G$40:$G$87,C638)</f>
        <v>90</v>
      </c>
      <c r="G638" s="32" t="n">
        <f aca="false">INDEX(Inputs!$I$40:$I$87,C638)</f>
        <v>2</v>
      </c>
      <c r="H638" s="46" t="n">
        <f aca="false">MATCH(A638,Demand_History!$C:$C,0)+B638-1</f>
        <v>3843</v>
      </c>
      <c r="I638" s="32" t="n">
        <f aca="false">INDEX(Forecast_Walkforward!$C:$C,H638)</f>
        <v>18</v>
      </c>
      <c r="J638" s="79" t="n">
        <f aca="false">INDEX(Forecast_Walkforward!$E:$E,H638)</f>
        <v>15.5</v>
      </c>
      <c r="K638" s="33" t="n">
        <f aca="false">Baseline_Weeks*J638</f>
        <v>62</v>
      </c>
      <c r="L638" s="46" t="n">
        <f aca="false">SUMIFS(P$629:P637,$B$629:$B637,$B638-$D638)</f>
        <v>14</v>
      </c>
      <c r="M638" s="46" t="n">
        <f aca="false">S637+L638</f>
        <v>14</v>
      </c>
      <c r="N638" s="46" t="n">
        <f aca="false">SUMIFS(P$629:P637,$B$629:$B637,"&gt;"&amp;($B638-$D638))</f>
        <v>56</v>
      </c>
      <c r="O638" s="46" t="n">
        <f aca="false">M638+N638</f>
        <v>70</v>
      </c>
      <c r="P638" s="47" t="n">
        <f aca="false">IF(O638&lt;K638,ROUNDUP((K638-O638)/G638,0)*G638,0)</f>
        <v>0</v>
      </c>
      <c r="Q638" s="46" t="n">
        <f aca="false">MIN(M638,I638)</f>
        <v>14</v>
      </c>
      <c r="R638" s="46" t="n">
        <f aca="false">I638-Q638</f>
        <v>4</v>
      </c>
      <c r="S638" s="46" t="n">
        <f aca="false">M638-Q638</f>
        <v>0</v>
      </c>
      <c r="T638" s="46" t="n">
        <f aca="false">IF(R638&gt;0,1,0)</f>
        <v>1</v>
      </c>
      <c r="U638" s="32" t="n">
        <f aca="false">INDEX(Forecast!$AY$7:$AY$54,C638)</f>
        <v>3</v>
      </c>
      <c r="V638" s="33" t="n">
        <f aca="false">CHOOSE(U638,INDEX(Forecast_Walkforward!$D:$D,H638),INDEX(Forecast_Walkforward!$E:$E,H638),INDEX(Forecast_Walkforward!$F:$F,H638),INDEX(Forecast_Walkforward!$G:$G,H638))</f>
        <v>15.75</v>
      </c>
      <c r="W638" s="79" t="n">
        <f aca="false">INDEX(Forecast!$BA$7:$BA$54,C638)</f>
        <v>7.13573810117017</v>
      </c>
      <c r="X638" s="33" t="n">
        <f aca="false">Z_Value*W638*SQRT(D638)</f>
        <v>28.7502604930675</v>
      </c>
      <c r="Y638" s="33" t="n">
        <f aca="false">V638*D638+X638</f>
        <v>123.250260493068</v>
      </c>
      <c r="Z638" s="33" t="n">
        <f aca="false">SQRT((2*V638*Weeks_Per_Year*F638)/(E638*Holding_Rate))</f>
        <v>123.920337313937</v>
      </c>
      <c r="AA638" s="46" t="n">
        <f aca="false">ROUNDUP(Z638/G638,0)*G638</f>
        <v>124</v>
      </c>
      <c r="AB638" s="46" t="n">
        <f aca="false">SUMIFS(AF$629:AF637,$B$629:$B637,$B638-$D638)</f>
        <v>0</v>
      </c>
      <c r="AC638" s="46" t="n">
        <f aca="false">AI637+AB638</f>
        <v>68</v>
      </c>
      <c r="AD638" s="46" t="n">
        <f aca="false">SUMIFS(AF$629:AF637,$B$629:$B637,"&gt;"&amp;($B638-$D638))</f>
        <v>118</v>
      </c>
      <c r="AE638" s="46" t="n">
        <f aca="false">AC638+AD638</f>
        <v>186</v>
      </c>
      <c r="AF638" s="47" t="n">
        <f aca="false">IF(AE638&lt;=Y638,AA638,0)</f>
        <v>0</v>
      </c>
      <c r="AG638" s="46" t="n">
        <f aca="false">MIN(AC638,I638)</f>
        <v>18</v>
      </c>
      <c r="AH638" s="46" t="n">
        <f aca="false">I638-AG638</f>
        <v>0</v>
      </c>
      <c r="AI638" s="46" t="n">
        <f aca="false">AC638-AG638</f>
        <v>50</v>
      </c>
      <c r="AJ638" s="46" t="n">
        <f aca="false">IF(AH638&gt;0,1,0)</f>
        <v>0</v>
      </c>
    </row>
    <row r="639" customFormat="false" ht="15" hidden="false" customHeight="false" outlineLevel="0" collapsed="false">
      <c r="A639" s="31" t="str">
        <f aca="false">Inputs!$B$76</f>
        <v>ELE-008</v>
      </c>
      <c r="B639" s="46" t="n">
        <f aca="false">B638+1</f>
        <v>99</v>
      </c>
      <c r="C639" s="46" t="n">
        <f aca="false">MATCH(A639,Inputs!$B$40:$B$87,0)</f>
        <v>37</v>
      </c>
      <c r="D639" s="32" t="n">
        <f aca="false">INDEX(Inputs!$F$40:$F$87,C639)</f>
        <v>6</v>
      </c>
      <c r="E639" s="78" t="n">
        <f aca="false">INDEX(Inputs!$H$40:$H$87,C639)</f>
        <v>48</v>
      </c>
      <c r="F639" s="78" t="n">
        <f aca="false">INDEX(Inputs!$G$40:$G$87,C639)</f>
        <v>90</v>
      </c>
      <c r="G639" s="32" t="n">
        <f aca="false">INDEX(Inputs!$I$40:$I$87,C639)</f>
        <v>2</v>
      </c>
      <c r="H639" s="46" t="n">
        <f aca="false">MATCH(A639,Demand_History!$C:$C,0)+B639-1</f>
        <v>3844</v>
      </c>
      <c r="I639" s="32" t="n">
        <f aca="false">INDEX(Forecast_Walkforward!$C:$C,H639)</f>
        <v>11</v>
      </c>
      <c r="J639" s="79" t="n">
        <f aca="false">INDEX(Forecast_Walkforward!$E:$E,H639)</f>
        <v>15.5</v>
      </c>
      <c r="K639" s="33" t="n">
        <f aca="false">Baseline_Weeks*J639</f>
        <v>62</v>
      </c>
      <c r="L639" s="46" t="n">
        <f aca="false">SUMIFS(P$629:P638,$B$629:$B638,$B639-$D639)</f>
        <v>32</v>
      </c>
      <c r="M639" s="46" t="n">
        <f aca="false">S638+L639</f>
        <v>32</v>
      </c>
      <c r="N639" s="46" t="n">
        <f aca="false">SUMIFS(P$629:P638,$B$629:$B638,"&gt;"&amp;($B639-$D639))</f>
        <v>24</v>
      </c>
      <c r="O639" s="46" t="n">
        <f aca="false">M639+N639</f>
        <v>56</v>
      </c>
      <c r="P639" s="47" t="n">
        <f aca="false">IF(O639&lt;K639,ROUNDUP((K639-O639)/G639,0)*G639,0)</f>
        <v>6</v>
      </c>
      <c r="Q639" s="46" t="n">
        <f aca="false">MIN(M639,I639)</f>
        <v>11</v>
      </c>
      <c r="R639" s="46" t="n">
        <f aca="false">I639-Q639</f>
        <v>0</v>
      </c>
      <c r="S639" s="46" t="n">
        <f aca="false">M639-Q639</f>
        <v>21</v>
      </c>
      <c r="T639" s="46" t="n">
        <f aca="false">IF(R639&gt;0,1,0)</f>
        <v>0</v>
      </c>
      <c r="U639" s="32" t="n">
        <f aca="false">INDEX(Forecast!$AY$7:$AY$54,C639)</f>
        <v>3</v>
      </c>
      <c r="V639" s="33" t="n">
        <f aca="false">CHOOSE(U639,INDEX(Forecast_Walkforward!$D:$D,H639),INDEX(Forecast_Walkforward!$E:$E,H639),INDEX(Forecast_Walkforward!$F:$F,H639),INDEX(Forecast_Walkforward!$G:$G,H639))</f>
        <v>16.5</v>
      </c>
      <c r="W639" s="79" t="n">
        <f aca="false">INDEX(Forecast!$BA$7:$BA$54,C639)</f>
        <v>7.13573810117017</v>
      </c>
      <c r="X639" s="33" t="n">
        <f aca="false">Z_Value*W639*SQRT(D639)</f>
        <v>28.7502604930675</v>
      </c>
      <c r="Y639" s="33" t="n">
        <f aca="false">V639*D639+X639</f>
        <v>127.750260493068</v>
      </c>
      <c r="Z639" s="33" t="n">
        <f aca="false">SQRT((2*V639*Weeks_Per_Year*F639)/(E639*Holding_Rate))</f>
        <v>126.836508939658</v>
      </c>
      <c r="AA639" s="46" t="n">
        <f aca="false">ROUNDUP(Z639/G639,0)*G639</f>
        <v>128</v>
      </c>
      <c r="AB639" s="46" t="n">
        <f aca="false">SUMIFS(AF$629:AF638,$B$629:$B638,$B639-$D639)</f>
        <v>0</v>
      </c>
      <c r="AC639" s="46" t="n">
        <f aca="false">AI638+AB639</f>
        <v>50</v>
      </c>
      <c r="AD639" s="46" t="n">
        <f aca="false">SUMIFS(AF$629:AF638,$B$629:$B638,"&gt;"&amp;($B639-$D639))</f>
        <v>118</v>
      </c>
      <c r="AE639" s="46" t="n">
        <f aca="false">AC639+AD639</f>
        <v>168</v>
      </c>
      <c r="AF639" s="47" t="n">
        <f aca="false">IF(AE639&lt;=Y639,AA639,0)</f>
        <v>0</v>
      </c>
      <c r="AG639" s="46" t="n">
        <f aca="false">MIN(AC639,I639)</f>
        <v>11</v>
      </c>
      <c r="AH639" s="46" t="n">
        <f aca="false">I639-AG639</f>
        <v>0</v>
      </c>
      <c r="AI639" s="46" t="n">
        <f aca="false">AC639-AG639</f>
        <v>39</v>
      </c>
      <c r="AJ639" s="46" t="n">
        <f aca="false">IF(AH639&gt;0,1,0)</f>
        <v>0</v>
      </c>
    </row>
    <row r="640" customFormat="false" ht="15" hidden="false" customHeight="false" outlineLevel="0" collapsed="false">
      <c r="A640" s="31" t="str">
        <f aca="false">Inputs!$B$76</f>
        <v>ELE-008</v>
      </c>
      <c r="B640" s="46" t="n">
        <f aca="false">B639+1</f>
        <v>100</v>
      </c>
      <c r="C640" s="46" t="n">
        <f aca="false">MATCH(A640,Inputs!$B$40:$B$87,0)</f>
        <v>37</v>
      </c>
      <c r="D640" s="32" t="n">
        <f aca="false">INDEX(Inputs!$F$40:$F$87,C640)</f>
        <v>6</v>
      </c>
      <c r="E640" s="78" t="n">
        <f aca="false">INDEX(Inputs!$H$40:$H$87,C640)</f>
        <v>48</v>
      </c>
      <c r="F640" s="78" t="n">
        <f aca="false">INDEX(Inputs!$G$40:$G$87,C640)</f>
        <v>90</v>
      </c>
      <c r="G640" s="32" t="n">
        <f aca="false">INDEX(Inputs!$I$40:$I$87,C640)</f>
        <v>2</v>
      </c>
      <c r="H640" s="46" t="n">
        <f aca="false">MATCH(A640,Demand_History!$C:$C,0)+B640-1</f>
        <v>3845</v>
      </c>
      <c r="I640" s="32" t="n">
        <f aca="false">INDEX(Forecast_Walkforward!$C:$C,H640)</f>
        <v>14</v>
      </c>
      <c r="J640" s="79" t="n">
        <f aca="false">INDEX(Forecast_Walkforward!$E:$E,H640)</f>
        <v>15</v>
      </c>
      <c r="K640" s="33" t="n">
        <f aca="false">Baseline_Weeks*J640</f>
        <v>60</v>
      </c>
      <c r="L640" s="46" t="n">
        <f aca="false">SUMIFS(P$629:P639,$B$629:$B639,$B640-$D640)</f>
        <v>16</v>
      </c>
      <c r="M640" s="46" t="n">
        <f aca="false">S639+L640</f>
        <v>37</v>
      </c>
      <c r="N640" s="46" t="n">
        <f aca="false">SUMIFS(P$629:P639,$B$629:$B639,"&gt;"&amp;($B640-$D640))</f>
        <v>14</v>
      </c>
      <c r="O640" s="46" t="n">
        <f aca="false">M640+N640</f>
        <v>51</v>
      </c>
      <c r="P640" s="47" t="n">
        <f aca="false">IF(O640&lt;K640,ROUNDUP((K640-O640)/G640,0)*G640,0)</f>
        <v>10</v>
      </c>
      <c r="Q640" s="46" t="n">
        <f aca="false">MIN(M640,I640)</f>
        <v>14</v>
      </c>
      <c r="R640" s="46" t="n">
        <f aca="false">I640-Q640</f>
        <v>0</v>
      </c>
      <c r="S640" s="46" t="n">
        <f aca="false">M640-Q640</f>
        <v>23</v>
      </c>
      <c r="T640" s="46" t="n">
        <f aca="false">IF(R640&gt;0,1,0)</f>
        <v>0</v>
      </c>
      <c r="U640" s="32" t="n">
        <f aca="false">INDEX(Forecast!$AY$7:$AY$54,C640)</f>
        <v>3</v>
      </c>
      <c r="V640" s="33" t="n">
        <f aca="false">CHOOSE(U640,INDEX(Forecast_Walkforward!$D:$D,H640),INDEX(Forecast_Walkforward!$E:$E,H640),INDEX(Forecast_Walkforward!$F:$F,H640),INDEX(Forecast_Walkforward!$G:$G,H640))</f>
        <v>15.375</v>
      </c>
      <c r="W640" s="79" t="n">
        <f aca="false">INDEX(Forecast!$BA$7:$BA$54,C640)</f>
        <v>7.13573810117017</v>
      </c>
      <c r="X640" s="33" t="n">
        <f aca="false">Z_Value*W640*SQRT(D640)</f>
        <v>28.7502604930675</v>
      </c>
      <c r="Y640" s="33" t="n">
        <f aca="false">V640*D640+X640</f>
        <v>121.000260493068</v>
      </c>
      <c r="Z640" s="33" t="n">
        <f aca="false">SQRT((2*V640*Weeks_Per_Year*F640)/(E640*Holding_Rate))</f>
        <v>122.436207879859</v>
      </c>
      <c r="AA640" s="46" t="n">
        <f aca="false">ROUNDUP(Z640/G640,0)*G640</f>
        <v>124</v>
      </c>
      <c r="AB640" s="46" t="n">
        <f aca="false">SUMIFS(AF$629:AF639,$B$629:$B639,$B640-$D640)</f>
        <v>0</v>
      </c>
      <c r="AC640" s="46" t="n">
        <f aca="false">AI639+AB640</f>
        <v>39</v>
      </c>
      <c r="AD640" s="46" t="n">
        <f aca="false">SUMIFS(AF$629:AF639,$B$629:$B639,"&gt;"&amp;($B640-$D640))</f>
        <v>118</v>
      </c>
      <c r="AE640" s="46" t="n">
        <f aca="false">AC640+AD640</f>
        <v>157</v>
      </c>
      <c r="AF640" s="47" t="n">
        <f aca="false">IF(AE640&lt;=Y640,AA640,0)</f>
        <v>0</v>
      </c>
      <c r="AG640" s="46" t="n">
        <f aca="false">MIN(AC640,I640)</f>
        <v>14</v>
      </c>
      <c r="AH640" s="46" t="n">
        <f aca="false">I640-AG640</f>
        <v>0</v>
      </c>
      <c r="AI640" s="46" t="n">
        <f aca="false">AC640-AG640</f>
        <v>25</v>
      </c>
      <c r="AJ640" s="46" t="n">
        <f aca="false">IF(AH640&gt;0,1,0)</f>
        <v>0</v>
      </c>
    </row>
    <row r="641" customFormat="false" ht="15" hidden="false" customHeight="false" outlineLevel="0" collapsed="false">
      <c r="A641" s="31" t="str">
        <f aca="false">Inputs!$B$76</f>
        <v>ELE-008</v>
      </c>
      <c r="B641" s="46" t="n">
        <f aca="false">B640+1</f>
        <v>101</v>
      </c>
      <c r="C641" s="46" t="n">
        <f aca="false">MATCH(A641,Inputs!$B$40:$B$87,0)</f>
        <v>37</v>
      </c>
      <c r="D641" s="32" t="n">
        <f aca="false">INDEX(Inputs!$F$40:$F$87,C641)</f>
        <v>6</v>
      </c>
      <c r="E641" s="78" t="n">
        <f aca="false">INDEX(Inputs!$H$40:$H$87,C641)</f>
        <v>48</v>
      </c>
      <c r="F641" s="78" t="n">
        <f aca="false">INDEX(Inputs!$G$40:$G$87,C641)</f>
        <v>90</v>
      </c>
      <c r="G641" s="32" t="n">
        <f aca="false">INDEX(Inputs!$I$40:$I$87,C641)</f>
        <v>2</v>
      </c>
      <c r="H641" s="46" t="n">
        <f aca="false">MATCH(A641,Demand_History!$C:$C,0)+B641-1</f>
        <v>3846</v>
      </c>
      <c r="I641" s="32" t="n">
        <f aca="false">INDEX(Forecast_Walkforward!$C:$C,H641)</f>
        <v>16</v>
      </c>
      <c r="J641" s="79" t="n">
        <f aca="false">INDEX(Forecast_Walkforward!$E:$E,H641)</f>
        <v>14.75</v>
      </c>
      <c r="K641" s="33" t="n">
        <f aca="false">Baseline_Weeks*J641</f>
        <v>59</v>
      </c>
      <c r="L641" s="46" t="n">
        <f aca="false">SUMIFS(P$629:P640,$B$629:$B640,$B641-$D641)</f>
        <v>8</v>
      </c>
      <c r="M641" s="46" t="n">
        <f aca="false">S640+L641</f>
        <v>31</v>
      </c>
      <c r="N641" s="46" t="n">
        <f aca="false">SUMIFS(P$629:P640,$B$629:$B640,"&gt;"&amp;($B641-$D641))</f>
        <v>16</v>
      </c>
      <c r="O641" s="46" t="n">
        <f aca="false">M641+N641</f>
        <v>47</v>
      </c>
      <c r="P641" s="47" t="n">
        <f aca="false">IF(O641&lt;K641,ROUNDUP((K641-O641)/G641,0)*G641,0)</f>
        <v>12</v>
      </c>
      <c r="Q641" s="46" t="n">
        <f aca="false">MIN(M641,I641)</f>
        <v>16</v>
      </c>
      <c r="R641" s="46" t="n">
        <f aca="false">I641-Q641</f>
        <v>0</v>
      </c>
      <c r="S641" s="46" t="n">
        <f aca="false">M641-Q641</f>
        <v>15</v>
      </c>
      <c r="T641" s="46" t="n">
        <f aca="false">IF(R641&gt;0,1,0)</f>
        <v>0</v>
      </c>
      <c r="U641" s="32" t="n">
        <f aca="false">INDEX(Forecast!$AY$7:$AY$54,C641)</f>
        <v>3</v>
      </c>
      <c r="V641" s="33" t="n">
        <f aca="false">CHOOSE(U641,INDEX(Forecast_Walkforward!$D:$D,H641),INDEX(Forecast_Walkforward!$E:$E,H641),INDEX(Forecast_Walkforward!$F:$F,H641),INDEX(Forecast_Walkforward!$G:$G,H641))</f>
        <v>14.625</v>
      </c>
      <c r="W641" s="79" t="n">
        <f aca="false">INDEX(Forecast!$BA$7:$BA$54,C641)</f>
        <v>7.13573810117017</v>
      </c>
      <c r="X641" s="33" t="n">
        <f aca="false">Z_Value*W641*SQRT(D641)</f>
        <v>28.7502604930675</v>
      </c>
      <c r="Y641" s="33" t="n">
        <f aca="false">V641*D641+X641</f>
        <v>116.500260493068</v>
      </c>
      <c r="Z641" s="33" t="n">
        <f aca="false">SQRT((2*V641*Weeks_Per_Year*F641)/(E641*Holding_Rate))</f>
        <v>119.41262496068</v>
      </c>
      <c r="AA641" s="46" t="n">
        <f aca="false">ROUNDUP(Z641/G641,0)*G641</f>
        <v>120</v>
      </c>
      <c r="AB641" s="46" t="n">
        <f aca="false">SUMIFS(AF$629:AF640,$B$629:$B640,$B641-$D641)</f>
        <v>118</v>
      </c>
      <c r="AC641" s="46" t="n">
        <f aca="false">AI640+AB641</f>
        <v>143</v>
      </c>
      <c r="AD641" s="46" t="n">
        <f aca="false">SUMIFS(AF$629:AF640,$B$629:$B640,"&gt;"&amp;($B641-$D641))</f>
        <v>0</v>
      </c>
      <c r="AE641" s="46" t="n">
        <f aca="false">AC641+AD641</f>
        <v>143</v>
      </c>
      <c r="AF641" s="47" t="n">
        <f aca="false">IF(AE641&lt;=Y641,AA641,0)</f>
        <v>0</v>
      </c>
      <c r="AG641" s="46" t="n">
        <f aca="false">MIN(AC641,I641)</f>
        <v>16</v>
      </c>
      <c r="AH641" s="46" t="n">
        <f aca="false">I641-AG641</f>
        <v>0</v>
      </c>
      <c r="AI641" s="46" t="n">
        <f aca="false">AC641-AG641</f>
        <v>127</v>
      </c>
      <c r="AJ641" s="46" t="n">
        <f aca="false">IF(AH641&gt;0,1,0)</f>
        <v>0</v>
      </c>
    </row>
    <row r="642" customFormat="false" ht="15" hidden="false" customHeight="false" outlineLevel="0" collapsed="false">
      <c r="A642" s="31" t="str">
        <f aca="false">Inputs!$B$76</f>
        <v>ELE-008</v>
      </c>
      <c r="B642" s="46" t="n">
        <f aca="false">B641+1</f>
        <v>102</v>
      </c>
      <c r="C642" s="46" t="n">
        <f aca="false">MATCH(A642,Inputs!$B$40:$B$87,0)</f>
        <v>37</v>
      </c>
      <c r="D642" s="32" t="n">
        <f aca="false">INDEX(Inputs!$F$40:$F$87,C642)</f>
        <v>6</v>
      </c>
      <c r="E642" s="78" t="n">
        <f aca="false">INDEX(Inputs!$H$40:$H$87,C642)</f>
        <v>48</v>
      </c>
      <c r="F642" s="78" t="n">
        <f aca="false">INDEX(Inputs!$G$40:$G$87,C642)</f>
        <v>90</v>
      </c>
      <c r="G642" s="32" t="n">
        <f aca="false">INDEX(Inputs!$I$40:$I$87,C642)</f>
        <v>2</v>
      </c>
      <c r="H642" s="46" t="n">
        <f aca="false">MATCH(A642,Demand_History!$C:$C,0)+B642-1</f>
        <v>3847</v>
      </c>
      <c r="I642" s="32" t="n">
        <f aca="false">INDEX(Forecast_Walkforward!$C:$C,H642)</f>
        <v>15</v>
      </c>
      <c r="J642" s="79" t="n">
        <f aca="false">INDEX(Forecast_Walkforward!$E:$E,H642)</f>
        <v>14.75</v>
      </c>
      <c r="K642" s="33" t="n">
        <f aca="false">Baseline_Weeks*J642</f>
        <v>59</v>
      </c>
      <c r="L642" s="46" t="n">
        <f aca="false">SUMIFS(P$629:P641,$B$629:$B641,$B642-$D642)</f>
        <v>0</v>
      </c>
      <c r="M642" s="46" t="n">
        <f aca="false">S641+L642</f>
        <v>15</v>
      </c>
      <c r="N642" s="46" t="n">
        <f aca="false">SUMIFS(P$629:P641,$B$629:$B641,"&gt;"&amp;($B642-$D642))</f>
        <v>28</v>
      </c>
      <c r="O642" s="46" t="n">
        <f aca="false">M642+N642</f>
        <v>43</v>
      </c>
      <c r="P642" s="47" t="n">
        <f aca="false">IF(O642&lt;K642,ROUNDUP((K642-O642)/G642,0)*G642,0)</f>
        <v>16</v>
      </c>
      <c r="Q642" s="46" t="n">
        <f aca="false">MIN(M642,I642)</f>
        <v>15</v>
      </c>
      <c r="R642" s="46" t="n">
        <f aca="false">I642-Q642</f>
        <v>0</v>
      </c>
      <c r="S642" s="46" t="n">
        <f aca="false">M642-Q642</f>
        <v>0</v>
      </c>
      <c r="T642" s="46" t="n">
        <f aca="false">IF(R642&gt;0,1,0)</f>
        <v>0</v>
      </c>
      <c r="U642" s="32" t="n">
        <f aca="false">INDEX(Forecast!$AY$7:$AY$54,C642)</f>
        <v>3</v>
      </c>
      <c r="V642" s="33" t="n">
        <f aca="false">CHOOSE(U642,INDEX(Forecast_Walkforward!$D:$D,H642),INDEX(Forecast_Walkforward!$E:$E,H642),INDEX(Forecast_Walkforward!$F:$F,H642),INDEX(Forecast_Walkforward!$G:$G,H642))</f>
        <v>15.125</v>
      </c>
      <c r="W642" s="79" t="n">
        <f aca="false">INDEX(Forecast!$BA$7:$BA$54,C642)</f>
        <v>7.13573810117017</v>
      </c>
      <c r="X642" s="33" t="n">
        <f aca="false">Z_Value*W642*SQRT(D642)</f>
        <v>28.7502604930675</v>
      </c>
      <c r="Y642" s="33" t="n">
        <f aca="false">V642*D642+X642</f>
        <v>119.500260493068</v>
      </c>
      <c r="Z642" s="33" t="n">
        <f aca="false">SQRT((2*V642*Weeks_Per_Year*F642)/(E642*Holding_Rate))</f>
        <v>121.436711912008</v>
      </c>
      <c r="AA642" s="46" t="n">
        <f aca="false">ROUNDUP(Z642/G642,0)*G642</f>
        <v>122</v>
      </c>
      <c r="AB642" s="46" t="n">
        <f aca="false">SUMIFS(AF$629:AF641,$B$629:$B641,$B642-$D642)</f>
        <v>0</v>
      </c>
      <c r="AC642" s="46" t="n">
        <f aca="false">AI641+AB642</f>
        <v>127</v>
      </c>
      <c r="AD642" s="46" t="n">
        <f aca="false">SUMIFS(AF$629:AF641,$B$629:$B641,"&gt;"&amp;($B642-$D642))</f>
        <v>0</v>
      </c>
      <c r="AE642" s="46" t="n">
        <f aca="false">AC642+AD642</f>
        <v>127</v>
      </c>
      <c r="AF642" s="47" t="n">
        <f aca="false">IF(AE642&lt;=Y642,AA642,0)</f>
        <v>0</v>
      </c>
      <c r="AG642" s="46" t="n">
        <f aca="false">MIN(AC642,I642)</f>
        <v>15</v>
      </c>
      <c r="AH642" s="46" t="n">
        <f aca="false">I642-AG642</f>
        <v>0</v>
      </c>
      <c r="AI642" s="46" t="n">
        <f aca="false">AC642-AG642</f>
        <v>112</v>
      </c>
      <c r="AJ642" s="46" t="n">
        <f aca="false">IF(AH642&gt;0,1,0)</f>
        <v>0</v>
      </c>
    </row>
    <row r="643" customFormat="false" ht="15" hidden="false" customHeight="false" outlineLevel="0" collapsed="false">
      <c r="A643" s="31" t="str">
        <f aca="false">Inputs!$B$76</f>
        <v>ELE-008</v>
      </c>
      <c r="B643" s="46" t="n">
        <f aca="false">B642+1</f>
        <v>103</v>
      </c>
      <c r="C643" s="46" t="n">
        <f aca="false">MATCH(A643,Inputs!$B$40:$B$87,0)</f>
        <v>37</v>
      </c>
      <c r="D643" s="32" t="n">
        <f aca="false">INDEX(Inputs!$F$40:$F$87,C643)</f>
        <v>6</v>
      </c>
      <c r="E643" s="78" t="n">
        <f aca="false">INDEX(Inputs!$H$40:$H$87,C643)</f>
        <v>48</v>
      </c>
      <c r="F643" s="78" t="n">
        <f aca="false">INDEX(Inputs!$G$40:$G$87,C643)</f>
        <v>90</v>
      </c>
      <c r="G643" s="32" t="n">
        <f aca="false">INDEX(Inputs!$I$40:$I$87,C643)</f>
        <v>2</v>
      </c>
      <c r="H643" s="46" t="n">
        <f aca="false">MATCH(A643,Demand_History!$C:$C,0)+B643-1</f>
        <v>3848</v>
      </c>
      <c r="I643" s="32" t="n">
        <f aca="false">INDEX(Forecast_Walkforward!$C:$C,H643)</f>
        <v>10</v>
      </c>
      <c r="J643" s="79" t="n">
        <f aca="false">INDEX(Forecast_Walkforward!$E:$E,H643)</f>
        <v>14</v>
      </c>
      <c r="K643" s="33" t="n">
        <f aca="false">Baseline_Weeks*J643</f>
        <v>56</v>
      </c>
      <c r="L643" s="46" t="n">
        <f aca="false">SUMIFS(P$629:P642,$B$629:$B642,$B643-$D643)</f>
        <v>0</v>
      </c>
      <c r="M643" s="46" t="n">
        <f aca="false">S642+L643</f>
        <v>0</v>
      </c>
      <c r="N643" s="46" t="n">
        <f aca="false">SUMIFS(P$629:P642,$B$629:$B642,"&gt;"&amp;($B643-$D643))</f>
        <v>44</v>
      </c>
      <c r="O643" s="46" t="n">
        <f aca="false">M643+N643</f>
        <v>44</v>
      </c>
      <c r="P643" s="47" t="n">
        <f aca="false">IF(O643&lt;K643,ROUNDUP((K643-O643)/G643,0)*G643,0)</f>
        <v>12</v>
      </c>
      <c r="Q643" s="46" t="n">
        <f aca="false">MIN(M643,I643)</f>
        <v>0</v>
      </c>
      <c r="R643" s="46" t="n">
        <f aca="false">I643-Q643</f>
        <v>10</v>
      </c>
      <c r="S643" s="46" t="n">
        <f aca="false">M643-Q643</f>
        <v>0</v>
      </c>
      <c r="T643" s="46" t="n">
        <f aca="false">IF(R643&gt;0,1,0)</f>
        <v>1</v>
      </c>
      <c r="U643" s="32" t="n">
        <f aca="false">INDEX(Forecast!$AY$7:$AY$54,C643)</f>
        <v>3</v>
      </c>
      <c r="V643" s="33" t="n">
        <f aca="false">CHOOSE(U643,INDEX(Forecast_Walkforward!$D:$D,H643),INDEX(Forecast_Walkforward!$E:$E,H643),INDEX(Forecast_Walkforward!$F:$F,H643),INDEX(Forecast_Walkforward!$G:$G,H643))</f>
        <v>14.75</v>
      </c>
      <c r="W643" s="79" t="n">
        <f aca="false">INDEX(Forecast!$BA$7:$BA$54,C643)</f>
        <v>7.13573810117017</v>
      </c>
      <c r="X643" s="33" t="n">
        <f aca="false">Z_Value*W643*SQRT(D643)</f>
        <v>28.7502604930675</v>
      </c>
      <c r="Y643" s="33" t="n">
        <f aca="false">V643*D643+X643</f>
        <v>117.250260493068</v>
      </c>
      <c r="Z643" s="33" t="n">
        <f aca="false">SQRT((2*V643*Weeks_Per_Year*F643)/(E643*Holding_Rate))</f>
        <v>119.921849552115</v>
      </c>
      <c r="AA643" s="46" t="n">
        <f aca="false">ROUNDUP(Z643/G643,0)*G643</f>
        <v>120</v>
      </c>
      <c r="AB643" s="46" t="n">
        <f aca="false">SUMIFS(AF$629:AF642,$B$629:$B642,$B643-$D643)</f>
        <v>0</v>
      </c>
      <c r="AC643" s="46" t="n">
        <f aca="false">AI642+AB643</f>
        <v>112</v>
      </c>
      <c r="AD643" s="46" t="n">
        <f aca="false">SUMIFS(AF$629:AF642,$B$629:$B642,"&gt;"&amp;($B643-$D643))</f>
        <v>0</v>
      </c>
      <c r="AE643" s="46" t="n">
        <f aca="false">AC643+AD643</f>
        <v>112</v>
      </c>
      <c r="AF643" s="47" t="n">
        <f aca="false">IF(AE643&lt;=Y643,AA643,0)</f>
        <v>120</v>
      </c>
      <c r="AG643" s="46" t="n">
        <f aca="false">MIN(AC643,I643)</f>
        <v>10</v>
      </c>
      <c r="AH643" s="46" t="n">
        <f aca="false">I643-AG643</f>
        <v>0</v>
      </c>
      <c r="AI643" s="46" t="n">
        <f aca="false">AC643-AG643</f>
        <v>102</v>
      </c>
      <c r="AJ643" s="46" t="n">
        <f aca="false">IF(AH643&gt;0,1,0)</f>
        <v>0</v>
      </c>
    </row>
    <row r="644" customFormat="false" ht="15" hidden="false" customHeight="false" outlineLevel="0" collapsed="false">
      <c r="A644" s="80" t="str">
        <f aca="false">Inputs!$B$76</f>
        <v>ELE-008</v>
      </c>
      <c r="B644" s="81" t="n">
        <f aca="false">B643+1</f>
        <v>104</v>
      </c>
      <c r="C644" s="81" t="n">
        <f aca="false">MATCH(A644,Inputs!$B$40:$B$87,0)</f>
        <v>37</v>
      </c>
      <c r="D644" s="82" t="n">
        <f aca="false">INDEX(Inputs!$F$40:$F$87,C644)</f>
        <v>6</v>
      </c>
      <c r="E644" s="83" t="n">
        <f aca="false">INDEX(Inputs!$H$40:$H$87,C644)</f>
        <v>48</v>
      </c>
      <c r="F644" s="83" t="n">
        <f aca="false">INDEX(Inputs!$G$40:$G$87,C644)</f>
        <v>90</v>
      </c>
      <c r="G644" s="82" t="n">
        <f aca="false">INDEX(Inputs!$I$40:$I$87,C644)</f>
        <v>2</v>
      </c>
      <c r="H644" s="81" t="n">
        <f aca="false">MATCH(A644,Demand_History!$C:$C,0)+B644-1</f>
        <v>3849</v>
      </c>
      <c r="I644" s="82" t="n">
        <f aca="false">INDEX(Forecast_Walkforward!$C:$C,H644)</f>
        <v>24</v>
      </c>
      <c r="J644" s="84" t="n">
        <f aca="false">INDEX(Forecast_Walkforward!$E:$E,H644)</f>
        <v>13.75</v>
      </c>
      <c r="K644" s="85" t="n">
        <f aca="false">Baseline_Weeks*J644</f>
        <v>55</v>
      </c>
      <c r="L644" s="81" t="n">
        <f aca="false">SUMIFS(P$629:P643,$B$629:$B643,$B644-$D644)</f>
        <v>0</v>
      </c>
      <c r="M644" s="81" t="n">
        <f aca="false">S643+L644</f>
        <v>0</v>
      </c>
      <c r="N644" s="81" t="n">
        <f aca="false">SUMIFS(P$629:P643,$B$629:$B643,"&gt;"&amp;($B644-$D644))</f>
        <v>56</v>
      </c>
      <c r="O644" s="81" t="n">
        <f aca="false">M644+N644</f>
        <v>56</v>
      </c>
      <c r="P644" s="86" t="n">
        <f aca="false">IF(O644&lt;K644,ROUNDUP((K644-O644)/G644,0)*G644,0)</f>
        <v>0</v>
      </c>
      <c r="Q644" s="81" t="n">
        <f aca="false">MIN(M644,I644)</f>
        <v>0</v>
      </c>
      <c r="R644" s="81" t="n">
        <f aca="false">I644-Q644</f>
        <v>24</v>
      </c>
      <c r="S644" s="81" t="n">
        <f aca="false">M644-Q644</f>
        <v>0</v>
      </c>
      <c r="T644" s="81" t="n">
        <f aca="false">IF(R644&gt;0,1,0)</f>
        <v>1</v>
      </c>
      <c r="U644" s="82" t="n">
        <f aca="false">INDEX(Forecast!$AY$7:$AY$54,C644)</f>
        <v>3</v>
      </c>
      <c r="V644" s="85" t="n">
        <f aca="false">CHOOSE(U644,INDEX(Forecast_Walkforward!$D:$D,H644),INDEX(Forecast_Walkforward!$E:$E,H644),INDEX(Forecast_Walkforward!$F:$F,H644),INDEX(Forecast_Walkforward!$G:$G,H644))</f>
        <v>14.375</v>
      </c>
      <c r="W644" s="84" t="n">
        <f aca="false">INDEX(Forecast!$BA$7:$BA$54,C644)</f>
        <v>7.13573810117017</v>
      </c>
      <c r="X644" s="85" t="n">
        <f aca="false">Z_Value*W644*SQRT(D644)</f>
        <v>28.7502604930675</v>
      </c>
      <c r="Y644" s="85" t="n">
        <f aca="false">V644*D644+X644</f>
        <v>115.000260493068</v>
      </c>
      <c r="Z644" s="85" t="n">
        <f aca="false">SQRT((2*V644*Weeks_Per_Year*F644)/(E644*Holding_Rate))</f>
        <v>118.387604925516</v>
      </c>
      <c r="AA644" s="81" t="n">
        <f aca="false">ROUNDUP(Z644/G644,0)*G644</f>
        <v>120</v>
      </c>
      <c r="AB644" s="81" t="n">
        <f aca="false">SUMIFS(AF$629:AF643,$B$629:$B643,$B644-$D644)</f>
        <v>0</v>
      </c>
      <c r="AC644" s="81" t="n">
        <f aca="false">AI643+AB644</f>
        <v>102</v>
      </c>
      <c r="AD644" s="81" t="n">
        <f aca="false">SUMIFS(AF$629:AF643,$B$629:$B643,"&gt;"&amp;($B644-$D644))</f>
        <v>120</v>
      </c>
      <c r="AE644" s="81" t="n">
        <f aca="false">AC644+AD644</f>
        <v>222</v>
      </c>
      <c r="AF644" s="86" t="n">
        <f aca="false">IF(AE644&lt;=Y644,AA644,0)</f>
        <v>0</v>
      </c>
      <c r="AG644" s="81" t="n">
        <f aca="false">MIN(AC644,I644)</f>
        <v>24</v>
      </c>
      <c r="AH644" s="81" t="n">
        <f aca="false">I644-AG644</f>
        <v>0</v>
      </c>
      <c r="AI644" s="81" t="n">
        <f aca="false">AC644-AG644</f>
        <v>78</v>
      </c>
      <c r="AJ644" s="81" t="n">
        <f aca="false">IF(AH644&gt;0,1,0)</f>
        <v>0</v>
      </c>
    </row>
    <row r="645" customFormat="false" ht="15" hidden="false" customHeight="false" outlineLevel="0" collapsed="false">
      <c r="A645" s="31" t="str">
        <f aca="false">Inputs!$B$77</f>
        <v>CLN-001</v>
      </c>
      <c r="B645" s="46" t="n">
        <f aca="false">BT_Start_Week</f>
        <v>89</v>
      </c>
      <c r="C645" s="46" t="n">
        <f aca="false">MATCH(A645,Inputs!$B$40:$B$87,0)</f>
        <v>38</v>
      </c>
      <c r="D645" s="32" t="n">
        <f aca="false">INDEX(Inputs!$F$40:$F$87,C645)</f>
        <v>1</v>
      </c>
      <c r="E645" s="78" t="n">
        <f aca="false">INDEX(Inputs!$H$40:$H$87,C645)</f>
        <v>7</v>
      </c>
      <c r="F645" s="78" t="n">
        <f aca="false">INDEX(Inputs!$G$40:$G$87,C645)</f>
        <v>35</v>
      </c>
      <c r="G645" s="32" t="n">
        <f aca="false">INDEX(Inputs!$I$40:$I$87,C645)</f>
        <v>12</v>
      </c>
      <c r="H645" s="46" t="n">
        <f aca="false">MATCH(A645,Demand_History!$C:$C,0)+B645-1</f>
        <v>3938</v>
      </c>
      <c r="I645" s="32" t="n">
        <f aca="false">INDEX(Forecast_Walkforward!$C:$C,H645)</f>
        <v>192</v>
      </c>
      <c r="J645" s="79" t="n">
        <f aca="false">INDEX(Forecast_Walkforward!$E:$E,H645)</f>
        <v>232.75</v>
      </c>
      <c r="K645" s="33" t="n">
        <f aca="false">Baseline_Weeks*J645</f>
        <v>931</v>
      </c>
      <c r="L645" s="46" t="n">
        <f aca="false">0</f>
        <v>0</v>
      </c>
      <c r="M645" s="46" t="n">
        <f aca="false">ROUND(BT_Open_Cover*INDEX(Forecast_Walkforward!$F:$F,H645),0)+L645</f>
        <v>1340</v>
      </c>
      <c r="N645" s="46" t="n">
        <f aca="false">0</f>
        <v>0</v>
      </c>
      <c r="O645" s="46" t="n">
        <f aca="false">M645+N645</f>
        <v>1340</v>
      </c>
      <c r="P645" s="47" t="n">
        <f aca="false">IF(O645&lt;K645,ROUNDUP((K645-O645)/G645,0)*G645,0)</f>
        <v>0</v>
      </c>
      <c r="Q645" s="46" t="n">
        <f aca="false">MIN(M645,I645)</f>
        <v>192</v>
      </c>
      <c r="R645" s="46" t="n">
        <f aca="false">I645-Q645</f>
        <v>0</v>
      </c>
      <c r="S645" s="46" t="n">
        <f aca="false">M645-Q645</f>
        <v>1148</v>
      </c>
      <c r="T645" s="46" t="n">
        <f aca="false">IF(R645&gt;0,1,0)</f>
        <v>0</v>
      </c>
      <c r="U645" s="32" t="n">
        <f aca="false">INDEX(Forecast!$AY$7:$AY$54,C645)</f>
        <v>2</v>
      </c>
      <c r="V645" s="33" t="n">
        <f aca="false">CHOOSE(U645,INDEX(Forecast_Walkforward!$D:$D,H645),INDEX(Forecast_Walkforward!$E:$E,H645),INDEX(Forecast_Walkforward!$F:$F,H645),INDEX(Forecast_Walkforward!$G:$G,H645))</f>
        <v>232.75</v>
      </c>
      <c r="W645" s="79" t="n">
        <f aca="false">INDEX(Forecast!$BA$7:$BA$54,C645)</f>
        <v>22.4673992914191</v>
      </c>
      <c r="X645" s="33" t="n">
        <f aca="false">Z_Value*W645*SQRT(D645)</f>
        <v>36.9555832126577</v>
      </c>
      <c r="Y645" s="33" t="n">
        <f aca="false">V645*D645+X645</f>
        <v>269.705583212658</v>
      </c>
      <c r="Z645" s="33" t="n">
        <f aca="false">SQRT((2*V645*Weeks_Per_Year*F645)/(E645*Holding_Rate))</f>
        <v>777.91387698125</v>
      </c>
      <c r="AA645" s="46" t="n">
        <f aca="false">ROUNDUP(Z645/G645,0)*G645</f>
        <v>780</v>
      </c>
      <c r="AB645" s="46" t="n">
        <f aca="false">0</f>
        <v>0</v>
      </c>
      <c r="AC645" s="46" t="n">
        <f aca="false">ROUND(BT_Open_Cover*INDEX(Forecast_Walkforward!$F:$F,H645),0)+AB645</f>
        <v>1340</v>
      </c>
      <c r="AD645" s="46" t="n">
        <f aca="false">0</f>
        <v>0</v>
      </c>
      <c r="AE645" s="46" t="n">
        <f aca="false">AC645+AD645</f>
        <v>1340</v>
      </c>
      <c r="AF645" s="47" t="n">
        <f aca="false">IF(AE645&lt;=Y645,AA645,0)</f>
        <v>0</v>
      </c>
      <c r="AG645" s="46" t="n">
        <f aca="false">MIN(AC645,I645)</f>
        <v>192</v>
      </c>
      <c r="AH645" s="46" t="n">
        <f aca="false">I645-AG645</f>
        <v>0</v>
      </c>
      <c r="AI645" s="46" t="n">
        <f aca="false">AC645-AG645</f>
        <v>1148</v>
      </c>
      <c r="AJ645" s="46" t="n">
        <f aca="false">IF(AH645&gt;0,1,0)</f>
        <v>0</v>
      </c>
    </row>
    <row r="646" customFormat="false" ht="15" hidden="false" customHeight="false" outlineLevel="0" collapsed="false">
      <c r="A646" s="31" t="str">
        <f aca="false">Inputs!$B$77</f>
        <v>CLN-001</v>
      </c>
      <c r="B646" s="46" t="n">
        <f aca="false">B645+1</f>
        <v>90</v>
      </c>
      <c r="C646" s="46" t="n">
        <f aca="false">MATCH(A646,Inputs!$B$40:$B$87,0)</f>
        <v>38</v>
      </c>
      <c r="D646" s="32" t="n">
        <f aca="false">INDEX(Inputs!$F$40:$F$87,C646)</f>
        <v>1</v>
      </c>
      <c r="E646" s="78" t="n">
        <f aca="false">INDEX(Inputs!$H$40:$H$87,C646)</f>
        <v>7</v>
      </c>
      <c r="F646" s="78" t="n">
        <f aca="false">INDEX(Inputs!$G$40:$G$87,C646)</f>
        <v>35</v>
      </c>
      <c r="G646" s="32" t="n">
        <f aca="false">INDEX(Inputs!$I$40:$I$87,C646)</f>
        <v>12</v>
      </c>
      <c r="H646" s="46" t="n">
        <f aca="false">MATCH(A646,Demand_History!$C:$C,0)+B646-1</f>
        <v>3939</v>
      </c>
      <c r="I646" s="32" t="n">
        <f aca="false">INDEX(Forecast_Walkforward!$C:$C,H646)</f>
        <v>244</v>
      </c>
      <c r="J646" s="79" t="n">
        <f aca="false">INDEX(Forecast_Walkforward!$E:$E,H646)</f>
        <v>225.25</v>
      </c>
      <c r="K646" s="33" t="n">
        <f aca="false">Baseline_Weeks*J646</f>
        <v>901</v>
      </c>
      <c r="L646" s="46" t="n">
        <f aca="false">SUMIFS(P$645:P645,$B$645:$B645,$B646-$D646)</f>
        <v>0</v>
      </c>
      <c r="M646" s="46" t="n">
        <f aca="false">S645+L646</f>
        <v>1148</v>
      </c>
      <c r="N646" s="46" t="n">
        <f aca="false">SUMIFS(P$645:P645,$B$645:$B645,"&gt;"&amp;($B646-$D646))</f>
        <v>0</v>
      </c>
      <c r="O646" s="46" t="n">
        <f aca="false">M646+N646</f>
        <v>1148</v>
      </c>
      <c r="P646" s="47" t="n">
        <f aca="false">IF(O646&lt;K646,ROUNDUP((K646-O646)/G646,0)*G646,0)</f>
        <v>0</v>
      </c>
      <c r="Q646" s="46" t="n">
        <f aca="false">MIN(M646,I646)</f>
        <v>244</v>
      </c>
      <c r="R646" s="46" t="n">
        <f aca="false">I646-Q646</f>
        <v>0</v>
      </c>
      <c r="S646" s="46" t="n">
        <f aca="false">M646-Q646</f>
        <v>904</v>
      </c>
      <c r="T646" s="46" t="n">
        <f aca="false">IF(R646&gt;0,1,0)</f>
        <v>0</v>
      </c>
      <c r="U646" s="32" t="n">
        <f aca="false">INDEX(Forecast!$AY$7:$AY$54,C646)</f>
        <v>2</v>
      </c>
      <c r="V646" s="33" t="n">
        <f aca="false">CHOOSE(U646,INDEX(Forecast_Walkforward!$D:$D,H646),INDEX(Forecast_Walkforward!$E:$E,H646),INDEX(Forecast_Walkforward!$F:$F,H646),INDEX(Forecast_Walkforward!$G:$G,H646))</f>
        <v>225.25</v>
      </c>
      <c r="W646" s="79" t="n">
        <f aca="false">INDEX(Forecast!$BA$7:$BA$54,C646)</f>
        <v>22.4673992914191</v>
      </c>
      <c r="X646" s="33" t="n">
        <f aca="false">Z_Value*W646*SQRT(D646)</f>
        <v>36.9555832126577</v>
      </c>
      <c r="Y646" s="33" t="n">
        <f aca="false">V646*D646+X646</f>
        <v>262.205583212658</v>
      </c>
      <c r="Z646" s="33" t="n">
        <f aca="false">SQRT((2*V646*Weeks_Per_Year*F646)/(E646*Holding_Rate))</f>
        <v>765.277727364386</v>
      </c>
      <c r="AA646" s="46" t="n">
        <f aca="false">ROUNDUP(Z646/G646,0)*G646</f>
        <v>768</v>
      </c>
      <c r="AB646" s="46" t="n">
        <f aca="false">SUMIFS(AF$645:AF645,$B$645:$B645,$B646-$D646)</f>
        <v>0</v>
      </c>
      <c r="AC646" s="46" t="n">
        <f aca="false">AI645+AB646</f>
        <v>1148</v>
      </c>
      <c r="AD646" s="46" t="n">
        <f aca="false">SUMIFS(AF$645:AF645,$B$645:$B645,"&gt;"&amp;($B646-$D646))</f>
        <v>0</v>
      </c>
      <c r="AE646" s="46" t="n">
        <f aca="false">AC646+AD646</f>
        <v>1148</v>
      </c>
      <c r="AF646" s="47" t="n">
        <f aca="false">IF(AE646&lt;=Y646,AA646,0)</f>
        <v>0</v>
      </c>
      <c r="AG646" s="46" t="n">
        <f aca="false">MIN(AC646,I646)</f>
        <v>244</v>
      </c>
      <c r="AH646" s="46" t="n">
        <f aca="false">I646-AG646</f>
        <v>0</v>
      </c>
      <c r="AI646" s="46" t="n">
        <f aca="false">AC646-AG646</f>
        <v>904</v>
      </c>
      <c r="AJ646" s="46" t="n">
        <f aca="false">IF(AH646&gt;0,1,0)</f>
        <v>0</v>
      </c>
    </row>
    <row r="647" customFormat="false" ht="15" hidden="false" customHeight="false" outlineLevel="0" collapsed="false">
      <c r="A647" s="31" t="str">
        <f aca="false">Inputs!$B$77</f>
        <v>CLN-001</v>
      </c>
      <c r="B647" s="46" t="n">
        <f aca="false">B646+1</f>
        <v>91</v>
      </c>
      <c r="C647" s="46" t="n">
        <f aca="false">MATCH(A647,Inputs!$B$40:$B$87,0)</f>
        <v>38</v>
      </c>
      <c r="D647" s="32" t="n">
        <f aca="false">INDEX(Inputs!$F$40:$F$87,C647)</f>
        <v>1</v>
      </c>
      <c r="E647" s="78" t="n">
        <f aca="false">INDEX(Inputs!$H$40:$H$87,C647)</f>
        <v>7</v>
      </c>
      <c r="F647" s="78" t="n">
        <f aca="false">INDEX(Inputs!$G$40:$G$87,C647)</f>
        <v>35</v>
      </c>
      <c r="G647" s="32" t="n">
        <f aca="false">INDEX(Inputs!$I$40:$I$87,C647)</f>
        <v>12</v>
      </c>
      <c r="H647" s="46" t="n">
        <f aca="false">MATCH(A647,Demand_History!$C:$C,0)+B647-1</f>
        <v>3940</v>
      </c>
      <c r="I647" s="32" t="n">
        <f aca="false">INDEX(Forecast_Walkforward!$C:$C,H647)</f>
        <v>201</v>
      </c>
      <c r="J647" s="79" t="n">
        <f aca="false">INDEX(Forecast_Walkforward!$E:$E,H647)</f>
        <v>229</v>
      </c>
      <c r="K647" s="33" t="n">
        <f aca="false">Baseline_Weeks*J647</f>
        <v>916</v>
      </c>
      <c r="L647" s="46" t="n">
        <f aca="false">SUMIFS(P$645:P646,$B$645:$B646,$B647-$D647)</f>
        <v>0</v>
      </c>
      <c r="M647" s="46" t="n">
        <f aca="false">S646+L647</f>
        <v>904</v>
      </c>
      <c r="N647" s="46" t="n">
        <f aca="false">SUMIFS(P$645:P646,$B$645:$B646,"&gt;"&amp;($B647-$D647))</f>
        <v>0</v>
      </c>
      <c r="O647" s="46" t="n">
        <f aca="false">M647+N647</f>
        <v>904</v>
      </c>
      <c r="P647" s="47" t="n">
        <f aca="false">IF(O647&lt;K647,ROUNDUP((K647-O647)/G647,0)*G647,0)</f>
        <v>12</v>
      </c>
      <c r="Q647" s="46" t="n">
        <f aca="false">MIN(M647,I647)</f>
        <v>201</v>
      </c>
      <c r="R647" s="46" t="n">
        <f aca="false">I647-Q647</f>
        <v>0</v>
      </c>
      <c r="S647" s="46" t="n">
        <f aca="false">M647-Q647</f>
        <v>703</v>
      </c>
      <c r="T647" s="46" t="n">
        <f aca="false">IF(R647&gt;0,1,0)</f>
        <v>0</v>
      </c>
      <c r="U647" s="32" t="n">
        <f aca="false">INDEX(Forecast!$AY$7:$AY$54,C647)</f>
        <v>2</v>
      </c>
      <c r="V647" s="33" t="n">
        <f aca="false">CHOOSE(U647,INDEX(Forecast_Walkforward!$D:$D,H647),INDEX(Forecast_Walkforward!$E:$E,H647),INDEX(Forecast_Walkforward!$F:$F,H647),INDEX(Forecast_Walkforward!$G:$G,H647))</f>
        <v>229</v>
      </c>
      <c r="W647" s="79" t="n">
        <f aca="false">INDEX(Forecast!$BA$7:$BA$54,C647)</f>
        <v>22.4673992914191</v>
      </c>
      <c r="X647" s="33" t="n">
        <f aca="false">Z_Value*W647*SQRT(D647)</f>
        <v>36.9555832126577</v>
      </c>
      <c r="Y647" s="33" t="n">
        <f aca="false">V647*D647+X647</f>
        <v>265.955583212658</v>
      </c>
      <c r="Z647" s="33" t="n">
        <f aca="false">SQRT((2*V647*Weeks_Per_Year*F647)/(E647*Holding_Rate))</f>
        <v>771.621668954417</v>
      </c>
      <c r="AA647" s="46" t="n">
        <f aca="false">ROUNDUP(Z647/G647,0)*G647</f>
        <v>780</v>
      </c>
      <c r="AB647" s="46" t="n">
        <f aca="false">SUMIFS(AF$645:AF646,$B$645:$B646,$B647-$D647)</f>
        <v>0</v>
      </c>
      <c r="AC647" s="46" t="n">
        <f aca="false">AI646+AB647</f>
        <v>904</v>
      </c>
      <c r="AD647" s="46" t="n">
        <f aca="false">SUMIFS(AF$645:AF646,$B$645:$B646,"&gt;"&amp;($B647-$D647))</f>
        <v>0</v>
      </c>
      <c r="AE647" s="46" t="n">
        <f aca="false">AC647+AD647</f>
        <v>904</v>
      </c>
      <c r="AF647" s="47" t="n">
        <f aca="false">IF(AE647&lt;=Y647,AA647,0)</f>
        <v>0</v>
      </c>
      <c r="AG647" s="46" t="n">
        <f aca="false">MIN(AC647,I647)</f>
        <v>201</v>
      </c>
      <c r="AH647" s="46" t="n">
        <f aca="false">I647-AG647</f>
        <v>0</v>
      </c>
      <c r="AI647" s="46" t="n">
        <f aca="false">AC647-AG647</f>
        <v>703</v>
      </c>
      <c r="AJ647" s="46" t="n">
        <f aca="false">IF(AH647&gt;0,1,0)</f>
        <v>0</v>
      </c>
    </row>
    <row r="648" customFormat="false" ht="15" hidden="false" customHeight="false" outlineLevel="0" collapsed="false">
      <c r="A648" s="31" t="str">
        <f aca="false">Inputs!$B$77</f>
        <v>CLN-001</v>
      </c>
      <c r="B648" s="46" t="n">
        <f aca="false">B647+1</f>
        <v>92</v>
      </c>
      <c r="C648" s="46" t="n">
        <f aca="false">MATCH(A648,Inputs!$B$40:$B$87,0)</f>
        <v>38</v>
      </c>
      <c r="D648" s="32" t="n">
        <f aca="false">INDEX(Inputs!$F$40:$F$87,C648)</f>
        <v>1</v>
      </c>
      <c r="E648" s="78" t="n">
        <f aca="false">INDEX(Inputs!$H$40:$H$87,C648)</f>
        <v>7</v>
      </c>
      <c r="F648" s="78" t="n">
        <f aca="false">INDEX(Inputs!$G$40:$G$87,C648)</f>
        <v>35</v>
      </c>
      <c r="G648" s="32" t="n">
        <f aca="false">INDEX(Inputs!$I$40:$I$87,C648)</f>
        <v>12</v>
      </c>
      <c r="H648" s="46" t="n">
        <f aca="false">MATCH(A648,Demand_History!$C:$C,0)+B648-1</f>
        <v>3941</v>
      </c>
      <c r="I648" s="32" t="n">
        <f aca="false">INDEX(Forecast_Walkforward!$C:$C,H648)</f>
        <v>235</v>
      </c>
      <c r="J648" s="79" t="n">
        <f aca="false">INDEX(Forecast_Walkforward!$E:$E,H648)</f>
        <v>222.5</v>
      </c>
      <c r="K648" s="33" t="n">
        <f aca="false">Baseline_Weeks*J648</f>
        <v>890</v>
      </c>
      <c r="L648" s="46" t="n">
        <f aca="false">SUMIFS(P$645:P647,$B$645:$B647,$B648-$D648)</f>
        <v>12</v>
      </c>
      <c r="M648" s="46" t="n">
        <f aca="false">S647+L648</f>
        <v>715</v>
      </c>
      <c r="N648" s="46" t="n">
        <f aca="false">SUMIFS(P$645:P647,$B$645:$B647,"&gt;"&amp;($B648-$D648))</f>
        <v>0</v>
      </c>
      <c r="O648" s="46" t="n">
        <f aca="false">M648+N648</f>
        <v>715</v>
      </c>
      <c r="P648" s="47" t="n">
        <f aca="false">IF(O648&lt;K648,ROUNDUP((K648-O648)/G648,0)*G648,0)</f>
        <v>180</v>
      </c>
      <c r="Q648" s="46" t="n">
        <f aca="false">MIN(M648,I648)</f>
        <v>235</v>
      </c>
      <c r="R648" s="46" t="n">
        <f aca="false">I648-Q648</f>
        <v>0</v>
      </c>
      <c r="S648" s="46" t="n">
        <f aca="false">M648-Q648</f>
        <v>480</v>
      </c>
      <c r="T648" s="46" t="n">
        <f aca="false">IF(R648&gt;0,1,0)</f>
        <v>0</v>
      </c>
      <c r="U648" s="32" t="n">
        <f aca="false">INDEX(Forecast!$AY$7:$AY$54,C648)</f>
        <v>2</v>
      </c>
      <c r="V648" s="33" t="n">
        <f aca="false">CHOOSE(U648,INDEX(Forecast_Walkforward!$D:$D,H648),INDEX(Forecast_Walkforward!$E:$E,H648),INDEX(Forecast_Walkforward!$F:$F,H648),INDEX(Forecast_Walkforward!$G:$G,H648))</f>
        <v>222.5</v>
      </c>
      <c r="W648" s="79" t="n">
        <f aca="false">INDEX(Forecast!$BA$7:$BA$54,C648)</f>
        <v>22.4673992914191</v>
      </c>
      <c r="X648" s="33" t="n">
        <f aca="false">Z_Value*W648*SQRT(D648)</f>
        <v>36.9555832126577</v>
      </c>
      <c r="Y648" s="33" t="n">
        <f aca="false">V648*D648+X648</f>
        <v>259.455583212658</v>
      </c>
      <c r="Z648" s="33" t="n">
        <f aca="false">SQRT((2*V648*Weeks_Per_Year*F648)/(E648*Holding_Rate))</f>
        <v>760.591874792257</v>
      </c>
      <c r="AA648" s="46" t="n">
        <f aca="false">ROUNDUP(Z648/G648,0)*G648</f>
        <v>768</v>
      </c>
      <c r="AB648" s="46" t="n">
        <f aca="false">SUMIFS(AF$645:AF647,$B$645:$B647,$B648-$D648)</f>
        <v>0</v>
      </c>
      <c r="AC648" s="46" t="n">
        <f aca="false">AI647+AB648</f>
        <v>703</v>
      </c>
      <c r="AD648" s="46" t="n">
        <f aca="false">SUMIFS(AF$645:AF647,$B$645:$B647,"&gt;"&amp;($B648-$D648))</f>
        <v>0</v>
      </c>
      <c r="AE648" s="46" t="n">
        <f aca="false">AC648+AD648</f>
        <v>703</v>
      </c>
      <c r="AF648" s="47" t="n">
        <f aca="false">IF(AE648&lt;=Y648,AA648,0)</f>
        <v>0</v>
      </c>
      <c r="AG648" s="46" t="n">
        <f aca="false">MIN(AC648,I648)</f>
        <v>235</v>
      </c>
      <c r="AH648" s="46" t="n">
        <f aca="false">I648-AG648</f>
        <v>0</v>
      </c>
      <c r="AI648" s="46" t="n">
        <f aca="false">AC648-AG648</f>
        <v>468</v>
      </c>
      <c r="AJ648" s="46" t="n">
        <f aca="false">IF(AH648&gt;0,1,0)</f>
        <v>0</v>
      </c>
    </row>
    <row r="649" customFormat="false" ht="15" hidden="false" customHeight="false" outlineLevel="0" collapsed="false">
      <c r="A649" s="31" t="str">
        <f aca="false">Inputs!$B$77</f>
        <v>CLN-001</v>
      </c>
      <c r="B649" s="46" t="n">
        <f aca="false">B648+1</f>
        <v>93</v>
      </c>
      <c r="C649" s="46" t="n">
        <f aca="false">MATCH(A649,Inputs!$B$40:$B$87,0)</f>
        <v>38</v>
      </c>
      <c r="D649" s="32" t="n">
        <f aca="false">INDEX(Inputs!$F$40:$F$87,C649)</f>
        <v>1</v>
      </c>
      <c r="E649" s="78" t="n">
        <f aca="false">INDEX(Inputs!$H$40:$H$87,C649)</f>
        <v>7</v>
      </c>
      <c r="F649" s="78" t="n">
        <f aca="false">INDEX(Inputs!$G$40:$G$87,C649)</f>
        <v>35</v>
      </c>
      <c r="G649" s="32" t="n">
        <f aca="false">INDEX(Inputs!$I$40:$I$87,C649)</f>
        <v>12</v>
      </c>
      <c r="H649" s="46" t="n">
        <f aca="false">MATCH(A649,Demand_History!$C:$C,0)+B649-1</f>
        <v>3942</v>
      </c>
      <c r="I649" s="32" t="n">
        <f aca="false">INDEX(Forecast_Walkforward!$C:$C,H649)</f>
        <v>249</v>
      </c>
      <c r="J649" s="79" t="n">
        <f aca="false">INDEX(Forecast_Walkforward!$E:$E,H649)</f>
        <v>218</v>
      </c>
      <c r="K649" s="33" t="n">
        <f aca="false">Baseline_Weeks*J649</f>
        <v>872</v>
      </c>
      <c r="L649" s="46" t="n">
        <f aca="false">SUMIFS(P$645:P648,$B$645:$B648,$B649-$D649)</f>
        <v>180</v>
      </c>
      <c r="M649" s="46" t="n">
        <f aca="false">S648+L649</f>
        <v>660</v>
      </c>
      <c r="N649" s="46" t="n">
        <f aca="false">SUMIFS(P$645:P648,$B$645:$B648,"&gt;"&amp;($B649-$D649))</f>
        <v>0</v>
      </c>
      <c r="O649" s="46" t="n">
        <f aca="false">M649+N649</f>
        <v>660</v>
      </c>
      <c r="P649" s="47" t="n">
        <f aca="false">IF(O649&lt;K649,ROUNDUP((K649-O649)/G649,0)*G649,0)</f>
        <v>216</v>
      </c>
      <c r="Q649" s="46" t="n">
        <f aca="false">MIN(M649,I649)</f>
        <v>249</v>
      </c>
      <c r="R649" s="46" t="n">
        <f aca="false">I649-Q649</f>
        <v>0</v>
      </c>
      <c r="S649" s="46" t="n">
        <f aca="false">M649-Q649</f>
        <v>411</v>
      </c>
      <c r="T649" s="46" t="n">
        <f aca="false">IF(R649&gt;0,1,0)</f>
        <v>0</v>
      </c>
      <c r="U649" s="32" t="n">
        <f aca="false">INDEX(Forecast!$AY$7:$AY$54,C649)</f>
        <v>2</v>
      </c>
      <c r="V649" s="33" t="n">
        <f aca="false">CHOOSE(U649,INDEX(Forecast_Walkforward!$D:$D,H649),INDEX(Forecast_Walkforward!$E:$E,H649),INDEX(Forecast_Walkforward!$F:$F,H649),INDEX(Forecast_Walkforward!$G:$G,H649))</f>
        <v>218</v>
      </c>
      <c r="W649" s="79" t="n">
        <f aca="false">INDEX(Forecast!$BA$7:$BA$54,C649)</f>
        <v>22.4673992914191</v>
      </c>
      <c r="X649" s="33" t="n">
        <f aca="false">Z_Value*W649*SQRT(D649)</f>
        <v>36.9555832126577</v>
      </c>
      <c r="Y649" s="33" t="n">
        <f aca="false">V649*D649+X649</f>
        <v>254.955583212658</v>
      </c>
      <c r="Z649" s="33" t="n">
        <f aca="false">SQRT((2*V649*Weeks_Per_Year*F649)/(E649*Holding_Rate))</f>
        <v>752.861208988748</v>
      </c>
      <c r="AA649" s="46" t="n">
        <f aca="false">ROUNDUP(Z649/G649,0)*G649</f>
        <v>756</v>
      </c>
      <c r="AB649" s="46" t="n">
        <f aca="false">SUMIFS(AF$645:AF648,$B$645:$B648,$B649-$D649)</f>
        <v>0</v>
      </c>
      <c r="AC649" s="46" t="n">
        <f aca="false">AI648+AB649</f>
        <v>468</v>
      </c>
      <c r="AD649" s="46" t="n">
        <f aca="false">SUMIFS(AF$645:AF648,$B$645:$B648,"&gt;"&amp;($B649-$D649))</f>
        <v>0</v>
      </c>
      <c r="AE649" s="46" t="n">
        <f aca="false">AC649+AD649</f>
        <v>468</v>
      </c>
      <c r="AF649" s="47" t="n">
        <f aca="false">IF(AE649&lt;=Y649,AA649,0)</f>
        <v>0</v>
      </c>
      <c r="AG649" s="46" t="n">
        <f aca="false">MIN(AC649,I649)</f>
        <v>249</v>
      </c>
      <c r="AH649" s="46" t="n">
        <f aca="false">I649-AG649</f>
        <v>0</v>
      </c>
      <c r="AI649" s="46" t="n">
        <f aca="false">AC649-AG649</f>
        <v>219</v>
      </c>
      <c r="AJ649" s="46" t="n">
        <f aca="false">IF(AH649&gt;0,1,0)</f>
        <v>0</v>
      </c>
    </row>
    <row r="650" customFormat="false" ht="15" hidden="false" customHeight="false" outlineLevel="0" collapsed="false">
      <c r="A650" s="31" t="str">
        <f aca="false">Inputs!$B$77</f>
        <v>CLN-001</v>
      </c>
      <c r="B650" s="46" t="n">
        <f aca="false">B649+1</f>
        <v>94</v>
      </c>
      <c r="C650" s="46" t="n">
        <f aca="false">MATCH(A650,Inputs!$B$40:$B$87,0)</f>
        <v>38</v>
      </c>
      <c r="D650" s="32" t="n">
        <f aca="false">INDEX(Inputs!$F$40:$F$87,C650)</f>
        <v>1</v>
      </c>
      <c r="E650" s="78" t="n">
        <f aca="false">INDEX(Inputs!$H$40:$H$87,C650)</f>
        <v>7</v>
      </c>
      <c r="F650" s="78" t="n">
        <f aca="false">INDEX(Inputs!$G$40:$G$87,C650)</f>
        <v>35</v>
      </c>
      <c r="G650" s="32" t="n">
        <f aca="false">INDEX(Inputs!$I$40:$I$87,C650)</f>
        <v>12</v>
      </c>
      <c r="H650" s="46" t="n">
        <f aca="false">MATCH(A650,Demand_History!$C:$C,0)+B650-1</f>
        <v>3943</v>
      </c>
      <c r="I650" s="32" t="n">
        <f aca="false">INDEX(Forecast_Walkforward!$C:$C,H650)</f>
        <v>188</v>
      </c>
      <c r="J650" s="79" t="n">
        <f aca="false">INDEX(Forecast_Walkforward!$E:$E,H650)</f>
        <v>232.25</v>
      </c>
      <c r="K650" s="33" t="n">
        <f aca="false">Baseline_Weeks*J650</f>
        <v>929</v>
      </c>
      <c r="L650" s="46" t="n">
        <f aca="false">SUMIFS(P$645:P649,$B$645:$B649,$B650-$D650)</f>
        <v>216</v>
      </c>
      <c r="M650" s="46" t="n">
        <f aca="false">S649+L650</f>
        <v>627</v>
      </c>
      <c r="N650" s="46" t="n">
        <f aca="false">SUMIFS(P$645:P649,$B$645:$B649,"&gt;"&amp;($B650-$D650))</f>
        <v>0</v>
      </c>
      <c r="O650" s="46" t="n">
        <f aca="false">M650+N650</f>
        <v>627</v>
      </c>
      <c r="P650" s="47" t="n">
        <f aca="false">IF(O650&lt;K650,ROUNDUP((K650-O650)/G650,0)*G650,0)</f>
        <v>312</v>
      </c>
      <c r="Q650" s="46" t="n">
        <f aca="false">MIN(M650,I650)</f>
        <v>188</v>
      </c>
      <c r="R650" s="46" t="n">
        <f aca="false">I650-Q650</f>
        <v>0</v>
      </c>
      <c r="S650" s="46" t="n">
        <f aca="false">M650-Q650</f>
        <v>439</v>
      </c>
      <c r="T650" s="46" t="n">
        <f aca="false">IF(R650&gt;0,1,0)</f>
        <v>0</v>
      </c>
      <c r="U650" s="32" t="n">
        <f aca="false">INDEX(Forecast!$AY$7:$AY$54,C650)</f>
        <v>2</v>
      </c>
      <c r="V650" s="33" t="n">
        <f aca="false">CHOOSE(U650,INDEX(Forecast_Walkforward!$D:$D,H650),INDEX(Forecast_Walkforward!$E:$E,H650),INDEX(Forecast_Walkforward!$F:$F,H650),INDEX(Forecast_Walkforward!$G:$G,H650))</f>
        <v>232.25</v>
      </c>
      <c r="W650" s="79" t="n">
        <f aca="false">INDEX(Forecast!$BA$7:$BA$54,C650)</f>
        <v>22.4673992914191</v>
      </c>
      <c r="X650" s="33" t="n">
        <f aca="false">Z_Value*W650*SQRT(D650)</f>
        <v>36.9555832126577</v>
      </c>
      <c r="Y650" s="33" t="n">
        <f aca="false">V650*D650+X650</f>
        <v>269.205583212658</v>
      </c>
      <c r="Z650" s="33" t="n">
        <f aca="false">SQRT((2*V650*Weeks_Per_Year*F650)/(E650*Holding_Rate))</f>
        <v>777.07785967688</v>
      </c>
      <c r="AA650" s="46" t="n">
        <f aca="false">ROUNDUP(Z650/G650,0)*G650</f>
        <v>780</v>
      </c>
      <c r="AB650" s="46" t="n">
        <f aca="false">SUMIFS(AF$645:AF649,$B$645:$B649,$B650-$D650)</f>
        <v>0</v>
      </c>
      <c r="AC650" s="46" t="n">
        <f aca="false">AI649+AB650</f>
        <v>219</v>
      </c>
      <c r="AD650" s="46" t="n">
        <f aca="false">SUMIFS(AF$645:AF649,$B$645:$B649,"&gt;"&amp;($B650-$D650))</f>
        <v>0</v>
      </c>
      <c r="AE650" s="46" t="n">
        <f aca="false">AC650+AD650</f>
        <v>219</v>
      </c>
      <c r="AF650" s="47" t="n">
        <f aca="false">IF(AE650&lt;=Y650,AA650,0)</f>
        <v>780</v>
      </c>
      <c r="AG650" s="46" t="n">
        <f aca="false">MIN(AC650,I650)</f>
        <v>188</v>
      </c>
      <c r="AH650" s="46" t="n">
        <f aca="false">I650-AG650</f>
        <v>0</v>
      </c>
      <c r="AI650" s="46" t="n">
        <f aca="false">AC650-AG650</f>
        <v>31</v>
      </c>
      <c r="AJ650" s="46" t="n">
        <f aca="false">IF(AH650&gt;0,1,0)</f>
        <v>0</v>
      </c>
    </row>
    <row r="651" customFormat="false" ht="15" hidden="false" customHeight="false" outlineLevel="0" collapsed="false">
      <c r="A651" s="31" t="str">
        <f aca="false">Inputs!$B$77</f>
        <v>CLN-001</v>
      </c>
      <c r="B651" s="46" t="n">
        <f aca="false">B650+1</f>
        <v>95</v>
      </c>
      <c r="C651" s="46" t="n">
        <f aca="false">MATCH(A651,Inputs!$B$40:$B$87,0)</f>
        <v>38</v>
      </c>
      <c r="D651" s="32" t="n">
        <f aca="false">INDEX(Inputs!$F$40:$F$87,C651)</f>
        <v>1</v>
      </c>
      <c r="E651" s="78" t="n">
        <f aca="false">INDEX(Inputs!$H$40:$H$87,C651)</f>
        <v>7</v>
      </c>
      <c r="F651" s="78" t="n">
        <f aca="false">INDEX(Inputs!$G$40:$G$87,C651)</f>
        <v>35</v>
      </c>
      <c r="G651" s="32" t="n">
        <f aca="false">INDEX(Inputs!$I$40:$I$87,C651)</f>
        <v>12</v>
      </c>
      <c r="H651" s="46" t="n">
        <f aca="false">MATCH(A651,Demand_History!$C:$C,0)+B651-1</f>
        <v>3944</v>
      </c>
      <c r="I651" s="32" t="n">
        <f aca="false">INDEX(Forecast_Walkforward!$C:$C,H651)</f>
        <v>228</v>
      </c>
      <c r="J651" s="79" t="n">
        <f aca="false">INDEX(Forecast_Walkforward!$E:$E,H651)</f>
        <v>218.25</v>
      </c>
      <c r="K651" s="33" t="n">
        <f aca="false">Baseline_Weeks*J651</f>
        <v>873</v>
      </c>
      <c r="L651" s="46" t="n">
        <f aca="false">SUMIFS(P$645:P650,$B$645:$B650,$B651-$D651)</f>
        <v>312</v>
      </c>
      <c r="M651" s="46" t="n">
        <f aca="false">S650+L651</f>
        <v>751</v>
      </c>
      <c r="N651" s="46" t="n">
        <f aca="false">SUMIFS(P$645:P650,$B$645:$B650,"&gt;"&amp;($B651-$D651))</f>
        <v>0</v>
      </c>
      <c r="O651" s="46" t="n">
        <f aca="false">M651+N651</f>
        <v>751</v>
      </c>
      <c r="P651" s="47" t="n">
        <f aca="false">IF(O651&lt;K651,ROUNDUP((K651-O651)/G651,0)*G651,0)</f>
        <v>132</v>
      </c>
      <c r="Q651" s="46" t="n">
        <f aca="false">MIN(M651,I651)</f>
        <v>228</v>
      </c>
      <c r="R651" s="46" t="n">
        <f aca="false">I651-Q651</f>
        <v>0</v>
      </c>
      <c r="S651" s="46" t="n">
        <f aca="false">M651-Q651</f>
        <v>523</v>
      </c>
      <c r="T651" s="46" t="n">
        <f aca="false">IF(R651&gt;0,1,0)</f>
        <v>0</v>
      </c>
      <c r="U651" s="32" t="n">
        <f aca="false">INDEX(Forecast!$AY$7:$AY$54,C651)</f>
        <v>2</v>
      </c>
      <c r="V651" s="33" t="n">
        <f aca="false">CHOOSE(U651,INDEX(Forecast_Walkforward!$D:$D,H651),INDEX(Forecast_Walkforward!$E:$E,H651),INDEX(Forecast_Walkforward!$F:$F,H651),INDEX(Forecast_Walkforward!$G:$G,H651))</f>
        <v>218.25</v>
      </c>
      <c r="W651" s="79" t="n">
        <f aca="false">INDEX(Forecast!$BA$7:$BA$54,C651)</f>
        <v>22.4673992914191</v>
      </c>
      <c r="X651" s="33" t="n">
        <f aca="false">Z_Value*W651*SQRT(D651)</f>
        <v>36.9555832126577</v>
      </c>
      <c r="Y651" s="33" t="n">
        <f aca="false">V651*D651+X651</f>
        <v>255.205583212658</v>
      </c>
      <c r="Z651" s="33" t="n">
        <f aca="false">SQRT((2*V651*Weeks_Per_Year*F651)/(E651*Holding_Rate))</f>
        <v>753.292771769383</v>
      </c>
      <c r="AA651" s="46" t="n">
        <f aca="false">ROUNDUP(Z651/G651,0)*G651</f>
        <v>756</v>
      </c>
      <c r="AB651" s="46" t="n">
        <f aca="false">SUMIFS(AF$645:AF650,$B$645:$B650,$B651-$D651)</f>
        <v>780</v>
      </c>
      <c r="AC651" s="46" t="n">
        <f aca="false">AI650+AB651</f>
        <v>811</v>
      </c>
      <c r="AD651" s="46" t="n">
        <f aca="false">SUMIFS(AF$645:AF650,$B$645:$B650,"&gt;"&amp;($B651-$D651))</f>
        <v>0</v>
      </c>
      <c r="AE651" s="46" t="n">
        <f aca="false">AC651+AD651</f>
        <v>811</v>
      </c>
      <c r="AF651" s="47" t="n">
        <f aca="false">IF(AE651&lt;=Y651,AA651,0)</f>
        <v>0</v>
      </c>
      <c r="AG651" s="46" t="n">
        <f aca="false">MIN(AC651,I651)</f>
        <v>228</v>
      </c>
      <c r="AH651" s="46" t="n">
        <f aca="false">I651-AG651</f>
        <v>0</v>
      </c>
      <c r="AI651" s="46" t="n">
        <f aca="false">AC651-AG651</f>
        <v>583</v>
      </c>
      <c r="AJ651" s="46" t="n">
        <f aca="false">IF(AH651&gt;0,1,0)</f>
        <v>0</v>
      </c>
    </row>
    <row r="652" customFormat="false" ht="15" hidden="false" customHeight="false" outlineLevel="0" collapsed="false">
      <c r="A652" s="31" t="str">
        <f aca="false">Inputs!$B$77</f>
        <v>CLN-001</v>
      </c>
      <c r="B652" s="46" t="n">
        <f aca="false">B651+1</f>
        <v>96</v>
      </c>
      <c r="C652" s="46" t="n">
        <f aca="false">MATCH(A652,Inputs!$B$40:$B$87,0)</f>
        <v>38</v>
      </c>
      <c r="D652" s="32" t="n">
        <f aca="false">INDEX(Inputs!$F$40:$F$87,C652)</f>
        <v>1</v>
      </c>
      <c r="E652" s="78" t="n">
        <f aca="false">INDEX(Inputs!$H$40:$H$87,C652)</f>
        <v>7</v>
      </c>
      <c r="F652" s="78" t="n">
        <f aca="false">INDEX(Inputs!$G$40:$G$87,C652)</f>
        <v>35</v>
      </c>
      <c r="G652" s="32" t="n">
        <f aca="false">INDEX(Inputs!$I$40:$I$87,C652)</f>
        <v>12</v>
      </c>
      <c r="H652" s="46" t="n">
        <f aca="false">MATCH(A652,Demand_History!$C:$C,0)+B652-1</f>
        <v>3945</v>
      </c>
      <c r="I652" s="32" t="n">
        <f aca="false">INDEX(Forecast_Walkforward!$C:$C,H652)</f>
        <v>213</v>
      </c>
      <c r="J652" s="79" t="n">
        <f aca="false">INDEX(Forecast_Walkforward!$E:$E,H652)</f>
        <v>225</v>
      </c>
      <c r="K652" s="33" t="n">
        <f aca="false">Baseline_Weeks*J652</f>
        <v>900</v>
      </c>
      <c r="L652" s="46" t="n">
        <f aca="false">SUMIFS(P$645:P651,$B$645:$B651,$B652-$D652)</f>
        <v>132</v>
      </c>
      <c r="M652" s="46" t="n">
        <f aca="false">S651+L652</f>
        <v>655</v>
      </c>
      <c r="N652" s="46" t="n">
        <f aca="false">SUMIFS(P$645:P651,$B$645:$B651,"&gt;"&amp;($B652-$D652))</f>
        <v>0</v>
      </c>
      <c r="O652" s="46" t="n">
        <f aca="false">M652+N652</f>
        <v>655</v>
      </c>
      <c r="P652" s="47" t="n">
        <f aca="false">IF(O652&lt;K652,ROUNDUP((K652-O652)/G652,0)*G652,0)</f>
        <v>252</v>
      </c>
      <c r="Q652" s="46" t="n">
        <f aca="false">MIN(M652,I652)</f>
        <v>213</v>
      </c>
      <c r="R652" s="46" t="n">
        <f aca="false">I652-Q652</f>
        <v>0</v>
      </c>
      <c r="S652" s="46" t="n">
        <f aca="false">M652-Q652</f>
        <v>442</v>
      </c>
      <c r="T652" s="46" t="n">
        <f aca="false">IF(R652&gt;0,1,0)</f>
        <v>0</v>
      </c>
      <c r="U652" s="32" t="n">
        <f aca="false">INDEX(Forecast!$AY$7:$AY$54,C652)</f>
        <v>2</v>
      </c>
      <c r="V652" s="33" t="n">
        <f aca="false">CHOOSE(U652,INDEX(Forecast_Walkforward!$D:$D,H652),INDEX(Forecast_Walkforward!$E:$E,H652),INDEX(Forecast_Walkforward!$F:$F,H652),INDEX(Forecast_Walkforward!$G:$G,H652))</f>
        <v>225</v>
      </c>
      <c r="W652" s="79" t="n">
        <f aca="false">INDEX(Forecast!$BA$7:$BA$54,C652)</f>
        <v>22.4673992914191</v>
      </c>
      <c r="X652" s="33" t="n">
        <f aca="false">Z_Value*W652*SQRT(D652)</f>
        <v>36.9555832126577</v>
      </c>
      <c r="Y652" s="33" t="n">
        <f aca="false">V652*D652+X652</f>
        <v>261.955583212658</v>
      </c>
      <c r="Z652" s="33" t="n">
        <f aca="false">SQRT((2*V652*Weeks_Per_Year*F652)/(E652*Holding_Rate))</f>
        <v>764.852927038918</v>
      </c>
      <c r="AA652" s="46" t="n">
        <f aca="false">ROUNDUP(Z652/G652,0)*G652</f>
        <v>768</v>
      </c>
      <c r="AB652" s="46" t="n">
        <f aca="false">SUMIFS(AF$645:AF651,$B$645:$B651,$B652-$D652)</f>
        <v>0</v>
      </c>
      <c r="AC652" s="46" t="n">
        <f aca="false">AI651+AB652</f>
        <v>583</v>
      </c>
      <c r="AD652" s="46" t="n">
        <f aca="false">SUMIFS(AF$645:AF651,$B$645:$B651,"&gt;"&amp;($B652-$D652))</f>
        <v>0</v>
      </c>
      <c r="AE652" s="46" t="n">
        <f aca="false">AC652+AD652</f>
        <v>583</v>
      </c>
      <c r="AF652" s="47" t="n">
        <f aca="false">IF(AE652&lt;=Y652,AA652,0)</f>
        <v>0</v>
      </c>
      <c r="AG652" s="46" t="n">
        <f aca="false">MIN(AC652,I652)</f>
        <v>213</v>
      </c>
      <c r="AH652" s="46" t="n">
        <f aca="false">I652-AG652</f>
        <v>0</v>
      </c>
      <c r="AI652" s="46" t="n">
        <f aca="false">AC652-AG652</f>
        <v>370</v>
      </c>
      <c r="AJ652" s="46" t="n">
        <f aca="false">IF(AH652&gt;0,1,0)</f>
        <v>0</v>
      </c>
    </row>
    <row r="653" customFormat="false" ht="15" hidden="false" customHeight="false" outlineLevel="0" collapsed="false">
      <c r="A653" s="31" t="str">
        <f aca="false">Inputs!$B$77</f>
        <v>CLN-001</v>
      </c>
      <c r="B653" s="46" t="n">
        <f aca="false">B652+1</f>
        <v>97</v>
      </c>
      <c r="C653" s="46" t="n">
        <f aca="false">MATCH(A653,Inputs!$B$40:$B$87,0)</f>
        <v>38</v>
      </c>
      <c r="D653" s="32" t="n">
        <f aca="false">INDEX(Inputs!$F$40:$F$87,C653)</f>
        <v>1</v>
      </c>
      <c r="E653" s="78" t="n">
        <f aca="false">INDEX(Inputs!$H$40:$H$87,C653)</f>
        <v>7</v>
      </c>
      <c r="F653" s="78" t="n">
        <f aca="false">INDEX(Inputs!$G$40:$G$87,C653)</f>
        <v>35</v>
      </c>
      <c r="G653" s="32" t="n">
        <f aca="false">INDEX(Inputs!$I$40:$I$87,C653)</f>
        <v>12</v>
      </c>
      <c r="H653" s="46" t="n">
        <f aca="false">MATCH(A653,Demand_History!$C:$C,0)+B653-1</f>
        <v>3946</v>
      </c>
      <c r="I653" s="32" t="n">
        <f aca="false">INDEX(Forecast_Walkforward!$C:$C,H653)</f>
        <v>213</v>
      </c>
      <c r="J653" s="79" t="n">
        <f aca="false">INDEX(Forecast_Walkforward!$E:$E,H653)</f>
        <v>219.5</v>
      </c>
      <c r="K653" s="33" t="n">
        <f aca="false">Baseline_Weeks*J653</f>
        <v>878</v>
      </c>
      <c r="L653" s="46" t="n">
        <f aca="false">SUMIFS(P$645:P652,$B$645:$B652,$B653-$D653)</f>
        <v>252</v>
      </c>
      <c r="M653" s="46" t="n">
        <f aca="false">S652+L653</f>
        <v>694</v>
      </c>
      <c r="N653" s="46" t="n">
        <f aca="false">SUMIFS(P$645:P652,$B$645:$B652,"&gt;"&amp;($B653-$D653))</f>
        <v>0</v>
      </c>
      <c r="O653" s="46" t="n">
        <f aca="false">M653+N653</f>
        <v>694</v>
      </c>
      <c r="P653" s="47" t="n">
        <f aca="false">IF(O653&lt;K653,ROUNDUP((K653-O653)/G653,0)*G653,0)</f>
        <v>192</v>
      </c>
      <c r="Q653" s="46" t="n">
        <f aca="false">MIN(M653,I653)</f>
        <v>213</v>
      </c>
      <c r="R653" s="46" t="n">
        <f aca="false">I653-Q653</f>
        <v>0</v>
      </c>
      <c r="S653" s="46" t="n">
        <f aca="false">M653-Q653</f>
        <v>481</v>
      </c>
      <c r="T653" s="46" t="n">
        <f aca="false">IF(R653&gt;0,1,0)</f>
        <v>0</v>
      </c>
      <c r="U653" s="32" t="n">
        <f aca="false">INDEX(Forecast!$AY$7:$AY$54,C653)</f>
        <v>2</v>
      </c>
      <c r="V653" s="33" t="n">
        <f aca="false">CHOOSE(U653,INDEX(Forecast_Walkforward!$D:$D,H653),INDEX(Forecast_Walkforward!$E:$E,H653),INDEX(Forecast_Walkforward!$F:$F,H653),INDEX(Forecast_Walkforward!$G:$G,H653))</f>
        <v>219.5</v>
      </c>
      <c r="W653" s="79" t="n">
        <f aca="false">INDEX(Forecast!$BA$7:$BA$54,C653)</f>
        <v>22.4673992914191</v>
      </c>
      <c r="X653" s="33" t="n">
        <f aca="false">Z_Value*W653*SQRT(D653)</f>
        <v>36.9555832126577</v>
      </c>
      <c r="Y653" s="33" t="n">
        <f aca="false">V653*D653+X653</f>
        <v>256.455583212658</v>
      </c>
      <c r="Z653" s="33" t="n">
        <f aca="false">SQRT((2*V653*Weeks_Per_Year*F653)/(E653*Holding_Rate))</f>
        <v>755.446887610241</v>
      </c>
      <c r="AA653" s="46" t="n">
        <f aca="false">ROUNDUP(Z653/G653,0)*G653</f>
        <v>756</v>
      </c>
      <c r="AB653" s="46" t="n">
        <f aca="false">SUMIFS(AF$645:AF652,$B$645:$B652,$B653-$D653)</f>
        <v>0</v>
      </c>
      <c r="AC653" s="46" t="n">
        <f aca="false">AI652+AB653</f>
        <v>370</v>
      </c>
      <c r="AD653" s="46" t="n">
        <f aca="false">SUMIFS(AF$645:AF652,$B$645:$B652,"&gt;"&amp;($B653-$D653))</f>
        <v>0</v>
      </c>
      <c r="AE653" s="46" t="n">
        <f aca="false">AC653+AD653</f>
        <v>370</v>
      </c>
      <c r="AF653" s="47" t="n">
        <f aca="false">IF(AE653&lt;=Y653,AA653,0)</f>
        <v>0</v>
      </c>
      <c r="AG653" s="46" t="n">
        <f aca="false">MIN(AC653,I653)</f>
        <v>213</v>
      </c>
      <c r="AH653" s="46" t="n">
        <f aca="false">I653-AG653</f>
        <v>0</v>
      </c>
      <c r="AI653" s="46" t="n">
        <f aca="false">AC653-AG653</f>
        <v>157</v>
      </c>
      <c r="AJ653" s="46" t="n">
        <f aca="false">IF(AH653&gt;0,1,0)</f>
        <v>0</v>
      </c>
    </row>
    <row r="654" customFormat="false" ht="15" hidden="false" customHeight="false" outlineLevel="0" collapsed="false">
      <c r="A654" s="31" t="str">
        <f aca="false">Inputs!$B$77</f>
        <v>CLN-001</v>
      </c>
      <c r="B654" s="46" t="n">
        <f aca="false">B653+1</f>
        <v>98</v>
      </c>
      <c r="C654" s="46" t="n">
        <f aca="false">MATCH(A654,Inputs!$B$40:$B$87,0)</f>
        <v>38</v>
      </c>
      <c r="D654" s="32" t="n">
        <f aca="false">INDEX(Inputs!$F$40:$F$87,C654)</f>
        <v>1</v>
      </c>
      <c r="E654" s="78" t="n">
        <f aca="false">INDEX(Inputs!$H$40:$H$87,C654)</f>
        <v>7</v>
      </c>
      <c r="F654" s="78" t="n">
        <f aca="false">INDEX(Inputs!$G$40:$G$87,C654)</f>
        <v>35</v>
      </c>
      <c r="G654" s="32" t="n">
        <f aca="false">INDEX(Inputs!$I$40:$I$87,C654)</f>
        <v>12</v>
      </c>
      <c r="H654" s="46" t="n">
        <f aca="false">MATCH(A654,Demand_History!$C:$C,0)+B654-1</f>
        <v>3947</v>
      </c>
      <c r="I654" s="32" t="n">
        <f aca="false">INDEX(Forecast_Walkforward!$C:$C,H654)</f>
        <v>220</v>
      </c>
      <c r="J654" s="79" t="n">
        <f aca="false">INDEX(Forecast_Walkforward!$E:$E,H654)</f>
        <v>210.5</v>
      </c>
      <c r="K654" s="33" t="n">
        <f aca="false">Baseline_Weeks*J654</f>
        <v>842</v>
      </c>
      <c r="L654" s="46" t="n">
        <f aca="false">SUMIFS(P$645:P653,$B$645:$B653,$B654-$D654)</f>
        <v>192</v>
      </c>
      <c r="M654" s="46" t="n">
        <f aca="false">S653+L654</f>
        <v>673</v>
      </c>
      <c r="N654" s="46" t="n">
        <f aca="false">SUMIFS(P$645:P653,$B$645:$B653,"&gt;"&amp;($B654-$D654))</f>
        <v>0</v>
      </c>
      <c r="O654" s="46" t="n">
        <f aca="false">M654+N654</f>
        <v>673</v>
      </c>
      <c r="P654" s="47" t="n">
        <f aca="false">IF(O654&lt;K654,ROUNDUP((K654-O654)/G654,0)*G654,0)</f>
        <v>180</v>
      </c>
      <c r="Q654" s="46" t="n">
        <f aca="false">MIN(M654,I654)</f>
        <v>220</v>
      </c>
      <c r="R654" s="46" t="n">
        <f aca="false">I654-Q654</f>
        <v>0</v>
      </c>
      <c r="S654" s="46" t="n">
        <f aca="false">M654-Q654</f>
        <v>453</v>
      </c>
      <c r="T654" s="46" t="n">
        <f aca="false">IF(R654&gt;0,1,0)</f>
        <v>0</v>
      </c>
      <c r="U654" s="32" t="n">
        <f aca="false">INDEX(Forecast!$AY$7:$AY$54,C654)</f>
        <v>2</v>
      </c>
      <c r="V654" s="33" t="n">
        <f aca="false">CHOOSE(U654,INDEX(Forecast_Walkforward!$D:$D,H654),INDEX(Forecast_Walkforward!$E:$E,H654),INDEX(Forecast_Walkforward!$F:$F,H654),INDEX(Forecast_Walkforward!$G:$G,H654))</f>
        <v>210.5</v>
      </c>
      <c r="W654" s="79" t="n">
        <f aca="false">INDEX(Forecast!$BA$7:$BA$54,C654)</f>
        <v>22.4673992914191</v>
      </c>
      <c r="X654" s="33" t="n">
        <f aca="false">Z_Value*W654*SQRT(D654)</f>
        <v>36.9555832126577</v>
      </c>
      <c r="Y654" s="33" t="n">
        <f aca="false">V654*D654+X654</f>
        <v>247.455583212658</v>
      </c>
      <c r="Z654" s="33" t="n">
        <f aca="false">SQRT((2*V654*Weeks_Per_Year*F654)/(E654*Holding_Rate))</f>
        <v>739.797269527267</v>
      </c>
      <c r="AA654" s="46" t="n">
        <f aca="false">ROUNDUP(Z654/G654,0)*G654</f>
        <v>744</v>
      </c>
      <c r="AB654" s="46" t="n">
        <f aca="false">SUMIFS(AF$645:AF653,$B$645:$B653,$B654-$D654)</f>
        <v>0</v>
      </c>
      <c r="AC654" s="46" t="n">
        <f aca="false">AI653+AB654</f>
        <v>157</v>
      </c>
      <c r="AD654" s="46" t="n">
        <f aca="false">SUMIFS(AF$645:AF653,$B$645:$B653,"&gt;"&amp;($B654-$D654))</f>
        <v>0</v>
      </c>
      <c r="AE654" s="46" t="n">
        <f aca="false">AC654+AD654</f>
        <v>157</v>
      </c>
      <c r="AF654" s="47" t="n">
        <f aca="false">IF(AE654&lt;=Y654,AA654,0)</f>
        <v>744</v>
      </c>
      <c r="AG654" s="46" t="n">
        <f aca="false">MIN(AC654,I654)</f>
        <v>157</v>
      </c>
      <c r="AH654" s="46" t="n">
        <f aca="false">I654-AG654</f>
        <v>63</v>
      </c>
      <c r="AI654" s="46" t="n">
        <f aca="false">AC654-AG654</f>
        <v>0</v>
      </c>
      <c r="AJ654" s="46" t="n">
        <f aca="false">IF(AH654&gt;0,1,0)</f>
        <v>1</v>
      </c>
    </row>
    <row r="655" customFormat="false" ht="15" hidden="false" customHeight="false" outlineLevel="0" collapsed="false">
      <c r="A655" s="31" t="str">
        <f aca="false">Inputs!$B$77</f>
        <v>CLN-001</v>
      </c>
      <c r="B655" s="46" t="n">
        <f aca="false">B654+1</f>
        <v>99</v>
      </c>
      <c r="C655" s="46" t="n">
        <f aca="false">MATCH(A655,Inputs!$B$40:$B$87,0)</f>
        <v>38</v>
      </c>
      <c r="D655" s="32" t="n">
        <f aca="false">INDEX(Inputs!$F$40:$F$87,C655)</f>
        <v>1</v>
      </c>
      <c r="E655" s="78" t="n">
        <f aca="false">INDEX(Inputs!$H$40:$H$87,C655)</f>
        <v>7</v>
      </c>
      <c r="F655" s="78" t="n">
        <f aca="false">INDEX(Inputs!$G$40:$G$87,C655)</f>
        <v>35</v>
      </c>
      <c r="G655" s="32" t="n">
        <f aca="false">INDEX(Inputs!$I$40:$I$87,C655)</f>
        <v>12</v>
      </c>
      <c r="H655" s="46" t="n">
        <f aca="false">MATCH(A655,Demand_History!$C:$C,0)+B655-1</f>
        <v>3948</v>
      </c>
      <c r="I655" s="32" t="n">
        <f aca="false">INDEX(Forecast_Walkforward!$C:$C,H655)</f>
        <v>196</v>
      </c>
      <c r="J655" s="79" t="n">
        <f aca="false">INDEX(Forecast_Walkforward!$E:$E,H655)</f>
        <v>218.5</v>
      </c>
      <c r="K655" s="33" t="n">
        <f aca="false">Baseline_Weeks*J655</f>
        <v>874</v>
      </c>
      <c r="L655" s="46" t="n">
        <f aca="false">SUMIFS(P$645:P654,$B$645:$B654,$B655-$D655)</f>
        <v>180</v>
      </c>
      <c r="M655" s="46" t="n">
        <f aca="false">S654+L655</f>
        <v>633</v>
      </c>
      <c r="N655" s="46" t="n">
        <f aca="false">SUMIFS(P$645:P654,$B$645:$B654,"&gt;"&amp;($B655-$D655))</f>
        <v>0</v>
      </c>
      <c r="O655" s="46" t="n">
        <f aca="false">M655+N655</f>
        <v>633</v>
      </c>
      <c r="P655" s="47" t="n">
        <f aca="false">IF(O655&lt;K655,ROUNDUP((K655-O655)/G655,0)*G655,0)</f>
        <v>252</v>
      </c>
      <c r="Q655" s="46" t="n">
        <f aca="false">MIN(M655,I655)</f>
        <v>196</v>
      </c>
      <c r="R655" s="46" t="n">
        <f aca="false">I655-Q655</f>
        <v>0</v>
      </c>
      <c r="S655" s="46" t="n">
        <f aca="false">M655-Q655</f>
        <v>437</v>
      </c>
      <c r="T655" s="46" t="n">
        <f aca="false">IF(R655&gt;0,1,0)</f>
        <v>0</v>
      </c>
      <c r="U655" s="32" t="n">
        <f aca="false">INDEX(Forecast!$AY$7:$AY$54,C655)</f>
        <v>2</v>
      </c>
      <c r="V655" s="33" t="n">
        <f aca="false">CHOOSE(U655,INDEX(Forecast_Walkforward!$D:$D,H655),INDEX(Forecast_Walkforward!$E:$E,H655),INDEX(Forecast_Walkforward!$F:$F,H655),INDEX(Forecast_Walkforward!$G:$G,H655))</f>
        <v>218.5</v>
      </c>
      <c r="W655" s="79" t="n">
        <f aca="false">INDEX(Forecast!$BA$7:$BA$54,C655)</f>
        <v>22.4673992914191</v>
      </c>
      <c r="X655" s="33" t="n">
        <f aca="false">Z_Value*W655*SQRT(D655)</f>
        <v>36.9555832126577</v>
      </c>
      <c r="Y655" s="33" t="n">
        <f aca="false">V655*D655+X655</f>
        <v>255.455583212658</v>
      </c>
      <c r="Z655" s="33" t="n">
        <f aca="false">SQRT((2*V655*Weeks_Per_Year*F655)/(E655*Holding_Rate))</f>
        <v>753.724087448451</v>
      </c>
      <c r="AA655" s="46" t="n">
        <f aca="false">ROUNDUP(Z655/G655,0)*G655</f>
        <v>756</v>
      </c>
      <c r="AB655" s="46" t="n">
        <f aca="false">SUMIFS(AF$645:AF654,$B$645:$B654,$B655-$D655)</f>
        <v>744</v>
      </c>
      <c r="AC655" s="46" t="n">
        <f aca="false">AI654+AB655</f>
        <v>744</v>
      </c>
      <c r="AD655" s="46" t="n">
        <f aca="false">SUMIFS(AF$645:AF654,$B$645:$B654,"&gt;"&amp;($B655-$D655))</f>
        <v>0</v>
      </c>
      <c r="AE655" s="46" t="n">
        <f aca="false">AC655+AD655</f>
        <v>744</v>
      </c>
      <c r="AF655" s="47" t="n">
        <f aca="false">IF(AE655&lt;=Y655,AA655,0)</f>
        <v>0</v>
      </c>
      <c r="AG655" s="46" t="n">
        <f aca="false">MIN(AC655,I655)</f>
        <v>196</v>
      </c>
      <c r="AH655" s="46" t="n">
        <f aca="false">I655-AG655</f>
        <v>0</v>
      </c>
      <c r="AI655" s="46" t="n">
        <f aca="false">AC655-AG655</f>
        <v>548</v>
      </c>
      <c r="AJ655" s="46" t="n">
        <f aca="false">IF(AH655&gt;0,1,0)</f>
        <v>0</v>
      </c>
    </row>
    <row r="656" customFormat="false" ht="15" hidden="false" customHeight="false" outlineLevel="0" collapsed="false">
      <c r="A656" s="31" t="str">
        <f aca="false">Inputs!$B$77</f>
        <v>CLN-001</v>
      </c>
      <c r="B656" s="46" t="n">
        <f aca="false">B655+1</f>
        <v>100</v>
      </c>
      <c r="C656" s="46" t="n">
        <f aca="false">MATCH(A656,Inputs!$B$40:$B$87,0)</f>
        <v>38</v>
      </c>
      <c r="D656" s="32" t="n">
        <f aca="false">INDEX(Inputs!$F$40:$F$87,C656)</f>
        <v>1</v>
      </c>
      <c r="E656" s="78" t="n">
        <f aca="false">INDEX(Inputs!$H$40:$H$87,C656)</f>
        <v>7</v>
      </c>
      <c r="F656" s="78" t="n">
        <f aca="false">INDEX(Inputs!$G$40:$G$87,C656)</f>
        <v>35</v>
      </c>
      <c r="G656" s="32" t="n">
        <f aca="false">INDEX(Inputs!$I$40:$I$87,C656)</f>
        <v>12</v>
      </c>
      <c r="H656" s="46" t="n">
        <f aca="false">MATCH(A656,Demand_History!$C:$C,0)+B656-1</f>
        <v>3949</v>
      </c>
      <c r="I656" s="32" t="n">
        <f aca="false">INDEX(Forecast_Walkforward!$C:$C,H656)</f>
        <v>198</v>
      </c>
      <c r="J656" s="79" t="n">
        <f aca="false">INDEX(Forecast_Walkforward!$E:$E,H656)</f>
        <v>210.5</v>
      </c>
      <c r="K656" s="33" t="n">
        <f aca="false">Baseline_Weeks*J656</f>
        <v>842</v>
      </c>
      <c r="L656" s="46" t="n">
        <f aca="false">SUMIFS(P$645:P655,$B$645:$B655,$B656-$D656)</f>
        <v>252</v>
      </c>
      <c r="M656" s="46" t="n">
        <f aca="false">S655+L656</f>
        <v>689</v>
      </c>
      <c r="N656" s="46" t="n">
        <f aca="false">SUMIFS(P$645:P655,$B$645:$B655,"&gt;"&amp;($B656-$D656))</f>
        <v>0</v>
      </c>
      <c r="O656" s="46" t="n">
        <f aca="false">M656+N656</f>
        <v>689</v>
      </c>
      <c r="P656" s="47" t="n">
        <f aca="false">IF(O656&lt;K656,ROUNDUP((K656-O656)/G656,0)*G656,0)</f>
        <v>156</v>
      </c>
      <c r="Q656" s="46" t="n">
        <f aca="false">MIN(M656,I656)</f>
        <v>198</v>
      </c>
      <c r="R656" s="46" t="n">
        <f aca="false">I656-Q656</f>
        <v>0</v>
      </c>
      <c r="S656" s="46" t="n">
        <f aca="false">M656-Q656</f>
        <v>491</v>
      </c>
      <c r="T656" s="46" t="n">
        <f aca="false">IF(R656&gt;0,1,0)</f>
        <v>0</v>
      </c>
      <c r="U656" s="32" t="n">
        <f aca="false">INDEX(Forecast!$AY$7:$AY$54,C656)</f>
        <v>2</v>
      </c>
      <c r="V656" s="33" t="n">
        <f aca="false">CHOOSE(U656,INDEX(Forecast_Walkforward!$D:$D,H656),INDEX(Forecast_Walkforward!$E:$E,H656),INDEX(Forecast_Walkforward!$F:$F,H656),INDEX(Forecast_Walkforward!$G:$G,H656))</f>
        <v>210.5</v>
      </c>
      <c r="W656" s="79" t="n">
        <f aca="false">INDEX(Forecast!$BA$7:$BA$54,C656)</f>
        <v>22.4673992914191</v>
      </c>
      <c r="X656" s="33" t="n">
        <f aca="false">Z_Value*W656*SQRT(D656)</f>
        <v>36.9555832126577</v>
      </c>
      <c r="Y656" s="33" t="n">
        <f aca="false">V656*D656+X656</f>
        <v>247.455583212658</v>
      </c>
      <c r="Z656" s="33" t="n">
        <f aca="false">SQRT((2*V656*Weeks_Per_Year*F656)/(E656*Holding_Rate))</f>
        <v>739.797269527267</v>
      </c>
      <c r="AA656" s="46" t="n">
        <f aca="false">ROUNDUP(Z656/G656,0)*G656</f>
        <v>744</v>
      </c>
      <c r="AB656" s="46" t="n">
        <f aca="false">SUMIFS(AF$645:AF655,$B$645:$B655,$B656-$D656)</f>
        <v>0</v>
      </c>
      <c r="AC656" s="46" t="n">
        <f aca="false">AI655+AB656</f>
        <v>548</v>
      </c>
      <c r="AD656" s="46" t="n">
        <f aca="false">SUMIFS(AF$645:AF655,$B$645:$B655,"&gt;"&amp;($B656-$D656))</f>
        <v>0</v>
      </c>
      <c r="AE656" s="46" t="n">
        <f aca="false">AC656+AD656</f>
        <v>548</v>
      </c>
      <c r="AF656" s="47" t="n">
        <f aca="false">IF(AE656&lt;=Y656,AA656,0)</f>
        <v>0</v>
      </c>
      <c r="AG656" s="46" t="n">
        <f aca="false">MIN(AC656,I656)</f>
        <v>198</v>
      </c>
      <c r="AH656" s="46" t="n">
        <f aca="false">I656-AG656</f>
        <v>0</v>
      </c>
      <c r="AI656" s="46" t="n">
        <f aca="false">AC656-AG656</f>
        <v>350</v>
      </c>
      <c r="AJ656" s="46" t="n">
        <f aca="false">IF(AH656&gt;0,1,0)</f>
        <v>0</v>
      </c>
    </row>
    <row r="657" customFormat="false" ht="15" hidden="false" customHeight="false" outlineLevel="0" collapsed="false">
      <c r="A657" s="31" t="str">
        <f aca="false">Inputs!$B$77</f>
        <v>CLN-001</v>
      </c>
      <c r="B657" s="46" t="n">
        <f aca="false">B656+1</f>
        <v>101</v>
      </c>
      <c r="C657" s="46" t="n">
        <f aca="false">MATCH(A657,Inputs!$B$40:$B$87,0)</f>
        <v>38</v>
      </c>
      <c r="D657" s="32" t="n">
        <f aca="false">INDEX(Inputs!$F$40:$F$87,C657)</f>
        <v>1</v>
      </c>
      <c r="E657" s="78" t="n">
        <f aca="false">INDEX(Inputs!$H$40:$H$87,C657)</f>
        <v>7</v>
      </c>
      <c r="F657" s="78" t="n">
        <f aca="false">INDEX(Inputs!$G$40:$G$87,C657)</f>
        <v>35</v>
      </c>
      <c r="G657" s="32" t="n">
        <f aca="false">INDEX(Inputs!$I$40:$I$87,C657)</f>
        <v>12</v>
      </c>
      <c r="H657" s="46" t="n">
        <f aca="false">MATCH(A657,Demand_History!$C:$C,0)+B657-1</f>
        <v>3950</v>
      </c>
      <c r="I657" s="32" t="n">
        <f aca="false">INDEX(Forecast_Walkforward!$C:$C,H657)</f>
        <v>234</v>
      </c>
      <c r="J657" s="79" t="n">
        <f aca="false">INDEX(Forecast_Walkforward!$E:$E,H657)</f>
        <v>206.75</v>
      </c>
      <c r="K657" s="33" t="n">
        <f aca="false">Baseline_Weeks*J657</f>
        <v>827</v>
      </c>
      <c r="L657" s="46" t="n">
        <f aca="false">SUMIFS(P$645:P656,$B$645:$B656,$B657-$D657)</f>
        <v>156</v>
      </c>
      <c r="M657" s="46" t="n">
        <f aca="false">S656+L657</f>
        <v>647</v>
      </c>
      <c r="N657" s="46" t="n">
        <f aca="false">SUMIFS(P$645:P656,$B$645:$B656,"&gt;"&amp;($B657-$D657))</f>
        <v>0</v>
      </c>
      <c r="O657" s="46" t="n">
        <f aca="false">M657+N657</f>
        <v>647</v>
      </c>
      <c r="P657" s="47" t="n">
        <f aca="false">IF(O657&lt;K657,ROUNDUP((K657-O657)/G657,0)*G657,0)</f>
        <v>180</v>
      </c>
      <c r="Q657" s="46" t="n">
        <f aca="false">MIN(M657,I657)</f>
        <v>234</v>
      </c>
      <c r="R657" s="46" t="n">
        <f aca="false">I657-Q657</f>
        <v>0</v>
      </c>
      <c r="S657" s="46" t="n">
        <f aca="false">M657-Q657</f>
        <v>413</v>
      </c>
      <c r="T657" s="46" t="n">
        <f aca="false">IF(R657&gt;0,1,0)</f>
        <v>0</v>
      </c>
      <c r="U657" s="32" t="n">
        <f aca="false">INDEX(Forecast!$AY$7:$AY$54,C657)</f>
        <v>2</v>
      </c>
      <c r="V657" s="33" t="n">
        <f aca="false">CHOOSE(U657,INDEX(Forecast_Walkforward!$D:$D,H657),INDEX(Forecast_Walkforward!$E:$E,H657),INDEX(Forecast_Walkforward!$F:$F,H657),INDEX(Forecast_Walkforward!$G:$G,H657))</f>
        <v>206.75</v>
      </c>
      <c r="W657" s="79" t="n">
        <f aca="false">INDEX(Forecast!$BA$7:$BA$54,C657)</f>
        <v>22.4673992914191</v>
      </c>
      <c r="X657" s="33" t="n">
        <f aca="false">Z_Value*W657*SQRT(D657)</f>
        <v>36.9555832126577</v>
      </c>
      <c r="Y657" s="33" t="n">
        <f aca="false">V657*D657+X657</f>
        <v>243.705583212658</v>
      </c>
      <c r="Z657" s="33" t="n">
        <f aca="false">SQRT((2*V657*Weeks_Per_Year*F657)/(E657*Holding_Rate))</f>
        <v>733.178013854753</v>
      </c>
      <c r="AA657" s="46" t="n">
        <f aca="false">ROUNDUP(Z657/G657,0)*G657</f>
        <v>744</v>
      </c>
      <c r="AB657" s="46" t="n">
        <f aca="false">SUMIFS(AF$645:AF656,$B$645:$B656,$B657-$D657)</f>
        <v>0</v>
      </c>
      <c r="AC657" s="46" t="n">
        <f aca="false">AI656+AB657</f>
        <v>350</v>
      </c>
      <c r="AD657" s="46" t="n">
        <f aca="false">SUMIFS(AF$645:AF656,$B$645:$B656,"&gt;"&amp;($B657-$D657))</f>
        <v>0</v>
      </c>
      <c r="AE657" s="46" t="n">
        <f aca="false">AC657+AD657</f>
        <v>350</v>
      </c>
      <c r="AF657" s="47" t="n">
        <f aca="false">IF(AE657&lt;=Y657,AA657,0)</f>
        <v>0</v>
      </c>
      <c r="AG657" s="46" t="n">
        <f aca="false">MIN(AC657,I657)</f>
        <v>234</v>
      </c>
      <c r="AH657" s="46" t="n">
        <f aca="false">I657-AG657</f>
        <v>0</v>
      </c>
      <c r="AI657" s="46" t="n">
        <f aca="false">AC657-AG657</f>
        <v>116</v>
      </c>
      <c r="AJ657" s="46" t="n">
        <f aca="false">IF(AH657&gt;0,1,0)</f>
        <v>0</v>
      </c>
    </row>
    <row r="658" customFormat="false" ht="15" hidden="false" customHeight="false" outlineLevel="0" collapsed="false">
      <c r="A658" s="31" t="str">
        <f aca="false">Inputs!$B$77</f>
        <v>CLN-001</v>
      </c>
      <c r="B658" s="46" t="n">
        <f aca="false">B657+1</f>
        <v>102</v>
      </c>
      <c r="C658" s="46" t="n">
        <f aca="false">MATCH(A658,Inputs!$B$40:$B$87,0)</f>
        <v>38</v>
      </c>
      <c r="D658" s="32" t="n">
        <f aca="false">INDEX(Inputs!$F$40:$F$87,C658)</f>
        <v>1</v>
      </c>
      <c r="E658" s="78" t="n">
        <f aca="false">INDEX(Inputs!$H$40:$H$87,C658)</f>
        <v>7</v>
      </c>
      <c r="F658" s="78" t="n">
        <f aca="false">INDEX(Inputs!$G$40:$G$87,C658)</f>
        <v>35</v>
      </c>
      <c r="G658" s="32" t="n">
        <f aca="false">INDEX(Inputs!$I$40:$I$87,C658)</f>
        <v>12</v>
      </c>
      <c r="H658" s="46" t="n">
        <f aca="false">MATCH(A658,Demand_History!$C:$C,0)+B658-1</f>
        <v>3951</v>
      </c>
      <c r="I658" s="32" t="n">
        <f aca="false">INDEX(Forecast_Walkforward!$C:$C,H658)</f>
        <v>238</v>
      </c>
      <c r="J658" s="79" t="n">
        <f aca="false">INDEX(Forecast_Walkforward!$E:$E,H658)</f>
        <v>212</v>
      </c>
      <c r="K658" s="33" t="n">
        <f aca="false">Baseline_Weeks*J658</f>
        <v>848</v>
      </c>
      <c r="L658" s="46" t="n">
        <f aca="false">SUMIFS(P$645:P657,$B$645:$B657,$B658-$D658)</f>
        <v>180</v>
      </c>
      <c r="M658" s="46" t="n">
        <f aca="false">S657+L658</f>
        <v>593</v>
      </c>
      <c r="N658" s="46" t="n">
        <f aca="false">SUMIFS(P$645:P657,$B$645:$B657,"&gt;"&amp;($B658-$D658))</f>
        <v>0</v>
      </c>
      <c r="O658" s="46" t="n">
        <f aca="false">M658+N658</f>
        <v>593</v>
      </c>
      <c r="P658" s="47" t="n">
        <f aca="false">IF(O658&lt;K658,ROUNDUP((K658-O658)/G658,0)*G658,0)</f>
        <v>264</v>
      </c>
      <c r="Q658" s="46" t="n">
        <f aca="false">MIN(M658,I658)</f>
        <v>238</v>
      </c>
      <c r="R658" s="46" t="n">
        <f aca="false">I658-Q658</f>
        <v>0</v>
      </c>
      <c r="S658" s="46" t="n">
        <f aca="false">M658-Q658</f>
        <v>355</v>
      </c>
      <c r="T658" s="46" t="n">
        <f aca="false">IF(R658&gt;0,1,0)</f>
        <v>0</v>
      </c>
      <c r="U658" s="32" t="n">
        <f aca="false">INDEX(Forecast!$AY$7:$AY$54,C658)</f>
        <v>2</v>
      </c>
      <c r="V658" s="33" t="n">
        <f aca="false">CHOOSE(U658,INDEX(Forecast_Walkforward!$D:$D,H658),INDEX(Forecast_Walkforward!$E:$E,H658),INDEX(Forecast_Walkforward!$F:$F,H658),INDEX(Forecast_Walkforward!$G:$G,H658))</f>
        <v>212</v>
      </c>
      <c r="W658" s="79" t="n">
        <f aca="false">INDEX(Forecast!$BA$7:$BA$54,C658)</f>
        <v>22.4673992914191</v>
      </c>
      <c r="X658" s="33" t="n">
        <f aca="false">Z_Value*W658*SQRT(D658)</f>
        <v>36.9555832126577</v>
      </c>
      <c r="Y658" s="33" t="n">
        <f aca="false">V658*D658+X658</f>
        <v>248.955583212658</v>
      </c>
      <c r="Z658" s="33" t="n">
        <f aca="false">SQRT((2*V658*Weeks_Per_Year*F658)/(E658*Holding_Rate))</f>
        <v>742.428447730824</v>
      </c>
      <c r="AA658" s="46" t="n">
        <f aca="false">ROUNDUP(Z658/G658,0)*G658</f>
        <v>744</v>
      </c>
      <c r="AB658" s="46" t="n">
        <f aca="false">SUMIFS(AF$645:AF657,$B$645:$B657,$B658-$D658)</f>
        <v>0</v>
      </c>
      <c r="AC658" s="46" t="n">
        <f aca="false">AI657+AB658</f>
        <v>116</v>
      </c>
      <c r="AD658" s="46" t="n">
        <f aca="false">SUMIFS(AF$645:AF657,$B$645:$B657,"&gt;"&amp;($B658-$D658))</f>
        <v>0</v>
      </c>
      <c r="AE658" s="46" t="n">
        <f aca="false">AC658+AD658</f>
        <v>116</v>
      </c>
      <c r="AF658" s="47" t="n">
        <f aca="false">IF(AE658&lt;=Y658,AA658,0)</f>
        <v>744</v>
      </c>
      <c r="AG658" s="46" t="n">
        <f aca="false">MIN(AC658,I658)</f>
        <v>116</v>
      </c>
      <c r="AH658" s="46" t="n">
        <f aca="false">I658-AG658</f>
        <v>122</v>
      </c>
      <c r="AI658" s="46" t="n">
        <f aca="false">AC658-AG658</f>
        <v>0</v>
      </c>
      <c r="AJ658" s="46" t="n">
        <f aca="false">IF(AH658&gt;0,1,0)</f>
        <v>1</v>
      </c>
    </row>
    <row r="659" customFormat="false" ht="15" hidden="false" customHeight="false" outlineLevel="0" collapsed="false">
      <c r="A659" s="31" t="str">
        <f aca="false">Inputs!$B$77</f>
        <v>CLN-001</v>
      </c>
      <c r="B659" s="46" t="n">
        <f aca="false">B658+1</f>
        <v>103</v>
      </c>
      <c r="C659" s="46" t="n">
        <f aca="false">MATCH(A659,Inputs!$B$40:$B$87,0)</f>
        <v>38</v>
      </c>
      <c r="D659" s="32" t="n">
        <f aca="false">INDEX(Inputs!$F$40:$F$87,C659)</f>
        <v>1</v>
      </c>
      <c r="E659" s="78" t="n">
        <f aca="false">INDEX(Inputs!$H$40:$H$87,C659)</f>
        <v>7</v>
      </c>
      <c r="F659" s="78" t="n">
        <f aca="false">INDEX(Inputs!$G$40:$G$87,C659)</f>
        <v>35</v>
      </c>
      <c r="G659" s="32" t="n">
        <f aca="false">INDEX(Inputs!$I$40:$I$87,C659)</f>
        <v>12</v>
      </c>
      <c r="H659" s="46" t="n">
        <f aca="false">MATCH(A659,Demand_History!$C:$C,0)+B659-1</f>
        <v>3952</v>
      </c>
      <c r="I659" s="32" t="n">
        <f aca="false">INDEX(Forecast_Walkforward!$C:$C,H659)</f>
        <v>207</v>
      </c>
      <c r="J659" s="79" t="n">
        <f aca="false">INDEX(Forecast_Walkforward!$E:$E,H659)</f>
        <v>216.5</v>
      </c>
      <c r="K659" s="33" t="n">
        <f aca="false">Baseline_Weeks*J659</f>
        <v>866</v>
      </c>
      <c r="L659" s="46" t="n">
        <f aca="false">SUMIFS(P$645:P658,$B$645:$B658,$B659-$D659)</f>
        <v>264</v>
      </c>
      <c r="M659" s="46" t="n">
        <f aca="false">S658+L659</f>
        <v>619</v>
      </c>
      <c r="N659" s="46" t="n">
        <f aca="false">SUMIFS(P$645:P658,$B$645:$B658,"&gt;"&amp;($B659-$D659))</f>
        <v>0</v>
      </c>
      <c r="O659" s="46" t="n">
        <f aca="false">M659+N659</f>
        <v>619</v>
      </c>
      <c r="P659" s="47" t="n">
        <f aca="false">IF(O659&lt;K659,ROUNDUP((K659-O659)/G659,0)*G659,0)</f>
        <v>252</v>
      </c>
      <c r="Q659" s="46" t="n">
        <f aca="false">MIN(M659,I659)</f>
        <v>207</v>
      </c>
      <c r="R659" s="46" t="n">
        <f aca="false">I659-Q659</f>
        <v>0</v>
      </c>
      <c r="S659" s="46" t="n">
        <f aca="false">M659-Q659</f>
        <v>412</v>
      </c>
      <c r="T659" s="46" t="n">
        <f aca="false">IF(R659&gt;0,1,0)</f>
        <v>0</v>
      </c>
      <c r="U659" s="32" t="n">
        <f aca="false">INDEX(Forecast!$AY$7:$AY$54,C659)</f>
        <v>2</v>
      </c>
      <c r="V659" s="33" t="n">
        <f aca="false">CHOOSE(U659,INDEX(Forecast_Walkforward!$D:$D,H659),INDEX(Forecast_Walkforward!$E:$E,H659),INDEX(Forecast_Walkforward!$F:$F,H659),INDEX(Forecast_Walkforward!$G:$G,H659))</f>
        <v>216.5</v>
      </c>
      <c r="W659" s="79" t="n">
        <f aca="false">INDEX(Forecast!$BA$7:$BA$54,C659)</f>
        <v>22.4673992914191</v>
      </c>
      <c r="X659" s="33" t="n">
        <f aca="false">Z_Value*W659*SQRT(D659)</f>
        <v>36.9555832126577</v>
      </c>
      <c r="Y659" s="33" t="n">
        <f aca="false">V659*D659+X659</f>
        <v>253.455583212658</v>
      </c>
      <c r="Z659" s="33" t="n">
        <f aca="false">SQRT((2*V659*Weeks_Per_Year*F659)/(E659*Holding_Rate))</f>
        <v>750.266619276108</v>
      </c>
      <c r="AA659" s="46" t="n">
        <f aca="false">ROUNDUP(Z659/G659,0)*G659</f>
        <v>756</v>
      </c>
      <c r="AB659" s="46" t="n">
        <f aca="false">SUMIFS(AF$645:AF658,$B$645:$B658,$B659-$D659)</f>
        <v>744</v>
      </c>
      <c r="AC659" s="46" t="n">
        <f aca="false">AI658+AB659</f>
        <v>744</v>
      </c>
      <c r="AD659" s="46" t="n">
        <f aca="false">SUMIFS(AF$645:AF658,$B$645:$B658,"&gt;"&amp;($B659-$D659))</f>
        <v>0</v>
      </c>
      <c r="AE659" s="46" t="n">
        <f aca="false">AC659+AD659</f>
        <v>744</v>
      </c>
      <c r="AF659" s="47" t="n">
        <f aca="false">IF(AE659&lt;=Y659,AA659,0)</f>
        <v>0</v>
      </c>
      <c r="AG659" s="46" t="n">
        <f aca="false">MIN(AC659,I659)</f>
        <v>207</v>
      </c>
      <c r="AH659" s="46" t="n">
        <f aca="false">I659-AG659</f>
        <v>0</v>
      </c>
      <c r="AI659" s="46" t="n">
        <f aca="false">AC659-AG659</f>
        <v>537</v>
      </c>
      <c r="AJ659" s="46" t="n">
        <f aca="false">IF(AH659&gt;0,1,0)</f>
        <v>0</v>
      </c>
    </row>
    <row r="660" customFormat="false" ht="15" hidden="false" customHeight="false" outlineLevel="0" collapsed="false">
      <c r="A660" s="80" t="str">
        <f aca="false">Inputs!$B$77</f>
        <v>CLN-001</v>
      </c>
      <c r="B660" s="81" t="n">
        <f aca="false">B659+1</f>
        <v>104</v>
      </c>
      <c r="C660" s="81" t="n">
        <f aca="false">MATCH(A660,Inputs!$B$40:$B$87,0)</f>
        <v>38</v>
      </c>
      <c r="D660" s="82" t="n">
        <f aca="false">INDEX(Inputs!$F$40:$F$87,C660)</f>
        <v>1</v>
      </c>
      <c r="E660" s="83" t="n">
        <f aca="false">INDEX(Inputs!$H$40:$H$87,C660)</f>
        <v>7</v>
      </c>
      <c r="F660" s="83" t="n">
        <f aca="false">INDEX(Inputs!$G$40:$G$87,C660)</f>
        <v>35</v>
      </c>
      <c r="G660" s="82" t="n">
        <f aca="false">INDEX(Inputs!$I$40:$I$87,C660)</f>
        <v>12</v>
      </c>
      <c r="H660" s="81" t="n">
        <f aca="false">MATCH(A660,Demand_History!$C:$C,0)+B660-1</f>
        <v>3953</v>
      </c>
      <c r="I660" s="82" t="n">
        <f aca="false">INDEX(Forecast_Walkforward!$C:$C,H660)</f>
        <v>187</v>
      </c>
      <c r="J660" s="84" t="n">
        <f aca="false">INDEX(Forecast_Walkforward!$E:$E,H660)</f>
        <v>219.25</v>
      </c>
      <c r="K660" s="85" t="n">
        <f aca="false">Baseline_Weeks*J660</f>
        <v>877</v>
      </c>
      <c r="L660" s="81" t="n">
        <f aca="false">SUMIFS(P$645:P659,$B$645:$B659,$B660-$D660)</f>
        <v>252</v>
      </c>
      <c r="M660" s="81" t="n">
        <f aca="false">S659+L660</f>
        <v>664</v>
      </c>
      <c r="N660" s="81" t="n">
        <f aca="false">SUMIFS(P$645:P659,$B$645:$B659,"&gt;"&amp;($B660-$D660))</f>
        <v>0</v>
      </c>
      <c r="O660" s="81" t="n">
        <f aca="false">M660+N660</f>
        <v>664</v>
      </c>
      <c r="P660" s="86" t="n">
        <f aca="false">IF(O660&lt;K660,ROUNDUP((K660-O660)/G660,0)*G660,0)</f>
        <v>216</v>
      </c>
      <c r="Q660" s="81" t="n">
        <f aca="false">MIN(M660,I660)</f>
        <v>187</v>
      </c>
      <c r="R660" s="81" t="n">
        <f aca="false">I660-Q660</f>
        <v>0</v>
      </c>
      <c r="S660" s="81" t="n">
        <f aca="false">M660-Q660</f>
        <v>477</v>
      </c>
      <c r="T660" s="81" t="n">
        <f aca="false">IF(R660&gt;0,1,0)</f>
        <v>0</v>
      </c>
      <c r="U660" s="82" t="n">
        <f aca="false">INDEX(Forecast!$AY$7:$AY$54,C660)</f>
        <v>2</v>
      </c>
      <c r="V660" s="85" t="n">
        <f aca="false">CHOOSE(U660,INDEX(Forecast_Walkforward!$D:$D,H660),INDEX(Forecast_Walkforward!$E:$E,H660),INDEX(Forecast_Walkforward!$F:$F,H660),INDEX(Forecast_Walkforward!$G:$G,H660))</f>
        <v>219.25</v>
      </c>
      <c r="W660" s="84" t="n">
        <f aca="false">INDEX(Forecast!$BA$7:$BA$54,C660)</f>
        <v>22.4673992914191</v>
      </c>
      <c r="X660" s="85" t="n">
        <f aca="false">Z_Value*W660*SQRT(D660)</f>
        <v>36.9555832126577</v>
      </c>
      <c r="Y660" s="85" t="n">
        <f aca="false">V660*D660+X660</f>
        <v>256.205583212658</v>
      </c>
      <c r="Z660" s="85" t="n">
        <f aca="false">SQRT((2*V660*Weeks_Per_Year*F660)/(E660*Holding_Rate))</f>
        <v>755.016556109864</v>
      </c>
      <c r="AA660" s="81" t="n">
        <f aca="false">ROUNDUP(Z660/G660,0)*G660</f>
        <v>756</v>
      </c>
      <c r="AB660" s="81" t="n">
        <f aca="false">SUMIFS(AF$645:AF659,$B$645:$B659,$B660-$D660)</f>
        <v>0</v>
      </c>
      <c r="AC660" s="81" t="n">
        <f aca="false">AI659+AB660</f>
        <v>537</v>
      </c>
      <c r="AD660" s="81" t="n">
        <f aca="false">SUMIFS(AF$645:AF659,$B$645:$B659,"&gt;"&amp;($B660-$D660))</f>
        <v>0</v>
      </c>
      <c r="AE660" s="81" t="n">
        <f aca="false">AC660+AD660</f>
        <v>537</v>
      </c>
      <c r="AF660" s="86" t="n">
        <f aca="false">IF(AE660&lt;=Y660,AA660,0)</f>
        <v>0</v>
      </c>
      <c r="AG660" s="81" t="n">
        <f aca="false">MIN(AC660,I660)</f>
        <v>187</v>
      </c>
      <c r="AH660" s="81" t="n">
        <f aca="false">I660-AG660</f>
        <v>0</v>
      </c>
      <c r="AI660" s="81" t="n">
        <f aca="false">AC660-AG660</f>
        <v>350</v>
      </c>
      <c r="AJ660" s="81" t="n">
        <f aca="false">IF(AH660&gt;0,1,0)</f>
        <v>0</v>
      </c>
    </row>
    <row r="661" customFormat="false" ht="15" hidden="false" customHeight="false" outlineLevel="0" collapsed="false">
      <c r="A661" s="31" t="str">
        <f aca="false">Inputs!$B$78</f>
        <v>CLN-002</v>
      </c>
      <c r="B661" s="46" t="n">
        <f aca="false">BT_Start_Week</f>
        <v>89</v>
      </c>
      <c r="C661" s="46" t="n">
        <f aca="false">MATCH(A661,Inputs!$B$40:$B$87,0)</f>
        <v>39</v>
      </c>
      <c r="D661" s="32" t="n">
        <f aca="false">INDEX(Inputs!$F$40:$F$87,C661)</f>
        <v>1</v>
      </c>
      <c r="E661" s="78" t="n">
        <f aca="false">INDEX(Inputs!$H$40:$H$87,C661)</f>
        <v>5</v>
      </c>
      <c r="F661" s="78" t="n">
        <f aca="false">INDEX(Inputs!$G$40:$G$87,C661)</f>
        <v>35</v>
      </c>
      <c r="G661" s="32" t="n">
        <f aca="false">INDEX(Inputs!$I$40:$I$87,C661)</f>
        <v>20</v>
      </c>
      <c r="H661" s="46" t="n">
        <f aca="false">MATCH(A661,Demand_History!$C:$C,0)+B661-1</f>
        <v>4042</v>
      </c>
      <c r="I661" s="32" t="n">
        <f aca="false">INDEX(Forecast_Walkforward!$C:$C,H661)</f>
        <v>130</v>
      </c>
      <c r="J661" s="79" t="n">
        <f aca="false">INDEX(Forecast_Walkforward!$E:$E,H661)</f>
        <v>165.75</v>
      </c>
      <c r="K661" s="33" t="n">
        <f aca="false">Baseline_Weeks*J661</f>
        <v>663</v>
      </c>
      <c r="L661" s="46" t="n">
        <f aca="false">0</f>
        <v>0</v>
      </c>
      <c r="M661" s="46" t="n">
        <f aca="false">ROUND(BT_Open_Cover*INDEX(Forecast_Walkforward!$F:$F,H661),0)+L661</f>
        <v>979</v>
      </c>
      <c r="N661" s="46" t="n">
        <f aca="false">0</f>
        <v>0</v>
      </c>
      <c r="O661" s="46" t="n">
        <f aca="false">M661+N661</f>
        <v>979</v>
      </c>
      <c r="P661" s="47" t="n">
        <f aca="false">IF(O661&lt;K661,ROUNDUP((K661-O661)/G661,0)*G661,0)</f>
        <v>0</v>
      </c>
      <c r="Q661" s="46" t="n">
        <f aca="false">MIN(M661,I661)</f>
        <v>130</v>
      </c>
      <c r="R661" s="46" t="n">
        <f aca="false">I661-Q661</f>
        <v>0</v>
      </c>
      <c r="S661" s="46" t="n">
        <f aca="false">M661-Q661</f>
        <v>849</v>
      </c>
      <c r="T661" s="46" t="n">
        <f aca="false">IF(R661&gt;0,1,0)</f>
        <v>0</v>
      </c>
      <c r="U661" s="32" t="n">
        <f aca="false">INDEX(Forecast!$AY$7:$AY$54,C661)</f>
        <v>2</v>
      </c>
      <c r="V661" s="33" t="n">
        <f aca="false">CHOOSE(U661,INDEX(Forecast_Walkforward!$D:$D,H661),INDEX(Forecast_Walkforward!$E:$E,H661),INDEX(Forecast_Walkforward!$F:$F,H661),INDEX(Forecast_Walkforward!$G:$G,H661))</f>
        <v>165.75</v>
      </c>
      <c r="W661" s="79" t="n">
        <f aca="false">INDEX(Forecast!$BA$7:$BA$54,C661)</f>
        <v>25.2260495815078</v>
      </c>
      <c r="X661" s="33" t="n">
        <f aca="false">Z_Value*W661*SQRT(D661)</f>
        <v>41.4931591478007</v>
      </c>
      <c r="Y661" s="33" t="n">
        <f aca="false">V661*D661+X661</f>
        <v>207.243159147801</v>
      </c>
      <c r="Z661" s="33" t="n">
        <f aca="false">SQRT((2*V661*Weeks_Per_Year*F661)/(E661*Holding_Rate))</f>
        <v>776.743200807062</v>
      </c>
      <c r="AA661" s="46" t="n">
        <f aca="false">ROUNDUP(Z661/G661,0)*G661</f>
        <v>780</v>
      </c>
      <c r="AB661" s="46" t="n">
        <f aca="false">0</f>
        <v>0</v>
      </c>
      <c r="AC661" s="46" t="n">
        <f aca="false">ROUND(BT_Open_Cover*INDEX(Forecast_Walkforward!$F:$F,H661),0)+AB661</f>
        <v>979</v>
      </c>
      <c r="AD661" s="46" t="n">
        <f aca="false">0</f>
        <v>0</v>
      </c>
      <c r="AE661" s="46" t="n">
        <f aca="false">AC661+AD661</f>
        <v>979</v>
      </c>
      <c r="AF661" s="47" t="n">
        <f aca="false">IF(AE661&lt;=Y661,AA661,0)</f>
        <v>0</v>
      </c>
      <c r="AG661" s="46" t="n">
        <f aca="false">MIN(AC661,I661)</f>
        <v>130</v>
      </c>
      <c r="AH661" s="46" t="n">
        <f aca="false">I661-AG661</f>
        <v>0</v>
      </c>
      <c r="AI661" s="46" t="n">
        <f aca="false">AC661-AG661</f>
        <v>849</v>
      </c>
      <c r="AJ661" s="46" t="n">
        <f aca="false">IF(AH661&gt;0,1,0)</f>
        <v>0</v>
      </c>
    </row>
    <row r="662" customFormat="false" ht="15" hidden="false" customHeight="false" outlineLevel="0" collapsed="false">
      <c r="A662" s="31" t="str">
        <f aca="false">Inputs!$B$78</f>
        <v>CLN-002</v>
      </c>
      <c r="B662" s="46" t="n">
        <f aca="false">B661+1</f>
        <v>90</v>
      </c>
      <c r="C662" s="46" t="n">
        <f aca="false">MATCH(A662,Inputs!$B$40:$B$87,0)</f>
        <v>39</v>
      </c>
      <c r="D662" s="32" t="n">
        <f aca="false">INDEX(Inputs!$F$40:$F$87,C662)</f>
        <v>1</v>
      </c>
      <c r="E662" s="78" t="n">
        <f aca="false">INDEX(Inputs!$H$40:$H$87,C662)</f>
        <v>5</v>
      </c>
      <c r="F662" s="78" t="n">
        <f aca="false">INDEX(Inputs!$G$40:$G$87,C662)</f>
        <v>35</v>
      </c>
      <c r="G662" s="32" t="n">
        <f aca="false">INDEX(Inputs!$I$40:$I$87,C662)</f>
        <v>20</v>
      </c>
      <c r="H662" s="46" t="n">
        <f aca="false">MATCH(A662,Demand_History!$C:$C,0)+B662-1</f>
        <v>4043</v>
      </c>
      <c r="I662" s="32" t="n">
        <f aca="false">INDEX(Forecast_Walkforward!$C:$C,H662)</f>
        <v>122</v>
      </c>
      <c r="J662" s="79" t="n">
        <f aca="false">INDEX(Forecast_Walkforward!$E:$E,H662)</f>
        <v>165.75</v>
      </c>
      <c r="K662" s="33" t="n">
        <f aca="false">Baseline_Weeks*J662</f>
        <v>663</v>
      </c>
      <c r="L662" s="46" t="n">
        <f aca="false">SUMIFS(P$661:P661,$B$661:$B661,$B662-$D662)</f>
        <v>0</v>
      </c>
      <c r="M662" s="46" t="n">
        <f aca="false">S661+L662</f>
        <v>849</v>
      </c>
      <c r="N662" s="46" t="n">
        <f aca="false">SUMIFS(P$661:P661,$B$661:$B661,"&gt;"&amp;($B662-$D662))</f>
        <v>0</v>
      </c>
      <c r="O662" s="46" t="n">
        <f aca="false">M662+N662</f>
        <v>849</v>
      </c>
      <c r="P662" s="47" t="n">
        <f aca="false">IF(O662&lt;K662,ROUNDUP((K662-O662)/G662,0)*G662,0)</f>
        <v>0</v>
      </c>
      <c r="Q662" s="46" t="n">
        <f aca="false">MIN(M662,I662)</f>
        <v>122</v>
      </c>
      <c r="R662" s="46" t="n">
        <f aca="false">I662-Q662</f>
        <v>0</v>
      </c>
      <c r="S662" s="46" t="n">
        <f aca="false">M662-Q662</f>
        <v>727</v>
      </c>
      <c r="T662" s="46" t="n">
        <f aca="false">IF(R662&gt;0,1,0)</f>
        <v>0</v>
      </c>
      <c r="U662" s="32" t="n">
        <f aca="false">INDEX(Forecast!$AY$7:$AY$54,C662)</f>
        <v>2</v>
      </c>
      <c r="V662" s="33" t="n">
        <f aca="false">CHOOSE(U662,INDEX(Forecast_Walkforward!$D:$D,H662),INDEX(Forecast_Walkforward!$E:$E,H662),INDEX(Forecast_Walkforward!$F:$F,H662),INDEX(Forecast_Walkforward!$G:$G,H662))</f>
        <v>165.75</v>
      </c>
      <c r="W662" s="79" t="n">
        <f aca="false">INDEX(Forecast!$BA$7:$BA$54,C662)</f>
        <v>25.2260495815078</v>
      </c>
      <c r="X662" s="33" t="n">
        <f aca="false">Z_Value*W662*SQRT(D662)</f>
        <v>41.4931591478007</v>
      </c>
      <c r="Y662" s="33" t="n">
        <f aca="false">V662*D662+X662</f>
        <v>207.243159147801</v>
      </c>
      <c r="Z662" s="33" t="n">
        <f aca="false">SQRT((2*V662*Weeks_Per_Year*F662)/(E662*Holding_Rate))</f>
        <v>776.743200807062</v>
      </c>
      <c r="AA662" s="46" t="n">
        <f aca="false">ROUNDUP(Z662/G662,0)*G662</f>
        <v>780</v>
      </c>
      <c r="AB662" s="46" t="n">
        <f aca="false">SUMIFS(AF$661:AF661,$B$661:$B661,$B662-$D662)</f>
        <v>0</v>
      </c>
      <c r="AC662" s="46" t="n">
        <f aca="false">AI661+AB662</f>
        <v>849</v>
      </c>
      <c r="AD662" s="46" t="n">
        <f aca="false">SUMIFS(AF$661:AF661,$B$661:$B661,"&gt;"&amp;($B662-$D662))</f>
        <v>0</v>
      </c>
      <c r="AE662" s="46" t="n">
        <f aca="false">AC662+AD662</f>
        <v>849</v>
      </c>
      <c r="AF662" s="47" t="n">
        <f aca="false">IF(AE662&lt;=Y662,AA662,0)</f>
        <v>0</v>
      </c>
      <c r="AG662" s="46" t="n">
        <f aca="false">MIN(AC662,I662)</f>
        <v>122</v>
      </c>
      <c r="AH662" s="46" t="n">
        <f aca="false">I662-AG662</f>
        <v>0</v>
      </c>
      <c r="AI662" s="46" t="n">
        <f aca="false">AC662-AG662</f>
        <v>727</v>
      </c>
      <c r="AJ662" s="46" t="n">
        <f aca="false">IF(AH662&gt;0,1,0)</f>
        <v>0</v>
      </c>
    </row>
    <row r="663" customFormat="false" ht="15" hidden="false" customHeight="false" outlineLevel="0" collapsed="false">
      <c r="A663" s="31" t="str">
        <f aca="false">Inputs!$B$78</f>
        <v>CLN-002</v>
      </c>
      <c r="B663" s="46" t="n">
        <f aca="false">B662+1</f>
        <v>91</v>
      </c>
      <c r="C663" s="46" t="n">
        <f aca="false">MATCH(A663,Inputs!$B$40:$B$87,0)</f>
        <v>39</v>
      </c>
      <c r="D663" s="32" t="n">
        <f aca="false">INDEX(Inputs!$F$40:$F$87,C663)</f>
        <v>1</v>
      </c>
      <c r="E663" s="78" t="n">
        <f aca="false">INDEX(Inputs!$H$40:$H$87,C663)</f>
        <v>5</v>
      </c>
      <c r="F663" s="78" t="n">
        <f aca="false">INDEX(Inputs!$G$40:$G$87,C663)</f>
        <v>35</v>
      </c>
      <c r="G663" s="32" t="n">
        <f aca="false">INDEX(Inputs!$I$40:$I$87,C663)</f>
        <v>20</v>
      </c>
      <c r="H663" s="46" t="n">
        <f aca="false">MATCH(A663,Demand_History!$C:$C,0)+B663-1</f>
        <v>4044</v>
      </c>
      <c r="I663" s="32" t="n">
        <f aca="false">INDEX(Forecast_Walkforward!$C:$C,H663)</f>
        <v>152</v>
      </c>
      <c r="J663" s="79" t="n">
        <f aca="false">INDEX(Forecast_Walkforward!$E:$E,H663)</f>
        <v>153.75</v>
      </c>
      <c r="K663" s="33" t="n">
        <f aca="false">Baseline_Weeks*J663</f>
        <v>615</v>
      </c>
      <c r="L663" s="46" t="n">
        <f aca="false">SUMIFS(P$661:P662,$B$661:$B662,$B663-$D663)</f>
        <v>0</v>
      </c>
      <c r="M663" s="46" t="n">
        <f aca="false">S662+L663</f>
        <v>727</v>
      </c>
      <c r="N663" s="46" t="n">
        <f aca="false">SUMIFS(P$661:P662,$B$661:$B662,"&gt;"&amp;($B663-$D663))</f>
        <v>0</v>
      </c>
      <c r="O663" s="46" t="n">
        <f aca="false">M663+N663</f>
        <v>727</v>
      </c>
      <c r="P663" s="47" t="n">
        <f aca="false">IF(O663&lt;K663,ROUNDUP((K663-O663)/G663,0)*G663,0)</f>
        <v>0</v>
      </c>
      <c r="Q663" s="46" t="n">
        <f aca="false">MIN(M663,I663)</f>
        <v>152</v>
      </c>
      <c r="R663" s="46" t="n">
        <f aca="false">I663-Q663</f>
        <v>0</v>
      </c>
      <c r="S663" s="46" t="n">
        <f aca="false">M663-Q663</f>
        <v>575</v>
      </c>
      <c r="T663" s="46" t="n">
        <f aca="false">IF(R663&gt;0,1,0)</f>
        <v>0</v>
      </c>
      <c r="U663" s="32" t="n">
        <f aca="false">INDEX(Forecast!$AY$7:$AY$54,C663)</f>
        <v>2</v>
      </c>
      <c r="V663" s="33" t="n">
        <f aca="false">CHOOSE(U663,INDEX(Forecast_Walkforward!$D:$D,H663),INDEX(Forecast_Walkforward!$E:$E,H663),INDEX(Forecast_Walkforward!$F:$F,H663),INDEX(Forecast_Walkforward!$G:$G,H663))</f>
        <v>153.75</v>
      </c>
      <c r="W663" s="79" t="n">
        <f aca="false">INDEX(Forecast!$BA$7:$BA$54,C663)</f>
        <v>25.2260495815078</v>
      </c>
      <c r="X663" s="33" t="n">
        <f aca="false">Z_Value*W663*SQRT(D663)</f>
        <v>41.4931591478007</v>
      </c>
      <c r="Y663" s="33" t="n">
        <f aca="false">V663*D663+X663</f>
        <v>195.243159147801</v>
      </c>
      <c r="Z663" s="33" t="n">
        <f aca="false">SQRT((2*V663*Weeks_Per_Year*F663)/(E663*Holding_Rate))</f>
        <v>748.097587217069</v>
      </c>
      <c r="AA663" s="46" t="n">
        <f aca="false">ROUNDUP(Z663/G663,0)*G663</f>
        <v>760</v>
      </c>
      <c r="AB663" s="46" t="n">
        <f aca="false">SUMIFS(AF$661:AF662,$B$661:$B662,$B663-$D663)</f>
        <v>0</v>
      </c>
      <c r="AC663" s="46" t="n">
        <f aca="false">AI662+AB663</f>
        <v>727</v>
      </c>
      <c r="AD663" s="46" t="n">
        <f aca="false">SUMIFS(AF$661:AF662,$B$661:$B662,"&gt;"&amp;($B663-$D663))</f>
        <v>0</v>
      </c>
      <c r="AE663" s="46" t="n">
        <f aca="false">AC663+AD663</f>
        <v>727</v>
      </c>
      <c r="AF663" s="47" t="n">
        <f aca="false">IF(AE663&lt;=Y663,AA663,0)</f>
        <v>0</v>
      </c>
      <c r="AG663" s="46" t="n">
        <f aca="false">MIN(AC663,I663)</f>
        <v>152</v>
      </c>
      <c r="AH663" s="46" t="n">
        <f aca="false">I663-AG663</f>
        <v>0</v>
      </c>
      <c r="AI663" s="46" t="n">
        <f aca="false">AC663-AG663</f>
        <v>575</v>
      </c>
      <c r="AJ663" s="46" t="n">
        <f aca="false">IF(AH663&gt;0,1,0)</f>
        <v>0</v>
      </c>
    </row>
    <row r="664" customFormat="false" ht="15" hidden="false" customHeight="false" outlineLevel="0" collapsed="false">
      <c r="A664" s="31" t="str">
        <f aca="false">Inputs!$B$78</f>
        <v>CLN-002</v>
      </c>
      <c r="B664" s="46" t="n">
        <f aca="false">B663+1</f>
        <v>92</v>
      </c>
      <c r="C664" s="46" t="n">
        <f aca="false">MATCH(A664,Inputs!$B$40:$B$87,0)</f>
        <v>39</v>
      </c>
      <c r="D664" s="32" t="n">
        <f aca="false">INDEX(Inputs!$F$40:$F$87,C664)</f>
        <v>1</v>
      </c>
      <c r="E664" s="78" t="n">
        <f aca="false">INDEX(Inputs!$H$40:$H$87,C664)</f>
        <v>5</v>
      </c>
      <c r="F664" s="78" t="n">
        <f aca="false">INDEX(Inputs!$G$40:$G$87,C664)</f>
        <v>35</v>
      </c>
      <c r="G664" s="32" t="n">
        <f aca="false">INDEX(Inputs!$I$40:$I$87,C664)</f>
        <v>20</v>
      </c>
      <c r="H664" s="46" t="n">
        <f aca="false">MATCH(A664,Demand_History!$C:$C,0)+B664-1</f>
        <v>4045</v>
      </c>
      <c r="I664" s="32" t="n">
        <f aca="false">INDEX(Forecast_Walkforward!$C:$C,H664)</f>
        <v>168</v>
      </c>
      <c r="J664" s="79" t="n">
        <f aca="false">INDEX(Forecast_Walkforward!$E:$E,H664)</f>
        <v>150.5</v>
      </c>
      <c r="K664" s="33" t="n">
        <f aca="false">Baseline_Weeks*J664</f>
        <v>602</v>
      </c>
      <c r="L664" s="46" t="n">
        <f aca="false">SUMIFS(P$661:P663,$B$661:$B663,$B664-$D664)</f>
        <v>0</v>
      </c>
      <c r="M664" s="46" t="n">
        <f aca="false">S663+L664</f>
        <v>575</v>
      </c>
      <c r="N664" s="46" t="n">
        <f aca="false">SUMIFS(P$661:P663,$B$661:$B663,"&gt;"&amp;($B664-$D664))</f>
        <v>0</v>
      </c>
      <c r="O664" s="46" t="n">
        <f aca="false">M664+N664</f>
        <v>575</v>
      </c>
      <c r="P664" s="47" t="n">
        <f aca="false">IF(O664&lt;K664,ROUNDUP((K664-O664)/G664,0)*G664,0)</f>
        <v>40</v>
      </c>
      <c r="Q664" s="46" t="n">
        <f aca="false">MIN(M664,I664)</f>
        <v>168</v>
      </c>
      <c r="R664" s="46" t="n">
        <f aca="false">I664-Q664</f>
        <v>0</v>
      </c>
      <c r="S664" s="46" t="n">
        <f aca="false">M664-Q664</f>
        <v>407</v>
      </c>
      <c r="T664" s="46" t="n">
        <f aca="false">IF(R664&gt;0,1,0)</f>
        <v>0</v>
      </c>
      <c r="U664" s="32" t="n">
        <f aca="false">INDEX(Forecast!$AY$7:$AY$54,C664)</f>
        <v>2</v>
      </c>
      <c r="V664" s="33" t="n">
        <f aca="false">CHOOSE(U664,INDEX(Forecast_Walkforward!$D:$D,H664),INDEX(Forecast_Walkforward!$E:$E,H664),INDEX(Forecast_Walkforward!$F:$F,H664),INDEX(Forecast_Walkforward!$G:$G,H664))</f>
        <v>150.5</v>
      </c>
      <c r="W664" s="79" t="n">
        <f aca="false">INDEX(Forecast!$BA$7:$BA$54,C664)</f>
        <v>25.2260495815078</v>
      </c>
      <c r="X664" s="33" t="n">
        <f aca="false">Z_Value*W664*SQRT(D664)</f>
        <v>41.4931591478007</v>
      </c>
      <c r="Y664" s="33" t="n">
        <f aca="false">V664*D664+X664</f>
        <v>191.993159147801</v>
      </c>
      <c r="Z664" s="33" t="n">
        <f aca="false">SQRT((2*V664*Weeks_Per_Year*F664)/(E664*Holding_Rate))</f>
        <v>740.148633721633</v>
      </c>
      <c r="AA664" s="46" t="n">
        <f aca="false">ROUNDUP(Z664/G664,0)*G664</f>
        <v>760</v>
      </c>
      <c r="AB664" s="46" t="n">
        <f aca="false">SUMIFS(AF$661:AF663,$B$661:$B663,$B664-$D664)</f>
        <v>0</v>
      </c>
      <c r="AC664" s="46" t="n">
        <f aca="false">AI663+AB664</f>
        <v>575</v>
      </c>
      <c r="AD664" s="46" t="n">
        <f aca="false">SUMIFS(AF$661:AF663,$B$661:$B663,"&gt;"&amp;($B664-$D664))</f>
        <v>0</v>
      </c>
      <c r="AE664" s="46" t="n">
        <f aca="false">AC664+AD664</f>
        <v>575</v>
      </c>
      <c r="AF664" s="47" t="n">
        <f aca="false">IF(AE664&lt;=Y664,AA664,0)</f>
        <v>0</v>
      </c>
      <c r="AG664" s="46" t="n">
        <f aca="false">MIN(AC664,I664)</f>
        <v>168</v>
      </c>
      <c r="AH664" s="46" t="n">
        <f aca="false">I664-AG664</f>
        <v>0</v>
      </c>
      <c r="AI664" s="46" t="n">
        <f aca="false">AC664-AG664</f>
        <v>407</v>
      </c>
      <c r="AJ664" s="46" t="n">
        <f aca="false">IF(AH664&gt;0,1,0)</f>
        <v>0</v>
      </c>
    </row>
    <row r="665" customFormat="false" ht="15" hidden="false" customHeight="false" outlineLevel="0" collapsed="false">
      <c r="A665" s="31" t="str">
        <f aca="false">Inputs!$B$78</f>
        <v>CLN-002</v>
      </c>
      <c r="B665" s="46" t="n">
        <f aca="false">B664+1</f>
        <v>93</v>
      </c>
      <c r="C665" s="46" t="n">
        <f aca="false">MATCH(A665,Inputs!$B$40:$B$87,0)</f>
        <v>39</v>
      </c>
      <c r="D665" s="32" t="n">
        <f aca="false">INDEX(Inputs!$F$40:$F$87,C665)</f>
        <v>1</v>
      </c>
      <c r="E665" s="78" t="n">
        <f aca="false">INDEX(Inputs!$H$40:$H$87,C665)</f>
        <v>5</v>
      </c>
      <c r="F665" s="78" t="n">
        <f aca="false">INDEX(Inputs!$G$40:$G$87,C665)</f>
        <v>35</v>
      </c>
      <c r="G665" s="32" t="n">
        <f aca="false">INDEX(Inputs!$I$40:$I$87,C665)</f>
        <v>20</v>
      </c>
      <c r="H665" s="46" t="n">
        <f aca="false">MATCH(A665,Demand_History!$C:$C,0)+B665-1</f>
        <v>4046</v>
      </c>
      <c r="I665" s="32" t="n">
        <f aca="false">INDEX(Forecast_Walkforward!$C:$C,H665)</f>
        <v>168</v>
      </c>
      <c r="J665" s="79" t="n">
        <f aca="false">INDEX(Forecast_Walkforward!$E:$E,H665)</f>
        <v>143</v>
      </c>
      <c r="K665" s="33" t="n">
        <f aca="false">Baseline_Weeks*J665</f>
        <v>572</v>
      </c>
      <c r="L665" s="46" t="n">
        <f aca="false">SUMIFS(P$661:P664,$B$661:$B664,$B665-$D665)</f>
        <v>40</v>
      </c>
      <c r="M665" s="46" t="n">
        <f aca="false">S664+L665</f>
        <v>447</v>
      </c>
      <c r="N665" s="46" t="n">
        <f aca="false">SUMIFS(P$661:P664,$B$661:$B664,"&gt;"&amp;($B665-$D665))</f>
        <v>0</v>
      </c>
      <c r="O665" s="46" t="n">
        <f aca="false">M665+N665</f>
        <v>447</v>
      </c>
      <c r="P665" s="47" t="n">
        <f aca="false">IF(O665&lt;K665,ROUNDUP((K665-O665)/G665,0)*G665,0)</f>
        <v>140</v>
      </c>
      <c r="Q665" s="46" t="n">
        <f aca="false">MIN(M665,I665)</f>
        <v>168</v>
      </c>
      <c r="R665" s="46" t="n">
        <f aca="false">I665-Q665</f>
        <v>0</v>
      </c>
      <c r="S665" s="46" t="n">
        <f aca="false">M665-Q665</f>
        <v>279</v>
      </c>
      <c r="T665" s="46" t="n">
        <f aca="false">IF(R665&gt;0,1,0)</f>
        <v>0</v>
      </c>
      <c r="U665" s="32" t="n">
        <f aca="false">INDEX(Forecast!$AY$7:$AY$54,C665)</f>
        <v>2</v>
      </c>
      <c r="V665" s="33" t="n">
        <f aca="false">CHOOSE(U665,INDEX(Forecast_Walkforward!$D:$D,H665),INDEX(Forecast_Walkforward!$E:$E,H665),INDEX(Forecast_Walkforward!$F:$F,H665),INDEX(Forecast_Walkforward!$G:$G,H665))</f>
        <v>143</v>
      </c>
      <c r="W665" s="79" t="n">
        <f aca="false">INDEX(Forecast!$BA$7:$BA$54,C665)</f>
        <v>25.2260495815078</v>
      </c>
      <c r="X665" s="33" t="n">
        <f aca="false">Z_Value*W665*SQRT(D665)</f>
        <v>41.4931591478007</v>
      </c>
      <c r="Y665" s="33" t="n">
        <f aca="false">V665*D665+X665</f>
        <v>184.493159147801</v>
      </c>
      <c r="Z665" s="33" t="n">
        <f aca="false">SQRT((2*V665*Weeks_Per_Year*F665)/(E665*Holding_Rate))</f>
        <v>721.470720126604</v>
      </c>
      <c r="AA665" s="46" t="n">
        <f aca="false">ROUNDUP(Z665/G665,0)*G665</f>
        <v>740</v>
      </c>
      <c r="AB665" s="46" t="n">
        <f aca="false">SUMIFS(AF$661:AF664,$B$661:$B664,$B665-$D665)</f>
        <v>0</v>
      </c>
      <c r="AC665" s="46" t="n">
        <f aca="false">AI664+AB665</f>
        <v>407</v>
      </c>
      <c r="AD665" s="46" t="n">
        <f aca="false">SUMIFS(AF$661:AF664,$B$661:$B664,"&gt;"&amp;($B665-$D665))</f>
        <v>0</v>
      </c>
      <c r="AE665" s="46" t="n">
        <f aca="false">AC665+AD665</f>
        <v>407</v>
      </c>
      <c r="AF665" s="47" t="n">
        <f aca="false">IF(AE665&lt;=Y665,AA665,0)</f>
        <v>0</v>
      </c>
      <c r="AG665" s="46" t="n">
        <f aca="false">MIN(AC665,I665)</f>
        <v>168</v>
      </c>
      <c r="AH665" s="46" t="n">
        <f aca="false">I665-AG665</f>
        <v>0</v>
      </c>
      <c r="AI665" s="46" t="n">
        <f aca="false">AC665-AG665</f>
        <v>239</v>
      </c>
      <c r="AJ665" s="46" t="n">
        <f aca="false">IF(AH665&gt;0,1,0)</f>
        <v>0</v>
      </c>
    </row>
    <row r="666" customFormat="false" ht="15" hidden="false" customHeight="false" outlineLevel="0" collapsed="false">
      <c r="A666" s="31" t="str">
        <f aca="false">Inputs!$B$78</f>
        <v>CLN-002</v>
      </c>
      <c r="B666" s="46" t="n">
        <f aca="false">B665+1</f>
        <v>94</v>
      </c>
      <c r="C666" s="46" t="n">
        <f aca="false">MATCH(A666,Inputs!$B$40:$B$87,0)</f>
        <v>39</v>
      </c>
      <c r="D666" s="32" t="n">
        <f aca="false">INDEX(Inputs!$F$40:$F$87,C666)</f>
        <v>1</v>
      </c>
      <c r="E666" s="78" t="n">
        <f aca="false">INDEX(Inputs!$H$40:$H$87,C666)</f>
        <v>5</v>
      </c>
      <c r="F666" s="78" t="n">
        <f aca="false">INDEX(Inputs!$G$40:$G$87,C666)</f>
        <v>35</v>
      </c>
      <c r="G666" s="32" t="n">
        <f aca="false">INDEX(Inputs!$I$40:$I$87,C666)</f>
        <v>20</v>
      </c>
      <c r="H666" s="46" t="n">
        <f aca="false">MATCH(A666,Demand_History!$C:$C,0)+B666-1</f>
        <v>4047</v>
      </c>
      <c r="I666" s="32" t="n">
        <f aca="false">INDEX(Forecast_Walkforward!$C:$C,H666)</f>
        <v>185</v>
      </c>
      <c r="J666" s="79" t="n">
        <f aca="false">INDEX(Forecast_Walkforward!$E:$E,H666)</f>
        <v>152.5</v>
      </c>
      <c r="K666" s="33" t="n">
        <f aca="false">Baseline_Weeks*J666</f>
        <v>610</v>
      </c>
      <c r="L666" s="46" t="n">
        <f aca="false">SUMIFS(P$661:P665,$B$661:$B665,$B666-$D666)</f>
        <v>140</v>
      </c>
      <c r="M666" s="46" t="n">
        <f aca="false">S665+L666</f>
        <v>419</v>
      </c>
      <c r="N666" s="46" t="n">
        <f aca="false">SUMIFS(P$661:P665,$B$661:$B665,"&gt;"&amp;($B666-$D666))</f>
        <v>0</v>
      </c>
      <c r="O666" s="46" t="n">
        <f aca="false">M666+N666</f>
        <v>419</v>
      </c>
      <c r="P666" s="47" t="n">
        <f aca="false">IF(O666&lt;K666,ROUNDUP((K666-O666)/G666,0)*G666,0)</f>
        <v>200</v>
      </c>
      <c r="Q666" s="46" t="n">
        <f aca="false">MIN(M666,I666)</f>
        <v>185</v>
      </c>
      <c r="R666" s="46" t="n">
        <f aca="false">I666-Q666</f>
        <v>0</v>
      </c>
      <c r="S666" s="46" t="n">
        <f aca="false">M666-Q666</f>
        <v>234</v>
      </c>
      <c r="T666" s="46" t="n">
        <f aca="false">IF(R666&gt;0,1,0)</f>
        <v>0</v>
      </c>
      <c r="U666" s="32" t="n">
        <f aca="false">INDEX(Forecast!$AY$7:$AY$54,C666)</f>
        <v>2</v>
      </c>
      <c r="V666" s="33" t="n">
        <f aca="false">CHOOSE(U666,INDEX(Forecast_Walkforward!$D:$D,H666),INDEX(Forecast_Walkforward!$E:$E,H666),INDEX(Forecast_Walkforward!$F:$F,H666),INDEX(Forecast_Walkforward!$G:$G,H666))</f>
        <v>152.5</v>
      </c>
      <c r="W666" s="79" t="n">
        <f aca="false">INDEX(Forecast!$BA$7:$BA$54,C666)</f>
        <v>25.2260495815078</v>
      </c>
      <c r="X666" s="33" t="n">
        <f aca="false">Z_Value*W666*SQRT(D666)</f>
        <v>41.4931591478007</v>
      </c>
      <c r="Y666" s="33" t="n">
        <f aca="false">V666*D666+X666</f>
        <v>193.993159147801</v>
      </c>
      <c r="Z666" s="33" t="n">
        <f aca="false">SQRT((2*V666*Weeks_Per_Year*F666)/(E666*Holding_Rate))</f>
        <v>745.050333870135</v>
      </c>
      <c r="AA666" s="46" t="n">
        <f aca="false">ROUNDUP(Z666/G666,0)*G666</f>
        <v>760</v>
      </c>
      <c r="AB666" s="46" t="n">
        <f aca="false">SUMIFS(AF$661:AF665,$B$661:$B665,$B666-$D666)</f>
        <v>0</v>
      </c>
      <c r="AC666" s="46" t="n">
        <f aca="false">AI665+AB666</f>
        <v>239</v>
      </c>
      <c r="AD666" s="46" t="n">
        <f aca="false">SUMIFS(AF$661:AF665,$B$661:$B665,"&gt;"&amp;($B666-$D666))</f>
        <v>0</v>
      </c>
      <c r="AE666" s="46" t="n">
        <f aca="false">AC666+AD666</f>
        <v>239</v>
      </c>
      <c r="AF666" s="47" t="n">
        <f aca="false">IF(AE666&lt;=Y666,AA666,0)</f>
        <v>0</v>
      </c>
      <c r="AG666" s="46" t="n">
        <f aca="false">MIN(AC666,I666)</f>
        <v>185</v>
      </c>
      <c r="AH666" s="46" t="n">
        <f aca="false">I666-AG666</f>
        <v>0</v>
      </c>
      <c r="AI666" s="46" t="n">
        <f aca="false">AC666-AG666</f>
        <v>54</v>
      </c>
      <c r="AJ666" s="46" t="n">
        <f aca="false">IF(AH666&gt;0,1,0)</f>
        <v>0</v>
      </c>
    </row>
    <row r="667" customFormat="false" ht="15" hidden="false" customHeight="false" outlineLevel="0" collapsed="false">
      <c r="A667" s="31" t="str">
        <f aca="false">Inputs!$B$78</f>
        <v>CLN-002</v>
      </c>
      <c r="B667" s="46" t="n">
        <f aca="false">B666+1</f>
        <v>95</v>
      </c>
      <c r="C667" s="46" t="n">
        <f aca="false">MATCH(A667,Inputs!$B$40:$B$87,0)</f>
        <v>39</v>
      </c>
      <c r="D667" s="32" t="n">
        <f aca="false">INDEX(Inputs!$F$40:$F$87,C667)</f>
        <v>1</v>
      </c>
      <c r="E667" s="78" t="n">
        <f aca="false">INDEX(Inputs!$H$40:$H$87,C667)</f>
        <v>5</v>
      </c>
      <c r="F667" s="78" t="n">
        <f aca="false">INDEX(Inputs!$G$40:$G$87,C667)</f>
        <v>35</v>
      </c>
      <c r="G667" s="32" t="n">
        <f aca="false">INDEX(Inputs!$I$40:$I$87,C667)</f>
        <v>20</v>
      </c>
      <c r="H667" s="46" t="n">
        <f aca="false">MATCH(A667,Demand_History!$C:$C,0)+B667-1</f>
        <v>4048</v>
      </c>
      <c r="I667" s="32" t="n">
        <f aca="false">INDEX(Forecast_Walkforward!$C:$C,H667)</f>
        <v>124</v>
      </c>
      <c r="J667" s="79" t="n">
        <f aca="false">INDEX(Forecast_Walkforward!$E:$E,H667)</f>
        <v>168.25</v>
      </c>
      <c r="K667" s="33" t="n">
        <f aca="false">Baseline_Weeks*J667</f>
        <v>673</v>
      </c>
      <c r="L667" s="46" t="n">
        <f aca="false">SUMIFS(P$661:P666,$B$661:$B666,$B667-$D667)</f>
        <v>200</v>
      </c>
      <c r="M667" s="46" t="n">
        <f aca="false">S666+L667</f>
        <v>434</v>
      </c>
      <c r="N667" s="46" t="n">
        <f aca="false">SUMIFS(P$661:P666,$B$661:$B666,"&gt;"&amp;($B667-$D667))</f>
        <v>0</v>
      </c>
      <c r="O667" s="46" t="n">
        <f aca="false">M667+N667</f>
        <v>434</v>
      </c>
      <c r="P667" s="47" t="n">
        <f aca="false">IF(O667&lt;K667,ROUNDUP((K667-O667)/G667,0)*G667,0)</f>
        <v>240</v>
      </c>
      <c r="Q667" s="46" t="n">
        <f aca="false">MIN(M667,I667)</f>
        <v>124</v>
      </c>
      <c r="R667" s="46" t="n">
        <f aca="false">I667-Q667</f>
        <v>0</v>
      </c>
      <c r="S667" s="46" t="n">
        <f aca="false">M667-Q667</f>
        <v>310</v>
      </c>
      <c r="T667" s="46" t="n">
        <f aca="false">IF(R667&gt;0,1,0)</f>
        <v>0</v>
      </c>
      <c r="U667" s="32" t="n">
        <f aca="false">INDEX(Forecast!$AY$7:$AY$54,C667)</f>
        <v>2</v>
      </c>
      <c r="V667" s="33" t="n">
        <f aca="false">CHOOSE(U667,INDEX(Forecast_Walkforward!$D:$D,H667),INDEX(Forecast_Walkforward!$E:$E,H667),INDEX(Forecast_Walkforward!$F:$F,H667),INDEX(Forecast_Walkforward!$G:$G,H667))</f>
        <v>168.25</v>
      </c>
      <c r="W667" s="79" t="n">
        <f aca="false">INDEX(Forecast!$BA$7:$BA$54,C667)</f>
        <v>25.2260495815078</v>
      </c>
      <c r="X667" s="33" t="n">
        <f aca="false">Z_Value*W667*SQRT(D667)</f>
        <v>41.4931591478007</v>
      </c>
      <c r="Y667" s="33" t="n">
        <f aca="false">V667*D667+X667</f>
        <v>209.743159147801</v>
      </c>
      <c r="Z667" s="33" t="n">
        <f aca="false">SQRT((2*V667*Weeks_Per_Year*F667)/(E667*Holding_Rate))</f>
        <v>782.57906948755</v>
      </c>
      <c r="AA667" s="46" t="n">
        <f aca="false">ROUNDUP(Z667/G667,0)*G667</f>
        <v>800</v>
      </c>
      <c r="AB667" s="46" t="n">
        <f aca="false">SUMIFS(AF$661:AF666,$B$661:$B666,$B667-$D667)</f>
        <v>0</v>
      </c>
      <c r="AC667" s="46" t="n">
        <f aca="false">AI666+AB667</f>
        <v>54</v>
      </c>
      <c r="AD667" s="46" t="n">
        <f aca="false">SUMIFS(AF$661:AF666,$B$661:$B666,"&gt;"&amp;($B667-$D667))</f>
        <v>0</v>
      </c>
      <c r="AE667" s="46" t="n">
        <f aca="false">AC667+AD667</f>
        <v>54</v>
      </c>
      <c r="AF667" s="47" t="n">
        <f aca="false">IF(AE667&lt;=Y667,AA667,0)</f>
        <v>800</v>
      </c>
      <c r="AG667" s="46" t="n">
        <f aca="false">MIN(AC667,I667)</f>
        <v>54</v>
      </c>
      <c r="AH667" s="46" t="n">
        <f aca="false">I667-AG667</f>
        <v>70</v>
      </c>
      <c r="AI667" s="46" t="n">
        <f aca="false">AC667-AG667</f>
        <v>0</v>
      </c>
      <c r="AJ667" s="46" t="n">
        <f aca="false">IF(AH667&gt;0,1,0)</f>
        <v>1</v>
      </c>
    </row>
    <row r="668" customFormat="false" ht="15" hidden="false" customHeight="false" outlineLevel="0" collapsed="false">
      <c r="A668" s="31" t="str">
        <f aca="false">Inputs!$B$78</f>
        <v>CLN-002</v>
      </c>
      <c r="B668" s="46" t="n">
        <f aca="false">B667+1</f>
        <v>96</v>
      </c>
      <c r="C668" s="46" t="n">
        <f aca="false">MATCH(A668,Inputs!$B$40:$B$87,0)</f>
        <v>39</v>
      </c>
      <c r="D668" s="32" t="n">
        <f aca="false">INDEX(Inputs!$F$40:$F$87,C668)</f>
        <v>1</v>
      </c>
      <c r="E668" s="78" t="n">
        <f aca="false">INDEX(Inputs!$H$40:$H$87,C668)</f>
        <v>5</v>
      </c>
      <c r="F668" s="78" t="n">
        <f aca="false">INDEX(Inputs!$G$40:$G$87,C668)</f>
        <v>35</v>
      </c>
      <c r="G668" s="32" t="n">
        <f aca="false">INDEX(Inputs!$I$40:$I$87,C668)</f>
        <v>20</v>
      </c>
      <c r="H668" s="46" t="n">
        <f aca="false">MATCH(A668,Demand_History!$C:$C,0)+B668-1</f>
        <v>4049</v>
      </c>
      <c r="I668" s="32" t="n">
        <f aca="false">INDEX(Forecast_Walkforward!$C:$C,H668)</f>
        <v>140</v>
      </c>
      <c r="J668" s="79" t="n">
        <f aca="false">INDEX(Forecast_Walkforward!$E:$E,H668)</f>
        <v>161.25</v>
      </c>
      <c r="K668" s="33" t="n">
        <f aca="false">Baseline_Weeks*J668</f>
        <v>645</v>
      </c>
      <c r="L668" s="46" t="n">
        <f aca="false">SUMIFS(P$661:P667,$B$661:$B667,$B668-$D668)</f>
        <v>240</v>
      </c>
      <c r="M668" s="46" t="n">
        <f aca="false">S667+L668</f>
        <v>550</v>
      </c>
      <c r="N668" s="46" t="n">
        <f aca="false">SUMIFS(P$661:P667,$B$661:$B667,"&gt;"&amp;($B668-$D668))</f>
        <v>0</v>
      </c>
      <c r="O668" s="46" t="n">
        <f aca="false">M668+N668</f>
        <v>550</v>
      </c>
      <c r="P668" s="47" t="n">
        <f aca="false">IF(O668&lt;K668,ROUNDUP((K668-O668)/G668,0)*G668,0)</f>
        <v>100</v>
      </c>
      <c r="Q668" s="46" t="n">
        <f aca="false">MIN(M668,I668)</f>
        <v>140</v>
      </c>
      <c r="R668" s="46" t="n">
        <f aca="false">I668-Q668</f>
        <v>0</v>
      </c>
      <c r="S668" s="46" t="n">
        <f aca="false">M668-Q668</f>
        <v>410</v>
      </c>
      <c r="T668" s="46" t="n">
        <f aca="false">IF(R668&gt;0,1,0)</f>
        <v>0</v>
      </c>
      <c r="U668" s="32" t="n">
        <f aca="false">INDEX(Forecast!$AY$7:$AY$54,C668)</f>
        <v>2</v>
      </c>
      <c r="V668" s="33" t="n">
        <f aca="false">CHOOSE(U668,INDEX(Forecast_Walkforward!$D:$D,H668),INDEX(Forecast_Walkforward!$E:$E,H668),INDEX(Forecast_Walkforward!$F:$F,H668),INDEX(Forecast_Walkforward!$G:$G,H668))</f>
        <v>161.25</v>
      </c>
      <c r="W668" s="79" t="n">
        <f aca="false">INDEX(Forecast!$BA$7:$BA$54,C668)</f>
        <v>25.2260495815078</v>
      </c>
      <c r="X668" s="33" t="n">
        <f aca="false">Z_Value*W668*SQRT(D668)</f>
        <v>41.4931591478007</v>
      </c>
      <c r="Y668" s="33" t="n">
        <f aca="false">V668*D668+X668</f>
        <v>202.743159147801</v>
      </c>
      <c r="Z668" s="33" t="n">
        <f aca="false">SQRT((2*V668*Weeks_Per_Year*F668)/(E668*Holding_Rate))</f>
        <v>766.126621388397</v>
      </c>
      <c r="AA668" s="46" t="n">
        <f aca="false">ROUNDUP(Z668/G668,0)*G668</f>
        <v>780</v>
      </c>
      <c r="AB668" s="46" t="n">
        <f aca="false">SUMIFS(AF$661:AF667,$B$661:$B667,$B668-$D668)</f>
        <v>800</v>
      </c>
      <c r="AC668" s="46" t="n">
        <f aca="false">AI667+AB668</f>
        <v>800</v>
      </c>
      <c r="AD668" s="46" t="n">
        <f aca="false">SUMIFS(AF$661:AF667,$B$661:$B667,"&gt;"&amp;($B668-$D668))</f>
        <v>0</v>
      </c>
      <c r="AE668" s="46" t="n">
        <f aca="false">AC668+AD668</f>
        <v>800</v>
      </c>
      <c r="AF668" s="47" t="n">
        <f aca="false">IF(AE668&lt;=Y668,AA668,0)</f>
        <v>0</v>
      </c>
      <c r="AG668" s="46" t="n">
        <f aca="false">MIN(AC668,I668)</f>
        <v>140</v>
      </c>
      <c r="AH668" s="46" t="n">
        <f aca="false">I668-AG668</f>
        <v>0</v>
      </c>
      <c r="AI668" s="46" t="n">
        <f aca="false">AC668-AG668</f>
        <v>660</v>
      </c>
      <c r="AJ668" s="46" t="n">
        <f aca="false">IF(AH668&gt;0,1,0)</f>
        <v>0</v>
      </c>
    </row>
    <row r="669" customFormat="false" ht="15" hidden="false" customHeight="false" outlineLevel="0" collapsed="false">
      <c r="A669" s="31" t="str">
        <f aca="false">Inputs!$B$78</f>
        <v>CLN-002</v>
      </c>
      <c r="B669" s="46" t="n">
        <f aca="false">B668+1</f>
        <v>97</v>
      </c>
      <c r="C669" s="46" t="n">
        <f aca="false">MATCH(A669,Inputs!$B$40:$B$87,0)</f>
        <v>39</v>
      </c>
      <c r="D669" s="32" t="n">
        <f aca="false">INDEX(Inputs!$F$40:$F$87,C669)</f>
        <v>1</v>
      </c>
      <c r="E669" s="78" t="n">
        <f aca="false">INDEX(Inputs!$H$40:$H$87,C669)</f>
        <v>5</v>
      </c>
      <c r="F669" s="78" t="n">
        <f aca="false">INDEX(Inputs!$G$40:$G$87,C669)</f>
        <v>35</v>
      </c>
      <c r="G669" s="32" t="n">
        <f aca="false">INDEX(Inputs!$I$40:$I$87,C669)</f>
        <v>20</v>
      </c>
      <c r="H669" s="46" t="n">
        <f aca="false">MATCH(A669,Demand_History!$C:$C,0)+B669-1</f>
        <v>4050</v>
      </c>
      <c r="I669" s="32" t="n">
        <f aca="false">INDEX(Forecast_Walkforward!$C:$C,H669)</f>
        <v>156</v>
      </c>
      <c r="J669" s="79" t="n">
        <f aca="false">INDEX(Forecast_Walkforward!$E:$E,H669)</f>
        <v>154.25</v>
      </c>
      <c r="K669" s="33" t="n">
        <f aca="false">Baseline_Weeks*J669</f>
        <v>617</v>
      </c>
      <c r="L669" s="46" t="n">
        <f aca="false">SUMIFS(P$661:P668,$B$661:$B668,$B669-$D669)</f>
        <v>100</v>
      </c>
      <c r="M669" s="46" t="n">
        <f aca="false">S668+L669</f>
        <v>510</v>
      </c>
      <c r="N669" s="46" t="n">
        <f aca="false">SUMIFS(P$661:P668,$B$661:$B668,"&gt;"&amp;($B669-$D669))</f>
        <v>0</v>
      </c>
      <c r="O669" s="46" t="n">
        <f aca="false">M669+N669</f>
        <v>510</v>
      </c>
      <c r="P669" s="47" t="n">
        <f aca="false">IF(O669&lt;K669,ROUNDUP((K669-O669)/G669,0)*G669,0)</f>
        <v>120</v>
      </c>
      <c r="Q669" s="46" t="n">
        <f aca="false">MIN(M669,I669)</f>
        <v>156</v>
      </c>
      <c r="R669" s="46" t="n">
        <f aca="false">I669-Q669</f>
        <v>0</v>
      </c>
      <c r="S669" s="46" t="n">
        <f aca="false">M669-Q669</f>
        <v>354</v>
      </c>
      <c r="T669" s="46" t="n">
        <f aca="false">IF(R669&gt;0,1,0)</f>
        <v>0</v>
      </c>
      <c r="U669" s="32" t="n">
        <f aca="false">INDEX(Forecast!$AY$7:$AY$54,C669)</f>
        <v>2</v>
      </c>
      <c r="V669" s="33" t="n">
        <f aca="false">CHOOSE(U669,INDEX(Forecast_Walkforward!$D:$D,H669),INDEX(Forecast_Walkforward!$E:$E,H669),INDEX(Forecast_Walkforward!$F:$F,H669),INDEX(Forecast_Walkforward!$G:$G,H669))</f>
        <v>154.25</v>
      </c>
      <c r="W669" s="79" t="n">
        <f aca="false">INDEX(Forecast!$BA$7:$BA$54,C669)</f>
        <v>25.2260495815078</v>
      </c>
      <c r="X669" s="33" t="n">
        <f aca="false">Z_Value*W669*SQRT(D669)</f>
        <v>41.4931591478007</v>
      </c>
      <c r="Y669" s="33" t="n">
        <f aca="false">V669*D669+X669</f>
        <v>195.743159147801</v>
      </c>
      <c r="Z669" s="33" t="n">
        <f aca="false">SQRT((2*V669*Weeks_Per_Year*F669)/(E669*Holding_Rate))</f>
        <v>749.313018704466</v>
      </c>
      <c r="AA669" s="46" t="n">
        <f aca="false">ROUNDUP(Z669/G669,0)*G669</f>
        <v>760</v>
      </c>
      <c r="AB669" s="46" t="n">
        <f aca="false">SUMIFS(AF$661:AF668,$B$661:$B668,$B669-$D669)</f>
        <v>0</v>
      </c>
      <c r="AC669" s="46" t="n">
        <f aca="false">AI668+AB669</f>
        <v>660</v>
      </c>
      <c r="AD669" s="46" t="n">
        <f aca="false">SUMIFS(AF$661:AF668,$B$661:$B668,"&gt;"&amp;($B669-$D669))</f>
        <v>0</v>
      </c>
      <c r="AE669" s="46" t="n">
        <f aca="false">AC669+AD669</f>
        <v>660</v>
      </c>
      <c r="AF669" s="47" t="n">
        <f aca="false">IF(AE669&lt;=Y669,AA669,0)</f>
        <v>0</v>
      </c>
      <c r="AG669" s="46" t="n">
        <f aca="false">MIN(AC669,I669)</f>
        <v>156</v>
      </c>
      <c r="AH669" s="46" t="n">
        <f aca="false">I669-AG669</f>
        <v>0</v>
      </c>
      <c r="AI669" s="46" t="n">
        <f aca="false">AC669-AG669</f>
        <v>504</v>
      </c>
      <c r="AJ669" s="46" t="n">
        <f aca="false">IF(AH669&gt;0,1,0)</f>
        <v>0</v>
      </c>
    </row>
    <row r="670" customFormat="false" ht="15" hidden="false" customHeight="false" outlineLevel="0" collapsed="false">
      <c r="A670" s="31" t="str">
        <f aca="false">Inputs!$B$78</f>
        <v>CLN-002</v>
      </c>
      <c r="B670" s="46" t="n">
        <f aca="false">B669+1</f>
        <v>98</v>
      </c>
      <c r="C670" s="46" t="n">
        <f aca="false">MATCH(A670,Inputs!$B$40:$B$87,0)</f>
        <v>39</v>
      </c>
      <c r="D670" s="32" t="n">
        <f aca="false">INDEX(Inputs!$F$40:$F$87,C670)</f>
        <v>1</v>
      </c>
      <c r="E670" s="78" t="n">
        <f aca="false">INDEX(Inputs!$H$40:$H$87,C670)</f>
        <v>5</v>
      </c>
      <c r="F670" s="78" t="n">
        <f aca="false">INDEX(Inputs!$G$40:$G$87,C670)</f>
        <v>35</v>
      </c>
      <c r="G670" s="32" t="n">
        <f aca="false">INDEX(Inputs!$I$40:$I$87,C670)</f>
        <v>20</v>
      </c>
      <c r="H670" s="46" t="n">
        <f aca="false">MATCH(A670,Demand_History!$C:$C,0)+B670-1</f>
        <v>4051</v>
      </c>
      <c r="I670" s="32" t="n">
        <f aca="false">INDEX(Forecast_Walkforward!$C:$C,H670)</f>
        <v>179</v>
      </c>
      <c r="J670" s="79" t="n">
        <f aca="false">INDEX(Forecast_Walkforward!$E:$E,H670)</f>
        <v>151.25</v>
      </c>
      <c r="K670" s="33" t="n">
        <f aca="false">Baseline_Weeks*J670</f>
        <v>605</v>
      </c>
      <c r="L670" s="46" t="n">
        <f aca="false">SUMIFS(P$661:P669,$B$661:$B669,$B670-$D670)</f>
        <v>120</v>
      </c>
      <c r="M670" s="46" t="n">
        <f aca="false">S669+L670</f>
        <v>474</v>
      </c>
      <c r="N670" s="46" t="n">
        <f aca="false">SUMIFS(P$661:P669,$B$661:$B669,"&gt;"&amp;($B670-$D670))</f>
        <v>0</v>
      </c>
      <c r="O670" s="46" t="n">
        <f aca="false">M670+N670</f>
        <v>474</v>
      </c>
      <c r="P670" s="47" t="n">
        <f aca="false">IF(O670&lt;K670,ROUNDUP((K670-O670)/G670,0)*G670,0)</f>
        <v>140</v>
      </c>
      <c r="Q670" s="46" t="n">
        <f aca="false">MIN(M670,I670)</f>
        <v>179</v>
      </c>
      <c r="R670" s="46" t="n">
        <f aca="false">I670-Q670</f>
        <v>0</v>
      </c>
      <c r="S670" s="46" t="n">
        <f aca="false">M670-Q670</f>
        <v>295</v>
      </c>
      <c r="T670" s="46" t="n">
        <f aca="false">IF(R670&gt;0,1,0)</f>
        <v>0</v>
      </c>
      <c r="U670" s="32" t="n">
        <f aca="false">INDEX(Forecast!$AY$7:$AY$54,C670)</f>
        <v>2</v>
      </c>
      <c r="V670" s="33" t="n">
        <f aca="false">CHOOSE(U670,INDEX(Forecast_Walkforward!$D:$D,H670),INDEX(Forecast_Walkforward!$E:$E,H670),INDEX(Forecast_Walkforward!$F:$F,H670),INDEX(Forecast_Walkforward!$G:$G,H670))</f>
        <v>151.25</v>
      </c>
      <c r="W670" s="79" t="n">
        <f aca="false">INDEX(Forecast!$BA$7:$BA$54,C670)</f>
        <v>25.2260495815078</v>
      </c>
      <c r="X670" s="33" t="n">
        <f aca="false">Z_Value*W670*SQRT(D670)</f>
        <v>41.4931591478007</v>
      </c>
      <c r="Y670" s="33" t="n">
        <f aca="false">V670*D670+X670</f>
        <v>192.743159147801</v>
      </c>
      <c r="Z670" s="33" t="n">
        <f aca="false">SQRT((2*V670*Weeks_Per_Year*F670)/(E670*Holding_Rate))</f>
        <v>741.990565977762</v>
      </c>
      <c r="AA670" s="46" t="n">
        <f aca="false">ROUNDUP(Z670/G670,0)*G670</f>
        <v>760</v>
      </c>
      <c r="AB670" s="46" t="n">
        <f aca="false">SUMIFS(AF$661:AF669,$B$661:$B669,$B670-$D670)</f>
        <v>0</v>
      </c>
      <c r="AC670" s="46" t="n">
        <f aca="false">AI669+AB670</f>
        <v>504</v>
      </c>
      <c r="AD670" s="46" t="n">
        <f aca="false">SUMIFS(AF$661:AF669,$B$661:$B669,"&gt;"&amp;($B670-$D670))</f>
        <v>0</v>
      </c>
      <c r="AE670" s="46" t="n">
        <f aca="false">AC670+AD670</f>
        <v>504</v>
      </c>
      <c r="AF670" s="47" t="n">
        <f aca="false">IF(AE670&lt;=Y670,AA670,0)</f>
        <v>0</v>
      </c>
      <c r="AG670" s="46" t="n">
        <f aca="false">MIN(AC670,I670)</f>
        <v>179</v>
      </c>
      <c r="AH670" s="46" t="n">
        <f aca="false">I670-AG670</f>
        <v>0</v>
      </c>
      <c r="AI670" s="46" t="n">
        <f aca="false">AC670-AG670</f>
        <v>325</v>
      </c>
      <c r="AJ670" s="46" t="n">
        <f aca="false">IF(AH670&gt;0,1,0)</f>
        <v>0</v>
      </c>
    </row>
    <row r="671" customFormat="false" ht="15" hidden="false" customHeight="false" outlineLevel="0" collapsed="false">
      <c r="A671" s="31" t="str">
        <f aca="false">Inputs!$B$78</f>
        <v>CLN-002</v>
      </c>
      <c r="B671" s="46" t="n">
        <f aca="false">B670+1</f>
        <v>99</v>
      </c>
      <c r="C671" s="46" t="n">
        <f aca="false">MATCH(A671,Inputs!$B$40:$B$87,0)</f>
        <v>39</v>
      </c>
      <c r="D671" s="32" t="n">
        <f aca="false">INDEX(Inputs!$F$40:$F$87,C671)</f>
        <v>1</v>
      </c>
      <c r="E671" s="78" t="n">
        <f aca="false">INDEX(Inputs!$H$40:$H$87,C671)</f>
        <v>5</v>
      </c>
      <c r="F671" s="78" t="n">
        <f aca="false">INDEX(Inputs!$G$40:$G$87,C671)</f>
        <v>35</v>
      </c>
      <c r="G671" s="32" t="n">
        <f aca="false">INDEX(Inputs!$I$40:$I$87,C671)</f>
        <v>20</v>
      </c>
      <c r="H671" s="46" t="n">
        <f aca="false">MATCH(A671,Demand_History!$C:$C,0)+B671-1</f>
        <v>4052</v>
      </c>
      <c r="I671" s="32" t="n">
        <f aca="false">INDEX(Forecast_Walkforward!$C:$C,H671)</f>
        <v>170</v>
      </c>
      <c r="J671" s="79" t="n">
        <f aca="false">INDEX(Forecast_Walkforward!$E:$E,H671)</f>
        <v>149.75</v>
      </c>
      <c r="K671" s="33" t="n">
        <f aca="false">Baseline_Weeks*J671</f>
        <v>599</v>
      </c>
      <c r="L671" s="46" t="n">
        <f aca="false">SUMIFS(P$661:P670,$B$661:$B670,$B671-$D671)</f>
        <v>140</v>
      </c>
      <c r="M671" s="46" t="n">
        <f aca="false">S670+L671</f>
        <v>435</v>
      </c>
      <c r="N671" s="46" t="n">
        <f aca="false">SUMIFS(P$661:P670,$B$661:$B670,"&gt;"&amp;($B671-$D671))</f>
        <v>0</v>
      </c>
      <c r="O671" s="46" t="n">
        <f aca="false">M671+N671</f>
        <v>435</v>
      </c>
      <c r="P671" s="47" t="n">
        <f aca="false">IF(O671&lt;K671,ROUNDUP((K671-O671)/G671,0)*G671,0)</f>
        <v>180</v>
      </c>
      <c r="Q671" s="46" t="n">
        <f aca="false">MIN(M671,I671)</f>
        <v>170</v>
      </c>
      <c r="R671" s="46" t="n">
        <f aca="false">I671-Q671</f>
        <v>0</v>
      </c>
      <c r="S671" s="46" t="n">
        <f aca="false">M671-Q671</f>
        <v>265</v>
      </c>
      <c r="T671" s="46" t="n">
        <f aca="false">IF(R671&gt;0,1,0)</f>
        <v>0</v>
      </c>
      <c r="U671" s="32" t="n">
        <f aca="false">INDEX(Forecast!$AY$7:$AY$54,C671)</f>
        <v>2</v>
      </c>
      <c r="V671" s="33" t="n">
        <f aca="false">CHOOSE(U671,INDEX(Forecast_Walkforward!$D:$D,H671),INDEX(Forecast_Walkforward!$E:$E,H671),INDEX(Forecast_Walkforward!$F:$F,H671),INDEX(Forecast_Walkforward!$G:$G,H671))</f>
        <v>149.75</v>
      </c>
      <c r="W671" s="79" t="n">
        <f aca="false">INDEX(Forecast!$BA$7:$BA$54,C671)</f>
        <v>25.2260495815078</v>
      </c>
      <c r="X671" s="33" t="n">
        <f aca="false">Z_Value*W671*SQRT(D671)</f>
        <v>41.4931591478007</v>
      </c>
      <c r="Y671" s="33" t="n">
        <f aca="false">V671*D671+X671</f>
        <v>191.243159147801</v>
      </c>
      <c r="Z671" s="33" t="n">
        <f aca="false">SQRT((2*V671*Weeks_Per_Year*F671)/(E671*Holding_Rate))</f>
        <v>738.302106186892</v>
      </c>
      <c r="AA671" s="46" t="n">
        <f aca="false">ROUNDUP(Z671/G671,0)*G671</f>
        <v>740</v>
      </c>
      <c r="AB671" s="46" t="n">
        <f aca="false">SUMIFS(AF$661:AF670,$B$661:$B670,$B671-$D671)</f>
        <v>0</v>
      </c>
      <c r="AC671" s="46" t="n">
        <f aca="false">AI670+AB671</f>
        <v>325</v>
      </c>
      <c r="AD671" s="46" t="n">
        <f aca="false">SUMIFS(AF$661:AF670,$B$661:$B670,"&gt;"&amp;($B671-$D671))</f>
        <v>0</v>
      </c>
      <c r="AE671" s="46" t="n">
        <f aca="false">AC671+AD671</f>
        <v>325</v>
      </c>
      <c r="AF671" s="47" t="n">
        <f aca="false">IF(AE671&lt;=Y671,AA671,0)</f>
        <v>0</v>
      </c>
      <c r="AG671" s="46" t="n">
        <f aca="false">MIN(AC671,I671)</f>
        <v>170</v>
      </c>
      <c r="AH671" s="46" t="n">
        <f aca="false">I671-AG671</f>
        <v>0</v>
      </c>
      <c r="AI671" s="46" t="n">
        <f aca="false">AC671-AG671</f>
        <v>155</v>
      </c>
      <c r="AJ671" s="46" t="n">
        <f aca="false">IF(AH671&gt;0,1,0)</f>
        <v>0</v>
      </c>
    </row>
    <row r="672" customFormat="false" ht="15" hidden="false" customHeight="false" outlineLevel="0" collapsed="false">
      <c r="A672" s="31" t="str">
        <f aca="false">Inputs!$B$78</f>
        <v>CLN-002</v>
      </c>
      <c r="B672" s="46" t="n">
        <f aca="false">B671+1</f>
        <v>100</v>
      </c>
      <c r="C672" s="46" t="n">
        <f aca="false">MATCH(A672,Inputs!$B$40:$B$87,0)</f>
        <v>39</v>
      </c>
      <c r="D672" s="32" t="n">
        <f aca="false">INDEX(Inputs!$F$40:$F$87,C672)</f>
        <v>1</v>
      </c>
      <c r="E672" s="78" t="n">
        <f aca="false">INDEX(Inputs!$H$40:$H$87,C672)</f>
        <v>5</v>
      </c>
      <c r="F672" s="78" t="n">
        <f aca="false">INDEX(Inputs!$G$40:$G$87,C672)</f>
        <v>35</v>
      </c>
      <c r="G672" s="32" t="n">
        <f aca="false">INDEX(Inputs!$I$40:$I$87,C672)</f>
        <v>20</v>
      </c>
      <c r="H672" s="46" t="n">
        <f aca="false">MATCH(A672,Demand_History!$C:$C,0)+B672-1</f>
        <v>4053</v>
      </c>
      <c r="I672" s="32" t="n">
        <f aca="false">INDEX(Forecast_Walkforward!$C:$C,H672)</f>
        <v>149</v>
      </c>
      <c r="J672" s="79" t="n">
        <f aca="false">INDEX(Forecast_Walkforward!$E:$E,H672)</f>
        <v>161.25</v>
      </c>
      <c r="K672" s="33" t="n">
        <f aca="false">Baseline_Weeks*J672</f>
        <v>645</v>
      </c>
      <c r="L672" s="46" t="n">
        <f aca="false">SUMIFS(P$661:P671,$B$661:$B671,$B672-$D672)</f>
        <v>180</v>
      </c>
      <c r="M672" s="46" t="n">
        <f aca="false">S671+L672</f>
        <v>445</v>
      </c>
      <c r="N672" s="46" t="n">
        <f aca="false">SUMIFS(P$661:P671,$B$661:$B671,"&gt;"&amp;($B672-$D672))</f>
        <v>0</v>
      </c>
      <c r="O672" s="46" t="n">
        <f aca="false">M672+N672</f>
        <v>445</v>
      </c>
      <c r="P672" s="47" t="n">
        <f aca="false">IF(O672&lt;K672,ROUNDUP((K672-O672)/G672,0)*G672,0)</f>
        <v>200</v>
      </c>
      <c r="Q672" s="46" t="n">
        <f aca="false">MIN(M672,I672)</f>
        <v>149</v>
      </c>
      <c r="R672" s="46" t="n">
        <f aca="false">I672-Q672</f>
        <v>0</v>
      </c>
      <c r="S672" s="46" t="n">
        <f aca="false">M672-Q672</f>
        <v>296</v>
      </c>
      <c r="T672" s="46" t="n">
        <f aca="false">IF(R672&gt;0,1,0)</f>
        <v>0</v>
      </c>
      <c r="U672" s="32" t="n">
        <f aca="false">INDEX(Forecast!$AY$7:$AY$54,C672)</f>
        <v>2</v>
      </c>
      <c r="V672" s="33" t="n">
        <f aca="false">CHOOSE(U672,INDEX(Forecast_Walkforward!$D:$D,H672),INDEX(Forecast_Walkforward!$E:$E,H672),INDEX(Forecast_Walkforward!$F:$F,H672),INDEX(Forecast_Walkforward!$G:$G,H672))</f>
        <v>161.25</v>
      </c>
      <c r="W672" s="79" t="n">
        <f aca="false">INDEX(Forecast!$BA$7:$BA$54,C672)</f>
        <v>25.2260495815078</v>
      </c>
      <c r="X672" s="33" t="n">
        <f aca="false">Z_Value*W672*SQRT(D672)</f>
        <v>41.4931591478007</v>
      </c>
      <c r="Y672" s="33" t="n">
        <f aca="false">V672*D672+X672</f>
        <v>202.743159147801</v>
      </c>
      <c r="Z672" s="33" t="n">
        <f aca="false">SQRT((2*V672*Weeks_Per_Year*F672)/(E672*Holding_Rate))</f>
        <v>766.126621388397</v>
      </c>
      <c r="AA672" s="46" t="n">
        <f aca="false">ROUNDUP(Z672/G672,0)*G672</f>
        <v>780</v>
      </c>
      <c r="AB672" s="46" t="n">
        <f aca="false">SUMIFS(AF$661:AF671,$B$661:$B671,$B672-$D672)</f>
        <v>0</v>
      </c>
      <c r="AC672" s="46" t="n">
        <f aca="false">AI671+AB672</f>
        <v>155</v>
      </c>
      <c r="AD672" s="46" t="n">
        <f aca="false">SUMIFS(AF$661:AF671,$B$661:$B671,"&gt;"&amp;($B672-$D672))</f>
        <v>0</v>
      </c>
      <c r="AE672" s="46" t="n">
        <f aca="false">AC672+AD672</f>
        <v>155</v>
      </c>
      <c r="AF672" s="47" t="n">
        <f aca="false">IF(AE672&lt;=Y672,AA672,0)</f>
        <v>780</v>
      </c>
      <c r="AG672" s="46" t="n">
        <f aca="false">MIN(AC672,I672)</f>
        <v>149</v>
      </c>
      <c r="AH672" s="46" t="n">
        <f aca="false">I672-AG672</f>
        <v>0</v>
      </c>
      <c r="AI672" s="46" t="n">
        <f aca="false">AC672-AG672</f>
        <v>6</v>
      </c>
      <c r="AJ672" s="46" t="n">
        <f aca="false">IF(AH672&gt;0,1,0)</f>
        <v>0</v>
      </c>
    </row>
    <row r="673" customFormat="false" ht="15" hidden="false" customHeight="false" outlineLevel="0" collapsed="false">
      <c r="A673" s="31" t="str">
        <f aca="false">Inputs!$B$78</f>
        <v>CLN-002</v>
      </c>
      <c r="B673" s="46" t="n">
        <f aca="false">B672+1</f>
        <v>101</v>
      </c>
      <c r="C673" s="46" t="n">
        <f aca="false">MATCH(A673,Inputs!$B$40:$B$87,0)</f>
        <v>39</v>
      </c>
      <c r="D673" s="32" t="n">
        <f aca="false">INDEX(Inputs!$F$40:$F$87,C673)</f>
        <v>1</v>
      </c>
      <c r="E673" s="78" t="n">
        <f aca="false">INDEX(Inputs!$H$40:$H$87,C673)</f>
        <v>5</v>
      </c>
      <c r="F673" s="78" t="n">
        <f aca="false">INDEX(Inputs!$G$40:$G$87,C673)</f>
        <v>35</v>
      </c>
      <c r="G673" s="32" t="n">
        <f aca="false">INDEX(Inputs!$I$40:$I$87,C673)</f>
        <v>20</v>
      </c>
      <c r="H673" s="46" t="n">
        <f aca="false">MATCH(A673,Demand_History!$C:$C,0)+B673-1</f>
        <v>4054</v>
      </c>
      <c r="I673" s="32" t="n">
        <f aca="false">INDEX(Forecast_Walkforward!$C:$C,H673)</f>
        <v>135</v>
      </c>
      <c r="J673" s="79" t="n">
        <f aca="false">INDEX(Forecast_Walkforward!$E:$E,H673)</f>
        <v>163.5</v>
      </c>
      <c r="K673" s="33" t="n">
        <f aca="false">Baseline_Weeks*J673</f>
        <v>654</v>
      </c>
      <c r="L673" s="46" t="n">
        <f aca="false">SUMIFS(P$661:P672,$B$661:$B672,$B673-$D673)</f>
        <v>200</v>
      </c>
      <c r="M673" s="46" t="n">
        <f aca="false">S672+L673</f>
        <v>496</v>
      </c>
      <c r="N673" s="46" t="n">
        <f aca="false">SUMIFS(P$661:P672,$B$661:$B672,"&gt;"&amp;($B673-$D673))</f>
        <v>0</v>
      </c>
      <c r="O673" s="46" t="n">
        <f aca="false">M673+N673</f>
        <v>496</v>
      </c>
      <c r="P673" s="47" t="n">
        <f aca="false">IF(O673&lt;K673,ROUNDUP((K673-O673)/G673,0)*G673,0)</f>
        <v>160</v>
      </c>
      <c r="Q673" s="46" t="n">
        <f aca="false">MIN(M673,I673)</f>
        <v>135</v>
      </c>
      <c r="R673" s="46" t="n">
        <f aca="false">I673-Q673</f>
        <v>0</v>
      </c>
      <c r="S673" s="46" t="n">
        <f aca="false">M673-Q673</f>
        <v>361</v>
      </c>
      <c r="T673" s="46" t="n">
        <f aca="false">IF(R673&gt;0,1,0)</f>
        <v>0</v>
      </c>
      <c r="U673" s="32" t="n">
        <f aca="false">INDEX(Forecast!$AY$7:$AY$54,C673)</f>
        <v>2</v>
      </c>
      <c r="V673" s="33" t="n">
        <f aca="false">CHOOSE(U673,INDEX(Forecast_Walkforward!$D:$D,H673),INDEX(Forecast_Walkforward!$E:$E,H673),INDEX(Forecast_Walkforward!$F:$F,H673),INDEX(Forecast_Walkforward!$G:$G,H673))</f>
        <v>163.5</v>
      </c>
      <c r="W673" s="79" t="n">
        <f aca="false">INDEX(Forecast!$BA$7:$BA$54,C673)</f>
        <v>25.2260495815078</v>
      </c>
      <c r="X673" s="33" t="n">
        <f aca="false">Z_Value*W673*SQRT(D673)</f>
        <v>41.4931591478007</v>
      </c>
      <c r="Y673" s="33" t="n">
        <f aca="false">V673*D673+X673</f>
        <v>204.993159147801</v>
      </c>
      <c r="Z673" s="33" t="n">
        <f aca="false">SQRT((2*V673*Weeks_Per_Year*F673)/(E673*Holding_Rate))</f>
        <v>771.453174210853</v>
      </c>
      <c r="AA673" s="46" t="n">
        <f aca="false">ROUNDUP(Z673/G673,0)*G673</f>
        <v>780</v>
      </c>
      <c r="AB673" s="46" t="n">
        <f aca="false">SUMIFS(AF$661:AF672,$B$661:$B672,$B673-$D673)</f>
        <v>780</v>
      </c>
      <c r="AC673" s="46" t="n">
        <f aca="false">AI672+AB673</f>
        <v>786</v>
      </c>
      <c r="AD673" s="46" t="n">
        <f aca="false">SUMIFS(AF$661:AF672,$B$661:$B672,"&gt;"&amp;($B673-$D673))</f>
        <v>0</v>
      </c>
      <c r="AE673" s="46" t="n">
        <f aca="false">AC673+AD673</f>
        <v>786</v>
      </c>
      <c r="AF673" s="47" t="n">
        <f aca="false">IF(AE673&lt;=Y673,AA673,0)</f>
        <v>0</v>
      </c>
      <c r="AG673" s="46" t="n">
        <f aca="false">MIN(AC673,I673)</f>
        <v>135</v>
      </c>
      <c r="AH673" s="46" t="n">
        <f aca="false">I673-AG673</f>
        <v>0</v>
      </c>
      <c r="AI673" s="46" t="n">
        <f aca="false">AC673-AG673</f>
        <v>651</v>
      </c>
      <c r="AJ673" s="46" t="n">
        <f aca="false">IF(AH673&gt;0,1,0)</f>
        <v>0</v>
      </c>
    </row>
    <row r="674" customFormat="false" ht="15" hidden="false" customHeight="false" outlineLevel="0" collapsed="false">
      <c r="A674" s="31" t="str">
        <f aca="false">Inputs!$B$78</f>
        <v>CLN-002</v>
      </c>
      <c r="B674" s="46" t="n">
        <f aca="false">B673+1</f>
        <v>102</v>
      </c>
      <c r="C674" s="46" t="n">
        <f aca="false">MATCH(A674,Inputs!$B$40:$B$87,0)</f>
        <v>39</v>
      </c>
      <c r="D674" s="32" t="n">
        <f aca="false">INDEX(Inputs!$F$40:$F$87,C674)</f>
        <v>1</v>
      </c>
      <c r="E674" s="78" t="n">
        <f aca="false">INDEX(Inputs!$H$40:$H$87,C674)</f>
        <v>5</v>
      </c>
      <c r="F674" s="78" t="n">
        <f aca="false">INDEX(Inputs!$G$40:$G$87,C674)</f>
        <v>35</v>
      </c>
      <c r="G674" s="32" t="n">
        <f aca="false">INDEX(Inputs!$I$40:$I$87,C674)</f>
        <v>20</v>
      </c>
      <c r="H674" s="46" t="n">
        <f aca="false">MATCH(A674,Demand_History!$C:$C,0)+B674-1</f>
        <v>4055</v>
      </c>
      <c r="I674" s="32" t="n">
        <f aca="false">INDEX(Forecast_Walkforward!$C:$C,H674)</f>
        <v>180</v>
      </c>
      <c r="J674" s="79" t="n">
        <f aca="false">INDEX(Forecast_Walkforward!$E:$E,H674)</f>
        <v>158.25</v>
      </c>
      <c r="K674" s="33" t="n">
        <f aca="false">Baseline_Weeks*J674</f>
        <v>633</v>
      </c>
      <c r="L674" s="46" t="n">
        <f aca="false">SUMIFS(P$661:P673,$B$661:$B673,$B674-$D674)</f>
        <v>160</v>
      </c>
      <c r="M674" s="46" t="n">
        <f aca="false">S673+L674</f>
        <v>521</v>
      </c>
      <c r="N674" s="46" t="n">
        <f aca="false">SUMIFS(P$661:P673,$B$661:$B673,"&gt;"&amp;($B674-$D674))</f>
        <v>0</v>
      </c>
      <c r="O674" s="46" t="n">
        <f aca="false">M674+N674</f>
        <v>521</v>
      </c>
      <c r="P674" s="47" t="n">
        <f aca="false">IF(O674&lt;K674,ROUNDUP((K674-O674)/G674,0)*G674,0)</f>
        <v>120</v>
      </c>
      <c r="Q674" s="46" t="n">
        <f aca="false">MIN(M674,I674)</f>
        <v>180</v>
      </c>
      <c r="R674" s="46" t="n">
        <f aca="false">I674-Q674</f>
        <v>0</v>
      </c>
      <c r="S674" s="46" t="n">
        <f aca="false">M674-Q674</f>
        <v>341</v>
      </c>
      <c r="T674" s="46" t="n">
        <f aca="false">IF(R674&gt;0,1,0)</f>
        <v>0</v>
      </c>
      <c r="U674" s="32" t="n">
        <f aca="false">INDEX(Forecast!$AY$7:$AY$54,C674)</f>
        <v>2</v>
      </c>
      <c r="V674" s="33" t="n">
        <f aca="false">CHOOSE(U674,INDEX(Forecast_Walkforward!$D:$D,H674),INDEX(Forecast_Walkforward!$E:$E,H674),INDEX(Forecast_Walkforward!$F:$F,H674),INDEX(Forecast_Walkforward!$G:$G,H674))</f>
        <v>158.25</v>
      </c>
      <c r="W674" s="79" t="n">
        <f aca="false">INDEX(Forecast!$BA$7:$BA$54,C674)</f>
        <v>25.2260495815078</v>
      </c>
      <c r="X674" s="33" t="n">
        <f aca="false">Z_Value*W674*SQRT(D674)</f>
        <v>41.4931591478007</v>
      </c>
      <c r="Y674" s="33" t="n">
        <f aca="false">V674*D674+X674</f>
        <v>199.743159147801</v>
      </c>
      <c r="Z674" s="33" t="n">
        <f aca="false">SQRT((2*V674*Weeks_Per_Year*F674)/(E674*Holding_Rate))</f>
        <v>758.966402418447</v>
      </c>
      <c r="AA674" s="46" t="n">
        <f aca="false">ROUNDUP(Z674/G674,0)*G674</f>
        <v>760</v>
      </c>
      <c r="AB674" s="46" t="n">
        <f aca="false">SUMIFS(AF$661:AF673,$B$661:$B673,$B674-$D674)</f>
        <v>0</v>
      </c>
      <c r="AC674" s="46" t="n">
        <f aca="false">AI673+AB674</f>
        <v>651</v>
      </c>
      <c r="AD674" s="46" t="n">
        <f aca="false">SUMIFS(AF$661:AF673,$B$661:$B673,"&gt;"&amp;($B674-$D674))</f>
        <v>0</v>
      </c>
      <c r="AE674" s="46" t="n">
        <f aca="false">AC674+AD674</f>
        <v>651</v>
      </c>
      <c r="AF674" s="47" t="n">
        <f aca="false">IF(AE674&lt;=Y674,AA674,0)</f>
        <v>0</v>
      </c>
      <c r="AG674" s="46" t="n">
        <f aca="false">MIN(AC674,I674)</f>
        <v>180</v>
      </c>
      <c r="AH674" s="46" t="n">
        <f aca="false">I674-AG674</f>
        <v>0</v>
      </c>
      <c r="AI674" s="46" t="n">
        <f aca="false">AC674-AG674</f>
        <v>471</v>
      </c>
      <c r="AJ674" s="46" t="n">
        <f aca="false">IF(AH674&gt;0,1,0)</f>
        <v>0</v>
      </c>
    </row>
    <row r="675" customFormat="false" ht="15" hidden="false" customHeight="false" outlineLevel="0" collapsed="false">
      <c r="A675" s="31" t="str">
        <f aca="false">Inputs!$B$78</f>
        <v>CLN-002</v>
      </c>
      <c r="B675" s="46" t="n">
        <f aca="false">B674+1</f>
        <v>103</v>
      </c>
      <c r="C675" s="46" t="n">
        <f aca="false">MATCH(A675,Inputs!$B$40:$B$87,0)</f>
        <v>39</v>
      </c>
      <c r="D675" s="32" t="n">
        <f aca="false">INDEX(Inputs!$F$40:$F$87,C675)</f>
        <v>1</v>
      </c>
      <c r="E675" s="78" t="n">
        <f aca="false">INDEX(Inputs!$H$40:$H$87,C675)</f>
        <v>5</v>
      </c>
      <c r="F675" s="78" t="n">
        <f aca="false">INDEX(Inputs!$G$40:$G$87,C675)</f>
        <v>35</v>
      </c>
      <c r="G675" s="32" t="n">
        <f aca="false">INDEX(Inputs!$I$40:$I$87,C675)</f>
        <v>20</v>
      </c>
      <c r="H675" s="46" t="n">
        <f aca="false">MATCH(A675,Demand_History!$C:$C,0)+B675-1</f>
        <v>4056</v>
      </c>
      <c r="I675" s="32" t="n">
        <f aca="false">INDEX(Forecast_Walkforward!$C:$C,H675)</f>
        <v>181</v>
      </c>
      <c r="J675" s="79" t="n">
        <f aca="false">INDEX(Forecast_Walkforward!$E:$E,H675)</f>
        <v>158.5</v>
      </c>
      <c r="K675" s="33" t="n">
        <f aca="false">Baseline_Weeks*J675</f>
        <v>634</v>
      </c>
      <c r="L675" s="46" t="n">
        <f aca="false">SUMIFS(P$661:P674,$B$661:$B674,$B675-$D675)</f>
        <v>120</v>
      </c>
      <c r="M675" s="46" t="n">
        <f aca="false">S674+L675</f>
        <v>461</v>
      </c>
      <c r="N675" s="46" t="n">
        <f aca="false">SUMIFS(P$661:P674,$B$661:$B674,"&gt;"&amp;($B675-$D675))</f>
        <v>0</v>
      </c>
      <c r="O675" s="46" t="n">
        <f aca="false">M675+N675</f>
        <v>461</v>
      </c>
      <c r="P675" s="47" t="n">
        <f aca="false">IF(O675&lt;K675,ROUNDUP((K675-O675)/G675,0)*G675,0)</f>
        <v>180</v>
      </c>
      <c r="Q675" s="46" t="n">
        <f aca="false">MIN(M675,I675)</f>
        <v>181</v>
      </c>
      <c r="R675" s="46" t="n">
        <f aca="false">I675-Q675</f>
        <v>0</v>
      </c>
      <c r="S675" s="46" t="n">
        <f aca="false">M675-Q675</f>
        <v>280</v>
      </c>
      <c r="T675" s="46" t="n">
        <f aca="false">IF(R675&gt;0,1,0)</f>
        <v>0</v>
      </c>
      <c r="U675" s="32" t="n">
        <f aca="false">INDEX(Forecast!$AY$7:$AY$54,C675)</f>
        <v>2</v>
      </c>
      <c r="V675" s="33" t="n">
        <f aca="false">CHOOSE(U675,INDEX(Forecast_Walkforward!$D:$D,H675),INDEX(Forecast_Walkforward!$E:$E,H675),INDEX(Forecast_Walkforward!$F:$F,H675),INDEX(Forecast_Walkforward!$G:$G,H675))</f>
        <v>158.5</v>
      </c>
      <c r="W675" s="79" t="n">
        <f aca="false">INDEX(Forecast!$BA$7:$BA$54,C675)</f>
        <v>25.2260495815078</v>
      </c>
      <c r="X675" s="33" t="n">
        <f aca="false">Z_Value*W675*SQRT(D675)</f>
        <v>41.4931591478007</v>
      </c>
      <c r="Y675" s="33" t="n">
        <f aca="false">V675*D675+X675</f>
        <v>199.993159147801</v>
      </c>
      <c r="Z675" s="33" t="n">
        <f aca="false">SQRT((2*V675*Weeks_Per_Year*F675)/(E675*Holding_Rate))</f>
        <v>759.565665364095</v>
      </c>
      <c r="AA675" s="46" t="n">
        <f aca="false">ROUNDUP(Z675/G675,0)*G675</f>
        <v>760</v>
      </c>
      <c r="AB675" s="46" t="n">
        <f aca="false">SUMIFS(AF$661:AF674,$B$661:$B674,$B675-$D675)</f>
        <v>0</v>
      </c>
      <c r="AC675" s="46" t="n">
        <f aca="false">AI674+AB675</f>
        <v>471</v>
      </c>
      <c r="AD675" s="46" t="n">
        <f aca="false">SUMIFS(AF$661:AF674,$B$661:$B674,"&gt;"&amp;($B675-$D675))</f>
        <v>0</v>
      </c>
      <c r="AE675" s="46" t="n">
        <f aca="false">AC675+AD675</f>
        <v>471</v>
      </c>
      <c r="AF675" s="47" t="n">
        <f aca="false">IF(AE675&lt;=Y675,AA675,0)</f>
        <v>0</v>
      </c>
      <c r="AG675" s="46" t="n">
        <f aca="false">MIN(AC675,I675)</f>
        <v>181</v>
      </c>
      <c r="AH675" s="46" t="n">
        <f aca="false">I675-AG675</f>
        <v>0</v>
      </c>
      <c r="AI675" s="46" t="n">
        <f aca="false">AC675-AG675</f>
        <v>290</v>
      </c>
      <c r="AJ675" s="46" t="n">
        <f aca="false">IF(AH675&gt;0,1,0)</f>
        <v>0</v>
      </c>
    </row>
    <row r="676" customFormat="false" ht="15" hidden="false" customHeight="false" outlineLevel="0" collapsed="false">
      <c r="A676" s="80" t="str">
        <f aca="false">Inputs!$B$78</f>
        <v>CLN-002</v>
      </c>
      <c r="B676" s="81" t="n">
        <f aca="false">B675+1</f>
        <v>104</v>
      </c>
      <c r="C676" s="81" t="n">
        <f aca="false">MATCH(A676,Inputs!$B$40:$B$87,0)</f>
        <v>39</v>
      </c>
      <c r="D676" s="82" t="n">
        <f aca="false">INDEX(Inputs!$F$40:$F$87,C676)</f>
        <v>1</v>
      </c>
      <c r="E676" s="83" t="n">
        <f aca="false">INDEX(Inputs!$H$40:$H$87,C676)</f>
        <v>5</v>
      </c>
      <c r="F676" s="83" t="n">
        <f aca="false">INDEX(Inputs!$G$40:$G$87,C676)</f>
        <v>35</v>
      </c>
      <c r="G676" s="82" t="n">
        <f aca="false">INDEX(Inputs!$I$40:$I$87,C676)</f>
        <v>20</v>
      </c>
      <c r="H676" s="81" t="n">
        <f aca="false">MATCH(A676,Demand_History!$C:$C,0)+B676-1</f>
        <v>4057</v>
      </c>
      <c r="I676" s="82" t="n">
        <f aca="false">INDEX(Forecast_Walkforward!$C:$C,H676)</f>
        <v>223</v>
      </c>
      <c r="J676" s="84" t="n">
        <f aca="false">INDEX(Forecast_Walkforward!$E:$E,H676)</f>
        <v>161.25</v>
      </c>
      <c r="K676" s="85" t="n">
        <f aca="false">Baseline_Weeks*J676</f>
        <v>645</v>
      </c>
      <c r="L676" s="81" t="n">
        <f aca="false">SUMIFS(P$661:P675,$B$661:$B675,$B676-$D676)</f>
        <v>180</v>
      </c>
      <c r="M676" s="81" t="n">
        <f aca="false">S675+L676</f>
        <v>460</v>
      </c>
      <c r="N676" s="81" t="n">
        <f aca="false">SUMIFS(P$661:P675,$B$661:$B675,"&gt;"&amp;($B676-$D676))</f>
        <v>0</v>
      </c>
      <c r="O676" s="81" t="n">
        <f aca="false">M676+N676</f>
        <v>460</v>
      </c>
      <c r="P676" s="86" t="n">
        <f aca="false">IF(O676&lt;K676,ROUNDUP((K676-O676)/G676,0)*G676,0)</f>
        <v>200</v>
      </c>
      <c r="Q676" s="81" t="n">
        <f aca="false">MIN(M676,I676)</f>
        <v>223</v>
      </c>
      <c r="R676" s="81" t="n">
        <f aca="false">I676-Q676</f>
        <v>0</v>
      </c>
      <c r="S676" s="81" t="n">
        <f aca="false">M676-Q676</f>
        <v>237</v>
      </c>
      <c r="T676" s="81" t="n">
        <f aca="false">IF(R676&gt;0,1,0)</f>
        <v>0</v>
      </c>
      <c r="U676" s="82" t="n">
        <f aca="false">INDEX(Forecast!$AY$7:$AY$54,C676)</f>
        <v>2</v>
      </c>
      <c r="V676" s="85" t="n">
        <f aca="false">CHOOSE(U676,INDEX(Forecast_Walkforward!$D:$D,H676),INDEX(Forecast_Walkforward!$E:$E,H676),INDEX(Forecast_Walkforward!$F:$F,H676),INDEX(Forecast_Walkforward!$G:$G,H676))</f>
        <v>161.25</v>
      </c>
      <c r="W676" s="84" t="n">
        <f aca="false">INDEX(Forecast!$BA$7:$BA$54,C676)</f>
        <v>25.2260495815078</v>
      </c>
      <c r="X676" s="85" t="n">
        <f aca="false">Z_Value*W676*SQRT(D676)</f>
        <v>41.4931591478007</v>
      </c>
      <c r="Y676" s="85" t="n">
        <f aca="false">V676*D676+X676</f>
        <v>202.743159147801</v>
      </c>
      <c r="Z676" s="85" t="n">
        <f aca="false">SQRT((2*V676*Weeks_Per_Year*F676)/(E676*Holding_Rate))</f>
        <v>766.126621388397</v>
      </c>
      <c r="AA676" s="81" t="n">
        <f aca="false">ROUNDUP(Z676/G676,0)*G676</f>
        <v>780</v>
      </c>
      <c r="AB676" s="81" t="n">
        <f aca="false">SUMIFS(AF$661:AF675,$B$661:$B675,$B676-$D676)</f>
        <v>0</v>
      </c>
      <c r="AC676" s="81" t="n">
        <f aca="false">AI675+AB676</f>
        <v>290</v>
      </c>
      <c r="AD676" s="81" t="n">
        <f aca="false">SUMIFS(AF$661:AF675,$B$661:$B675,"&gt;"&amp;($B676-$D676))</f>
        <v>0</v>
      </c>
      <c r="AE676" s="81" t="n">
        <f aca="false">AC676+AD676</f>
        <v>290</v>
      </c>
      <c r="AF676" s="86" t="n">
        <f aca="false">IF(AE676&lt;=Y676,AA676,0)</f>
        <v>0</v>
      </c>
      <c r="AG676" s="81" t="n">
        <f aca="false">MIN(AC676,I676)</f>
        <v>223</v>
      </c>
      <c r="AH676" s="81" t="n">
        <f aca="false">I676-AG676</f>
        <v>0</v>
      </c>
      <c r="AI676" s="81" t="n">
        <f aca="false">AC676-AG676</f>
        <v>67</v>
      </c>
      <c r="AJ676" s="81" t="n">
        <f aca="false">IF(AH676&gt;0,1,0)</f>
        <v>0</v>
      </c>
    </row>
    <row r="677" customFormat="false" ht="15" hidden="false" customHeight="false" outlineLevel="0" collapsed="false">
      <c r="A677" s="31" t="str">
        <f aca="false">Inputs!$B$79</f>
        <v>CLN-003</v>
      </c>
      <c r="B677" s="46" t="n">
        <f aca="false">BT_Start_Week</f>
        <v>89</v>
      </c>
      <c r="C677" s="46" t="n">
        <f aca="false">MATCH(A677,Inputs!$B$40:$B$87,0)</f>
        <v>40</v>
      </c>
      <c r="D677" s="32" t="n">
        <f aca="false">INDEX(Inputs!$F$40:$F$87,C677)</f>
        <v>1</v>
      </c>
      <c r="E677" s="78" t="n">
        <f aca="false">INDEX(Inputs!$H$40:$H$87,C677)</f>
        <v>9</v>
      </c>
      <c r="F677" s="78" t="n">
        <f aca="false">INDEX(Inputs!$G$40:$G$87,C677)</f>
        <v>35</v>
      </c>
      <c r="G677" s="32" t="n">
        <f aca="false">INDEX(Inputs!$I$40:$I$87,C677)</f>
        <v>6</v>
      </c>
      <c r="H677" s="46" t="n">
        <f aca="false">MATCH(A677,Demand_History!$C:$C,0)+B677-1</f>
        <v>4146</v>
      </c>
      <c r="I677" s="32" t="n">
        <f aca="false">INDEX(Forecast_Walkforward!$C:$C,H677)</f>
        <v>171</v>
      </c>
      <c r="J677" s="79" t="n">
        <f aca="false">INDEX(Forecast_Walkforward!$E:$E,H677)</f>
        <v>172.25</v>
      </c>
      <c r="K677" s="33" t="n">
        <f aca="false">Baseline_Weeks*J677</f>
        <v>689</v>
      </c>
      <c r="L677" s="46" t="n">
        <f aca="false">0</f>
        <v>0</v>
      </c>
      <c r="M677" s="46" t="n">
        <f aca="false">ROUND(BT_Open_Cover*INDEX(Forecast_Walkforward!$F:$F,H677),0)+L677</f>
        <v>985</v>
      </c>
      <c r="N677" s="46" t="n">
        <f aca="false">0</f>
        <v>0</v>
      </c>
      <c r="O677" s="46" t="n">
        <f aca="false">M677+N677</f>
        <v>985</v>
      </c>
      <c r="P677" s="47" t="n">
        <f aca="false">IF(O677&lt;K677,ROUNDUP((K677-O677)/G677,0)*G677,0)</f>
        <v>0</v>
      </c>
      <c r="Q677" s="46" t="n">
        <f aca="false">MIN(M677,I677)</f>
        <v>171</v>
      </c>
      <c r="R677" s="46" t="n">
        <f aca="false">I677-Q677</f>
        <v>0</v>
      </c>
      <c r="S677" s="46" t="n">
        <f aca="false">M677-Q677</f>
        <v>814</v>
      </c>
      <c r="T677" s="46" t="n">
        <f aca="false">IF(R677&gt;0,1,0)</f>
        <v>0</v>
      </c>
      <c r="U677" s="32" t="n">
        <f aca="false">INDEX(Forecast!$AY$7:$AY$54,C677)</f>
        <v>2</v>
      </c>
      <c r="V677" s="33" t="n">
        <f aca="false">CHOOSE(U677,INDEX(Forecast_Walkforward!$D:$D,H677),INDEX(Forecast_Walkforward!$E:$E,H677),INDEX(Forecast_Walkforward!$F:$F,H677),INDEX(Forecast_Walkforward!$G:$G,H677))</f>
        <v>172.25</v>
      </c>
      <c r="W677" s="79" t="n">
        <f aca="false">INDEX(Forecast!$BA$7:$BA$54,C677)</f>
        <v>26.3675776586267</v>
      </c>
      <c r="X677" s="33" t="n">
        <f aca="false">Z_Value*W677*SQRT(D677)</f>
        <v>43.3708057457167</v>
      </c>
      <c r="Y677" s="33" t="n">
        <f aca="false">V677*D677+X677</f>
        <v>215.620805745717</v>
      </c>
      <c r="Z677" s="33" t="n">
        <f aca="false">SQRT((2*V677*Weeks_Per_Year*F677)/(E677*Holding_Rate))</f>
        <v>590.19300044797</v>
      </c>
      <c r="AA677" s="46" t="n">
        <f aca="false">ROUNDUP(Z677/G677,0)*G677</f>
        <v>594</v>
      </c>
      <c r="AB677" s="46" t="n">
        <f aca="false">0</f>
        <v>0</v>
      </c>
      <c r="AC677" s="46" t="n">
        <f aca="false">ROUND(BT_Open_Cover*INDEX(Forecast_Walkforward!$F:$F,H677),0)+AB677</f>
        <v>985</v>
      </c>
      <c r="AD677" s="46" t="n">
        <f aca="false">0</f>
        <v>0</v>
      </c>
      <c r="AE677" s="46" t="n">
        <f aca="false">AC677+AD677</f>
        <v>985</v>
      </c>
      <c r="AF677" s="47" t="n">
        <f aca="false">IF(AE677&lt;=Y677,AA677,0)</f>
        <v>0</v>
      </c>
      <c r="AG677" s="46" t="n">
        <f aca="false">MIN(AC677,I677)</f>
        <v>171</v>
      </c>
      <c r="AH677" s="46" t="n">
        <f aca="false">I677-AG677</f>
        <v>0</v>
      </c>
      <c r="AI677" s="46" t="n">
        <f aca="false">AC677-AG677</f>
        <v>814</v>
      </c>
      <c r="AJ677" s="46" t="n">
        <f aca="false">IF(AH677&gt;0,1,0)</f>
        <v>0</v>
      </c>
    </row>
    <row r="678" customFormat="false" ht="15" hidden="false" customHeight="false" outlineLevel="0" collapsed="false">
      <c r="A678" s="31" t="str">
        <f aca="false">Inputs!$B$79</f>
        <v>CLN-003</v>
      </c>
      <c r="B678" s="46" t="n">
        <f aca="false">B677+1</f>
        <v>90</v>
      </c>
      <c r="C678" s="46" t="n">
        <f aca="false">MATCH(A678,Inputs!$B$40:$B$87,0)</f>
        <v>40</v>
      </c>
      <c r="D678" s="32" t="n">
        <f aca="false">INDEX(Inputs!$F$40:$F$87,C678)</f>
        <v>1</v>
      </c>
      <c r="E678" s="78" t="n">
        <f aca="false">INDEX(Inputs!$H$40:$H$87,C678)</f>
        <v>9</v>
      </c>
      <c r="F678" s="78" t="n">
        <f aca="false">INDEX(Inputs!$G$40:$G$87,C678)</f>
        <v>35</v>
      </c>
      <c r="G678" s="32" t="n">
        <f aca="false">INDEX(Inputs!$I$40:$I$87,C678)</f>
        <v>6</v>
      </c>
      <c r="H678" s="46" t="n">
        <f aca="false">MATCH(A678,Demand_History!$C:$C,0)+B678-1</f>
        <v>4147</v>
      </c>
      <c r="I678" s="32" t="n">
        <f aca="false">INDEX(Forecast_Walkforward!$C:$C,H678)</f>
        <v>204</v>
      </c>
      <c r="J678" s="79" t="n">
        <f aca="false">INDEX(Forecast_Walkforward!$E:$E,H678)</f>
        <v>177.25</v>
      </c>
      <c r="K678" s="33" t="n">
        <f aca="false">Baseline_Weeks*J678</f>
        <v>709</v>
      </c>
      <c r="L678" s="46" t="n">
        <f aca="false">SUMIFS(P$677:P677,$B$677:$B677,$B678-$D678)</f>
        <v>0</v>
      </c>
      <c r="M678" s="46" t="n">
        <f aca="false">S677+L678</f>
        <v>814</v>
      </c>
      <c r="N678" s="46" t="n">
        <f aca="false">SUMIFS(P$677:P677,$B$677:$B677,"&gt;"&amp;($B678-$D678))</f>
        <v>0</v>
      </c>
      <c r="O678" s="46" t="n">
        <f aca="false">M678+N678</f>
        <v>814</v>
      </c>
      <c r="P678" s="47" t="n">
        <f aca="false">IF(O678&lt;K678,ROUNDUP((K678-O678)/G678,0)*G678,0)</f>
        <v>0</v>
      </c>
      <c r="Q678" s="46" t="n">
        <f aca="false">MIN(M678,I678)</f>
        <v>204</v>
      </c>
      <c r="R678" s="46" t="n">
        <f aca="false">I678-Q678</f>
        <v>0</v>
      </c>
      <c r="S678" s="46" t="n">
        <f aca="false">M678-Q678</f>
        <v>610</v>
      </c>
      <c r="T678" s="46" t="n">
        <f aca="false">IF(R678&gt;0,1,0)</f>
        <v>0</v>
      </c>
      <c r="U678" s="32" t="n">
        <f aca="false">INDEX(Forecast!$AY$7:$AY$54,C678)</f>
        <v>2</v>
      </c>
      <c r="V678" s="33" t="n">
        <f aca="false">CHOOSE(U678,INDEX(Forecast_Walkforward!$D:$D,H678),INDEX(Forecast_Walkforward!$E:$E,H678),INDEX(Forecast_Walkforward!$F:$F,H678),INDEX(Forecast_Walkforward!$G:$G,H678))</f>
        <v>177.25</v>
      </c>
      <c r="W678" s="79" t="n">
        <f aca="false">INDEX(Forecast!$BA$7:$BA$54,C678)</f>
        <v>26.3675776586267</v>
      </c>
      <c r="X678" s="33" t="n">
        <f aca="false">Z_Value*W678*SQRT(D678)</f>
        <v>43.3708057457167</v>
      </c>
      <c r="Y678" s="33" t="n">
        <f aca="false">V678*D678+X678</f>
        <v>220.620805745717</v>
      </c>
      <c r="Z678" s="33" t="n">
        <f aca="false">SQRT((2*V678*Weeks_Per_Year*F678)/(E678*Holding_Rate))</f>
        <v>598.697660667627</v>
      </c>
      <c r="AA678" s="46" t="n">
        <f aca="false">ROUNDUP(Z678/G678,0)*G678</f>
        <v>600</v>
      </c>
      <c r="AB678" s="46" t="n">
        <f aca="false">SUMIFS(AF$677:AF677,$B$677:$B677,$B678-$D678)</f>
        <v>0</v>
      </c>
      <c r="AC678" s="46" t="n">
        <f aca="false">AI677+AB678</f>
        <v>814</v>
      </c>
      <c r="AD678" s="46" t="n">
        <f aca="false">SUMIFS(AF$677:AF677,$B$677:$B677,"&gt;"&amp;($B678-$D678))</f>
        <v>0</v>
      </c>
      <c r="AE678" s="46" t="n">
        <f aca="false">AC678+AD678</f>
        <v>814</v>
      </c>
      <c r="AF678" s="47" t="n">
        <f aca="false">IF(AE678&lt;=Y678,AA678,0)</f>
        <v>0</v>
      </c>
      <c r="AG678" s="46" t="n">
        <f aca="false">MIN(AC678,I678)</f>
        <v>204</v>
      </c>
      <c r="AH678" s="46" t="n">
        <f aca="false">I678-AG678</f>
        <v>0</v>
      </c>
      <c r="AI678" s="46" t="n">
        <f aca="false">AC678-AG678</f>
        <v>610</v>
      </c>
      <c r="AJ678" s="46" t="n">
        <f aca="false">IF(AH678&gt;0,1,0)</f>
        <v>0</v>
      </c>
    </row>
    <row r="679" customFormat="false" ht="15" hidden="false" customHeight="false" outlineLevel="0" collapsed="false">
      <c r="A679" s="31" t="str">
        <f aca="false">Inputs!$B$79</f>
        <v>CLN-003</v>
      </c>
      <c r="B679" s="46" t="n">
        <f aca="false">B678+1</f>
        <v>91</v>
      </c>
      <c r="C679" s="46" t="n">
        <f aca="false">MATCH(A679,Inputs!$B$40:$B$87,0)</f>
        <v>40</v>
      </c>
      <c r="D679" s="32" t="n">
        <f aca="false">INDEX(Inputs!$F$40:$F$87,C679)</f>
        <v>1</v>
      </c>
      <c r="E679" s="78" t="n">
        <f aca="false">INDEX(Inputs!$H$40:$H$87,C679)</f>
        <v>9</v>
      </c>
      <c r="F679" s="78" t="n">
        <f aca="false">INDEX(Inputs!$G$40:$G$87,C679)</f>
        <v>35</v>
      </c>
      <c r="G679" s="32" t="n">
        <f aca="false">INDEX(Inputs!$I$40:$I$87,C679)</f>
        <v>6</v>
      </c>
      <c r="H679" s="46" t="n">
        <f aca="false">MATCH(A679,Demand_History!$C:$C,0)+B679-1</f>
        <v>4148</v>
      </c>
      <c r="I679" s="32" t="n">
        <f aca="false">INDEX(Forecast_Walkforward!$C:$C,H679)</f>
        <v>194</v>
      </c>
      <c r="J679" s="79" t="n">
        <f aca="false">INDEX(Forecast_Walkforward!$E:$E,H679)</f>
        <v>185.75</v>
      </c>
      <c r="K679" s="33" t="n">
        <f aca="false">Baseline_Weeks*J679</f>
        <v>743</v>
      </c>
      <c r="L679" s="46" t="n">
        <f aca="false">SUMIFS(P$677:P678,$B$677:$B678,$B679-$D679)</f>
        <v>0</v>
      </c>
      <c r="M679" s="46" t="n">
        <f aca="false">S678+L679</f>
        <v>610</v>
      </c>
      <c r="N679" s="46" t="n">
        <f aca="false">SUMIFS(P$677:P678,$B$677:$B678,"&gt;"&amp;($B679-$D679))</f>
        <v>0</v>
      </c>
      <c r="O679" s="46" t="n">
        <f aca="false">M679+N679</f>
        <v>610</v>
      </c>
      <c r="P679" s="47" t="n">
        <f aca="false">IF(O679&lt;K679,ROUNDUP((K679-O679)/G679,0)*G679,0)</f>
        <v>138</v>
      </c>
      <c r="Q679" s="46" t="n">
        <f aca="false">MIN(M679,I679)</f>
        <v>194</v>
      </c>
      <c r="R679" s="46" t="n">
        <f aca="false">I679-Q679</f>
        <v>0</v>
      </c>
      <c r="S679" s="46" t="n">
        <f aca="false">M679-Q679</f>
        <v>416</v>
      </c>
      <c r="T679" s="46" t="n">
        <f aca="false">IF(R679&gt;0,1,0)</f>
        <v>0</v>
      </c>
      <c r="U679" s="32" t="n">
        <f aca="false">INDEX(Forecast!$AY$7:$AY$54,C679)</f>
        <v>2</v>
      </c>
      <c r="V679" s="33" t="n">
        <f aca="false">CHOOSE(U679,INDEX(Forecast_Walkforward!$D:$D,H679),INDEX(Forecast_Walkforward!$E:$E,H679),INDEX(Forecast_Walkforward!$F:$F,H679),INDEX(Forecast_Walkforward!$G:$G,H679))</f>
        <v>185.75</v>
      </c>
      <c r="W679" s="79" t="n">
        <f aca="false">INDEX(Forecast!$BA$7:$BA$54,C679)</f>
        <v>26.3675776586267</v>
      </c>
      <c r="X679" s="33" t="n">
        <f aca="false">Z_Value*W679*SQRT(D679)</f>
        <v>43.3708057457167</v>
      </c>
      <c r="Y679" s="33" t="n">
        <f aca="false">V679*D679+X679</f>
        <v>229.120805745717</v>
      </c>
      <c r="Z679" s="33" t="n">
        <f aca="false">SQRT((2*V679*Weeks_Per_Year*F679)/(E679*Holding_Rate))</f>
        <v>612.884799760753</v>
      </c>
      <c r="AA679" s="46" t="n">
        <f aca="false">ROUNDUP(Z679/G679,0)*G679</f>
        <v>618</v>
      </c>
      <c r="AB679" s="46" t="n">
        <f aca="false">SUMIFS(AF$677:AF678,$B$677:$B678,$B679-$D679)</f>
        <v>0</v>
      </c>
      <c r="AC679" s="46" t="n">
        <f aca="false">AI678+AB679</f>
        <v>610</v>
      </c>
      <c r="AD679" s="46" t="n">
        <f aca="false">SUMIFS(AF$677:AF678,$B$677:$B678,"&gt;"&amp;($B679-$D679))</f>
        <v>0</v>
      </c>
      <c r="AE679" s="46" t="n">
        <f aca="false">AC679+AD679</f>
        <v>610</v>
      </c>
      <c r="AF679" s="47" t="n">
        <f aca="false">IF(AE679&lt;=Y679,AA679,0)</f>
        <v>0</v>
      </c>
      <c r="AG679" s="46" t="n">
        <f aca="false">MIN(AC679,I679)</f>
        <v>194</v>
      </c>
      <c r="AH679" s="46" t="n">
        <f aca="false">I679-AG679</f>
        <v>0</v>
      </c>
      <c r="AI679" s="46" t="n">
        <f aca="false">AC679-AG679</f>
        <v>416</v>
      </c>
      <c r="AJ679" s="46" t="n">
        <f aca="false">IF(AH679&gt;0,1,0)</f>
        <v>0</v>
      </c>
    </row>
    <row r="680" customFormat="false" ht="15" hidden="false" customHeight="false" outlineLevel="0" collapsed="false">
      <c r="A680" s="31" t="str">
        <f aca="false">Inputs!$B$79</f>
        <v>CLN-003</v>
      </c>
      <c r="B680" s="46" t="n">
        <f aca="false">B679+1</f>
        <v>92</v>
      </c>
      <c r="C680" s="46" t="n">
        <f aca="false">MATCH(A680,Inputs!$B$40:$B$87,0)</f>
        <v>40</v>
      </c>
      <c r="D680" s="32" t="n">
        <f aca="false">INDEX(Inputs!$F$40:$F$87,C680)</f>
        <v>1</v>
      </c>
      <c r="E680" s="78" t="n">
        <f aca="false">INDEX(Inputs!$H$40:$H$87,C680)</f>
        <v>9</v>
      </c>
      <c r="F680" s="78" t="n">
        <f aca="false">INDEX(Inputs!$G$40:$G$87,C680)</f>
        <v>35</v>
      </c>
      <c r="G680" s="32" t="n">
        <f aca="false">INDEX(Inputs!$I$40:$I$87,C680)</f>
        <v>6</v>
      </c>
      <c r="H680" s="46" t="n">
        <f aca="false">MATCH(A680,Demand_History!$C:$C,0)+B680-1</f>
        <v>4149</v>
      </c>
      <c r="I680" s="32" t="n">
        <f aca="false">INDEX(Forecast_Walkforward!$C:$C,H680)</f>
        <v>195</v>
      </c>
      <c r="J680" s="79" t="n">
        <f aca="false">INDEX(Forecast_Walkforward!$E:$E,H680)</f>
        <v>184.75</v>
      </c>
      <c r="K680" s="33" t="n">
        <f aca="false">Baseline_Weeks*J680</f>
        <v>739</v>
      </c>
      <c r="L680" s="46" t="n">
        <f aca="false">SUMIFS(P$677:P679,$B$677:$B679,$B680-$D680)</f>
        <v>138</v>
      </c>
      <c r="M680" s="46" t="n">
        <f aca="false">S679+L680</f>
        <v>554</v>
      </c>
      <c r="N680" s="46" t="n">
        <f aca="false">SUMIFS(P$677:P679,$B$677:$B679,"&gt;"&amp;($B680-$D680))</f>
        <v>0</v>
      </c>
      <c r="O680" s="46" t="n">
        <f aca="false">M680+N680</f>
        <v>554</v>
      </c>
      <c r="P680" s="47" t="n">
        <f aca="false">IF(O680&lt;K680,ROUNDUP((K680-O680)/G680,0)*G680,0)</f>
        <v>186</v>
      </c>
      <c r="Q680" s="46" t="n">
        <f aca="false">MIN(M680,I680)</f>
        <v>195</v>
      </c>
      <c r="R680" s="46" t="n">
        <f aca="false">I680-Q680</f>
        <v>0</v>
      </c>
      <c r="S680" s="46" t="n">
        <f aca="false">M680-Q680</f>
        <v>359</v>
      </c>
      <c r="T680" s="46" t="n">
        <f aca="false">IF(R680&gt;0,1,0)</f>
        <v>0</v>
      </c>
      <c r="U680" s="32" t="n">
        <f aca="false">INDEX(Forecast!$AY$7:$AY$54,C680)</f>
        <v>2</v>
      </c>
      <c r="V680" s="33" t="n">
        <f aca="false">CHOOSE(U680,INDEX(Forecast_Walkforward!$D:$D,H680),INDEX(Forecast_Walkforward!$E:$E,H680),INDEX(Forecast_Walkforward!$F:$F,H680),INDEX(Forecast_Walkforward!$G:$G,H680))</f>
        <v>184.75</v>
      </c>
      <c r="W680" s="79" t="n">
        <f aca="false">INDEX(Forecast!$BA$7:$BA$54,C680)</f>
        <v>26.3675776586267</v>
      </c>
      <c r="X680" s="33" t="n">
        <f aca="false">Z_Value*W680*SQRT(D680)</f>
        <v>43.3708057457167</v>
      </c>
      <c r="Y680" s="33" t="n">
        <f aca="false">V680*D680+X680</f>
        <v>228.120805745717</v>
      </c>
      <c r="Z680" s="33" t="n">
        <f aca="false">SQRT((2*V680*Weeks_Per_Year*F680)/(E680*Holding_Rate))</f>
        <v>611.232816163821</v>
      </c>
      <c r="AA680" s="46" t="n">
        <f aca="false">ROUNDUP(Z680/G680,0)*G680</f>
        <v>612</v>
      </c>
      <c r="AB680" s="46" t="n">
        <f aca="false">SUMIFS(AF$677:AF679,$B$677:$B679,$B680-$D680)</f>
        <v>0</v>
      </c>
      <c r="AC680" s="46" t="n">
        <f aca="false">AI679+AB680</f>
        <v>416</v>
      </c>
      <c r="AD680" s="46" t="n">
        <f aca="false">SUMIFS(AF$677:AF679,$B$677:$B679,"&gt;"&amp;($B680-$D680))</f>
        <v>0</v>
      </c>
      <c r="AE680" s="46" t="n">
        <f aca="false">AC680+AD680</f>
        <v>416</v>
      </c>
      <c r="AF680" s="47" t="n">
        <f aca="false">IF(AE680&lt;=Y680,AA680,0)</f>
        <v>0</v>
      </c>
      <c r="AG680" s="46" t="n">
        <f aca="false">MIN(AC680,I680)</f>
        <v>195</v>
      </c>
      <c r="AH680" s="46" t="n">
        <f aca="false">I680-AG680</f>
        <v>0</v>
      </c>
      <c r="AI680" s="46" t="n">
        <f aca="false">AC680-AG680</f>
        <v>221</v>
      </c>
      <c r="AJ680" s="46" t="n">
        <f aca="false">IF(AH680&gt;0,1,0)</f>
        <v>0</v>
      </c>
    </row>
    <row r="681" customFormat="false" ht="15" hidden="false" customHeight="false" outlineLevel="0" collapsed="false">
      <c r="A681" s="31" t="str">
        <f aca="false">Inputs!$B$79</f>
        <v>CLN-003</v>
      </c>
      <c r="B681" s="46" t="n">
        <f aca="false">B680+1</f>
        <v>93</v>
      </c>
      <c r="C681" s="46" t="n">
        <f aca="false">MATCH(A681,Inputs!$B$40:$B$87,0)</f>
        <v>40</v>
      </c>
      <c r="D681" s="32" t="n">
        <f aca="false">INDEX(Inputs!$F$40:$F$87,C681)</f>
        <v>1</v>
      </c>
      <c r="E681" s="78" t="n">
        <f aca="false">INDEX(Inputs!$H$40:$H$87,C681)</f>
        <v>9</v>
      </c>
      <c r="F681" s="78" t="n">
        <f aca="false">INDEX(Inputs!$G$40:$G$87,C681)</f>
        <v>35</v>
      </c>
      <c r="G681" s="32" t="n">
        <f aca="false">INDEX(Inputs!$I$40:$I$87,C681)</f>
        <v>6</v>
      </c>
      <c r="H681" s="46" t="n">
        <f aca="false">MATCH(A681,Demand_History!$C:$C,0)+B681-1</f>
        <v>4150</v>
      </c>
      <c r="I681" s="32" t="n">
        <f aca="false">INDEX(Forecast_Walkforward!$C:$C,H681)</f>
        <v>208</v>
      </c>
      <c r="J681" s="79" t="n">
        <f aca="false">INDEX(Forecast_Walkforward!$E:$E,H681)</f>
        <v>191</v>
      </c>
      <c r="K681" s="33" t="n">
        <f aca="false">Baseline_Weeks*J681</f>
        <v>764</v>
      </c>
      <c r="L681" s="46" t="n">
        <f aca="false">SUMIFS(P$677:P680,$B$677:$B680,$B681-$D681)</f>
        <v>186</v>
      </c>
      <c r="M681" s="46" t="n">
        <f aca="false">S680+L681</f>
        <v>545</v>
      </c>
      <c r="N681" s="46" t="n">
        <f aca="false">SUMIFS(P$677:P680,$B$677:$B680,"&gt;"&amp;($B681-$D681))</f>
        <v>0</v>
      </c>
      <c r="O681" s="46" t="n">
        <f aca="false">M681+N681</f>
        <v>545</v>
      </c>
      <c r="P681" s="47" t="n">
        <f aca="false">IF(O681&lt;K681,ROUNDUP((K681-O681)/G681,0)*G681,0)</f>
        <v>222</v>
      </c>
      <c r="Q681" s="46" t="n">
        <f aca="false">MIN(M681,I681)</f>
        <v>208</v>
      </c>
      <c r="R681" s="46" t="n">
        <f aca="false">I681-Q681</f>
        <v>0</v>
      </c>
      <c r="S681" s="46" t="n">
        <f aca="false">M681-Q681</f>
        <v>337</v>
      </c>
      <c r="T681" s="46" t="n">
        <f aca="false">IF(R681&gt;0,1,0)</f>
        <v>0</v>
      </c>
      <c r="U681" s="32" t="n">
        <f aca="false">INDEX(Forecast!$AY$7:$AY$54,C681)</f>
        <v>2</v>
      </c>
      <c r="V681" s="33" t="n">
        <f aca="false">CHOOSE(U681,INDEX(Forecast_Walkforward!$D:$D,H681),INDEX(Forecast_Walkforward!$E:$E,H681),INDEX(Forecast_Walkforward!$F:$F,H681),INDEX(Forecast_Walkforward!$G:$G,H681))</f>
        <v>191</v>
      </c>
      <c r="W681" s="79" t="n">
        <f aca="false">INDEX(Forecast!$BA$7:$BA$54,C681)</f>
        <v>26.3675776586267</v>
      </c>
      <c r="X681" s="33" t="n">
        <f aca="false">Z_Value*W681*SQRT(D681)</f>
        <v>43.3708057457167</v>
      </c>
      <c r="Y681" s="33" t="n">
        <f aca="false">V681*D681+X681</f>
        <v>234.370805745717</v>
      </c>
      <c r="Z681" s="33" t="n">
        <f aca="false">SQRT((2*V681*Weeks_Per_Year*F681)/(E681*Holding_Rate))</f>
        <v>621.48567517236</v>
      </c>
      <c r="AA681" s="46" t="n">
        <f aca="false">ROUNDUP(Z681/G681,0)*G681</f>
        <v>624</v>
      </c>
      <c r="AB681" s="46" t="n">
        <f aca="false">SUMIFS(AF$677:AF680,$B$677:$B680,$B681-$D681)</f>
        <v>0</v>
      </c>
      <c r="AC681" s="46" t="n">
        <f aca="false">AI680+AB681</f>
        <v>221</v>
      </c>
      <c r="AD681" s="46" t="n">
        <f aca="false">SUMIFS(AF$677:AF680,$B$677:$B680,"&gt;"&amp;($B681-$D681))</f>
        <v>0</v>
      </c>
      <c r="AE681" s="46" t="n">
        <f aca="false">AC681+AD681</f>
        <v>221</v>
      </c>
      <c r="AF681" s="47" t="n">
        <f aca="false">IF(AE681&lt;=Y681,AA681,0)</f>
        <v>624</v>
      </c>
      <c r="AG681" s="46" t="n">
        <f aca="false">MIN(AC681,I681)</f>
        <v>208</v>
      </c>
      <c r="AH681" s="46" t="n">
        <f aca="false">I681-AG681</f>
        <v>0</v>
      </c>
      <c r="AI681" s="46" t="n">
        <f aca="false">AC681-AG681</f>
        <v>13</v>
      </c>
      <c r="AJ681" s="46" t="n">
        <f aca="false">IF(AH681&gt;0,1,0)</f>
        <v>0</v>
      </c>
    </row>
    <row r="682" customFormat="false" ht="15" hidden="false" customHeight="false" outlineLevel="0" collapsed="false">
      <c r="A682" s="31" t="str">
        <f aca="false">Inputs!$B$79</f>
        <v>CLN-003</v>
      </c>
      <c r="B682" s="46" t="n">
        <f aca="false">B681+1</f>
        <v>94</v>
      </c>
      <c r="C682" s="46" t="n">
        <f aca="false">MATCH(A682,Inputs!$B$40:$B$87,0)</f>
        <v>40</v>
      </c>
      <c r="D682" s="32" t="n">
        <f aca="false">INDEX(Inputs!$F$40:$F$87,C682)</f>
        <v>1</v>
      </c>
      <c r="E682" s="78" t="n">
        <f aca="false">INDEX(Inputs!$H$40:$H$87,C682)</f>
        <v>9</v>
      </c>
      <c r="F682" s="78" t="n">
        <f aca="false">INDEX(Inputs!$G$40:$G$87,C682)</f>
        <v>35</v>
      </c>
      <c r="G682" s="32" t="n">
        <f aca="false">INDEX(Inputs!$I$40:$I$87,C682)</f>
        <v>6</v>
      </c>
      <c r="H682" s="46" t="n">
        <f aca="false">MATCH(A682,Demand_History!$C:$C,0)+B682-1</f>
        <v>4151</v>
      </c>
      <c r="I682" s="32" t="n">
        <f aca="false">INDEX(Forecast_Walkforward!$C:$C,H682)</f>
        <v>159</v>
      </c>
      <c r="J682" s="79" t="n">
        <f aca="false">INDEX(Forecast_Walkforward!$E:$E,H682)</f>
        <v>200.25</v>
      </c>
      <c r="K682" s="33" t="n">
        <f aca="false">Baseline_Weeks*J682</f>
        <v>801</v>
      </c>
      <c r="L682" s="46" t="n">
        <f aca="false">SUMIFS(P$677:P681,$B$677:$B681,$B682-$D682)</f>
        <v>222</v>
      </c>
      <c r="M682" s="46" t="n">
        <f aca="false">S681+L682</f>
        <v>559</v>
      </c>
      <c r="N682" s="46" t="n">
        <f aca="false">SUMIFS(P$677:P681,$B$677:$B681,"&gt;"&amp;($B682-$D682))</f>
        <v>0</v>
      </c>
      <c r="O682" s="46" t="n">
        <f aca="false">M682+N682</f>
        <v>559</v>
      </c>
      <c r="P682" s="47" t="n">
        <f aca="false">IF(O682&lt;K682,ROUNDUP((K682-O682)/G682,0)*G682,0)</f>
        <v>246</v>
      </c>
      <c r="Q682" s="46" t="n">
        <f aca="false">MIN(M682,I682)</f>
        <v>159</v>
      </c>
      <c r="R682" s="46" t="n">
        <f aca="false">I682-Q682</f>
        <v>0</v>
      </c>
      <c r="S682" s="46" t="n">
        <f aca="false">M682-Q682</f>
        <v>400</v>
      </c>
      <c r="T682" s="46" t="n">
        <f aca="false">IF(R682&gt;0,1,0)</f>
        <v>0</v>
      </c>
      <c r="U682" s="32" t="n">
        <f aca="false">INDEX(Forecast!$AY$7:$AY$54,C682)</f>
        <v>2</v>
      </c>
      <c r="V682" s="33" t="n">
        <f aca="false">CHOOSE(U682,INDEX(Forecast_Walkforward!$D:$D,H682),INDEX(Forecast_Walkforward!$E:$E,H682),INDEX(Forecast_Walkforward!$F:$F,H682),INDEX(Forecast_Walkforward!$G:$G,H682))</f>
        <v>200.25</v>
      </c>
      <c r="W682" s="79" t="n">
        <f aca="false">INDEX(Forecast!$BA$7:$BA$54,C682)</f>
        <v>26.3675776586267</v>
      </c>
      <c r="X682" s="33" t="n">
        <f aca="false">Z_Value*W682*SQRT(D682)</f>
        <v>43.3708057457167</v>
      </c>
      <c r="Y682" s="33" t="n">
        <f aca="false">V682*D682+X682</f>
        <v>243.620805745717</v>
      </c>
      <c r="Z682" s="33" t="n">
        <f aca="false">SQRT((2*V682*Weeks_Per_Year*F682)/(E682*Holding_Rate))</f>
        <v>636.356818145292</v>
      </c>
      <c r="AA682" s="46" t="n">
        <f aca="false">ROUNDUP(Z682/G682,0)*G682</f>
        <v>642</v>
      </c>
      <c r="AB682" s="46" t="n">
        <f aca="false">SUMIFS(AF$677:AF681,$B$677:$B681,$B682-$D682)</f>
        <v>624</v>
      </c>
      <c r="AC682" s="46" t="n">
        <f aca="false">AI681+AB682</f>
        <v>637</v>
      </c>
      <c r="AD682" s="46" t="n">
        <f aca="false">SUMIFS(AF$677:AF681,$B$677:$B681,"&gt;"&amp;($B682-$D682))</f>
        <v>0</v>
      </c>
      <c r="AE682" s="46" t="n">
        <f aca="false">AC682+AD682</f>
        <v>637</v>
      </c>
      <c r="AF682" s="47" t="n">
        <f aca="false">IF(AE682&lt;=Y682,AA682,0)</f>
        <v>0</v>
      </c>
      <c r="AG682" s="46" t="n">
        <f aca="false">MIN(AC682,I682)</f>
        <v>159</v>
      </c>
      <c r="AH682" s="46" t="n">
        <f aca="false">I682-AG682</f>
        <v>0</v>
      </c>
      <c r="AI682" s="46" t="n">
        <f aca="false">AC682-AG682</f>
        <v>478</v>
      </c>
      <c r="AJ682" s="46" t="n">
        <f aca="false">IF(AH682&gt;0,1,0)</f>
        <v>0</v>
      </c>
    </row>
    <row r="683" customFormat="false" ht="15" hidden="false" customHeight="false" outlineLevel="0" collapsed="false">
      <c r="A683" s="31" t="str">
        <f aca="false">Inputs!$B$79</f>
        <v>CLN-003</v>
      </c>
      <c r="B683" s="46" t="n">
        <f aca="false">B682+1</f>
        <v>95</v>
      </c>
      <c r="C683" s="46" t="n">
        <f aca="false">MATCH(A683,Inputs!$B$40:$B$87,0)</f>
        <v>40</v>
      </c>
      <c r="D683" s="32" t="n">
        <f aca="false">INDEX(Inputs!$F$40:$F$87,C683)</f>
        <v>1</v>
      </c>
      <c r="E683" s="78" t="n">
        <f aca="false">INDEX(Inputs!$H$40:$H$87,C683)</f>
        <v>9</v>
      </c>
      <c r="F683" s="78" t="n">
        <f aca="false">INDEX(Inputs!$G$40:$G$87,C683)</f>
        <v>35</v>
      </c>
      <c r="G683" s="32" t="n">
        <f aca="false">INDEX(Inputs!$I$40:$I$87,C683)</f>
        <v>6</v>
      </c>
      <c r="H683" s="46" t="n">
        <f aca="false">MATCH(A683,Demand_History!$C:$C,0)+B683-1</f>
        <v>4152</v>
      </c>
      <c r="I683" s="32" t="n">
        <f aca="false">INDEX(Forecast_Walkforward!$C:$C,H683)</f>
        <v>192</v>
      </c>
      <c r="J683" s="79" t="n">
        <f aca="false">INDEX(Forecast_Walkforward!$E:$E,H683)</f>
        <v>189</v>
      </c>
      <c r="K683" s="33" t="n">
        <f aca="false">Baseline_Weeks*J683</f>
        <v>756</v>
      </c>
      <c r="L683" s="46" t="n">
        <f aca="false">SUMIFS(P$677:P682,$B$677:$B682,$B683-$D683)</f>
        <v>246</v>
      </c>
      <c r="M683" s="46" t="n">
        <f aca="false">S682+L683</f>
        <v>646</v>
      </c>
      <c r="N683" s="46" t="n">
        <f aca="false">SUMIFS(P$677:P682,$B$677:$B682,"&gt;"&amp;($B683-$D683))</f>
        <v>0</v>
      </c>
      <c r="O683" s="46" t="n">
        <f aca="false">M683+N683</f>
        <v>646</v>
      </c>
      <c r="P683" s="47" t="n">
        <f aca="false">IF(O683&lt;K683,ROUNDUP((K683-O683)/G683,0)*G683,0)</f>
        <v>114</v>
      </c>
      <c r="Q683" s="46" t="n">
        <f aca="false">MIN(M683,I683)</f>
        <v>192</v>
      </c>
      <c r="R683" s="46" t="n">
        <f aca="false">I683-Q683</f>
        <v>0</v>
      </c>
      <c r="S683" s="46" t="n">
        <f aca="false">M683-Q683</f>
        <v>454</v>
      </c>
      <c r="T683" s="46" t="n">
        <f aca="false">IF(R683&gt;0,1,0)</f>
        <v>0</v>
      </c>
      <c r="U683" s="32" t="n">
        <f aca="false">INDEX(Forecast!$AY$7:$AY$54,C683)</f>
        <v>2</v>
      </c>
      <c r="V683" s="33" t="n">
        <f aca="false">CHOOSE(U683,INDEX(Forecast_Walkforward!$D:$D,H683),INDEX(Forecast_Walkforward!$E:$E,H683),INDEX(Forecast_Walkforward!$F:$F,H683),INDEX(Forecast_Walkforward!$G:$G,H683))</f>
        <v>189</v>
      </c>
      <c r="W683" s="79" t="n">
        <f aca="false">INDEX(Forecast!$BA$7:$BA$54,C683)</f>
        <v>26.3675776586267</v>
      </c>
      <c r="X683" s="33" t="n">
        <f aca="false">Z_Value*W683*SQRT(D683)</f>
        <v>43.3708057457167</v>
      </c>
      <c r="Y683" s="33" t="n">
        <f aca="false">V683*D683+X683</f>
        <v>232.370805745717</v>
      </c>
      <c r="Z683" s="33" t="n">
        <f aca="false">SQRT((2*V683*Weeks_Per_Year*F683)/(E683*Holding_Rate))</f>
        <v>618.223260642949</v>
      </c>
      <c r="AA683" s="46" t="n">
        <f aca="false">ROUNDUP(Z683/G683,0)*G683</f>
        <v>624</v>
      </c>
      <c r="AB683" s="46" t="n">
        <f aca="false">SUMIFS(AF$677:AF682,$B$677:$B682,$B683-$D683)</f>
        <v>0</v>
      </c>
      <c r="AC683" s="46" t="n">
        <f aca="false">AI682+AB683</f>
        <v>478</v>
      </c>
      <c r="AD683" s="46" t="n">
        <f aca="false">SUMIFS(AF$677:AF682,$B$677:$B682,"&gt;"&amp;($B683-$D683))</f>
        <v>0</v>
      </c>
      <c r="AE683" s="46" t="n">
        <f aca="false">AC683+AD683</f>
        <v>478</v>
      </c>
      <c r="AF683" s="47" t="n">
        <f aca="false">IF(AE683&lt;=Y683,AA683,0)</f>
        <v>0</v>
      </c>
      <c r="AG683" s="46" t="n">
        <f aca="false">MIN(AC683,I683)</f>
        <v>192</v>
      </c>
      <c r="AH683" s="46" t="n">
        <f aca="false">I683-AG683</f>
        <v>0</v>
      </c>
      <c r="AI683" s="46" t="n">
        <f aca="false">AC683-AG683</f>
        <v>286</v>
      </c>
      <c r="AJ683" s="46" t="n">
        <f aca="false">IF(AH683&gt;0,1,0)</f>
        <v>0</v>
      </c>
    </row>
    <row r="684" customFormat="false" ht="15" hidden="false" customHeight="false" outlineLevel="0" collapsed="false">
      <c r="A684" s="31" t="str">
        <f aca="false">Inputs!$B$79</f>
        <v>CLN-003</v>
      </c>
      <c r="B684" s="46" t="n">
        <f aca="false">B683+1</f>
        <v>96</v>
      </c>
      <c r="C684" s="46" t="n">
        <f aca="false">MATCH(A684,Inputs!$B$40:$B$87,0)</f>
        <v>40</v>
      </c>
      <c r="D684" s="32" t="n">
        <f aca="false">INDEX(Inputs!$F$40:$F$87,C684)</f>
        <v>1</v>
      </c>
      <c r="E684" s="78" t="n">
        <f aca="false">INDEX(Inputs!$H$40:$H$87,C684)</f>
        <v>9</v>
      </c>
      <c r="F684" s="78" t="n">
        <f aca="false">INDEX(Inputs!$G$40:$G$87,C684)</f>
        <v>35</v>
      </c>
      <c r="G684" s="32" t="n">
        <f aca="false">INDEX(Inputs!$I$40:$I$87,C684)</f>
        <v>6</v>
      </c>
      <c r="H684" s="46" t="n">
        <f aca="false">MATCH(A684,Demand_History!$C:$C,0)+B684-1</f>
        <v>4153</v>
      </c>
      <c r="I684" s="32" t="n">
        <f aca="false">INDEX(Forecast_Walkforward!$C:$C,H684)</f>
        <v>171</v>
      </c>
      <c r="J684" s="79" t="n">
        <f aca="false">INDEX(Forecast_Walkforward!$E:$E,H684)</f>
        <v>188.5</v>
      </c>
      <c r="K684" s="33" t="n">
        <f aca="false">Baseline_Weeks*J684</f>
        <v>754</v>
      </c>
      <c r="L684" s="46" t="n">
        <f aca="false">SUMIFS(P$677:P683,$B$677:$B683,$B684-$D684)</f>
        <v>114</v>
      </c>
      <c r="M684" s="46" t="n">
        <f aca="false">S683+L684</f>
        <v>568</v>
      </c>
      <c r="N684" s="46" t="n">
        <f aca="false">SUMIFS(P$677:P683,$B$677:$B683,"&gt;"&amp;($B684-$D684))</f>
        <v>0</v>
      </c>
      <c r="O684" s="46" t="n">
        <f aca="false">M684+N684</f>
        <v>568</v>
      </c>
      <c r="P684" s="47" t="n">
        <f aca="false">IF(O684&lt;K684,ROUNDUP((K684-O684)/G684,0)*G684,0)</f>
        <v>186</v>
      </c>
      <c r="Q684" s="46" t="n">
        <f aca="false">MIN(M684,I684)</f>
        <v>171</v>
      </c>
      <c r="R684" s="46" t="n">
        <f aca="false">I684-Q684</f>
        <v>0</v>
      </c>
      <c r="S684" s="46" t="n">
        <f aca="false">M684-Q684</f>
        <v>397</v>
      </c>
      <c r="T684" s="46" t="n">
        <f aca="false">IF(R684&gt;0,1,0)</f>
        <v>0</v>
      </c>
      <c r="U684" s="32" t="n">
        <f aca="false">INDEX(Forecast!$AY$7:$AY$54,C684)</f>
        <v>2</v>
      </c>
      <c r="V684" s="33" t="n">
        <f aca="false">CHOOSE(U684,INDEX(Forecast_Walkforward!$D:$D,H684),INDEX(Forecast_Walkforward!$E:$E,H684),INDEX(Forecast_Walkforward!$F:$F,H684),INDEX(Forecast_Walkforward!$G:$G,H684))</f>
        <v>188.5</v>
      </c>
      <c r="W684" s="79" t="n">
        <f aca="false">INDEX(Forecast!$BA$7:$BA$54,C684)</f>
        <v>26.3675776586267</v>
      </c>
      <c r="X684" s="33" t="n">
        <f aca="false">Z_Value*W684*SQRT(D684)</f>
        <v>43.3708057457167</v>
      </c>
      <c r="Y684" s="33" t="n">
        <f aca="false">V684*D684+X684</f>
        <v>231.870805745717</v>
      </c>
      <c r="Z684" s="33" t="n">
        <f aca="false">SQRT((2*V684*Weeks_Per_Year*F684)/(E684*Holding_Rate))</f>
        <v>617.404963446917</v>
      </c>
      <c r="AA684" s="46" t="n">
        <f aca="false">ROUNDUP(Z684/G684,0)*G684</f>
        <v>618</v>
      </c>
      <c r="AB684" s="46" t="n">
        <f aca="false">SUMIFS(AF$677:AF683,$B$677:$B683,$B684-$D684)</f>
        <v>0</v>
      </c>
      <c r="AC684" s="46" t="n">
        <f aca="false">AI683+AB684</f>
        <v>286</v>
      </c>
      <c r="AD684" s="46" t="n">
        <f aca="false">SUMIFS(AF$677:AF683,$B$677:$B683,"&gt;"&amp;($B684-$D684))</f>
        <v>0</v>
      </c>
      <c r="AE684" s="46" t="n">
        <f aca="false">AC684+AD684</f>
        <v>286</v>
      </c>
      <c r="AF684" s="47" t="n">
        <f aca="false">IF(AE684&lt;=Y684,AA684,0)</f>
        <v>0</v>
      </c>
      <c r="AG684" s="46" t="n">
        <f aca="false">MIN(AC684,I684)</f>
        <v>171</v>
      </c>
      <c r="AH684" s="46" t="n">
        <f aca="false">I684-AG684</f>
        <v>0</v>
      </c>
      <c r="AI684" s="46" t="n">
        <f aca="false">AC684-AG684</f>
        <v>115</v>
      </c>
      <c r="AJ684" s="46" t="n">
        <f aca="false">IF(AH684&gt;0,1,0)</f>
        <v>0</v>
      </c>
    </row>
    <row r="685" customFormat="false" ht="15" hidden="false" customHeight="false" outlineLevel="0" collapsed="false">
      <c r="A685" s="31" t="str">
        <f aca="false">Inputs!$B$79</f>
        <v>CLN-003</v>
      </c>
      <c r="B685" s="46" t="n">
        <f aca="false">B684+1</f>
        <v>97</v>
      </c>
      <c r="C685" s="46" t="n">
        <f aca="false">MATCH(A685,Inputs!$B$40:$B$87,0)</f>
        <v>40</v>
      </c>
      <c r="D685" s="32" t="n">
        <f aca="false">INDEX(Inputs!$F$40:$F$87,C685)</f>
        <v>1</v>
      </c>
      <c r="E685" s="78" t="n">
        <f aca="false">INDEX(Inputs!$H$40:$H$87,C685)</f>
        <v>9</v>
      </c>
      <c r="F685" s="78" t="n">
        <f aca="false">INDEX(Inputs!$G$40:$G$87,C685)</f>
        <v>35</v>
      </c>
      <c r="G685" s="32" t="n">
        <f aca="false">INDEX(Inputs!$I$40:$I$87,C685)</f>
        <v>6</v>
      </c>
      <c r="H685" s="46" t="n">
        <f aca="false">MATCH(A685,Demand_History!$C:$C,0)+B685-1</f>
        <v>4154</v>
      </c>
      <c r="I685" s="32" t="n">
        <f aca="false">INDEX(Forecast_Walkforward!$C:$C,H685)</f>
        <v>215</v>
      </c>
      <c r="J685" s="79" t="n">
        <f aca="false">INDEX(Forecast_Walkforward!$E:$E,H685)</f>
        <v>182.5</v>
      </c>
      <c r="K685" s="33" t="n">
        <f aca="false">Baseline_Weeks*J685</f>
        <v>730</v>
      </c>
      <c r="L685" s="46" t="n">
        <f aca="false">SUMIFS(P$677:P684,$B$677:$B684,$B685-$D685)</f>
        <v>186</v>
      </c>
      <c r="M685" s="46" t="n">
        <f aca="false">S684+L685</f>
        <v>583</v>
      </c>
      <c r="N685" s="46" t="n">
        <f aca="false">SUMIFS(P$677:P684,$B$677:$B684,"&gt;"&amp;($B685-$D685))</f>
        <v>0</v>
      </c>
      <c r="O685" s="46" t="n">
        <f aca="false">M685+N685</f>
        <v>583</v>
      </c>
      <c r="P685" s="47" t="n">
        <f aca="false">IF(O685&lt;K685,ROUNDUP((K685-O685)/G685,0)*G685,0)</f>
        <v>150</v>
      </c>
      <c r="Q685" s="46" t="n">
        <f aca="false">MIN(M685,I685)</f>
        <v>215</v>
      </c>
      <c r="R685" s="46" t="n">
        <f aca="false">I685-Q685</f>
        <v>0</v>
      </c>
      <c r="S685" s="46" t="n">
        <f aca="false">M685-Q685</f>
        <v>368</v>
      </c>
      <c r="T685" s="46" t="n">
        <f aca="false">IF(R685&gt;0,1,0)</f>
        <v>0</v>
      </c>
      <c r="U685" s="32" t="n">
        <f aca="false">INDEX(Forecast!$AY$7:$AY$54,C685)</f>
        <v>2</v>
      </c>
      <c r="V685" s="33" t="n">
        <f aca="false">CHOOSE(U685,INDEX(Forecast_Walkforward!$D:$D,H685),INDEX(Forecast_Walkforward!$E:$E,H685),INDEX(Forecast_Walkforward!$F:$F,H685),INDEX(Forecast_Walkforward!$G:$G,H685))</f>
        <v>182.5</v>
      </c>
      <c r="W685" s="79" t="n">
        <f aca="false">INDEX(Forecast!$BA$7:$BA$54,C685)</f>
        <v>26.3675776586267</v>
      </c>
      <c r="X685" s="33" t="n">
        <f aca="false">Z_Value*W685*SQRT(D685)</f>
        <v>43.3708057457167</v>
      </c>
      <c r="Y685" s="33" t="n">
        <f aca="false">V685*D685+X685</f>
        <v>225.870805745717</v>
      </c>
      <c r="Z685" s="33" t="n">
        <f aca="false">SQRT((2*V685*Weeks_Per_Year*F685)/(E685*Holding_Rate))</f>
        <v>607.499428440518</v>
      </c>
      <c r="AA685" s="46" t="n">
        <f aca="false">ROUNDUP(Z685/G685,0)*G685</f>
        <v>612</v>
      </c>
      <c r="AB685" s="46" t="n">
        <f aca="false">SUMIFS(AF$677:AF684,$B$677:$B684,$B685-$D685)</f>
        <v>0</v>
      </c>
      <c r="AC685" s="46" t="n">
        <f aca="false">AI684+AB685</f>
        <v>115</v>
      </c>
      <c r="AD685" s="46" t="n">
        <f aca="false">SUMIFS(AF$677:AF684,$B$677:$B684,"&gt;"&amp;($B685-$D685))</f>
        <v>0</v>
      </c>
      <c r="AE685" s="46" t="n">
        <f aca="false">AC685+AD685</f>
        <v>115</v>
      </c>
      <c r="AF685" s="47" t="n">
        <f aca="false">IF(AE685&lt;=Y685,AA685,0)</f>
        <v>612</v>
      </c>
      <c r="AG685" s="46" t="n">
        <f aca="false">MIN(AC685,I685)</f>
        <v>115</v>
      </c>
      <c r="AH685" s="46" t="n">
        <f aca="false">I685-AG685</f>
        <v>100</v>
      </c>
      <c r="AI685" s="46" t="n">
        <f aca="false">AC685-AG685</f>
        <v>0</v>
      </c>
      <c r="AJ685" s="46" t="n">
        <f aca="false">IF(AH685&gt;0,1,0)</f>
        <v>1</v>
      </c>
    </row>
    <row r="686" customFormat="false" ht="15" hidden="false" customHeight="false" outlineLevel="0" collapsed="false">
      <c r="A686" s="31" t="str">
        <f aca="false">Inputs!$B$79</f>
        <v>CLN-003</v>
      </c>
      <c r="B686" s="46" t="n">
        <f aca="false">B685+1</f>
        <v>98</v>
      </c>
      <c r="C686" s="46" t="n">
        <f aca="false">MATCH(A686,Inputs!$B$40:$B$87,0)</f>
        <v>40</v>
      </c>
      <c r="D686" s="32" t="n">
        <f aca="false">INDEX(Inputs!$F$40:$F$87,C686)</f>
        <v>1</v>
      </c>
      <c r="E686" s="78" t="n">
        <f aca="false">INDEX(Inputs!$H$40:$H$87,C686)</f>
        <v>9</v>
      </c>
      <c r="F686" s="78" t="n">
        <f aca="false">INDEX(Inputs!$G$40:$G$87,C686)</f>
        <v>35</v>
      </c>
      <c r="G686" s="32" t="n">
        <f aca="false">INDEX(Inputs!$I$40:$I$87,C686)</f>
        <v>6</v>
      </c>
      <c r="H686" s="46" t="n">
        <f aca="false">MATCH(A686,Demand_History!$C:$C,0)+B686-1</f>
        <v>4155</v>
      </c>
      <c r="I686" s="32" t="n">
        <f aca="false">INDEX(Forecast_Walkforward!$C:$C,H686)</f>
        <v>210</v>
      </c>
      <c r="J686" s="79" t="n">
        <f aca="false">INDEX(Forecast_Walkforward!$E:$E,H686)</f>
        <v>184.25</v>
      </c>
      <c r="K686" s="33" t="n">
        <f aca="false">Baseline_Weeks*J686</f>
        <v>737</v>
      </c>
      <c r="L686" s="46" t="n">
        <f aca="false">SUMIFS(P$677:P685,$B$677:$B685,$B686-$D686)</f>
        <v>150</v>
      </c>
      <c r="M686" s="46" t="n">
        <f aca="false">S685+L686</f>
        <v>518</v>
      </c>
      <c r="N686" s="46" t="n">
        <f aca="false">SUMIFS(P$677:P685,$B$677:$B685,"&gt;"&amp;($B686-$D686))</f>
        <v>0</v>
      </c>
      <c r="O686" s="46" t="n">
        <f aca="false">M686+N686</f>
        <v>518</v>
      </c>
      <c r="P686" s="47" t="n">
        <f aca="false">IF(O686&lt;K686,ROUNDUP((K686-O686)/G686,0)*G686,0)</f>
        <v>222</v>
      </c>
      <c r="Q686" s="46" t="n">
        <f aca="false">MIN(M686,I686)</f>
        <v>210</v>
      </c>
      <c r="R686" s="46" t="n">
        <f aca="false">I686-Q686</f>
        <v>0</v>
      </c>
      <c r="S686" s="46" t="n">
        <f aca="false">M686-Q686</f>
        <v>308</v>
      </c>
      <c r="T686" s="46" t="n">
        <f aca="false">IF(R686&gt;0,1,0)</f>
        <v>0</v>
      </c>
      <c r="U686" s="32" t="n">
        <f aca="false">INDEX(Forecast!$AY$7:$AY$54,C686)</f>
        <v>2</v>
      </c>
      <c r="V686" s="33" t="n">
        <f aca="false">CHOOSE(U686,INDEX(Forecast_Walkforward!$D:$D,H686),INDEX(Forecast_Walkforward!$E:$E,H686),INDEX(Forecast_Walkforward!$F:$F,H686),INDEX(Forecast_Walkforward!$G:$G,H686))</f>
        <v>184.25</v>
      </c>
      <c r="W686" s="79" t="n">
        <f aca="false">INDEX(Forecast!$BA$7:$BA$54,C686)</f>
        <v>26.3675776586267</v>
      </c>
      <c r="X686" s="33" t="n">
        <f aca="false">Z_Value*W686*SQRT(D686)</f>
        <v>43.3708057457167</v>
      </c>
      <c r="Y686" s="33" t="n">
        <f aca="false">V686*D686+X686</f>
        <v>227.620805745717</v>
      </c>
      <c r="Z686" s="33" t="n">
        <f aca="false">SQRT((2*V686*Weeks_Per_Year*F686)/(E686*Holding_Rate))</f>
        <v>610.405147786652</v>
      </c>
      <c r="AA686" s="46" t="n">
        <f aca="false">ROUNDUP(Z686/G686,0)*G686</f>
        <v>612</v>
      </c>
      <c r="AB686" s="46" t="n">
        <f aca="false">SUMIFS(AF$677:AF685,$B$677:$B685,$B686-$D686)</f>
        <v>612</v>
      </c>
      <c r="AC686" s="46" t="n">
        <f aca="false">AI685+AB686</f>
        <v>612</v>
      </c>
      <c r="AD686" s="46" t="n">
        <f aca="false">SUMIFS(AF$677:AF685,$B$677:$B685,"&gt;"&amp;($B686-$D686))</f>
        <v>0</v>
      </c>
      <c r="AE686" s="46" t="n">
        <f aca="false">AC686+AD686</f>
        <v>612</v>
      </c>
      <c r="AF686" s="47" t="n">
        <f aca="false">IF(AE686&lt;=Y686,AA686,0)</f>
        <v>0</v>
      </c>
      <c r="AG686" s="46" t="n">
        <f aca="false">MIN(AC686,I686)</f>
        <v>210</v>
      </c>
      <c r="AH686" s="46" t="n">
        <f aca="false">I686-AG686</f>
        <v>0</v>
      </c>
      <c r="AI686" s="46" t="n">
        <f aca="false">AC686-AG686</f>
        <v>402</v>
      </c>
      <c r="AJ686" s="46" t="n">
        <f aca="false">IF(AH686&gt;0,1,0)</f>
        <v>0</v>
      </c>
    </row>
    <row r="687" customFormat="false" ht="15" hidden="false" customHeight="false" outlineLevel="0" collapsed="false">
      <c r="A687" s="31" t="str">
        <f aca="false">Inputs!$B$79</f>
        <v>CLN-003</v>
      </c>
      <c r="B687" s="46" t="n">
        <f aca="false">B686+1</f>
        <v>99</v>
      </c>
      <c r="C687" s="46" t="n">
        <f aca="false">MATCH(A687,Inputs!$B$40:$B$87,0)</f>
        <v>40</v>
      </c>
      <c r="D687" s="32" t="n">
        <f aca="false">INDEX(Inputs!$F$40:$F$87,C687)</f>
        <v>1</v>
      </c>
      <c r="E687" s="78" t="n">
        <f aca="false">INDEX(Inputs!$H$40:$H$87,C687)</f>
        <v>9</v>
      </c>
      <c r="F687" s="78" t="n">
        <f aca="false">INDEX(Inputs!$G$40:$G$87,C687)</f>
        <v>35</v>
      </c>
      <c r="G687" s="32" t="n">
        <f aca="false">INDEX(Inputs!$I$40:$I$87,C687)</f>
        <v>6</v>
      </c>
      <c r="H687" s="46" t="n">
        <f aca="false">MATCH(A687,Demand_History!$C:$C,0)+B687-1</f>
        <v>4156</v>
      </c>
      <c r="I687" s="32" t="n">
        <f aca="false">INDEX(Forecast_Walkforward!$C:$C,H687)</f>
        <v>163</v>
      </c>
      <c r="J687" s="79" t="n">
        <f aca="false">INDEX(Forecast_Walkforward!$E:$E,H687)</f>
        <v>197</v>
      </c>
      <c r="K687" s="33" t="n">
        <f aca="false">Baseline_Weeks*J687</f>
        <v>788</v>
      </c>
      <c r="L687" s="46" t="n">
        <f aca="false">SUMIFS(P$677:P686,$B$677:$B686,$B687-$D687)</f>
        <v>222</v>
      </c>
      <c r="M687" s="46" t="n">
        <f aca="false">S686+L687</f>
        <v>530</v>
      </c>
      <c r="N687" s="46" t="n">
        <f aca="false">SUMIFS(P$677:P686,$B$677:$B686,"&gt;"&amp;($B687-$D687))</f>
        <v>0</v>
      </c>
      <c r="O687" s="46" t="n">
        <f aca="false">M687+N687</f>
        <v>530</v>
      </c>
      <c r="P687" s="47" t="n">
        <f aca="false">IF(O687&lt;K687,ROUNDUP((K687-O687)/G687,0)*G687,0)</f>
        <v>258</v>
      </c>
      <c r="Q687" s="46" t="n">
        <f aca="false">MIN(M687,I687)</f>
        <v>163</v>
      </c>
      <c r="R687" s="46" t="n">
        <f aca="false">I687-Q687</f>
        <v>0</v>
      </c>
      <c r="S687" s="46" t="n">
        <f aca="false">M687-Q687</f>
        <v>367</v>
      </c>
      <c r="T687" s="46" t="n">
        <f aca="false">IF(R687&gt;0,1,0)</f>
        <v>0</v>
      </c>
      <c r="U687" s="32" t="n">
        <f aca="false">INDEX(Forecast!$AY$7:$AY$54,C687)</f>
        <v>2</v>
      </c>
      <c r="V687" s="33" t="n">
        <f aca="false">CHOOSE(U687,INDEX(Forecast_Walkforward!$D:$D,H687),INDEX(Forecast_Walkforward!$E:$E,H687),INDEX(Forecast_Walkforward!$F:$F,H687),INDEX(Forecast_Walkforward!$G:$G,H687))</f>
        <v>197</v>
      </c>
      <c r="W687" s="79" t="n">
        <f aca="false">INDEX(Forecast!$BA$7:$BA$54,C687)</f>
        <v>26.3675776586267</v>
      </c>
      <c r="X687" s="33" t="n">
        <f aca="false">Z_Value*W687*SQRT(D687)</f>
        <v>43.3708057457167</v>
      </c>
      <c r="Y687" s="33" t="n">
        <f aca="false">V687*D687+X687</f>
        <v>240.370805745717</v>
      </c>
      <c r="Z687" s="33" t="n">
        <f aca="false">SQRT((2*V687*Weeks_Per_Year*F687)/(E687*Holding_Rate))</f>
        <v>631.171749825496</v>
      </c>
      <c r="AA687" s="46" t="n">
        <f aca="false">ROUNDUP(Z687/G687,0)*G687</f>
        <v>636</v>
      </c>
      <c r="AB687" s="46" t="n">
        <f aca="false">SUMIFS(AF$677:AF686,$B$677:$B686,$B687-$D687)</f>
        <v>0</v>
      </c>
      <c r="AC687" s="46" t="n">
        <f aca="false">AI686+AB687</f>
        <v>402</v>
      </c>
      <c r="AD687" s="46" t="n">
        <f aca="false">SUMIFS(AF$677:AF686,$B$677:$B686,"&gt;"&amp;($B687-$D687))</f>
        <v>0</v>
      </c>
      <c r="AE687" s="46" t="n">
        <f aca="false">AC687+AD687</f>
        <v>402</v>
      </c>
      <c r="AF687" s="47" t="n">
        <f aca="false">IF(AE687&lt;=Y687,AA687,0)</f>
        <v>0</v>
      </c>
      <c r="AG687" s="46" t="n">
        <f aca="false">MIN(AC687,I687)</f>
        <v>163</v>
      </c>
      <c r="AH687" s="46" t="n">
        <f aca="false">I687-AG687</f>
        <v>0</v>
      </c>
      <c r="AI687" s="46" t="n">
        <f aca="false">AC687-AG687</f>
        <v>239</v>
      </c>
      <c r="AJ687" s="46" t="n">
        <f aca="false">IF(AH687&gt;0,1,0)</f>
        <v>0</v>
      </c>
    </row>
    <row r="688" customFormat="false" ht="15" hidden="false" customHeight="false" outlineLevel="0" collapsed="false">
      <c r="A688" s="31" t="str">
        <f aca="false">Inputs!$B$79</f>
        <v>CLN-003</v>
      </c>
      <c r="B688" s="46" t="n">
        <f aca="false">B687+1</f>
        <v>100</v>
      </c>
      <c r="C688" s="46" t="n">
        <f aca="false">MATCH(A688,Inputs!$B$40:$B$87,0)</f>
        <v>40</v>
      </c>
      <c r="D688" s="32" t="n">
        <f aca="false">INDEX(Inputs!$F$40:$F$87,C688)</f>
        <v>1</v>
      </c>
      <c r="E688" s="78" t="n">
        <f aca="false">INDEX(Inputs!$H$40:$H$87,C688)</f>
        <v>9</v>
      </c>
      <c r="F688" s="78" t="n">
        <f aca="false">INDEX(Inputs!$G$40:$G$87,C688)</f>
        <v>35</v>
      </c>
      <c r="G688" s="32" t="n">
        <f aca="false">INDEX(Inputs!$I$40:$I$87,C688)</f>
        <v>6</v>
      </c>
      <c r="H688" s="46" t="n">
        <f aca="false">MATCH(A688,Demand_History!$C:$C,0)+B688-1</f>
        <v>4157</v>
      </c>
      <c r="I688" s="32" t="n">
        <f aca="false">INDEX(Forecast_Walkforward!$C:$C,H688)</f>
        <v>226</v>
      </c>
      <c r="J688" s="79" t="n">
        <f aca="false">INDEX(Forecast_Walkforward!$E:$E,H688)</f>
        <v>189.75</v>
      </c>
      <c r="K688" s="33" t="n">
        <f aca="false">Baseline_Weeks*J688</f>
        <v>759</v>
      </c>
      <c r="L688" s="46" t="n">
        <f aca="false">SUMIFS(P$677:P687,$B$677:$B687,$B688-$D688)</f>
        <v>258</v>
      </c>
      <c r="M688" s="46" t="n">
        <f aca="false">S687+L688</f>
        <v>625</v>
      </c>
      <c r="N688" s="46" t="n">
        <f aca="false">SUMIFS(P$677:P687,$B$677:$B687,"&gt;"&amp;($B688-$D688))</f>
        <v>0</v>
      </c>
      <c r="O688" s="46" t="n">
        <f aca="false">M688+N688</f>
        <v>625</v>
      </c>
      <c r="P688" s="47" t="n">
        <f aca="false">IF(O688&lt;K688,ROUNDUP((K688-O688)/G688,0)*G688,0)</f>
        <v>138</v>
      </c>
      <c r="Q688" s="46" t="n">
        <f aca="false">MIN(M688,I688)</f>
        <v>226</v>
      </c>
      <c r="R688" s="46" t="n">
        <f aca="false">I688-Q688</f>
        <v>0</v>
      </c>
      <c r="S688" s="46" t="n">
        <f aca="false">M688-Q688</f>
        <v>399</v>
      </c>
      <c r="T688" s="46" t="n">
        <f aca="false">IF(R688&gt;0,1,0)</f>
        <v>0</v>
      </c>
      <c r="U688" s="32" t="n">
        <f aca="false">INDEX(Forecast!$AY$7:$AY$54,C688)</f>
        <v>2</v>
      </c>
      <c r="V688" s="33" t="n">
        <f aca="false">CHOOSE(U688,INDEX(Forecast_Walkforward!$D:$D,H688),INDEX(Forecast_Walkforward!$E:$E,H688),INDEX(Forecast_Walkforward!$F:$F,H688),INDEX(Forecast_Walkforward!$G:$G,H688))</f>
        <v>189.75</v>
      </c>
      <c r="W688" s="79" t="n">
        <f aca="false">INDEX(Forecast!$BA$7:$BA$54,C688)</f>
        <v>26.3675776586267</v>
      </c>
      <c r="X688" s="33" t="n">
        <f aca="false">Z_Value*W688*SQRT(D688)</f>
        <v>43.3708057457167</v>
      </c>
      <c r="Y688" s="33" t="n">
        <f aca="false">V688*D688+X688</f>
        <v>233.120805745717</v>
      </c>
      <c r="Z688" s="33" t="n">
        <f aca="false">SQRT((2*V688*Weeks_Per_Year*F688)/(E688*Holding_Rate))</f>
        <v>619.448679606847</v>
      </c>
      <c r="AA688" s="46" t="n">
        <f aca="false">ROUNDUP(Z688/G688,0)*G688</f>
        <v>624</v>
      </c>
      <c r="AB688" s="46" t="n">
        <f aca="false">SUMIFS(AF$677:AF687,$B$677:$B687,$B688-$D688)</f>
        <v>0</v>
      </c>
      <c r="AC688" s="46" t="n">
        <f aca="false">AI687+AB688</f>
        <v>239</v>
      </c>
      <c r="AD688" s="46" t="n">
        <f aca="false">SUMIFS(AF$677:AF687,$B$677:$B687,"&gt;"&amp;($B688-$D688))</f>
        <v>0</v>
      </c>
      <c r="AE688" s="46" t="n">
        <f aca="false">AC688+AD688</f>
        <v>239</v>
      </c>
      <c r="AF688" s="47" t="n">
        <f aca="false">IF(AE688&lt;=Y688,AA688,0)</f>
        <v>0</v>
      </c>
      <c r="AG688" s="46" t="n">
        <f aca="false">MIN(AC688,I688)</f>
        <v>226</v>
      </c>
      <c r="AH688" s="46" t="n">
        <f aca="false">I688-AG688</f>
        <v>0</v>
      </c>
      <c r="AI688" s="46" t="n">
        <f aca="false">AC688-AG688</f>
        <v>13</v>
      </c>
      <c r="AJ688" s="46" t="n">
        <f aca="false">IF(AH688&gt;0,1,0)</f>
        <v>0</v>
      </c>
    </row>
    <row r="689" customFormat="false" ht="15" hidden="false" customHeight="false" outlineLevel="0" collapsed="false">
      <c r="A689" s="31" t="str">
        <f aca="false">Inputs!$B$79</f>
        <v>CLN-003</v>
      </c>
      <c r="B689" s="46" t="n">
        <f aca="false">B688+1</f>
        <v>101</v>
      </c>
      <c r="C689" s="46" t="n">
        <f aca="false">MATCH(A689,Inputs!$B$40:$B$87,0)</f>
        <v>40</v>
      </c>
      <c r="D689" s="32" t="n">
        <f aca="false">INDEX(Inputs!$F$40:$F$87,C689)</f>
        <v>1</v>
      </c>
      <c r="E689" s="78" t="n">
        <f aca="false">INDEX(Inputs!$H$40:$H$87,C689)</f>
        <v>9</v>
      </c>
      <c r="F689" s="78" t="n">
        <f aca="false">INDEX(Inputs!$G$40:$G$87,C689)</f>
        <v>35</v>
      </c>
      <c r="G689" s="32" t="n">
        <f aca="false">INDEX(Inputs!$I$40:$I$87,C689)</f>
        <v>6</v>
      </c>
      <c r="H689" s="46" t="n">
        <f aca="false">MATCH(A689,Demand_History!$C:$C,0)+B689-1</f>
        <v>4158</v>
      </c>
      <c r="I689" s="32" t="n">
        <f aca="false">INDEX(Forecast_Walkforward!$C:$C,H689)</f>
        <v>161</v>
      </c>
      <c r="J689" s="79" t="n">
        <f aca="false">INDEX(Forecast_Walkforward!$E:$E,H689)</f>
        <v>203.5</v>
      </c>
      <c r="K689" s="33" t="n">
        <f aca="false">Baseline_Weeks*J689</f>
        <v>814</v>
      </c>
      <c r="L689" s="46" t="n">
        <f aca="false">SUMIFS(P$677:P688,$B$677:$B688,$B689-$D689)</f>
        <v>138</v>
      </c>
      <c r="M689" s="46" t="n">
        <f aca="false">S688+L689</f>
        <v>537</v>
      </c>
      <c r="N689" s="46" t="n">
        <f aca="false">SUMIFS(P$677:P688,$B$677:$B688,"&gt;"&amp;($B689-$D689))</f>
        <v>0</v>
      </c>
      <c r="O689" s="46" t="n">
        <f aca="false">M689+N689</f>
        <v>537</v>
      </c>
      <c r="P689" s="47" t="n">
        <f aca="false">IF(O689&lt;K689,ROUNDUP((K689-O689)/G689,0)*G689,0)</f>
        <v>282</v>
      </c>
      <c r="Q689" s="46" t="n">
        <f aca="false">MIN(M689,I689)</f>
        <v>161</v>
      </c>
      <c r="R689" s="46" t="n">
        <f aca="false">I689-Q689</f>
        <v>0</v>
      </c>
      <c r="S689" s="46" t="n">
        <f aca="false">M689-Q689</f>
        <v>376</v>
      </c>
      <c r="T689" s="46" t="n">
        <f aca="false">IF(R689&gt;0,1,0)</f>
        <v>0</v>
      </c>
      <c r="U689" s="32" t="n">
        <f aca="false">INDEX(Forecast!$AY$7:$AY$54,C689)</f>
        <v>2</v>
      </c>
      <c r="V689" s="33" t="n">
        <f aca="false">CHOOSE(U689,INDEX(Forecast_Walkforward!$D:$D,H689),INDEX(Forecast_Walkforward!$E:$E,H689),INDEX(Forecast_Walkforward!$F:$F,H689),INDEX(Forecast_Walkforward!$G:$G,H689))</f>
        <v>203.5</v>
      </c>
      <c r="W689" s="79" t="n">
        <f aca="false">INDEX(Forecast!$BA$7:$BA$54,C689)</f>
        <v>26.3675776586267</v>
      </c>
      <c r="X689" s="33" t="n">
        <f aca="false">Z_Value*W689*SQRT(D689)</f>
        <v>43.3708057457167</v>
      </c>
      <c r="Y689" s="33" t="n">
        <f aca="false">V689*D689+X689</f>
        <v>246.870805745717</v>
      </c>
      <c r="Z689" s="33" t="n">
        <f aca="false">SQRT((2*V689*Weeks_Per_Year*F689)/(E689*Holding_Rate))</f>
        <v>641.499978349354</v>
      </c>
      <c r="AA689" s="46" t="n">
        <f aca="false">ROUNDUP(Z689/G689,0)*G689</f>
        <v>642</v>
      </c>
      <c r="AB689" s="46" t="n">
        <f aca="false">SUMIFS(AF$677:AF688,$B$677:$B688,$B689-$D689)</f>
        <v>0</v>
      </c>
      <c r="AC689" s="46" t="n">
        <f aca="false">AI688+AB689</f>
        <v>13</v>
      </c>
      <c r="AD689" s="46" t="n">
        <f aca="false">SUMIFS(AF$677:AF688,$B$677:$B688,"&gt;"&amp;($B689-$D689))</f>
        <v>0</v>
      </c>
      <c r="AE689" s="46" t="n">
        <f aca="false">AC689+AD689</f>
        <v>13</v>
      </c>
      <c r="AF689" s="47" t="n">
        <f aca="false">IF(AE689&lt;=Y689,AA689,0)</f>
        <v>642</v>
      </c>
      <c r="AG689" s="46" t="n">
        <f aca="false">MIN(AC689,I689)</f>
        <v>13</v>
      </c>
      <c r="AH689" s="46" t="n">
        <f aca="false">I689-AG689</f>
        <v>148</v>
      </c>
      <c r="AI689" s="46" t="n">
        <f aca="false">AC689-AG689</f>
        <v>0</v>
      </c>
      <c r="AJ689" s="46" t="n">
        <f aca="false">IF(AH689&gt;0,1,0)</f>
        <v>1</v>
      </c>
    </row>
    <row r="690" customFormat="false" ht="15" hidden="false" customHeight="false" outlineLevel="0" collapsed="false">
      <c r="A690" s="31" t="str">
        <f aca="false">Inputs!$B$79</f>
        <v>CLN-003</v>
      </c>
      <c r="B690" s="46" t="n">
        <f aca="false">B689+1</f>
        <v>102</v>
      </c>
      <c r="C690" s="46" t="n">
        <f aca="false">MATCH(A690,Inputs!$B$40:$B$87,0)</f>
        <v>40</v>
      </c>
      <c r="D690" s="32" t="n">
        <f aca="false">INDEX(Inputs!$F$40:$F$87,C690)</f>
        <v>1</v>
      </c>
      <c r="E690" s="78" t="n">
        <f aca="false">INDEX(Inputs!$H$40:$H$87,C690)</f>
        <v>9</v>
      </c>
      <c r="F690" s="78" t="n">
        <f aca="false">INDEX(Inputs!$G$40:$G$87,C690)</f>
        <v>35</v>
      </c>
      <c r="G690" s="32" t="n">
        <f aca="false">INDEX(Inputs!$I$40:$I$87,C690)</f>
        <v>6</v>
      </c>
      <c r="H690" s="46" t="n">
        <f aca="false">MATCH(A690,Demand_History!$C:$C,0)+B690-1</f>
        <v>4159</v>
      </c>
      <c r="I690" s="32" t="n">
        <f aca="false">INDEX(Forecast_Walkforward!$C:$C,H690)</f>
        <v>224</v>
      </c>
      <c r="J690" s="79" t="n">
        <f aca="false">INDEX(Forecast_Walkforward!$E:$E,H690)</f>
        <v>190</v>
      </c>
      <c r="K690" s="33" t="n">
        <f aca="false">Baseline_Weeks*J690</f>
        <v>760</v>
      </c>
      <c r="L690" s="46" t="n">
        <f aca="false">SUMIFS(P$677:P689,$B$677:$B689,$B690-$D690)</f>
        <v>282</v>
      </c>
      <c r="M690" s="46" t="n">
        <f aca="false">S689+L690</f>
        <v>658</v>
      </c>
      <c r="N690" s="46" t="n">
        <f aca="false">SUMIFS(P$677:P689,$B$677:$B689,"&gt;"&amp;($B690-$D690))</f>
        <v>0</v>
      </c>
      <c r="O690" s="46" t="n">
        <f aca="false">M690+N690</f>
        <v>658</v>
      </c>
      <c r="P690" s="47" t="n">
        <f aca="false">IF(O690&lt;K690,ROUNDUP((K690-O690)/G690,0)*G690,0)</f>
        <v>102</v>
      </c>
      <c r="Q690" s="46" t="n">
        <f aca="false">MIN(M690,I690)</f>
        <v>224</v>
      </c>
      <c r="R690" s="46" t="n">
        <f aca="false">I690-Q690</f>
        <v>0</v>
      </c>
      <c r="S690" s="46" t="n">
        <f aca="false">M690-Q690</f>
        <v>434</v>
      </c>
      <c r="T690" s="46" t="n">
        <f aca="false">IF(R690&gt;0,1,0)</f>
        <v>0</v>
      </c>
      <c r="U690" s="32" t="n">
        <f aca="false">INDEX(Forecast!$AY$7:$AY$54,C690)</f>
        <v>2</v>
      </c>
      <c r="V690" s="33" t="n">
        <f aca="false">CHOOSE(U690,INDEX(Forecast_Walkforward!$D:$D,H690),INDEX(Forecast_Walkforward!$E:$E,H690),INDEX(Forecast_Walkforward!$F:$F,H690),INDEX(Forecast_Walkforward!$G:$G,H690))</f>
        <v>190</v>
      </c>
      <c r="W690" s="79" t="n">
        <f aca="false">INDEX(Forecast!$BA$7:$BA$54,C690)</f>
        <v>26.3675776586267</v>
      </c>
      <c r="X690" s="33" t="n">
        <f aca="false">Z_Value*W690*SQRT(D690)</f>
        <v>43.3708057457167</v>
      </c>
      <c r="Y690" s="33" t="n">
        <f aca="false">V690*D690+X690</f>
        <v>233.370805745717</v>
      </c>
      <c r="Z690" s="33" t="n">
        <f aca="false">SQRT((2*V690*Weeks_Per_Year*F690)/(E690*Holding_Rate))</f>
        <v>619.856614244151</v>
      </c>
      <c r="AA690" s="46" t="n">
        <f aca="false">ROUNDUP(Z690/G690,0)*G690</f>
        <v>624</v>
      </c>
      <c r="AB690" s="46" t="n">
        <f aca="false">SUMIFS(AF$677:AF689,$B$677:$B689,$B690-$D690)</f>
        <v>642</v>
      </c>
      <c r="AC690" s="46" t="n">
        <f aca="false">AI689+AB690</f>
        <v>642</v>
      </c>
      <c r="AD690" s="46" t="n">
        <f aca="false">SUMIFS(AF$677:AF689,$B$677:$B689,"&gt;"&amp;($B690-$D690))</f>
        <v>0</v>
      </c>
      <c r="AE690" s="46" t="n">
        <f aca="false">AC690+AD690</f>
        <v>642</v>
      </c>
      <c r="AF690" s="47" t="n">
        <f aca="false">IF(AE690&lt;=Y690,AA690,0)</f>
        <v>0</v>
      </c>
      <c r="AG690" s="46" t="n">
        <f aca="false">MIN(AC690,I690)</f>
        <v>224</v>
      </c>
      <c r="AH690" s="46" t="n">
        <f aca="false">I690-AG690</f>
        <v>0</v>
      </c>
      <c r="AI690" s="46" t="n">
        <f aca="false">AC690-AG690</f>
        <v>418</v>
      </c>
      <c r="AJ690" s="46" t="n">
        <f aca="false">IF(AH690&gt;0,1,0)</f>
        <v>0</v>
      </c>
    </row>
    <row r="691" customFormat="false" ht="15" hidden="false" customHeight="false" outlineLevel="0" collapsed="false">
      <c r="A691" s="31" t="str">
        <f aca="false">Inputs!$B$79</f>
        <v>CLN-003</v>
      </c>
      <c r="B691" s="46" t="n">
        <f aca="false">B690+1</f>
        <v>103</v>
      </c>
      <c r="C691" s="46" t="n">
        <f aca="false">MATCH(A691,Inputs!$B$40:$B$87,0)</f>
        <v>40</v>
      </c>
      <c r="D691" s="32" t="n">
        <f aca="false">INDEX(Inputs!$F$40:$F$87,C691)</f>
        <v>1</v>
      </c>
      <c r="E691" s="78" t="n">
        <f aca="false">INDEX(Inputs!$H$40:$H$87,C691)</f>
        <v>9</v>
      </c>
      <c r="F691" s="78" t="n">
        <f aca="false">INDEX(Inputs!$G$40:$G$87,C691)</f>
        <v>35</v>
      </c>
      <c r="G691" s="32" t="n">
        <f aca="false">INDEX(Inputs!$I$40:$I$87,C691)</f>
        <v>6</v>
      </c>
      <c r="H691" s="46" t="n">
        <f aca="false">MATCH(A691,Demand_History!$C:$C,0)+B691-1</f>
        <v>4160</v>
      </c>
      <c r="I691" s="32" t="n">
        <f aca="false">INDEX(Forecast_Walkforward!$C:$C,H691)</f>
        <v>200</v>
      </c>
      <c r="J691" s="79" t="n">
        <f aca="false">INDEX(Forecast_Walkforward!$E:$E,H691)</f>
        <v>193.5</v>
      </c>
      <c r="K691" s="33" t="n">
        <f aca="false">Baseline_Weeks*J691</f>
        <v>774</v>
      </c>
      <c r="L691" s="46" t="n">
        <f aca="false">SUMIFS(P$677:P690,$B$677:$B690,$B691-$D691)</f>
        <v>102</v>
      </c>
      <c r="M691" s="46" t="n">
        <f aca="false">S690+L691</f>
        <v>536</v>
      </c>
      <c r="N691" s="46" t="n">
        <f aca="false">SUMIFS(P$677:P690,$B$677:$B690,"&gt;"&amp;($B691-$D691))</f>
        <v>0</v>
      </c>
      <c r="O691" s="46" t="n">
        <f aca="false">M691+N691</f>
        <v>536</v>
      </c>
      <c r="P691" s="47" t="n">
        <f aca="false">IF(O691&lt;K691,ROUNDUP((K691-O691)/G691,0)*G691,0)</f>
        <v>240</v>
      </c>
      <c r="Q691" s="46" t="n">
        <f aca="false">MIN(M691,I691)</f>
        <v>200</v>
      </c>
      <c r="R691" s="46" t="n">
        <f aca="false">I691-Q691</f>
        <v>0</v>
      </c>
      <c r="S691" s="46" t="n">
        <f aca="false">M691-Q691</f>
        <v>336</v>
      </c>
      <c r="T691" s="46" t="n">
        <f aca="false">IF(R691&gt;0,1,0)</f>
        <v>0</v>
      </c>
      <c r="U691" s="32" t="n">
        <f aca="false">INDEX(Forecast!$AY$7:$AY$54,C691)</f>
        <v>2</v>
      </c>
      <c r="V691" s="33" t="n">
        <f aca="false">CHOOSE(U691,INDEX(Forecast_Walkforward!$D:$D,H691),INDEX(Forecast_Walkforward!$E:$E,H691),INDEX(Forecast_Walkforward!$F:$F,H691),INDEX(Forecast_Walkforward!$G:$G,H691))</f>
        <v>193.5</v>
      </c>
      <c r="W691" s="79" t="n">
        <f aca="false">INDEX(Forecast!$BA$7:$BA$54,C691)</f>
        <v>26.3675776586267</v>
      </c>
      <c r="X691" s="33" t="n">
        <f aca="false">Z_Value*W691*SQRT(D691)</f>
        <v>43.3708057457167</v>
      </c>
      <c r="Y691" s="33" t="n">
        <f aca="false">V691*D691+X691</f>
        <v>236.870805745717</v>
      </c>
      <c r="Z691" s="33" t="n">
        <f aca="false">SQRT((2*V691*Weeks_Per_Year*F691)/(E691*Holding_Rate))</f>
        <v>625.539766921337</v>
      </c>
      <c r="AA691" s="46" t="n">
        <f aca="false">ROUNDUP(Z691/G691,0)*G691</f>
        <v>630</v>
      </c>
      <c r="AB691" s="46" t="n">
        <f aca="false">SUMIFS(AF$677:AF690,$B$677:$B690,$B691-$D691)</f>
        <v>0</v>
      </c>
      <c r="AC691" s="46" t="n">
        <f aca="false">AI690+AB691</f>
        <v>418</v>
      </c>
      <c r="AD691" s="46" t="n">
        <f aca="false">SUMIFS(AF$677:AF690,$B$677:$B690,"&gt;"&amp;($B691-$D691))</f>
        <v>0</v>
      </c>
      <c r="AE691" s="46" t="n">
        <f aca="false">AC691+AD691</f>
        <v>418</v>
      </c>
      <c r="AF691" s="47" t="n">
        <f aca="false">IF(AE691&lt;=Y691,AA691,0)</f>
        <v>0</v>
      </c>
      <c r="AG691" s="46" t="n">
        <f aca="false">MIN(AC691,I691)</f>
        <v>200</v>
      </c>
      <c r="AH691" s="46" t="n">
        <f aca="false">I691-AG691</f>
        <v>0</v>
      </c>
      <c r="AI691" s="46" t="n">
        <f aca="false">AC691-AG691</f>
        <v>218</v>
      </c>
      <c r="AJ691" s="46" t="n">
        <f aca="false">IF(AH691&gt;0,1,0)</f>
        <v>0</v>
      </c>
    </row>
    <row r="692" customFormat="false" ht="15" hidden="false" customHeight="false" outlineLevel="0" collapsed="false">
      <c r="A692" s="80" t="str">
        <f aca="false">Inputs!$B$79</f>
        <v>CLN-003</v>
      </c>
      <c r="B692" s="81" t="n">
        <f aca="false">B691+1</f>
        <v>104</v>
      </c>
      <c r="C692" s="81" t="n">
        <f aca="false">MATCH(A692,Inputs!$B$40:$B$87,0)</f>
        <v>40</v>
      </c>
      <c r="D692" s="82" t="n">
        <f aca="false">INDEX(Inputs!$F$40:$F$87,C692)</f>
        <v>1</v>
      </c>
      <c r="E692" s="83" t="n">
        <f aca="false">INDEX(Inputs!$H$40:$H$87,C692)</f>
        <v>9</v>
      </c>
      <c r="F692" s="83" t="n">
        <f aca="false">INDEX(Inputs!$G$40:$G$87,C692)</f>
        <v>35</v>
      </c>
      <c r="G692" s="82" t="n">
        <f aca="false">INDEX(Inputs!$I$40:$I$87,C692)</f>
        <v>6</v>
      </c>
      <c r="H692" s="81" t="n">
        <f aca="false">MATCH(A692,Demand_History!$C:$C,0)+B692-1</f>
        <v>4161</v>
      </c>
      <c r="I692" s="82" t="n">
        <f aca="false">INDEX(Forecast_Walkforward!$C:$C,H692)</f>
        <v>172</v>
      </c>
      <c r="J692" s="84" t="n">
        <f aca="false">INDEX(Forecast_Walkforward!$E:$E,H692)</f>
        <v>202.75</v>
      </c>
      <c r="K692" s="85" t="n">
        <f aca="false">Baseline_Weeks*J692</f>
        <v>811</v>
      </c>
      <c r="L692" s="81" t="n">
        <f aca="false">SUMIFS(P$677:P691,$B$677:$B691,$B692-$D692)</f>
        <v>240</v>
      </c>
      <c r="M692" s="81" t="n">
        <f aca="false">S691+L692</f>
        <v>576</v>
      </c>
      <c r="N692" s="81" t="n">
        <f aca="false">SUMIFS(P$677:P691,$B$677:$B691,"&gt;"&amp;($B692-$D692))</f>
        <v>0</v>
      </c>
      <c r="O692" s="81" t="n">
        <f aca="false">M692+N692</f>
        <v>576</v>
      </c>
      <c r="P692" s="86" t="n">
        <f aca="false">IF(O692&lt;K692,ROUNDUP((K692-O692)/G692,0)*G692,0)</f>
        <v>240</v>
      </c>
      <c r="Q692" s="81" t="n">
        <f aca="false">MIN(M692,I692)</f>
        <v>172</v>
      </c>
      <c r="R692" s="81" t="n">
        <f aca="false">I692-Q692</f>
        <v>0</v>
      </c>
      <c r="S692" s="81" t="n">
        <f aca="false">M692-Q692</f>
        <v>404</v>
      </c>
      <c r="T692" s="81" t="n">
        <f aca="false">IF(R692&gt;0,1,0)</f>
        <v>0</v>
      </c>
      <c r="U692" s="82" t="n">
        <f aca="false">INDEX(Forecast!$AY$7:$AY$54,C692)</f>
        <v>2</v>
      </c>
      <c r="V692" s="85" t="n">
        <f aca="false">CHOOSE(U692,INDEX(Forecast_Walkforward!$D:$D,H692),INDEX(Forecast_Walkforward!$E:$E,H692),INDEX(Forecast_Walkforward!$F:$F,H692),INDEX(Forecast_Walkforward!$G:$G,H692))</f>
        <v>202.75</v>
      </c>
      <c r="W692" s="84" t="n">
        <f aca="false">INDEX(Forecast!$BA$7:$BA$54,C692)</f>
        <v>26.3675776586267</v>
      </c>
      <c r="X692" s="85" t="n">
        <f aca="false">Z_Value*W692*SQRT(D692)</f>
        <v>43.3708057457167</v>
      </c>
      <c r="Y692" s="85" t="n">
        <f aca="false">V692*D692+X692</f>
        <v>246.120805745717</v>
      </c>
      <c r="Z692" s="85" t="n">
        <f aca="false">SQRT((2*V692*Weeks_Per_Year*F692)/(E692*Holding_Rate))</f>
        <v>640.316761888642</v>
      </c>
      <c r="AA692" s="81" t="n">
        <f aca="false">ROUNDUP(Z692/G692,0)*G692</f>
        <v>642</v>
      </c>
      <c r="AB692" s="81" t="n">
        <f aca="false">SUMIFS(AF$677:AF691,$B$677:$B691,$B692-$D692)</f>
        <v>0</v>
      </c>
      <c r="AC692" s="81" t="n">
        <f aca="false">AI691+AB692</f>
        <v>218</v>
      </c>
      <c r="AD692" s="81" t="n">
        <f aca="false">SUMIFS(AF$677:AF691,$B$677:$B691,"&gt;"&amp;($B692-$D692))</f>
        <v>0</v>
      </c>
      <c r="AE692" s="81" t="n">
        <f aca="false">AC692+AD692</f>
        <v>218</v>
      </c>
      <c r="AF692" s="86" t="n">
        <f aca="false">IF(AE692&lt;=Y692,AA692,0)</f>
        <v>642</v>
      </c>
      <c r="AG692" s="81" t="n">
        <f aca="false">MIN(AC692,I692)</f>
        <v>172</v>
      </c>
      <c r="AH692" s="81" t="n">
        <f aca="false">I692-AG692</f>
        <v>0</v>
      </c>
      <c r="AI692" s="81" t="n">
        <f aca="false">AC692-AG692</f>
        <v>46</v>
      </c>
      <c r="AJ692" s="81" t="n">
        <f aca="false">IF(AH692&gt;0,1,0)</f>
        <v>0</v>
      </c>
    </row>
    <row r="693" customFormat="false" ht="15" hidden="false" customHeight="false" outlineLevel="0" collapsed="false">
      <c r="A693" s="31" t="str">
        <f aca="false">Inputs!$B$80</f>
        <v>CLN-004</v>
      </c>
      <c r="B693" s="46" t="n">
        <f aca="false">BT_Start_Week</f>
        <v>89</v>
      </c>
      <c r="C693" s="46" t="n">
        <f aca="false">MATCH(A693,Inputs!$B$40:$B$87,0)</f>
        <v>41</v>
      </c>
      <c r="D693" s="32" t="n">
        <f aca="false">INDEX(Inputs!$F$40:$F$87,C693)</f>
        <v>1</v>
      </c>
      <c r="E693" s="78" t="n">
        <f aca="false">INDEX(Inputs!$H$40:$H$87,C693)</f>
        <v>6</v>
      </c>
      <c r="F693" s="78" t="n">
        <f aca="false">INDEX(Inputs!$G$40:$G$87,C693)</f>
        <v>35</v>
      </c>
      <c r="G693" s="32" t="n">
        <f aca="false">INDEX(Inputs!$I$40:$I$87,C693)</f>
        <v>12</v>
      </c>
      <c r="H693" s="46" t="n">
        <f aca="false">MATCH(A693,Demand_History!$C:$C,0)+B693-1</f>
        <v>4250</v>
      </c>
      <c r="I693" s="32" t="n">
        <f aca="false">INDEX(Forecast_Walkforward!$C:$C,H693)</f>
        <v>53</v>
      </c>
      <c r="J693" s="79" t="n">
        <f aca="false">INDEX(Forecast_Walkforward!$E:$E,H693)</f>
        <v>111.5</v>
      </c>
      <c r="K693" s="33" t="n">
        <f aca="false">Baseline_Weeks*J693</f>
        <v>446</v>
      </c>
      <c r="L693" s="46" t="n">
        <f aca="false">0</f>
        <v>0</v>
      </c>
      <c r="M693" s="46" t="n">
        <f aca="false">ROUND(BT_Open_Cover*INDEX(Forecast_Walkforward!$F:$F,H693),0)+L693</f>
        <v>536</v>
      </c>
      <c r="N693" s="46" t="n">
        <f aca="false">0</f>
        <v>0</v>
      </c>
      <c r="O693" s="46" t="n">
        <f aca="false">M693+N693</f>
        <v>536</v>
      </c>
      <c r="P693" s="47" t="n">
        <f aca="false">IF(O693&lt;K693,ROUNDUP((K693-O693)/G693,0)*G693,0)</f>
        <v>0</v>
      </c>
      <c r="Q693" s="46" t="n">
        <f aca="false">MIN(M693,I693)</f>
        <v>53</v>
      </c>
      <c r="R693" s="46" t="n">
        <f aca="false">I693-Q693</f>
        <v>0</v>
      </c>
      <c r="S693" s="46" t="n">
        <f aca="false">M693-Q693</f>
        <v>483</v>
      </c>
      <c r="T693" s="46" t="n">
        <f aca="false">IF(R693&gt;0,1,0)</f>
        <v>0</v>
      </c>
      <c r="U693" s="32" t="n">
        <f aca="false">INDEX(Forecast!$AY$7:$AY$54,C693)</f>
        <v>3</v>
      </c>
      <c r="V693" s="33" t="n">
        <f aca="false">CHOOSE(U693,INDEX(Forecast_Walkforward!$D:$D,H693),INDEX(Forecast_Walkforward!$E:$E,H693),INDEX(Forecast_Walkforward!$F:$F,H693),INDEX(Forecast_Walkforward!$G:$G,H693))</f>
        <v>89.375</v>
      </c>
      <c r="W693" s="79" t="n">
        <f aca="false">INDEX(Forecast!$BA$7:$BA$54,C693)</f>
        <v>33.4532200223574</v>
      </c>
      <c r="X693" s="33" t="n">
        <f aca="false">Z_Value*W693*SQRT(D693)</f>
        <v>55.0256502869801</v>
      </c>
      <c r="Y693" s="33" t="n">
        <f aca="false">V693*D693+X693</f>
        <v>144.40065028698</v>
      </c>
      <c r="Z693" s="33" t="n">
        <f aca="false">SQRT((2*V693*Weeks_Per_Year*F693)/(E693*Holding_Rate))</f>
        <v>520.67664309691</v>
      </c>
      <c r="AA693" s="46" t="n">
        <f aca="false">ROUNDUP(Z693/G693,0)*G693</f>
        <v>528</v>
      </c>
      <c r="AB693" s="46" t="n">
        <f aca="false">0</f>
        <v>0</v>
      </c>
      <c r="AC693" s="46" t="n">
        <f aca="false">ROUND(BT_Open_Cover*INDEX(Forecast_Walkforward!$F:$F,H693),0)+AB693</f>
        <v>536</v>
      </c>
      <c r="AD693" s="46" t="n">
        <f aca="false">0</f>
        <v>0</v>
      </c>
      <c r="AE693" s="46" t="n">
        <f aca="false">AC693+AD693</f>
        <v>536</v>
      </c>
      <c r="AF693" s="47" t="n">
        <f aca="false">IF(AE693&lt;=Y693,AA693,0)</f>
        <v>0</v>
      </c>
      <c r="AG693" s="46" t="n">
        <f aca="false">MIN(AC693,I693)</f>
        <v>53</v>
      </c>
      <c r="AH693" s="46" t="n">
        <f aca="false">I693-AG693</f>
        <v>0</v>
      </c>
      <c r="AI693" s="46" t="n">
        <f aca="false">AC693-AG693</f>
        <v>483</v>
      </c>
      <c r="AJ693" s="46" t="n">
        <f aca="false">IF(AH693&gt;0,1,0)</f>
        <v>0</v>
      </c>
    </row>
    <row r="694" customFormat="false" ht="15" hidden="false" customHeight="false" outlineLevel="0" collapsed="false">
      <c r="A694" s="31" t="str">
        <f aca="false">Inputs!$B$80</f>
        <v>CLN-004</v>
      </c>
      <c r="B694" s="46" t="n">
        <f aca="false">B693+1</f>
        <v>90</v>
      </c>
      <c r="C694" s="46" t="n">
        <f aca="false">MATCH(A694,Inputs!$B$40:$B$87,0)</f>
        <v>41</v>
      </c>
      <c r="D694" s="32" t="n">
        <f aca="false">INDEX(Inputs!$F$40:$F$87,C694)</f>
        <v>1</v>
      </c>
      <c r="E694" s="78" t="n">
        <f aca="false">INDEX(Inputs!$H$40:$H$87,C694)</f>
        <v>6</v>
      </c>
      <c r="F694" s="78" t="n">
        <f aca="false">INDEX(Inputs!$G$40:$G$87,C694)</f>
        <v>35</v>
      </c>
      <c r="G694" s="32" t="n">
        <f aca="false">INDEX(Inputs!$I$40:$I$87,C694)</f>
        <v>12</v>
      </c>
      <c r="H694" s="46" t="n">
        <f aca="false">MATCH(A694,Demand_History!$C:$C,0)+B694-1</f>
        <v>4251</v>
      </c>
      <c r="I694" s="32" t="n">
        <f aca="false">INDEX(Forecast_Walkforward!$C:$C,H694)</f>
        <v>98</v>
      </c>
      <c r="J694" s="79" t="n">
        <f aca="false">INDEX(Forecast_Walkforward!$E:$E,H694)</f>
        <v>91.5</v>
      </c>
      <c r="K694" s="33" t="n">
        <f aca="false">Baseline_Weeks*J694</f>
        <v>366</v>
      </c>
      <c r="L694" s="46" t="n">
        <f aca="false">SUMIFS(P$693:P693,$B$693:$B693,$B694-$D694)</f>
        <v>0</v>
      </c>
      <c r="M694" s="46" t="n">
        <f aca="false">S693+L694</f>
        <v>483</v>
      </c>
      <c r="N694" s="46" t="n">
        <f aca="false">SUMIFS(P$693:P693,$B$693:$B693,"&gt;"&amp;($B694-$D694))</f>
        <v>0</v>
      </c>
      <c r="O694" s="46" t="n">
        <f aca="false">M694+N694</f>
        <v>483</v>
      </c>
      <c r="P694" s="47" t="n">
        <f aca="false">IF(O694&lt;K694,ROUNDUP((K694-O694)/G694,0)*G694,0)</f>
        <v>0</v>
      </c>
      <c r="Q694" s="46" t="n">
        <f aca="false">MIN(M694,I694)</f>
        <v>98</v>
      </c>
      <c r="R694" s="46" t="n">
        <f aca="false">I694-Q694</f>
        <v>0</v>
      </c>
      <c r="S694" s="46" t="n">
        <f aca="false">M694-Q694</f>
        <v>385</v>
      </c>
      <c r="T694" s="46" t="n">
        <f aca="false">IF(R694&gt;0,1,0)</f>
        <v>0</v>
      </c>
      <c r="U694" s="32" t="n">
        <f aca="false">INDEX(Forecast!$AY$7:$AY$54,C694)</f>
        <v>3</v>
      </c>
      <c r="V694" s="33" t="n">
        <f aca="false">CHOOSE(U694,INDEX(Forecast_Walkforward!$D:$D,H694),INDEX(Forecast_Walkforward!$E:$E,H694),INDEX(Forecast_Walkforward!$F:$F,H694),INDEX(Forecast_Walkforward!$G:$G,H694))</f>
        <v>85.875</v>
      </c>
      <c r="W694" s="79" t="n">
        <f aca="false">INDEX(Forecast!$BA$7:$BA$54,C694)</f>
        <v>33.4532200223574</v>
      </c>
      <c r="X694" s="33" t="n">
        <f aca="false">Z_Value*W694*SQRT(D694)</f>
        <v>55.0256502869801</v>
      </c>
      <c r="Y694" s="33" t="n">
        <f aca="false">V694*D694+X694</f>
        <v>140.90065028698</v>
      </c>
      <c r="Z694" s="33" t="n">
        <f aca="false">SQRT((2*V694*Weeks_Per_Year*F694)/(E694*Holding_Rate))</f>
        <v>510.379760570499</v>
      </c>
      <c r="AA694" s="46" t="n">
        <f aca="false">ROUNDUP(Z694/G694,0)*G694</f>
        <v>516</v>
      </c>
      <c r="AB694" s="46" t="n">
        <f aca="false">SUMIFS(AF$693:AF693,$B$693:$B693,$B694-$D694)</f>
        <v>0</v>
      </c>
      <c r="AC694" s="46" t="n">
        <f aca="false">AI693+AB694</f>
        <v>483</v>
      </c>
      <c r="AD694" s="46" t="n">
        <f aca="false">SUMIFS(AF$693:AF693,$B$693:$B693,"&gt;"&amp;($B694-$D694))</f>
        <v>0</v>
      </c>
      <c r="AE694" s="46" t="n">
        <f aca="false">AC694+AD694</f>
        <v>483</v>
      </c>
      <c r="AF694" s="47" t="n">
        <f aca="false">IF(AE694&lt;=Y694,AA694,0)</f>
        <v>0</v>
      </c>
      <c r="AG694" s="46" t="n">
        <f aca="false">MIN(AC694,I694)</f>
        <v>98</v>
      </c>
      <c r="AH694" s="46" t="n">
        <f aca="false">I694-AG694</f>
        <v>0</v>
      </c>
      <c r="AI694" s="46" t="n">
        <f aca="false">AC694-AG694</f>
        <v>385</v>
      </c>
      <c r="AJ694" s="46" t="n">
        <f aca="false">IF(AH694&gt;0,1,0)</f>
        <v>0</v>
      </c>
    </row>
    <row r="695" customFormat="false" ht="15" hidden="false" customHeight="false" outlineLevel="0" collapsed="false">
      <c r="A695" s="31" t="str">
        <f aca="false">Inputs!$B$80</f>
        <v>CLN-004</v>
      </c>
      <c r="B695" s="46" t="n">
        <f aca="false">B694+1</f>
        <v>91</v>
      </c>
      <c r="C695" s="46" t="n">
        <f aca="false">MATCH(A695,Inputs!$B$40:$B$87,0)</f>
        <v>41</v>
      </c>
      <c r="D695" s="32" t="n">
        <f aca="false">INDEX(Inputs!$F$40:$F$87,C695)</f>
        <v>1</v>
      </c>
      <c r="E695" s="78" t="n">
        <f aca="false">INDEX(Inputs!$H$40:$H$87,C695)</f>
        <v>6</v>
      </c>
      <c r="F695" s="78" t="n">
        <f aca="false">INDEX(Inputs!$G$40:$G$87,C695)</f>
        <v>35</v>
      </c>
      <c r="G695" s="32" t="n">
        <f aca="false">INDEX(Inputs!$I$40:$I$87,C695)</f>
        <v>12</v>
      </c>
      <c r="H695" s="46" t="n">
        <f aca="false">MATCH(A695,Demand_History!$C:$C,0)+B695-1</f>
        <v>4252</v>
      </c>
      <c r="I695" s="32" t="n">
        <f aca="false">INDEX(Forecast_Walkforward!$C:$C,H695)</f>
        <v>37</v>
      </c>
      <c r="J695" s="79" t="n">
        <f aca="false">INDEX(Forecast_Walkforward!$E:$E,H695)</f>
        <v>90.25</v>
      </c>
      <c r="K695" s="33" t="n">
        <f aca="false">Baseline_Weeks*J695</f>
        <v>361</v>
      </c>
      <c r="L695" s="46" t="n">
        <f aca="false">SUMIFS(P$693:P694,$B$693:$B694,$B695-$D695)</f>
        <v>0</v>
      </c>
      <c r="M695" s="46" t="n">
        <f aca="false">S694+L695</f>
        <v>385</v>
      </c>
      <c r="N695" s="46" t="n">
        <f aca="false">SUMIFS(P$693:P694,$B$693:$B694,"&gt;"&amp;($B695-$D695))</f>
        <v>0</v>
      </c>
      <c r="O695" s="46" t="n">
        <f aca="false">M695+N695</f>
        <v>385</v>
      </c>
      <c r="P695" s="47" t="n">
        <f aca="false">IF(O695&lt;K695,ROUNDUP((K695-O695)/G695,0)*G695,0)</f>
        <v>0</v>
      </c>
      <c r="Q695" s="46" t="n">
        <f aca="false">MIN(M695,I695)</f>
        <v>37</v>
      </c>
      <c r="R695" s="46" t="n">
        <f aca="false">I695-Q695</f>
        <v>0</v>
      </c>
      <c r="S695" s="46" t="n">
        <f aca="false">M695-Q695</f>
        <v>348</v>
      </c>
      <c r="T695" s="46" t="n">
        <f aca="false">IF(R695&gt;0,1,0)</f>
        <v>0</v>
      </c>
      <c r="U695" s="32" t="n">
        <f aca="false">INDEX(Forecast!$AY$7:$AY$54,C695)</f>
        <v>3</v>
      </c>
      <c r="V695" s="33" t="n">
        <f aca="false">CHOOSE(U695,INDEX(Forecast_Walkforward!$D:$D,H695),INDEX(Forecast_Walkforward!$E:$E,H695),INDEX(Forecast_Walkforward!$F:$F,H695),INDEX(Forecast_Walkforward!$G:$G,H695))</f>
        <v>90.125</v>
      </c>
      <c r="W695" s="79" t="n">
        <f aca="false">INDEX(Forecast!$BA$7:$BA$54,C695)</f>
        <v>33.4532200223574</v>
      </c>
      <c r="X695" s="33" t="n">
        <f aca="false">Z_Value*W695*SQRT(D695)</f>
        <v>55.0256502869801</v>
      </c>
      <c r="Y695" s="33" t="n">
        <f aca="false">V695*D695+X695</f>
        <v>145.15065028698</v>
      </c>
      <c r="Z695" s="33" t="n">
        <f aca="false">SQRT((2*V695*Weeks_Per_Year*F695)/(E695*Holding_Rate))</f>
        <v>522.856736273586</v>
      </c>
      <c r="AA695" s="46" t="n">
        <f aca="false">ROUNDUP(Z695/G695,0)*G695</f>
        <v>528</v>
      </c>
      <c r="AB695" s="46" t="n">
        <f aca="false">SUMIFS(AF$693:AF694,$B$693:$B694,$B695-$D695)</f>
        <v>0</v>
      </c>
      <c r="AC695" s="46" t="n">
        <f aca="false">AI694+AB695</f>
        <v>385</v>
      </c>
      <c r="AD695" s="46" t="n">
        <f aca="false">SUMIFS(AF$693:AF694,$B$693:$B694,"&gt;"&amp;($B695-$D695))</f>
        <v>0</v>
      </c>
      <c r="AE695" s="46" t="n">
        <f aca="false">AC695+AD695</f>
        <v>385</v>
      </c>
      <c r="AF695" s="47" t="n">
        <f aca="false">IF(AE695&lt;=Y695,AA695,0)</f>
        <v>0</v>
      </c>
      <c r="AG695" s="46" t="n">
        <f aca="false">MIN(AC695,I695)</f>
        <v>37</v>
      </c>
      <c r="AH695" s="46" t="n">
        <f aca="false">I695-AG695</f>
        <v>0</v>
      </c>
      <c r="AI695" s="46" t="n">
        <f aca="false">AC695-AG695</f>
        <v>348</v>
      </c>
      <c r="AJ695" s="46" t="n">
        <f aca="false">IF(AH695&gt;0,1,0)</f>
        <v>0</v>
      </c>
    </row>
    <row r="696" customFormat="false" ht="15" hidden="false" customHeight="false" outlineLevel="0" collapsed="false">
      <c r="A696" s="31" t="str">
        <f aca="false">Inputs!$B$80</f>
        <v>CLN-004</v>
      </c>
      <c r="B696" s="46" t="n">
        <f aca="false">B695+1</f>
        <v>92</v>
      </c>
      <c r="C696" s="46" t="n">
        <f aca="false">MATCH(A696,Inputs!$B$40:$B$87,0)</f>
        <v>41</v>
      </c>
      <c r="D696" s="32" t="n">
        <f aca="false">INDEX(Inputs!$F$40:$F$87,C696)</f>
        <v>1</v>
      </c>
      <c r="E696" s="78" t="n">
        <f aca="false">INDEX(Inputs!$H$40:$H$87,C696)</f>
        <v>6</v>
      </c>
      <c r="F696" s="78" t="n">
        <f aca="false">INDEX(Inputs!$G$40:$G$87,C696)</f>
        <v>35</v>
      </c>
      <c r="G696" s="32" t="n">
        <f aca="false">INDEX(Inputs!$I$40:$I$87,C696)</f>
        <v>12</v>
      </c>
      <c r="H696" s="46" t="n">
        <f aca="false">MATCH(A696,Demand_History!$C:$C,0)+B696-1</f>
        <v>4253</v>
      </c>
      <c r="I696" s="32" t="n">
        <f aca="false">INDEX(Forecast_Walkforward!$C:$C,H696)</f>
        <v>96</v>
      </c>
      <c r="J696" s="79" t="n">
        <f aca="false">INDEX(Forecast_Walkforward!$E:$E,H696)</f>
        <v>62.5</v>
      </c>
      <c r="K696" s="33" t="n">
        <f aca="false">Baseline_Weeks*J696</f>
        <v>250</v>
      </c>
      <c r="L696" s="46" t="n">
        <f aca="false">SUMIFS(P$693:P695,$B$693:$B695,$B696-$D696)</f>
        <v>0</v>
      </c>
      <c r="M696" s="46" t="n">
        <f aca="false">S695+L696</f>
        <v>348</v>
      </c>
      <c r="N696" s="46" t="n">
        <f aca="false">SUMIFS(P$693:P695,$B$693:$B695,"&gt;"&amp;($B696-$D696))</f>
        <v>0</v>
      </c>
      <c r="O696" s="46" t="n">
        <f aca="false">M696+N696</f>
        <v>348</v>
      </c>
      <c r="P696" s="47" t="n">
        <f aca="false">IF(O696&lt;K696,ROUNDUP((K696-O696)/G696,0)*G696,0)</f>
        <v>0</v>
      </c>
      <c r="Q696" s="46" t="n">
        <f aca="false">MIN(M696,I696)</f>
        <v>96</v>
      </c>
      <c r="R696" s="46" t="n">
        <f aca="false">I696-Q696</f>
        <v>0</v>
      </c>
      <c r="S696" s="46" t="n">
        <f aca="false">M696-Q696</f>
        <v>252</v>
      </c>
      <c r="T696" s="46" t="n">
        <f aca="false">IF(R696&gt;0,1,0)</f>
        <v>0</v>
      </c>
      <c r="U696" s="32" t="n">
        <f aca="false">INDEX(Forecast!$AY$7:$AY$54,C696)</f>
        <v>3</v>
      </c>
      <c r="V696" s="33" t="n">
        <f aca="false">CHOOSE(U696,INDEX(Forecast_Walkforward!$D:$D,H696),INDEX(Forecast_Walkforward!$E:$E,H696),INDEX(Forecast_Walkforward!$F:$F,H696),INDEX(Forecast_Walkforward!$G:$G,H696))</f>
        <v>84.375</v>
      </c>
      <c r="W696" s="79" t="n">
        <f aca="false">INDEX(Forecast!$BA$7:$BA$54,C696)</f>
        <v>33.4532200223574</v>
      </c>
      <c r="X696" s="33" t="n">
        <f aca="false">Z_Value*W696*SQRT(D696)</f>
        <v>55.0256502869801</v>
      </c>
      <c r="Y696" s="33" t="n">
        <f aca="false">V696*D696+X696</f>
        <v>139.40065028698</v>
      </c>
      <c r="Z696" s="33" t="n">
        <f aca="false">SQRT((2*V696*Weeks_Per_Year*F696)/(E696*Holding_Rate))</f>
        <v>505.902658621202</v>
      </c>
      <c r="AA696" s="46" t="n">
        <f aca="false">ROUNDUP(Z696/G696,0)*G696</f>
        <v>516</v>
      </c>
      <c r="AB696" s="46" t="n">
        <f aca="false">SUMIFS(AF$693:AF695,$B$693:$B695,$B696-$D696)</f>
        <v>0</v>
      </c>
      <c r="AC696" s="46" t="n">
        <f aca="false">AI695+AB696</f>
        <v>348</v>
      </c>
      <c r="AD696" s="46" t="n">
        <f aca="false">SUMIFS(AF$693:AF695,$B$693:$B695,"&gt;"&amp;($B696-$D696))</f>
        <v>0</v>
      </c>
      <c r="AE696" s="46" t="n">
        <f aca="false">AC696+AD696</f>
        <v>348</v>
      </c>
      <c r="AF696" s="47" t="n">
        <f aca="false">IF(AE696&lt;=Y696,AA696,0)</f>
        <v>0</v>
      </c>
      <c r="AG696" s="46" t="n">
        <f aca="false">MIN(AC696,I696)</f>
        <v>96</v>
      </c>
      <c r="AH696" s="46" t="n">
        <f aca="false">I696-AG696</f>
        <v>0</v>
      </c>
      <c r="AI696" s="46" t="n">
        <f aca="false">AC696-AG696</f>
        <v>252</v>
      </c>
      <c r="AJ696" s="46" t="n">
        <f aca="false">IF(AH696&gt;0,1,0)</f>
        <v>0</v>
      </c>
    </row>
    <row r="697" customFormat="false" ht="15" hidden="false" customHeight="false" outlineLevel="0" collapsed="false">
      <c r="A697" s="31" t="str">
        <f aca="false">Inputs!$B$80</f>
        <v>CLN-004</v>
      </c>
      <c r="B697" s="46" t="n">
        <f aca="false">B696+1</f>
        <v>93</v>
      </c>
      <c r="C697" s="46" t="n">
        <f aca="false">MATCH(A697,Inputs!$B$40:$B$87,0)</f>
        <v>41</v>
      </c>
      <c r="D697" s="32" t="n">
        <f aca="false">INDEX(Inputs!$F$40:$F$87,C697)</f>
        <v>1</v>
      </c>
      <c r="E697" s="78" t="n">
        <f aca="false">INDEX(Inputs!$H$40:$H$87,C697)</f>
        <v>6</v>
      </c>
      <c r="F697" s="78" t="n">
        <f aca="false">INDEX(Inputs!$G$40:$G$87,C697)</f>
        <v>35</v>
      </c>
      <c r="G697" s="32" t="n">
        <f aca="false">INDEX(Inputs!$I$40:$I$87,C697)</f>
        <v>12</v>
      </c>
      <c r="H697" s="46" t="n">
        <f aca="false">MATCH(A697,Demand_History!$C:$C,0)+B697-1</f>
        <v>4254</v>
      </c>
      <c r="I697" s="32" t="n">
        <f aca="false">INDEX(Forecast_Walkforward!$C:$C,H697)</f>
        <v>67</v>
      </c>
      <c r="J697" s="79" t="n">
        <f aca="false">INDEX(Forecast_Walkforward!$E:$E,H697)</f>
        <v>71</v>
      </c>
      <c r="K697" s="33" t="n">
        <f aca="false">Baseline_Weeks*J697</f>
        <v>284</v>
      </c>
      <c r="L697" s="46" t="n">
        <f aca="false">SUMIFS(P$693:P696,$B$693:$B696,$B697-$D697)</f>
        <v>0</v>
      </c>
      <c r="M697" s="46" t="n">
        <f aca="false">S696+L697</f>
        <v>252</v>
      </c>
      <c r="N697" s="46" t="n">
        <f aca="false">SUMIFS(P$693:P696,$B$693:$B696,"&gt;"&amp;($B697-$D697))</f>
        <v>0</v>
      </c>
      <c r="O697" s="46" t="n">
        <f aca="false">M697+N697</f>
        <v>252</v>
      </c>
      <c r="P697" s="47" t="n">
        <f aca="false">IF(O697&lt;K697,ROUNDUP((K697-O697)/G697,0)*G697,0)</f>
        <v>36</v>
      </c>
      <c r="Q697" s="46" t="n">
        <f aca="false">MIN(M697,I697)</f>
        <v>67</v>
      </c>
      <c r="R697" s="46" t="n">
        <f aca="false">I697-Q697</f>
        <v>0</v>
      </c>
      <c r="S697" s="46" t="n">
        <f aca="false">M697-Q697</f>
        <v>185</v>
      </c>
      <c r="T697" s="46" t="n">
        <f aca="false">IF(R697&gt;0,1,0)</f>
        <v>0</v>
      </c>
      <c r="U697" s="32" t="n">
        <f aca="false">INDEX(Forecast!$AY$7:$AY$54,C697)</f>
        <v>3</v>
      </c>
      <c r="V697" s="33" t="n">
        <f aca="false">CHOOSE(U697,INDEX(Forecast_Walkforward!$D:$D,H697),INDEX(Forecast_Walkforward!$E:$E,H697),INDEX(Forecast_Walkforward!$F:$F,H697),INDEX(Forecast_Walkforward!$G:$G,H697))</f>
        <v>91.25</v>
      </c>
      <c r="W697" s="79" t="n">
        <f aca="false">INDEX(Forecast!$BA$7:$BA$54,C697)</f>
        <v>33.4532200223574</v>
      </c>
      <c r="X697" s="33" t="n">
        <f aca="false">Z_Value*W697*SQRT(D697)</f>
        <v>55.0256502869801</v>
      </c>
      <c r="Y697" s="33" t="n">
        <f aca="false">V697*D697+X697</f>
        <v>146.27565028698</v>
      </c>
      <c r="Z697" s="33" t="n">
        <f aca="false">SQRT((2*V697*Weeks_Per_Year*F697)/(E697*Holding_Rate))</f>
        <v>526.109937814015</v>
      </c>
      <c r="AA697" s="46" t="n">
        <f aca="false">ROUNDUP(Z697/G697,0)*G697</f>
        <v>528</v>
      </c>
      <c r="AB697" s="46" t="n">
        <f aca="false">SUMIFS(AF$693:AF696,$B$693:$B696,$B697-$D697)</f>
        <v>0</v>
      </c>
      <c r="AC697" s="46" t="n">
        <f aca="false">AI696+AB697</f>
        <v>252</v>
      </c>
      <c r="AD697" s="46" t="n">
        <f aca="false">SUMIFS(AF$693:AF696,$B$693:$B696,"&gt;"&amp;($B697-$D697))</f>
        <v>0</v>
      </c>
      <c r="AE697" s="46" t="n">
        <f aca="false">AC697+AD697</f>
        <v>252</v>
      </c>
      <c r="AF697" s="47" t="n">
        <f aca="false">IF(AE697&lt;=Y697,AA697,0)</f>
        <v>0</v>
      </c>
      <c r="AG697" s="46" t="n">
        <f aca="false">MIN(AC697,I697)</f>
        <v>67</v>
      </c>
      <c r="AH697" s="46" t="n">
        <f aca="false">I697-AG697</f>
        <v>0</v>
      </c>
      <c r="AI697" s="46" t="n">
        <f aca="false">AC697-AG697</f>
        <v>185</v>
      </c>
      <c r="AJ697" s="46" t="n">
        <f aca="false">IF(AH697&gt;0,1,0)</f>
        <v>0</v>
      </c>
    </row>
    <row r="698" customFormat="false" ht="15" hidden="false" customHeight="false" outlineLevel="0" collapsed="false">
      <c r="A698" s="31" t="str">
        <f aca="false">Inputs!$B$80</f>
        <v>CLN-004</v>
      </c>
      <c r="B698" s="46" t="n">
        <f aca="false">B697+1</f>
        <v>94</v>
      </c>
      <c r="C698" s="46" t="n">
        <f aca="false">MATCH(A698,Inputs!$B$40:$B$87,0)</f>
        <v>41</v>
      </c>
      <c r="D698" s="32" t="n">
        <f aca="false">INDEX(Inputs!$F$40:$F$87,C698)</f>
        <v>1</v>
      </c>
      <c r="E698" s="78" t="n">
        <f aca="false">INDEX(Inputs!$H$40:$H$87,C698)</f>
        <v>6</v>
      </c>
      <c r="F698" s="78" t="n">
        <f aca="false">INDEX(Inputs!$G$40:$G$87,C698)</f>
        <v>35</v>
      </c>
      <c r="G698" s="32" t="n">
        <f aca="false">INDEX(Inputs!$I$40:$I$87,C698)</f>
        <v>12</v>
      </c>
      <c r="H698" s="46" t="n">
        <f aca="false">MATCH(A698,Demand_History!$C:$C,0)+B698-1</f>
        <v>4255</v>
      </c>
      <c r="I698" s="32" t="n">
        <f aca="false">INDEX(Forecast_Walkforward!$C:$C,H698)</f>
        <v>79</v>
      </c>
      <c r="J698" s="79" t="n">
        <f aca="false">INDEX(Forecast_Walkforward!$E:$E,H698)</f>
        <v>74.5</v>
      </c>
      <c r="K698" s="33" t="n">
        <f aca="false">Baseline_Weeks*J698</f>
        <v>298</v>
      </c>
      <c r="L698" s="46" t="n">
        <f aca="false">SUMIFS(P$693:P697,$B$693:$B697,$B698-$D698)</f>
        <v>36</v>
      </c>
      <c r="M698" s="46" t="n">
        <f aca="false">S697+L698</f>
        <v>221</v>
      </c>
      <c r="N698" s="46" t="n">
        <f aca="false">SUMIFS(P$693:P697,$B$693:$B697,"&gt;"&amp;($B698-$D698))</f>
        <v>0</v>
      </c>
      <c r="O698" s="46" t="n">
        <f aca="false">M698+N698</f>
        <v>221</v>
      </c>
      <c r="P698" s="47" t="n">
        <f aca="false">IF(O698&lt;K698,ROUNDUP((K698-O698)/G698,0)*G698,0)</f>
        <v>84</v>
      </c>
      <c r="Q698" s="46" t="n">
        <f aca="false">MIN(M698,I698)</f>
        <v>79</v>
      </c>
      <c r="R698" s="46" t="n">
        <f aca="false">I698-Q698</f>
        <v>0</v>
      </c>
      <c r="S698" s="46" t="n">
        <f aca="false">M698-Q698</f>
        <v>142</v>
      </c>
      <c r="T698" s="46" t="n">
        <f aca="false">IF(R698&gt;0,1,0)</f>
        <v>0</v>
      </c>
      <c r="U698" s="32" t="n">
        <f aca="false">INDEX(Forecast!$AY$7:$AY$54,C698)</f>
        <v>3</v>
      </c>
      <c r="V698" s="33" t="n">
        <f aca="false">CHOOSE(U698,INDEX(Forecast_Walkforward!$D:$D,H698),INDEX(Forecast_Walkforward!$E:$E,H698),INDEX(Forecast_Walkforward!$F:$F,H698),INDEX(Forecast_Walkforward!$G:$G,H698))</f>
        <v>83</v>
      </c>
      <c r="W698" s="79" t="n">
        <f aca="false">INDEX(Forecast!$BA$7:$BA$54,C698)</f>
        <v>33.4532200223574</v>
      </c>
      <c r="X698" s="33" t="n">
        <f aca="false">Z_Value*W698*SQRT(D698)</f>
        <v>55.0256502869801</v>
      </c>
      <c r="Y698" s="33" t="n">
        <f aca="false">V698*D698+X698</f>
        <v>138.02565028698</v>
      </c>
      <c r="Z698" s="33" t="n">
        <f aca="false">SQRT((2*V698*Weeks_Per_Year*F698)/(E698*Holding_Rate))</f>
        <v>501.763556535014</v>
      </c>
      <c r="AA698" s="46" t="n">
        <f aca="false">ROUNDUP(Z698/G698,0)*G698</f>
        <v>504</v>
      </c>
      <c r="AB698" s="46" t="n">
        <f aca="false">SUMIFS(AF$693:AF697,$B$693:$B697,$B698-$D698)</f>
        <v>0</v>
      </c>
      <c r="AC698" s="46" t="n">
        <f aca="false">AI697+AB698</f>
        <v>185</v>
      </c>
      <c r="AD698" s="46" t="n">
        <f aca="false">SUMIFS(AF$693:AF697,$B$693:$B697,"&gt;"&amp;($B698-$D698))</f>
        <v>0</v>
      </c>
      <c r="AE698" s="46" t="n">
        <f aca="false">AC698+AD698</f>
        <v>185</v>
      </c>
      <c r="AF698" s="47" t="n">
        <f aca="false">IF(AE698&lt;=Y698,AA698,0)</f>
        <v>0</v>
      </c>
      <c r="AG698" s="46" t="n">
        <f aca="false">MIN(AC698,I698)</f>
        <v>79</v>
      </c>
      <c r="AH698" s="46" t="n">
        <f aca="false">I698-AG698</f>
        <v>0</v>
      </c>
      <c r="AI698" s="46" t="n">
        <f aca="false">AC698-AG698</f>
        <v>106</v>
      </c>
      <c r="AJ698" s="46" t="n">
        <f aca="false">IF(AH698&gt;0,1,0)</f>
        <v>0</v>
      </c>
    </row>
    <row r="699" customFormat="false" ht="15" hidden="false" customHeight="false" outlineLevel="0" collapsed="false">
      <c r="A699" s="31" t="str">
        <f aca="false">Inputs!$B$80</f>
        <v>CLN-004</v>
      </c>
      <c r="B699" s="46" t="n">
        <f aca="false">B698+1</f>
        <v>95</v>
      </c>
      <c r="C699" s="46" t="n">
        <f aca="false">MATCH(A699,Inputs!$B$40:$B$87,0)</f>
        <v>41</v>
      </c>
      <c r="D699" s="32" t="n">
        <f aca="false">INDEX(Inputs!$F$40:$F$87,C699)</f>
        <v>1</v>
      </c>
      <c r="E699" s="78" t="n">
        <f aca="false">INDEX(Inputs!$H$40:$H$87,C699)</f>
        <v>6</v>
      </c>
      <c r="F699" s="78" t="n">
        <f aca="false">INDEX(Inputs!$G$40:$G$87,C699)</f>
        <v>35</v>
      </c>
      <c r="G699" s="32" t="n">
        <f aca="false">INDEX(Inputs!$I$40:$I$87,C699)</f>
        <v>12</v>
      </c>
      <c r="H699" s="46" t="n">
        <f aca="false">MATCH(A699,Demand_History!$C:$C,0)+B699-1</f>
        <v>4256</v>
      </c>
      <c r="I699" s="32" t="n">
        <f aca="false">INDEX(Forecast_Walkforward!$C:$C,H699)</f>
        <v>97</v>
      </c>
      <c r="J699" s="79" t="n">
        <f aca="false">INDEX(Forecast_Walkforward!$E:$E,H699)</f>
        <v>69.75</v>
      </c>
      <c r="K699" s="33" t="n">
        <f aca="false">Baseline_Weeks*J699</f>
        <v>279</v>
      </c>
      <c r="L699" s="46" t="n">
        <f aca="false">SUMIFS(P$693:P698,$B$693:$B698,$B699-$D699)</f>
        <v>84</v>
      </c>
      <c r="M699" s="46" t="n">
        <f aca="false">S698+L699</f>
        <v>226</v>
      </c>
      <c r="N699" s="46" t="n">
        <f aca="false">SUMIFS(P$693:P698,$B$693:$B698,"&gt;"&amp;($B699-$D699))</f>
        <v>0</v>
      </c>
      <c r="O699" s="46" t="n">
        <f aca="false">M699+N699</f>
        <v>226</v>
      </c>
      <c r="P699" s="47" t="n">
        <f aca="false">IF(O699&lt;K699,ROUNDUP((K699-O699)/G699,0)*G699,0)</f>
        <v>60</v>
      </c>
      <c r="Q699" s="46" t="n">
        <f aca="false">MIN(M699,I699)</f>
        <v>97</v>
      </c>
      <c r="R699" s="46" t="n">
        <f aca="false">I699-Q699</f>
        <v>0</v>
      </c>
      <c r="S699" s="46" t="n">
        <f aca="false">M699-Q699</f>
        <v>129</v>
      </c>
      <c r="T699" s="46" t="n">
        <f aca="false">IF(R699&gt;0,1,0)</f>
        <v>0</v>
      </c>
      <c r="U699" s="32" t="n">
        <f aca="false">INDEX(Forecast!$AY$7:$AY$54,C699)</f>
        <v>3</v>
      </c>
      <c r="V699" s="33" t="n">
        <f aca="false">CHOOSE(U699,INDEX(Forecast_Walkforward!$D:$D,H699),INDEX(Forecast_Walkforward!$E:$E,H699),INDEX(Forecast_Walkforward!$F:$F,H699),INDEX(Forecast_Walkforward!$G:$G,H699))</f>
        <v>80</v>
      </c>
      <c r="W699" s="79" t="n">
        <f aca="false">INDEX(Forecast!$BA$7:$BA$54,C699)</f>
        <v>33.4532200223574</v>
      </c>
      <c r="X699" s="33" t="n">
        <f aca="false">Z_Value*W699*SQRT(D699)</f>
        <v>55.0256502869801</v>
      </c>
      <c r="Y699" s="33" t="n">
        <f aca="false">V699*D699+X699</f>
        <v>135.02565028698</v>
      </c>
      <c r="Z699" s="33" t="n">
        <f aca="false">SQRT((2*V699*Weeks_Per_Year*F699)/(E699*Holding_Rate))</f>
        <v>492.612085384298</v>
      </c>
      <c r="AA699" s="46" t="n">
        <f aca="false">ROUNDUP(Z699/G699,0)*G699</f>
        <v>504</v>
      </c>
      <c r="AB699" s="46" t="n">
        <f aca="false">SUMIFS(AF$693:AF698,$B$693:$B698,$B699-$D699)</f>
        <v>0</v>
      </c>
      <c r="AC699" s="46" t="n">
        <f aca="false">AI698+AB699</f>
        <v>106</v>
      </c>
      <c r="AD699" s="46" t="n">
        <f aca="false">SUMIFS(AF$693:AF698,$B$693:$B698,"&gt;"&amp;($B699-$D699))</f>
        <v>0</v>
      </c>
      <c r="AE699" s="46" t="n">
        <f aca="false">AC699+AD699</f>
        <v>106</v>
      </c>
      <c r="AF699" s="47" t="n">
        <f aca="false">IF(AE699&lt;=Y699,AA699,0)</f>
        <v>504</v>
      </c>
      <c r="AG699" s="46" t="n">
        <f aca="false">MIN(AC699,I699)</f>
        <v>97</v>
      </c>
      <c r="AH699" s="46" t="n">
        <f aca="false">I699-AG699</f>
        <v>0</v>
      </c>
      <c r="AI699" s="46" t="n">
        <f aca="false">AC699-AG699</f>
        <v>9</v>
      </c>
      <c r="AJ699" s="46" t="n">
        <f aca="false">IF(AH699&gt;0,1,0)</f>
        <v>0</v>
      </c>
    </row>
    <row r="700" customFormat="false" ht="15" hidden="false" customHeight="false" outlineLevel="0" collapsed="false">
      <c r="A700" s="31" t="str">
        <f aca="false">Inputs!$B$80</f>
        <v>CLN-004</v>
      </c>
      <c r="B700" s="46" t="n">
        <f aca="false">B699+1</f>
        <v>96</v>
      </c>
      <c r="C700" s="46" t="n">
        <f aca="false">MATCH(A700,Inputs!$B$40:$B$87,0)</f>
        <v>41</v>
      </c>
      <c r="D700" s="32" t="n">
        <f aca="false">INDEX(Inputs!$F$40:$F$87,C700)</f>
        <v>1</v>
      </c>
      <c r="E700" s="78" t="n">
        <f aca="false">INDEX(Inputs!$H$40:$H$87,C700)</f>
        <v>6</v>
      </c>
      <c r="F700" s="78" t="n">
        <f aca="false">INDEX(Inputs!$G$40:$G$87,C700)</f>
        <v>35</v>
      </c>
      <c r="G700" s="32" t="n">
        <f aca="false">INDEX(Inputs!$I$40:$I$87,C700)</f>
        <v>12</v>
      </c>
      <c r="H700" s="46" t="n">
        <f aca="false">MATCH(A700,Demand_History!$C:$C,0)+B700-1</f>
        <v>4257</v>
      </c>
      <c r="I700" s="32" t="n">
        <f aca="false">INDEX(Forecast_Walkforward!$C:$C,H700)</f>
        <v>90</v>
      </c>
      <c r="J700" s="79" t="n">
        <f aca="false">INDEX(Forecast_Walkforward!$E:$E,H700)</f>
        <v>84.75</v>
      </c>
      <c r="K700" s="33" t="n">
        <f aca="false">Baseline_Weeks*J700</f>
        <v>339</v>
      </c>
      <c r="L700" s="46" t="n">
        <f aca="false">SUMIFS(P$693:P699,$B$693:$B699,$B700-$D700)</f>
        <v>60</v>
      </c>
      <c r="M700" s="46" t="n">
        <f aca="false">S699+L700</f>
        <v>189</v>
      </c>
      <c r="N700" s="46" t="n">
        <f aca="false">SUMIFS(P$693:P699,$B$693:$B699,"&gt;"&amp;($B700-$D700))</f>
        <v>0</v>
      </c>
      <c r="O700" s="46" t="n">
        <f aca="false">M700+N700</f>
        <v>189</v>
      </c>
      <c r="P700" s="47" t="n">
        <f aca="false">IF(O700&lt;K700,ROUNDUP((K700-O700)/G700,0)*G700,0)</f>
        <v>156</v>
      </c>
      <c r="Q700" s="46" t="n">
        <f aca="false">MIN(M700,I700)</f>
        <v>90</v>
      </c>
      <c r="R700" s="46" t="n">
        <f aca="false">I700-Q700</f>
        <v>0</v>
      </c>
      <c r="S700" s="46" t="n">
        <f aca="false">M700-Q700</f>
        <v>99</v>
      </c>
      <c r="T700" s="46" t="n">
        <f aca="false">IF(R700&gt;0,1,0)</f>
        <v>0</v>
      </c>
      <c r="U700" s="32" t="n">
        <f aca="false">INDEX(Forecast!$AY$7:$AY$54,C700)</f>
        <v>3</v>
      </c>
      <c r="V700" s="33" t="n">
        <f aca="false">CHOOSE(U700,INDEX(Forecast_Walkforward!$D:$D,H700),INDEX(Forecast_Walkforward!$E:$E,H700),INDEX(Forecast_Walkforward!$F:$F,H700),INDEX(Forecast_Walkforward!$G:$G,H700))</f>
        <v>73.625</v>
      </c>
      <c r="W700" s="79" t="n">
        <f aca="false">INDEX(Forecast!$BA$7:$BA$54,C700)</f>
        <v>33.4532200223574</v>
      </c>
      <c r="X700" s="33" t="n">
        <f aca="false">Z_Value*W700*SQRT(D700)</f>
        <v>55.0256502869801</v>
      </c>
      <c r="Y700" s="33" t="n">
        <f aca="false">V700*D700+X700</f>
        <v>128.65065028698</v>
      </c>
      <c r="Z700" s="33" t="n">
        <f aca="false">SQRT((2*V700*Weeks_Per_Year*F700)/(E700*Holding_Rate))</f>
        <v>472.5771541946</v>
      </c>
      <c r="AA700" s="46" t="n">
        <f aca="false">ROUNDUP(Z700/G700,0)*G700</f>
        <v>480</v>
      </c>
      <c r="AB700" s="46" t="n">
        <f aca="false">SUMIFS(AF$693:AF699,$B$693:$B699,$B700-$D700)</f>
        <v>504</v>
      </c>
      <c r="AC700" s="46" t="n">
        <f aca="false">AI699+AB700</f>
        <v>513</v>
      </c>
      <c r="AD700" s="46" t="n">
        <f aca="false">SUMIFS(AF$693:AF699,$B$693:$B699,"&gt;"&amp;($B700-$D700))</f>
        <v>0</v>
      </c>
      <c r="AE700" s="46" t="n">
        <f aca="false">AC700+AD700</f>
        <v>513</v>
      </c>
      <c r="AF700" s="47" t="n">
        <f aca="false">IF(AE700&lt;=Y700,AA700,0)</f>
        <v>0</v>
      </c>
      <c r="AG700" s="46" t="n">
        <f aca="false">MIN(AC700,I700)</f>
        <v>90</v>
      </c>
      <c r="AH700" s="46" t="n">
        <f aca="false">I700-AG700</f>
        <v>0</v>
      </c>
      <c r="AI700" s="46" t="n">
        <f aca="false">AC700-AG700</f>
        <v>423</v>
      </c>
      <c r="AJ700" s="46" t="n">
        <f aca="false">IF(AH700&gt;0,1,0)</f>
        <v>0</v>
      </c>
    </row>
    <row r="701" customFormat="false" ht="15" hidden="false" customHeight="false" outlineLevel="0" collapsed="false">
      <c r="A701" s="31" t="str">
        <f aca="false">Inputs!$B$80</f>
        <v>CLN-004</v>
      </c>
      <c r="B701" s="46" t="n">
        <f aca="false">B700+1</f>
        <v>97</v>
      </c>
      <c r="C701" s="46" t="n">
        <f aca="false">MATCH(A701,Inputs!$B$40:$B$87,0)</f>
        <v>41</v>
      </c>
      <c r="D701" s="32" t="n">
        <f aca="false">INDEX(Inputs!$F$40:$F$87,C701)</f>
        <v>1</v>
      </c>
      <c r="E701" s="78" t="n">
        <f aca="false">INDEX(Inputs!$H$40:$H$87,C701)</f>
        <v>6</v>
      </c>
      <c r="F701" s="78" t="n">
        <f aca="false">INDEX(Inputs!$G$40:$G$87,C701)</f>
        <v>35</v>
      </c>
      <c r="G701" s="32" t="n">
        <f aca="false">INDEX(Inputs!$I$40:$I$87,C701)</f>
        <v>12</v>
      </c>
      <c r="H701" s="46" t="n">
        <f aca="false">MATCH(A701,Demand_History!$C:$C,0)+B701-1</f>
        <v>4258</v>
      </c>
      <c r="I701" s="32" t="n">
        <f aca="false">INDEX(Forecast_Walkforward!$C:$C,H701)</f>
        <v>147</v>
      </c>
      <c r="J701" s="79" t="n">
        <f aca="false">INDEX(Forecast_Walkforward!$E:$E,H701)</f>
        <v>83.25</v>
      </c>
      <c r="K701" s="33" t="n">
        <f aca="false">Baseline_Weeks*J701</f>
        <v>333</v>
      </c>
      <c r="L701" s="46" t="n">
        <f aca="false">SUMIFS(P$693:P700,$B$693:$B700,$B701-$D701)</f>
        <v>156</v>
      </c>
      <c r="M701" s="46" t="n">
        <f aca="false">S700+L701</f>
        <v>255</v>
      </c>
      <c r="N701" s="46" t="n">
        <f aca="false">SUMIFS(P$693:P700,$B$693:$B700,"&gt;"&amp;($B701-$D701))</f>
        <v>0</v>
      </c>
      <c r="O701" s="46" t="n">
        <f aca="false">M701+N701</f>
        <v>255</v>
      </c>
      <c r="P701" s="47" t="n">
        <f aca="false">IF(O701&lt;K701,ROUNDUP((K701-O701)/G701,0)*G701,0)</f>
        <v>84</v>
      </c>
      <c r="Q701" s="46" t="n">
        <f aca="false">MIN(M701,I701)</f>
        <v>147</v>
      </c>
      <c r="R701" s="46" t="n">
        <f aca="false">I701-Q701</f>
        <v>0</v>
      </c>
      <c r="S701" s="46" t="n">
        <f aca="false">M701-Q701</f>
        <v>108</v>
      </c>
      <c r="T701" s="46" t="n">
        <f aca="false">IF(R701&gt;0,1,0)</f>
        <v>0</v>
      </c>
      <c r="U701" s="32" t="n">
        <f aca="false">INDEX(Forecast!$AY$7:$AY$54,C701)</f>
        <v>3</v>
      </c>
      <c r="V701" s="33" t="n">
        <f aca="false">CHOOSE(U701,INDEX(Forecast_Walkforward!$D:$D,H701),INDEX(Forecast_Walkforward!$E:$E,H701),INDEX(Forecast_Walkforward!$F:$F,H701),INDEX(Forecast_Walkforward!$G:$G,H701))</f>
        <v>77.125</v>
      </c>
      <c r="W701" s="79" t="n">
        <f aca="false">INDEX(Forecast!$BA$7:$BA$54,C701)</f>
        <v>33.4532200223574</v>
      </c>
      <c r="X701" s="33" t="n">
        <f aca="false">Z_Value*W701*SQRT(D701)</f>
        <v>55.0256502869801</v>
      </c>
      <c r="Y701" s="33" t="n">
        <f aca="false">V701*D701+X701</f>
        <v>132.15065028698</v>
      </c>
      <c r="Z701" s="33" t="n">
        <f aca="false">SQRT((2*V701*Weeks_Per_Year*F701)/(E701*Holding_Rate))</f>
        <v>483.679473756468</v>
      </c>
      <c r="AA701" s="46" t="n">
        <f aca="false">ROUNDUP(Z701/G701,0)*G701</f>
        <v>492</v>
      </c>
      <c r="AB701" s="46" t="n">
        <f aca="false">SUMIFS(AF$693:AF700,$B$693:$B700,$B701-$D701)</f>
        <v>0</v>
      </c>
      <c r="AC701" s="46" t="n">
        <f aca="false">AI700+AB701</f>
        <v>423</v>
      </c>
      <c r="AD701" s="46" t="n">
        <f aca="false">SUMIFS(AF$693:AF700,$B$693:$B700,"&gt;"&amp;($B701-$D701))</f>
        <v>0</v>
      </c>
      <c r="AE701" s="46" t="n">
        <f aca="false">AC701+AD701</f>
        <v>423</v>
      </c>
      <c r="AF701" s="47" t="n">
        <f aca="false">IF(AE701&lt;=Y701,AA701,0)</f>
        <v>0</v>
      </c>
      <c r="AG701" s="46" t="n">
        <f aca="false">MIN(AC701,I701)</f>
        <v>147</v>
      </c>
      <c r="AH701" s="46" t="n">
        <f aca="false">I701-AG701</f>
        <v>0</v>
      </c>
      <c r="AI701" s="46" t="n">
        <f aca="false">AC701-AG701</f>
        <v>276</v>
      </c>
      <c r="AJ701" s="46" t="n">
        <f aca="false">IF(AH701&gt;0,1,0)</f>
        <v>0</v>
      </c>
    </row>
    <row r="702" customFormat="false" ht="15" hidden="false" customHeight="false" outlineLevel="0" collapsed="false">
      <c r="A702" s="31" t="str">
        <f aca="false">Inputs!$B$80</f>
        <v>CLN-004</v>
      </c>
      <c r="B702" s="46" t="n">
        <f aca="false">B701+1</f>
        <v>98</v>
      </c>
      <c r="C702" s="46" t="n">
        <f aca="false">MATCH(A702,Inputs!$B$40:$B$87,0)</f>
        <v>41</v>
      </c>
      <c r="D702" s="32" t="n">
        <f aca="false">INDEX(Inputs!$F$40:$F$87,C702)</f>
        <v>1</v>
      </c>
      <c r="E702" s="78" t="n">
        <f aca="false">INDEX(Inputs!$H$40:$H$87,C702)</f>
        <v>6</v>
      </c>
      <c r="F702" s="78" t="n">
        <f aca="false">INDEX(Inputs!$G$40:$G$87,C702)</f>
        <v>35</v>
      </c>
      <c r="G702" s="32" t="n">
        <f aca="false">INDEX(Inputs!$I$40:$I$87,C702)</f>
        <v>12</v>
      </c>
      <c r="H702" s="46" t="n">
        <f aca="false">MATCH(A702,Demand_History!$C:$C,0)+B702-1</f>
        <v>4259</v>
      </c>
      <c r="I702" s="32" t="n">
        <f aca="false">INDEX(Forecast_Walkforward!$C:$C,H702)</f>
        <v>109</v>
      </c>
      <c r="J702" s="79" t="n">
        <f aca="false">INDEX(Forecast_Walkforward!$E:$E,H702)</f>
        <v>103.25</v>
      </c>
      <c r="K702" s="33" t="n">
        <f aca="false">Baseline_Weeks*J702</f>
        <v>413</v>
      </c>
      <c r="L702" s="46" t="n">
        <f aca="false">SUMIFS(P$693:P701,$B$693:$B701,$B702-$D702)</f>
        <v>84</v>
      </c>
      <c r="M702" s="46" t="n">
        <f aca="false">S701+L702</f>
        <v>192</v>
      </c>
      <c r="N702" s="46" t="n">
        <f aca="false">SUMIFS(P$693:P701,$B$693:$B701,"&gt;"&amp;($B702-$D702))</f>
        <v>0</v>
      </c>
      <c r="O702" s="46" t="n">
        <f aca="false">M702+N702</f>
        <v>192</v>
      </c>
      <c r="P702" s="47" t="n">
        <f aca="false">IF(O702&lt;K702,ROUNDUP((K702-O702)/G702,0)*G702,0)</f>
        <v>228</v>
      </c>
      <c r="Q702" s="46" t="n">
        <f aca="false">MIN(M702,I702)</f>
        <v>109</v>
      </c>
      <c r="R702" s="46" t="n">
        <f aca="false">I702-Q702</f>
        <v>0</v>
      </c>
      <c r="S702" s="46" t="n">
        <f aca="false">M702-Q702</f>
        <v>83</v>
      </c>
      <c r="T702" s="46" t="n">
        <f aca="false">IF(R702&gt;0,1,0)</f>
        <v>0</v>
      </c>
      <c r="U702" s="32" t="n">
        <f aca="false">INDEX(Forecast!$AY$7:$AY$54,C702)</f>
        <v>3</v>
      </c>
      <c r="V702" s="33" t="n">
        <f aca="false">CHOOSE(U702,INDEX(Forecast_Walkforward!$D:$D,H702),INDEX(Forecast_Walkforward!$E:$E,H702),INDEX(Forecast_Walkforward!$F:$F,H702),INDEX(Forecast_Walkforward!$G:$G,H702))</f>
        <v>88.875</v>
      </c>
      <c r="W702" s="79" t="n">
        <f aca="false">INDEX(Forecast!$BA$7:$BA$54,C702)</f>
        <v>33.4532200223574</v>
      </c>
      <c r="X702" s="33" t="n">
        <f aca="false">Z_Value*W702*SQRT(D702)</f>
        <v>55.0256502869801</v>
      </c>
      <c r="Y702" s="33" t="n">
        <f aca="false">V702*D702+X702</f>
        <v>143.90065028698</v>
      </c>
      <c r="Z702" s="33" t="n">
        <f aca="false">SQRT((2*V702*Weeks_Per_Year*F702)/(E702*Holding_Rate))</f>
        <v>519.218162240113</v>
      </c>
      <c r="AA702" s="46" t="n">
        <f aca="false">ROUNDUP(Z702/G702,0)*G702</f>
        <v>528</v>
      </c>
      <c r="AB702" s="46" t="n">
        <f aca="false">SUMIFS(AF$693:AF701,$B$693:$B701,$B702-$D702)</f>
        <v>0</v>
      </c>
      <c r="AC702" s="46" t="n">
        <f aca="false">AI701+AB702</f>
        <v>276</v>
      </c>
      <c r="AD702" s="46" t="n">
        <f aca="false">SUMIFS(AF$693:AF701,$B$693:$B701,"&gt;"&amp;($B702-$D702))</f>
        <v>0</v>
      </c>
      <c r="AE702" s="46" t="n">
        <f aca="false">AC702+AD702</f>
        <v>276</v>
      </c>
      <c r="AF702" s="47" t="n">
        <f aca="false">IF(AE702&lt;=Y702,AA702,0)</f>
        <v>0</v>
      </c>
      <c r="AG702" s="46" t="n">
        <f aca="false">MIN(AC702,I702)</f>
        <v>109</v>
      </c>
      <c r="AH702" s="46" t="n">
        <f aca="false">I702-AG702</f>
        <v>0</v>
      </c>
      <c r="AI702" s="46" t="n">
        <f aca="false">AC702-AG702</f>
        <v>167</v>
      </c>
      <c r="AJ702" s="46" t="n">
        <f aca="false">IF(AH702&gt;0,1,0)</f>
        <v>0</v>
      </c>
    </row>
    <row r="703" customFormat="false" ht="15" hidden="false" customHeight="false" outlineLevel="0" collapsed="false">
      <c r="A703" s="31" t="str">
        <f aca="false">Inputs!$B$80</f>
        <v>CLN-004</v>
      </c>
      <c r="B703" s="46" t="n">
        <f aca="false">B702+1</f>
        <v>99</v>
      </c>
      <c r="C703" s="46" t="n">
        <f aca="false">MATCH(A703,Inputs!$B$40:$B$87,0)</f>
        <v>41</v>
      </c>
      <c r="D703" s="32" t="n">
        <f aca="false">INDEX(Inputs!$F$40:$F$87,C703)</f>
        <v>1</v>
      </c>
      <c r="E703" s="78" t="n">
        <f aca="false">INDEX(Inputs!$H$40:$H$87,C703)</f>
        <v>6</v>
      </c>
      <c r="F703" s="78" t="n">
        <f aca="false">INDEX(Inputs!$G$40:$G$87,C703)</f>
        <v>35</v>
      </c>
      <c r="G703" s="32" t="n">
        <f aca="false">INDEX(Inputs!$I$40:$I$87,C703)</f>
        <v>12</v>
      </c>
      <c r="H703" s="46" t="n">
        <f aca="false">MATCH(A703,Demand_History!$C:$C,0)+B703-1</f>
        <v>4260</v>
      </c>
      <c r="I703" s="32" t="n">
        <f aca="false">INDEX(Forecast_Walkforward!$C:$C,H703)</f>
        <v>49</v>
      </c>
      <c r="J703" s="79" t="n">
        <f aca="false">INDEX(Forecast_Walkforward!$E:$E,H703)</f>
        <v>110.75</v>
      </c>
      <c r="K703" s="33" t="n">
        <f aca="false">Baseline_Weeks*J703</f>
        <v>443</v>
      </c>
      <c r="L703" s="46" t="n">
        <f aca="false">SUMIFS(P$693:P702,$B$693:$B702,$B703-$D703)</f>
        <v>228</v>
      </c>
      <c r="M703" s="46" t="n">
        <f aca="false">S702+L703</f>
        <v>311</v>
      </c>
      <c r="N703" s="46" t="n">
        <f aca="false">SUMIFS(P$693:P702,$B$693:$B702,"&gt;"&amp;($B703-$D703))</f>
        <v>0</v>
      </c>
      <c r="O703" s="46" t="n">
        <f aca="false">M703+N703</f>
        <v>311</v>
      </c>
      <c r="P703" s="47" t="n">
        <f aca="false">IF(O703&lt;K703,ROUNDUP((K703-O703)/G703,0)*G703,0)</f>
        <v>132</v>
      </c>
      <c r="Q703" s="46" t="n">
        <f aca="false">MIN(M703,I703)</f>
        <v>49</v>
      </c>
      <c r="R703" s="46" t="n">
        <f aca="false">I703-Q703</f>
        <v>0</v>
      </c>
      <c r="S703" s="46" t="n">
        <f aca="false">M703-Q703</f>
        <v>262</v>
      </c>
      <c r="T703" s="46" t="n">
        <f aca="false">IF(R703&gt;0,1,0)</f>
        <v>0</v>
      </c>
      <c r="U703" s="32" t="n">
        <f aca="false">INDEX(Forecast!$AY$7:$AY$54,C703)</f>
        <v>3</v>
      </c>
      <c r="V703" s="33" t="n">
        <f aca="false">CHOOSE(U703,INDEX(Forecast_Walkforward!$D:$D,H703),INDEX(Forecast_Walkforward!$E:$E,H703),INDEX(Forecast_Walkforward!$F:$F,H703),INDEX(Forecast_Walkforward!$G:$G,H703))</f>
        <v>90.25</v>
      </c>
      <c r="W703" s="79" t="n">
        <f aca="false">INDEX(Forecast!$BA$7:$BA$54,C703)</f>
        <v>33.4532200223574</v>
      </c>
      <c r="X703" s="33" t="n">
        <f aca="false">Z_Value*W703*SQRT(D703)</f>
        <v>55.0256502869801</v>
      </c>
      <c r="Y703" s="33" t="n">
        <f aca="false">V703*D703+X703</f>
        <v>145.27565028698</v>
      </c>
      <c r="Z703" s="33" t="n">
        <f aca="false">SQRT((2*V703*Weeks_Per_Year*F703)/(E703*Holding_Rate))</f>
        <v>523.21920199218</v>
      </c>
      <c r="AA703" s="46" t="n">
        <f aca="false">ROUNDUP(Z703/G703,0)*G703</f>
        <v>528</v>
      </c>
      <c r="AB703" s="46" t="n">
        <f aca="false">SUMIFS(AF$693:AF702,$B$693:$B702,$B703-$D703)</f>
        <v>0</v>
      </c>
      <c r="AC703" s="46" t="n">
        <f aca="false">AI702+AB703</f>
        <v>167</v>
      </c>
      <c r="AD703" s="46" t="n">
        <f aca="false">SUMIFS(AF$693:AF702,$B$693:$B702,"&gt;"&amp;($B703-$D703))</f>
        <v>0</v>
      </c>
      <c r="AE703" s="46" t="n">
        <f aca="false">AC703+AD703</f>
        <v>167</v>
      </c>
      <c r="AF703" s="47" t="n">
        <f aca="false">IF(AE703&lt;=Y703,AA703,0)</f>
        <v>0</v>
      </c>
      <c r="AG703" s="46" t="n">
        <f aca="false">MIN(AC703,I703)</f>
        <v>49</v>
      </c>
      <c r="AH703" s="46" t="n">
        <f aca="false">I703-AG703</f>
        <v>0</v>
      </c>
      <c r="AI703" s="46" t="n">
        <f aca="false">AC703-AG703</f>
        <v>118</v>
      </c>
      <c r="AJ703" s="46" t="n">
        <f aca="false">IF(AH703&gt;0,1,0)</f>
        <v>0</v>
      </c>
    </row>
    <row r="704" customFormat="false" ht="15" hidden="false" customHeight="false" outlineLevel="0" collapsed="false">
      <c r="A704" s="31" t="str">
        <f aca="false">Inputs!$B$80</f>
        <v>CLN-004</v>
      </c>
      <c r="B704" s="46" t="n">
        <f aca="false">B703+1</f>
        <v>100</v>
      </c>
      <c r="C704" s="46" t="n">
        <f aca="false">MATCH(A704,Inputs!$B$40:$B$87,0)</f>
        <v>41</v>
      </c>
      <c r="D704" s="32" t="n">
        <f aca="false">INDEX(Inputs!$F$40:$F$87,C704)</f>
        <v>1</v>
      </c>
      <c r="E704" s="78" t="n">
        <f aca="false">INDEX(Inputs!$H$40:$H$87,C704)</f>
        <v>6</v>
      </c>
      <c r="F704" s="78" t="n">
        <f aca="false">INDEX(Inputs!$G$40:$G$87,C704)</f>
        <v>35</v>
      </c>
      <c r="G704" s="32" t="n">
        <f aca="false">INDEX(Inputs!$I$40:$I$87,C704)</f>
        <v>12</v>
      </c>
      <c r="H704" s="46" t="n">
        <f aca="false">MATCH(A704,Demand_History!$C:$C,0)+B704-1</f>
        <v>4261</v>
      </c>
      <c r="I704" s="32" t="n">
        <f aca="false">INDEX(Forecast_Walkforward!$C:$C,H704)</f>
        <v>119</v>
      </c>
      <c r="J704" s="79" t="n">
        <f aca="false">INDEX(Forecast_Walkforward!$E:$E,H704)</f>
        <v>98.75</v>
      </c>
      <c r="K704" s="33" t="n">
        <f aca="false">Baseline_Weeks*J704</f>
        <v>395</v>
      </c>
      <c r="L704" s="46" t="n">
        <f aca="false">SUMIFS(P$693:P703,$B$693:$B703,$B704-$D704)</f>
        <v>132</v>
      </c>
      <c r="M704" s="46" t="n">
        <f aca="false">S703+L704</f>
        <v>394</v>
      </c>
      <c r="N704" s="46" t="n">
        <f aca="false">SUMIFS(P$693:P703,$B$693:$B703,"&gt;"&amp;($B704-$D704))</f>
        <v>0</v>
      </c>
      <c r="O704" s="46" t="n">
        <f aca="false">M704+N704</f>
        <v>394</v>
      </c>
      <c r="P704" s="47" t="n">
        <f aca="false">IF(O704&lt;K704,ROUNDUP((K704-O704)/G704,0)*G704,0)</f>
        <v>12</v>
      </c>
      <c r="Q704" s="46" t="n">
        <f aca="false">MIN(M704,I704)</f>
        <v>119</v>
      </c>
      <c r="R704" s="46" t="n">
        <f aca="false">I704-Q704</f>
        <v>0</v>
      </c>
      <c r="S704" s="46" t="n">
        <f aca="false">M704-Q704</f>
        <v>275</v>
      </c>
      <c r="T704" s="46" t="n">
        <f aca="false">IF(R704&gt;0,1,0)</f>
        <v>0</v>
      </c>
      <c r="U704" s="32" t="n">
        <f aca="false">INDEX(Forecast!$AY$7:$AY$54,C704)</f>
        <v>3</v>
      </c>
      <c r="V704" s="33" t="n">
        <f aca="false">CHOOSE(U704,INDEX(Forecast_Walkforward!$D:$D,H704),INDEX(Forecast_Walkforward!$E:$E,H704),INDEX(Forecast_Walkforward!$F:$F,H704),INDEX(Forecast_Walkforward!$G:$G,H704))</f>
        <v>91.75</v>
      </c>
      <c r="W704" s="79" t="n">
        <f aca="false">INDEX(Forecast!$BA$7:$BA$54,C704)</f>
        <v>33.4532200223574</v>
      </c>
      <c r="X704" s="33" t="n">
        <f aca="false">Z_Value*W704*SQRT(D704)</f>
        <v>55.0256502869801</v>
      </c>
      <c r="Y704" s="33" t="n">
        <f aca="false">V704*D704+X704</f>
        <v>146.77565028698</v>
      </c>
      <c r="Z704" s="33" t="n">
        <f aca="false">SQRT((2*V704*Weeks_Per_Year*F704)/(E704*Holding_Rate))</f>
        <v>527.549365778534</v>
      </c>
      <c r="AA704" s="46" t="n">
        <f aca="false">ROUNDUP(Z704/G704,0)*G704</f>
        <v>528</v>
      </c>
      <c r="AB704" s="46" t="n">
        <f aca="false">SUMIFS(AF$693:AF703,$B$693:$B703,$B704-$D704)</f>
        <v>0</v>
      </c>
      <c r="AC704" s="46" t="n">
        <f aca="false">AI703+AB704</f>
        <v>118</v>
      </c>
      <c r="AD704" s="46" t="n">
        <f aca="false">SUMIFS(AF$693:AF703,$B$693:$B703,"&gt;"&amp;($B704-$D704))</f>
        <v>0</v>
      </c>
      <c r="AE704" s="46" t="n">
        <f aca="false">AC704+AD704</f>
        <v>118</v>
      </c>
      <c r="AF704" s="47" t="n">
        <f aca="false">IF(AE704&lt;=Y704,AA704,0)</f>
        <v>528</v>
      </c>
      <c r="AG704" s="46" t="n">
        <f aca="false">MIN(AC704,I704)</f>
        <v>118</v>
      </c>
      <c r="AH704" s="46" t="n">
        <f aca="false">I704-AG704</f>
        <v>1</v>
      </c>
      <c r="AI704" s="46" t="n">
        <f aca="false">AC704-AG704</f>
        <v>0</v>
      </c>
      <c r="AJ704" s="46" t="n">
        <f aca="false">IF(AH704&gt;0,1,0)</f>
        <v>1</v>
      </c>
    </row>
    <row r="705" customFormat="false" ht="15" hidden="false" customHeight="false" outlineLevel="0" collapsed="false">
      <c r="A705" s="31" t="str">
        <f aca="false">Inputs!$B$80</f>
        <v>CLN-004</v>
      </c>
      <c r="B705" s="46" t="n">
        <f aca="false">B704+1</f>
        <v>101</v>
      </c>
      <c r="C705" s="46" t="n">
        <f aca="false">MATCH(A705,Inputs!$B$40:$B$87,0)</f>
        <v>41</v>
      </c>
      <c r="D705" s="32" t="n">
        <f aca="false">INDEX(Inputs!$F$40:$F$87,C705)</f>
        <v>1</v>
      </c>
      <c r="E705" s="78" t="n">
        <f aca="false">INDEX(Inputs!$H$40:$H$87,C705)</f>
        <v>6</v>
      </c>
      <c r="F705" s="78" t="n">
        <f aca="false">INDEX(Inputs!$G$40:$G$87,C705)</f>
        <v>35</v>
      </c>
      <c r="G705" s="32" t="n">
        <f aca="false">INDEX(Inputs!$I$40:$I$87,C705)</f>
        <v>12</v>
      </c>
      <c r="H705" s="46" t="n">
        <f aca="false">MATCH(A705,Demand_History!$C:$C,0)+B705-1</f>
        <v>4262</v>
      </c>
      <c r="I705" s="32" t="n">
        <f aca="false">INDEX(Forecast_Walkforward!$C:$C,H705)</f>
        <v>47</v>
      </c>
      <c r="J705" s="79" t="n">
        <f aca="false">INDEX(Forecast_Walkforward!$E:$E,H705)</f>
        <v>106</v>
      </c>
      <c r="K705" s="33" t="n">
        <f aca="false">Baseline_Weeks*J705</f>
        <v>424</v>
      </c>
      <c r="L705" s="46" t="n">
        <f aca="false">SUMIFS(P$693:P704,$B$693:$B704,$B705-$D705)</f>
        <v>12</v>
      </c>
      <c r="M705" s="46" t="n">
        <f aca="false">S704+L705</f>
        <v>287</v>
      </c>
      <c r="N705" s="46" t="n">
        <f aca="false">SUMIFS(P$693:P704,$B$693:$B704,"&gt;"&amp;($B705-$D705))</f>
        <v>0</v>
      </c>
      <c r="O705" s="46" t="n">
        <f aca="false">M705+N705</f>
        <v>287</v>
      </c>
      <c r="P705" s="47" t="n">
        <f aca="false">IF(O705&lt;K705,ROUNDUP((K705-O705)/G705,0)*G705,0)</f>
        <v>144</v>
      </c>
      <c r="Q705" s="46" t="n">
        <f aca="false">MIN(M705,I705)</f>
        <v>47</v>
      </c>
      <c r="R705" s="46" t="n">
        <f aca="false">I705-Q705</f>
        <v>0</v>
      </c>
      <c r="S705" s="46" t="n">
        <f aca="false">M705-Q705</f>
        <v>240</v>
      </c>
      <c r="T705" s="46" t="n">
        <f aca="false">IF(R705&gt;0,1,0)</f>
        <v>0</v>
      </c>
      <c r="U705" s="32" t="n">
        <f aca="false">INDEX(Forecast!$AY$7:$AY$54,C705)</f>
        <v>3</v>
      </c>
      <c r="V705" s="33" t="n">
        <f aca="false">CHOOSE(U705,INDEX(Forecast_Walkforward!$D:$D,H705),INDEX(Forecast_Walkforward!$E:$E,H705),INDEX(Forecast_Walkforward!$F:$F,H705),INDEX(Forecast_Walkforward!$G:$G,H705))</f>
        <v>94.625</v>
      </c>
      <c r="W705" s="79" t="n">
        <f aca="false">INDEX(Forecast!$BA$7:$BA$54,C705)</f>
        <v>33.4532200223574</v>
      </c>
      <c r="X705" s="33" t="n">
        <f aca="false">Z_Value*W705*SQRT(D705)</f>
        <v>55.0256502869801</v>
      </c>
      <c r="Y705" s="33" t="n">
        <f aca="false">V705*D705+X705</f>
        <v>149.65065028698</v>
      </c>
      <c r="Z705" s="33" t="n">
        <f aca="false">SQRT((2*V705*Weeks_Per_Year*F705)/(E705*Holding_Rate))</f>
        <v>535.751030485865</v>
      </c>
      <c r="AA705" s="46" t="n">
        <f aca="false">ROUNDUP(Z705/G705,0)*G705</f>
        <v>540</v>
      </c>
      <c r="AB705" s="46" t="n">
        <f aca="false">SUMIFS(AF$693:AF704,$B$693:$B704,$B705-$D705)</f>
        <v>528</v>
      </c>
      <c r="AC705" s="46" t="n">
        <f aca="false">AI704+AB705</f>
        <v>528</v>
      </c>
      <c r="AD705" s="46" t="n">
        <f aca="false">SUMIFS(AF$693:AF704,$B$693:$B704,"&gt;"&amp;($B705-$D705))</f>
        <v>0</v>
      </c>
      <c r="AE705" s="46" t="n">
        <f aca="false">AC705+AD705</f>
        <v>528</v>
      </c>
      <c r="AF705" s="47" t="n">
        <f aca="false">IF(AE705&lt;=Y705,AA705,0)</f>
        <v>0</v>
      </c>
      <c r="AG705" s="46" t="n">
        <f aca="false">MIN(AC705,I705)</f>
        <v>47</v>
      </c>
      <c r="AH705" s="46" t="n">
        <f aca="false">I705-AG705</f>
        <v>0</v>
      </c>
      <c r="AI705" s="46" t="n">
        <f aca="false">AC705-AG705</f>
        <v>481</v>
      </c>
      <c r="AJ705" s="46" t="n">
        <f aca="false">IF(AH705&gt;0,1,0)</f>
        <v>0</v>
      </c>
    </row>
    <row r="706" customFormat="false" ht="15" hidden="false" customHeight="false" outlineLevel="0" collapsed="false">
      <c r="A706" s="31" t="str">
        <f aca="false">Inputs!$B$80</f>
        <v>CLN-004</v>
      </c>
      <c r="B706" s="46" t="n">
        <f aca="false">B705+1</f>
        <v>102</v>
      </c>
      <c r="C706" s="46" t="n">
        <f aca="false">MATCH(A706,Inputs!$B$40:$B$87,0)</f>
        <v>41</v>
      </c>
      <c r="D706" s="32" t="n">
        <f aca="false">INDEX(Inputs!$F$40:$F$87,C706)</f>
        <v>1</v>
      </c>
      <c r="E706" s="78" t="n">
        <f aca="false">INDEX(Inputs!$H$40:$H$87,C706)</f>
        <v>6</v>
      </c>
      <c r="F706" s="78" t="n">
        <f aca="false">INDEX(Inputs!$G$40:$G$87,C706)</f>
        <v>35</v>
      </c>
      <c r="G706" s="32" t="n">
        <f aca="false">INDEX(Inputs!$I$40:$I$87,C706)</f>
        <v>12</v>
      </c>
      <c r="H706" s="46" t="n">
        <f aca="false">MATCH(A706,Demand_History!$C:$C,0)+B706-1</f>
        <v>4263</v>
      </c>
      <c r="I706" s="32" t="n">
        <f aca="false">INDEX(Forecast_Walkforward!$C:$C,H706)</f>
        <v>92</v>
      </c>
      <c r="J706" s="79" t="n">
        <f aca="false">INDEX(Forecast_Walkforward!$E:$E,H706)</f>
        <v>81</v>
      </c>
      <c r="K706" s="33" t="n">
        <f aca="false">Baseline_Weeks*J706</f>
        <v>324</v>
      </c>
      <c r="L706" s="46" t="n">
        <f aca="false">SUMIFS(P$693:P705,$B$693:$B705,$B706-$D706)</f>
        <v>144</v>
      </c>
      <c r="M706" s="46" t="n">
        <f aca="false">S705+L706</f>
        <v>384</v>
      </c>
      <c r="N706" s="46" t="n">
        <f aca="false">SUMIFS(P$693:P705,$B$693:$B705,"&gt;"&amp;($B706-$D706))</f>
        <v>0</v>
      </c>
      <c r="O706" s="46" t="n">
        <f aca="false">M706+N706</f>
        <v>384</v>
      </c>
      <c r="P706" s="47" t="n">
        <f aca="false">IF(O706&lt;K706,ROUNDUP((K706-O706)/G706,0)*G706,0)</f>
        <v>0</v>
      </c>
      <c r="Q706" s="46" t="n">
        <f aca="false">MIN(M706,I706)</f>
        <v>92</v>
      </c>
      <c r="R706" s="46" t="n">
        <f aca="false">I706-Q706</f>
        <v>0</v>
      </c>
      <c r="S706" s="46" t="n">
        <f aca="false">M706-Q706</f>
        <v>292</v>
      </c>
      <c r="T706" s="46" t="n">
        <f aca="false">IF(R706&gt;0,1,0)</f>
        <v>0</v>
      </c>
      <c r="U706" s="32" t="n">
        <f aca="false">INDEX(Forecast!$AY$7:$AY$54,C706)</f>
        <v>3</v>
      </c>
      <c r="V706" s="33" t="n">
        <f aca="false">CHOOSE(U706,INDEX(Forecast_Walkforward!$D:$D,H706),INDEX(Forecast_Walkforward!$E:$E,H706),INDEX(Forecast_Walkforward!$F:$F,H706),INDEX(Forecast_Walkforward!$G:$G,H706))</f>
        <v>92.125</v>
      </c>
      <c r="W706" s="79" t="n">
        <f aca="false">INDEX(Forecast!$BA$7:$BA$54,C706)</f>
        <v>33.4532200223574</v>
      </c>
      <c r="X706" s="33" t="n">
        <f aca="false">Z_Value*W706*SQRT(D706)</f>
        <v>55.0256502869801</v>
      </c>
      <c r="Y706" s="33" t="n">
        <f aca="false">V706*D706+X706</f>
        <v>147.15065028698</v>
      </c>
      <c r="Z706" s="33" t="n">
        <f aca="false">SQRT((2*V706*Weeks_Per_Year*F706)/(E706*Holding_Rate))</f>
        <v>528.626364584035</v>
      </c>
      <c r="AA706" s="46" t="n">
        <f aca="false">ROUNDUP(Z706/G706,0)*G706</f>
        <v>540</v>
      </c>
      <c r="AB706" s="46" t="n">
        <f aca="false">SUMIFS(AF$693:AF705,$B$693:$B705,$B706-$D706)</f>
        <v>0</v>
      </c>
      <c r="AC706" s="46" t="n">
        <f aca="false">AI705+AB706</f>
        <v>481</v>
      </c>
      <c r="AD706" s="46" t="n">
        <f aca="false">SUMIFS(AF$693:AF705,$B$693:$B705,"&gt;"&amp;($B706-$D706))</f>
        <v>0</v>
      </c>
      <c r="AE706" s="46" t="n">
        <f aca="false">AC706+AD706</f>
        <v>481</v>
      </c>
      <c r="AF706" s="47" t="n">
        <f aca="false">IF(AE706&lt;=Y706,AA706,0)</f>
        <v>0</v>
      </c>
      <c r="AG706" s="46" t="n">
        <f aca="false">MIN(AC706,I706)</f>
        <v>92</v>
      </c>
      <c r="AH706" s="46" t="n">
        <f aca="false">I706-AG706</f>
        <v>0</v>
      </c>
      <c r="AI706" s="46" t="n">
        <f aca="false">AC706-AG706</f>
        <v>389</v>
      </c>
      <c r="AJ706" s="46" t="n">
        <f aca="false">IF(AH706&gt;0,1,0)</f>
        <v>0</v>
      </c>
    </row>
    <row r="707" customFormat="false" ht="15" hidden="false" customHeight="false" outlineLevel="0" collapsed="false">
      <c r="A707" s="31" t="str">
        <f aca="false">Inputs!$B$80</f>
        <v>CLN-004</v>
      </c>
      <c r="B707" s="46" t="n">
        <f aca="false">B706+1</f>
        <v>103</v>
      </c>
      <c r="C707" s="46" t="n">
        <f aca="false">MATCH(A707,Inputs!$B$40:$B$87,0)</f>
        <v>41</v>
      </c>
      <c r="D707" s="32" t="n">
        <f aca="false">INDEX(Inputs!$F$40:$F$87,C707)</f>
        <v>1</v>
      </c>
      <c r="E707" s="78" t="n">
        <f aca="false">INDEX(Inputs!$H$40:$H$87,C707)</f>
        <v>6</v>
      </c>
      <c r="F707" s="78" t="n">
        <f aca="false">INDEX(Inputs!$G$40:$G$87,C707)</f>
        <v>35</v>
      </c>
      <c r="G707" s="32" t="n">
        <f aca="false">INDEX(Inputs!$I$40:$I$87,C707)</f>
        <v>12</v>
      </c>
      <c r="H707" s="46" t="n">
        <f aca="false">MATCH(A707,Demand_History!$C:$C,0)+B707-1</f>
        <v>4264</v>
      </c>
      <c r="I707" s="32" t="n">
        <f aca="false">INDEX(Forecast_Walkforward!$C:$C,H707)</f>
        <v>50</v>
      </c>
      <c r="J707" s="79" t="n">
        <f aca="false">INDEX(Forecast_Walkforward!$E:$E,H707)</f>
        <v>76.75</v>
      </c>
      <c r="K707" s="33" t="n">
        <f aca="false">Baseline_Weeks*J707</f>
        <v>307</v>
      </c>
      <c r="L707" s="46" t="n">
        <f aca="false">SUMIFS(P$693:P706,$B$693:$B706,$B707-$D707)</f>
        <v>0</v>
      </c>
      <c r="M707" s="46" t="n">
        <f aca="false">S706+L707</f>
        <v>292</v>
      </c>
      <c r="N707" s="46" t="n">
        <f aca="false">SUMIFS(P$693:P706,$B$693:$B706,"&gt;"&amp;($B707-$D707))</f>
        <v>0</v>
      </c>
      <c r="O707" s="46" t="n">
        <f aca="false">M707+N707</f>
        <v>292</v>
      </c>
      <c r="P707" s="47" t="n">
        <f aca="false">IF(O707&lt;K707,ROUNDUP((K707-O707)/G707,0)*G707,0)</f>
        <v>24</v>
      </c>
      <c r="Q707" s="46" t="n">
        <f aca="false">MIN(M707,I707)</f>
        <v>50</v>
      </c>
      <c r="R707" s="46" t="n">
        <f aca="false">I707-Q707</f>
        <v>0</v>
      </c>
      <c r="S707" s="46" t="n">
        <f aca="false">M707-Q707</f>
        <v>242</v>
      </c>
      <c r="T707" s="46" t="n">
        <f aca="false">IF(R707&gt;0,1,0)</f>
        <v>0</v>
      </c>
      <c r="U707" s="32" t="n">
        <f aca="false">INDEX(Forecast!$AY$7:$AY$54,C707)</f>
        <v>3</v>
      </c>
      <c r="V707" s="33" t="n">
        <f aca="false">CHOOSE(U707,INDEX(Forecast_Walkforward!$D:$D,H707),INDEX(Forecast_Walkforward!$E:$E,H707),INDEX(Forecast_Walkforward!$F:$F,H707),INDEX(Forecast_Walkforward!$G:$G,H707))</f>
        <v>93.75</v>
      </c>
      <c r="W707" s="79" t="n">
        <f aca="false">INDEX(Forecast!$BA$7:$BA$54,C707)</f>
        <v>33.4532200223574</v>
      </c>
      <c r="X707" s="33" t="n">
        <f aca="false">Z_Value*W707*SQRT(D707)</f>
        <v>55.0256502869801</v>
      </c>
      <c r="Y707" s="33" t="n">
        <f aca="false">V707*D707+X707</f>
        <v>148.77565028698</v>
      </c>
      <c r="Z707" s="33" t="n">
        <f aca="false">SQRT((2*V707*Weeks_Per_Year*F707)/(E707*Holding_Rate))</f>
        <v>533.268225192539</v>
      </c>
      <c r="AA707" s="46" t="n">
        <f aca="false">ROUNDUP(Z707/G707,0)*G707</f>
        <v>540</v>
      </c>
      <c r="AB707" s="46" t="n">
        <f aca="false">SUMIFS(AF$693:AF706,$B$693:$B706,$B707-$D707)</f>
        <v>0</v>
      </c>
      <c r="AC707" s="46" t="n">
        <f aca="false">AI706+AB707</f>
        <v>389</v>
      </c>
      <c r="AD707" s="46" t="n">
        <f aca="false">SUMIFS(AF$693:AF706,$B$693:$B706,"&gt;"&amp;($B707-$D707))</f>
        <v>0</v>
      </c>
      <c r="AE707" s="46" t="n">
        <f aca="false">AC707+AD707</f>
        <v>389</v>
      </c>
      <c r="AF707" s="47" t="n">
        <f aca="false">IF(AE707&lt;=Y707,AA707,0)</f>
        <v>0</v>
      </c>
      <c r="AG707" s="46" t="n">
        <f aca="false">MIN(AC707,I707)</f>
        <v>50</v>
      </c>
      <c r="AH707" s="46" t="n">
        <f aca="false">I707-AG707</f>
        <v>0</v>
      </c>
      <c r="AI707" s="46" t="n">
        <f aca="false">AC707-AG707</f>
        <v>339</v>
      </c>
      <c r="AJ707" s="46" t="n">
        <f aca="false">IF(AH707&gt;0,1,0)</f>
        <v>0</v>
      </c>
    </row>
    <row r="708" customFormat="false" ht="15" hidden="false" customHeight="false" outlineLevel="0" collapsed="false">
      <c r="A708" s="80" t="str">
        <f aca="false">Inputs!$B$80</f>
        <v>CLN-004</v>
      </c>
      <c r="B708" s="81" t="n">
        <f aca="false">B707+1</f>
        <v>104</v>
      </c>
      <c r="C708" s="81" t="n">
        <f aca="false">MATCH(A708,Inputs!$B$40:$B$87,0)</f>
        <v>41</v>
      </c>
      <c r="D708" s="82" t="n">
        <f aca="false">INDEX(Inputs!$F$40:$F$87,C708)</f>
        <v>1</v>
      </c>
      <c r="E708" s="83" t="n">
        <f aca="false">INDEX(Inputs!$H$40:$H$87,C708)</f>
        <v>6</v>
      </c>
      <c r="F708" s="83" t="n">
        <f aca="false">INDEX(Inputs!$G$40:$G$87,C708)</f>
        <v>35</v>
      </c>
      <c r="G708" s="82" t="n">
        <f aca="false">INDEX(Inputs!$I$40:$I$87,C708)</f>
        <v>12</v>
      </c>
      <c r="H708" s="81" t="n">
        <f aca="false">MATCH(A708,Demand_History!$C:$C,0)+B708-1</f>
        <v>4265</v>
      </c>
      <c r="I708" s="82" t="n">
        <f aca="false">INDEX(Forecast_Walkforward!$C:$C,H708)</f>
        <v>63</v>
      </c>
      <c r="J708" s="84" t="n">
        <f aca="false">INDEX(Forecast_Walkforward!$E:$E,H708)</f>
        <v>77</v>
      </c>
      <c r="K708" s="85" t="n">
        <f aca="false">Baseline_Weeks*J708</f>
        <v>308</v>
      </c>
      <c r="L708" s="81" t="n">
        <f aca="false">SUMIFS(P$693:P707,$B$693:$B707,$B708-$D708)</f>
        <v>24</v>
      </c>
      <c r="M708" s="81" t="n">
        <f aca="false">S707+L708</f>
        <v>266</v>
      </c>
      <c r="N708" s="81" t="n">
        <f aca="false">SUMIFS(P$693:P707,$B$693:$B707,"&gt;"&amp;($B708-$D708))</f>
        <v>0</v>
      </c>
      <c r="O708" s="81" t="n">
        <f aca="false">M708+N708</f>
        <v>266</v>
      </c>
      <c r="P708" s="86" t="n">
        <f aca="false">IF(O708&lt;K708,ROUNDUP((K708-O708)/G708,0)*G708,0)</f>
        <v>48</v>
      </c>
      <c r="Q708" s="81" t="n">
        <f aca="false">MIN(M708,I708)</f>
        <v>63</v>
      </c>
      <c r="R708" s="81" t="n">
        <f aca="false">I708-Q708</f>
        <v>0</v>
      </c>
      <c r="S708" s="81" t="n">
        <f aca="false">M708-Q708</f>
        <v>203</v>
      </c>
      <c r="T708" s="81" t="n">
        <f aca="false">IF(R708&gt;0,1,0)</f>
        <v>0</v>
      </c>
      <c r="U708" s="82" t="n">
        <f aca="false">INDEX(Forecast!$AY$7:$AY$54,C708)</f>
        <v>3</v>
      </c>
      <c r="V708" s="85" t="n">
        <f aca="false">CHOOSE(U708,INDEX(Forecast_Walkforward!$D:$D,H708),INDEX(Forecast_Walkforward!$E:$E,H708),INDEX(Forecast_Walkforward!$F:$F,H708),INDEX(Forecast_Walkforward!$G:$G,H708))</f>
        <v>87.875</v>
      </c>
      <c r="W708" s="84" t="n">
        <f aca="false">INDEX(Forecast!$BA$7:$BA$54,C708)</f>
        <v>33.4532200223574</v>
      </c>
      <c r="X708" s="85" t="n">
        <f aca="false">Z_Value*W708*SQRT(D708)</f>
        <v>55.0256502869801</v>
      </c>
      <c r="Y708" s="85" t="n">
        <f aca="false">V708*D708+X708</f>
        <v>142.90065028698</v>
      </c>
      <c r="Z708" s="85" t="n">
        <f aca="false">SQRT((2*V708*Weeks_Per_Year*F708)/(E708*Holding_Rate))</f>
        <v>516.288840346822</v>
      </c>
      <c r="AA708" s="81" t="n">
        <f aca="false">ROUNDUP(Z708/G708,0)*G708</f>
        <v>528</v>
      </c>
      <c r="AB708" s="81" t="n">
        <f aca="false">SUMIFS(AF$693:AF707,$B$693:$B707,$B708-$D708)</f>
        <v>0</v>
      </c>
      <c r="AC708" s="81" t="n">
        <f aca="false">AI707+AB708</f>
        <v>339</v>
      </c>
      <c r="AD708" s="81" t="n">
        <f aca="false">SUMIFS(AF$693:AF707,$B$693:$B707,"&gt;"&amp;($B708-$D708))</f>
        <v>0</v>
      </c>
      <c r="AE708" s="81" t="n">
        <f aca="false">AC708+AD708</f>
        <v>339</v>
      </c>
      <c r="AF708" s="86" t="n">
        <f aca="false">IF(AE708&lt;=Y708,AA708,0)</f>
        <v>0</v>
      </c>
      <c r="AG708" s="81" t="n">
        <f aca="false">MIN(AC708,I708)</f>
        <v>63</v>
      </c>
      <c r="AH708" s="81" t="n">
        <f aca="false">I708-AG708</f>
        <v>0</v>
      </c>
      <c r="AI708" s="81" t="n">
        <f aca="false">AC708-AG708</f>
        <v>276</v>
      </c>
      <c r="AJ708" s="81" t="n">
        <f aca="false">IF(AH708&gt;0,1,0)</f>
        <v>0</v>
      </c>
    </row>
    <row r="709" customFormat="false" ht="15" hidden="false" customHeight="false" outlineLevel="0" collapsed="false">
      <c r="A709" s="31" t="str">
        <f aca="false">Inputs!$B$81</f>
        <v>CLN-005</v>
      </c>
      <c r="B709" s="46" t="n">
        <f aca="false">BT_Start_Week</f>
        <v>89</v>
      </c>
      <c r="C709" s="46" t="n">
        <f aca="false">MATCH(A709,Inputs!$B$40:$B$87,0)</f>
        <v>42</v>
      </c>
      <c r="D709" s="32" t="n">
        <f aca="false">INDEX(Inputs!$F$40:$F$87,C709)</f>
        <v>1</v>
      </c>
      <c r="E709" s="78" t="n">
        <f aca="false">INDEX(Inputs!$H$40:$H$87,C709)</f>
        <v>11</v>
      </c>
      <c r="F709" s="78" t="n">
        <f aca="false">INDEX(Inputs!$G$40:$G$87,C709)</f>
        <v>35</v>
      </c>
      <c r="G709" s="32" t="n">
        <f aca="false">INDEX(Inputs!$I$40:$I$87,C709)</f>
        <v>12</v>
      </c>
      <c r="H709" s="46" t="n">
        <f aca="false">MATCH(A709,Demand_History!$C:$C,0)+B709-1</f>
        <v>4354</v>
      </c>
      <c r="I709" s="32" t="n">
        <f aca="false">INDEX(Forecast_Walkforward!$C:$C,H709)</f>
        <v>53</v>
      </c>
      <c r="J709" s="79" t="n">
        <f aca="false">INDEX(Forecast_Walkforward!$E:$E,H709)</f>
        <v>43</v>
      </c>
      <c r="K709" s="33" t="n">
        <f aca="false">Baseline_Weeks*J709</f>
        <v>172</v>
      </c>
      <c r="L709" s="46" t="n">
        <f aca="false">0</f>
        <v>0</v>
      </c>
      <c r="M709" s="46" t="n">
        <f aca="false">ROUND(BT_Open_Cover*INDEX(Forecast_Walkforward!$F:$F,H709),0)+L709</f>
        <v>271</v>
      </c>
      <c r="N709" s="46" t="n">
        <f aca="false">0</f>
        <v>0</v>
      </c>
      <c r="O709" s="46" t="n">
        <f aca="false">M709+N709</f>
        <v>271</v>
      </c>
      <c r="P709" s="47" t="n">
        <f aca="false">IF(O709&lt;K709,ROUNDUP((K709-O709)/G709,0)*G709,0)</f>
        <v>0</v>
      </c>
      <c r="Q709" s="46" t="n">
        <f aca="false">MIN(M709,I709)</f>
        <v>53</v>
      </c>
      <c r="R709" s="46" t="n">
        <f aca="false">I709-Q709</f>
        <v>0</v>
      </c>
      <c r="S709" s="46" t="n">
        <f aca="false">M709-Q709</f>
        <v>218</v>
      </c>
      <c r="T709" s="46" t="n">
        <f aca="false">IF(R709&gt;0,1,0)</f>
        <v>0</v>
      </c>
      <c r="U709" s="32" t="n">
        <f aca="false">INDEX(Forecast!$AY$7:$AY$54,C709)</f>
        <v>2</v>
      </c>
      <c r="V709" s="33" t="n">
        <f aca="false">CHOOSE(U709,INDEX(Forecast_Walkforward!$D:$D,H709),INDEX(Forecast_Walkforward!$E:$E,H709),INDEX(Forecast_Walkforward!$F:$F,H709),INDEX(Forecast_Walkforward!$G:$G,H709))</f>
        <v>43</v>
      </c>
      <c r="W709" s="79" t="n">
        <f aca="false">INDEX(Forecast!$BA$7:$BA$54,C709)</f>
        <v>6.43917144682207</v>
      </c>
      <c r="X709" s="33" t="n">
        <f aca="false">Z_Value*W709*SQRT(D709)</f>
        <v>10.5914945088676</v>
      </c>
      <c r="Y709" s="33" t="n">
        <f aca="false">V709*D709+X709</f>
        <v>53.5914945088676</v>
      </c>
      <c r="Z709" s="33" t="n">
        <f aca="false">SQRT((2*V709*Weeks_Per_Year*F709)/(E709*Holding_Rate))</f>
        <v>266.731052833101</v>
      </c>
      <c r="AA709" s="46" t="n">
        <f aca="false">ROUNDUP(Z709/G709,0)*G709</f>
        <v>276</v>
      </c>
      <c r="AB709" s="46" t="n">
        <f aca="false">0</f>
        <v>0</v>
      </c>
      <c r="AC709" s="46" t="n">
        <f aca="false">ROUND(BT_Open_Cover*INDEX(Forecast_Walkforward!$F:$F,H709),0)+AB709</f>
        <v>271</v>
      </c>
      <c r="AD709" s="46" t="n">
        <f aca="false">0</f>
        <v>0</v>
      </c>
      <c r="AE709" s="46" t="n">
        <f aca="false">AC709+AD709</f>
        <v>271</v>
      </c>
      <c r="AF709" s="47" t="n">
        <f aca="false">IF(AE709&lt;=Y709,AA709,0)</f>
        <v>0</v>
      </c>
      <c r="AG709" s="46" t="n">
        <f aca="false">MIN(AC709,I709)</f>
        <v>53</v>
      </c>
      <c r="AH709" s="46" t="n">
        <f aca="false">I709-AG709</f>
        <v>0</v>
      </c>
      <c r="AI709" s="46" t="n">
        <f aca="false">AC709-AG709</f>
        <v>218</v>
      </c>
      <c r="AJ709" s="46" t="n">
        <f aca="false">IF(AH709&gt;0,1,0)</f>
        <v>0</v>
      </c>
    </row>
    <row r="710" customFormat="false" ht="15" hidden="false" customHeight="false" outlineLevel="0" collapsed="false">
      <c r="A710" s="31" t="str">
        <f aca="false">Inputs!$B$81</f>
        <v>CLN-005</v>
      </c>
      <c r="B710" s="46" t="n">
        <f aca="false">B709+1</f>
        <v>90</v>
      </c>
      <c r="C710" s="46" t="n">
        <f aca="false">MATCH(A710,Inputs!$B$40:$B$87,0)</f>
        <v>42</v>
      </c>
      <c r="D710" s="32" t="n">
        <f aca="false">INDEX(Inputs!$F$40:$F$87,C710)</f>
        <v>1</v>
      </c>
      <c r="E710" s="78" t="n">
        <f aca="false">INDEX(Inputs!$H$40:$H$87,C710)</f>
        <v>11</v>
      </c>
      <c r="F710" s="78" t="n">
        <f aca="false">INDEX(Inputs!$G$40:$G$87,C710)</f>
        <v>35</v>
      </c>
      <c r="G710" s="32" t="n">
        <f aca="false">INDEX(Inputs!$I$40:$I$87,C710)</f>
        <v>12</v>
      </c>
      <c r="H710" s="46" t="n">
        <f aca="false">MATCH(A710,Demand_History!$C:$C,0)+B710-1</f>
        <v>4355</v>
      </c>
      <c r="I710" s="32" t="n">
        <f aca="false">INDEX(Forecast_Walkforward!$C:$C,H710)</f>
        <v>58</v>
      </c>
      <c r="J710" s="79" t="n">
        <f aca="false">INDEX(Forecast_Walkforward!$E:$E,H710)</f>
        <v>44</v>
      </c>
      <c r="K710" s="33" t="n">
        <f aca="false">Baseline_Weeks*J710</f>
        <v>176</v>
      </c>
      <c r="L710" s="46" t="n">
        <f aca="false">SUMIFS(P$709:P709,$B$709:$B709,$B710-$D710)</f>
        <v>0</v>
      </c>
      <c r="M710" s="46" t="n">
        <f aca="false">S709+L710</f>
        <v>218</v>
      </c>
      <c r="N710" s="46" t="n">
        <f aca="false">SUMIFS(P$709:P709,$B$709:$B709,"&gt;"&amp;($B710-$D710))</f>
        <v>0</v>
      </c>
      <c r="O710" s="46" t="n">
        <f aca="false">M710+N710</f>
        <v>218</v>
      </c>
      <c r="P710" s="47" t="n">
        <f aca="false">IF(O710&lt;K710,ROUNDUP((K710-O710)/G710,0)*G710,0)</f>
        <v>0</v>
      </c>
      <c r="Q710" s="46" t="n">
        <f aca="false">MIN(M710,I710)</f>
        <v>58</v>
      </c>
      <c r="R710" s="46" t="n">
        <f aca="false">I710-Q710</f>
        <v>0</v>
      </c>
      <c r="S710" s="46" t="n">
        <f aca="false">M710-Q710</f>
        <v>160</v>
      </c>
      <c r="T710" s="46" t="n">
        <f aca="false">IF(R710&gt;0,1,0)</f>
        <v>0</v>
      </c>
      <c r="U710" s="32" t="n">
        <f aca="false">INDEX(Forecast!$AY$7:$AY$54,C710)</f>
        <v>2</v>
      </c>
      <c r="V710" s="33" t="n">
        <f aca="false">CHOOSE(U710,INDEX(Forecast_Walkforward!$D:$D,H710),INDEX(Forecast_Walkforward!$E:$E,H710),INDEX(Forecast_Walkforward!$F:$F,H710),INDEX(Forecast_Walkforward!$G:$G,H710))</f>
        <v>44</v>
      </c>
      <c r="W710" s="79" t="n">
        <f aca="false">INDEX(Forecast!$BA$7:$BA$54,C710)</f>
        <v>6.43917144682207</v>
      </c>
      <c r="X710" s="33" t="n">
        <f aca="false">Z_Value*W710*SQRT(D710)</f>
        <v>10.5914945088676</v>
      </c>
      <c r="Y710" s="33" t="n">
        <f aca="false">V710*D710+X710</f>
        <v>54.5914945088676</v>
      </c>
      <c r="Z710" s="33" t="n">
        <f aca="false">SQRT((2*V710*Weeks_Per_Year*F710)/(E710*Holding_Rate))</f>
        <v>269.814751264641</v>
      </c>
      <c r="AA710" s="46" t="n">
        <f aca="false">ROUNDUP(Z710/G710,0)*G710</f>
        <v>276</v>
      </c>
      <c r="AB710" s="46" t="n">
        <f aca="false">SUMIFS(AF$709:AF709,$B$709:$B709,$B710-$D710)</f>
        <v>0</v>
      </c>
      <c r="AC710" s="46" t="n">
        <f aca="false">AI709+AB710</f>
        <v>218</v>
      </c>
      <c r="AD710" s="46" t="n">
        <f aca="false">SUMIFS(AF$709:AF709,$B$709:$B709,"&gt;"&amp;($B710-$D710))</f>
        <v>0</v>
      </c>
      <c r="AE710" s="46" t="n">
        <f aca="false">AC710+AD710</f>
        <v>218</v>
      </c>
      <c r="AF710" s="47" t="n">
        <f aca="false">IF(AE710&lt;=Y710,AA710,0)</f>
        <v>0</v>
      </c>
      <c r="AG710" s="46" t="n">
        <f aca="false">MIN(AC710,I710)</f>
        <v>58</v>
      </c>
      <c r="AH710" s="46" t="n">
        <f aca="false">I710-AG710</f>
        <v>0</v>
      </c>
      <c r="AI710" s="46" t="n">
        <f aca="false">AC710-AG710</f>
        <v>160</v>
      </c>
      <c r="AJ710" s="46" t="n">
        <f aca="false">IF(AH710&gt;0,1,0)</f>
        <v>0</v>
      </c>
    </row>
    <row r="711" customFormat="false" ht="15" hidden="false" customHeight="false" outlineLevel="0" collapsed="false">
      <c r="A711" s="31" t="str">
        <f aca="false">Inputs!$B$81</f>
        <v>CLN-005</v>
      </c>
      <c r="B711" s="46" t="n">
        <f aca="false">B710+1</f>
        <v>91</v>
      </c>
      <c r="C711" s="46" t="n">
        <f aca="false">MATCH(A711,Inputs!$B$40:$B$87,0)</f>
        <v>42</v>
      </c>
      <c r="D711" s="32" t="n">
        <f aca="false">INDEX(Inputs!$F$40:$F$87,C711)</f>
        <v>1</v>
      </c>
      <c r="E711" s="78" t="n">
        <f aca="false">INDEX(Inputs!$H$40:$H$87,C711)</f>
        <v>11</v>
      </c>
      <c r="F711" s="78" t="n">
        <f aca="false">INDEX(Inputs!$G$40:$G$87,C711)</f>
        <v>35</v>
      </c>
      <c r="G711" s="32" t="n">
        <f aca="false">INDEX(Inputs!$I$40:$I$87,C711)</f>
        <v>12</v>
      </c>
      <c r="H711" s="46" t="n">
        <f aca="false">MATCH(A711,Demand_History!$C:$C,0)+B711-1</f>
        <v>4356</v>
      </c>
      <c r="I711" s="32" t="n">
        <f aca="false">INDEX(Forecast_Walkforward!$C:$C,H711)</f>
        <v>40</v>
      </c>
      <c r="J711" s="79" t="n">
        <f aca="false">INDEX(Forecast_Walkforward!$E:$E,H711)</f>
        <v>46</v>
      </c>
      <c r="K711" s="33" t="n">
        <f aca="false">Baseline_Weeks*J711</f>
        <v>184</v>
      </c>
      <c r="L711" s="46" t="n">
        <f aca="false">SUMIFS(P$709:P710,$B$709:$B710,$B711-$D711)</f>
        <v>0</v>
      </c>
      <c r="M711" s="46" t="n">
        <f aca="false">S710+L711</f>
        <v>160</v>
      </c>
      <c r="N711" s="46" t="n">
        <f aca="false">SUMIFS(P$709:P710,$B$709:$B710,"&gt;"&amp;($B711-$D711))</f>
        <v>0</v>
      </c>
      <c r="O711" s="46" t="n">
        <f aca="false">M711+N711</f>
        <v>160</v>
      </c>
      <c r="P711" s="47" t="n">
        <f aca="false">IF(O711&lt;K711,ROUNDUP((K711-O711)/G711,0)*G711,0)</f>
        <v>24</v>
      </c>
      <c r="Q711" s="46" t="n">
        <f aca="false">MIN(M711,I711)</f>
        <v>40</v>
      </c>
      <c r="R711" s="46" t="n">
        <f aca="false">I711-Q711</f>
        <v>0</v>
      </c>
      <c r="S711" s="46" t="n">
        <f aca="false">M711-Q711</f>
        <v>120</v>
      </c>
      <c r="T711" s="46" t="n">
        <f aca="false">IF(R711&gt;0,1,0)</f>
        <v>0</v>
      </c>
      <c r="U711" s="32" t="n">
        <f aca="false">INDEX(Forecast!$AY$7:$AY$54,C711)</f>
        <v>2</v>
      </c>
      <c r="V711" s="33" t="n">
        <f aca="false">CHOOSE(U711,INDEX(Forecast_Walkforward!$D:$D,H711),INDEX(Forecast_Walkforward!$E:$E,H711),INDEX(Forecast_Walkforward!$F:$F,H711),INDEX(Forecast_Walkforward!$G:$G,H711))</f>
        <v>46</v>
      </c>
      <c r="W711" s="79" t="n">
        <f aca="false">INDEX(Forecast!$BA$7:$BA$54,C711)</f>
        <v>6.43917144682207</v>
      </c>
      <c r="X711" s="33" t="n">
        <f aca="false">Z_Value*W711*SQRT(D711)</f>
        <v>10.5914945088676</v>
      </c>
      <c r="Y711" s="33" t="n">
        <f aca="false">V711*D711+X711</f>
        <v>56.5914945088676</v>
      </c>
      <c r="Z711" s="33" t="n">
        <f aca="false">SQRT((2*V711*Weeks_Per_Year*F711)/(E711*Holding_Rate))</f>
        <v>275.878761250465</v>
      </c>
      <c r="AA711" s="46" t="n">
        <f aca="false">ROUNDUP(Z711/G711,0)*G711</f>
        <v>276</v>
      </c>
      <c r="AB711" s="46" t="n">
        <f aca="false">SUMIFS(AF$709:AF710,$B$709:$B710,$B711-$D711)</f>
        <v>0</v>
      </c>
      <c r="AC711" s="46" t="n">
        <f aca="false">AI710+AB711</f>
        <v>160</v>
      </c>
      <c r="AD711" s="46" t="n">
        <f aca="false">SUMIFS(AF$709:AF710,$B$709:$B710,"&gt;"&amp;($B711-$D711))</f>
        <v>0</v>
      </c>
      <c r="AE711" s="46" t="n">
        <f aca="false">AC711+AD711</f>
        <v>160</v>
      </c>
      <c r="AF711" s="47" t="n">
        <f aca="false">IF(AE711&lt;=Y711,AA711,0)</f>
        <v>0</v>
      </c>
      <c r="AG711" s="46" t="n">
        <f aca="false">MIN(AC711,I711)</f>
        <v>40</v>
      </c>
      <c r="AH711" s="46" t="n">
        <f aca="false">I711-AG711</f>
        <v>0</v>
      </c>
      <c r="AI711" s="46" t="n">
        <f aca="false">AC711-AG711</f>
        <v>120</v>
      </c>
      <c r="AJ711" s="46" t="n">
        <f aca="false">IF(AH711&gt;0,1,0)</f>
        <v>0</v>
      </c>
    </row>
    <row r="712" customFormat="false" ht="15" hidden="false" customHeight="false" outlineLevel="0" collapsed="false">
      <c r="A712" s="31" t="str">
        <f aca="false">Inputs!$B$81</f>
        <v>CLN-005</v>
      </c>
      <c r="B712" s="46" t="n">
        <f aca="false">B711+1</f>
        <v>92</v>
      </c>
      <c r="C712" s="46" t="n">
        <f aca="false">MATCH(A712,Inputs!$B$40:$B$87,0)</f>
        <v>42</v>
      </c>
      <c r="D712" s="32" t="n">
        <f aca="false">INDEX(Inputs!$F$40:$F$87,C712)</f>
        <v>1</v>
      </c>
      <c r="E712" s="78" t="n">
        <f aca="false">INDEX(Inputs!$H$40:$H$87,C712)</f>
        <v>11</v>
      </c>
      <c r="F712" s="78" t="n">
        <f aca="false">INDEX(Inputs!$G$40:$G$87,C712)</f>
        <v>35</v>
      </c>
      <c r="G712" s="32" t="n">
        <f aca="false">INDEX(Inputs!$I$40:$I$87,C712)</f>
        <v>12</v>
      </c>
      <c r="H712" s="46" t="n">
        <f aca="false">MATCH(A712,Demand_History!$C:$C,0)+B712-1</f>
        <v>4357</v>
      </c>
      <c r="I712" s="32" t="n">
        <f aca="false">INDEX(Forecast_Walkforward!$C:$C,H712)</f>
        <v>45</v>
      </c>
      <c r="J712" s="79" t="n">
        <f aca="false">INDEX(Forecast_Walkforward!$E:$E,H712)</f>
        <v>45.75</v>
      </c>
      <c r="K712" s="33" t="n">
        <f aca="false">Baseline_Weeks*J712</f>
        <v>183</v>
      </c>
      <c r="L712" s="46" t="n">
        <f aca="false">SUMIFS(P$709:P711,$B$709:$B711,$B712-$D712)</f>
        <v>24</v>
      </c>
      <c r="M712" s="46" t="n">
        <f aca="false">S711+L712</f>
        <v>144</v>
      </c>
      <c r="N712" s="46" t="n">
        <f aca="false">SUMIFS(P$709:P711,$B$709:$B711,"&gt;"&amp;($B712-$D712))</f>
        <v>0</v>
      </c>
      <c r="O712" s="46" t="n">
        <f aca="false">M712+N712</f>
        <v>144</v>
      </c>
      <c r="P712" s="47" t="n">
        <f aca="false">IF(O712&lt;K712,ROUNDUP((K712-O712)/G712,0)*G712,0)</f>
        <v>48</v>
      </c>
      <c r="Q712" s="46" t="n">
        <f aca="false">MIN(M712,I712)</f>
        <v>45</v>
      </c>
      <c r="R712" s="46" t="n">
        <f aca="false">I712-Q712</f>
        <v>0</v>
      </c>
      <c r="S712" s="46" t="n">
        <f aca="false">M712-Q712</f>
        <v>99</v>
      </c>
      <c r="T712" s="46" t="n">
        <f aca="false">IF(R712&gt;0,1,0)</f>
        <v>0</v>
      </c>
      <c r="U712" s="32" t="n">
        <f aca="false">INDEX(Forecast!$AY$7:$AY$54,C712)</f>
        <v>2</v>
      </c>
      <c r="V712" s="33" t="n">
        <f aca="false">CHOOSE(U712,INDEX(Forecast_Walkforward!$D:$D,H712),INDEX(Forecast_Walkforward!$E:$E,H712),INDEX(Forecast_Walkforward!$F:$F,H712),INDEX(Forecast_Walkforward!$G:$G,H712))</f>
        <v>45.75</v>
      </c>
      <c r="W712" s="79" t="n">
        <f aca="false">INDEX(Forecast!$BA$7:$BA$54,C712)</f>
        <v>6.43917144682207</v>
      </c>
      <c r="X712" s="33" t="n">
        <f aca="false">Z_Value*W712*SQRT(D712)</f>
        <v>10.5914945088676</v>
      </c>
      <c r="Y712" s="33" t="n">
        <f aca="false">V712*D712+X712</f>
        <v>56.3414945088676</v>
      </c>
      <c r="Z712" s="33" t="n">
        <f aca="false">SQRT((2*V712*Weeks_Per_Year*F712)/(E712*Holding_Rate))</f>
        <v>275.128069352174</v>
      </c>
      <c r="AA712" s="46" t="n">
        <f aca="false">ROUNDUP(Z712/G712,0)*G712</f>
        <v>276</v>
      </c>
      <c r="AB712" s="46" t="n">
        <f aca="false">SUMIFS(AF$709:AF711,$B$709:$B711,$B712-$D712)</f>
        <v>0</v>
      </c>
      <c r="AC712" s="46" t="n">
        <f aca="false">AI711+AB712</f>
        <v>120</v>
      </c>
      <c r="AD712" s="46" t="n">
        <f aca="false">SUMIFS(AF$709:AF711,$B$709:$B711,"&gt;"&amp;($B712-$D712))</f>
        <v>0</v>
      </c>
      <c r="AE712" s="46" t="n">
        <f aca="false">AC712+AD712</f>
        <v>120</v>
      </c>
      <c r="AF712" s="47" t="n">
        <f aca="false">IF(AE712&lt;=Y712,AA712,0)</f>
        <v>0</v>
      </c>
      <c r="AG712" s="46" t="n">
        <f aca="false">MIN(AC712,I712)</f>
        <v>45</v>
      </c>
      <c r="AH712" s="46" t="n">
        <f aca="false">I712-AG712</f>
        <v>0</v>
      </c>
      <c r="AI712" s="46" t="n">
        <f aca="false">AC712-AG712</f>
        <v>75</v>
      </c>
      <c r="AJ712" s="46" t="n">
        <f aca="false">IF(AH712&gt;0,1,0)</f>
        <v>0</v>
      </c>
    </row>
    <row r="713" customFormat="false" ht="15" hidden="false" customHeight="false" outlineLevel="0" collapsed="false">
      <c r="A713" s="31" t="str">
        <f aca="false">Inputs!$B$81</f>
        <v>CLN-005</v>
      </c>
      <c r="B713" s="46" t="n">
        <f aca="false">B712+1</f>
        <v>93</v>
      </c>
      <c r="C713" s="46" t="n">
        <f aca="false">MATCH(A713,Inputs!$B$40:$B$87,0)</f>
        <v>42</v>
      </c>
      <c r="D713" s="32" t="n">
        <f aca="false">INDEX(Inputs!$F$40:$F$87,C713)</f>
        <v>1</v>
      </c>
      <c r="E713" s="78" t="n">
        <f aca="false">INDEX(Inputs!$H$40:$H$87,C713)</f>
        <v>11</v>
      </c>
      <c r="F713" s="78" t="n">
        <f aca="false">INDEX(Inputs!$G$40:$G$87,C713)</f>
        <v>35</v>
      </c>
      <c r="G713" s="32" t="n">
        <f aca="false">INDEX(Inputs!$I$40:$I$87,C713)</f>
        <v>12</v>
      </c>
      <c r="H713" s="46" t="n">
        <f aca="false">MATCH(A713,Demand_History!$C:$C,0)+B713-1</f>
        <v>4358</v>
      </c>
      <c r="I713" s="32" t="n">
        <f aca="false">INDEX(Forecast_Walkforward!$C:$C,H713)</f>
        <v>51</v>
      </c>
      <c r="J713" s="79" t="n">
        <f aca="false">INDEX(Forecast_Walkforward!$E:$E,H713)</f>
        <v>49</v>
      </c>
      <c r="K713" s="33" t="n">
        <f aca="false">Baseline_Weeks*J713</f>
        <v>196</v>
      </c>
      <c r="L713" s="46" t="n">
        <f aca="false">SUMIFS(P$709:P712,$B$709:$B712,$B713-$D713)</f>
        <v>48</v>
      </c>
      <c r="M713" s="46" t="n">
        <f aca="false">S712+L713</f>
        <v>147</v>
      </c>
      <c r="N713" s="46" t="n">
        <f aca="false">SUMIFS(P$709:P712,$B$709:$B712,"&gt;"&amp;($B713-$D713))</f>
        <v>0</v>
      </c>
      <c r="O713" s="46" t="n">
        <f aca="false">M713+N713</f>
        <v>147</v>
      </c>
      <c r="P713" s="47" t="n">
        <f aca="false">IF(O713&lt;K713,ROUNDUP((K713-O713)/G713,0)*G713,0)</f>
        <v>60</v>
      </c>
      <c r="Q713" s="46" t="n">
        <f aca="false">MIN(M713,I713)</f>
        <v>51</v>
      </c>
      <c r="R713" s="46" t="n">
        <f aca="false">I713-Q713</f>
        <v>0</v>
      </c>
      <c r="S713" s="46" t="n">
        <f aca="false">M713-Q713</f>
        <v>96</v>
      </c>
      <c r="T713" s="46" t="n">
        <f aca="false">IF(R713&gt;0,1,0)</f>
        <v>0</v>
      </c>
      <c r="U713" s="32" t="n">
        <f aca="false">INDEX(Forecast!$AY$7:$AY$54,C713)</f>
        <v>2</v>
      </c>
      <c r="V713" s="33" t="n">
        <f aca="false">CHOOSE(U713,INDEX(Forecast_Walkforward!$D:$D,H713),INDEX(Forecast_Walkforward!$E:$E,H713),INDEX(Forecast_Walkforward!$F:$F,H713),INDEX(Forecast_Walkforward!$G:$G,H713))</f>
        <v>49</v>
      </c>
      <c r="W713" s="79" t="n">
        <f aca="false">INDEX(Forecast!$BA$7:$BA$54,C713)</f>
        <v>6.43917144682207</v>
      </c>
      <c r="X713" s="33" t="n">
        <f aca="false">Z_Value*W713*SQRT(D713)</f>
        <v>10.5914945088676</v>
      </c>
      <c r="Y713" s="33" t="n">
        <f aca="false">V713*D713+X713</f>
        <v>59.5914945088676</v>
      </c>
      <c r="Z713" s="33" t="n">
        <f aca="false">SQRT((2*V713*Weeks_Per_Year*F713)/(E713*Holding_Rate))</f>
        <v>284.732729542508</v>
      </c>
      <c r="AA713" s="46" t="n">
        <f aca="false">ROUNDUP(Z713/G713,0)*G713</f>
        <v>288</v>
      </c>
      <c r="AB713" s="46" t="n">
        <f aca="false">SUMIFS(AF$709:AF712,$B$709:$B712,$B713-$D713)</f>
        <v>0</v>
      </c>
      <c r="AC713" s="46" t="n">
        <f aca="false">AI712+AB713</f>
        <v>75</v>
      </c>
      <c r="AD713" s="46" t="n">
        <f aca="false">SUMIFS(AF$709:AF712,$B$709:$B712,"&gt;"&amp;($B713-$D713))</f>
        <v>0</v>
      </c>
      <c r="AE713" s="46" t="n">
        <f aca="false">AC713+AD713</f>
        <v>75</v>
      </c>
      <c r="AF713" s="47" t="n">
        <f aca="false">IF(AE713&lt;=Y713,AA713,0)</f>
        <v>0</v>
      </c>
      <c r="AG713" s="46" t="n">
        <f aca="false">MIN(AC713,I713)</f>
        <v>51</v>
      </c>
      <c r="AH713" s="46" t="n">
        <f aca="false">I713-AG713</f>
        <v>0</v>
      </c>
      <c r="AI713" s="46" t="n">
        <f aca="false">AC713-AG713</f>
        <v>24</v>
      </c>
      <c r="AJ713" s="46" t="n">
        <f aca="false">IF(AH713&gt;0,1,0)</f>
        <v>0</v>
      </c>
    </row>
    <row r="714" customFormat="false" ht="15" hidden="false" customHeight="false" outlineLevel="0" collapsed="false">
      <c r="A714" s="31" t="str">
        <f aca="false">Inputs!$B$81</f>
        <v>CLN-005</v>
      </c>
      <c r="B714" s="46" t="n">
        <f aca="false">B713+1</f>
        <v>94</v>
      </c>
      <c r="C714" s="46" t="n">
        <f aca="false">MATCH(A714,Inputs!$B$40:$B$87,0)</f>
        <v>42</v>
      </c>
      <c r="D714" s="32" t="n">
        <f aca="false">INDEX(Inputs!$F$40:$F$87,C714)</f>
        <v>1</v>
      </c>
      <c r="E714" s="78" t="n">
        <f aca="false">INDEX(Inputs!$H$40:$H$87,C714)</f>
        <v>11</v>
      </c>
      <c r="F714" s="78" t="n">
        <f aca="false">INDEX(Inputs!$G$40:$G$87,C714)</f>
        <v>35</v>
      </c>
      <c r="G714" s="32" t="n">
        <f aca="false">INDEX(Inputs!$I$40:$I$87,C714)</f>
        <v>12</v>
      </c>
      <c r="H714" s="46" t="n">
        <f aca="false">MATCH(A714,Demand_History!$C:$C,0)+B714-1</f>
        <v>4359</v>
      </c>
      <c r="I714" s="32" t="n">
        <f aca="false">INDEX(Forecast_Walkforward!$C:$C,H714)</f>
        <v>55</v>
      </c>
      <c r="J714" s="79" t="n">
        <f aca="false">INDEX(Forecast_Walkforward!$E:$E,H714)</f>
        <v>48.5</v>
      </c>
      <c r="K714" s="33" t="n">
        <f aca="false">Baseline_Weeks*J714</f>
        <v>194</v>
      </c>
      <c r="L714" s="46" t="n">
        <f aca="false">SUMIFS(P$709:P713,$B$709:$B713,$B714-$D714)</f>
        <v>60</v>
      </c>
      <c r="M714" s="46" t="n">
        <f aca="false">S713+L714</f>
        <v>156</v>
      </c>
      <c r="N714" s="46" t="n">
        <f aca="false">SUMIFS(P$709:P713,$B$709:$B713,"&gt;"&amp;($B714-$D714))</f>
        <v>0</v>
      </c>
      <c r="O714" s="46" t="n">
        <f aca="false">M714+N714</f>
        <v>156</v>
      </c>
      <c r="P714" s="47" t="n">
        <f aca="false">IF(O714&lt;K714,ROUNDUP((K714-O714)/G714,0)*G714,0)</f>
        <v>48</v>
      </c>
      <c r="Q714" s="46" t="n">
        <f aca="false">MIN(M714,I714)</f>
        <v>55</v>
      </c>
      <c r="R714" s="46" t="n">
        <f aca="false">I714-Q714</f>
        <v>0</v>
      </c>
      <c r="S714" s="46" t="n">
        <f aca="false">M714-Q714</f>
        <v>101</v>
      </c>
      <c r="T714" s="46" t="n">
        <f aca="false">IF(R714&gt;0,1,0)</f>
        <v>0</v>
      </c>
      <c r="U714" s="32" t="n">
        <f aca="false">INDEX(Forecast!$AY$7:$AY$54,C714)</f>
        <v>2</v>
      </c>
      <c r="V714" s="33" t="n">
        <f aca="false">CHOOSE(U714,INDEX(Forecast_Walkforward!$D:$D,H714),INDEX(Forecast_Walkforward!$E:$E,H714),INDEX(Forecast_Walkforward!$F:$F,H714),INDEX(Forecast_Walkforward!$G:$G,H714))</f>
        <v>48.5</v>
      </c>
      <c r="W714" s="79" t="n">
        <f aca="false">INDEX(Forecast!$BA$7:$BA$54,C714)</f>
        <v>6.43917144682207</v>
      </c>
      <c r="X714" s="33" t="n">
        <f aca="false">Z_Value*W714*SQRT(D714)</f>
        <v>10.5914945088676</v>
      </c>
      <c r="Y714" s="33" t="n">
        <f aca="false">V714*D714+X714</f>
        <v>59.0914945088676</v>
      </c>
      <c r="Z714" s="33" t="n">
        <f aca="false">SQRT((2*V714*Weeks_Per_Year*F714)/(E714*Holding_Rate))</f>
        <v>283.276286592179</v>
      </c>
      <c r="AA714" s="46" t="n">
        <f aca="false">ROUNDUP(Z714/G714,0)*G714</f>
        <v>288</v>
      </c>
      <c r="AB714" s="46" t="n">
        <f aca="false">SUMIFS(AF$709:AF713,$B$709:$B713,$B714-$D714)</f>
        <v>0</v>
      </c>
      <c r="AC714" s="46" t="n">
        <f aca="false">AI713+AB714</f>
        <v>24</v>
      </c>
      <c r="AD714" s="46" t="n">
        <f aca="false">SUMIFS(AF$709:AF713,$B$709:$B713,"&gt;"&amp;($B714-$D714))</f>
        <v>0</v>
      </c>
      <c r="AE714" s="46" t="n">
        <f aca="false">AC714+AD714</f>
        <v>24</v>
      </c>
      <c r="AF714" s="47" t="n">
        <f aca="false">IF(AE714&lt;=Y714,AA714,0)</f>
        <v>288</v>
      </c>
      <c r="AG714" s="46" t="n">
        <f aca="false">MIN(AC714,I714)</f>
        <v>24</v>
      </c>
      <c r="AH714" s="46" t="n">
        <f aca="false">I714-AG714</f>
        <v>31</v>
      </c>
      <c r="AI714" s="46" t="n">
        <f aca="false">AC714-AG714</f>
        <v>0</v>
      </c>
      <c r="AJ714" s="46" t="n">
        <f aca="false">IF(AH714&gt;0,1,0)</f>
        <v>1</v>
      </c>
    </row>
    <row r="715" customFormat="false" ht="15" hidden="false" customHeight="false" outlineLevel="0" collapsed="false">
      <c r="A715" s="31" t="str">
        <f aca="false">Inputs!$B$81</f>
        <v>CLN-005</v>
      </c>
      <c r="B715" s="46" t="n">
        <f aca="false">B714+1</f>
        <v>95</v>
      </c>
      <c r="C715" s="46" t="n">
        <f aca="false">MATCH(A715,Inputs!$B$40:$B$87,0)</f>
        <v>42</v>
      </c>
      <c r="D715" s="32" t="n">
        <f aca="false">INDEX(Inputs!$F$40:$F$87,C715)</f>
        <v>1</v>
      </c>
      <c r="E715" s="78" t="n">
        <f aca="false">INDEX(Inputs!$H$40:$H$87,C715)</f>
        <v>11</v>
      </c>
      <c r="F715" s="78" t="n">
        <f aca="false">INDEX(Inputs!$G$40:$G$87,C715)</f>
        <v>35</v>
      </c>
      <c r="G715" s="32" t="n">
        <f aca="false">INDEX(Inputs!$I$40:$I$87,C715)</f>
        <v>12</v>
      </c>
      <c r="H715" s="46" t="n">
        <f aca="false">MATCH(A715,Demand_History!$C:$C,0)+B715-1</f>
        <v>4360</v>
      </c>
      <c r="I715" s="32" t="n">
        <f aca="false">INDEX(Forecast_Walkforward!$C:$C,H715)</f>
        <v>54</v>
      </c>
      <c r="J715" s="79" t="n">
        <f aca="false">INDEX(Forecast_Walkforward!$E:$E,H715)</f>
        <v>47.75</v>
      </c>
      <c r="K715" s="33" t="n">
        <f aca="false">Baseline_Weeks*J715</f>
        <v>191</v>
      </c>
      <c r="L715" s="46" t="n">
        <f aca="false">SUMIFS(P$709:P714,$B$709:$B714,$B715-$D715)</f>
        <v>48</v>
      </c>
      <c r="M715" s="46" t="n">
        <f aca="false">S714+L715</f>
        <v>149</v>
      </c>
      <c r="N715" s="46" t="n">
        <f aca="false">SUMIFS(P$709:P714,$B$709:$B714,"&gt;"&amp;($B715-$D715))</f>
        <v>0</v>
      </c>
      <c r="O715" s="46" t="n">
        <f aca="false">M715+N715</f>
        <v>149</v>
      </c>
      <c r="P715" s="47" t="n">
        <f aca="false">IF(O715&lt;K715,ROUNDUP((K715-O715)/G715,0)*G715,0)</f>
        <v>48</v>
      </c>
      <c r="Q715" s="46" t="n">
        <f aca="false">MIN(M715,I715)</f>
        <v>54</v>
      </c>
      <c r="R715" s="46" t="n">
        <f aca="false">I715-Q715</f>
        <v>0</v>
      </c>
      <c r="S715" s="46" t="n">
        <f aca="false">M715-Q715</f>
        <v>95</v>
      </c>
      <c r="T715" s="46" t="n">
        <f aca="false">IF(R715&gt;0,1,0)</f>
        <v>0</v>
      </c>
      <c r="U715" s="32" t="n">
        <f aca="false">INDEX(Forecast!$AY$7:$AY$54,C715)</f>
        <v>2</v>
      </c>
      <c r="V715" s="33" t="n">
        <f aca="false">CHOOSE(U715,INDEX(Forecast_Walkforward!$D:$D,H715),INDEX(Forecast_Walkforward!$E:$E,H715),INDEX(Forecast_Walkforward!$F:$F,H715),INDEX(Forecast_Walkforward!$G:$G,H715))</f>
        <v>47.75</v>
      </c>
      <c r="W715" s="79" t="n">
        <f aca="false">INDEX(Forecast!$BA$7:$BA$54,C715)</f>
        <v>6.43917144682207</v>
      </c>
      <c r="X715" s="33" t="n">
        <f aca="false">Z_Value*W715*SQRT(D715)</f>
        <v>10.5914945088676</v>
      </c>
      <c r="Y715" s="33" t="n">
        <f aca="false">V715*D715+X715</f>
        <v>58.3414945088676</v>
      </c>
      <c r="Z715" s="33" t="n">
        <f aca="false">SQRT((2*V715*Weeks_Per_Year*F715)/(E715*Holding_Rate))</f>
        <v>281.077472335556</v>
      </c>
      <c r="AA715" s="46" t="n">
        <f aca="false">ROUNDUP(Z715/G715,0)*G715</f>
        <v>288</v>
      </c>
      <c r="AB715" s="46" t="n">
        <f aca="false">SUMIFS(AF$709:AF714,$B$709:$B714,$B715-$D715)</f>
        <v>288</v>
      </c>
      <c r="AC715" s="46" t="n">
        <f aca="false">AI714+AB715</f>
        <v>288</v>
      </c>
      <c r="AD715" s="46" t="n">
        <f aca="false">SUMIFS(AF$709:AF714,$B$709:$B714,"&gt;"&amp;($B715-$D715))</f>
        <v>0</v>
      </c>
      <c r="AE715" s="46" t="n">
        <f aca="false">AC715+AD715</f>
        <v>288</v>
      </c>
      <c r="AF715" s="47" t="n">
        <f aca="false">IF(AE715&lt;=Y715,AA715,0)</f>
        <v>0</v>
      </c>
      <c r="AG715" s="46" t="n">
        <f aca="false">MIN(AC715,I715)</f>
        <v>54</v>
      </c>
      <c r="AH715" s="46" t="n">
        <f aca="false">I715-AG715</f>
        <v>0</v>
      </c>
      <c r="AI715" s="46" t="n">
        <f aca="false">AC715-AG715</f>
        <v>234</v>
      </c>
      <c r="AJ715" s="46" t="n">
        <f aca="false">IF(AH715&gt;0,1,0)</f>
        <v>0</v>
      </c>
    </row>
    <row r="716" customFormat="false" ht="15" hidden="false" customHeight="false" outlineLevel="0" collapsed="false">
      <c r="A716" s="31" t="str">
        <f aca="false">Inputs!$B$81</f>
        <v>CLN-005</v>
      </c>
      <c r="B716" s="46" t="n">
        <f aca="false">B715+1</f>
        <v>96</v>
      </c>
      <c r="C716" s="46" t="n">
        <f aca="false">MATCH(A716,Inputs!$B$40:$B$87,0)</f>
        <v>42</v>
      </c>
      <c r="D716" s="32" t="n">
        <f aca="false">INDEX(Inputs!$F$40:$F$87,C716)</f>
        <v>1</v>
      </c>
      <c r="E716" s="78" t="n">
        <f aca="false">INDEX(Inputs!$H$40:$H$87,C716)</f>
        <v>11</v>
      </c>
      <c r="F716" s="78" t="n">
        <f aca="false">INDEX(Inputs!$G$40:$G$87,C716)</f>
        <v>35</v>
      </c>
      <c r="G716" s="32" t="n">
        <f aca="false">INDEX(Inputs!$I$40:$I$87,C716)</f>
        <v>12</v>
      </c>
      <c r="H716" s="46" t="n">
        <f aca="false">MATCH(A716,Demand_History!$C:$C,0)+B716-1</f>
        <v>4361</v>
      </c>
      <c r="I716" s="32" t="n">
        <f aca="false">INDEX(Forecast_Walkforward!$C:$C,H716)</f>
        <v>58</v>
      </c>
      <c r="J716" s="79" t="n">
        <f aca="false">INDEX(Forecast_Walkforward!$E:$E,H716)</f>
        <v>51.25</v>
      </c>
      <c r="K716" s="33" t="n">
        <f aca="false">Baseline_Weeks*J716</f>
        <v>205</v>
      </c>
      <c r="L716" s="46" t="n">
        <f aca="false">SUMIFS(P$709:P715,$B$709:$B715,$B716-$D716)</f>
        <v>48</v>
      </c>
      <c r="M716" s="46" t="n">
        <f aca="false">S715+L716</f>
        <v>143</v>
      </c>
      <c r="N716" s="46" t="n">
        <f aca="false">SUMIFS(P$709:P715,$B$709:$B715,"&gt;"&amp;($B716-$D716))</f>
        <v>0</v>
      </c>
      <c r="O716" s="46" t="n">
        <f aca="false">M716+N716</f>
        <v>143</v>
      </c>
      <c r="P716" s="47" t="n">
        <f aca="false">IF(O716&lt;K716,ROUNDUP((K716-O716)/G716,0)*G716,0)</f>
        <v>72</v>
      </c>
      <c r="Q716" s="46" t="n">
        <f aca="false">MIN(M716,I716)</f>
        <v>58</v>
      </c>
      <c r="R716" s="46" t="n">
        <f aca="false">I716-Q716</f>
        <v>0</v>
      </c>
      <c r="S716" s="46" t="n">
        <f aca="false">M716-Q716</f>
        <v>85</v>
      </c>
      <c r="T716" s="46" t="n">
        <f aca="false">IF(R716&gt;0,1,0)</f>
        <v>0</v>
      </c>
      <c r="U716" s="32" t="n">
        <f aca="false">INDEX(Forecast!$AY$7:$AY$54,C716)</f>
        <v>2</v>
      </c>
      <c r="V716" s="33" t="n">
        <f aca="false">CHOOSE(U716,INDEX(Forecast_Walkforward!$D:$D,H716),INDEX(Forecast_Walkforward!$E:$E,H716),INDEX(Forecast_Walkforward!$F:$F,H716),INDEX(Forecast_Walkforward!$G:$G,H716))</f>
        <v>51.25</v>
      </c>
      <c r="W716" s="79" t="n">
        <f aca="false">INDEX(Forecast!$BA$7:$BA$54,C716)</f>
        <v>6.43917144682207</v>
      </c>
      <c r="X716" s="33" t="n">
        <f aca="false">Z_Value*W716*SQRT(D716)</f>
        <v>10.5914945088676</v>
      </c>
      <c r="Y716" s="33" t="n">
        <f aca="false">V716*D716+X716</f>
        <v>61.8414945088676</v>
      </c>
      <c r="Z716" s="33" t="n">
        <f aca="false">SQRT((2*V716*Weeks_Per_Year*F716)/(E716*Holding_Rate))</f>
        <v>291.196590889136</v>
      </c>
      <c r="AA716" s="46" t="n">
        <f aca="false">ROUNDUP(Z716/G716,0)*G716</f>
        <v>300</v>
      </c>
      <c r="AB716" s="46" t="n">
        <f aca="false">SUMIFS(AF$709:AF715,$B$709:$B715,$B716-$D716)</f>
        <v>0</v>
      </c>
      <c r="AC716" s="46" t="n">
        <f aca="false">AI715+AB716</f>
        <v>234</v>
      </c>
      <c r="AD716" s="46" t="n">
        <f aca="false">SUMIFS(AF$709:AF715,$B$709:$B715,"&gt;"&amp;($B716-$D716))</f>
        <v>0</v>
      </c>
      <c r="AE716" s="46" t="n">
        <f aca="false">AC716+AD716</f>
        <v>234</v>
      </c>
      <c r="AF716" s="47" t="n">
        <f aca="false">IF(AE716&lt;=Y716,AA716,0)</f>
        <v>0</v>
      </c>
      <c r="AG716" s="46" t="n">
        <f aca="false">MIN(AC716,I716)</f>
        <v>58</v>
      </c>
      <c r="AH716" s="46" t="n">
        <f aca="false">I716-AG716</f>
        <v>0</v>
      </c>
      <c r="AI716" s="46" t="n">
        <f aca="false">AC716-AG716</f>
        <v>176</v>
      </c>
      <c r="AJ716" s="46" t="n">
        <f aca="false">IF(AH716&gt;0,1,0)</f>
        <v>0</v>
      </c>
    </row>
    <row r="717" customFormat="false" ht="15" hidden="false" customHeight="false" outlineLevel="0" collapsed="false">
      <c r="A717" s="31" t="str">
        <f aca="false">Inputs!$B$81</f>
        <v>CLN-005</v>
      </c>
      <c r="B717" s="46" t="n">
        <f aca="false">B716+1</f>
        <v>97</v>
      </c>
      <c r="C717" s="46" t="n">
        <f aca="false">MATCH(A717,Inputs!$B$40:$B$87,0)</f>
        <v>42</v>
      </c>
      <c r="D717" s="32" t="n">
        <f aca="false">INDEX(Inputs!$F$40:$F$87,C717)</f>
        <v>1</v>
      </c>
      <c r="E717" s="78" t="n">
        <f aca="false">INDEX(Inputs!$H$40:$H$87,C717)</f>
        <v>11</v>
      </c>
      <c r="F717" s="78" t="n">
        <f aca="false">INDEX(Inputs!$G$40:$G$87,C717)</f>
        <v>35</v>
      </c>
      <c r="G717" s="32" t="n">
        <f aca="false">INDEX(Inputs!$I$40:$I$87,C717)</f>
        <v>12</v>
      </c>
      <c r="H717" s="46" t="n">
        <f aca="false">MATCH(A717,Demand_History!$C:$C,0)+B717-1</f>
        <v>4362</v>
      </c>
      <c r="I717" s="32" t="n">
        <f aca="false">INDEX(Forecast_Walkforward!$C:$C,H717)</f>
        <v>49</v>
      </c>
      <c r="J717" s="79" t="n">
        <f aca="false">INDEX(Forecast_Walkforward!$E:$E,H717)</f>
        <v>54.5</v>
      </c>
      <c r="K717" s="33" t="n">
        <f aca="false">Baseline_Weeks*J717</f>
        <v>218</v>
      </c>
      <c r="L717" s="46" t="n">
        <f aca="false">SUMIFS(P$709:P716,$B$709:$B716,$B717-$D717)</f>
        <v>72</v>
      </c>
      <c r="M717" s="46" t="n">
        <f aca="false">S716+L717</f>
        <v>157</v>
      </c>
      <c r="N717" s="46" t="n">
        <f aca="false">SUMIFS(P$709:P716,$B$709:$B716,"&gt;"&amp;($B717-$D717))</f>
        <v>0</v>
      </c>
      <c r="O717" s="46" t="n">
        <f aca="false">M717+N717</f>
        <v>157</v>
      </c>
      <c r="P717" s="47" t="n">
        <f aca="false">IF(O717&lt;K717,ROUNDUP((K717-O717)/G717,0)*G717,0)</f>
        <v>72</v>
      </c>
      <c r="Q717" s="46" t="n">
        <f aca="false">MIN(M717,I717)</f>
        <v>49</v>
      </c>
      <c r="R717" s="46" t="n">
        <f aca="false">I717-Q717</f>
        <v>0</v>
      </c>
      <c r="S717" s="46" t="n">
        <f aca="false">M717-Q717</f>
        <v>108</v>
      </c>
      <c r="T717" s="46" t="n">
        <f aca="false">IF(R717&gt;0,1,0)</f>
        <v>0</v>
      </c>
      <c r="U717" s="32" t="n">
        <f aca="false">INDEX(Forecast!$AY$7:$AY$54,C717)</f>
        <v>2</v>
      </c>
      <c r="V717" s="33" t="n">
        <f aca="false">CHOOSE(U717,INDEX(Forecast_Walkforward!$D:$D,H717),INDEX(Forecast_Walkforward!$E:$E,H717),INDEX(Forecast_Walkforward!$F:$F,H717),INDEX(Forecast_Walkforward!$G:$G,H717))</f>
        <v>54.5</v>
      </c>
      <c r="W717" s="79" t="n">
        <f aca="false">INDEX(Forecast!$BA$7:$BA$54,C717)</f>
        <v>6.43917144682207</v>
      </c>
      <c r="X717" s="33" t="n">
        <f aca="false">Z_Value*W717*SQRT(D717)</f>
        <v>10.5914945088676</v>
      </c>
      <c r="Y717" s="33" t="n">
        <f aca="false">V717*D717+X717</f>
        <v>65.0914945088676</v>
      </c>
      <c r="Z717" s="33" t="n">
        <f aca="false">SQRT((2*V717*Weeks_Per_Year*F717)/(E717*Holding_Rate))</f>
        <v>300.287740796602</v>
      </c>
      <c r="AA717" s="46" t="n">
        <f aca="false">ROUNDUP(Z717/G717,0)*G717</f>
        <v>312</v>
      </c>
      <c r="AB717" s="46" t="n">
        <f aca="false">SUMIFS(AF$709:AF716,$B$709:$B716,$B717-$D717)</f>
        <v>0</v>
      </c>
      <c r="AC717" s="46" t="n">
        <f aca="false">AI716+AB717</f>
        <v>176</v>
      </c>
      <c r="AD717" s="46" t="n">
        <f aca="false">SUMIFS(AF$709:AF716,$B$709:$B716,"&gt;"&amp;($B717-$D717))</f>
        <v>0</v>
      </c>
      <c r="AE717" s="46" t="n">
        <f aca="false">AC717+AD717</f>
        <v>176</v>
      </c>
      <c r="AF717" s="47" t="n">
        <f aca="false">IF(AE717&lt;=Y717,AA717,0)</f>
        <v>0</v>
      </c>
      <c r="AG717" s="46" t="n">
        <f aca="false">MIN(AC717,I717)</f>
        <v>49</v>
      </c>
      <c r="AH717" s="46" t="n">
        <f aca="false">I717-AG717</f>
        <v>0</v>
      </c>
      <c r="AI717" s="46" t="n">
        <f aca="false">AC717-AG717</f>
        <v>127</v>
      </c>
      <c r="AJ717" s="46" t="n">
        <f aca="false">IF(AH717&gt;0,1,0)</f>
        <v>0</v>
      </c>
    </row>
    <row r="718" customFormat="false" ht="15" hidden="false" customHeight="false" outlineLevel="0" collapsed="false">
      <c r="A718" s="31" t="str">
        <f aca="false">Inputs!$B$81</f>
        <v>CLN-005</v>
      </c>
      <c r="B718" s="46" t="n">
        <f aca="false">B717+1</f>
        <v>98</v>
      </c>
      <c r="C718" s="46" t="n">
        <f aca="false">MATCH(A718,Inputs!$B$40:$B$87,0)</f>
        <v>42</v>
      </c>
      <c r="D718" s="32" t="n">
        <f aca="false">INDEX(Inputs!$F$40:$F$87,C718)</f>
        <v>1</v>
      </c>
      <c r="E718" s="78" t="n">
        <f aca="false">INDEX(Inputs!$H$40:$H$87,C718)</f>
        <v>11</v>
      </c>
      <c r="F718" s="78" t="n">
        <f aca="false">INDEX(Inputs!$G$40:$G$87,C718)</f>
        <v>35</v>
      </c>
      <c r="G718" s="32" t="n">
        <f aca="false">INDEX(Inputs!$I$40:$I$87,C718)</f>
        <v>12</v>
      </c>
      <c r="H718" s="46" t="n">
        <f aca="false">MATCH(A718,Demand_History!$C:$C,0)+B718-1</f>
        <v>4363</v>
      </c>
      <c r="I718" s="32" t="n">
        <f aca="false">INDEX(Forecast_Walkforward!$C:$C,H718)</f>
        <v>52</v>
      </c>
      <c r="J718" s="79" t="n">
        <f aca="false">INDEX(Forecast_Walkforward!$E:$E,H718)</f>
        <v>54</v>
      </c>
      <c r="K718" s="33" t="n">
        <f aca="false">Baseline_Weeks*J718</f>
        <v>216</v>
      </c>
      <c r="L718" s="46" t="n">
        <f aca="false">SUMIFS(P$709:P717,$B$709:$B717,$B718-$D718)</f>
        <v>72</v>
      </c>
      <c r="M718" s="46" t="n">
        <f aca="false">S717+L718</f>
        <v>180</v>
      </c>
      <c r="N718" s="46" t="n">
        <f aca="false">SUMIFS(P$709:P717,$B$709:$B717,"&gt;"&amp;($B718-$D718))</f>
        <v>0</v>
      </c>
      <c r="O718" s="46" t="n">
        <f aca="false">M718+N718</f>
        <v>180</v>
      </c>
      <c r="P718" s="47" t="n">
        <f aca="false">IF(O718&lt;K718,ROUNDUP((K718-O718)/G718,0)*G718,0)</f>
        <v>36</v>
      </c>
      <c r="Q718" s="46" t="n">
        <f aca="false">MIN(M718,I718)</f>
        <v>52</v>
      </c>
      <c r="R718" s="46" t="n">
        <f aca="false">I718-Q718</f>
        <v>0</v>
      </c>
      <c r="S718" s="46" t="n">
        <f aca="false">M718-Q718</f>
        <v>128</v>
      </c>
      <c r="T718" s="46" t="n">
        <f aca="false">IF(R718&gt;0,1,0)</f>
        <v>0</v>
      </c>
      <c r="U718" s="32" t="n">
        <f aca="false">INDEX(Forecast!$AY$7:$AY$54,C718)</f>
        <v>2</v>
      </c>
      <c r="V718" s="33" t="n">
        <f aca="false">CHOOSE(U718,INDEX(Forecast_Walkforward!$D:$D,H718),INDEX(Forecast_Walkforward!$E:$E,H718),INDEX(Forecast_Walkforward!$F:$F,H718),INDEX(Forecast_Walkforward!$G:$G,H718))</f>
        <v>54</v>
      </c>
      <c r="W718" s="79" t="n">
        <f aca="false">INDEX(Forecast!$BA$7:$BA$54,C718)</f>
        <v>6.43917144682207</v>
      </c>
      <c r="X718" s="33" t="n">
        <f aca="false">Z_Value*W718*SQRT(D718)</f>
        <v>10.5914945088676</v>
      </c>
      <c r="Y718" s="33" t="n">
        <f aca="false">V718*D718+X718</f>
        <v>64.5914945088676</v>
      </c>
      <c r="Z718" s="33" t="n">
        <f aca="false">SQRT((2*V718*Weeks_Per_Year*F718)/(E718*Holding_Rate))</f>
        <v>298.907100192442</v>
      </c>
      <c r="AA718" s="46" t="n">
        <f aca="false">ROUNDUP(Z718/G718,0)*G718</f>
        <v>300</v>
      </c>
      <c r="AB718" s="46" t="n">
        <f aca="false">SUMIFS(AF$709:AF717,$B$709:$B717,$B718-$D718)</f>
        <v>0</v>
      </c>
      <c r="AC718" s="46" t="n">
        <f aca="false">AI717+AB718</f>
        <v>127</v>
      </c>
      <c r="AD718" s="46" t="n">
        <f aca="false">SUMIFS(AF$709:AF717,$B$709:$B717,"&gt;"&amp;($B718-$D718))</f>
        <v>0</v>
      </c>
      <c r="AE718" s="46" t="n">
        <f aca="false">AC718+AD718</f>
        <v>127</v>
      </c>
      <c r="AF718" s="47" t="n">
        <f aca="false">IF(AE718&lt;=Y718,AA718,0)</f>
        <v>0</v>
      </c>
      <c r="AG718" s="46" t="n">
        <f aca="false">MIN(AC718,I718)</f>
        <v>52</v>
      </c>
      <c r="AH718" s="46" t="n">
        <f aca="false">I718-AG718</f>
        <v>0</v>
      </c>
      <c r="AI718" s="46" t="n">
        <f aca="false">AC718-AG718</f>
        <v>75</v>
      </c>
      <c r="AJ718" s="46" t="n">
        <f aca="false">IF(AH718&gt;0,1,0)</f>
        <v>0</v>
      </c>
    </row>
    <row r="719" customFormat="false" ht="15" hidden="false" customHeight="false" outlineLevel="0" collapsed="false">
      <c r="A719" s="31" t="str">
        <f aca="false">Inputs!$B$81</f>
        <v>CLN-005</v>
      </c>
      <c r="B719" s="46" t="n">
        <f aca="false">B718+1</f>
        <v>99</v>
      </c>
      <c r="C719" s="46" t="n">
        <f aca="false">MATCH(A719,Inputs!$B$40:$B$87,0)</f>
        <v>42</v>
      </c>
      <c r="D719" s="32" t="n">
        <f aca="false">INDEX(Inputs!$F$40:$F$87,C719)</f>
        <v>1</v>
      </c>
      <c r="E719" s="78" t="n">
        <f aca="false">INDEX(Inputs!$H$40:$H$87,C719)</f>
        <v>11</v>
      </c>
      <c r="F719" s="78" t="n">
        <f aca="false">INDEX(Inputs!$G$40:$G$87,C719)</f>
        <v>35</v>
      </c>
      <c r="G719" s="32" t="n">
        <f aca="false">INDEX(Inputs!$I$40:$I$87,C719)</f>
        <v>12</v>
      </c>
      <c r="H719" s="46" t="n">
        <f aca="false">MATCH(A719,Demand_History!$C:$C,0)+B719-1</f>
        <v>4364</v>
      </c>
      <c r="I719" s="32" t="n">
        <f aca="false">INDEX(Forecast_Walkforward!$C:$C,H719)</f>
        <v>52</v>
      </c>
      <c r="J719" s="79" t="n">
        <f aca="false">INDEX(Forecast_Walkforward!$E:$E,H719)</f>
        <v>53.25</v>
      </c>
      <c r="K719" s="33" t="n">
        <f aca="false">Baseline_Weeks*J719</f>
        <v>213</v>
      </c>
      <c r="L719" s="46" t="n">
        <f aca="false">SUMIFS(P$709:P718,$B$709:$B718,$B719-$D719)</f>
        <v>36</v>
      </c>
      <c r="M719" s="46" t="n">
        <f aca="false">S718+L719</f>
        <v>164</v>
      </c>
      <c r="N719" s="46" t="n">
        <f aca="false">SUMIFS(P$709:P718,$B$709:$B718,"&gt;"&amp;($B719-$D719))</f>
        <v>0</v>
      </c>
      <c r="O719" s="46" t="n">
        <f aca="false">M719+N719</f>
        <v>164</v>
      </c>
      <c r="P719" s="47" t="n">
        <f aca="false">IF(O719&lt;K719,ROUNDUP((K719-O719)/G719,0)*G719,0)</f>
        <v>60</v>
      </c>
      <c r="Q719" s="46" t="n">
        <f aca="false">MIN(M719,I719)</f>
        <v>52</v>
      </c>
      <c r="R719" s="46" t="n">
        <f aca="false">I719-Q719</f>
        <v>0</v>
      </c>
      <c r="S719" s="46" t="n">
        <f aca="false">M719-Q719</f>
        <v>112</v>
      </c>
      <c r="T719" s="46" t="n">
        <f aca="false">IF(R719&gt;0,1,0)</f>
        <v>0</v>
      </c>
      <c r="U719" s="32" t="n">
        <f aca="false">INDEX(Forecast!$AY$7:$AY$54,C719)</f>
        <v>2</v>
      </c>
      <c r="V719" s="33" t="n">
        <f aca="false">CHOOSE(U719,INDEX(Forecast_Walkforward!$D:$D,H719),INDEX(Forecast_Walkforward!$E:$E,H719),INDEX(Forecast_Walkforward!$F:$F,H719),INDEX(Forecast_Walkforward!$G:$G,H719))</f>
        <v>53.25</v>
      </c>
      <c r="W719" s="79" t="n">
        <f aca="false">INDEX(Forecast!$BA$7:$BA$54,C719)</f>
        <v>6.43917144682207</v>
      </c>
      <c r="X719" s="33" t="n">
        <f aca="false">Z_Value*W719*SQRT(D719)</f>
        <v>10.5914945088676</v>
      </c>
      <c r="Y719" s="33" t="n">
        <f aca="false">V719*D719+X719</f>
        <v>63.8414945088676</v>
      </c>
      <c r="Z719" s="33" t="n">
        <f aca="false">SQRT((2*V719*Weeks_Per_Year*F719)/(E719*Holding_Rate))</f>
        <v>296.824098507088</v>
      </c>
      <c r="AA719" s="46" t="n">
        <f aca="false">ROUNDUP(Z719/G719,0)*G719</f>
        <v>300</v>
      </c>
      <c r="AB719" s="46" t="n">
        <f aca="false">SUMIFS(AF$709:AF718,$B$709:$B718,$B719-$D719)</f>
        <v>0</v>
      </c>
      <c r="AC719" s="46" t="n">
        <f aca="false">AI718+AB719</f>
        <v>75</v>
      </c>
      <c r="AD719" s="46" t="n">
        <f aca="false">SUMIFS(AF$709:AF718,$B$709:$B718,"&gt;"&amp;($B719-$D719))</f>
        <v>0</v>
      </c>
      <c r="AE719" s="46" t="n">
        <f aca="false">AC719+AD719</f>
        <v>75</v>
      </c>
      <c r="AF719" s="47" t="n">
        <f aca="false">IF(AE719&lt;=Y719,AA719,0)</f>
        <v>0</v>
      </c>
      <c r="AG719" s="46" t="n">
        <f aca="false">MIN(AC719,I719)</f>
        <v>52</v>
      </c>
      <c r="AH719" s="46" t="n">
        <f aca="false">I719-AG719</f>
        <v>0</v>
      </c>
      <c r="AI719" s="46" t="n">
        <f aca="false">AC719-AG719</f>
        <v>23</v>
      </c>
      <c r="AJ719" s="46" t="n">
        <f aca="false">IF(AH719&gt;0,1,0)</f>
        <v>0</v>
      </c>
    </row>
    <row r="720" customFormat="false" ht="15" hidden="false" customHeight="false" outlineLevel="0" collapsed="false">
      <c r="A720" s="31" t="str">
        <f aca="false">Inputs!$B$81</f>
        <v>CLN-005</v>
      </c>
      <c r="B720" s="46" t="n">
        <f aca="false">B719+1</f>
        <v>100</v>
      </c>
      <c r="C720" s="46" t="n">
        <f aca="false">MATCH(A720,Inputs!$B$40:$B$87,0)</f>
        <v>42</v>
      </c>
      <c r="D720" s="32" t="n">
        <f aca="false">INDEX(Inputs!$F$40:$F$87,C720)</f>
        <v>1</v>
      </c>
      <c r="E720" s="78" t="n">
        <f aca="false">INDEX(Inputs!$H$40:$H$87,C720)</f>
        <v>11</v>
      </c>
      <c r="F720" s="78" t="n">
        <f aca="false">INDEX(Inputs!$G$40:$G$87,C720)</f>
        <v>35</v>
      </c>
      <c r="G720" s="32" t="n">
        <f aca="false">INDEX(Inputs!$I$40:$I$87,C720)</f>
        <v>12</v>
      </c>
      <c r="H720" s="46" t="n">
        <f aca="false">MATCH(A720,Demand_History!$C:$C,0)+B720-1</f>
        <v>4365</v>
      </c>
      <c r="I720" s="32" t="n">
        <f aca="false">INDEX(Forecast_Walkforward!$C:$C,H720)</f>
        <v>47</v>
      </c>
      <c r="J720" s="79" t="n">
        <f aca="false">INDEX(Forecast_Walkforward!$E:$E,H720)</f>
        <v>52.75</v>
      </c>
      <c r="K720" s="33" t="n">
        <f aca="false">Baseline_Weeks*J720</f>
        <v>211</v>
      </c>
      <c r="L720" s="46" t="n">
        <f aca="false">SUMIFS(P$709:P719,$B$709:$B719,$B720-$D720)</f>
        <v>60</v>
      </c>
      <c r="M720" s="46" t="n">
        <f aca="false">S719+L720</f>
        <v>172</v>
      </c>
      <c r="N720" s="46" t="n">
        <f aca="false">SUMIFS(P$709:P719,$B$709:$B719,"&gt;"&amp;($B720-$D720))</f>
        <v>0</v>
      </c>
      <c r="O720" s="46" t="n">
        <f aca="false">M720+N720</f>
        <v>172</v>
      </c>
      <c r="P720" s="47" t="n">
        <f aca="false">IF(O720&lt;K720,ROUNDUP((K720-O720)/G720,0)*G720,0)</f>
        <v>48</v>
      </c>
      <c r="Q720" s="46" t="n">
        <f aca="false">MIN(M720,I720)</f>
        <v>47</v>
      </c>
      <c r="R720" s="46" t="n">
        <f aca="false">I720-Q720</f>
        <v>0</v>
      </c>
      <c r="S720" s="46" t="n">
        <f aca="false">M720-Q720</f>
        <v>125</v>
      </c>
      <c r="T720" s="46" t="n">
        <f aca="false">IF(R720&gt;0,1,0)</f>
        <v>0</v>
      </c>
      <c r="U720" s="32" t="n">
        <f aca="false">INDEX(Forecast!$AY$7:$AY$54,C720)</f>
        <v>2</v>
      </c>
      <c r="V720" s="33" t="n">
        <f aca="false">CHOOSE(U720,INDEX(Forecast_Walkforward!$D:$D,H720),INDEX(Forecast_Walkforward!$E:$E,H720),INDEX(Forecast_Walkforward!$F:$F,H720),INDEX(Forecast_Walkforward!$G:$G,H720))</f>
        <v>52.75</v>
      </c>
      <c r="W720" s="79" t="n">
        <f aca="false">INDEX(Forecast!$BA$7:$BA$54,C720)</f>
        <v>6.43917144682207</v>
      </c>
      <c r="X720" s="33" t="n">
        <f aca="false">Z_Value*W720*SQRT(D720)</f>
        <v>10.5914945088676</v>
      </c>
      <c r="Y720" s="33" t="n">
        <f aca="false">V720*D720+X720</f>
        <v>63.3414945088676</v>
      </c>
      <c r="Z720" s="33" t="n">
        <f aca="false">SQRT((2*V720*Weeks_Per_Year*F720)/(E720*Holding_Rate))</f>
        <v>295.427271468415</v>
      </c>
      <c r="AA720" s="46" t="n">
        <f aca="false">ROUNDUP(Z720/G720,0)*G720</f>
        <v>300</v>
      </c>
      <c r="AB720" s="46" t="n">
        <f aca="false">SUMIFS(AF$709:AF719,$B$709:$B719,$B720-$D720)</f>
        <v>0</v>
      </c>
      <c r="AC720" s="46" t="n">
        <f aca="false">AI719+AB720</f>
        <v>23</v>
      </c>
      <c r="AD720" s="46" t="n">
        <f aca="false">SUMIFS(AF$709:AF719,$B$709:$B719,"&gt;"&amp;($B720-$D720))</f>
        <v>0</v>
      </c>
      <c r="AE720" s="46" t="n">
        <f aca="false">AC720+AD720</f>
        <v>23</v>
      </c>
      <c r="AF720" s="47" t="n">
        <f aca="false">IF(AE720&lt;=Y720,AA720,0)</f>
        <v>300</v>
      </c>
      <c r="AG720" s="46" t="n">
        <f aca="false">MIN(AC720,I720)</f>
        <v>23</v>
      </c>
      <c r="AH720" s="46" t="n">
        <f aca="false">I720-AG720</f>
        <v>24</v>
      </c>
      <c r="AI720" s="46" t="n">
        <f aca="false">AC720-AG720</f>
        <v>0</v>
      </c>
      <c r="AJ720" s="46" t="n">
        <f aca="false">IF(AH720&gt;0,1,0)</f>
        <v>1</v>
      </c>
    </row>
    <row r="721" customFormat="false" ht="15" hidden="false" customHeight="false" outlineLevel="0" collapsed="false">
      <c r="A721" s="31" t="str">
        <f aca="false">Inputs!$B$81</f>
        <v>CLN-005</v>
      </c>
      <c r="B721" s="46" t="n">
        <f aca="false">B720+1</f>
        <v>101</v>
      </c>
      <c r="C721" s="46" t="n">
        <f aca="false">MATCH(A721,Inputs!$B$40:$B$87,0)</f>
        <v>42</v>
      </c>
      <c r="D721" s="32" t="n">
        <f aca="false">INDEX(Inputs!$F$40:$F$87,C721)</f>
        <v>1</v>
      </c>
      <c r="E721" s="78" t="n">
        <f aca="false">INDEX(Inputs!$H$40:$H$87,C721)</f>
        <v>11</v>
      </c>
      <c r="F721" s="78" t="n">
        <f aca="false">INDEX(Inputs!$G$40:$G$87,C721)</f>
        <v>35</v>
      </c>
      <c r="G721" s="32" t="n">
        <f aca="false">INDEX(Inputs!$I$40:$I$87,C721)</f>
        <v>12</v>
      </c>
      <c r="H721" s="46" t="n">
        <f aca="false">MATCH(A721,Demand_History!$C:$C,0)+B721-1</f>
        <v>4366</v>
      </c>
      <c r="I721" s="32" t="n">
        <f aca="false">INDEX(Forecast_Walkforward!$C:$C,H721)</f>
        <v>57</v>
      </c>
      <c r="J721" s="79" t="n">
        <f aca="false">INDEX(Forecast_Walkforward!$E:$E,H721)</f>
        <v>50</v>
      </c>
      <c r="K721" s="33" t="n">
        <f aca="false">Baseline_Weeks*J721</f>
        <v>200</v>
      </c>
      <c r="L721" s="46" t="n">
        <f aca="false">SUMIFS(P$709:P720,$B$709:$B720,$B721-$D721)</f>
        <v>48</v>
      </c>
      <c r="M721" s="46" t="n">
        <f aca="false">S720+L721</f>
        <v>173</v>
      </c>
      <c r="N721" s="46" t="n">
        <f aca="false">SUMIFS(P$709:P720,$B$709:$B720,"&gt;"&amp;($B721-$D721))</f>
        <v>0</v>
      </c>
      <c r="O721" s="46" t="n">
        <f aca="false">M721+N721</f>
        <v>173</v>
      </c>
      <c r="P721" s="47" t="n">
        <f aca="false">IF(O721&lt;K721,ROUNDUP((K721-O721)/G721,0)*G721,0)</f>
        <v>36</v>
      </c>
      <c r="Q721" s="46" t="n">
        <f aca="false">MIN(M721,I721)</f>
        <v>57</v>
      </c>
      <c r="R721" s="46" t="n">
        <f aca="false">I721-Q721</f>
        <v>0</v>
      </c>
      <c r="S721" s="46" t="n">
        <f aca="false">M721-Q721</f>
        <v>116</v>
      </c>
      <c r="T721" s="46" t="n">
        <f aca="false">IF(R721&gt;0,1,0)</f>
        <v>0</v>
      </c>
      <c r="U721" s="32" t="n">
        <f aca="false">INDEX(Forecast!$AY$7:$AY$54,C721)</f>
        <v>2</v>
      </c>
      <c r="V721" s="33" t="n">
        <f aca="false">CHOOSE(U721,INDEX(Forecast_Walkforward!$D:$D,H721),INDEX(Forecast_Walkforward!$E:$E,H721),INDEX(Forecast_Walkforward!$F:$F,H721),INDEX(Forecast_Walkforward!$G:$G,H721))</f>
        <v>50</v>
      </c>
      <c r="W721" s="79" t="n">
        <f aca="false">INDEX(Forecast!$BA$7:$BA$54,C721)</f>
        <v>6.43917144682207</v>
      </c>
      <c r="X721" s="33" t="n">
        <f aca="false">Z_Value*W721*SQRT(D721)</f>
        <v>10.5914945088676</v>
      </c>
      <c r="Y721" s="33" t="n">
        <f aca="false">V721*D721+X721</f>
        <v>60.5914945088676</v>
      </c>
      <c r="Z721" s="33" t="n">
        <f aca="false">SQRT((2*V721*Weeks_Per_Year*F721)/(E721*Holding_Rate))</f>
        <v>287.623491264661</v>
      </c>
      <c r="AA721" s="46" t="n">
        <f aca="false">ROUNDUP(Z721/G721,0)*G721</f>
        <v>288</v>
      </c>
      <c r="AB721" s="46" t="n">
        <f aca="false">SUMIFS(AF$709:AF720,$B$709:$B720,$B721-$D721)</f>
        <v>300</v>
      </c>
      <c r="AC721" s="46" t="n">
        <f aca="false">AI720+AB721</f>
        <v>300</v>
      </c>
      <c r="AD721" s="46" t="n">
        <f aca="false">SUMIFS(AF$709:AF720,$B$709:$B720,"&gt;"&amp;($B721-$D721))</f>
        <v>0</v>
      </c>
      <c r="AE721" s="46" t="n">
        <f aca="false">AC721+AD721</f>
        <v>300</v>
      </c>
      <c r="AF721" s="47" t="n">
        <f aca="false">IF(AE721&lt;=Y721,AA721,0)</f>
        <v>0</v>
      </c>
      <c r="AG721" s="46" t="n">
        <f aca="false">MIN(AC721,I721)</f>
        <v>57</v>
      </c>
      <c r="AH721" s="46" t="n">
        <f aca="false">I721-AG721</f>
        <v>0</v>
      </c>
      <c r="AI721" s="46" t="n">
        <f aca="false">AC721-AG721</f>
        <v>243</v>
      </c>
      <c r="AJ721" s="46" t="n">
        <f aca="false">IF(AH721&gt;0,1,0)</f>
        <v>0</v>
      </c>
    </row>
    <row r="722" customFormat="false" ht="15" hidden="false" customHeight="false" outlineLevel="0" collapsed="false">
      <c r="A722" s="31" t="str">
        <f aca="false">Inputs!$B$81</f>
        <v>CLN-005</v>
      </c>
      <c r="B722" s="46" t="n">
        <f aca="false">B721+1</f>
        <v>102</v>
      </c>
      <c r="C722" s="46" t="n">
        <f aca="false">MATCH(A722,Inputs!$B$40:$B$87,0)</f>
        <v>42</v>
      </c>
      <c r="D722" s="32" t="n">
        <f aca="false">INDEX(Inputs!$F$40:$F$87,C722)</f>
        <v>1</v>
      </c>
      <c r="E722" s="78" t="n">
        <f aca="false">INDEX(Inputs!$H$40:$H$87,C722)</f>
        <v>11</v>
      </c>
      <c r="F722" s="78" t="n">
        <f aca="false">INDEX(Inputs!$G$40:$G$87,C722)</f>
        <v>35</v>
      </c>
      <c r="G722" s="32" t="n">
        <f aca="false">INDEX(Inputs!$I$40:$I$87,C722)</f>
        <v>12</v>
      </c>
      <c r="H722" s="46" t="n">
        <f aca="false">MATCH(A722,Demand_History!$C:$C,0)+B722-1</f>
        <v>4367</v>
      </c>
      <c r="I722" s="32" t="n">
        <f aca="false">INDEX(Forecast_Walkforward!$C:$C,H722)</f>
        <v>53</v>
      </c>
      <c r="J722" s="79" t="n">
        <f aca="false">INDEX(Forecast_Walkforward!$E:$E,H722)</f>
        <v>52</v>
      </c>
      <c r="K722" s="33" t="n">
        <f aca="false">Baseline_Weeks*J722</f>
        <v>208</v>
      </c>
      <c r="L722" s="46" t="n">
        <f aca="false">SUMIFS(P$709:P721,$B$709:$B721,$B722-$D722)</f>
        <v>36</v>
      </c>
      <c r="M722" s="46" t="n">
        <f aca="false">S721+L722</f>
        <v>152</v>
      </c>
      <c r="N722" s="46" t="n">
        <f aca="false">SUMIFS(P$709:P721,$B$709:$B721,"&gt;"&amp;($B722-$D722))</f>
        <v>0</v>
      </c>
      <c r="O722" s="46" t="n">
        <f aca="false">M722+N722</f>
        <v>152</v>
      </c>
      <c r="P722" s="47" t="n">
        <f aca="false">IF(O722&lt;K722,ROUNDUP((K722-O722)/G722,0)*G722,0)</f>
        <v>60</v>
      </c>
      <c r="Q722" s="46" t="n">
        <f aca="false">MIN(M722,I722)</f>
        <v>53</v>
      </c>
      <c r="R722" s="46" t="n">
        <f aca="false">I722-Q722</f>
        <v>0</v>
      </c>
      <c r="S722" s="46" t="n">
        <f aca="false">M722-Q722</f>
        <v>99</v>
      </c>
      <c r="T722" s="46" t="n">
        <f aca="false">IF(R722&gt;0,1,0)</f>
        <v>0</v>
      </c>
      <c r="U722" s="32" t="n">
        <f aca="false">INDEX(Forecast!$AY$7:$AY$54,C722)</f>
        <v>2</v>
      </c>
      <c r="V722" s="33" t="n">
        <f aca="false">CHOOSE(U722,INDEX(Forecast_Walkforward!$D:$D,H722),INDEX(Forecast_Walkforward!$E:$E,H722),INDEX(Forecast_Walkforward!$F:$F,H722),INDEX(Forecast_Walkforward!$G:$G,H722))</f>
        <v>52</v>
      </c>
      <c r="W722" s="79" t="n">
        <f aca="false">INDEX(Forecast!$BA$7:$BA$54,C722)</f>
        <v>6.43917144682207</v>
      </c>
      <c r="X722" s="33" t="n">
        <f aca="false">Z_Value*W722*SQRT(D722)</f>
        <v>10.5914945088676</v>
      </c>
      <c r="Y722" s="33" t="n">
        <f aca="false">V722*D722+X722</f>
        <v>62.5914945088676</v>
      </c>
      <c r="Z722" s="33" t="n">
        <f aca="false">SQRT((2*V722*Weeks_Per_Year*F722)/(E722*Holding_Rate))</f>
        <v>293.319558905238</v>
      </c>
      <c r="AA722" s="46" t="n">
        <f aca="false">ROUNDUP(Z722/G722,0)*G722</f>
        <v>300</v>
      </c>
      <c r="AB722" s="46" t="n">
        <f aca="false">SUMIFS(AF$709:AF721,$B$709:$B721,$B722-$D722)</f>
        <v>0</v>
      </c>
      <c r="AC722" s="46" t="n">
        <f aca="false">AI721+AB722</f>
        <v>243</v>
      </c>
      <c r="AD722" s="46" t="n">
        <f aca="false">SUMIFS(AF$709:AF721,$B$709:$B721,"&gt;"&amp;($B722-$D722))</f>
        <v>0</v>
      </c>
      <c r="AE722" s="46" t="n">
        <f aca="false">AC722+AD722</f>
        <v>243</v>
      </c>
      <c r="AF722" s="47" t="n">
        <f aca="false">IF(AE722&lt;=Y722,AA722,0)</f>
        <v>0</v>
      </c>
      <c r="AG722" s="46" t="n">
        <f aca="false">MIN(AC722,I722)</f>
        <v>53</v>
      </c>
      <c r="AH722" s="46" t="n">
        <f aca="false">I722-AG722</f>
        <v>0</v>
      </c>
      <c r="AI722" s="46" t="n">
        <f aca="false">AC722-AG722</f>
        <v>190</v>
      </c>
      <c r="AJ722" s="46" t="n">
        <f aca="false">IF(AH722&gt;0,1,0)</f>
        <v>0</v>
      </c>
    </row>
    <row r="723" customFormat="false" ht="15" hidden="false" customHeight="false" outlineLevel="0" collapsed="false">
      <c r="A723" s="31" t="str">
        <f aca="false">Inputs!$B$81</f>
        <v>CLN-005</v>
      </c>
      <c r="B723" s="46" t="n">
        <f aca="false">B722+1</f>
        <v>103</v>
      </c>
      <c r="C723" s="46" t="n">
        <f aca="false">MATCH(A723,Inputs!$B$40:$B$87,0)</f>
        <v>42</v>
      </c>
      <c r="D723" s="32" t="n">
        <f aca="false">INDEX(Inputs!$F$40:$F$87,C723)</f>
        <v>1</v>
      </c>
      <c r="E723" s="78" t="n">
        <f aca="false">INDEX(Inputs!$H$40:$H$87,C723)</f>
        <v>11</v>
      </c>
      <c r="F723" s="78" t="n">
        <f aca="false">INDEX(Inputs!$G$40:$G$87,C723)</f>
        <v>35</v>
      </c>
      <c r="G723" s="32" t="n">
        <f aca="false">INDEX(Inputs!$I$40:$I$87,C723)</f>
        <v>12</v>
      </c>
      <c r="H723" s="46" t="n">
        <f aca="false">MATCH(A723,Demand_History!$C:$C,0)+B723-1</f>
        <v>4368</v>
      </c>
      <c r="I723" s="32" t="n">
        <f aca="false">INDEX(Forecast_Walkforward!$C:$C,H723)</f>
        <v>56</v>
      </c>
      <c r="J723" s="79" t="n">
        <f aca="false">INDEX(Forecast_Walkforward!$E:$E,H723)</f>
        <v>52.25</v>
      </c>
      <c r="K723" s="33" t="n">
        <f aca="false">Baseline_Weeks*J723</f>
        <v>209</v>
      </c>
      <c r="L723" s="46" t="n">
        <f aca="false">SUMIFS(P$709:P722,$B$709:$B722,$B723-$D723)</f>
        <v>60</v>
      </c>
      <c r="M723" s="46" t="n">
        <f aca="false">S722+L723</f>
        <v>159</v>
      </c>
      <c r="N723" s="46" t="n">
        <f aca="false">SUMIFS(P$709:P722,$B$709:$B722,"&gt;"&amp;($B723-$D723))</f>
        <v>0</v>
      </c>
      <c r="O723" s="46" t="n">
        <f aca="false">M723+N723</f>
        <v>159</v>
      </c>
      <c r="P723" s="47" t="n">
        <f aca="false">IF(O723&lt;K723,ROUNDUP((K723-O723)/G723,0)*G723,0)</f>
        <v>60</v>
      </c>
      <c r="Q723" s="46" t="n">
        <f aca="false">MIN(M723,I723)</f>
        <v>56</v>
      </c>
      <c r="R723" s="46" t="n">
        <f aca="false">I723-Q723</f>
        <v>0</v>
      </c>
      <c r="S723" s="46" t="n">
        <f aca="false">M723-Q723</f>
        <v>103</v>
      </c>
      <c r="T723" s="46" t="n">
        <f aca="false">IF(R723&gt;0,1,0)</f>
        <v>0</v>
      </c>
      <c r="U723" s="32" t="n">
        <f aca="false">INDEX(Forecast!$AY$7:$AY$54,C723)</f>
        <v>2</v>
      </c>
      <c r="V723" s="33" t="n">
        <f aca="false">CHOOSE(U723,INDEX(Forecast_Walkforward!$D:$D,H723),INDEX(Forecast_Walkforward!$E:$E,H723),INDEX(Forecast_Walkforward!$F:$F,H723),INDEX(Forecast_Walkforward!$G:$G,H723))</f>
        <v>52.25</v>
      </c>
      <c r="W723" s="79" t="n">
        <f aca="false">INDEX(Forecast!$BA$7:$BA$54,C723)</f>
        <v>6.43917144682207</v>
      </c>
      <c r="X723" s="33" t="n">
        <f aca="false">Z_Value*W723*SQRT(D723)</f>
        <v>10.5914945088676</v>
      </c>
      <c r="Y723" s="33" t="n">
        <f aca="false">V723*D723+X723</f>
        <v>62.8414945088676</v>
      </c>
      <c r="Z723" s="33" t="n">
        <f aca="false">SQRT((2*V723*Weeks_Per_Year*F723)/(E723*Holding_Rate))</f>
        <v>294.023808559783</v>
      </c>
      <c r="AA723" s="46" t="n">
        <f aca="false">ROUNDUP(Z723/G723,0)*G723</f>
        <v>300</v>
      </c>
      <c r="AB723" s="46" t="n">
        <f aca="false">SUMIFS(AF$709:AF722,$B$709:$B722,$B723-$D723)</f>
        <v>0</v>
      </c>
      <c r="AC723" s="46" t="n">
        <f aca="false">AI722+AB723</f>
        <v>190</v>
      </c>
      <c r="AD723" s="46" t="n">
        <f aca="false">SUMIFS(AF$709:AF722,$B$709:$B722,"&gt;"&amp;($B723-$D723))</f>
        <v>0</v>
      </c>
      <c r="AE723" s="46" t="n">
        <f aca="false">AC723+AD723</f>
        <v>190</v>
      </c>
      <c r="AF723" s="47" t="n">
        <f aca="false">IF(AE723&lt;=Y723,AA723,0)</f>
        <v>0</v>
      </c>
      <c r="AG723" s="46" t="n">
        <f aca="false">MIN(AC723,I723)</f>
        <v>56</v>
      </c>
      <c r="AH723" s="46" t="n">
        <f aca="false">I723-AG723</f>
        <v>0</v>
      </c>
      <c r="AI723" s="46" t="n">
        <f aca="false">AC723-AG723</f>
        <v>134</v>
      </c>
      <c r="AJ723" s="46" t="n">
        <f aca="false">IF(AH723&gt;0,1,0)</f>
        <v>0</v>
      </c>
    </row>
    <row r="724" customFormat="false" ht="15" hidden="false" customHeight="false" outlineLevel="0" collapsed="false">
      <c r="A724" s="80" t="str">
        <f aca="false">Inputs!$B$81</f>
        <v>CLN-005</v>
      </c>
      <c r="B724" s="81" t="n">
        <f aca="false">B723+1</f>
        <v>104</v>
      </c>
      <c r="C724" s="81" t="n">
        <f aca="false">MATCH(A724,Inputs!$B$40:$B$87,0)</f>
        <v>42</v>
      </c>
      <c r="D724" s="82" t="n">
        <f aca="false">INDEX(Inputs!$F$40:$F$87,C724)</f>
        <v>1</v>
      </c>
      <c r="E724" s="83" t="n">
        <f aca="false">INDEX(Inputs!$H$40:$H$87,C724)</f>
        <v>11</v>
      </c>
      <c r="F724" s="83" t="n">
        <f aca="false">INDEX(Inputs!$G$40:$G$87,C724)</f>
        <v>35</v>
      </c>
      <c r="G724" s="82" t="n">
        <f aca="false">INDEX(Inputs!$I$40:$I$87,C724)</f>
        <v>12</v>
      </c>
      <c r="H724" s="81" t="n">
        <f aca="false">MATCH(A724,Demand_History!$C:$C,0)+B724-1</f>
        <v>4369</v>
      </c>
      <c r="I724" s="82" t="n">
        <f aca="false">INDEX(Forecast_Walkforward!$C:$C,H724)</f>
        <v>47</v>
      </c>
      <c r="J724" s="84" t="n">
        <f aca="false">INDEX(Forecast_Walkforward!$E:$E,H724)</f>
        <v>53.25</v>
      </c>
      <c r="K724" s="85" t="n">
        <f aca="false">Baseline_Weeks*J724</f>
        <v>213</v>
      </c>
      <c r="L724" s="81" t="n">
        <f aca="false">SUMIFS(P$709:P723,$B$709:$B723,$B724-$D724)</f>
        <v>60</v>
      </c>
      <c r="M724" s="81" t="n">
        <f aca="false">S723+L724</f>
        <v>163</v>
      </c>
      <c r="N724" s="81" t="n">
        <f aca="false">SUMIFS(P$709:P723,$B$709:$B723,"&gt;"&amp;($B724-$D724))</f>
        <v>0</v>
      </c>
      <c r="O724" s="81" t="n">
        <f aca="false">M724+N724</f>
        <v>163</v>
      </c>
      <c r="P724" s="86" t="n">
        <f aca="false">IF(O724&lt;K724,ROUNDUP((K724-O724)/G724,0)*G724,0)</f>
        <v>60</v>
      </c>
      <c r="Q724" s="81" t="n">
        <f aca="false">MIN(M724,I724)</f>
        <v>47</v>
      </c>
      <c r="R724" s="81" t="n">
        <f aca="false">I724-Q724</f>
        <v>0</v>
      </c>
      <c r="S724" s="81" t="n">
        <f aca="false">M724-Q724</f>
        <v>116</v>
      </c>
      <c r="T724" s="81" t="n">
        <f aca="false">IF(R724&gt;0,1,0)</f>
        <v>0</v>
      </c>
      <c r="U724" s="82" t="n">
        <f aca="false">INDEX(Forecast!$AY$7:$AY$54,C724)</f>
        <v>2</v>
      </c>
      <c r="V724" s="85" t="n">
        <f aca="false">CHOOSE(U724,INDEX(Forecast_Walkforward!$D:$D,H724),INDEX(Forecast_Walkforward!$E:$E,H724),INDEX(Forecast_Walkforward!$F:$F,H724),INDEX(Forecast_Walkforward!$G:$G,H724))</f>
        <v>53.25</v>
      </c>
      <c r="W724" s="84" t="n">
        <f aca="false">INDEX(Forecast!$BA$7:$BA$54,C724)</f>
        <v>6.43917144682207</v>
      </c>
      <c r="X724" s="85" t="n">
        <f aca="false">Z_Value*W724*SQRT(D724)</f>
        <v>10.5914945088676</v>
      </c>
      <c r="Y724" s="85" t="n">
        <f aca="false">V724*D724+X724</f>
        <v>63.8414945088676</v>
      </c>
      <c r="Z724" s="85" t="n">
        <f aca="false">SQRT((2*V724*Weeks_Per_Year*F724)/(E724*Holding_Rate))</f>
        <v>296.824098507088</v>
      </c>
      <c r="AA724" s="81" t="n">
        <f aca="false">ROUNDUP(Z724/G724,0)*G724</f>
        <v>300</v>
      </c>
      <c r="AB724" s="81" t="n">
        <f aca="false">SUMIFS(AF$709:AF723,$B$709:$B723,$B724-$D724)</f>
        <v>0</v>
      </c>
      <c r="AC724" s="81" t="n">
        <f aca="false">AI723+AB724</f>
        <v>134</v>
      </c>
      <c r="AD724" s="81" t="n">
        <f aca="false">SUMIFS(AF$709:AF723,$B$709:$B723,"&gt;"&amp;($B724-$D724))</f>
        <v>0</v>
      </c>
      <c r="AE724" s="81" t="n">
        <f aca="false">AC724+AD724</f>
        <v>134</v>
      </c>
      <c r="AF724" s="86" t="n">
        <f aca="false">IF(AE724&lt;=Y724,AA724,0)</f>
        <v>0</v>
      </c>
      <c r="AG724" s="81" t="n">
        <f aca="false">MIN(AC724,I724)</f>
        <v>47</v>
      </c>
      <c r="AH724" s="81" t="n">
        <f aca="false">I724-AG724</f>
        <v>0</v>
      </c>
      <c r="AI724" s="81" t="n">
        <f aca="false">AC724-AG724</f>
        <v>87</v>
      </c>
      <c r="AJ724" s="81" t="n">
        <f aca="false">IF(AH724&gt;0,1,0)</f>
        <v>0</v>
      </c>
    </row>
    <row r="725" customFormat="false" ht="15" hidden="false" customHeight="false" outlineLevel="0" collapsed="false">
      <c r="A725" s="31" t="str">
        <f aca="false">Inputs!$B$82</f>
        <v>CLN-006</v>
      </c>
      <c r="B725" s="46" t="n">
        <f aca="false">BT_Start_Week</f>
        <v>89</v>
      </c>
      <c r="C725" s="46" t="n">
        <f aca="false">MATCH(A725,Inputs!$B$40:$B$87,0)</f>
        <v>43</v>
      </c>
      <c r="D725" s="32" t="n">
        <f aca="false">INDEX(Inputs!$F$40:$F$87,C725)</f>
        <v>1</v>
      </c>
      <c r="E725" s="78" t="n">
        <f aca="false">INDEX(Inputs!$H$40:$H$87,C725)</f>
        <v>10</v>
      </c>
      <c r="F725" s="78" t="n">
        <f aca="false">INDEX(Inputs!$G$40:$G$87,C725)</f>
        <v>35</v>
      </c>
      <c r="G725" s="32" t="n">
        <f aca="false">INDEX(Inputs!$I$40:$I$87,C725)</f>
        <v>12</v>
      </c>
      <c r="H725" s="46" t="n">
        <f aca="false">MATCH(A725,Demand_History!$C:$C,0)+B725-1</f>
        <v>4458</v>
      </c>
      <c r="I725" s="32" t="n">
        <f aca="false">INDEX(Forecast_Walkforward!$C:$C,H725)</f>
        <v>51</v>
      </c>
      <c r="J725" s="79" t="n">
        <f aca="false">INDEX(Forecast_Walkforward!$E:$E,H725)</f>
        <v>50.75</v>
      </c>
      <c r="K725" s="33" t="n">
        <f aca="false">Baseline_Weeks*J725</f>
        <v>203</v>
      </c>
      <c r="L725" s="46" t="n">
        <f aca="false">0</f>
        <v>0</v>
      </c>
      <c r="M725" s="46" t="n">
        <f aca="false">ROUND(BT_Open_Cover*INDEX(Forecast_Walkforward!$F:$F,H725),0)+L725</f>
        <v>316</v>
      </c>
      <c r="N725" s="46" t="n">
        <f aca="false">0</f>
        <v>0</v>
      </c>
      <c r="O725" s="46" t="n">
        <f aca="false">M725+N725</f>
        <v>316</v>
      </c>
      <c r="P725" s="47" t="n">
        <f aca="false">IF(O725&lt;K725,ROUNDUP((K725-O725)/G725,0)*G725,0)</f>
        <v>0</v>
      </c>
      <c r="Q725" s="46" t="n">
        <f aca="false">MIN(M725,I725)</f>
        <v>51</v>
      </c>
      <c r="R725" s="46" t="n">
        <f aca="false">I725-Q725</f>
        <v>0</v>
      </c>
      <c r="S725" s="46" t="n">
        <f aca="false">M725-Q725</f>
        <v>265</v>
      </c>
      <c r="T725" s="46" t="n">
        <f aca="false">IF(R725&gt;0,1,0)</f>
        <v>0</v>
      </c>
      <c r="U725" s="32" t="n">
        <f aca="false">INDEX(Forecast!$AY$7:$AY$54,C725)</f>
        <v>2</v>
      </c>
      <c r="V725" s="33" t="n">
        <f aca="false">CHOOSE(U725,INDEX(Forecast_Walkforward!$D:$D,H725),INDEX(Forecast_Walkforward!$E:$E,H725),INDEX(Forecast_Walkforward!$F:$F,H725),INDEX(Forecast_Walkforward!$G:$G,H725))</f>
        <v>50.75</v>
      </c>
      <c r="W725" s="79" t="n">
        <f aca="false">INDEX(Forecast!$BA$7:$BA$54,C725)</f>
        <v>10.1622895808419</v>
      </c>
      <c r="X725" s="33" t="n">
        <f aca="false">Z_Value*W725*SQRT(D725)</f>
        <v>16.7154788751789</v>
      </c>
      <c r="Y725" s="33" t="n">
        <f aca="false">V725*D725+X725</f>
        <v>67.4654788751789</v>
      </c>
      <c r="Z725" s="33" t="n">
        <f aca="false">SQRT((2*V725*Weeks_Per_Year*F725)/(E725*Holding_Rate))</f>
        <v>303.916106845294</v>
      </c>
      <c r="AA725" s="46" t="n">
        <f aca="false">ROUNDUP(Z725/G725,0)*G725</f>
        <v>312</v>
      </c>
      <c r="AB725" s="46" t="n">
        <f aca="false">0</f>
        <v>0</v>
      </c>
      <c r="AC725" s="46" t="n">
        <f aca="false">ROUND(BT_Open_Cover*INDEX(Forecast_Walkforward!$F:$F,H725),0)+AB725</f>
        <v>316</v>
      </c>
      <c r="AD725" s="46" t="n">
        <f aca="false">0</f>
        <v>0</v>
      </c>
      <c r="AE725" s="46" t="n">
        <f aca="false">AC725+AD725</f>
        <v>316</v>
      </c>
      <c r="AF725" s="47" t="n">
        <f aca="false">IF(AE725&lt;=Y725,AA725,0)</f>
        <v>0</v>
      </c>
      <c r="AG725" s="46" t="n">
        <f aca="false">MIN(AC725,I725)</f>
        <v>51</v>
      </c>
      <c r="AH725" s="46" t="n">
        <f aca="false">I725-AG725</f>
        <v>0</v>
      </c>
      <c r="AI725" s="46" t="n">
        <f aca="false">AC725-AG725</f>
        <v>265</v>
      </c>
      <c r="AJ725" s="46" t="n">
        <f aca="false">IF(AH725&gt;0,1,0)</f>
        <v>0</v>
      </c>
    </row>
    <row r="726" customFormat="false" ht="15" hidden="false" customHeight="false" outlineLevel="0" collapsed="false">
      <c r="A726" s="31" t="str">
        <f aca="false">Inputs!$B$82</f>
        <v>CLN-006</v>
      </c>
      <c r="B726" s="46" t="n">
        <f aca="false">B725+1</f>
        <v>90</v>
      </c>
      <c r="C726" s="46" t="n">
        <f aca="false">MATCH(A726,Inputs!$B$40:$B$87,0)</f>
        <v>43</v>
      </c>
      <c r="D726" s="32" t="n">
        <f aca="false">INDEX(Inputs!$F$40:$F$87,C726)</f>
        <v>1</v>
      </c>
      <c r="E726" s="78" t="n">
        <f aca="false">INDEX(Inputs!$H$40:$H$87,C726)</f>
        <v>10</v>
      </c>
      <c r="F726" s="78" t="n">
        <f aca="false">INDEX(Inputs!$G$40:$G$87,C726)</f>
        <v>35</v>
      </c>
      <c r="G726" s="32" t="n">
        <f aca="false">INDEX(Inputs!$I$40:$I$87,C726)</f>
        <v>12</v>
      </c>
      <c r="H726" s="46" t="n">
        <f aca="false">MATCH(A726,Demand_History!$C:$C,0)+B726-1</f>
        <v>4459</v>
      </c>
      <c r="I726" s="32" t="n">
        <f aca="false">INDEX(Forecast_Walkforward!$C:$C,H726)</f>
        <v>50</v>
      </c>
      <c r="J726" s="79" t="n">
        <f aca="false">INDEX(Forecast_Walkforward!$E:$E,H726)</f>
        <v>49.75</v>
      </c>
      <c r="K726" s="33" t="n">
        <f aca="false">Baseline_Weeks*J726</f>
        <v>199</v>
      </c>
      <c r="L726" s="46" t="n">
        <f aca="false">SUMIFS(P$725:P725,$B$725:$B725,$B726-$D726)</f>
        <v>0</v>
      </c>
      <c r="M726" s="46" t="n">
        <f aca="false">S725+L726</f>
        <v>265</v>
      </c>
      <c r="N726" s="46" t="n">
        <f aca="false">SUMIFS(P$725:P725,$B$725:$B725,"&gt;"&amp;($B726-$D726))</f>
        <v>0</v>
      </c>
      <c r="O726" s="46" t="n">
        <f aca="false">M726+N726</f>
        <v>265</v>
      </c>
      <c r="P726" s="47" t="n">
        <f aca="false">IF(O726&lt;K726,ROUNDUP((K726-O726)/G726,0)*G726,0)</f>
        <v>0</v>
      </c>
      <c r="Q726" s="46" t="n">
        <f aca="false">MIN(M726,I726)</f>
        <v>50</v>
      </c>
      <c r="R726" s="46" t="n">
        <f aca="false">I726-Q726</f>
        <v>0</v>
      </c>
      <c r="S726" s="46" t="n">
        <f aca="false">M726-Q726</f>
        <v>215</v>
      </c>
      <c r="T726" s="46" t="n">
        <f aca="false">IF(R726&gt;0,1,0)</f>
        <v>0</v>
      </c>
      <c r="U726" s="32" t="n">
        <f aca="false">INDEX(Forecast!$AY$7:$AY$54,C726)</f>
        <v>2</v>
      </c>
      <c r="V726" s="33" t="n">
        <f aca="false">CHOOSE(U726,INDEX(Forecast_Walkforward!$D:$D,H726),INDEX(Forecast_Walkforward!$E:$E,H726),INDEX(Forecast_Walkforward!$F:$F,H726),INDEX(Forecast_Walkforward!$G:$G,H726))</f>
        <v>49.75</v>
      </c>
      <c r="W726" s="79" t="n">
        <f aca="false">INDEX(Forecast!$BA$7:$BA$54,C726)</f>
        <v>10.1622895808419</v>
      </c>
      <c r="X726" s="33" t="n">
        <f aca="false">Z_Value*W726*SQRT(D726)</f>
        <v>16.7154788751789</v>
      </c>
      <c r="Y726" s="33" t="n">
        <f aca="false">V726*D726+X726</f>
        <v>66.4654788751789</v>
      </c>
      <c r="Z726" s="33" t="n">
        <f aca="false">SQRT((2*V726*Weeks_Per_Year*F726)/(E726*Holding_Rate))</f>
        <v>300.906962365446</v>
      </c>
      <c r="AA726" s="46" t="n">
        <f aca="false">ROUNDUP(Z726/G726,0)*G726</f>
        <v>312</v>
      </c>
      <c r="AB726" s="46" t="n">
        <f aca="false">SUMIFS(AF$725:AF725,$B$725:$B725,$B726-$D726)</f>
        <v>0</v>
      </c>
      <c r="AC726" s="46" t="n">
        <f aca="false">AI725+AB726</f>
        <v>265</v>
      </c>
      <c r="AD726" s="46" t="n">
        <f aca="false">SUMIFS(AF$725:AF725,$B$725:$B725,"&gt;"&amp;($B726-$D726))</f>
        <v>0</v>
      </c>
      <c r="AE726" s="46" t="n">
        <f aca="false">AC726+AD726</f>
        <v>265</v>
      </c>
      <c r="AF726" s="47" t="n">
        <f aca="false">IF(AE726&lt;=Y726,AA726,0)</f>
        <v>0</v>
      </c>
      <c r="AG726" s="46" t="n">
        <f aca="false">MIN(AC726,I726)</f>
        <v>50</v>
      </c>
      <c r="AH726" s="46" t="n">
        <f aca="false">I726-AG726</f>
        <v>0</v>
      </c>
      <c r="AI726" s="46" t="n">
        <f aca="false">AC726-AG726</f>
        <v>215</v>
      </c>
      <c r="AJ726" s="46" t="n">
        <f aca="false">IF(AH726&gt;0,1,0)</f>
        <v>0</v>
      </c>
    </row>
    <row r="727" customFormat="false" ht="15" hidden="false" customHeight="false" outlineLevel="0" collapsed="false">
      <c r="A727" s="31" t="str">
        <f aca="false">Inputs!$B$82</f>
        <v>CLN-006</v>
      </c>
      <c r="B727" s="46" t="n">
        <f aca="false">B726+1</f>
        <v>91</v>
      </c>
      <c r="C727" s="46" t="n">
        <f aca="false">MATCH(A727,Inputs!$B$40:$B$87,0)</f>
        <v>43</v>
      </c>
      <c r="D727" s="32" t="n">
        <f aca="false">INDEX(Inputs!$F$40:$F$87,C727)</f>
        <v>1</v>
      </c>
      <c r="E727" s="78" t="n">
        <f aca="false">INDEX(Inputs!$H$40:$H$87,C727)</f>
        <v>10</v>
      </c>
      <c r="F727" s="78" t="n">
        <f aca="false">INDEX(Inputs!$G$40:$G$87,C727)</f>
        <v>35</v>
      </c>
      <c r="G727" s="32" t="n">
        <f aca="false">INDEX(Inputs!$I$40:$I$87,C727)</f>
        <v>12</v>
      </c>
      <c r="H727" s="46" t="n">
        <f aca="false">MATCH(A727,Demand_History!$C:$C,0)+B727-1</f>
        <v>4460</v>
      </c>
      <c r="I727" s="32" t="n">
        <f aca="false">INDEX(Forecast_Walkforward!$C:$C,H727)</f>
        <v>51</v>
      </c>
      <c r="J727" s="79" t="n">
        <f aca="false">INDEX(Forecast_Walkforward!$E:$E,H727)</f>
        <v>50.5</v>
      </c>
      <c r="K727" s="33" t="n">
        <f aca="false">Baseline_Weeks*J727</f>
        <v>202</v>
      </c>
      <c r="L727" s="46" t="n">
        <f aca="false">SUMIFS(P$725:P726,$B$725:$B726,$B727-$D727)</f>
        <v>0</v>
      </c>
      <c r="M727" s="46" t="n">
        <f aca="false">S726+L727</f>
        <v>215</v>
      </c>
      <c r="N727" s="46" t="n">
        <f aca="false">SUMIFS(P$725:P726,$B$725:$B726,"&gt;"&amp;($B727-$D727))</f>
        <v>0</v>
      </c>
      <c r="O727" s="46" t="n">
        <f aca="false">M727+N727</f>
        <v>215</v>
      </c>
      <c r="P727" s="47" t="n">
        <f aca="false">IF(O727&lt;K727,ROUNDUP((K727-O727)/G727,0)*G727,0)</f>
        <v>0</v>
      </c>
      <c r="Q727" s="46" t="n">
        <f aca="false">MIN(M727,I727)</f>
        <v>51</v>
      </c>
      <c r="R727" s="46" t="n">
        <f aca="false">I727-Q727</f>
        <v>0</v>
      </c>
      <c r="S727" s="46" t="n">
        <f aca="false">M727-Q727</f>
        <v>164</v>
      </c>
      <c r="T727" s="46" t="n">
        <f aca="false">IF(R727&gt;0,1,0)</f>
        <v>0</v>
      </c>
      <c r="U727" s="32" t="n">
        <f aca="false">INDEX(Forecast!$AY$7:$AY$54,C727)</f>
        <v>2</v>
      </c>
      <c r="V727" s="33" t="n">
        <f aca="false">CHOOSE(U727,INDEX(Forecast_Walkforward!$D:$D,H727),INDEX(Forecast_Walkforward!$E:$E,H727),INDEX(Forecast_Walkforward!$F:$F,H727),INDEX(Forecast_Walkforward!$G:$G,H727))</f>
        <v>50.5</v>
      </c>
      <c r="W727" s="79" t="n">
        <f aca="false">INDEX(Forecast!$BA$7:$BA$54,C727)</f>
        <v>10.1622895808419</v>
      </c>
      <c r="X727" s="33" t="n">
        <f aca="false">Z_Value*W727*SQRT(D727)</f>
        <v>16.7154788751789</v>
      </c>
      <c r="Y727" s="33" t="n">
        <f aca="false">V727*D727+X727</f>
        <v>67.2154788751789</v>
      </c>
      <c r="Z727" s="33" t="n">
        <f aca="false">SQRT((2*V727*Weeks_Per_Year*F727)/(E727*Holding_Rate))</f>
        <v>303.166620853946</v>
      </c>
      <c r="AA727" s="46" t="n">
        <f aca="false">ROUNDUP(Z727/G727,0)*G727</f>
        <v>312</v>
      </c>
      <c r="AB727" s="46" t="n">
        <f aca="false">SUMIFS(AF$725:AF726,$B$725:$B726,$B727-$D727)</f>
        <v>0</v>
      </c>
      <c r="AC727" s="46" t="n">
        <f aca="false">AI726+AB727</f>
        <v>215</v>
      </c>
      <c r="AD727" s="46" t="n">
        <f aca="false">SUMIFS(AF$725:AF726,$B$725:$B726,"&gt;"&amp;($B727-$D727))</f>
        <v>0</v>
      </c>
      <c r="AE727" s="46" t="n">
        <f aca="false">AC727+AD727</f>
        <v>215</v>
      </c>
      <c r="AF727" s="47" t="n">
        <f aca="false">IF(AE727&lt;=Y727,AA727,0)</f>
        <v>0</v>
      </c>
      <c r="AG727" s="46" t="n">
        <f aca="false">MIN(AC727,I727)</f>
        <v>51</v>
      </c>
      <c r="AH727" s="46" t="n">
        <f aca="false">I727-AG727</f>
        <v>0</v>
      </c>
      <c r="AI727" s="46" t="n">
        <f aca="false">AC727-AG727</f>
        <v>164</v>
      </c>
      <c r="AJ727" s="46" t="n">
        <f aca="false">IF(AH727&gt;0,1,0)</f>
        <v>0</v>
      </c>
    </row>
    <row r="728" customFormat="false" ht="15" hidden="false" customHeight="false" outlineLevel="0" collapsed="false">
      <c r="A728" s="31" t="str">
        <f aca="false">Inputs!$B$82</f>
        <v>CLN-006</v>
      </c>
      <c r="B728" s="46" t="n">
        <f aca="false">B727+1</f>
        <v>92</v>
      </c>
      <c r="C728" s="46" t="n">
        <f aca="false">MATCH(A728,Inputs!$B$40:$B$87,0)</f>
        <v>43</v>
      </c>
      <c r="D728" s="32" t="n">
        <f aca="false">INDEX(Inputs!$F$40:$F$87,C728)</f>
        <v>1</v>
      </c>
      <c r="E728" s="78" t="n">
        <f aca="false">INDEX(Inputs!$H$40:$H$87,C728)</f>
        <v>10</v>
      </c>
      <c r="F728" s="78" t="n">
        <f aca="false">INDEX(Inputs!$G$40:$G$87,C728)</f>
        <v>35</v>
      </c>
      <c r="G728" s="32" t="n">
        <f aca="false">INDEX(Inputs!$I$40:$I$87,C728)</f>
        <v>12</v>
      </c>
      <c r="H728" s="46" t="n">
        <f aca="false">MATCH(A728,Demand_History!$C:$C,0)+B728-1</f>
        <v>4461</v>
      </c>
      <c r="I728" s="32" t="n">
        <f aca="false">INDEX(Forecast_Walkforward!$C:$C,H728)</f>
        <v>47</v>
      </c>
      <c r="J728" s="79" t="n">
        <f aca="false">INDEX(Forecast_Walkforward!$E:$E,H728)</f>
        <v>49.25</v>
      </c>
      <c r="K728" s="33" t="n">
        <f aca="false">Baseline_Weeks*J728</f>
        <v>197</v>
      </c>
      <c r="L728" s="46" t="n">
        <f aca="false">SUMIFS(P$725:P727,$B$725:$B727,$B728-$D728)</f>
        <v>0</v>
      </c>
      <c r="M728" s="46" t="n">
        <f aca="false">S727+L728</f>
        <v>164</v>
      </c>
      <c r="N728" s="46" t="n">
        <f aca="false">SUMIFS(P$725:P727,$B$725:$B727,"&gt;"&amp;($B728-$D728))</f>
        <v>0</v>
      </c>
      <c r="O728" s="46" t="n">
        <f aca="false">M728+N728</f>
        <v>164</v>
      </c>
      <c r="P728" s="47" t="n">
        <f aca="false">IF(O728&lt;K728,ROUNDUP((K728-O728)/G728,0)*G728,0)</f>
        <v>36</v>
      </c>
      <c r="Q728" s="46" t="n">
        <f aca="false">MIN(M728,I728)</f>
        <v>47</v>
      </c>
      <c r="R728" s="46" t="n">
        <f aca="false">I728-Q728</f>
        <v>0</v>
      </c>
      <c r="S728" s="46" t="n">
        <f aca="false">M728-Q728</f>
        <v>117</v>
      </c>
      <c r="T728" s="46" t="n">
        <f aca="false">IF(R728&gt;0,1,0)</f>
        <v>0</v>
      </c>
      <c r="U728" s="32" t="n">
        <f aca="false">INDEX(Forecast!$AY$7:$AY$54,C728)</f>
        <v>2</v>
      </c>
      <c r="V728" s="33" t="n">
        <f aca="false">CHOOSE(U728,INDEX(Forecast_Walkforward!$D:$D,H728),INDEX(Forecast_Walkforward!$E:$E,H728),INDEX(Forecast_Walkforward!$F:$F,H728),INDEX(Forecast_Walkforward!$G:$G,H728))</f>
        <v>49.25</v>
      </c>
      <c r="W728" s="79" t="n">
        <f aca="false">INDEX(Forecast!$BA$7:$BA$54,C728)</f>
        <v>10.1622895808419</v>
      </c>
      <c r="X728" s="33" t="n">
        <f aca="false">Z_Value*W728*SQRT(D728)</f>
        <v>16.7154788751789</v>
      </c>
      <c r="Y728" s="33" t="n">
        <f aca="false">V728*D728+X728</f>
        <v>65.9654788751789</v>
      </c>
      <c r="Z728" s="33" t="n">
        <f aca="false">SQRT((2*V728*Weeks_Per_Year*F728)/(E728*Holding_Rate))</f>
        <v>299.391048630382</v>
      </c>
      <c r="AA728" s="46" t="n">
        <f aca="false">ROUNDUP(Z728/G728,0)*G728</f>
        <v>300</v>
      </c>
      <c r="AB728" s="46" t="n">
        <f aca="false">SUMIFS(AF$725:AF727,$B$725:$B727,$B728-$D728)</f>
        <v>0</v>
      </c>
      <c r="AC728" s="46" t="n">
        <f aca="false">AI727+AB728</f>
        <v>164</v>
      </c>
      <c r="AD728" s="46" t="n">
        <f aca="false">SUMIFS(AF$725:AF727,$B$725:$B727,"&gt;"&amp;($B728-$D728))</f>
        <v>0</v>
      </c>
      <c r="AE728" s="46" t="n">
        <f aca="false">AC728+AD728</f>
        <v>164</v>
      </c>
      <c r="AF728" s="47" t="n">
        <f aca="false">IF(AE728&lt;=Y728,AA728,0)</f>
        <v>0</v>
      </c>
      <c r="AG728" s="46" t="n">
        <f aca="false">MIN(AC728,I728)</f>
        <v>47</v>
      </c>
      <c r="AH728" s="46" t="n">
        <f aca="false">I728-AG728</f>
        <v>0</v>
      </c>
      <c r="AI728" s="46" t="n">
        <f aca="false">AC728-AG728</f>
        <v>117</v>
      </c>
      <c r="AJ728" s="46" t="n">
        <f aca="false">IF(AH728&gt;0,1,0)</f>
        <v>0</v>
      </c>
    </row>
    <row r="729" customFormat="false" ht="15" hidden="false" customHeight="false" outlineLevel="0" collapsed="false">
      <c r="A729" s="31" t="str">
        <f aca="false">Inputs!$B$82</f>
        <v>CLN-006</v>
      </c>
      <c r="B729" s="46" t="n">
        <f aca="false">B728+1</f>
        <v>93</v>
      </c>
      <c r="C729" s="46" t="n">
        <f aca="false">MATCH(A729,Inputs!$B$40:$B$87,0)</f>
        <v>43</v>
      </c>
      <c r="D729" s="32" t="n">
        <f aca="false">INDEX(Inputs!$F$40:$F$87,C729)</f>
        <v>1</v>
      </c>
      <c r="E729" s="78" t="n">
        <f aca="false">INDEX(Inputs!$H$40:$H$87,C729)</f>
        <v>10</v>
      </c>
      <c r="F729" s="78" t="n">
        <f aca="false">INDEX(Inputs!$G$40:$G$87,C729)</f>
        <v>35</v>
      </c>
      <c r="G729" s="32" t="n">
        <f aca="false">INDEX(Inputs!$I$40:$I$87,C729)</f>
        <v>12</v>
      </c>
      <c r="H729" s="46" t="n">
        <f aca="false">MATCH(A729,Demand_History!$C:$C,0)+B729-1</f>
        <v>4462</v>
      </c>
      <c r="I729" s="32" t="n">
        <f aca="false">INDEX(Forecast_Walkforward!$C:$C,H729)</f>
        <v>44</v>
      </c>
      <c r="J729" s="79" t="n">
        <f aca="false">INDEX(Forecast_Walkforward!$E:$E,H729)</f>
        <v>49.75</v>
      </c>
      <c r="K729" s="33" t="n">
        <f aca="false">Baseline_Weeks*J729</f>
        <v>199</v>
      </c>
      <c r="L729" s="46" t="n">
        <f aca="false">SUMIFS(P$725:P728,$B$725:$B728,$B729-$D729)</f>
        <v>36</v>
      </c>
      <c r="M729" s="46" t="n">
        <f aca="false">S728+L729</f>
        <v>153</v>
      </c>
      <c r="N729" s="46" t="n">
        <f aca="false">SUMIFS(P$725:P728,$B$725:$B728,"&gt;"&amp;($B729-$D729))</f>
        <v>0</v>
      </c>
      <c r="O729" s="46" t="n">
        <f aca="false">M729+N729</f>
        <v>153</v>
      </c>
      <c r="P729" s="47" t="n">
        <f aca="false">IF(O729&lt;K729,ROUNDUP((K729-O729)/G729,0)*G729,0)</f>
        <v>48</v>
      </c>
      <c r="Q729" s="46" t="n">
        <f aca="false">MIN(M729,I729)</f>
        <v>44</v>
      </c>
      <c r="R729" s="46" t="n">
        <f aca="false">I729-Q729</f>
        <v>0</v>
      </c>
      <c r="S729" s="46" t="n">
        <f aca="false">M729-Q729</f>
        <v>109</v>
      </c>
      <c r="T729" s="46" t="n">
        <f aca="false">IF(R729&gt;0,1,0)</f>
        <v>0</v>
      </c>
      <c r="U729" s="32" t="n">
        <f aca="false">INDEX(Forecast!$AY$7:$AY$54,C729)</f>
        <v>2</v>
      </c>
      <c r="V729" s="33" t="n">
        <f aca="false">CHOOSE(U729,INDEX(Forecast_Walkforward!$D:$D,H729),INDEX(Forecast_Walkforward!$E:$E,H729),INDEX(Forecast_Walkforward!$F:$F,H729),INDEX(Forecast_Walkforward!$G:$G,H729))</f>
        <v>49.75</v>
      </c>
      <c r="W729" s="79" t="n">
        <f aca="false">INDEX(Forecast!$BA$7:$BA$54,C729)</f>
        <v>10.1622895808419</v>
      </c>
      <c r="X729" s="33" t="n">
        <f aca="false">Z_Value*W729*SQRT(D729)</f>
        <v>16.7154788751789</v>
      </c>
      <c r="Y729" s="33" t="n">
        <f aca="false">V729*D729+X729</f>
        <v>66.4654788751789</v>
      </c>
      <c r="Z729" s="33" t="n">
        <f aca="false">SQRT((2*V729*Weeks_Per_Year*F729)/(E729*Holding_Rate))</f>
        <v>300.906962365446</v>
      </c>
      <c r="AA729" s="46" t="n">
        <f aca="false">ROUNDUP(Z729/G729,0)*G729</f>
        <v>312</v>
      </c>
      <c r="AB729" s="46" t="n">
        <f aca="false">SUMIFS(AF$725:AF728,$B$725:$B728,$B729-$D729)</f>
        <v>0</v>
      </c>
      <c r="AC729" s="46" t="n">
        <f aca="false">AI728+AB729</f>
        <v>117</v>
      </c>
      <c r="AD729" s="46" t="n">
        <f aca="false">SUMIFS(AF$725:AF728,$B$725:$B728,"&gt;"&amp;($B729-$D729))</f>
        <v>0</v>
      </c>
      <c r="AE729" s="46" t="n">
        <f aca="false">AC729+AD729</f>
        <v>117</v>
      </c>
      <c r="AF729" s="47" t="n">
        <f aca="false">IF(AE729&lt;=Y729,AA729,0)</f>
        <v>0</v>
      </c>
      <c r="AG729" s="46" t="n">
        <f aca="false">MIN(AC729,I729)</f>
        <v>44</v>
      </c>
      <c r="AH729" s="46" t="n">
        <f aca="false">I729-AG729</f>
        <v>0</v>
      </c>
      <c r="AI729" s="46" t="n">
        <f aca="false">AC729-AG729</f>
        <v>73</v>
      </c>
      <c r="AJ729" s="46" t="n">
        <f aca="false">IF(AH729&gt;0,1,0)</f>
        <v>0</v>
      </c>
    </row>
    <row r="730" customFormat="false" ht="15" hidden="false" customHeight="false" outlineLevel="0" collapsed="false">
      <c r="A730" s="31" t="str">
        <f aca="false">Inputs!$B$82</f>
        <v>CLN-006</v>
      </c>
      <c r="B730" s="46" t="n">
        <f aca="false">B729+1</f>
        <v>94</v>
      </c>
      <c r="C730" s="46" t="n">
        <f aca="false">MATCH(A730,Inputs!$B$40:$B$87,0)</f>
        <v>43</v>
      </c>
      <c r="D730" s="32" t="n">
        <f aca="false">INDEX(Inputs!$F$40:$F$87,C730)</f>
        <v>1</v>
      </c>
      <c r="E730" s="78" t="n">
        <f aca="false">INDEX(Inputs!$H$40:$H$87,C730)</f>
        <v>10</v>
      </c>
      <c r="F730" s="78" t="n">
        <f aca="false">INDEX(Inputs!$G$40:$G$87,C730)</f>
        <v>35</v>
      </c>
      <c r="G730" s="32" t="n">
        <f aca="false">INDEX(Inputs!$I$40:$I$87,C730)</f>
        <v>12</v>
      </c>
      <c r="H730" s="46" t="n">
        <f aca="false">MATCH(A730,Demand_History!$C:$C,0)+B730-1</f>
        <v>4463</v>
      </c>
      <c r="I730" s="32" t="n">
        <f aca="false">INDEX(Forecast_Walkforward!$C:$C,H730)</f>
        <v>49</v>
      </c>
      <c r="J730" s="79" t="n">
        <f aca="false">INDEX(Forecast_Walkforward!$E:$E,H730)</f>
        <v>48</v>
      </c>
      <c r="K730" s="33" t="n">
        <f aca="false">Baseline_Weeks*J730</f>
        <v>192</v>
      </c>
      <c r="L730" s="46" t="n">
        <f aca="false">SUMIFS(P$725:P729,$B$725:$B729,$B730-$D730)</f>
        <v>48</v>
      </c>
      <c r="M730" s="46" t="n">
        <f aca="false">S729+L730</f>
        <v>157</v>
      </c>
      <c r="N730" s="46" t="n">
        <f aca="false">SUMIFS(P$725:P729,$B$725:$B729,"&gt;"&amp;($B730-$D730))</f>
        <v>0</v>
      </c>
      <c r="O730" s="46" t="n">
        <f aca="false">M730+N730</f>
        <v>157</v>
      </c>
      <c r="P730" s="47" t="n">
        <f aca="false">IF(O730&lt;K730,ROUNDUP((K730-O730)/G730,0)*G730,0)</f>
        <v>36</v>
      </c>
      <c r="Q730" s="46" t="n">
        <f aca="false">MIN(M730,I730)</f>
        <v>49</v>
      </c>
      <c r="R730" s="46" t="n">
        <f aca="false">I730-Q730</f>
        <v>0</v>
      </c>
      <c r="S730" s="46" t="n">
        <f aca="false">M730-Q730</f>
        <v>108</v>
      </c>
      <c r="T730" s="46" t="n">
        <f aca="false">IF(R730&gt;0,1,0)</f>
        <v>0</v>
      </c>
      <c r="U730" s="32" t="n">
        <f aca="false">INDEX(Forecast!$AY$7:$AY$54,C730)</f>
        <v>2</v>
      </c>
      <c r="V730" s="33" t="n">
        <f aca="false">CHOOSE(U730,INDEX(Forecast_Walkforward!$D:$D,H730),INDEX(Forecast_Walkforward!$E:$E,H730),INDEX(Forecast_Walkforward!$F:$F,H730),INDEX(Forecast_Walkforward!$G:$G,H730))</f>
        <v>48</v>
      </c>
      <c r="W730" s="79" t="n">
        <f aca="false">INDEX(Forecast!$BA$7:$BA$54,C730)</f>
        <v>10.1622895808419</v>
      </c>
      <c r="X730" s="33" t="n">
        <f aca="false">Z_Value*W730*SQRT(D730)</f>
        <v>16.7154788751789</v>
      </c>
      <c r="Y730" s="33" t="n">
        <f aca="false">V730*D730+X730</f>
        <v>64.7154788751789</v>
      </c>
      <c r="Z730" s="33" t="n">
        <f aca="false">SQRT((2*V730*Weeks_Per_Year*F730)/(E730*Holding_Rate))</f>
        <v>295.567251230579</v>
      </c>
      <c r="AA730" s="46" t="n">
        <f aca="false">ROUNDUP(Z730/G730,0)*G730</f>
        <v>300</v>
      </c>
      <c r="AB730" s="46" t="n">
        <f aca="false">SUMIFS(AF$725:AF729,$B$725:$B729,$B730-$D730)</f>
        <v>0</v>
      </c>
      <c r="AC730" s="46" t="n">
        <f aca="false">AI729+AB730</f>
        <v>73</v>
      </c>
      <c r="AD730" s="46" t="n">
        <f aca="false">SUMIFS(AF$725:AF729,$B$725:$B729,"&gt;"&amp;($B730-$D730))</f>
        <v>0</v>
      </c>
      <c r="AE730" s="46" t="n">
        <f aca="false">AC730+AD730</f>
        <v>73</v>
      </c>
      <c r="AF730" s="47" t="n">
        <f aca="false">IF(AE730&lt;=Y730,AA730,0)</f>
        <v>0</v>
      </c>
      <c r="AG730" s="46" t="n">
        <f aca="false">MIN(AC730,I730)</f>
        <v>49</v>
      </c>
      <c r="AH730" s="46" t="n">
        <f aca="false">I730-AG730</f>
        <v>0</v>
      </c>
      <c r="AI730" s="46" t="n">
        <f aca="false">AC730-AG730</f>
        <v>24</v>
      </c>
      <c r="AJ730" s="46" t="n">
        <f aca="false">IF(AH730&gt;0,1,0)</f>
        <v>0</v>
      </c>
    </row>
    <row r="731" customFormat="false" ht="15" hidden="false" customHeight="false" outlineLevel="0" collapsed="false">
      <c r="A731" s="31" t="str">
        <f aca="false">Inputs!$B$82</f>
        <v>CLN-006</v>
      </c>
      <c r="B731" s="46" t="n">
        <f aca="false">B730+1</f>
        <v>95</v>
      </c>
      <c r="C731" s="46" t="n">
        <f aca="false">MATCH(A731,Inputs!$B$40:$B$87,0)</f>
        <v>43</v>
      </c>
      <c r="D731" s="32" t="n">
        <f aca="false">INDEX(Inputs!$F$40:$F$87,C731)</f>
        <v>1</v>
      </c>
      <c r="E731" s="78" t="n">
        <f aca="false">INDEX(Inputs!$H$40:$H$87,C731)</f>
        <v>10</v>
      </c>
      <c r="F731" s="78" t="n">
        <f aca="false">INDEX(Inputs!$G$40:$G$87,C731)</f>
        <v>35</v>
      </c>
      <c r="G731" s="32" t="n">
        <f aca="false">INDEX(Inputs!$I$40:$I$87,C731)</f>
        <v>12</v>
      </c>
      <c r="H731" s="46" t="n">
        <f aca="false">MATCH(A731,Demand_History!$C:$C,0)+B731-1</f>
        <v>4464</v>
      </c>
      <c r="I731" s="32" t="n">
        <f aca="false">INDEX(Forecast_Walkforward!$C:$C,H731)</f>
        <v>45</v>
      </c>
      <c r="J731" s="79" t="n">
        <f aca="false">INDEX(Forecast_Walkforward!$E:$E,H731)</f>
        <v>47.75</v>
      </c>
      <c r="K731" s="33" t="n">
        <f aca="false">Baseline_Weeks*J731</f>
        <v>191</v>
      </c>
      <c r="L731" s="46" t="n">
        <f aca="false">SUMIFS(P$725:P730,$B$725:$B730,$B731-$D731)</f>
        <v>36</v>
      </c>
      <c r="M731" s="46" t="n">
        <f aca="false">S730+L731</f>
        <v>144</v>
      </c>
      <c r="N731" s="46" t="n">
        <f aca="false">SUMIFS(P$725:P730,$B$725:$B730,"&gt;"&amp;($B731-$D731))</f>
        <v>0</v>
      </c>
      <c r="O731" s="46" t="n">
        <f aca="false">M731+N731</f>
        <v>144</v>
      </c>
      <c r="P731" s="47" t="n">
        <f aca="false">IF(O731&lt;K731,ROUNDUP((K731-O731)/G731,0)*G731,0)</f>
        <v>48</v>
      </c>
      <c r="Q731" s="46" t="n">
        <f aca="false">MIN(M731,I731)</f>
        <v>45</v>
      </c>
      <c r="R731" s="46" t="n">
        <f aca="false">I731-Q731</f>
        <v>0</v>
      </c>
      <c r="S731" s="46" t="n">
        <f aca="false">M731-Q731</f>
        <v>99</v>
      </c>
      <c r="T731" s="46" t="n">
        <f aca="false">IF(R731&gt;0,1,0)</f>
        <v>0</v>
      </c>
      <c r="U731" s="32" t="n">
        <f aca="false">INDEX(Forecast!$AY$7:$AY$54,C731)</f>
        <v>2</v>
      </c>
      <c r="V731" s="33" t="n">
        <f aca="false">CHOOSE(U731,INDEX(Forecast_Walkforward!$D:$D,H731),INDEX(Forecast_Walkforward!$E:$E,H731),INDEX(Forecast_Walkforward!$F:$F,H731),INDEX(Forecast_Walkforward!$G:$G,H731))</f>
        <v>47.75</v>
      </c>
      <c r="W731" s="79" t="n">
        <f aca="false">INDEX(Forecast!$BA$7:$BA$54,C731)</f>
        <v>10.1622895808419</v>
      </c>
      <c r="X731" s="33" t="n">
        <f aca="false">Z_Value*W731*SQRT(D731)</f>
        <v>16.7154788751789</v>
      </c>
      <c r="Y731" s="33" t="n">
        <f aca="false">V731*D731+X731</f>
        <v>64.4654788751789</v>
      </c>
      <c r="Z731" s="33" t="n">
        <f aca="false">SQRT((2*V731*Weeks_Per_Year*F731)/(E731*Holding_Rate))</f>
        <v>294.796540006833</v>
      </c>
      <c r="AA731" s="46" t="n">
        <f aca="false">ROUNDUP(Z731/G731,0)*G731</f>
        <v>300</v>
      </c>
      <c r="AB731" s="46" t="n">
        <f aca="false">SUMIFS(AF$725:AF730,$B$725:$B730,$B731-$D731)</f>
        <v>0</v>
      </c>
      <c r="AC731" s="46" t="n">
        <f aca="false">AI730+AB731</f>
        <v>24</v>
      </c>
      <c r="AD731" s="46" t="n">
        <f aca="false">SUMIFS(AF$725:AF730,$B$725:$B730,"&gt;"&amp;($B731-$D731))</f>
        <v>0</v>
      </c>
      <c r="AE731" s="46" t="n">
        <f aca="false">AC731+AD731</f>
        <v>24</v>
      </c>
      <c r="AF731" s="47" t="n">
        <f aca="false">IF(AE731&lt;=Y731,AA731,0)</f>
        <v>300</v>
      </c>
      <c r="AG731" s="46" t="n">
        <f aca="false">MIN(AC731,I731)</f>
        <v>24</v>
      </c>
      <c r="AH731" s="46" t="n">
        <f aca="false">I731-AG731</f>
        <v>21</v>
      </c>
      <c r="AI731" s="46" t="n">
        <f aca="false">AC731-AG731</f>
        <v>0</v>
      </c>
      <c r="AJ731" s="46" t="n">
        <f aca="false">IF(AH731&gt;0,1,0)</f>
        <v>1</v>
      </c>
    </row>
    <row r="732" customFormat="false" ht="15" hidden="false" customHeight="false" outlineLevel="0" collapsed="false">
      <c r="A732" s="31" t="str">
        <f aca="false">Inputs!$B$82</f>
        <v>CLN-006</v>
      </c>
      <c r="B732" s="46" t="n">
        <f aca="false">B731+1</f>
        <v>96</v>
      </c>
      <c r="C732" s="46" t="n">
        <f aca="false">MATCH(A732,Inputs!$B$40:$B$87,0)</f>
        <v>43</v>
      </c>
      <c r="D732" s="32" t="n">
        <f aca="false">INDEX(Inputs!$F$40:$F$87,C732)</f>
        <v>1</v>
      </c>
      <c r="E732" s="78" t="n">
        <f aca="false">INDEX(Inputs!$H$40:$H$87,C732)</f>
        <v>10</v>
      </c>
      <c r="F732" s="78" t="n">
        <f aca="false">INDEX(Inputs!$G$40:$G$87,C732)</f>
        <v>35</v>
      </c>
      <c r="G732" s="32" t="n">
        <f aca="false">INDEX(Inputs!$I$40:$I$87,C732)</f>
        <v>12</v>
      </c>
      <c r="H732" s="46" t="n">
        <f aca="false">MATCH(A732,Demand_History!$C:$C,0)+B732-1</f>
        <v>4465</v>
      </c>
      <c r="I732" s="32" t="n">
        <f aca="false">INDEX(Forecast_Walkforward!$C:$C,H732)</f>
        <v>50</v>
      </c>
      <c r="J732" s="79" t="n">
        <f aca="false">INDEX(Forecast_Walkforward!$E:$E,H732)</f>
        <v>46.25</v>
      </c>
      <c r="K732" s="33" t="n">
        <f aca="false">Baseline_Weeks*J732</f>
        <v>185</v>
      </c>
      <c r="L732" s="46" t="n">
        <f aca="false">SUMIFS(P$725:P731,$B$725:$B731,$B732-$D732)</f>
        <v>48</v>
      </c>
      <c r="M732" s="46" t="n">
        <f aca="false">S731+L732</f>
        <v>147</v>
      </c>
      <c r="N732" s="46" t="n">
        <f aca="false">SUMIFS(P$725:P731,$B$725:$B731,"&gt;"&amp;($B732-$D732))</f>
        <v>0</v>
      </c>
      <c r="O732" s="46" t="n">
        <f aca="false">M732+N732</f>
        <v>147</v>
      </c>
      <c r="P732" s="47" t="n">
        <f aca="false">IF(O732&lt;K732,ROUNDUP((K732-O732)/G732,0)*G732,0)</f>
        <v>48</v>
      </c>
      <c r="Q732" s="46" t="n">
        <f aca="false">MIN(M732,I732)</f>
        <v>50</v>
      </c>
      <c r="R732" s="46" t="n">
        <f aca="false">I732-Q732</f>
        <v>0</v>
      </c>
      <c r="S732" s="46" t="n">
        <f aca="false">M732-Q732</f>
        <v>97</v>
      </c>
      <c r="T732" s="46" t="n">
        <f aca="false">IF(R732&gt;0,1,0)</f>
        <v>0</v>
      </c>
      <c r="U732" s="32" t="n">
        <f aca="false">INDEX(Forecast!$AY$7:$AY$54,C732)</f>
        <v>2</v>
      </c>
      <c r="V732" s="33" t="n">
        <f aca="false">CHOOSE(U732,INDEX(Forecast_Walkforward!$D:$D,H732),INDEX(Forecast_Walkforward!$E:$E,H732),INDEX(Forecast_Walkforward!$F:$F,H732),INDEX(Forecast_Walkforward!$G:$G,H732))</f>
        <v>46.25</v>
      </c>
      <c r="W732" s="79" t="n">
        <f aca="false">INDEX(Forecast!$BA$7:$BA$54,C732)</f>
        <v>10.1622895808419</v>
      </c>
      <c r="X732" s="33" t="n">
        <f aca="false">Z_Value*W732*SQRT(D732)</f>
        <v>16.7154788751789</v>
      </c>
      <c r="Y732" s="33" t="n">
        <f aca="false">V732*D732+X732</f>
        <v>62.9654788751789</v>
      </c>
      <c r="Z732" s="33" t="n">
        <f aca="false">SQRT((2*V732*Weeks_Per_Year*F732)/(E732*Holding_Rate))</f>
        <v>290.12928152808</v>
      </c>
      <c r="AA732" s="46" t="n">
        <f aca="false">ROUNDUP(Z732/G732,0)*G732</f>
        <v>300</v>
      </c>
      <c r="AB732" s="46" t="n">
        <f aca="false">SUMIFS(AF$725:AF731,$B$725:$B731,$B732-$D732)</f>
        <v>300</v>
      </c>
      <c r="AC732" s="46" t="n">
        <f aca="false">AI731+AB732</f>
        <v>300</v>
      </c>
      <c r="AD732" s="46" t="n">
        <f aca="false">SUMIFS(AF$725:AF731,$B$725:$B731,"&gt;"&amp;($B732-$D732))</f>
        <v>0</v>
      </c>
      <c r="AE732" s="46" t="n">
        <f aca="false">AC732+AD732</f>
        <v>300</v>
      </c>
      <c r="AF732" s="47" t="n">
        <f aca="false">IF(AE732&lt;=Y732,AA732,0)</f>
        <v>0</v>
      </c>
      <c r="AG732" s="46" t="n">
        <f aca="false">MIN(AC732,I732)</f>
        <v>50</v>
      </c>
      <c r="AH732" s="46" t="n">
        <f aca="false">I732-AG732</f>
        <v>0</v>
      </c>
      <c r="AI732" s="46" t="n">
        <f aca="false">AC732-AG732</f>
        <v>250</v>
      </c>
      <c r="AJ732" s="46" t="n">
        <f aca="false">IF(AH732&gt;0,1,0)</f>
        <v>0</v>
      </c>
    </row>
    <row r="733" customFormat="false" ht="15" hidden="false" customHeight="false" outlineLevel="0" collapsed="false">
      <c r="A733" s="31" t="str">
        <f aca="false">Inputs!$B$82</f>
        <v>CLN-006</v>
      </c>
      <c r="B733" s="46" t="n">
        <f aca="false">B732+1</f>
        <v>97</v>
      </c>
      <c r="C733" s="46" t="n">
        <f aca="false">MATCH(A733,Inputs!$B$40:$B$87,0)</f>
        <v>43</v>
      </c>
      <c r="D733" s="32" t="n">
        <f aca="false">INDEX(Inputs!$F$40:$F$87,C733)</f>
        <v>1</v>
      </c>
      <c r="E733" s="78" t="n">
        <f aca="false">INDEX(Inputs!$H$40:$H$87,C733)</f>
        <v>10</v>
      </c>
      <c r="F733" s="78" t="n">
        <f aca="false">INDEX(Inputs!$G$40:$G$87,C733)</f>
        <v>35</v>
      </c>
      <c r="G733" s="32" t="n">
        <f aca="false">INDEX(Inputs!$I$40:$I$87,C733)</f>
        <v>12</v>
      </c>
      <c r="H733" s="46" t="n">
        <f aca="false">MATCH(A733,Demand_History!$C:$C,0)+B733-1</f>
        <v>4466</v>
      </c>
      <c r="I733" s="32" t="n">
        <f aca="false">INDEX(Forecast_Walkforward!$C:$C,H733)</f>
        <v>46</v>
      </c>
      <c r="J733" s="79" t="n">
        <f aca="false">INDEX(Forecast_Walkforward!$E:$E,H733)</f>
        <v>47</v>
      </c>
      <c r="K733" s="33" t="n">
        <f aca="false">Baseline_Weeks*J733</f>
        <v>188</v>
      </c>
      <c r="L733" s="46" t="n">
        <f aca="false">SUMIFS(P$725:P732,$B$725:$B732,$B733-$D733)</f>
        <v>48</v>
      </c>
      <c r="M733" s="46" t="n">
        <f aca="false">S732+L733</f>
        <v>145</v>
      </c>
      <c r="N733" s="46" t="n">
        <f aca="false">SUMIFS(P$725:P732,$B$725:$B732,"&gt;"&amp;($B733-$D733))</f>
        <v>0</v>
      </c>
      <c r="O733" s="46" t="n">
        <f aca="false">M733+N733</f>
        <v>145</v>
      </c>
      <c r="P733" s="47" t="n">
        <f aca="false">IF(O733&lt;K733,ROUNDUP((K733-O733)/G733,0)*G733,0)</f>
        <v>48</v>
      </c>
      <c r="Q733" s="46" t="n">
        <f aca="false">MIN(M733,I733)</f>
        <v>46</v>
      </c>
      <c r="R733" s="46" t="n">
        <f aca="false">I733-Q733</f>
        <v>0</v>
      </c>
      <c r="S733" s="46" t="n">
        <f aca="false">M733-Q733</f>
        <v>99</v>
      </c>
      <c r="T733" s="46" t="n">
        <f aca="false">IF(R733&gt;0,1,0)</f>
        <v>0</v>
      </c>
      <c r="U733" s="32" t="n">
        <f aca="false">INDEX(Forecast!$AY$7:$AY$54,C733)</f>
        <v>2</v>
      </c>
      <c r="V733" s="33" t="n">
        <f aca="false">CHOOSE(U733,INDEX(Forecast_Walkforward!$D:$D,H733),INDEX(Forecast_Walkforward!$E:$E,H733),INDEX(Forecast_Walkforward!$F:$F,H733),INDEX(Forecast_Walkforward!$G:$G,H733))</f>
        <v>47</v>
      </c>
      <c r="W733" s="79" t="n">
        <f aca="false">INDEX(Forecast!$BA$7:$BA$54,C733)</f>
        <v>10.1622895808419</v>
      </c>
      <c r="X733" s="33" t="n">
        <f aca="false">Z_Value*W733*SQRT(D733)</f>
        <v>16.7154788751789</v>
      </c>
      <c r="Y733" s="33" t="n">
        <f aca="false">V733*D733+X733</f>
        <v>63.7154788751789</v>
      </c>
      <c r="Z733" s="33" t="n">
        <f aca="false">SQRT((2*V733*Weeks_Per_Year*F733)/(E733*Holding_Rate))</f>
        <v>292.472220903114</v>
      </c>
      <c r="AA733" s="46" t="n">
        <f aca="false">ROUNDUP(Z733/G733,0)*G733</f>
        <v>300</v>
      </c>
      <c r="AB733" s="46" t="n">
        <f aca="false">SUMIFS(AF$725:AF732,$B$725:$B732,$B733-$D733)</f>
        <v>0</v>
      </c>
      <c r="AC733" s="46" t="n">
        <f aca="false">AI732+AB733</f>
        <v>250</v>
      </c>
      <c r="AD733" s="46" t="n">
        <f aca="false">SUMIFS(AF$725:AF732,$B$725:$B732,"&gt;"&amp;($B733-$D733))</f>
        <v>0</v>
      </c>
      <c r="AE733" s="46" t="n">
        <f aca="false">AC733+AD733</f>
        <v>250</v>
      </c>
      <c r="AF733" s="47" t="n">
        <f aca="false">IF(AE733&lt;=Y733,AA733,0)</f>
        <v>0</v>
      </c>
      <c r="AG733" s="46" t="n">
        <f aca="false">MIN(AC733,I733)</f>
        <v>46</v>
      </c>
      <c r="AH733" s="46" t="n">
        <f aca="false">I733-AG733</f>
        <v>0</v>
      </c>
      <c r="AI733" s="46" t="n">
        <f aca="false">AC733-AG733</f>
        <v>204</v>
      </c>
      <c r="AJ733" s="46" t="n">
        <f aca="false">IF(AH733&gt;0,1,0)</f>
        <v>0</v>
      </c>
    </row>
    <row r="734" customFormat="false" ht="15" hidden="false" customHeight="false" outlineLevel="0" collapsed="false">
      <c r="A734" s="31" t="str">
        <f aca="false">Inputs!$B$82</f>
        <v>CLN-006</v>
      </c>
      <c r="B734" s="46" t="n">
        <f aca="false">B733+1</f>
        <v>98</v>
      </c>
      <c r="C734" s="46" t="n">
        <f aca="false">MATCH(A734,Inputs!$B$40:$B$87,0)</f>
        <v>43</v>
      </c>
      <c r="D734" s="32" t="n">
        <f aca="false">INDEX(Inputs!$F$40:$F$87,C734)</f>
        <v>1</v>
      </c>
      <c r="E734" s="78" t="n">
        <f aca="false">INDEX(Inputs!$H$40:$H$87,C734)</f>
        <v>10</v>
      </c>
      <c r="F734" s="78" t="n">
        <f aca="false">INDEX(Inputs!$G$40:$G$87,C734)</f>
        <v>35</v>
      </c>
      <c r="G734" s="32" t="n">
        <f aca="false">INDEX(Inputs!$I$40:$I$87,C734)</f>
        <v>12</v>
      </c>
      <c r="H734" s="46" t="n">
        <f aca="false">MATCH(A734,Demand_History!$C:$C,0)+B734-1</f>
        <v>4467</v>
      </c>
      <c r="I734" s="32" t="n">
        <f aca="false">INDEX(Forecast_Walkforward!$C:$C,H734)</f>
        <v>33</v>
      </c>
      <c r="J734" s="79" t="n">
        <f aca="false">INDEX(Forecast_Walkforward!$E:$E,H734)</f>
        <v>47.5</v>
      </c>
      <c r="K734" s="33" t="n">
        <f aca="false">Baseline_Weeks*J734</f>
        <v>190</v>
      </c>
      <c r="L734" s="46" t="n">
        <f aca="false">SUMIFS(P$725:P733,$B$725:$B733,$B734-$D734)</f>
        <v>48</v>
      </c>
      <c r="M734" s="46" t="n">
        <f aca="false">S733+L734</f>
        <v>147</v>
      </c>
      <c r="N734" s="46" t="n">
        <f aca="false">SUMIFS(P$725:P733,$B$725:$B733,"&gt;"&amp;($B734-$D734))</f>
        <v>0</v>
      </c>
      <c r="O734" s="46" t="n">
        <f aca="false">M734+N734</f>
        <v>147</v>
      </c>
      <c r="P734" s="47" t="n">
        <f aca="false">IF(O734&lt;K734,ROUNDUP((K734-O734)/G734,0)*G734,0)</f>
        <v>48</v>
      </c>
      <c r="Q734" s="46" t="n">
        <f aca="false">MIN(M734,I734)</f>
        <v>33</v>
      </c>
      <c r="R734" s="46" t="n">
        <f aca="false">I734-Q734</f>
        <v>0</v>
      </c>
      <c r="S734" s="46" t="n">
        <f aca="false">M734-Q734</f>
        <v>114</v>
      </c>
      <c r="T734" s="46" t="n">
        <f aca="false">IF(R734&gt;0,1,0)</f>
        <v>0</v>
      </c>
      <c r="U734" s="32" t="n">
        <f aca="false">INDEX(Forecast!$AY$7:$AY$54,C734)</f>
        <v>2</v>
      </c>
      <c r="V734" s="33" t="n">
        <f aca="false">CHOOSE(U734,INDEX(Forecast_Walkforward!$D:$D,H734),INDEX(Forecast_Walkforward!$E:$E,H734),INDEX(Forecast_Walkforward!$F:$F,H734),INDEX(Forecast_Walkforward!$G:$G,H734))</f>
        <v>47.5</v>
      </c>
      <c r="W734" s="79" t="n">
        <f aca="false">INDEX(Forecast!$BA$7:$BA$54,C734)</f>
        <v>10.1622895808419</v>
      </c>
      <c r="X734" s="33" t="n">
        <f aca="false">Z_Value*W734*SQRT(D734)</f>
        <v>16.7154788751789</v>
      </c>
      <c r="Y734" s="33" t="n">
        <f aca="false">V734*D734+X734</f>
        <v>64.2154788751789</v>
      </c>
      <c r="Z734" s="33" t="n">
        <f aca="false">SQRT((2*V734*Weeks_Per_Year*F734)/(E734*Holding_Rate))</f>
        <v>294.023808559783</v>
      </c>
      <c r="AA734" s="46" t="n">
        <f aca="false">ROUNDUP(Z734/G734,0)*G734</f>
        <v>300</v>
      </c>
      <c r="AB734" s="46" t="n">
        <f aca="false">SUMIFS(AF$725:AF733,$B$725:$B733,$B734-$D734)</f>
        <v>0</v>
      </c>
      <c r="AC734" s="46" t="n">
        <f aca="false">AI733+AB734</f>
        <v>204</v>
      </c>
      <c r="AD734" s="46" t="n">
        <f aca="false">SUMIFS(AF$725:AF733,$B$725:$B733,"&gt;"&amp;($B734-$D734))</f>
        <v>0</v>
      </c>
      <c r="AE734" s="46" t="n">
        <f aca="false">AC734+AD734</f>
        <v>204</v>
      </c>
      <c r="AF734" s="47" t="n">
        <f aca="false">IF(AE734&lt;=Y734,AA734,0)</f>
        <v>0</v>
      </c>
      <c r="AG734" s="46" t="n">
        <f aca="false">MIN(AC734,I734)</f>
        <v>33</v>
      </c>
      <c r="AH734" s="46" t="n">
        <f aca="false">I734-AG734</f>
        <v>0</v>
      </c>
      <c r="AI734" s="46" t="n">
        <f aca="false">AC734-AG734</f>
        <v>171</v>
      </c>
      <c r="AJ734" s="46" t="n">
        <f aca="false">IF(AH734&gt;0,1,0)</f>
        <v>0</v>
      </c>
    </row>
    <row r="735" customFormat="false" ht="15" hidden="false" customHeight="false" outlineLevel="0" collapsed="false">
      <c r="A735" s="31" t="str">
        <f aca="false">Inputs!$B$82</f>
        <v>CLN-006</v>
      </c>
      <c r="B735" s="46" t="n">
        <f aca="false">B734+1</f>
        <v>99</v>
      </c>
      <c r="C735" s="46" t="n">
        <f aca="false">MATCH(A735,Inputs!$B$40:$B$87,0)</f>
        <v>43</v>
      </c>
      <c r="D735" s="32" t="n">
        <f aca="false">INDEX(Inputs!$F$40:$F$87,C735)</f>
        <v>1</v>
      </c>
      <c r="E735" s="78" t="n">
        <f aca="false">INDEX(Inputs!$H$40:$H$87,C735)</f>
        <v>10</v>
      </c>
      <c r="F735" s="78" t="n">
        <f aca="false">INDEX(Inputs!$G$40:$G$87,C735)</f>
        <v>35</v>
      </c>
      <c r="G735" s="32" t="n">
        <f aca="false">INDEX(Inputs!$I$40:$I$87,C735)</f>
        <v>12</v>
      </c>
      <c r="H735" s="46" t="n">
        <f aca="false">MATCH(A735,Demand_History!$C:$C,0)+B735-1</f>
        <v>4468</v>
      </c>
      <c r="I735" s="32" t="n">
        <f aca="false">INDEX(Forecast_Walkforward!$C:$C,H735)</f>
        <v>47</v>
      </c>
      <c r="J735" s="79" t="n">
        <f aca="false">INDEX(Forecast_Walkforward!$E:$E,H735)</f>
        <v>43.5</v>
      </c>
      <c r="K735" s="33" t="n">
        <f aca="false">Baseline_Weeks*J735</f>
        <v>174</v>
      </c>
      <c r="L735" s="46" t="n">
        <f aca="false">SUMIFS(P$725:P734,$B$725:$B734,$B735-$D735)</f>
        <v>48</v>
      </c>
      <c r="M735" s="46" t="n">
        <f aca="false">S734+L735</f>
        <v>162</v>
      </c>
      <c r="N735" s="46" t="n">
        <f aca="false">SUMIFS(P$725:P734,$B$725:$B734,"&gt;"&amp;($B735-$D735))</f>
        <v>0</v>
      </c>
      <c r="O735" s="46" t="n">
        <f aca="false">M735+N735</f>
        <v>162</v>
      </c>
      <c r="P735" s="47" t="n">
        <f aca="false">IF(O735&lt;K735,ROUNDUP((K735-O735)/G735,0)*G735,0)</f>
        <v>12</v>
      </c>
      <c r="Q735" s="46" t="n">
        <f aca="false">MIN(M735,I735)</f>
        <v>47</v>
      </c>
      <c r="R735" s="46" t="n">
        <f aca="false">I735-Q735</f>
        <v>0</v>
      </c>
      <c r="S735" s="46" t="n">
        <f aca="false">M735-Q735</f>
        <v>115</v>
      </c>
      <c r="T735" s="46" t="n">
        <f aca="false">IF(R735&gt;0,1,0)</f>
        <v>0</v>
      </c>
      <c r="U735" s="32" t="n">
        <f aca="false">INDEX(Forecast!$AY$7:$AY$54,C735)</f>
        <v>2</v>
      </c>
      <c r="V735" s="33" t="n">
        <f aca="false">CHOOSE(U735,INDEX(Forecast_Walkforward!$D:$D,H735),INDEX(Forecast_Walkforward!$E:$E,H735),INDEX(Forecast_Walkforward!$F:$F,H735),INDEX(Forecast_Walkforward!$G:$G,H735))</f>
        <v>43.5</v>
      </c>
      <c r="W735" s="79" t="n">
        <f aca="false">INDEX(Forecast!$BA$7:$BA$54,C735)</f>
        <v>10.1622895808419</v>
      </c>
      <c r="X735" s="33" t="n">
        <f aca="false">Z_Value*W735*SQRT(D735)</f>
        <v>16.7154788751789</v>
      </c>
      <c r="Y735" s="33" t="n">
        <f aca="false">V735*D735+X735</f>
        <v>60.2154788751789</v>
      </c>
      <c r="Z735" s="33" t="n">
        <f aca="false">SQRT((2*V735*Weeks_Per_Year*F735)/(E735*Holding_Rate))</f>
        <v>281.371640361995</v>
      </c>
      <c r="AA735" s="46" t="n">
        <f aca="false">ROUNDUP(Z735/G735,0)*G735</f>
        <v>288</v>
      </c>
      <c r="AB735" s="46" t="n">
        <f aca="false">SUMIFS(AF$725:AF734,$B$725:$B734,$B735-$D735)</f>
        <v>0</v>
      </c>
      <c r="AC735" s="46" t="n">
        <f aca="false">AI734+AB735</f>
        <v>171</v>
      </c>
      <c r="AD735" s="46" t="n">
        <f aca="false">SUMIFS(AF$725:AF734,$B$725:$B734,"&gt;"&amp;($B735-$D735))</f>
        <v>0</v>
      </c>
      <c r="AE735" s="46" t="n">
        <f aca="false">AC735+AD735</f>
        <v>171</v>
      </c>
      <c r="AF735" s="47" t="n">
        <f aca="false">IF(AE735&lt;=Y735,AA735,0)</f>
        <v>0</v>
      </c>
      <c r="AG735" s="46" t="n">
        <f aca="false">MIN(AC735,I735)</f>
        <v>47</v>
      </c>
      <c r="AH735" s="46" t="n">
        <f aca="false">I735-AG735</f>
        <v>0</v>
      </c>
      <c r="AI735" s="46" t="n">
        <f aca="false">AC735-AG735</f>
        <v>124</v>
      </c>
      <c r="AJ735" s="46" t="n">
        <f aca="false">IF(AH735&gt;0,1,0)</f>
        <v>0</v>
      </c>
    </row>
    <row r="736" customFormat="false" ht="15" hidden="false" customHeight="false" outlineLevel="0" collapsed="false">
      <c r="A736" s="31" t="str">
        <f aca="false">Inputs!$B$82</f>
        <v>CLN-006</v>
      </c>
      <c r="B736" s="46" t="n">
        <f aca="false">B735+1</f>
        <v>100</v>
      </c>
      <c r="C736" s="46" t="n">
        <f aca="false">MATCH(A736,Inputs!$B$40:$B$87,0)</f>
        <v>43</v>
      </c>
      <c r="D736" s="32" t="n">
        <f aca="false">INDEX(Inputs!$F$40:$F$87,C736)</f>
        <v>1</v>
      </c>
      <c r="E736" s="78" t="n">
        <f aca="false">INDEX(Inputs!$H$40:$H$87,C736)</f>
        <v>10</v>
      </c>
      <c r="F736" s="78" t="n">
        <f aca="false">INDEX(Inputs!$G$40:$G$87,C736)</f>
        <v>35</v>
      </c>
      <c r="G736" s="32" t="n">
        <f aca="false">INDEX(Inputs!$I$40:$I$87,C736)</f>
        <v>12</v>
      </c>
      <c r="H736" s="46" t="n">
        <f aca="false">MATCH(A736,Demand_History!$C:$C,0)+B736-1</f>
        <v>4469</v>
      </c>
      <c r="I736" s="32" t="n">
        <f aca="false">INDEX(Forecast_Walkforward!$C:$C,H736)</f>
        <v>56</v>
      </c>
      <c r="J736" s="79" t="n">
        <f aca="false">INDEX(Forecast_Walkforward!$E:$E,H736)</f>
        <v>44</v>
      </c>
      <c r="K736" s="33" t="n">
        <f aca="false">Baseline_Weeks*J736</f>
        <v>176</v>
      </c>
      <c r="L736" s="46" t="n">
        <f aca="false">SUMIFS(P$725:P735,$B$725:$B735,$B736-$D736)</f>
        <v>12</v>
      </c>
      <c r="M736" s="46" t="n">
        <f aca="false">S735+L736</f>
        <v>127</v>
      </c>
      <c r="N736" s="46" t="n">
        <f aca="false">SUMIFS(P$725:P735,$B$725:$B735,"&gt;"&amp;($B736-$D736))</f>
        <v>0</v>
      </c>
      <c r="O736" s="46" t="n">
        <f aca="false">M736+N736</f>
        <v>127</v>
      </c>
      <c r="P736" s="47" t="n">
        <f aca="false">IF(O736&lt;K736,ROUNDUP((K736-O736)/G736,0)*G736,0)</f>
        <v>60</v>
      </c>
      <c r="Q736" s="46" t="n">
        <f aca="false">MIN(M736,I736)</f>
        <v>56</v>
      </c>
      <c r="R736" s="46" t="n">
        <f aca="false">I736-Q736</f>
        <v>0</v>
      </c>
      <c r="S736" s="46" t="n">
        <f aca="false">M736-Q736</f>
        <v>71</v>
      </c>
      <c r="T736" s="46" t="n">
        <f aca="false">IF(R736&gt;0,1,0)</f>
        <v>0</v>
      </c>
      <c r="U736" s="32" t="n">
        <f aca="false">INDEX(Forecast!$AY$7:$AY$54,C736)</f>
        <v>2</v>
      </c>
      <c r="V736" s="33" t="n">
        <f aca="false">CHOOSE(U736,INDEX(Forecast_Walkforward!$D:$D,H736),INDEX(Forecast_Walkforward!$E:$E,H736),INDEX(Forecast_Walkforward!$F:$F,H736),INDEX(Forecast_Walkforward!$G:$G,H736))</f>
        <v>44</v>
      </c>
      <c r="W736" s="79" t="n">
        <f aca="false">INDEX(Forecast!$BA$7:$BA$54,C736)</f>
        <v>10.1622895808419</v>
      </c>
      <c r="X736" s="33" t="n">
        <f aca="false">Z_Value*W736*SQRT(D736)</f>
        <v>16.7154788751789</v>
      </c>
      <c r="Y736" s="33" t="n">
        <f aca="false">V736*D736+X736</f>
        <v>60.7154788751789</v>
      </c>
      <c r="Z736" s="33" t="n">
        <f aca="false">SQRT((2*V736*Weeks_Per_Year*F736)/(E736*Holding_Rate))</f>
        <v>282.984098493184</v>
      </c>
      <c r="AA736" s="46" t="n">
        <f aca="false">ROUNDUP(Z736/G736,0)*G736</f>
        <v>288</v>
      </c>
      <c r="AB736" s="46" t="n">
        <f aca="false">SUMIFS(AF$725:AF735,$B$725:$B735,$B736-$D736)</f>
        <v>0</v>
      </c>
      <c r="AC736" s="46" t="n">
        <f aca="false">AI735+AB736</f>
        <v>124</v>
      </c>
      <c r="AD736" s="46" t="n">
        <f aca="false">SUMIFS(AF$725:AF735,$B$725:$B735,"&gt;"&amp;($B736-$D736))</f>
        <v>0</v>
      </c>
      <c r="AE736" s="46" t="n">
        <f aca="false">AC736+AD736</f>
        <v>124</v>
      </c>
      <c r="AF736" s="47" t="n">
        <f aca="false">IF(AE736&lt;=Y736,AA736,0)</f>
        <v>0</v>
      </c>
      <c r="AG736" s="46" t="n">
        <f aca="false">MIN(AC736,I736)</f>
        <v>56</v>
      </c>
      <c r="AH736" s="46" t="n">
        <f aca="false">I736-AG736</f>
        <v>0</v>
      </c>
      <c r="AI736" s="46" t="n">
        <f aca="false">AC736-AG736</f>
        <v>68</v>
      </c>
      <c r="AJ736" s="46" t="n">
        <f aca="false">IF(AH736&gt;0,1,0)</f>
        <v>0</v>
      </c>
    </row>
    <row r="737" customFormat="false" ht="15" hidden="false" customHeight="false" outlineLevel="0" collapsed="false">
      <c r="A737" s="31" t="str">
        <f aca="false">Inputs!$B$82</f>
        <v>CLN-006</v>
      </c>
      <c r="B737" s="46" t="n">
        <f aca="false">B736+1</f>
        <v>101</v>
      </c>
      <c r="C737" s="46" t="n">
        <f aca="false">MATCH(A737,Inputs!$B$40:$B$87,0)</f>
        <v>43</v>
      </c>
      <c r="D737" s="32" t="n">
        <f aca="false">INDEX(Inputs!$F$40:$F$87,C737)</f>
        <v>1</v>
      </c>
      <c r="E737" s="78" t="n">
        <f aca="false">INDEX(Inputs!$H$40:$H$87,C737)</f>
        <v>10</v>
      </c>
      <c r="F737" s="78" t="n">
        <f aca="false">INDEX(Inputs!$G$40:$G$87,C737)</f>
        <v>35</v>
      </c>
      <c r="G737" s="32" t="n">
        <f aca="false">INDEX(Inputs!$I$40:$I$87,C737)</f>
        <v>12</v>
      </c>
      <c r="H737" s="46" t="n">
        <f aca="false">MATCH(A737,Demand_History!$C:$C,0)+B737-1</f>
        <v>4470</v>
      </c>
      <c r="I737" s="32" t="n">
        <f aca="false">INDEX(Forecast_Walkforward!$C:$C,H737)</f>
        <v>48</v>
      </c>
      <c r="J737" s="79" t="n">
        <f aca="false">INDEX(Forecast_Walkforward!$E:$E,H737)</f>
        <v>45.5</v>
      </c>
      <c r="K737" s="33" t="n">
        <f aca="false">Baseline_Weeks*J737</f>
        <v>182</v>
      </c>
      <c r="L737" s="46" t="n">
        <f aca="false">SUMIFS(P$725:P736,$B$725:$B736,$B737-$D737)</f>
        <v>60</v>
      </c>
      <c r="M737" s="46" t="n">
        <f aca="false">S736+L737</f>
        <v>131</v>
      </c>
      <c r="N737" s="46" t="n">
        <f aca="false">SUMIFS(P$725:P736,$B$725:$B736,"&gt;"&amp;($B737-$D737))</f>
        <v>0</v>
      </c>
      <c r="O737" s="46" t="n">
        <f aca="false">M737+N737</f>
        <v>131</v>
      </c>
      <c r="P737" s="47" t="n">
        <f aca="false">IF(O737&lt;K737,ROUNDUP((K737-O737)/G737,0)*G737,0)</f>
        <v>60</v>
      </c>
      <c r="Q737" s="46" t="n">
        <f aca="false">MIN(M737,I737)</f>
        <v>48</v>
      </c>
      <c r="R737" s="46" t="n">
        <f aca="false">I737-Q737</f>
        <v>0</v>
      </c>
      <c r="S737" s="46" t="n">
        <f aca="false">M737-Q737</f>
        <v>83</v>
      </c>
      <c r="T737" s="46" t="n">
        <f aca="false">IF(R737&gt;0,1,0)</f>
        <v>0</v>
      </c>
      <c r="U737" s="32" t="n">
        <f aca="false">INDEX(Forecast!$AY$7:$AY$54,C737)</f>
        <v>2</v>
      </c>
      <c r="V737" s="33" t="n">
        <f aca="false">CHOOSE(U737,INDEX(Forecast_Walkforward!$D:$D,H737),INDEX(Forecast_Walkforward!$E:$E,H737),INDEX(Forecast_Walkforward!$F:$F,H737),INDEX(Forecast_Walkforward!$G:$G,H737))</f>
        <v>45.5</v>
      </c>
      <c r="W737" s="79" t="n">
        <f aca="false">INDEX(Forecast!$BA$7:$BA$54,C737)</f>
        <v>10.1622895808419</v>
      </c>
      <c r="X737" s="33" t="n">
        <f aca="false">Z_Value*W737*SQRT(D737)</f>
        <v>16.7154788751789</v>
      </c>
      <c r="Y737" s="33" t="n">
        <f aca="false">V737*D737+X737</f>
        <v>62.2154788751789</v>
      </c>
      <c r="Z737" s="33" t="n">
        <f aca="false">SQRT((2*V737*Weeks_Per_Year*F737)/(E737*Holding_Rate))</f>
        <v>287.767267075323</v>
      </c>
      <c r="AA737" s="46" t="n">
        <f aca="false">ROUNDUP(Z737/G737,0)*G737</f>
        <v>288</v>
      </c>
      <c r="AB737" s="46" t="n">
        <f aca="false">SUMIFS(AF$725:AF736,$B$725:$B736,$B737-$D737)</f>
        <v>0</v>
      </c>
      <c r="AC737" s="46" t="n">
        <f aca="false">AI736+AB737</f>
        <v>68</v>
      </c>
      <c r="AD737" s="46" t="n">
        <f aca="false">SUMIFS(AF$725:AF736,$B$725:$B736,"&gt;"&amp;($B737-$D737))</f>
        <v>0</v>
      </c>
      <c r="AE737" s="46" t="n">
        <f aca="false">AC737+AD737</f>
        <v>68</v>
      </c>
      <c r="AF737" s="47" t="n">
        <f aca="false">IF(AE737&lt;=Y737,AA737,0)</f>
        <v>0</v>
      </c>
      <c r="AG737" s="46" t="n">
        <f aca="false">MIN(AC737,I737)</f>
        <v>48</v>
      </c>
      <c r="AH737" s="46" t="n">
        <f aca="false">I737-AG737</f>
        <v>0</v>
      </c>
      <c r="AI737" s="46" t="n">
        <f aca="false">AC737-AG737</f>
        <v>20</v>
      </c>
      <c r="AJ737" s="46" t="n">
        <f aca="false">IF(AH737&gt;0,1,0)</f>
        <v>0</v>
      </c>
    </row>
    <row r="738" customFormat="false" ht="15" hidden="false" customHeight="false" outlineLevel="0" collapsed="false">
      <c r="A738" s="31" t="str">
        <f aca="false">Inputs!$B$82</f>
        <v>CLN-006</v>
      </c>
      <c r="B738" s="46" t="n">
        <f aca="false">B737+1</f>
        <v>102</v>
      </c>
      <c r="C738" s="46" t="n">
        <f aca="false">MATCH(A738,Inputs!$B$40:$B$87,0)</f>
        <v>43</v>
      </c>
      <c r="D738" s="32" t="n">
        <f aca="false">INDEX(Inputs!$F$40:$F$87,C738)</f>
        <v>1</v>
      </c>
      <c r="E738" s="78" t="n">
        <f aca="false">INDEX(Inputs!$H$40:$H$87,C738)</f>
        <v>10</v>
      </c>
      <c r="F738" s="78" t="n">
        <f aca="false">INDEX(Inputs!$G$40:$G$87,C738)</f>
        <v>35</v>
      </c>
      <c r="G738" s="32" t="n">
        <f aca="false">INDEX(Inputs!$I$40:$I$87,C738)</f>
        <v>12</v>
      </c>
      <c r="H738" s="46" t="n">
        <f aca="false">MATCH(A738,Demand_History!$C:$C,0)+B738-1</f>
        <v>4471</v>
      </c>
      <c r="I738" s="32" t="n">
        <f aca="false">INDEX(Forecast_Walkforward!$C:$C,H738)</f>
        <v>50</v>
      </c>
      <c r="J738" s="79" t="n">
        <f aca="false">INDEX(Forecast_Walkforward!$E:$E,H738)</f>
        <v>46</v>
      </c>
      <c r="K738" s="33" t="n">
        <f aca="false">Baseline_Weeks*J738</f>
        <v>184</v>
      </c>
      <c r="L738" s="46" t="n">
        <f aca="false">SUMIFS(P$725:P737,$B$725:$B737,$B738-$D738)</f>
        <v>60</v>
      </c>
      <c r="M738" s="46" t="n">
        <f aca="false">S737+L738</f>
        <v>143</v>
      </c>
      <c r="N738" s="46" t="n">
        <f aca="false">SUMIFS(P$725:P737,$B$725:$B737,"&gt;"&amp;($B738-$D738))</f>
        <v>0</v>
      </c>
      <c r="O738" s="46" t="n">
        <f aca="false">M738+N738</f>
        <v>143</v>
      </c>
      <c r="P738" s="47" t="n">
        <f aca="false">IF(O738&lt;K738,ROUNDUP((K738-O738)/G738,0)*G738,0)</f>
        <v>48</v>
      </c>
      <c r="Q738" s="46" t="n">
        <f aca="false">MIN(M738,I738)</f>
        <v>50</v>
      </c>
      <c r="R738" s="46" t="n">
        <f aca="false">I738-Q738</f>
        <v>0</v>
      </c>
      <c r="S738" s="46" t="n">
        <f aca="false">M738-Q738</f>
        <v>93</v>
      </c>
      <c r="T738" s="46" t="n">
        <f aca="false">IF(R738&gt;0,1,0)</f>
        <v>0</v>
      </c>
      <c r="U738" s="32" t="n">
        <f aca="false">INDEX(Forecast!$AY$7:$AY$54,C738)</f>
        <v>2</v>
      </c>
      <c r="V738" s="33" t="n">
        <f aca="false">CHOOSE(U738,INDEX(Forecast_Walkforward!$D:$D,H738),INDEX(Forecast_Walkforward!$E:$E,H738),INDEX(Forecast_Walkforward!$F:$F,H738),INDEX(Forecast_Walkforward!$G:$G,H738))</f>
        <v>46</v>
      </c>
      <c r="W738" s="79" t="n">
        <f aca="false">INDEX(Forecast!$BA$7:$BA$54,C738)</f>
        <v>10.1622895808419</v>
      </c>
      <c r="X738" s="33" t="n">
        <f aca="false">Z_Value*W738*SQRT(D738)</f>
        <v>16.7154788751789</v>
      </c>
      <c r="Y738" s="33" t="n">
        <f aca="false">V738*D738+X738</f>
        <v>62.7154788751789</v>
      </c>
      <c r="Z738" s="33" t="n">
        <f aca="false">SQRT((2*V738*Weeks_Per_Year*F738)/(E738*Holding_Rate))</f>
        <v>289.344085821708</v>
      </c>
      <c r="AA738" s="46" t="n">
        <f aca="false">ROUNDUP(Z738/G738,0)*G738</f>
        <v>300</v>
      </c>
      <c r="AB738" s="46" t="n">
        <f aca="false">SUMIFS(AF$725:AF737,$B$725:$B737,$B738-$D738)</f>
        <v>0</v>
      </c>
      <c r="AC738" s="46" t="n">
        <f aca="false">AI737+AB738</f>
        <v>20</v>
      </c>
      <c r="AD738" s="46" t="n">
        <f aca="false">SUMIFS(AF$725:AF737,$B$725:$B737,"&gt;"&amp;($B738-$D738))</f>
        <v>0</v>
      </c>
      <c r="AE738" s="46" t="n">
        <f aca="false">AC738+AD738</f>
        <v>20</v>
      </c>
      <c r="AF738" s="47" t="n">
        <f aca="false">IF(AE738&lt;=Y738,AA738,0)</f>
        <v>300</v>
      </c>
      <c r="AG738" s="46" t="n">
        <f aca="false">MIN(AC738,I738)</f>
        <v>20</v>
      </c>
      <c r="AH738" s="46" t="n">
        <f aca="false">I738-AG738</f>
        <v>30</v>
      </c>
      <c r="AI738" s="46" t="n">
        <f aca="false">AC738-AG738</f>
        <v>0</v>
      </c>
      <c r="AJ738" s="46" t="n">
        <f aca="false">IF(AH738&gt;0,1,0)</f>
        <v>1</v>
      </c>
    </row>
    <row r="739" customFormat="false" ht="15" hidden="false" customHeight="false" outlineLevel="0" collapsed="false">
      <c r="A739" s="31" t="str">
        <f aca="false">Inputs!$B$82</f>
        <v>CLN-006</v>
      </c>
      <c r="B739" s="46" t="n">
        <f aca="false">B738+1</f>
        <v>103</v>
      </c>
      <c r="C739" s="46" t="n">
        <f aca="false">MATCH(A739,Inputs!$B$40:$B$87,0)</f>
        <v>43</v>
      </c>
      <c r="D739" s="32" t="n">
        <f aca="false">INDEX(Inputs!$F$40:$F$87,C739)</f>
        <v>1</v>
      </c>
      <c r="E739" s="78" t="n">
        <f aca="false">INDEX(Inputs!$H$40:$H$87,C739)</f>
        <v>10</v>
      </c>
      <c r="F739" s="78" t="n">
        <f aca="false">INDEX(Inputs!$G$40:$G$87,C739)</f>
        <v>35</v>
      </c>
      <c r="G739" s="32" t="n">
        <f aca="false">INDEX(Inputs!$I$40:$I$87,C739)</f>
        <v>12</v>
      </c>
      <c r="H739" s="46" t="n">
        <f aca="false">MATCH(A739,Demand_History!$C:$C,0)+B739-1</f>
        <v>4472</v>
      </c>
      <c r="I739" s="32" t="n">
        <f aca="false">INDEX(Forecast_Walkforward!$C:$C,H739)</f>
        <v>48</v>
      </c>
      <c r="J739" s="79" t="n">
        <f aca="false">INDEX(Forecast_Walkforward!$E:$E,H739)</f>
        <v>50.25</v>
      </c>
      <c r="K739" s="33" t="n">
        <f aca="false">Baseline_Weeks*J739</f>
        <v>201</v>
      </c>
      <c r="L739" s="46" t="n">
        <f aca="false">SUMIFS(P$725:P738,$B$725:$B738,$B739-$D739)</f>
        <v>48</v>
      </c>
      <c r="M739" s="46" t="n">
        <f aca="false">S738+L739</f>
        <v>141</v>
      </c>
      <c r="N739" s="46" t="n">
        <f aca="false">SUMIFS(P$725:P738,$B$725:$B738,"&gt;"&amp;($B739-$D739))</f>
        <v>0</v>
      </c>
      <c r="O739" s="46" t="n">
        <f aca="false">M739+N739</f>
        <v>141</v>
      </c>
      <c r="P739" s="47" t="n">
        <f aca="false">IF(O739&lt;K739,ROUNDUP((K739-O739)/G739,0)*G739,0)</f>
        <v>60</v>
      </c>
      <c r="Q739" s="46" t="n">
        <f aca="false">MIN(M739,I739)</f>
        <v>48</v>
      </c>
      <c r="R739" s="46" t="n">
        <f aca="false">I739-Q739</f>
        <v>0</v>
      </c>
      <c r="S739" s="46" t="n">
        <f aca="false">M739-Q739</f>
        <v>93</v>
      </c>
      <c r="T739" s="46" t="n">
        <f aca="false">IF(R739&gt;0,1,0)</f>
        <v>0</v>
      </c>
      <c r="U739" s="32" t="n">
        <f aca="false">INDEX(Forecast!$AY$7:$AY$54,C739)</f>
        <v>2</v>
      </c>
      <c r="V739" s="33" t="n">
        <f aca="false">CHOOSE(U739,INDEX(Forecast_Walkforward!$D:$D,H739),INDEX(Forecast_Walkforward!$E:$E,H739),INDEX(Forecast_Walkforward!$F:$F,H739),INDEX(Forecast_Walkforward!$G:$G,H739))</f>
        <v>50.25</v>
      </c>
      <c r="W739" s="79" t="n">
        <f aca="false">INDEX(Forecast!$BA$7:$BA$54,C739)</f>
        <v>10.1622895808419</v>
      </c>
      <c r="X739" s="33" t="n">
        <f aca="false">Z_Value*W739*SQRT(D739)</f>
        <v>16.7154788751789</v>
      </c>
      <c r="Y739" s="33" t="n">
        <f aca="false">V739*D739+X739</f>
        <v>66.9654788751789</v>
      </c>
      <c r="Z739" s="33" t="n">
        <f aca="false">SQRT((2*V739*Weeks_Per_Year*F739)/(E739*Holding_Rate))</f>
        <v>302.415277391867</v>
      </c>
      <c r="AA739" s="46" t="n">
        <f aca="false">ROUNDUP(Z739/G739,0)*G739</f>
        <v>312</v>
      </c>
      <c r="AB739" s="46" t="n">
        <f aca="false">SUMIFS(AF$725:AF738,$B$725:$B738,$B739-$D739)</f>
        <v>300</v>
      </c>
      <c r="AC739" s="46" t="n">
        <f aca="false">AI738+AB739</f>
        <v>300</v>
      </c>
      <c r="AD739" s="46" t="n">
        <f aca="false">SUMIFS(AF$725:AF738,$B$725:$B738,"&gt;"&amp;($B739-$D739))</f>
        <v>0</v>
      </c>
      <c r="AE739" s="46" t="n">
        <f aca="false">AC739+AD739</f>
        <v>300</v>
      </c>
      <c r="AF739" s="47" t="n">
        <f aca="false">IF(AE739&lt;=Y739,AA739,0)</f>
        <v>0</v>
      </c>
      <c r="AG739" s="46" t="n">
        <f aca="false">MIN(AC739,I739)</f>
        <v>48</v>
      </c>
      <c r="AH739" s="46" t="n">
        <f aca="false">I739-AG739</f>
        <v>0</v>
      </c>
      <c r="AI739" s="46" t="n">
        <f aca="false">AC739-AG739</f>
        <v>252</v>
      </c>
      <c r="AJ739" s="46" t="n">
        <f aca="false">IF(AH739&gt;0,1,0)</f>
        <v>0</v>
      </c>
    </row>
    <row r="740" customFormat="false" ht="15" hidden="false" customHeight="false" outlineLevel="0" collapsed="false">
      <c r="A740" s="80" t="str">
        <f aca="false">Inputs!$B$82</f>
        <v>CLN-006</v>
      </c>
      <c r="B740" s="81" t="n">
        <f aca="false">B739+1</f>
        <v>104</v>
      </c>
      <c r="C740" s="81" t="n">
        <f aca="false">MATCH(A740,Inputs!$B$40:$B$87,0)</f>
        <v>43</v>
      </c>
      <c r="D740" s="82" t="n">
        <f aca="false">INDEX(Inputs!$F$40:$F$87,C740)</f>
        <v>1</v>
      </c>
      <c r="E740" s="83" t="n">
        <f aca="false">INDEX(Inputs!$H$40:$H$87,C740)</f>
        <v>10</v>
      </c>
      <c r="F740" s="83" t="n">
        <f aca="false">INDEX(Inputs!$G$40:$G$87,C740)</f>
        <v>35</v>
      </c>
      <c r="G740" s="82" t="n">
        <f aca="false">INDEX(Inputs!$I$40:$I$87,C740)</f>
        <v>12</v>
      </c>
      <c r="H740" s="81" t="n">
        <f aca="false">MATCH(A740,Demand_History!$C:$C,0)+B740-1</f>
        <v>4473</v>
      </c>
      <c r="I740" s="82" t="n">
        <f aca="false">INDEX(Forecast_Walkforward!$C:$C,H740)</f>
        <v>42</v>
      </c>
      <c r="J740" s="84" t="n">
        <f aca="false">INDEX(Forecast_Walkforward!$E:$E,H740)</f>
        <v>50.5</v>
      </c>
      <c r="K740" s="85" t="n">
        <f aca="false">Baseline_Weeks*J740</f>
        <v>202</v>
      </c>
      <c r="L740" s="81" t="n">
        <f aca="false">SUMIFS(P$725:P739,$B$725:$B739,$B740-$D740)</f>
        <v>60</v>
      </c>
      <c r="M740" s="81" t="n">
        <f aca="false">S739+L740</f>
        <v>153</v>
      </c>
      <c r="N740" s="81" t="n">
        <f aca="false">SUMIFS(P$725:P739,$B$725:$B739,"&gt;"&amp;($B740-$D740))</f>
        <v>0</v>
      </c>
      <c r="O740" s="81" t="n">
        <f aca="false">M740+N740</f>
        <v>153</v>
      </c>
      <c r="P740" s="86" t="n">
        <f aca="false">IF(O740&lt;K740,ROUNDUP((K740-O740)/G740,0)*G740,0)</f>
        <v>60</v>
      </c>
      <c r="Q740" s="81" t="n">
        <f aca="false">MIN(M740,I740)</f>
        <v>42</v>
      </c>
      <c r="R740" s="81" t="n">
        <f aca="false">I740-Q740</f>
        <v>0</v>
      </c>
      <c r="S740" s="81" t="n">
        <f aca="false">M740-Q740</f>
        <v>111</v>
      </c>
      <c r="T740" s="81" t="n">
        <f aca="false">IF(R740&gt;0,1,0)</f>
        <v>0</v>
      </c>
      <c r="U740" s="82" t="n">
        <f aca="false">INDEX(Forecast!$AY$7:$AY$54,C740)</f>
        <v>2</v>
      </c>
      <c r="V740" s="85" t="n">
        <f aca="false">CHOOSE(U740,INDEX(Forecast_Walkforward!$D:$D,H740),INDEX(Forecast_Walkforward!$E:$E,H740),INDEX(Forecast_Walkforward!$F:$F,H740),INDEX(Forecast_Walkforward!$G:$G,H740))</f>
        <v>50.5</v>
      </c>
      <c r="W740" s="84" t="n">
        <f aca="false">INDEX(Forecast!$BA$7:$BA$54,C740)</f>
        <v>10.1622895808419</v>
      </c>
      <c r="X740" s="85" t="n">
        <f aca="false">Z_Value*W740*SQRT(D740)</f>
        <v>16.7154788751789</v>
      </c>
      <c r="Y740" s="85" t="n">
        <f aca="false">V740*D740+X740</f>
        <v>67.2154788751789</v>
      </c>
      <c r="Z740" s="85" t="n">
        <f aca="false">SQRT((2*V740*Weeks_Per_Year*F740)/(E740*Holding_Rate))</f>
        <v>303.166620853946</v>
      </c>
      <c r="AA740" s="81" t="n">
        <f aca="false">ROUNDUP(Z740/G740,0)*G740</f>
        <v>312</v>
      </c>
      <c r="AB740" s="81" t="n">
        <f aca="false">SUMIFS(AF$725:AF739,$B$725:$B739,$B740-$D740)</f>
        <v>0</v>
      </c>
      <c r="AC740" s="81" t="n">
        <f aca="false">AI739+AB740</f>
        <v>252</v>
      </c>
      <c r="AD740" s="81" t="n">
        <f aca="false">SUMIFS(AF$725:AF739,$B$725:$B739,"&gt;"&amp;($B740-$D740))</f>
        <v>0</v>
      </c>
      <c r="AE740" s="81" t="n">
        <f aca="false">AC740+AD740</f>
        <v>252</v>
      </c>
      <c r="AF740" s="86" t="n">
        <f aca="false">IF(AE740&lt;=Y740,AA740,0)</f>
        <v>0</v>
      </c>
      <c r="AG740" s="81" t="n">
        <f aca="false">MIN(AC740,I740)</f>
        <v>42</v>
      </c>
      <c r="AH740" s="81" t="n">
        <f aca="false">I740-AG740</f>
        <v>0</v>
      </c>
      <c r="AI740" s="81" t="n">
        <f aca="false">AC740-AG740</f>
        <v>210</v>
      </c>
      <c r="AJ740" s="81" t="n">
        <f aca="false">IF(AH740&gt;0,1,0)</f>
        <v>0</v>
      </c>
    </row>
    <row r="741" customFormat="false" ht="15" hidden="false" customHeight="false" outlineLevel="0" collapsed="false">
      <c r="A741" s="31" t="str">
        <f aca="false">Inputs!$B$83</f>
        <v>CLN-007</v>
      </c>
      <c r="B741" s="46" t="n">
        <f aca="false">BT_Start_Week</f>
        <v>89</v>
      </c>
      <c r="C741" s="46" t="n">
        <f aca="false">MATCH(A741,Inputs!$B$40:$B$87,0)</f>
        <v>44</v>
      </c>
      <c r="D741" s="32" t="n">
        <f aca="false">INDEX(Inputs!$F$40:$F$87,C741)</f>
        <v>1</v>
      </c>
      <c r="E741" s="78" t="n">
        <f aca="false">INDEX(Inputs!$H$40:$H$87,C741)</f>
        <v>8</v>
      </c>
      <c r="F741" s="78" t="n">
        <f aca="false">INDEX(Inputs!$G$40:$G$87,C741)</f>
        <v>35</v>
      </c>
      <c r="G741" s="32" t="n">
        <f aca="false">INDEX(Inputs!$I$40:$I$87,C741)</f>
        <v>12</v>
      </c>
      <c r="H741" s="46" t="n">
        <f aca="false">MATCH(A741,Demand_History!$C:$C,0)+B741-1</f>
        <v>4562</v>
      </c>
      <c r="I741" s="32" t="n">
        <f aca="false">INDEX(Forecast_Walkforward!$C:$C,H741)</f>
        <v>47</v>
      </c>
      <c r="J741" s="79" t="n">
        <f aca="false">INDEX(Forecast_Walkforward!$E:$E,H741)</f>
        <v>60.25</v>
      </c>
      <c r="K741" s="33" t="n">
        <f aca="false">Baseline_Weeks*J741</f>
        <v>241</v>
      </c>
      <c r="L741" s="46" t="n">
        <f aca="false">0</f>
        <v>0</v>
      </c>
      <c r="M741" s="46" t="n">
        <f aca="false">ROUND(BT_Open_Cover*INDEX(Forecast_Walkforward!$F:$F,H741),0)+L741</f>
        <v>337</v>
      </c>
      <c r="N741" s="46" t="n">
        <f aca="false">0</f>
        <v>0</v>
      </c>
      <c r="O741" s="46" t="n">
        <f aca="false">M741+N741</f>
        <v>337</v>
      </c>
      <c r="P741" s="47" t="n">
        <f aca="false">IF(O741&lt;K741,ROUNDUP((K741-O741)/G741,0)*G741,0)</f>
        <v>0</v>
      </c>
      <c r="Q741" s="46" t="n">
        <f aca="false">MIN(M741,I741)</f>
        <v>47</v>
      </c>
      <c r="R741" s="46" t="n">
        <f aca="false">I741-Q741</f>
        <v>0</v>
      </c>
      <c r="S741" s="46" t="n">
        <f aca="false">M741-Q741</f>
        <v>290</v>
      </c>
      <c r="T741" s="46" t="n">
        <f aca="false">IF(R741&gt;0,1,0)</f>
        <v>0</v>
      </c>
      <c r="U741" s="32" t="n">
        <f aca="false">INDEX(Forecast!$AY$7:$AY$54,C741)</f>
        <v>2</v>
      </c>
      <c r="V741" s="33" t="n">
        <f aca="false">CHOOSE(U741,INDEX(Forecast_Walkforward!$D:$D,H741),INDEX(Forecast_Walkforward!$E:$E,H741),INDEX(Forecast_Walkforward!$F:$F,H741),INDEX(Forecast_Walkforward!$G:$G,H741))</f>
        <v>60.25</v>
      </c>
      <c r="W741" s="79" t="n">
        <f aca="false">INDEX(Forecast!$BA$7:$BA$54,C741)</f>
        <v>18.3350765745324</v>
      </c>
      <c r="X741" s="33" t="n">
        <f aca="false">Z_Value*W741*SQRT(D741)</f>
        <v>30.1585172040526</v>
      </c>
      <c r="Y741" s="33" t="n">
        <f aca="false">V741*D741+X741</f>
        <v>90.4085172040526</v>
      </c>
      <c r="Z741" s="33" t="n">
        <f aca="false">SQRT((2*V741*Weeks_Per_Year*F741)/(E741*Holding_Rate))</f>
        <v>370.227970310186</v>
      </c>
      <c r="AA741" s="46" t="n">
        <f aca="false">ROUNDUP(Z741/G741,0)*G741</f>
        <v>372</v>
      </c>
      <c r="AB741" s="46" t="n">
        <f aca="false">0</f>
        <v>0</v>
      </c>
      <c r="AC741" s="46" t="n">
        <f aca="false">ROUND(BT_Open_Cover*INDEX(Forecast_Walkforward!$F:$F,H741),0)+AB741</f>
        <v>337</v>
      </c>
      <c r="AD741" s="46" t="n">
        <f aca="false">0</f>
        <v>0</v>
      </c>
      <c r="AE741" s="46" t="n">
        <f aca="false">AC741+AD741</f>
        <v>337</v>
      </c>
      <c r="AF741" s="47" t="n">
        <f aca="false">IF(AE741&lt;=Y741,AA741,0)</f>
        <v>0</v>
      </c>
      <c r="AG741" s="46" t="n">
        <f aca="false">MIN(AC741,I741)</f>
        <v>47</v>
      </c>
      <c r="AH741" s="46" t="n">
        <f aca="false">I741-AG741</f>
        <v>0</v>
      </c>
      <c r="AI741" s="46" t="n">
        <f aca="false">AC741-AG741</f>
        <v>290</v>
      </c>
      <c r="AJ741" s="46" t="n">
        <f aca="false">IF(AH741&gt;0,1,0)</f>
        <v>0</v>
      </c>
    </row>
    <row r="742" customFormat="false" ht="15" hidden="false" customHeight="false" outlineLevel="0" collapsed="false">
      <c r="A742" s="31" t="str">
        <f aca="false">Inputs!$B$83</f>
        <v>CLN-007</v>
      </c>
      <c r="B742" s="46" t="n">
        <f aca="false">B741+1</f>
        <v>90</v>
      </c>
      <c r="C742" s="46" t="n">
        <f aca="false">MATCH(A742,Inputs!$B$40:$B$87,0)</f>
        <v>44</v>
      </c>
      <c r="D742" s="32" t="n">
        <f aca="false">INDEX(Inputs!$F$40:$F$87,C742)</f>
        <v>1</v>
      </c>
      <c r="E742" s="78" t="n">
        <f aca="false">INDEX(Inputs!$H$40:$H$87,C742)</f>
        <v>8</v>
      </c>
      <c r="F742" s="78" t="n">
        <f aca="false">INDEX(Inputs!$G$40:$G$87,C742)</f>
        <v>35</v>
      </c>
      <c r="G742" s="32" t="n">
        <f aca="false">INDEX(Inputs!$I$40:$I$87,C742)</f>
        <v>12</v>
      </c>
      <c r="H742" s="46" t="n">
        <f aca="false">MATCH(A742,Demand_History!$C:$C,0)+B742-1</f>
        <v>4563</v>
      </c>
      <c r="I742" s="32" t="n">
        <f aca="false">INDEX(Forecast_Walkforward!$C:$C,H742)</f>
        <v>69</v>
      </c>
      <c r="J742" s="79" t="n">
        <f aca="false">INDEX(Forecast_Walkforward!$E:$E,H742)</f>
        <v>52.5</v>
      </c>
      <c r="K742" s="33" t="n">
        <f aca="false">Baseline_Weeks*J742</f>
        <v>210</v>
      </c>
      <c r="L742" s="46" t="n">
        <f aca="false">SUMIFS(P$741:P741,$B$741:$B741,$B742-$D742)</f>
        <v>0</v>
      </c>
      <c r="M742" s="46" t="n">
        <f aca="false">S741+L742</f>
        <v>290</v>
      </c>
      <c r="N742" s="46" t="n">
        <f aca="false">SUMIFS(P$741:P741,$B$741:$B741,"&gt;"&amp;($B742-$D742))</f>
        <v>0</v>
      </c>
      <c r="O742" s="46" t="n">
        <f aca="false">M742+N742</f>
        <v>290</v>
      </c>
      <c r="P742" s="47" t="n">
        <f aca="false">IF(O742&lt;K742,ROUNDUP((K742-O742)/G742,0)*G742,0)</f>
        <v>0</v>
      </c>
      <c r="Q742" s="46" t="n">
        <f aca="false">MIN(M742,I742)</f>
        <v>69</v>
      </c>
      <c r="R742" s="46" t="n">
        <f aca="false">I742-Q742</f>
        <v>0</v>
      </c>
      <c r="S742" s="46" t="n">
        <f aca="false">M742-Q742</f>
        <v>221</v>
      </c>
      <c r="T742" s="46" t="n">
        <f aca="false">IF(R742&gt;0,1,0)</f>
        <v>0</v>
      </c>
      <c r="U742" s="32" t="n">
        <f aca="false">INDEX(Forecast!$AY$7:$AY$54,C742)</f>
        <v>2</v>
      </c>
      <c r="V742" s="33" t="n">
        <f aca="false">CHOOSE(U742,INDEX(Forecast_Walkforward!$D:$D,H742),INDEX(Forecast_Walkforward!$E:$E,H742),INDEX(Forecast_Walkforward!$F:$F,H742),INDEX(Forecast_Walkforward!$G:$G,H742))</f>
        <v>52.5</v>
      </c>
      <c r="W742" s="79" t="n">
        <f aca="false">INDEX(Forecast!$BA$7:$BA$54,C742)</f>
        <v>18.3350765745324</v>
      </c>
      <c r="X742" s="33" t="n">
        <f aca="false">Z_Value*W742*SQRT(D742)</f>
        <v>30.1585172040526</v>
      </c>
      <c r="Y742" s="33" t="n">
        <f aca="false">V742*D742+X742</f>
        <v>82.6585172040526</v>
      </c>
      <c r="Z742" s="33" t="n">
        <f aca="false">SQRT((2*V742*Weeks_Per_Year*F742)/(E742*Holding_Rate))</f>
        <v>345.597309017301</v>
      </c>
      <c r="AA742" s="46" t="n">
        <f aca="false">ROUNDUP(Z742/G742,0)*G742</f>
        <v>348</v>
      </c>
      <c r="AB742" s="46" t="n">
        <f aca="false">SUMIFS(AF$741:AF741,$B$741:$B741,$B742-$D742)</f>
        <v>0</v>
      </c>
      <c r="AC742" s="46" t="n">
        <f aca="false">AI741+AB742</f>
        <v>290</v>
      </c>
      <c r="AD742" s="46" t="n">
        <f aca="false">SUMIFS(AF$741:AF741,$B$741:$B741,"&gt;"&amp;($B742-$D742))</f>
        <v>0</v>
      </c>
      <c r="AE742" s="46" t="n">
        <f aca="false">AC742+AD742</f>
        <v>290</v>
      </c>
      <c r="AF742" s="47" t="n">
        <f aca="false">IF(AE742&lt;=Y742,AA742,0)</f>
        <v>0</v>
      </c>
      <c r="AG742" s="46" t="n">
        <f aca="false">MIN(AC742,I742)</f>
        <v>69</v>
      </c>
      <c r="AH742" s="46" t="n">
        <f aca="false">I742-AG742</f>
        <v>0</v>
      </c>
      <c r="AI742" s="46" t="n">
        <f aca="false">AC742-AG742</f>
        <v>221</v>
      </c>
      <c r="AJ742" s="46" t="n">
        <f aca="false">IF(AH742&gt;0,1,0)</f>
        <v>0</v>
      </c>
    </row>
    <row r="743" customFormat="false" ht="15" hidden="false" customHeight="false" outlineLevel="0" collapsed="false">
      <c r="A743" s="31" t="str">
        <f aca="false">Inputs!$B$83</f>
        <v>CLN-007</v>
      </c>
      <c r="B743" s="46" t="n">
        <f aca="false">B742+1</f>
        <v>91</v>
      </c>
      <c r="C743" s="46" t="n">
        <f aca="false">MATCH(A743,Inputs!$B$40:$B$87,0)</f>
        <v>44</v>
      </c>
      <c r="D743" s="32" t="n">
        <f aca="false">INDEX(Inputs!$F$40:$F$87,C743)</f>
        <v>1</v>
      </c>
      <c r="E743" s="78" t="n">
        <f aca="false">INDEX(Inputs!$H$40:$H$87,C743)</f>
        <v>8</v>
      </c>
      <c r="F743" s="78" t="n">
        <f aca="false">INDEX(Inputs!$G$40:$G$87,C743)</f>
        <v>35</v>
      </c>
      <c r="G743" s="32" t="n">
        <f aca="false">INDEX(Inputs!$I$40:$I$87,C743)</f>
        <v>12</v>
      </c>
      <c r="H743" s="46" t="n">
        <f aca="false">MATCH(A743,Demand_History!$C:$C,0)+B743-1</f>
        <v>4564</v>
      </c>
      <c r="I743" s="32" t="n">
        <f aca="false">INDEX(Forecast_Walkforward!$C:$C,H743)</f>
        <v>76</v>
      </c>
      <c r="J743" s="79" t="n">
        <f aca="false">INDEX(Forecast_Walkforward!$E:$E,H743)</f>
        <v>62.5</v>
      </c>
      <c r="K743" s="33" t="n">
        <f aca="false">Baseline_Weeks*J743</f>
        <v>250</v>
      </c>
      <c r="L743" s="46" t="n">
        <f aca="false">SUMIFS(P$741:P742,$B$741:$B742,$B743-$D743)</f>
        <v>0</v>
      </c>
      <c r="M743" s="46" t="n">
        <f aca="false">S742+L743</f>
        <v>221</v>
      </c>
      <c r="N743" s="46" t="n">
        <f aca="false">SUMIFS(P$741:P742,$B$741:$B742,"&gt;"&amp;($B743-$D743))</f>
        <v>0</v>
      </c>
      <c r="O743" s="46" t="n">
        <f aca="false">M743+N743</f>
        <v>221</v>
      </c>
      <c r="P743" s="47" t="n">
        <f aca="false">IF(O743&lt;K743,ROUNDUP((K743-O743)/G743,0)*G743,0)</f>
        <v>36</v>
      </c>
      <c r="Q743" s="46" t="n">
        <f aca="false">MIN(M743,I743)</f>
        <v>76</v>
      </c>
      <c r="R743" s="46" t="n">
        <f aca="false">I743-Q743</f>
        <v>0</v>
      </c>
      <c r="S743" s="46" t="n">
        <f aca="false">M743-Q743</f>
        <v>145</v>
      </c>
      <c r="T743" s="46" t="n">
        <f aca="false">IF(R743&gt;0,1,0)</f>
        <v>0</v>
      </c>
      <c r="U743" s="32" t="n">
        <f aca="false">INDEX(Forecast!$AY$7:$AY$54,C743)</f>
        <v>2</v>
      </c>
      <c r="V743" s="33" t="n">
        <f aca="false">CHOOSE(U743,INDEX(Forecast_Walkforward!$D:$D,H743),INDEX(Forecast_Walkforward!$E:$E,H743),INDEX(Forecast_Walkforward!$F:$F,H743),INDEX(Forecast_Walkforward!$G:$G,H743))</f>
        <v>62.5</v>
      </c>
      <c r="W743" s="79" t="n">
        <f aca="false">INDEX(Forecast!$BA$7:$BA$54,C743)</f>
        <v>18.3350765745324</v>
      </c>
      <c r="X743" s="33" t="n">
        <f aca="false">Z_Value*W743*SQRT(D743)</f>
        <v>30.1585172040526</v>
      </c>
      <c r="Y743" s="33" t="n">
        <f aca="false">V743*D743+X743</f>
        <v>92.6585172040526</v>
      </c>
      <c r="Z743" s="33" t="n">
        <f aca="false">SQRT((2*V743*Weeks_Per_Year*F743)/(E743*Holding_Rate))</f>
        <v>377.077578224959</v>
      </c>
      <c r="AA743" s="46" t="n">
        <f aca="false">ROUNDUP(Z743/G743,0)*G743</f>
        <v>384</v>
      </c>
      <c r="AB743" s="46" t="n">
        <f aca="false">SUMIFS(AF$741:AF742,$B$741:$B742,$B743-$D743)</f>
        <v>0</v>
      </c>
      <c r="AC743" s="46" t="n">
        <f aca="false">AI742+AB743</f>
        <v>221</v>
      </c>
      <c r="AD743" s="46" t="n">
        <f aca="false">SUMIFS(AF$741:AF742,$B$741:$B742,"&gt;"&amp;($B743-$D743))</f>
        <v>0</v>
      </c>
      <c r="AE743" s="46" t="n">
        <f aca="false">AC743+AD743</f>
        <v>221</v>
      </c>
      <c r="AF743" s="47" t="n">
        <f aca="false">IF(AE743&lt;=Y743,AA743,0)</f>
        <v>0</v>
      </c>
      <c r="AG743" s="46" t="n">
        <f aca="false">MIN(AC743,I743)</f>
        <v>76</v>
      </c>
      <c r="AH743" s="46" t="n">
        <f aca="false">I743-AG743</f>
        <v>0</v>
      </c>
      <c r="AI743" s="46" t="n">
        <f aca="false">AC743-AG743</f>
        <v>145</v>
      </c>
      <c r="AJ743" s="46" t="n">
        <f aca="false">IF(AH743&gt;0,1,0)</f>
        <v>0</v>
      </c>
    </row>
    <row r="744" customFormat="false" ht="15" hidden="false" customHeight="false" outlineLevel="0" collapsed="false">
      <c r="A744" s="31" t="str">
        <f aca="false">Inputs!$B$83</f>
        <v>CLN-007</v>
      </c>
      <c r="B744" s="46" t="n">
        <f aca="false">B743+1</f>
        <v>92</v>
      </c>
      <c r="C744" s="46" t="n">
        <f aca="false">MATCH(A744,Inputs!$B$40:$B$87,0)</f>
        <v>44</v>
      </c>
      <c r="D744" s="32" t="n">
        <f aca="false">INDEX(Inputs!$F$40:$F$87,C744)</f>
        <v>1</v>
      </c>
      <c r="E744" s="78" t="n">
        <f aca="false">INDEX(Inputs!$H$40:$H$87,C744)</f>
        <v>8</v>
      </c>
      <c r="F744" s="78" t="n">
        <f aca="false">INDEX(Inputs!$G$40:$G$87,C744)</f>
        <v>35</v>
      </c>
      <c r="G744" s="32" t="n">
        <f aca="false">INDEX(Inputs!$I$40:$I$87,C744)</f>
        <v>12</v>
      </c>
      <c r="H744" s="46" t="n">
        <f aca="false">MATCH(A744,Demand_History!$C:$C,0)+B744-1</f>
        <v>4565</v>
      </c>
      <c r="I744" s="32" t="n">
        <f aca="false">INDEX(Forecast_Walkforward!$C:$C,H744)</f>
        <v>53</v>
      </c>
      <c r="J744" s="79" t="n">
        <f aca="false">INDEX(Forecast_Walkforward!$E:$E,H744)</f>
        <v>62</v>
      </c>
      <c r="K744" s="33" t="n">
        <f aca="false">Baseline_Weeks*J744</f>
        <v>248</v>
      </c>
      <c r="L744" s="46" t="n">
        <f aca="false">SUMIFS(P$741:P743,$B$741:$B743,$B744-$D744)</f>
        <v>36</v>
      </c>
      <c r="M744" s="46" t="n">
        <f aca="false">S743+L744</f>
        <v>181</v>
      </c>
      <c r="N744" s="46" t="n">
        <f aca="false">SUMIFS(P$741:P743,$B$741:$B743,"&gt;"&amp;($B744-$D744))</f>
        <v>0</v>
      </c>
      <c r="O744" s="46" t="n">
        <f aca="false">M744+N744</f>
        <v>181</v>
      </c>
      <c r="P744" s="47" t="n">
        <f aca="false">IF(O744&lt;K744,ROUNDUP((K744-O744)/G744,0)*G744,0)</f>
        <v>72</v>
      </c>
      <c r="Q744" s="46" t="n">
        <f aca="false">MIN(M744,I744)</f>
        <v>53</v>
      </c>
      <c r="R744" s="46" t="n">
        <f aca="false">I744-Q744</f>
        <v>0</v>
      </c>
      <c r="S744" s="46" t="n">
        <f aca="false">M744-Q744</f>
        <v>128</v>
      </c>
      <c r="T744" s="46" t="n">
        <f aca="false">IF(R744&gt;0,1,0)</f>
        <v>0</v>
      </c>
      <c r="U744" s="32" t="n">
        <f aca="false">INDEX(Forecast!$AY$7:$AY$54,C744)</f>
        <v>2</v>
      </c>
      <c r="V744" s="33" t="n">
        <f aca="false">CHOOSE(U744,INDEX(Forecast_Walkforward!$D:$D,H744),INDEX(Forecast_Walkforward!$E:$E,H744),INDEX(Forecast_Walkforward!$F:$F,H744),INDEX(Forecast_Walkforward!$G:$G,H744))</f>
        <v>62</v>
      </c>
      <c r="W744" s="79" t="n">
        <f aca="false">INDEX(Forecast!$BA$7:$BA$54,C744)</f>
        <v>18.3350765745324</v>
      </c>
      <c r="X744" s="33" t="n">
        <f aca="false">Z_Value*W744*SQRT(D744)</f>
        <v>30.1585172040526</v>
      </c>
      <c r="Y744" s="33" t="n">
        <f aca="false">V744*D744+X744</f>
        <v>92.1585172040526</v>
      </c>
      <c r="Z744" s="33" t="n">
        <f aca="false">SQRT((2*V744*Weeks_Per_Year*F744)/(E744*Holding_Rate))</f>
        <v>375.566239164278</v>
      </c>
      <c r="AA744" s="46" t="n">
        <f aca="false">ROUNDUP(Z744/G744,0)*G744</f>
        <v>384</v>
      </c>
      <c r="AB744" s="46" t="n">
        <f aca="false">SUMIFS(AF$741:AF743,$B$741:$B743,$B744-$D744)</f>
        <v>0</v>
      </c>
      <c r="AC744" s="46" t="n">
        <f aca="false">AI743+AB744</f>
        <v>145</v>
      </c>
      <c r="AD744" s="46" t="n">
        <f aca="false">SUMIFS(AF$741:AF743,$B$741:$B743,"&gt;"&amp;($B744-$D744))</f>
        <v>0</v>
      </c>
      <c r="AE744" s="46" t="n">
        <f aca="false">AC744+AD744</f>
        <v>145</v>
      </c>
      <c r="AF744" s="47" t="n">
        <f aca="false">IF(AE744&lt;=Y744,AA744,0)</f>
        <v>0</v>
      </c>
      <c r="AG744" s="46" t="n">
        <f aca="false">MIN(AC744,I744)</f>
        <v>53</v>
      </c>
      <c r="AH744" s="46" t="n">
        <f aca="false">I744-AG744</f>
        <v>0</v>
      </c>
      <c r="AI744" s="46" t="n">
        <f aca="false">AC744-AG744</f>
        <v>92</v>
      </c>
      <c r="AJ744" s="46" t="n">
        <f aca="false">IF(AH744&gt;0,1,0)</f>
        <v>0</v>
      </c>
    </row>
    <row r="745" customFormat="false" ht="15" hidden="false" customHeight="false" outlineLevel="0" collapsed="false">
      <c r="A745" s="31" t="str">
        <f aca="false">Inputs!$B$83</f>
        <v>CLN-007</v>
      </c>
      <c r="B745" s="46" t="n">
        <f aca="false">B744+1</f>
        <v>93</v>
      </c>
      <c r="C745" s="46" t="n">
        <f aca="false">MATCH(A745,Inputs!$B$40:$B$87,0)</f>
        <v>44</v>
      </c>
      <c r="D745" s="32" t="n">
        <f aca="false">INDEX(Inputs!$F$40:$F$87,C745)</f>
        <v>1</v>
      </c>
      <c r="E745" s="78" t="n">
        <f aca="false">INDEX(Inputs!$H$40:$H$87,C745)</f>
        <v>8</v>
      </c>
      <c r="F745" s="78" t="n">
        <f aca="false">INDEX(Inputs!$G$40:$G$87,C745)</f>
        <v>35</v>
      </c>
      <c r="G745" s="32" t="n">
        <f aca="false">INDEX(Inputs!$I$40:$I$87,C745)</f>
        <v>12</v>
      </c>
      <c r="H745" s="46" t="n">
        <f aca="false">MATCH(A745,Demand_History!$C:$C,0)+B745-1</f>
        <v>4566</v>
      </c>
      <c r="I745" s="32" t="n">
        <f aca="false">INDEX(Forecast_Walkforward!$C:$C,H745)</f>
        <v>61</v>
      </c>
      <c r="J745" s="79" t="n">
        <f aca="false">INDEX(Forecast_Walkforward!$E:$E,H745)</f>
        <v>61.25</v>
      </c>
      <c r="K745" s="33" t="n">
        <f aca="false">Baseline_Weeks*J745</f>
        <v>245</v>
      </c>
      <c r="L745" s="46" t="n">
        <f aca="false">SUMIFS(P$741:P744,$B$741:$B744,$B745-$D745)</f>
        <v>72</v>
      </c>
      <c r="M745" s="46" t="n">
        <f aca="false">S744+L745</f>
        <v>200</v>
      </c>
      <c r="N745" s="46" t="n">
        <f aca="false">SUMIFS(P$741:P744,$B$741:$B744,"&gt;"&amp;($B745-$D745))</f>
        <v>0</v>
      </c>
      <c r="O745" s="46" t="n">
        <f aca="false">M745+N745</f>
        <v>200</v>
      </c>
      <c r="P745" s="47" t="n">
        <f aca="false">IF(O745&lt;K745,ROUNDUP((K745-O745)/G745,0)*G745,0)</f>
        <v>48</v>
      </c>
      <c r="Q745" s="46" t="n">
        <f aca="false">MIN(M745,I745)</f>
        <v>61</v>
      </c>
      <c r="R745" s="46" t="n">
        <f aca="false">I745-Q745</f>
        <v>0</v>
      </c>
      <c r="S745" s="46" t="n">
        <f aca="false">M745-Q745</f>
        <v>139</v>
      </c>
      <c r="T745" s="46" t="n">
        <f aca="false">IF(R745&gt;0,1,0)</f>
        <v>0</v>
      </c>
      <c r="U745" s="32" t="n">
        <f aca="false">INDEX(Forecast!$AY$7:$AY$54,C745)</f>
        <v>2</v>
      </c>
      <c r="V745" s="33" t="n">
        <f aca="false">CHOOSE(U745,INDEX(Forecast_Walkforward!$D:$D,H745),INDEX(Forecast_Walkforward!$E:$E,H745),INDEX(Forecast_Walkforward!$F:$F,H745),INDEX(Forecast_Walkforward!$G:$G,H745))</f>
        <v>61.25</v>
      </c>
      <c r="W745" s="79" t="n">
        <f aca="false">INDEX(Forecast!$BA$7:$BA$54,C745)</f>
        <v>18.3350765745324</v>
      </c>
      <c r="X745" s="33" t="n">
        <f aca="false">Z_Value*W745*SQRT(D745)</f>
        <v>30.1585172040526</v>
      </c>
      <c r="Y745" s="33" t="n">
        <f aca="false">V745*D745+X745</f>
        <v>91.4085172040526</v>
      </c>
      <c r="Z745" s="33" t="n">
        <f aca="false">SQRT((2*V745*Weeks_Per_Year*F745)/(E745*Holding_Rate))</f>
        <v>373.287757634777</v>
      </c>
      <c r="AA745" s="46" t="n">
        <f aca="false">ROUNDUP(Z745/G745,0)*G745</f>
        <v>384</v>
      </c>
      <c r="AB745" s="46" t="n">
        <f aca="false">SUMIFS(AF$741:AF744,$B$741:$B744,$B745-$D745)</f>
        <v>0</v>
      </c>
      <c r="AC745" s="46" t="n">
        <f aca="false">AI744+AB745</f>
        <v>92</v>
      </c>
      <c r="AD745" s="46" t="n">
        <f aca="false">SUMIFS(AF$741:AF744,$B$741:$B744,"&gt;"&amp;($B745-$D745))</f>
        <v>0</v>
      </c>
      <c r="AE745" s="46" t="n">
        <f aca="false">AC745+AD745</f>
        <v>92</v>
      </c>
      <c r="AF745" s="47" t="n">
        <f aca="false">IF(AE745&lt;=Y745,AA745,0)</f>
        <v>0</v>
      </c>
      <c r="AG745" s="46" t="n">
        <f aca="false">MIN(AC745,I745)</f>
        <v>61</v>
      </c>
      <c r="AH745" s="46" t="n">
        <f aca="false">I745-AG745</f>
        <v>0</v>
      </c>
      <c r="AI745" s="46" t="n">
        <f aca="false">AC745-AG745</f>
        <v>31</v>
      </c>
      <c r="AJ745" s="46" t="n">
        <f aca="false">IF(AH745&gt;0,1,0)</f>
        <v>0</v>
      </c>
    </row>
    <row r="746" customFormat="false" ht="15" hidden="false" customHeight="false" outlineLevel="0" collapsed="false">
      <c r="A746" s="31" t="str">
        <f aca="false">Inputs!$B$83</f>
        <v>CLN-007</v>
      </c>
      <c r="B746" s="46" t="n">
        <f aca="false">B745+1</f>
        <v>94</v>
      </c>
      <c r="C746" s="46" t="n">
        <f aca="false">MATCH(A746,Inputs!$B$40:$B$87,0)</f>
        <v>44</v>
      </c>
      <c r="D746" s="32" t="n">
        <f aca="false">INDEX(Inputs!$F$40:$F$87,C746)</f>
        <v>1</v>
      </c>
      <c r="E746" s="78" t="n">
        <f aca="false">INDEX(Inputs!$H$40:$H$87,C746)</f>
        <v>8</v>
      </c>
      <c r="F746" s="78" t="n">
        <f aca="false">INDEX(Inputs!$G$40:$G$87,C746)</f>
        <v>35</v>
      </c>
      <c r="G746" s="32" t="n">
        <f aca="false">INDEX(Inputs!$I$40:$I$87,C746)</f>
        <v>12</v>
      </c>
      <c r="H746" s="46" t="n">
        <f aca="false">MATCH(A746,Demand_History!$C:$C,0)+B746-1</f>
        <v>4567</v>
      </c>
      <c r="I746" s="32" t="n">
        <f aca="false">INDEX(Forecast_Walkforward!$C:$C,H746)</f>
        <v>79</v>
      </c>
      <c r="J746" s="79" t="n">
        <f aca="false">INDEX(Forecast_Walkforward!$E:$E,H746)</f>
        <v>64.75</v>
      </c>
      <c r="K746" s="33" t="n">
        <f aca="false">Baseline_Weeks*J746</f>
        <v>259</v>
      </c>
      <c r="L746" s="46" t="n">
        <f aca="false">SUMIFS(P$741:P745,$B$741:$B745,$B746-$D746)</f>
        <v>48</v>
      </c>
      <c r="M746" s="46" t="n">
        <f aca="false">S745+L746</f>
        <v>187</v>
      </c>
      <c r="N746" s="46" t="n">
        <f aca="false">SUMIFS(P$741:P745,$B$741:$B745,"&gt;"&amp;($B746-$D746))</f>
        <v>0</v>
      </c>
      <c r="O746" s="46" t="n">
        <f aca="false">M746+N746</f>
        <v>187</v>
      </c>
      <c r="P746" s="47" t="n">
        <f aca="false">IF(O746&lt;K746,ROUNDUP((K746-O746)/G746,0)*G746,0)</f>
        <v>72</v>
      </c>
      <c r="Q746" s="46" t="n">
        <f aca="false">MIN(M746,I746)</f>
        <v>79</v>
      </c>
      <c r="R746" s="46" t="n">
        <f aca="false">I746-Q746</f>
        <v>0</v>
      </c>
      <c r="S746" s="46" t="n">
        <f aca="false">M746-Q746</f>
        <v>108</v>
      </c>
      <c r="T746" s="46" t="n">
        <f aca="false">IF(R746&gt;0,1,0)</f>
        <v>0</v>
      </c>
      <c r="U746" s="32" t="n">
        <f aca="false">INDEX(Forecast!$AY$7:$AY$54,C746)</f>
        <v>2</v>
      </c>
      <c r="V746" s="33" t="n">
        <f aca="false">CHOOSE(U746,INDEX(Forecast_Walkforward!$D:$D,H746),INDEX(Forecast_Walkforward!$E:$E,H746),INDEX(Forecast_Walkforward!$F:$F,H746),INDEX(Forecast_Walkforward!$G:$G,H746))</f>
        <v>64.75</v>
      </c>
      <c r="W746" s="79" t="n">
        <f aca="false">INDEX(Forecast!$BA$7:$BA$54,C746)</f>
        <v>18.3350765745324</v>
      </c>
      <c r="X746" s="33" t="n">
        <f aca="false">Z_Value*W746*SQRT(D746)</f>
        <v>30.1585172040526</v>
      </c>
      <c r="Y746" s="33" t="n">
        <f aca="false">V746*D746+X746</f>
        <v>94.9085172040526</v>
      </c>
      <c r="Z746" s="33" t="n">
        <f aca="false">SQRT((2*V746*Weeks_Per_Year*F746)/(E746*Holding_Rate))</f>
        <v>383.804963490573</v>
      </c>
      <c r="AA746" s="46" t="n">
        <f aca="false">ROUNDUP(Z746/G746,0)*G746</f>
        <v>384</v>
      </c>
      <c r="AB746" s="46" t="n">
        <f aca="false">SUMIFS(AF$741:AF745,$B$741:$B745,$B746-$D746)</f>
        <v>0</v>
      </c>
      <c r="AC746" s="46" t="n">
        <f aca="false">AI745+AB746</f>
        <v>31</v>
      </c>
      <c r="AD746" s="46" t="n">
        <f aca="false">SUMIFS(AF$741:AF745,$B$741:$B745,"&gt;"&amp;($B746-$D746))</f>
        <v>0</v>
      </c>
      <c r="AE746" s="46" t="n">
        <f aca="false">AC746+AD746</f>
        <v>31</v>
      </c>
      <c r="AF746" s="47" t="n">
        <f aca="false">IF(AE746&lt;=Y746,AA746,0)</f>
        <v>384</v>
      </c>
      <c r="AG746" s="46" t="n">
        <f aca="false">MIN(AC746,I746)</f>
        <v>31</v>
      </c>
      <c r="AH746" s="46" t="n">
        <f aca="false">I746-AG746</f>
        <v>48</v>
      </c>
      <c r="AI746" s="46" t="n">
        <f aca="false">AC746-AG746</f>
        <v>0</v>
      </c>
      <c r="AJ746" s="46" t="n">
        <f aca="false">IF(AH746&gt;0,1,0)</f>
        <v>1</v>
      </c>
    </row>
    <row r="747" customFormat="false" ht="15" hidden="false" customHeight="false" outlineLevel="0" collapsed="false">
      <c r="A747" s="31" t="str">
        <f aca="false">Inputs!$B$83</f>
        <v>CLN-007</v>
      </c>
      <c r="B747" s="46" t="n">
        <f aca="false">B746+1</f>
        <v>95</v>
      </c>
      <c r="C747" s="46" t="n">
        <f aca="false">MATCH(A747,Inputs!$B$40:$B$87,0)</f>
        <v>44</v>
      </c>
      <c r="D747" s="32" t="n">
        <f aca="false">INDEX(Inputs!$F$40:$F$87,C747)</f>
        <v>1</v>
      </c>
      <c r="E747" s="78" t="n">
        <f aca="false">INDEX(Inputs!$H$40:$H$87,C747)</f>
        <v>8</v>
      </c>
      <c r="F747" s="78" t="n">
        <f aca="false">INDEX(Inputs!$G$40:$G$87,C747)</f>
        <v>35</v>
      </c>
      <c r="G747" s="32" t="n">
        <f aca="false">INDEX(Inputs!$I$40:$I$87,C747)</f>
        <v>12</v>
      </c>
      <c r="H747" s="46" t="n">
        <f aca="false">MATCH(A747,Demand_History!$C:$C,0)+B747-1</f>
        <v>4568</v>
      </c>
      <c r="I747" s="32" t="n">
        <f aca="false">INDEX(Forecast_Walkforward!$C:$C,H747)</f>
        <v>78</v>
      </c>
      <c r="J747" s="79" t="n">
        <f aca="false">INDEX(Forecast_Walkforward!$E:$E,H747)</f>
        <v>67.25</v>
      </c>
      <c r="K747" s="33" t="n">
        <f aca="false">Baseline_Weeks*J747</f>
        <v>269</v>
      </c>
      <c r="L747" s="46" t="n">
        <f aca="false">SUMIFS(P$741:P746,$B$741:$B746,$B747-$D747)</f>
        <v>72</v>
      </c>
      <c r="M747" s="46" t="n">
        <f aca="false">S746+L747</f>
        <v>180</v>
      </c>
      <c r="N747" s="46" t="n">
        <f aca="false">SUMIFS(P$741:P746,$B$741:$B746,"&gt;"&amp;($B747-$D747))</f>
        <v>0</v>
      </c>
      <c r="O747" s="46" t="n">
        <f aca="false">M747+N747</f>
        <v>180</v>
      </c>
      <c r="P747" s="47" t="n">
        <f aca="false">IF(O747&lt;K747,ROUNDUP((K747-O747)/G747,0)*G747,0)</f>
        <v>96</v>
      </c>
      <c r="Q747" s="46" t="n">
        <f aca="false">MIN(M747,I747)</f>
        <v>78</v>
      </c>
      <c r="R747" s="46" t="n">
        <f aca="false">I747-Q747</f>
        <v>0</v>
      </c>
      <c r="S747" s="46" t="n">
        <f aca="false">M747-Q747</f>
        <v>102</v>
      </c>
      <c r="T747" s="46" t="n">
        <f aca="false">IF(R747&gt;0,1,0)</f>
        <v>0</v>
      </c>
      <c r="U747" s="32" t="n">
        <f aca="false">INDEX(Forecast!$AY$7:$AY$54,C747)</f>
        <v>2</v>
      </c>
      <c r="V747" s="33" t="n">
        <f aca="false">CHOOSE(U747,INDEX(Forecast_Walkforward!$D:$D,H747),INDEX(Forecast_Walkforward!$E:$E,H747),INDEX(Forecast_Walkforward!$F:$F,H747),INDEX(Forecast_Walkforward!$G:$G,H747))</f>
        <v>67.25</v>
      </c>
      <c r="W747" s="79" t="n">
        <f aca="false">INDEX(Forecast!$BA$7:$BA$54,C747)</f>
        <v>18.3350765745324</v>
      </c>
      <c r="X747" s="33" t="n">
        <f aca="false">Z_Value*W747*SQRT(D747)</f>
        <v>30.1585172040526</v>
      </c>
      <c r="Y747" s="33" t="n">
        <f aca="false">V747*D747+X747</f>
        <v>97.4085172040526</v>
      </c>
      <c r="Z747" s="33" t="n">
        <f aca="false">SQRT((2*V747*Weeks_Per_Year*F747)/(E747*Holding_Rate))</f>
        <v>391.144155011934</v>
      </c>
      <c r="AA747" s="46" t="n">
        <f aca="false">ROUNDUP(Z747/G747,0)*G747</f>
        <v>396</v>
      </c>
      <c r="AB747" s="46" t="n">
        <f aca="false">SUMIFS(AF$741:AF746,$B$741:$B746,$B747-$D747)</f>
        <v>384</v>
      </c>
      <c r="AC747" s="46" t="n">
        <f aca="false">AI746+AB747</f>
        <v>384</v>
      </c>
      <c r="AD747" s="46" t="n">
        <f aca="false">SUMIFS(AF$741:AF746,$B$741:$B746,"&gt;"&amp;($B747-$D747))</f>
        <v>0</v>
      </c>
      <c r="AE747" s="46" t="n">
        <f aca="false">AC747+AD747</f>
        <v>384</v>
      </c>
      <c r="AF747" s="47" t="n">
        <f aca="false">IF(AE747&lt;=Y747,AA747,0)</f>
        <v>0</v>
      </c>
      <c r="AG747" s="46" t="n">
        <f aca="false">MIN(AC747,I747)</f>
        <v>78</v>
      </c>
      <c r="AH747" s="46" t="n">
        <f aca="false">I747-AG747</f>
        <v>0</v>
      </c>
      <c r="AI747" s="46" t="n">
        <f aca="false">AC747-AG747</f>
        <v>306</v>
      </c>
      <c r="AJ747" s="46" t="n">
        <f aca="false">IF(AH747&gt;0,1,0)</f>
        <v>0</v>
      </c>
    </row>
    <row r="748" customFormat="false" ht="15" hidden="false" customHeight="false" outlineLevel="0" collapsed="false">
      <c r="A748" s="31" t="str">
        <f aca="false">Inputs!$B$83</f>
        <v>CLN-007</v>
      </c>
      <c r="B748" s="46" t="n">
        <f aca="false">B747+1</f>
        <v>96</v>
      </c>
      <c r="C748" s="46" t="n">
        <f aca="false">MATCH(A748,Inputs!$B$40:$B$87,0)</f>
        <v>44</v>
      </c>
      <c r="D748" s="32" t="n">
        <f aca="false">INDEX(Inputs!$F$40:$F$87,C748)</f>
        <v>1</v>
      </c>
      <c r="E748" s="78" t="n">
        <f aca="false">INDEX(Inputs!$H$40:$H$87,C748)</f>
        <v>8</v>
      </c>
      <c r="F748" s="78" t="n">
        <f aca="false">INDEX(Inputs!$G$40:$G$87,C748)</f>
        <v>35</v>
      </c>
      <c r="G748" s="32" t="n">
        <f aca="false">INDEX(Inputs!$I$40:$I$87,C748)</f>
        <v>12</v>
      </c>
      <c r="H748" s="46" t="n">
        <f aca="false">MATCH(A748,Demand_History!$C:$C,0)+B748-1</f>
        <v>4569</v>
      </c>
      <c r="I748" s="32" t="n">
        <f aca="false">INDEX(Forecast_Walkforward!$C:$C,H748)</f>
        <v>63</v>
      </c>
      <c r="J748" s="79" t="n">
        <f aca="false">INDEX(Forecast_Walkforward!$E:$E,H748)</f>
        <v>67.75</v>
      </c>
      <c r="K748" s="33" t="n">
        <f aca="false">Baseline_Weeks*J748</f>
        <v>271</v>
      </c>
      <c r="L748" s="46" t="n">
        <f aca="false">SUMIFS(P$741:P747,$B$741:$B747,$B748-$D748)</f>
        <v>96</v>
      </c>
      <c r="M748" s="46" t="n">
        <f aca="false">S747+L748</f>
        <v>198</v>
      </c>
      <c r="N748" s="46" t="n">
        <f aca="false">SUMIFS(P$741:P747,$B$741:$B747,"&gt;"&amp;($B748-$D748))</f>
        <v>0</v>
      </c>
      <c r="O748" s="46" t="n">
        <f aca="false">M748+N748</f>
        <v>198</v>
      </c>
      <c r="P748" s="47" t="n">
        <f aca="false">IF(O748&lt;K748,ROUNDUP((K748-O748)/G748,0)*G748,0)</f>
        <v>84</v>
      </c>
      <c r="Q748" s="46" t="n">
        <f aca="false">MIN(M748,I748)</f>
        <v>63</v>
      </c>
      <c r="R748" s="46" t="n">
        <f aca="false">I748-Q748</f>
        <v>0</v>
      </c>
      <c r="S748" s="46" t="n">
        <f aca="false">M748-Q748</f>
        <v>135</v>
      </c>
      <c r="T748" s="46" t="n">
        <f aca="false">IF(R748&gt;0,1,0)</f>
        <v>0</v>
      </c>
      <c r="U748" s="32" t="n">
        <f aca="false">INDEX(Forecast!$AY$7:$AY$54,C748)</f>
        <v>2</v>
      </c>
      <c r="V748" s="33" t="n">
        <f aca="false">CHOOSE(U748,INDEX(Forecast_Walkforward!$D:$D,H748),INDEX(Forecast_Walkforward!$E:$E,H748),INDEX(Forecast_Walkforward!$F:$F,H748),INDEX(Forecast_Walkforward!$G:$G,H748))</f>
        <v>67.75</v>
      </c>
      <c r="W748" s="79" t="n">
        <f aca="false">INDEX(Forecast!$BA$7:$BA$54,C748)</f>
        <v>18.3350765745324</v>
      </c>
      <c r="X748" s="33" t="n">
        <f aca="false">Z_Value*W748*SQRT(D748)</f>
        <v>30.1585172040526</v>
      </c>
      <c r="Y748" s="33" t="n">
        <f aca="false">V748*D748+X748</f>
        <v>97.9085172040526</v>
      </c>
      <c r="Z748" s="33" t="n">
        <f aca="false">SQRT((2*V748*Weeks_Per_Year*F748)/(E748*Holding_Rate))</f>
        <v>392.595529775875</v>
      </c>
      <c r="AA748" s="46" t="n">
        <f aca="false">ROUNDUP(Z748/G748,0)*G748</f>
        <v>396</v>
      </c>
      <c r="AB748" s="46" t="n">
        <f aca="false">SUMIFS(AF$741:AF747,$B$741:$B747,$B748-$D748)</f>
        <v>0</v>
      </c>
      <c r="AC748" s="46" t="n">
        <f aca="false">AI747+AB748</f>
        <v>306</v>
      </c>
      <c r="AD748" s="46" t="n">
        <f aca="false">SUMIFS(AF$741:AF747,$B$741:$B747,"&gt;"&amp;($B748-$D748))</f>
        <v>0</v>
      </c>
      <c r="AE748" s="46" t="n">
        <f aca="false">AC748+AD748</f>
        <v>306</v>
      </c>
      <c r="AF748" s="47" t="n">
        <f aca="false">IF(AE748&lt;=Y748,AA748,0)</f>
        <v>0</v>
      </c>
      <c r="AG748" s="46" t="n">
        <f aca="false">MIN(AC748,I748)</f>
        <v>63</v>
      </c>
      <c r="AH748" s="46" t="n">
        <f aca="false">I748-AG748</f>
        <v>0</v>
      </c>
      <c r="AI748" s="46" t="n">
        <f aca="false">AC748-AG748</f>
        <v>243</v>
      </c>
      <c r="AJ748" s="46" t="n">
        <f aca="false">IF(AH748&gt;0,1,0)</f>
        <v>0</v>
      </c>
    </row>
    <row r="749" customFormat="false" ht="15" hidden="false" customHeight="false" outlineLevel="0" collapsed="false">
      <c r="A749" s="31" t="str">
        <f aca="false">Inputs!$B$83</f>
        <v>CLN-007</v>
      </c>
      <c r="B749" s="46" t="n">
        <f aca="false">B748+1</f>
        <v>97</v>
      </c>
      <c r="C749" s="46" t="n">
        <f aca="false">MATCH(A749,Inputs!$B$40:$B$87,0)</f>
        <v>44</v>
      </c>
      <c r="D749" s="32" t="n">
        <f aca="false">INDEX(Inputs!$F$40:$F$87,C749)</f>
        <v>1</v>
      </c>
      <c r="E749" s="78" t="n">
        <f aca="false">INDEX(Inputs!$H$40:$H$87,C749)</f>
        <v>8</v>
      </c>
      <c r="F749" s="78" t="n">
        <f aca="false">INDEX(Inputs!$G$40:$G$87,C749)</f>
        <v>35</v>
      </c>
      <c r="G749" s="32" t="n">
        <f aca="false">INDEX(Inputs!$I$40:$I$87,C749)</f>
        <v>12</v>
      </c>
      <c r="H749" s="46" t="n">
        <f aca="false">MATCH(A749,Demand_History!$C:$C,0)+B749-1</f>
        <v>4570</v>
      </c>
      <c r="I749" s="32" t="n">
        <f aca="false">INDEX(Forecast_Walkforward!$C:$C,H749)</f>
        <v>50</v>
      </c>
      <c r="J749" s="79" t="n">
        <f aca="false">INDEX(Forecast_Walkforward!$E:$E,H749)</f>
        <v>70.25</v>
      </c>
      <c r="K749" s="33" t="n">
        <f aca="false">Baseline_Weeks*J749</f>
        <v>281</v>
      </c>
      <c r="L749" s="46" t="n">
        <f aca="false">SUMIFS(P$741:P748,$B$741:$B748,$B749-$D749)</f>
        <v>84</v>
      </c>
      <c r="M749" s="46" t="n">
        <f aca="false">S748+L749</f>
        <v>219</v>
      </c>
      <c r="N749" s="46" t="n">
        <f aca="false">SUMIFS(P$741:P748,$B$741:$B748,"&gt;"&amp;($B749-$D749))</f>
        <v>0</v>
      </c>
      <c r="O749" s="46" t="n">
        <f aca="false">M749+N749</f>
        <v>219</v>
      </c>
      <c r="P749" s="47" t="n">
        <f aca="false">IF(O749&lt;K749,ROUNDUP((K749-O749)/G749,0)*G749,0)</f>
        <v>72</v>
      </c>
      <c r="Q749" s="46" t="n">
        <f aca="false">MIN(M749,I749)</f>
        <v>50</v>
      </c>
      <c r="R749" s="46" t="n">
        <f aca="false">I749-Q749</f>
        <v>0</v>
      </c>
      <c r="S749" s="46" t="n">
        <f aca="false">M749-Q749</f>
        <v>169</v>
      </c>
      <c r="T749" s="46" t="n">
        <f aca="false">IF(R749&gt;0,1,0)</f>
        <v>0</v>
      </c>
      <c r="U749" s="32" t="n">
        <f aca="false">INDEX(Forecast!$AY$7:$AY$54,C749)</f>
        <v>2</v>
      </c>
      <c r="V749" s="33" t="n">
        <f aca="false">CHOOSE(U749,INDEX(Forecast_Walkforward!$D:$D,H749),INDEX(Forecast_Walkforward!$E:$E,H749),INDEX(Forecast_Walkforward!$F:$F,H749),INDEX(Forecast_Walkforward!$G:$G,H749))</f>
        <v>70.25</v>
      </c>
      <c r="W749" s="79" t="n">
        <f aca="false">INDEX(Forecast!$BA$7:$BA$54,C749)</f>
        <v>18.3350765745324</v>
      </c>
      <c r="X749" s="33" t="n">
        <f aca="false">Z_Value*W749*SQRT(D749)</f>
        <v>30.1585172040526</v>
      </c>
      <c r="Y749" s="33" t="n">
        <f aca="false">V749*D749+X749</f>
        <v>100.408517204053</v>
      </c>
      <c r="Z749" s="33" t="n">
        <f aca="false">SQRT((2*V749*Weeks_Per_Year*F749)/(E749*Holding_Rate))</f>
        <v>399.773373300424</v>
      </c>
      <c r="AA749" s="46" t="n">
        <f aca="false">ROUNDUP(Z749/G749,0)*G749</f>
        <v>408</v>
      </c>
      <c r="AB749" s="46" t="n">
        <f aca="false">SUMIFS(AF$741:AF748,$B$741:$B748,$B749-$D749)</f>
        <v>0</v>
      </c>
      <c r="AC749" s="46" t="n">
        <f aca="false">AI748+AB749</f>
        <v>243</v>
      </c>
      <c r="AD749" s="46" t="n">
        <f aca="false">SUMIFS(AF$741:AF748,$B$741:$B748,"&gt;"&amp;($B749-$D749))</f>
        <v>0</v>
      </c>
      <c r="AE749" s="46" t="n">
        <f aca="false">AC749+AD749</f>
        <v>243</v>
      </c>
      <c r="AF749" s="47" t="n">
        <f aca="false">IF(AE749&lt;=Y749,AA749,0)</f>
        <v>0</v>
      </c>
      <c r="AG749" s="46" t="n">
        <f aca="false">MIN(AC749,I749)</f>
        <v>50</v>
      </c>
      <c r="AH749" s="46" t="n">
        <f aca="false">I749-AG749</f>
        <v>0</v>
      </c>
      <c r="AI749" s="46" t="n">
        <f aca="false">AC749-AG749</f>
        <v>193</v>
      </c>
      <c r="AJ749" s="46" t="n">
        <f aca="false">IF(AH749&gt;0,1,0)</f>
        <v>0</v>
      </c>
    </row>
    <row r="750" customFormat="false" ht="15" hidden="false" customHeight="false" outlineLevel="0" collapsed="false">
      <c r="A750" s="31" t="str">
        <f aca="false">Inputs!$B$83</f>
        <v>CLN-007</v>
      </c>
      <c r="B750" s="46" t="n">
        <f aca="false">B749+1</f>
        <v>98</v>
      </c>
      <c r="C750" s="46" t="n">
        <f aca="false">MATCH(A750,Inputs!$B$40:$B$87,0)</f>
        <v>44</v>
      </c>
      <c r="D750" s="32" t="n">
        <f aca="false">INDEX(Inputs!$F$40:$F$87,C750)</f>
        <v>1</v>
      </c>
      <c r="E750" s="78" t="n">
        <f aca="false">INDEX(Inputs!$H$40:$H$87,C750)</f>
        <v>8</v>
      </c>
      <c r="F750" s="78" t="n">
        <f aca="false">INDEX(Inputs!$G$40:$G$87,C750)</f>
        <v>35</v>
      </c>
      <c r="G750" s="32" t="n">
        <f aca="false">INDEX(Inputs!$I$40:$I$87,C750)</f>
        <v>12</v>
      </c>
      <c r="H750" s="46" t="n">
        <f aca="false">MATCH(A750,Demand_History!$C:$C,0)+B750-1</f>
        <v>4571</v>
      </c>
      <c r="I750" s="32" t="n">
        <f aca="false">INDEX(Forecast_Walkforward!$C:$C,H750)</f>
        <v>47</v>
      </c>
      <c r="J750" s="79" t="n">
        <f aca="false">INDEX(Forecast_Walkforward!$E:$E,H750)</f>
        <v>67.5</v>
      </c>
      <c r="K750" s="33" t="n">
        <f aca="false">Baseline_Weeks*J750</f>
        <v>270</v>
      </c>
      <c r="L750" s="46" t="n">
        <f aca="false">SUMIFS(P$741:P749,$B$741:$B749,$B750-$D750)</f>
        <v>72</v>
      </c>
      <c r="M750" s="46" t="n">
        <f aca="false">S749+L750</f>
        <v>241</v>
      </c>
      <c r="N750" s="46" t="n">
        <f aca="false">SUMIFS(P$741:P749,$B$741:$B749,"&gt;"&amp;($B750-$D750))</f>
        <v>0</v>
      </c>
      <c r="O750" s="46" t="n">
        <f aca="false">M750+N750</f>
        <v>241</v>
      </c>
      <c r="P750" s="47" t="n">
        <f aca="false">IF(O750&lt;K750,ROUNDUP((K750-O750)/G750,0)*G750,0)</f>
        <v>36</v>
      </c>
      <c r="Q750" s="46" t="n">
        <f aca="false">MIN(M750,I750)</f>
        <v>47</v>
      </c>
      <c r="R750" s="46" t="n">
        <f aca="false">I750-Q750</f>
        <v>0</v>
      </c>
      <c r="S750" s="46" t="n">
        <f aca="false">M750-Q750</f>
        <v>194</v>
      </c>
      <c r="T750" s="46" t="n">
        <f aca="false">IF(R750&gt;0,1,0)</f>
        <v>0</v>
      </c>
      <c r="U750" s="32" t="n">
        <f aca="false">INDEX(Forecast!$AY$7:$AY$54,C750)</f>
        <v>2</v>
      </c>
      <c r="V750" s="33" t="n">
        <f aca="false">CHOOSE(U750,INDEX(Forecast_Walkforward!$D:$D,H750),INDEX(Forecast_Walkforward!$E:$E,H750),INDEX(Forecast_Walkforward!$F:$F,H750),INDEX(Forecast_Walkforward!$G:$G,H750))</f>
        <v>67.5</v>
      </c>
      <c r="W750" s="79" t="n">
        <f aca="false">INDEX(Forecast!$BA$7:$BA$54,C750)</f>
        <v>18.3350765745324</v>
      </c>
      <c r="X750" s="33" t="n">
        <f aca="false">Z_Value*W750*SQRT(D750)</f>
        <v>30.1585172040526</v>
      </c>
      <c r="Y750" s="33" t="n">
        <f aca="false">V750*D750+X750</f>
        <v>97.6585172040526</v>
      </c>
      <c r="Z750" s="33" t="n">
        <f aca="false">SQRT((2*V750*Weeks_Per_Year*F750)/(E750*Holding_Rate))</f>
        <v>391.870514328394</v>
      </c>
      <c r="AA750" s="46" t="n">
        <f aca="false">ROUNDUP(Z750/G750,0)*G750</f>
        <v>396</v>
      </c>
      <c r="AB750" s="46" t="n">
        <f aca="false">SUMIFS(AF$741:AF749,$B$741:$B749,$B750-$D750)</f>
        <v>0</v>
      </c>
      <c r="AC750" s="46" t="n">
        <f aca="false">AI749+AB750</f>
        <v>193</v>
      </c>
      <c r="AD750" s="46" t="n">
        <f aca="false">SUMIFS(AF$741:AF749,$B$741:$B749,"&gt;"&amp;($B750-$D750))</f>
        <v>0</v>
      </c>
      <c r="AE750" s="46" t="n">
        <f aca="false">AC750+AD750</f>
        <v>193</v>
      </c>
      <c r="AF750" s="47" t="n">
        <f aca="false">IF(AE750&lt;=Y750,AA750,0)</f>
        <v>0</v>
      </c>
      <c r="AG750" s="46" t="n">
        <f aca="false">MIN(AC750,I750)</f>
        <v>47</v>
      </c>
      <c r="AH750" s="46" t="n">
        <f aca="false">I750-AG750</f>
        <v>0</v>
      </c>
      <c r="AI750" s="46" t="n">
        <f aca="false">AC750-AG750</f>
        <v>146</v>
      </c>
      <c r="AJ750" s="46" t="n">
        <f aca="false">IF(AH750&gt;0,1,0)</f>
        <v>0</v>
      </c>
    </row>
    <row r="751" customFormat="false" ht="15" hidden="false" customHeight="false" outlineLevel="0" collapsed="false">
      <c r="A751" s="31" t="str">
        <f aca="false">Inputs!$B$83</f>
        <v>CLN-007</v>
      </c>
      <c r="B751" s="46" t="n">
        <f aca="false">B750+1</f>
        <v>99</v>
      </c>
      <c r="C751" s="46" t="n">
        <f aca="false">MATCH(A751,Inputs!$B$40:$B$87,0)</f>
        <v>44</v>
      </c>
      <c r="D751" s="32" t="n">
        <f aca="false">INDEX(Inputs!$F$40:$F$87,C751)</f>
        <v>1</v>
      </c>
      <c r="E751" s="78" t="n">
        <f aca="false">INDEX(Inputs!$H$40:$H$87,C751)</f>
        <v>8</v>
      </c>
      <c r="F751" s="78" t="n">
        <f aca="false">INDEX(Inputs!$G$40:$G$87,C751)</f>
        <v>35</v>
      </c>
      <c r="G751" s="32" t="n">
        <f aca="false">INDEX(Inputs!$I$40:$I$87,C751)</f>
        <v>12</v>
      </c>
      <c r="H751" s="46" t="n">
        <f aca="false">MATCH(A751,Demand_History!$C:$C,0)+B751-1</f>
        <v>4572</v>
      </c>
      <c r="I751" s="32" t="n">
        <f aca="false">INDEX(Forecast_Walkforward!$C:$C,H751)</f>
        <v>53</v>
      </c>
      <c r="J751" s="79" t="n">
        <f aca="false">INDEX(Forecast_Walkforward!$E:$E,H751)</f>
        <v>59.5</v>
      </c>
      <c r="K751" s="33" t="n">
        <f aca="false">Baseline_Weeks*J751</f>
        <v>238</v>
      </c>
      <c r="L751" s="46" t="n">
        <f aca="false">SUMIFS(P$741:P750,$B$741:$B750,$B751-$D751)</f>
        <v>36</v>
      </c>
      <c r="M751" s="46" t="n">
        <f aca="false">S750+L751</f>
        <v>230</v>
      </c>
      <c r="N751" s="46" t="n">
        <f aca="false">SUMIFS(P$741:P750,$B$741:$B750,"&gt;"&amp;($B751-$D751))</f>
        <v>0</v>
      </c>
      <c r="O751" s="46" t="n">
        <f aca="false">M751+N751</f>
        <v>230</v>
      </c>
      <c r="P751" s="47" t="n">
        <f aca="false">IF(O751&lt;K751,ROUNDUP((K751-O751)/G751,0)*G751,0)</f>
        <v>12</v>
      </c>
      <c r="Q751" s="46" t="n">
        <f aca="false">MIN(M751,I751)</f>
        <v>53</v>
      </c>
      <c r="R751" s="46" t="n">
        <f aca="false">I751-Q751</f>
        <v>0</v>
      </c>
      <c r="S751" s="46" t="n">
        <f aca="false">M751-Q751</f>
        <v>177</v>
      </c>
      <c r="T751" s="46" t="n">
        <f aca="false">IF(R751&gt;0,1,0)</f>
        <v>0</v>
      </c>
      <c r="U751" s="32" t="n">
        <f aca="false">INDEX(Forecast!$AY$7:$AY$54,C751)</f>
        <v>2</v>
      </c>
      <c r="V751" s="33" t="n">
        <f aca="false">CHOOSE(U751,INDEX(Forecast_Walkforward!$D:$D,H751),INDEX(Forecast_Walkforward!$E:$E,H751),INDEX(Forecast_Walkforward!$F:$F,H751),INDEX(Forecast_Walkforward!$G:$G,H751))</f>
        <v>59.5</v>
      </c>
      <c r="W751" s="79" t="n">
        <f aca="false">INDEX(Forecast!$BA$7:$BA$54,C751)</f>
        <v>18.3350765745324</v>
      </c>
      <c r="X751" s="33" t="n">
        <f aca="false">Z_Value*W751*SQRT(D751)</f>
        <v>30.1585172040526</v>
      </c>
      <c r="Y751" s="33" t="n">
        <f aca="false">V751*D751+X751</f>
        <v>89.6585172040526</v>
      </c>
      <c r="Z751" s="33" t="n">
        <f aca="false">SQRT((2*V751*Weeks_Per_Year*F751)/(E751*Holding_Rate))</f>
        <v>367.916430728501</v>
      </c>
      <c r="AA751" s="46" t="n">
        <f aca="false">ROUNDUP(Z751/G751,0)*G751</f>
        <v>372</v>
      </c>
      <c r="AB751" s="46" t="n">
        <f aca="false">SUMIFS(AF$741:AF750,$B$741:$B750,$B751-$D751)</f>
        <v>0</v>
      </c>
      <c r="AC751" s="46" t="n">
        <f aca="false">AI750+AB751</f>
        <v>146</v>
      </c>
      <c r="AD751" s="46" t="n">
        <f aca="false">SUMIFS(AF$741:AF750,$B$741:$B750,"&gt;"&amp;($B751-$D751))</f>
        <v>0</v>
      </c>
      <c r="AE751" s="46" t="n">
        <f aca="false">AC751+AD751</f>
        <v>146</v>
      </c>
      <c r="AF751" s="47" t="n">
        <f aca="false">IF(AE751&lt;=Y751,AA751,0)</f>
        <v>0</v>
      </c>
      <c r="AG751" s="46" t="n">
        <f aca="false">MIN(AC751,I751)</f>
        <v>53</v>
      </c>
      <c r="AH751" s="46" t="n">
        <f aca="false">I751-AG751</f>
        <v>0</v>
      </c>
      <c r="AI751" s="46" t="n">
        <f aca="false">AC751-AG751</f>
        <v>93</v>
      </c>
      <c r="AJ751" s="46" t="n">
        <f aca="false">IF(AH751&gt;0,1,0)</f>
        <v>0</v>
      </c>
    </row>
    <row r="752" customFormat="false" ht="15" hidden="false" customHeight="false" outlineLevel="0" collapsed="false">
      <c r="A752" s="31" t="str">
        <f aca="false">Inputs!$B$83</f>
        <v>CLN-007</v>
      </c>
      <c r="B752" s="46" t="n">
        <f aca="false">B751+1</f>
        <v>100</v>
      </c>
      <c r="C752" s="46" t="n">
        <f aca="false">MATCH(A752,Inputs!$B$40:$B$87,0)</f>
        <v>44</v>
      </c>
      <c r="D752" s="32" t="n">
        <f aca="false">INDEX(Inputs!$F$40:$F$87,C752)</f>
        <v>1</v>
      </c>
      <c r="E752" s="78" t="n">
        <f aca="false">INDEX(Inputs!$H$40:$H$87,C752)</f>
        <v>8</v>
      </c>
      <c r="F752" s="78" t="n">
        <f aca="false">INDEX(Inputs!$G$40:$G$87,C752)</f>
        <v>35</v>
      </c>
      <c r="G752" s="32" t="n">
        <f aca="false">INDEX(Inputs!$I$40:$I$87,C752)</f>
        <v>12</v>
      </c>
      <c r="H752" s="46" t="n">
        <f aca="false">MATCH(A752,Demand_History!$C:$C,0)+B752-1</f>
        <v>4573</v>
      </c>
      <c r="I752" s="32" t="n">
        <f aca="false">INDEX(Forecast_Walkforward!$C:$C,H752)</f>
        <v>77</v>
      </c>
      <c r="J752" s="79" t="n">
        <f aca="false">INDEX(Forecast_Walkforward!$E:$E,H752)</f>
        <v>53.25</v>
      </c>
      <c r="K752" s="33" t="n">
        <f aca="false">Baseline_Weeks*J752</f>
        <v>213</v>
      </c>
      <c r="L752" s="46" t="n">
        <f aca="false">SUMIFS(P$741:P751,$B$741:$B751,$B752-$D752)</f>
        <v>12</v>
      </c>
      <c r="M752" s="46" t="n">
        <f aca="false">S751+L752</f>
        <v>189</v>
      </c>
      <c r="N752" s="46" t="n">
        <f aca="false">SUMIFS(P$741:P751,$B$741:$B751,"&gt;"&amp;($B752-$D752))</f>
        <v>0</v>
      </c>
      <c r="O752" s="46" t="n">
        <f aca="false">M752+N752</f>
        <v>189</v>
      </c>
      <c r="P752" s="47" t="n">
        <f aca="false">IF(O752&lt;K752,ROUNDUP((K752-O752)/G752,0)*G752,0)</f>
        <v>24</v>
      </c>
      <c r="Q752" s="46" t="n">
        <f aca="false">MIN(M752,I752)</f>
        <v>77</v>
      </c>
      <c r="R752" s="46" t="n">
        <f aca="false">I752-Q752</f>
        <v>0</v>
      </c>
      <c r="S752" s="46" t="n">
        <f aca="false">M752-Q752</f>
        <v>112</v>
      </c>
      <c r="T752" s="46" t="n">
        <f aca="false">IF(R752&gt;0,1,0)</f>
        <v>0</v>
      </c>
      <c r="U752" s="32" t="n">
        <f aca="false">INDEX(Forecast!$AY$7:$AY$54,C752)</f>
        <v>2</v>
      </c>
      <c r="V752" s="33" t="n">
        <f aca="false">CHOOSE(U752,INDEX(Forecast_Walkforward!$D:$D,H752),INDEX(Forecast_Walkforward!$E:$E,H752),INDEX(Forecast_Walkforward!$F:$F,H752),INDEX(Forecast_Walkforward!$G:$G,H752))</f>
        <v>53.25</v>
      </c>
      <c r="W752" s="79" t="n">
        <f aca="false">INDEX(Forecast!$BA$7:$BA$54,C752)</f>
        <v>18.3350765745324</v>
      </c>
      <c r="X752" s="33" t="n">
        <f aca="false">Z_Value*W752*SQRT(D752)</f>
        <v>30.1585172040526</v>
      </c>
      <c r="Y752" s="33" t="n">
        <f aca="false">V752*D752+X752</f>
        <v>83.4085172040526</v>
      </c>
      <c r="Z752" s="33" t="n">
        <f aca="false">SQRT((2*V752*Weeks_Per_Year*F752)/(E752*Holding_Rate))</f>
        <v>348.057107383257</v>
      </c>
      <c r="AA752" s="46" t="n">
        <f aca="false">ROUNDUP(Z752/G752,0)*G752</f>
        <v>360</v>
      </c>
      <c r="AB752" s="46" t="n">
        <f aca="false">SUMIFS(AF$741:AF751,$B$741:$B751,$B752-$D752)</f>
        <v>0</v>
      </c>
      <c r="AC752" s="46" t="n">
        <f aca="false">AI751+AB752</f>
        <v>93</v>
      </c>
      <c r="AD752" s="46" t="n">
        <f aca="false">SUMIFS(AF$741:AF751,$B$741:$B751,"&gt;"&amp;($B752-$D752))</f>
        <v>0</v>
      </c>
      <c r="AE752" s="46" t="n">
        <f aca="false">AC752+AD752</f>
        <v>93</v>
      </c>
      <c r="AF752" s="47" t="n">
        <f aca="false">IF(AE752&lt;=Y752,AA752,0)</f>
        <v>0</v>
      </c>
      <c r="AG752" s="46" t="n">
        <f aca="false">MIN(AC752,I752)</f>
        <v>77</v>
      </c>
      <c r="AH752" s="46" t="n">
        <f aca="false">I752-AG752</f>
        <v>0</v>
      </c>
      <c r="AI752" s="46" t="n">
        <f aca="false">AC752-AG752</f>
        <v>16</v>
      </c>
      <c r="AJ752" s="46" t="n">
        <f aca="false">IF(AH752&gt;0,1,0)</f>
        <v>0</v>
      </c>
    </row>
    <row r="753" customFormat="false" ht="15" hidden="false" customHeight="false" outlineLevel="0" collapsed="false">
      <c r="A753" s="31" t="str">
        <f aca="false">Inputs!$B$83</f>
        <v>CLN-007</v>
      </c>
      <c r="B753" s="46" t="n">
        <f aca="false">B752+1</f>
        <v>101</v>
      </c>
      <c r="C753" s="46" t="n">
        <f aca="false">MATCH(A753,Inputs!$B$40:$B$87,0)</f>
        <v>44</v>
      </c>
      <c r="D753" s="32" t="n">
        <f aca="false">INDEX(Inputs!$F$40:$F$87,C753)</f>
        <v>1</v>
      </c>
      <c r="E753" s="78" t="n">
        <f aca="false">INDEX(Inputs!$H$40:$H$87,C753)</f>
        <v>8</v>
      </c>
      <c r="F753" s="78" t="n">
        <f aca="false">INDEX(Inputs!$G$40:$G$87,C753)</f>
        <v>35</v>
      </c>
      <c r="G753" s="32" t="n">
        <f aca="false">INDEX(Inputs!$I$40:$I$87,C753)</f>
        <v>12</v>
      </c>
      <c r="H753" s="46" t="n">
        <f aca="false">MATCH(A753,Demand_History!$C:$C,0)+B753-1</f>
        <v>4574</v>
      </c>
      <c r="I753" s="32" t="n">
        <f aca="false">INDEX(Forecast_Walkforward!$C:$C,H753)</f>
        <v>75</v>
      </c>
      <c r="J753" s="79" t="n">
        <f aca="false">INDEX(Forecast_Walkforward!$E:$E,H753)</f>
        <v>56.75</v>
      </c>
      <c r="K753" s="33" t="n">
        <f aca="false">Baseline_Weeks*J753</f>
        <v>227</v>
      </c>
      <c r="L753" s="46" t="n">
        <f aca="false">SUMIFS(P$741:P752,$B$741:$B752,$B753-$D753)</f>
        <v>24</v>
      </c>
      <c r="M753" s="46" t="n">
        <f aca="false">S752+L753</f>
        <v>136</v>
      </c>
      <c r="N753" s="46" t="n">
        <f aca="false">SUMIFS(P$741:P752,$B$741:$B752,"&gt;"&amp;($B753-$D753))</f>
        <v>0</v>
      </c>
      <c r="O753" s="46" t="n">
        <f aca="false">M753+N753</f>
        <v>136</v>
      </c>
      <c r="P753" s="47" t="n">
        <f aca="false">IF(O753&lt;K753,ROUNDUP((K753-O753)/G753,0)*G753,0)</f>
        <v>96</v>
      </c>
      <c r="Q753" s="46" t="n">
        <f aca="false">MIN(M753,I753)</f>
        <v>75</v>
      </c>
      <c r="R753" s="46" t="n">
        <f aca="false">I753-Q753</f>
        <v>0</v>
      </c>
      <c r="S753" s="46" t="n">
        <f aca="false">M753-Q753</f>
        <v>61</v>
      </c>
      <c r="T753" s="46" t="n">
        <f aca="false">IF(R753&gt;0,1,0)</f>
        <v>0</v>
      </c>
      <c r="U753" s="32" t="n">
        <f aca="false">INDEX(Forecast!$AY$7:$AY$54,C753)</f>
        <v>2</v>
      </c>
      <c r="V753" s="33" t="n">
        <f aca="false">CHOOSE(U753,INDEX(Forecast_Walkforward!$D:$D,H753),INDEX(Forecast_Walkforward!$E:$E,H753),INDEX(Forecast_Walkforward!$F:$F,H753),INDEX(Forecast_Walkforward!$G:$G,H753))</f>
        <v>56.75</v>
      </c>
      <c r="W753" s="79" t="n">
        <f aca="false">INDEX(Forecast!$BA$7:$BA$54,C753)</f>
        <v>18.3350765745324</v>
      </c>
      <c r="X753" s="33" t="n">
        <f aca="false">Z_Value*W753*SQRT(D753)</f>
        <v>30.1585172040526</v>
      </c>
      <c r="Y753" s="33" t="n">
        <f aca="false">V753*D753+X753</f>
        <v>86.9085172040526</v>
      </c>
      <c r="Z753" s="33" t="n">
        <f aca="false">SQRT((2*V753*Weeks_Per_Year*F753)/(E753*Holding_Rate))</f>
        <v>359.313581708234</v>
      </c>
      <c r="AA753" s="46" t="n">
        <f aca="false">ROUNDUP(Z753/G753,0)*G753</f>
        <v>360</v>
      </c>
      <c r="AB753" s="46" t="n">
        <f aca="false">SUMIFS(AF$741:AF752,$B$741:$B752,$B753-$D753)</f>
        <v>0</v>
      </c>
      <c r="AC753" s="46" t="n">
        <f aca="false">AI752+AB753</f>
        <v>16</v>
      </c>
      <c r="AD753" s="46" t="n">
        <f aca="false">SUMIFS(AF$741:AF752,$B$741:$B752,"&gt;"&amp;($B753-$D753))</f>
        <v>0</v>
      </c>
      <c r="AE753" s="46" t="n">
        <f aca="false">AC753+AD753</f>
        <v>16</v>
      </c>
      <c r="AF753" s="47" t="n">
        <f aca="false">IF(AE753&lt;=Y753,AA753,0)</f>
        <v>360</v>
      </c>
      <c r="AG753" s="46" t="n">
        <f aca="false">MIN(AC753,I753)</f>
        <v>16</v>
      </c>
      <c r="AH753" s="46" t="n">
        <f aca="false">I753-AG753</f>
        <v>59</v>
      </c>
      <c r="AI753" s="46" t="n">
        <f aca="false">AC753-AG753</f>
        <v>0</v>
      </c>
      <c r="AJ753" s="46" t="n">
        <f aca="false">IF(AH753&gt;0,1,0)</f>
        <v>1</v>
      </c>
    </row>
    <row r="754" customFormat="false" ht="15" hidden="false" customHeight="false" outlineLevel="0" collapsed="false">
      <c r="A754" s="31" t="str">
        <f aca="false">Inputs!$B$83</f>
        <v>CLN-007</v>
      </c>
      <c r="B754" s="46" t="n">
        <f aca="false">B753+1</f>
        <v>102</v>
      </c>
      <c r="C754" s="46" t="n">
        <f aca="false">MATCH(A754,Inputs!$B$40:$B$87,0)</f>
        <v>44</v>
      </c>
      <c r="D754" s="32" t="n">
        <f aca="false">INDEX(Inputs!$F$40:$F$87,C754)</f>
        <v>1</v>
      </c>
      <c r="E754" s="78" t="n">
        <f aca="false">INDEX(Inputs!$H$40:$H$87,C754)</f>
        <v>8</v>
      </c>
      <c r="F754" s="78" t="n">
        <f aca="false">INDEX(Inputs!$G$40:$G$87,C754)</f>
        <v>35</v>
      </c>
      <c r="G754" s="32" t="n">
        <f aca="false">INDEX(Inputs!$I$40:$I$87,C754)</f>
        <v>12</v>
      </c>
      <c r="H754" s="46" t="n">
        <f aca="false">MATCH(A754,Demand_History!$C:$C,0)+B754-1</f>
        <v>4575</v>
      </c>
      <c r="I754" s="32" t="n">
        <f aca="false">INDEX(Forecast_Walkforward!$C:$C,H754)</f>
        <v>70</v>
      </c>
      <c r="J754" s="79" t="n">
        <f aca="false">INDEX(Forecast_Walkforward!$E:$E,H754)</f>
        <v>63</v>
      </c>
      <c r="K754" s="33" t="n">
        <f aca="false">Baseline_Weeks*J754</f>
        <v>252</v>
      </c>
      <c r="L754" s="46" t="n">
        <f aca="false">SUMIFS(P$741:P753,$B$741:$B753,$B754-$D754)</f>
        <v>96</v>
      </c>
      <c r="M754" s="46" t="n">
        <f aca="false">S753+L754</f>
        <v>157</v>
      </c>
      <c r="N754" s="46" t="n">
        <f aca="false">SUMIFS(P$741:P753,$B$741:$B753,"&gt;"&amp;($B754-$D754))</f>
        <v>0</v>
      </c>
      <c r="O754" s="46" t="n">
        <f aca="false">M754+N754</f>
        <v>157</v>
      </c>
      <c r="P754" s="47" t="n">
        <f aca="false">IF(O754&lt;K754,ROUNDUP((K754-O754)/G754,0)*G754,0)</f>
        <v>96</v>
      </c>
      <c r="Q754" s="46" t="n">
        <f aca="false">MIN(M754,I754)</f>
        <v>70</v>
      </c>
      <c r="R754" s="46" t="n">
        <f aca="false">I754-Q754</f>
        <v>0</v>
      </c>
      <c r="S754" s="46" t="n">
        <f aca="false">M754-Q754</f>
        <v>87</v>
      </c>
      <c r="T754" s="46" t="n">
        <f aca="false">IF(R754&gt;0,1,0)</f>
        <v>0</v>
      </c>
      <c r="U754" s="32" t="n">
        <f aca="false">INDEX(Forecast!$AY$7:$AY$54,C754)</f>
        <v>2</v>
      </c>
      <c r="V754" s="33" t="n">
        <f aca="false">CHOOSE(U754,INDEX(Forecast_Walkforward!$D:$D,H754),INDEX(Forecast_Walkforward!$E:$E,H754),INDEX(Forecast_Walkforward!$F:$F,H754),INDEX(Forecast_Walkforward!$G:$G,H754))</f>
        <v>63</v>
      </c>
      <c r="W754" s="79" t="n">
        <f aca="false">INDEX(Forecast!$BA$7:$BA$54,C754)</f>
        <v>18.3350765745324</v>
      </c>
      <c r="X754" s="33" t="n">
        <f aca="false">Z_Value*W754*SQRT(D754)</f>
        <v>30.1585172040526</v>
      </c>
      <c r="Y754" s="33" t="n">
        <f aca="false">V754*D754+X754</f>
        <v>93.1585172040526</v>
      </c>
      <c r="Z754" s="33" t="n">
        <f aca="false">SQRT((2*V754*Weeks_Per_Year*F754)/(E754*Holding_Rate))</f>
        <v>378.582883923719</v>
      </c>
      <c r="AA754" s="46" t="n">
        <f aca="false">ROUNDUP(Z754/G754,0)*G754</f>
        <v>384</v>
      </c>
      <c r="AB754" s="46" t="n">
        <f aca="false">SUMIFS(AF$741:AF753,$B$741:$B753,$B754-$D754)</f>
        <v>360</v>
      </c>
      <c r="AC754" s="46" t="n">
        <f aca="false">AI753+AB754</f>
        <v>360</v>
      </c>
      <c r="AD754" s="46" t="n">
        <f aca="false">SUMIFS(AF$741:AF753,$B$741:$B753,"&gt;"&amp;($B754-$D754))</f>
        <v>0</v>
      </c>
      <c r="AE754" s="46" t="n">
        <f aca="false">AC754+AD754</f>
        <v>360</v>
      </c>
      <c r="AF754" s="47" t="n">
        <f aca="false">IF(AE754&lt;=Y754,AA754,0)</f>
        <v>0</v>
      </c>
      <c r="AG754" s="46" t="n">
        <f aca="false">MIN(AC754,I754)</f>
        <v>70</v>
      </c>
      <c r="AH754" s="46" t="n">
        <f aca="false">I754-AG754</f>
        <v>0</v>
      </c>
      <c r="AI754" s="46" t="n">
        <f aca="false">AC754-AG754</f>
        <v>290</v>
      </c>
      <c r="AJ754" s="46" t="n">
        <f aca="false">IF(AH754&gt;0,1,0)</f>
        <v>0</v>
      </c>
    </row>
    <row r="755" customFormat="false" ht="15" hidden="false" customHeight="false" outlineLevel="0" collapsed="false">
      <c r="A755" s="31" t="str">
        <f aca="false">Inputs!$B$83</f>
        <v>CLN-007</v>
      </c>
      <c r="B755" s="46" t="n">
        <f aca="false">B754+1</f>
        <v>103</v>
      </c>
      <c r="C755" s="46" t="n">
        <f aca="false">MATCH(A755,Inputs!$B$40:$B$87,0)</f>
        <v>44</v>
      </c>
      <c r="D755" s="32" t="n">
        <f aca="false">INDEX(Inputs!$F$40:$F$87,C755)</f>
        <v>1</v>
      </c>
      <c r="E755" s="78" t="n">
        <f aca="false">INDEX(Inputs!$H$40:$H$87,C755)</f>
        <v>8</v>
      </c>
      <c r="F755" s="78" t="n">
        <f aca="false">INDEX(Inputs!$G$40:$G$87,C755)</f>
        <v>35</v>
      </c>
      <c r="G755" s="32" t="n">
        <f aca="false">INDEX(Inputs!$I$40:$I$87,C755)</f>
        <v>12</v>
      </c>
      <c r="H755" s="46" t="n">
        <f aca="false">MATCH(A755,Demand_History!$C:$C,0)+B755-1</f>
        <v>4576</v>
      </c>
      <c r="I755" s="32" t="n">
        <f aca="false">INDEX(Forecast_Walkforward!$C:$C,H755)</f>
        <v>90</v>
      </c>
      <c r="J755" s="79" t="n">
        <f aca="false">INDEX(Forecast_Walkforward!$E:$E,H755)</f>
        <v>68.75</v>
      </c>
      <c r="K755" s="33" t="n">
        <f aca="false">Baseline_Weeks*J755</f>
        <v>275</v>
      </c>
      <c r="L755" s="46" t="n">
        <f aca="false">SUMIFS(P$741:P754,$B$741:$B754,$B755-$D755)</f>
        <v>96</v>
      </c>
      <c r="M755" s="46" t="n">
        <f aca="false">S754+L755</f>
        <v>183</v>
      </c>
      <c r="N755" s="46" t="n">
        <f aca="false">SUMIFS(P$741:P754,$B$741:$B754,"&gt;"&amp;($B755-$D755))</f>
        <v>0</v>
      </c>
      <c r="O755" s="46" t="n">
        <f aca="false">M755+N755</f>
        <v>183</v>
      </c>
      <c r="P755" s="47" t="n">
        <f aca="false">IF(O755&lt;K755,ROUNDUP((K755-O755)/G755,0)*G755,0)</f>
        <v>96</v>
      </c>
      <c r="Q755" s="46" t="n">
        <f aca="false">MIN(M755,I755)</f>
        <v>90</v>
      </c>
      <c r="R755" s="46" t="n">
        <f aca="false">I755-Q755</f>
        <v>0</v>
      </c>
      <c r="S755" s="46" t="n">
        <f aca="false">M755-Q755</f>
        <v>93</v>
      </c>
      <c r="T755" s="46" t="n">
        <f aca="false">IF(R755&gt;0,1,0)</f>
        <v>0</v>
      </c>
      <c r="U755" s="32" t="n">
        <f aca="false">INDEX(Forecast!$AY$7:$AY$54,C755)</f>
        <v>2</v>
      </c>
      <c r="V755" s="33" t="n">
        <f aca="false">CHOOSE(U755,INDEX(Forecast_Walkforward!$D:$D,H755),INDEX(Forecast_Walkforward!$E:$E,H755),INDEX(Forecast_Walkforward!$F:$F,H755),INDEX(Forecast_Walkforward!$G:$G,H755))</f>
        <v>68.75</v>
      </c>
      <c r="W755" s="79" t="n">
        <f aca="false">INDEX(Forecast!$BA$7:$BA$54,C755)</f>
        <v>18.3350765745324</v>
      </c>
      <c r="X755" s="33" t="n">
        <f aca="false">Z_Value*W755*SQRT(D755)</f>
        <v>30.1585172040526</v>
      </c>
      <c r="Y755" s="33" t="n">
        <f aca="false">V755*D755+X755</f>
        <v>98.9085172040526</v>
      </c>
      <c r="Z755" s="33" t="n">
        <f aca="false">SQRT((2*V755*Weeks_Per_Year*F755)/(E755*Holding_Rate))</f>
        <v>395.482300488909</v>
      </c>
      <c r="AA755" s="46" t="n">
        <f aca="false">ROUNDUP(Z755/G755,0)*G755</f>
        <v>396</v>
      </c>
      <c r="AB755" s="46" t="n">
        <f aca="false">SUMIFS(AF$741:AF754,$B$741:$B754,$B755-$D755)</f>
        <v>0</v>
      </c>
      <c r="AC755" s="46" t="n">
        <f aca="false">AI754+AB755</f>
        <v>290</v>
      </c>
      <c r="AD755" s="46" t="n">
        <f aca="false">SUMIFS(AF$741:AF754,$B$741:$B754,"&gt;"&amp;($B755-$D755))</f>
        <v>0</v>
      </c>
      <c r="AE755" s="46" t="n">
        <f aca="false">AC755+AD755</f>
        <v>290</v>
      </c>
      <c r="AF755" s="47" t="n">
        <f aca="false">IF(AE755&lt;=Y755,AA755,0)</f>
        <v>0</v>
      </c>
      <c r="AG755" s="46" t="n">
        <f aca="false">MIN(AC755,I755)</f>
        <v>90</v>
      </c>
      <c r="AH755" s="46" t="n">
        <f aca="false">I755-AG755</f>
        <v>0</v>
      </c>
      <c r="AI755" s="46" t="n">
        <f aca="false">AC755-AG755</f>
        <v>200</v>
      </c>
      <c r="AJ755" s="46" t="n">
        <f aca="false">IF(AH755&gt;0,1,0)</f>
        <v>0</v>
      </c>
    </row>
    <row r="756" customFormat="false" ht="15" hidden="false" customHeight="false" outlineLevel="0" collapsed="false">
      <c r="A756" s="80" t="str">
        <f aca="false">Inputs!$B$83</f>
        <v>CLN-007</v>
      </c>
      <c r="B756" s="81" t="n">
        <f aca="false">B755+1</f>
        <v>104</v>
      </c>
      <c r="C756" s="81" t="n">
        <f aca="false">MATCH(A756,Inputs!$B$40:$B$87,0)</f>
        <v>44</v>
      </c>
      <c r="D756" s="82" t="n">
        <f aca="false">INDEX(Inputs!$F$40:$F$87,C756)</f>
        <v>1</v>
      </c>
      <c r="E756" s="83" t="n">
        <f aca="false">INDEX(Inputs!$H$40:$H$87,C756)</f>
        <v>8</v>
      </c>
      <c r="F756" s="83" t="n">
        <f aca="false">INDEX(Inputs!$G$40:$G$87,C756)</f>
        <v>35</v>
      </c>
      <c r="G756" s="82" t="n">
        <f aca="false">INDEX(Inputs!$I$40:$I$87,C756)</f>
        <v>12</v>
      </c>
      <c r="H756" s="81" t="n">
        <f aca="false">MATCH(A756,Demand_History!$C:$C,0)+B756-1</f>
        <v>4577</v>
      </c>
      <c r="I756" s="82" t="n">
        <f aca="false">INDEX(Forecast_Walkforward!$C:$C,H756)</f>
        <v>59</v>
      </c>
      <c r="J756" s="84" t="n">
        <f aca="false">INDEX(Forecast_Walkforward!$E:$E,H756)</f>
        <v>78</v>
      </c>
      <c r="K756" s="85" t="n">
        <f aca="false">Baseline_Weeks*J756</f>
        <v>312</v>
      </c>
      <c r="L756" s="81" t="n">
        <f aca="false">SUMIFS(P$741:P755,$B$741:$B755,$B756-$D756)</f>
        <v>96</v>
      </c>
      <c r="M756" s="81" t="n">
        <f aca="false">S755+L756</f>
        <v>189</v>
      </c>
      <c r="N756" s="81" t="n">
        <f aca="false">SUMIFS(P$741:P755,$B$741:$B755,"&gt;"&amp;($B756-$D756))</f>
        <v>0</v>
      </c>
      <c r="O756" s="81" t="n">
        <f aca="false">M756+N756</f>
        <v>189</v>
      </c>
      <c r="P756" s="86" t="n">
        <f aca="false">IF(O756&lt;K756,ROUNDUP((K756-O756)/G756,0)*G756,0)</f>
        <v>132</v>
      </c>
      <c r="Q756" s="81" t="n">
        <f aca="false">MIN(M756,I756)</f>
        <v>59</v>
      </c>
      <c r="R756" s="81" t="n">
        <f aca="false">I756-Q756</f>
        <v>0</v>
      </c>
      <c r="S756" s="81" t="n">
        <f aca="false">M756-Q756</f>
        <v>130</v>
      </c>
      <c r="T756" s="81" t="n">
        <f aca="false">IF(R756&gt;0,1,0)</f>
        <v>0</v>
      </c>
      <c r="U756" s="82" t="n">
        <f aca="false">INDEX(Forecast!$AY$7:$AY$54,C756)</f>
        <v>2</v>
      </c>
      <c r="V756" s="85" t="n">
        <f aca="false">CHOOSE(U756,INDEX(Forecast_Walkforward!$D:$D,H756),INDEX(Forecast_Walkforward!$E:$E,H756),INDEX(Forecast_Walkforward!$F:$F,H756),INDEX(Forecast_Walkforward!$G:$G,H756))</f>
        <v>78</v>
      </c>
      <c r="W756" s="84" t="n">
        <f aca="false">INDEX(Forecast!$BA$7:$BA$54,C756)</f>
        <v>18.3350765745324</v>
      </c>
      <c r="X756" s="85" t="n">
        <f aca="false">Z_Value*W756*SQRT(D756)</f>
        <v>30.1585172040526</v>
      </c>
      <c r="Y756" s="85" t="n">
        <f aca="false">V756*D756+X756</f>
        <v>108.158517204053</v>
      </c>
      <c r="Z756" s="85" t="n">
        <f aca="false">SQRT((2*V756*Weeks_Per_Year*F756)/(E756*Holding_Rate))</f>
        <v>421.248145396511</v>
      </c>
      <c r="AA756" s="81" t="n">
        <f aca="false">ROUNDUP(Z756/G756,0)*G756</f>
        <v>432</v>
      </c>
      <c r="AB756" s="81" t="n">
        <f aca="false">SUMIFS(AF$741:AF755,$B$741:$B755,$B756-$D756)</f>
        <v>0</v>
      </c>
      <c r="AC756" s="81" t="n">
        <f aca="false">AI755+AB756</f>
        <v>200</v>
      </c>
      <c r="AD756" s="81" t="n">
        <f aca="false">SUMIFS(AF$741:AF755,$B$741:$B755,"&gt;"&amp;($B756-$D756))</f>
        <v>0</v>
      </c>
      <c r="AE756" s="81" t="n">
        <f aca="false">AC756+AD756</f>
        <v>200</v>
      </c>
      <c r="AF756" s="86" t="n">
        <f aca="false">IF(AE756&lt;=Y756,AA756,0)</f>
        <v>0</v>
      </c>
      <c r="AG756" s="81" t="n">
        <f aca="false">MIN(AC756,I756)</f>
        <v>59</v>
      </c>
      <c r="AH756" s="81" t="n">
        <f aca="false">I756-AG756</f>
        <v>0</v>
      </c>
      <c r="AI756" s="81" t="n">
        <f aca="false">AC756-AG756</f>
        <v>141</v>
      </c>
      <c r="AJ756" s="81" t="n">
        <f aca="false">IF(AH756&gt;0,1,0)</f>
        <v>0</v>
      </c>
    </row>
    <row r="757" customFormat="false" ht="15" hidden="false" customHeight="false" outlineLevel="0" collapsed="false">
      <c r="A757" s="31" t="str">
        <f aca="false">Inputs!$B$84</f>
        <v>CLN-008</v>
      </c>
      <c r="B757" s="46" t="n">
        <f aca="false">BT_Start_Week</f>
        <v>89</v>
      </c>
      <c r="C757" s="46" t="n">
        <f aca="false">MATCH(A757,Inputs!$B$40:$B$87,0)</f>
        <v>45</v>
      </c>
      <c r="D757" s="32" t="n">
        <f aca="false">INDEX(Inputs!$F$40:$F$87,C757)</f>
        <v>1</v>
      </c>
      <c r="E757" s="78" t="n">
        <f aca="false">INDEX(Inputs!$H$40:$H$87,C757)</f>
        <v>7</v>
      </c>
      <c r="F757" s="78" t="n">
        <f aca="false">INDEX(Inputs!$G$40:$G$87,C757)</f>
        <v>35</v>
      </c>
      <c r="G757" s="32" t="n">
        <f aca="false">INDEX(Inputs!$I$40:$I$87,C757)</f>
        <v>24</v>
      </c>
      <c r="H757" s="46" t="n">
        <f aca="false">MATCH(A757,Demand_History!$C:$C,0)+B757-1</f>
        <v>4666</v>
      </c>
      <c r="I757" s="32" t="n">
        <f aca="false">INDEX(Forecast_Walkforward!$C:$C,H757)</f>
        <v>75</v>
      </c>
      <c r="J757" s="79" t="n">
        <f aca="false">INDEX(Forecast_Walkforward!$E:$E,H757)</f>
        <v>78</v>
      </c>
      <c r="K757" s="33" t="n">
        <f aca="false">Baseline_Weeks*J757</f>
        <v>312</v>
      </c>
      <c r="L757" s="46" t="n">
        <f aca="false">0</f>
        <v>0</v>
      </c>
      <c r="M757" s="46" t="n">
        <f aca="false">ROUND(BT_Open_Cover*INDEX(Forecast_Walkforward!$F:$F,H757),0)+L757</f>
        <v>475</v>
      </c>
      <c r="N757" s="46" t="n">
        <f aca="false">0</f>
        <v>0</v>
      </c>
      <c r="O757" s="46" t="n">
        <f aca="false">M757+N757</f>
        <v>475</v>
      </c>
      <c r="P757" s="47" t="n">
        <f aca="false">IF(O757&lt;K757,ROUNDUP((K757-O757)/G757,0)*G757,0)</f>
        <v>0</v>
      </c>
      <c r="Q757" s="46" t="n">
        <f aca="false">MIN(M757,I757)</f>
        <v>75</v>
      </c>
      <c r="R757" s="46" t="n">
        <f aca="false">I757-Q757</f>
        <v>0</v>
      </c>
      <c r="S757" s="46" t="n">
        <f aca="false">M757-Q757</f>
        <v>400</v>
      </c>
      <c r="T757" s="46" t="n">
        <f aca="false">IF(R757&gt;0,1,0)</f>
        <v>0</v>
      </c>
      <c r="U757" s="32" t="n">
        <f aca="false">INDEX(Forecast!$AY$7:$AY$54,C757)</f>
        <v>2</v>
      </c>
      <c r="V757" s="33" t="n">
        <f aca="false">CHOOSE(U757,INDEX(Forecast_Walkforward!$D:$D,H757),INDEX(Forecast_Walkforward!$E:$E,H757),INDEX(Forecast_Walkforward!$F:$F,H757),INDEX(Forecast_Walkforward!$G:$G,H757))</f>
        <v>78</v>
      </c>
      <c r="W757" s="79" t="n">
        <f aca="false">INDEX(Forecast!$BA$7:$BA$54,C757)</f>
        <v>9.97570932734662</v>
      </c>
      <c r="X757" s="33" t="n">
        <f aca="false">Z_Value*W757*SQRT(D757)</f>
        <v>16.4085816684997</v>
      </c>
      <c r="Y757" s="33" t="n">
        <f aca="false">V757*D757+X757</f>
        <v>94.4085816684997</v>
      </c>
      <c r="Z757" s="33" t="n">
        <f aca="false">SQRT((2*V757*Weeks_Per_Year*F757)/(E757*Holding_Rate))</f>
        <v>450.333209967908</v>
      </c>
      <c r="AA757" s="46" t="n">
        <f aca="false">ROUNDUP(Z757/G757,0)*G757</f>
        <v>456</v>
      </c>
      <c r="AB757" s="46" t="n">
        <f aca="false">0</f>
        <v>0</v>
      </c>
      <c r="AC757" s="46" t="n">
        <f aca="false">ROUND(BT_Open_Cover*INDEX(Forecast_Walkforward!$F:$F,H757),0)+AB757</f>
        <v>475</v>
      </c>
      <c r="AD757" s="46" t="n">
        <f aca="false">0</f>
        <v>0</v>
      </c>
      <c r="AE757" s="46" t="n">
        <f aca="false">AC757+AD757</f>
        <v>475</v>
      </c>
      <c r="AF757" s="47" t="n">
        <f aca="false">IF(AE757&lt;=Y757,AA757,0)</f>
        <v>0</v>
      </c>
      <c r="AG757" s="46" t="n">
        <f aca="false">MIN(AC757,I757)</f>
        <v>75</v>
      </c>
      <c r="AH757" s="46" t="n">
        <f aca="false">I757-AG757</f>
        <v>0</v>
      </c>
      <c r="AI757" s="46" t="n">
        <f aca="false">AC757-AG757</f>
        <v>400</v>
      </c>
      <c r="AJ757" s="46" t="n">
        <f aca="false">IF(AH757&gt;0,1,0)</f>
        <v>0</v>
      </c>
    </row>
    <row r="758" customFormat="false" ht="15" hidden="false" customHeight="false" outlineLevel="0" collapsed="false">
      <c r="A758" s="31" t="str">
        <f aca="false">Inputs!$B$84</f>
        <v>CLN-008</v>
      </c>
      <c r="B758" s="46" t="n">
        <f aca="false">B757+1</f>
        <v>90</v>
      </c>
      <c r="C758" s="46" t="n">
        <f aca="false">MATCH(A758,Inputs!$B$40:$B$87,0)</f>
        <v>45</v>
      </c>
      <c r="D758" s="32" t="n">
        <f aca="false">INDEX(Inputs!$F$40:$F$87,C758)</f>
        <v>1</v>
      </c>
      <c r="E758" s="78" t="n">
        <f aca="false">INDEX(Inputs!$H$40:$H$87,C758)</f>
        <v>7</v>
      </c>
      <c r="F758" s="78" t="n">
        <f aca="false">INDEX(Inputs!$G$40:$G$87,C758)</f>
        <v>35</v>
      </c>
      <c r="G758" s="32" t="n">
        <f aca="false">INDEX(Inputs!$I$40:$I$87,C758)</f>
        <v>24</v>
      </c>
      <c r="H758" s="46" t="n">
        <f aca="false">MATCH(A758,Demand_History!$C:$C,0)+B758-1</f>
        <v>4667</v>
      </c>
      <c r="I758" s="32" t="n">
        <f aca="false">INDEX(Forecast_Walkforward!$C:$C,H758)</f>
        <v>88</v>
      </c>
      <c r="J758" s="79" t="n">
        <f aca="false">INDEX(Forecast_Walkforward!$E:$E,H758)</f>
        <v>75.5</v>
      </c>
      <c r="K758" s="33" t="n">
        <f aca="false">Baseline_Weeks*J758</f>
        <v>302</v>
      </c>
      <c r="L758" s="46" t="n">
        <f aca="false">SUMIFS(P$757:P757,$B$757:$B757,$B758-$D758)</f>
        <v>0</v>
      </c>
      <c r="M758" s="46" t="n">
        <f aca="false">S757+L758</f>
        <v>400</v>
      </c>
      <c r="N758" s="46" t="n">
        <f aca="false">SUMIFS(P$757:P757,$B$757:$B757,"&gt;"&amp;($B758-$D758))</f>
        <v>0</v>
      </c>
      <c r="O758" s="46" t="n">
        <f aca="false">M758+N758</f>
        <v>400</v>
      </c>
      <c r="P758" s="47" t="n">
        <f aca="false">IF(O758&lt;K758,ROUNDUP((K758-O758)/G758,0)*G758,0)</f>
        <v>0</v>
      </c>
      <c r="Q758" s="46" t="n">
        <f aca="false">MIN(M758,I758)</f>
        <v>88</v>
      </c>
      <c r="R758" s="46" t="n">
        <f aca="false">I758-Q758</f>
        <v>0</v>
      </c>
      <c r="S758" s="46" t="n">
        <f aca="false">M758-Q758</f>
        <v>312</v>
      </c>
      <c r="T758" s="46" t="n">
        <f aca="false">IF(R758&gt;0,1,0)</f>
        <v>0</v>
      </c>
      <c r="U758" s="32" t="n">
        <f aca="false">INDEX(Forecast!$AY$7:$AY$54,C758)</f>
        <v>2</v>
      </c>
      <c r="V758" s="33" t="n">
        <f aca="false">CHOOSE(U758,INDEX(Forecast_Walkforward!$D:$D,H758),INDEX(Forecast_Walkforward!$E:$E,H758),INDEX(Forecast_Walkforward!$F:$F,H758),INDEX(Forecast_Walkforward!$G:$G,H758))</f>
        <v>75.5</v>
      </c>
      <c r="W758" s="79" t="n">
        <f aca="false">INDEX(Forecast!$BA$7:$BA$54,C758)</f>
        <v>9.97570932734662</v>
      </c>
      <c r="X758" s="33" t="n">
        <f aca="false">Z_Value*W758*SQRT(D758)</f>
        <v>16.4085816684997</v>
      </c>
      <c r="Y758" s="33" t="n">
        <f aca="false">V758*D758+X758</f>
        <v>91.9085816684997</v>
      </c>
      <c r="Z758" s="33" t="n">
        <f aca="false">SQRT((2*V758*Weeks_Per_Year*F758)/(E758*Holding_Rate))</f>
        <v>443.057558337514</v>
      </c>
      <c r="AA758" s="46" t="n">
        <f aca="false">ROUNDUP(Z758/G758,0)*G758</f>
        <v>456</v>
      </c>
      <c r="AB758" s="46" t="n">
        <f aca="false">SUMIFS(AF$757:AF757,$B$757:$B757,$B758-$D758)</f>
        <v>0</v>
      </c>
      <c r="AC758" s="46" t="n">
        <f aca="false">AI757+AB758</f>
        <v>400</v>
      </c>
      <c r="AD758" s="46" t="n">
        <f aca="false">SUMIFS(AF$757:AF757,$B$757:$B757,"&gt;"&amp;($B758-$D758))</f>
        <v>0</v>
      </c>
      <c r="AE758" s="46" t="n">
        <f aca="false">AC758+AD758</f>
        <v>400</v>
      </c>
      <c r="AF758" s="47" t="n">
        <f aca="false">IF(AE758&lt;=Y758,AA758,0)</f>
        <v>0</v>
      </c>
      <c r="AG758" s="46" t="n">
        <f aca="false">MIN(AC758,I758)</f>
        <v>88</v>
      </c>
      <c r="AH758" s="46" t="n">
        <f aca="false">I758-AG758</f>
        <v>0</v>
      </c>
      <c r="AI758" s="46" t="n">
        <f aca="false">AC758-AG758</f>
        <v>312</v>
      </c>
      <c r="AJ758" s="46" t="n">
        <f aca="false">IF(AH758&gt;0,1,0)</f>
        <v>0</v>
      </c>
    </row>
    <row r="759" customFormat="false" ht="15" hidden="false" customHeight="false" outlineLevel="0" collapsed="false">
      <c r="A759" s="31" t="str">
        <f aca="false">Inputs!$B$84</f>
        <v>CLN-008</v>
      </c>
      <c r="B759" s="46" t="n">
        <f aca="false">B758+1</f>
        <v>91</v>
      </c>
      <c r="C759" s="46" t="n">
        <f aca="false">MATCH(A759,Inputs!$B$40:$B$87,0)</f>
        <v>45</v>
      </c>
      <c r="D759" s="32" t="n">
        <f aca="false">INDEX(Inputs!$F$40:$F$87,C759)</f>
        <v>1</v>
      </c>
      <c r="E759" s="78" t="n">
        <f aca="false">INDEX(Inputs!$H$40:$H$87,C759)</f>
        <v>7</v>
      </c>
      <c r="F759" s="78" t="n">
        <f aca="false">INDEX(Inputs!$G$40:$G$87,C759)</f>
        <v>35</v>
      </c>
      <c r="G759" s="32" t="n">
        <f aca="false">INDEX(Inputs!$I$40:$I$87,C759)</f>
        <v>24</v>
      </c>
      <c r="H759" s="46" t="n">
        <f aca="false">MATCH(A759,Demand_History!$C:$C,0)+B759-1</f>
        <v>4668</v>
      </c>
      <c r="I759" s="32" t="n">
        <f aca="false">INDEX(Forecast_Walkforward!$C:$C,H759)</f>
        <v>66</v>
      </c>
      <c r="J759" s="79" t="n">
        <f aca="false">INDEX(Forecast_Walkforward!$E:$E,H759)</f>
        <v>80.5</v>
      </c>
      <c r="K759" s="33" t="n">
        <f aca="false">Baseline_Weeks*J759</f>
        <v>322</v>
      </c>
      <c r="L759" s="46" t="n">
        <f aca="false">SUMIFS(P$757:P758,$B$757:$B758,$B759-$D759)</f>
        <v>0</v>
      </c>
      <c r="M759" s="46" t="n">
        <f aca="false">S758+L759</f>
        <v>312</v>
      </c>
      <c r="N759" s="46" t="n">
        <f aca="false">SUMIFS(P$757:P758,$B$757:$B758,"&gt;"&amp;($B759-$D759))</f>
        <v>0</v>
      </c>
      <c r="O759" s="46" t="n">
        <f aca="false">M759+N759</f>
        <v>312</v>
      </c>
      <c r="P759" s="47" t="n">
        <f aca="false">IF(O759&lt;K759,ROUNDUP((K759-O759)/G759,0)*G759,0)</f>
        <v>24</v>
      </c>
      <c r="Q759" s="46" t="n">
        <f aca="false">MIN(M759,I759)</f>
        <v>66</v>
      </c>
      <c r="R759" s="46" t="n">
        <f aca="false">I759-Q759</f>
        <v>0</v>
      </c>
      <c r="S759" s="46" t="n">
        <f aca="false">M759-Q759</f>
        <v>246</v>
      </c>
      <c r="T759" s="46" t="n">
        <f aca="false">IF(R759&gt;0,1,0)</f>
        <v>0</v>
      </c>
      <c r="U759" s="32" t="n">
        <f aca="false">INDEX(Forecast!$AY$7:$AY$54,C759)</f>
        <v>2</v>
      </c>
      <c r="V759" s="33" t="n">
        <f aca="false">CHOOSE(U759,INDEX(Forecast_Walkforward!$D:$D,H759),INDEX(Forecast_Walkforward!$E:$E,H759),INDEX(Forecast_Walkforward!$F:$F,H759),INDEX(Forecast_Walkforward!$G:$G,H759))</f>
        <v>80.5</v>
      </c>
      <c r="W759" s="79" t="n">
        <f aca="false">INDEX(Forecast!$BA$7:$BA$54,C759)</f>
        <v>9.97570932734662</v>
      </c>
      <c r="X759" s="33" t="n">
        <f aca="false">Z_Value*W759*SQRT(D759)</f>
        <v>16.4085816684997</v>
      </c>
      <c r="Y759" s="33" t="n">
        <f aca="false">V759*D759+X759</f>
        <v>96.9085816684997</v>
      </c>
      <c r="Z759" s="33" t="n">
        <f aca="false">SQRT((2*V759*Weeks_Per_Year*F759)/(E759*Holding_Rate))</f>
        <v>457.493169347915</v>
      </c>
      <c r="AA759" s="46" t="n">
        <f aca="false">ROUNDUP(Z759/G759,0)*G759</f>
        <v>480</v>
      </c>
      <c r="AB759" s="46" t="n">
        <f aca="false">SUMIFS(AF$757:AF758,$B$757:$B758,$B759-$D759)</f>
        <v>0</v>
      </c>
      <c r="AC759" s="46" t="n">
        <f aca="false">AI758+AB759</f>
        <v>312</v>
      </c>
      <c r="AD759" s="46" t="n">
        <f aca="false">SUMIFS(AF$757:AF758,$B$757:$B758,"&gt;"&amp;($B759-$D759))</f>
        <v>0</v>
      </c>
      <c r="AE759" s="46" t="n">
        <f aca="false">AC759+AD759</f>
        <v>312</v>
      </c>
      <c r="AF759" s="47" t="n">
        <f aca="false">IF(AE759&lt;=Y759,AA759,0)</f>
        <v>0</v>
      </c>
      <c r="AG759" s="46" t="n">
        <f aca="false">MIN(AC759,I759)</f>
        <v>66</v>
      </c>
      <c r="AH759" s="46" t="n">
        <f aca="false">I759-AG759</f>
        <v>0</v>
      </c>
      <c r="AI759" s="46" t="n">
        <f aca="false">AC759-AG759</f>
        <v>246</v>
      </c>
      <c r="AJ759" s="46" t="n">
        <f aca="false">IF(AH759&gt;0,1,0)</f>
        <v>0</v>
      </c>
    </row>
    <row r="760" customFormat="false" ht="15" hidden="false" customHeight="false" outlineLevel="0" collapsed="false">
      <c r="A760" s="31" t="str">
        <f aca="false">Inputs!$B$84</f>
        <v>CLN-008</v>
      </c>
      <c r="B760" s="46" t="n">
        <f aca="false">B759+1</f>
        <v>92</v>
      </c>
      <c r="C760" s="46" t="n">
        <f aca="false">MATCH(A760,Inputs!$B$40:$B$87,0)</f>
        <v>45</v>
      </c>
      <c r="D760" s="32" t="n">
        <f aca="false">INDEX(Inputs!$F$40:$F$87,C760)</f>
        <v>1</v>
      </c>
      <c r="E760" s="78" t="n">
        <f aca="false">INDEX(Inputs!$H$40:$H$87,C760)</f>
        <v>7</v>
      </c>
      <c r="F760" s="78" t="n">
        <f aca="false">INDEX(Inputs!$G$40:$G$87,C760)</f>
        <v>35</v>
      </c>
      <c r="G760" s="32" t="n">
        <f aca="false">INDEX(Inputs!$I$40:$I$87,C760)</f>
        <v>24</v>
      </c>
      <c r="H760" s="46" t="n">
        <f aca="false">MATCH(A760,Demand_History!$C:$C,0)+B760-1</f>
        <v>4669</v>
      </c>
      <c r="I760" s="32" t="n">
        <f aca="false">INDEX(Forecast_Walkforward!$C:$C,H760)</f>
        <v>76</v>
      </c>
      <c r="J760" s="79" t="n">
        <f aca="false">INDEX(Forecast_Walkforward!$E:$E,H760)</f>
        <v>77</v>
      </c>
      <c r="K760" s="33" t="n">
        <f aca="false">Baseline_Weeks*J760</f>
        <v>308</v>
      </c>
      <c r="L760" s="46" t="n">
        <f aca="false">SUMIFS(P$757:P759,$B$757:$B759,$B760-$D760)</f>
        <v>24</v>
      </c>
      <c r="M760" s="46" t="n">
        <f aca="false">S759+L760</f>
        <v>270</v>
      </c>
      <c r="N760" s="46" t="n">
        <f aca="false">SUMIFS(P$757:P759,$B$757:$B759,"&gt;"&amp;($B760-$D760))</f>
        <v>0</v>
      </c>
      <c r="O760" s="46" t="n">
        <f aca="false">M760+N760</f>
        <v>270</v>
      </c>
      <c r="P760" s="47" t="n">
        <f aca="false">IF(O760&lt;K760,ROUNDUP((K760-O760)/G760,0)*G760,0)</f>
        <v>48</v>
      </c>
      <c r="Q760" s="46" t="n">
        <f aca="false">MIN(M760,I760)</f>
        <v>76</v>
      </c>
      <c r="R760" s="46" t="n">
        <f aca="false">I760-Q760</f>
        <v>0</v>
      </c>
      <c r="S760" s="46" t="n">
        <f aca="false">M760-Q760</f>
        <v>194</v>
      </c>
      <c r="T760" s="46" t="n">
        <f aca="false">IF(R760&gt;0,1,0)</f>
        <v>0</v>
      </c>
      <c r="U760" s="32" t="n">
        <f aca="false">INDEX(Forecast!$AY$7:$AY$54,C760)</f>
        <v>2</v>
      </c>
      <c r="V760" s="33" t="n">
        <f aca="false">CHOOSE(U760,INDEX(Forecast_Walkforward!$D:$D,H760),INDEX(Forecast_Walkforward!$E:$E,H760),INDEX(Forecast_Walkforward!$F:$F,H760),INDEX(Forecast_Walkforward!$G:$G,H760))</f>
        <v>77</v>
      </c>
      <c r="W760" s="79" t="n">
        <f aca="false">INDEX(Forecast!$BA$7:$BA$54,C760)</f>
        <v>9.97570932734662</v>
      </c>
      <c r="X760" s="33" t="n">
        <f aca="false">Z_Value*W760*SQRT(D760)</f>
        <v>16.4085816684997</v>
      </c>
      <c r="Y760" s="33" t="n">
        <f aca="false">V760*D760+X760</f>
        <v>93.4085816684997</v>
      </c>
      <c r="Z760" s="33" t="n">
        <f aca="false">SQRT((2*V760*Weeks_Per_Year*F760)/(E760*Holding_Rate))</f>
        <v>447.437146423942</v>
      </c>
      <c r="AA760" s="46" t="n">
        <f aca="false">ROUNDUP(Z760/G760,0)*G760</f>
        <v>456</v>
      </c>
      <c r="AB760" s="46" t="n">
        <f aca="false">SUMIFS(AF$757:AF759,$B$757:$B759,$B760-$D760)</f>
        <v>0</v>
      </c>
      <c r="AC760" s="46" t="n">
        <f aca="false">AI759+AB760</f>
        <v>246</v>
      </c>
      <c r="AD760" s="46" t="n">
        <f aca="false">SUMIFS(AF$757:AF759,$B$757:$B759,"&gt;"&amp;($B760-$D760))</f>
        <v>0</v>
      </c>
      <c r="AE760" s="46" t="n">
        <f aca="false">AC760+AD760</f>
        <v>246</v>
      </c>
      <c r="AF760" s="47" t="n">
        <f aca="false">IF(AE760&lt;=Y760,AA760,0)</f>
        <v>0</v>
      </c>
      <c r="AG760" s="46" t="n">
        <f aca="false">MIN(AC760,I760)</f>
        <v>76</v>
      </c>
      <c r="AH760" s="46" t="n">
        <f aca="false">I760-AG760</f>
        <v>0</v>
      </c>
      <c r="AI760" s="46" t="n">
        <f aca="false">AC760-AG760</f>
        <v>170</v>
      </c>
      <c r="AJ760" s="46" t="n">
        <f aca="false">IF(AH760&gt;0,1,0)</f>
        <v>0</v>
      </c>
    </row>
    <row r="761" customFormat="false" ht="15" hidden="false" customHeight="false" outlineLevel="0" collapsed="false">
      <c r="A761" s="31" t="str">
        <f aca="false">Inputs!$B$84</f>
        <v>CLN-008</v>
      </c>
      <c r="B761" s="46" t="n">
        <f aca="false">B760+1</f>
        <v>93</v>
      </c>
      <c r="C761" s="46" t="n">
        <f aca="false">MATCH(A761,Inputs!$B$40:$B$87,0)</f>
        <v>45</v>
      </c>
      <c r="D761" s="32" t="n">
        <f aca="false">INDEX(Inputs!$F$40:$F$87,C761)</f>
        <v>1</v>
      </c>
      <c r="E761" s="78" t="n">
        <f aca="false">INDEX(Inputs!$H$40:$H$87,C761)</f>
        <v>7</v>
      </c>
      <c r="F761" s="78" t="n">
        <f aca="false">INDEX(Inputs!$G$40:$G$87,C761)</f>
        <v>35</v>
      </c>
      <c r="G761" s="32" t="n">
        <f aca="false">INDEX(Inputs!$I$40:$I$87,C761)</f>
        <v>24</v>
      </c>
      <c r="H761" s="46" t="n">
        <f aca="false">MATCH(A761,Demand_History!$C:$C,0)+B761-1</f>
        <v>4670</v>
      </c>
      <c r="I761" s="32" t="n">
        <f aca="false">INDEX(Forecast_Walkforward!$C:$C,H761)</f>
        <v>71</v>
      </c>
      <c r="J761" s="79" t="n">
        <f aca="false">INDEX(Forecast_Walkforward!$E:$E,H761)</f>
        <v>76.25</v>
      </c>
      <c r="K761" s="33" t="n">
        <f aca="false">Baseline_Weeks*J761</f>
        <v>305</v>
      </c>
      <c r="L761" s="46" t="n">
        <f aca="false">SUMIFS(P$757:P760,$B$757:$B760,$B761-$D761)</f>
        <v>48</v>
      </c>
      <c r="M761" s="46" t="n">
        <f aca="false">S760+L761</f>
        <v>242</v>
      </c>
      <c r="N761" s="46" t="n">
        <f aca="false">SUMIFS(P$757:P760,$B$757:$B760,"&gt;"&amp;($B761-$D761))</f>
        <v>0</v>
      </c>
      <c r="O761" s="46" t="n">
        <f aca="false">M761+N761</f>
        <v>242</v>
      </c>
      <c r="P761" s="47" t="n">
        <f aca="false">IF(O761&lt;K761,ROUNDUP((K761-O761)/G761,0)*G761,0)</f>
        <v>72</v>
      </c>
      <c r="Q761" s="46" t="n">
        <f aca="false">MIN(M761,I761)</f>
        <v>71</v>
      </c>
      <c r="R761" s="46" t="n">
        <f aca="false">I761-Q761</f>
        <v>0</v>
      </c>
      <c r="S761" s="46" t="n">
        <f aca="false">M761-Q761</f>
        <v>171</v>
      </c>
      <c r="T761" s="46" t="n">
        <f aca="false">IF(R761&gt;0,1,0)</f>
        <v>0</v>
      </c>
      <c r="U761" s="32" t="n">
        <f aca="false">INDEX(Forecast!$AY$7:$AY$54,C761)</f>
        <v>2</v>
      </c>
      <c r="V761" s="33" t="n">
        <f aca="false">CHOOSE(U761,INDEX(Forecast_Walkforward!$D:$D,H761),INDEX(Forecast_Walkforward!$E:$E,H761),INDEX(Forecast_Walkforward!$F:$F,H761),INDEX(Forecast_Walkforward!$G:$G,H761))</f>
        <v>76.25</v>
      </c>
      <c r="W761" s="79" t="n">
        <f aca="false">INDEX(Forecast!$BA$7:$BA$54,C761)</f>
        <v>9.97570932734662</v>
      </c>
      <c r="X761" s="33" t="n">
        <f aca="false">Z_Value*W761*SQRT(D761)</f>
        <v>16.4085816684997</v>
      </c>
      <c r="Y761" s="33" t="n">
        <f aca="false">V761*D761+X761</f>
        <v>92.6585816684997</v>
      </c>
      <c r="Z761" s="33" t="n">
        <f aca="false">SQRT((2*V761*Weeks_Per_Year*F761)/(E761*Holding_Rate))</f>
        <v>445.252737217864</v>
      </c>
      <c r="AA761" s="46" t="n">
        <f aca="false">ROUNDUP(Z761/G761,0)*G761</f>
        <v>456</v>
      </c>
      <c r="AB761" s="46" t="n">
        <f aca="false">SUMIFS(AF$757:AF760,$B$757:$B760,$B761-$D761)</f>
        <v>0</v>
      </c>
      <c r="AC761" s="46" t="n">
        <f aca="false">AI760+AB761</f>
        <v>170</v>
      </c>
      <c r="AD761" s="46" t="n">
        <f aca="false">SUMIFS(AF$757:AF760,$B$757:$B760,"&gt;"&amp;($B761-$D761))</f>
        <v>0</v>
      </c>
      <c r="AE761" s="46" t="n">
        <f aca="false">AC761+AD761</f>
        <v>170</v>
      </c>
      <c r="AF761" s="47" t="n">
        <f aca="false">IF(AE761&lt;=Y761,AA761,0)</f>
        <v>0</v>
      </c>
      <c r="AG761" s="46" t="n">
        <f aca="false">MIN(AC761,I761)</f>
        <v>71</v>
      </c>
      <c r="AH761" s="46" t="n">
        <f aca="false">I761-AG761</f>
        <v>0</v>
      </c>
      <c r="AI761" s="46" t="n">
        <f aca="false">AC761-AG761</f>
        <v>99</v>
      </c>
      <c r="AJ761" s="46" t="n">
        <f aca="false">IF(AH761&gt;0,1,0)</f>
        <v>0</v>
      </c>
    </row>
    <row r="762" customFormat="false" ht="15" hidden="false" customHeight="false" outlineLevel="0" collapsed="false">
      <c r="A762" s="31" t="str">
        <f aca="false">Inputs!$B$84</f>
        <v>CLN-008</v>
      </c>
      <c r="B762" s="46" t="n">
        <f aca="false">B761+1</f>
        <v>94</v>
      </c>
      <c r="C762" s="46" t="n">
        <f aca="false">MATCH(A762,Inputs!$B$40:$B$87,0)</f>
        <v>45</v>
      </c>
      <c r="D762" s="32" t="n">
        <f aca="false">INDEX(Inputs!$F$40:$F$87,C762)</f>
        <v>1</v>
      </c>
      <c r="E762" s="78" t="n">
        <f aca="false">INDEX(Inputs!$H$40:$H$87,C762)</f>
        <v>7</v>
      </c>
      <c r="F762" s="78" t="n">
        <f aca="false">INDEX(Inputs!$G$40:$G$87,C762)</f>
        <v>35</v>
      </c>
      <c r="G762" s="32" t="n">
        <f aca="false">INDEX(Inputs!$I$40:$I$87,C762)</f>
        <v>24</v>
      </c>
      <c r="H762" s="46" t="n">
        <f aca="false">MATCH(A762,Demand_History!$C:$C,0)+B762-1</f>
        <v>4671</v>
      </c>
      <c r="I762" s="32" t="n">
        <f aca="false">INDEX(Forecast_Walkforward!$C:$C,H762)</f>
        <v>86</v>
      </c>
      <c r="J762" s="79" t="n">
        <f aca="false">INDEX(Forecast_Walkforward!$E:$E,H762)</f>
        <v>75.25</v>
      </c>
      <c r="K762" s="33" t="n">
        <f aca="false">Baseline_Weeks*J762</f>
        <v>301</v>
      </c>
      <c r="L762" s="46" t="n">
        <f aca="false">SUMIFS(P$757:P761,$B$757:$B761,$B762-$D762)</f>
        <v>72</v>
      </c>
      <c r="M762" s="46" t="n">
        <f aca="false">S761+L762</f>
        <v>243</v>
      </c>
      <c r="N762" s="46" t="n">
        <f aca="false">SUMIFS(P$757:P761,$B$757:$B761,"&gt;"&amp;($B762-$D762))</f>
        <v>0</v>
      </c>
      <c r="O762" s="46" t="n">
        <f aca="false">M762+N762</f>
        <v>243</v>
      </c>
      <c r="P762" s="47" t="n">
        <f aca="false">IF(O762&lt;K762,ROUNDUP((K762-O762)/G762,0)*G762,0)</f>
        <v>72</v>
      </c>
      <c r="Q762" s="46" t="n">
        <f aca="false">MIN(M762,I762)</f>
        <v>86</v>
      </c>
      <c r="R762" s="46" t="n">
        <f aca="false">I762-Q762</f>
        <v>0</v>
      </c>
      <c r="S762" s="46" t="n">
        <f aca="false">M762-Q762</f>
        <v>157</v>
      </c>
      <c r="T762" s="46" t="n">
        <f aca="false">IF(R762&gt;0,1,0)</f>
        <v>0</v>
      </c>
      <c r="U762" s="32" t="n">
        <f aca="false">INDEX(Forecast!$AY$7:$AY$54,C762)</f>
        <v>2</v>
      </c>
      <c r="V762" s="33" t="n">
        <f aca="false">CHOOSE(U762,INDEX(Forecast_Walkforward!$D:$D,H762),INDEX(Forecast_Walkforward!$E:$E,H762),INDEX(Forecast_Walkforward!$F:$F,H762),INDEX(Forecast_Walkforward!$G:$G,H762))</f>
        <v>75.25</v>
      </c>
      <c r="W762" s="79" t="n">
        <f aca="false">INDEX(Forecast!$BA$7:$BA$54,C762)</f>
        <v>9.97570932734662</v>
      </c>
      <c r="X762" s="33" t="n">
        <f aca="false">Z_Value*W762*SQRT(D762)</f>
        <v>16.4085816684997</v>
      </c>
      <c r="Y762" s="33" t="n">
        <f aca="false">V762*D762+X762</f>
        <v>91.6585816684997</v>
      </c>
      <c r="Z762" s="33" t="n">
        <f aca="false">SQRT((2*V762*Weeks_Per_Year*F762)/(E762*Holding_Rate))</f>
        <v>442.323411091929</v>
      </c>
      <c r="AA762" s="46" t="n">
        <f aca="false">ROUNDUP(Z762/G762,0)*G762</f>
        <v>456</v>
      </c>
      <c r="AB762" s="46" t="n">
        <f aca="false">SUMIFS(AF$757:AF761,$B$757:$B761,$B762-$D762)</f>
        <v>0</v>
      </c>
      <c r="AC762" s="46" t="n">
        <f aca="false">AI761+AB762</f>
        <v>99</v>
      </c>
      <c r="AD762" s="46" t="n">
        <f aca="false">SUMIFS(AF$757:AF761,$B$757:$B761,"&gt;"&amp;($B762-$D762))</f>
        <v>0</v>
      </c>
      <c r="AE762" s="46" t="n">
        <f aca="false">AC762+AD762</f>
        <v>99</v>
      </c>
      <c r="AF762" s="47" t="n">
        <f aca="false">IF(AE762&lt;=Y762,AA762,0)</f>
        <v>0</v>
      </c>
      <c r="AG762" s="46" t="n">
        <f aca="false">MIN(AC762,I762)</f>
        <v>86</v>
      </c>
      <c r="AH762" s="46" t="n">
        <f aca="false">I762-AG762</f>
        <v>0</v>
      </c>
      <c r="AI762" s="46" t="n">
        <f aca="false">AC762-AG762</f>
        <v>13</v>
      </c>
      <c r="AJ762" s="46" t="n">
        <f aca="false">IF(AH762&gt;0,1,0)</f>
        <v>0</v>
      </c>
    </row>
    <row r="763" customFormat="false" ht="15" hidden="false" customHeight="false" outlineLevel="0" collapsed="false">
      <c r="A763" s="31" t="str">
        <f aca="false">Inputs!$B$84</f>
        <v>CLN-008</v>
      </c>
      <c r="B763" s="46" t="n">
        <f aca="false">B762+1</f>
        <v>95</v>
      </c>
      <c r="C763" s="46" t="n">
        <f aca="false">MATCH(A763,Inputs!$B$40:$B$87,0)</f>
        <v>45</v>
      </c>
      <c r="D763" s="32" t="n">
        <f aca="false">INDEX(Inputs!$F$40:$F$87,C763)</f>
        <v>1</v>
      </c>
      <c r="E763" s="78" t="n">
        <f aca="false">INDEX(Inputs!$H$40:$H$87,C763)</f>
        <v>7</v>
      </c>
      <c r="F763" s="78" t="n">
        <f aca="false">INDEX(Inputs!$G$40:$G$87,C763)</f>
        <v>35</v>
      </c>
      <c r="G763" s="32" t="n">
        <f aca="false">INDEX(Inputs!$I$40:$I$87,C763)</f>
        <v>24</v>
      </c>
      <c r="H763" s="46" t="n">
        <f aca="false">MATCH(A763,Demand_History!$C:$C,0)+B763-1</f>
        <v>4672</v>
      </c>
      <c r="I763" s="32" t="n">
        <f aca="false">INDEX(Forecast_Walkforward!$C:$C,H763)</f>
        <v>75</v>
      </c>
      <c r="J763" s="79" t="n">
        <f aca="false">INDEX(Forecast_Walkforward!$E:$E,H763)</f>
        <v>74.75</v>
      </c>
      <c r="K763" s="33" t="n">
        <f aca="false">Baseline_Weeks*J763</f>
        <v>299</v>
      </c>
      <c r="L763" s="46" t="n">
        <f aca="false">SUMIFS(P$757:P762,$B$757:$B762,$B763-$D763)</f>
        <v>72</v>
      </c>
      <c r="M763" s="46" t="n">
        <f aca="false">S762+L763</f>
        <v>229</v>
      </c>
      <c r="N763" s="46" t="n">
        <f aca="false">SUMIFS(P$757:P762,$B$757:$B762,"&gt;"&amp;($B763-$D763))</f>
        <v>0</v>
      </c>
      <c r="O763" s="46" t="n">
        <f aca="false">M763+N763</f>
        <v>229</v>
      </c>
      <c r="P763" s="47" t="n">
        <f aca="false">IF(O763&lt;K763,ROUNDUP((K763-O763)/G763,0)*G763,0)</f>
        <v>72</v>
      </c>
      <c r="Q763" s="46" t="n">
        <f aca="false">MIN(M763,I763)</f>
        <v>75</v>
      </c>
      <c r="R763" s="46" t="n">
        <f aca="false">I763-Q763</f>
        <v>0</v>
      </c>
      <c r="S763" s="46" t="n">
        <f aca="false">M763-Q763</f>
        <v>154</v>
      </c>
      <c r="T763" s="46" t="n">
        <f aca="false">IF(R763&gt;0,1,0)</f>
        <v>0</v>
      </c>
      <c r="U763" s="32" t="n">
        <f aca="false">INDEX(Forecast!$AY$7:$AY$54,C763)</f>
        <v>2</v>
      </c>
      <c r="V763" s="33" t="n">
        <f aca="false">CHOOSE(U763,INDEX(Forecast_Walkforward!$D:$D,H763),INDEX(Forecast_Walkforward!$E:$E,H763),INDEX(Forecast_Walkforward!$F:$F,H763),INDEX(Forecast_Walkforward!$G:$G,H763))</f>
        <v>74.75</v>
      </c>
      <c r="W763" s="79" t="n">
        <f aca="false">INDEX(Forecast!$BA$7:$BA$54,C763)</f>
        <v>9.97570932734662</v>
      </c>
      <c r="X763" s="33" t="n">
        <f aca="false">Z_Value*W763*SQRT(D763)</f>
        <v>16.4085816684997</v>
      </c>
      <c r="Y763" s="33" t="n">
        <f aca="false">V763*D763+X763</f>
        <v>91.1585816684997</v>
      </c>
      <c r="Z763" s="33" t="n">
        <f aca="false">SQRT((2*V763*Weeks_Per_Year*F763)/(E763*Holding_Rate))</f>
        <v>440.851448903142</v>
      </c>
      <c r="AA763" s="46" t="n">
        <f aca="false">ROUNDUP(Z763/G763,0)*G763</f>
        <v>456</v>
      </c>
      <c r="AB763" s="46" t="n">
        <f aca="false">SUMIFS(AF$757:AF762,$B$757:$B762,$B763-$D763)</f>
        <v>0</v>
      </c>
      <c r="AC763" s="46" t="n">
        <f aca="false">AI762+AB763</f>
        <v>13</v>
      </c>
      <c r="AD763" s="46" t="n">
        <f aca="false">SUMIFS(AF$757:AF762,$B$757:$B762,"&gt;"&amp;($B763-$D763))</f>
        <v>0</v>
      </c>
      <c r="AE763" s="46" t="n">
        <f aca="false">AC763+AD763</f>
        <v>13</v>
      </c>
      <c r="AF763" s="47" t="n">
        <f aca="false">IF(AE763&lt;=Y763,AA763,0)</f>
        <v>456</v>
      </c>
      <c r="AG763" s="46" t="n">
        <f aca="false">MIN(AC763,I763)</f>
        <v>13</v>
      </c>
      <c r="AH763" s="46" t="n">
        <f aca="false">I763-AG763</f>
        <v>62</v>
      </c>
      <c r="AI763" s="46" t="n">
        <f aca="false">AC763-AG763</f>
        <v>0</v>
      </c>
      <c r="AJ763" s="46" t="n">
        <f aca="false">IF(AH763&gt;0,1,0)</f>
        <v>1</v>
      </c>
    </row>
    <row r="764" customFormat="false" ht="15" hidden="false" customHeight="false" outlineLevel="0" collapsed="false">
      <c r="A764" s="31" t="str">
        <f aca="false">Inputs!$B$84</f>
        <v>CLN-008</v>
      </c>
      <c r="B764" s="46" t="n">
        <f aca="false">B763+1</f>
        <v>96</v>
      </c>
      <c r="C764" s="46" t="n">
        <f aca="false">MATCH(A764,Inputs!$B$40:$B$87,0)</f>
        <v>45</v>
      </c>
      <c r="D764" s="32" t="n">
        <f aca="false">INDEX(Inputs!$F$40:$F$87,C764)</f>
        <v>1</v>
      </c>
      <c r="E764" s="78" t="n">
        <f aca="false">INDEX(Inputs!$H$40:$H$87,C764)</f>
        <v>7</v>
      </c>
      <c r="F764" s="78" t="n">
        <f aca="false">INDEX(Inputs!$G$40:$G$87,C764)</f>
        <v>35</v>
      </c>
      <c r="G764" s="32" t="n">
        <f aca="false">INDEX(Inputs!$I$40:$I$87,C764)</f>
        <v>24</v>
      </c>
      <c r="H764" s="46" t="n">
        <f aca="false">MATCH(A764,Demand_History!$C:$C,0)+B764-1</f>
        <v>4673</v>
      </c>
      <c r="I764" s="32" t="n">
        <f aca="false">INDEX(Forecast_Walkforward!$C:$C,H764)</f>
        <v>81</v>
      </c>
      <c r="J764" s="79" t="n">
        <f aca="false">INDEX(Forecast_Walkforward!$E:$E,H764)</f>
        <v>77</v>
      </c>
      <c r="K764" s="33" t="n">
        <f aca="false">Baseline_Weeks*J764</f>
        <v>308</v>
      </c>
      <c r="L764" s="46" t="n">
        <f aca="false">SUMIFS(P$757:P763,$B$757:$B763,$B764-$D764)</f>
        <v>72</v>
      </c>
      <c r="M764" s="46" t="n">
        <f aca="false">S763+L764</f>
        <v>226</v>
      </c>
      <c r="N764" s="46" t="n">
        <f aca="false">SUMIFS(P$757:P763,$B$757:$B763,"&gt;"&amp;($B764-$D764))</f>
        <v>0</v>
      </c>
      <c r="O764" s="46" t="n">
        <f aca="false">M764+N764</f>
        <v>226</v>
      </c>
      <c r="P764" s="47" t="n">
        <f aca="false">IF(O764&lt;K764,ROUNDUP((K764-O764)/G764,0)*G764,0)</f>
        <v>96</v>
      </c>
      <c r="Q764" s="46" t="n">
        <f aca="false">MIN(M764,I764)</f>
        <v>81</v>
      </c>
      <c r="R764" s="46" t="n">
        <f aca="false">I764-Q764</f>
        <v>0</v>
      </c>
      <c r="S764" s="46" t="n">
        <f aca="false">M764-Q764</f>
        <v>145</v>
      </c>
      <c r="T764" s="46" t="n">
        <f aca="false">IF(R764&gt;0,1,0)</f>
        <v>0</v>
      </c>
      <c r="U764" s="32" t="n">
        <f aca="false">INDEX(Forecast!$AY$7:$AY$54,C764)</f>
        <v>2</v>
      </c>
      <c r="V764" s="33" t="n">
        <f aca="false">CHOOSE(U764,INDEX(Forecast_Walkforward!$D:$D,H764),INDEX(Forecast_Walkforward!$E:$E,H764),INDEX(Forecast_Walkforward!$F:$F,H764),INDEX(Forecast_Walkforward!$G:$G,H764))</f>
        <v>77</v>
      </c>
      <c r="W764" s="79" t="n">
        <f aca="false">INDEX(Forecast!$BA$7:$BA$54,C764)</f>
        <v>9.97570932734662</v>
      </c>
      <c r="X764" s="33" t="n">
        <f aca="false">Z_Value*W764*SQRT(D764)</f>
        <v>16.4085816684997</v>
      </c>
      <c r="Y764" s="33" t="n">
        <f aca="false">V764*D764+X764</f>
        <v>93.4085816684997</v>
      </c>
      <c r="Z764" s="33" t="n">
        <f aca="false">SQRT((2*V764*Weeks_Per_Year*F764)/(E764*Holding_Rate))</f>
        <v>447.437146423942</v>
      </c>
      <c r="AA764" s="46" t="n">
        <f aca="false">ROUNDUP(Z764/G764,0)*G764</f>
        <v>456</v>
      </c>
      <c r="AB764" s="46" t="n">
        <f aca="false">SUMIFS(AF$757:AF763,$B$757:$B763,$B764-$D764)</f>
        <v>456</v>
      </c>
      <c r="AC764" s="46" t="n">
        <f aca="false">AI763+AB764</f>
        <v>456</v>
      </c>
      <c r="AD764" s="46" t="n">
        <f aca="false">SUMIFS(AF$757:AF763,$B$757:$B763,"&gt;"&amp;($B764-$D764))</f>
        <v>0</v>
      </c>
      <c r="AE764" s="46" t="n">
        <f aca="false">AC764+AD764</f>
        <v>456</v>
      </c>
      <c r="AF764" s="47" t="n">
        <f aca="false">IF(AE764&lt;=Y764,AA764,0)</f>
        <v>0</v>
      </c>
      <c r="AG764" s="46" t="n">
        <f aca="false">MIN(AC764,I764)</f>
        <v>81</v>
      </c>
      <c r="AH764" s="46" t="n">
        <f aca="false">I764-AG764</f>
        <v>0</v>
      </c>
      <c r="AI764" s="46" t="n">
        <f aca="false">AC764-AG764</f>
        <v>375</v>
      </c>
      <c r="AJ764" s="46" t="n">
        <f aca="false">IF(AH764&gt;0,1,0)</f>
        <v>0</v>
      </c>
    </row>
    <row r="765" customFormat="false" ht="15" hidden="false" customHeight="false" outlineLevel="0" collapsed="false">
      <c r="A765" s="31" t="str">
        <f aca="false">Inputs!$B$84</f>
        <v>CLN-008</v>
      </c>
      <c r="B765" s="46" t="n">
        <f aca="false">B764+1</f>
        <v>97</v>
      </c>
      <c r="C765" s="46" t="n">
        <f aca="false">MATCH(A765,Inputs!$B$40:$B$87,0)</f>
        <v>45</v>
      </c>
      <c r="D765" s="32" t="n">
        <f aca="false">INDEX(Inputs!$F$40:$F$87,C765)</f>
        <v>1</v>
      </c>
      <c r="E765" s="78" t="n">
        <f aca="false">INDEX(Inputs!$H$40:$H$87,C765)</f>
        <v>7</v>
      </c>
      <c r="F765" s="78" t="n">
        <f aca="false">INDEX(Inputs!$G$40:$G$87,C765)</f>
        <v>35</v>
      </c>
      <c r="G765" s="32" t="n">
        <f aca="false">INDEX(Inputs!$I$40:$I$87,C765)</f>
        <v>24</v>
      </c>
      <c r="H765" s="46" t="n">
        <f aca="false">MATCH(A765,Demand_History!$C:$C,0)+B765-1</f>
        <v>4674</v>
      </c>
      <c r="I765" s="32" t="n">
        <f aca="false">INDEX(Forecast_Walkforward!$C:$C,H765)</f>
        <v>84</v>
      </c>
      <c r="J765" s="79" t="n">
        <f aca="false">INDEX(Forecast_Walkforward!$E:$E,H765)</f>
        <v>78.25</v>
      </c>
      <c r="K765" s="33" t="n">
        <f aca="false">Baseline_Weeks*J765</f>
        <v>313</v>
      </c>
      <c r="L765" s="46" t="n">
        <f aca="false">SUMIFS(P$757:P764,$B$757:$B764,$B765-$D765)</f>
        <v>96</v>
      </c>
      <c r="M765" s="46" t="n">
        <f aca="false">S764+L765</f>
        <v>241</v>
      </c>
      <c r="N765" s="46" t="n">
        <f aca="false">SUMIFS(P$757:P764,$B$757:$B764,"&gt;"&amp;($B765-$D765))</f>
        <v>0</v>
      </c>
      <c r="O765" s="46" t="n">
        <f aca="false">M765+N765</f>
        <v>241</v>
      </c>
      <c r="P765" s="47" t="n">
        <f aca="false">IF(O765&lt;K765,ROUNDUP((K765-O765)/G765,0)*G765,0)</f>
        <v>72</v>
      </c>
      <c r="Q765" s="46" t="n">
        <f aca="false">MIN(M765,I765)</f>
        <v>84</v>
      </c>
      <c r="R765" s="46" t="n">
        <f aca="false">I765-Q765</f>
        <v>0</v>
      </c>
      <c r="S765" s="46" t="n">
        <f aca="false">M765-Q765</f>
        <v>157</v>
      </c>
      <c r="T765" s="46" t="n">
        <f aca="false">IF(R765&gt;0,1,0)</f>
        <v>0</v>
      </c>
      <c r="U765" s="32" t="n">
        <f aca="false">INDEX(Forecast!$AY$7:$AY$54,C765)</f>
        <v>2</v>
      </c>
      <c r="V765" s="33" t="n">
        <f aca="false">CHOOSE(U765,INDEX(Forecast_Walkforward!$D:$D,H765),INDEX(Forecast_Walkforward!$E:$E,H765),INDEX(Forecast_Walkforward!$F:$F,H765),INDEX(Forecast_Walkforward!$G:$G,H765))</f>
        <v>78.25</v>
      </c>
      <c r="W765" s="79" t="n">
        <f aca="false">INDEX(Forecast!$BA$7:$BA$54,C765)</f>
        <v>9.97570932734662</v>
      </c>
      <c r="X765" s="33" t="n">
        <f aca="false">Z_Value*W765*SQRT(D765)</f>
        <v>16.4085816684997</v>
      </c>
      <c r="Y765" s="33" t="n">
        <f aca="false">V765*D765+X765</f>
        <v>94.6585816684997</v>
      </c>
      <c r="Z765" s="33" t="n">
        <f aca="false">SQRT((2*V765*Weeks_Per_Year*F765)/(E765*Holding_Rate))</f>
        <v>451.054320453756</v>
      </c>
      <c r="AA765" s="46" t="n">
        <f aca="false">ROUNDUP(Z765/G765,0)*G765</f>
        <v>456</v>
      </c>
      <c r="AB765" s="46" t="n">
        <f aca="false">SUMIFS(AF$757:AF764,$B$757:$B764,$B765-$D765)</f>
        <v>0</v>
      </c>
      <c r="AC765" s="46" t="n">
        <f aca="false">AI764+AB765</f>
        <v>375</v>
      </c>
      <c r="AD765" s="46" t="n">
        <f aca="false">SUMIFS(AF$757:AF764,$B$757:$B764,"&gt;"&amp;($B765-$D765))</f>
        <v>0</v>
      </c>
      <c r="AE765" s="46" t="n">
        <f aca="false">AC765+AD765</f>
        <v>375</v>
      </c>
      <c r="AF765" s="47" t="n">
        <f aca="false">IF(AE765&lt;=Y765,AA765,0)</f>
        <v>0</v>
      </c>
      <c r="AG765" s="46" t="n">
        <f aca="false">MIN(AC765,I765)</f>
        <v>84</v>
      </c>
      <c r="AH765" s="46" t="n">
        <f aca="false">I765-AG765</f>
        <v>0</v>
      </c>
      <c r="AI765" s="46" t="n">
        <f aca="false">AC765-AG765</f>
        <v>291</v>
      </c>
      <c r="AJ765" s="46" t="n">
        <f aca="false">IF(AH765&gt;0,1,0)</f>
        <v>0</v>
      </c>
    </row>
    <row r="766" customFormat="false" ht="15" hidden="false" customHeight="false" outlineLevel="0" collapsed="false">
      <c r="A766" s="31" t="str">
        <f aca="false">Inputs!$B$84</f>
        <v>CLN-008</v>
      </c>
      <c r="B766" s="46" t="n">
        <f aca="false">B765+1</f>
        <v>98</v>
      </c>
      <c r="C766" s="46" t="n">
        <f aca="false">MATCH(A766,Inputs!$B$40:$B$87,0)</f>
        <v>45</v>
      </c>
      <c r="D766" s="32" t="n">
        <f aca="false">INDEX(Inputs!$F$40:$F$87,C766)</f>
        <v>1</v>
      </c>
      <c r="E766" s="78" t="n">
        <f aca="false">INDEX(Inputs!$H$40:$H$87,C766)</f>
        <v>7</v>
      </c>
      <c r="F766" s="78" t="n">
        <f aca="false">INDEX(Inputs!$G$40:$G$87,C766)</f>
        <v>35</v>
      </c>
      <c r="G766" s="32" t="n">
        <f aca="false">INDEX(Inputs!$I$40:$I$87,C766)</f>
        <v>24</v>
      </c>
      <c r="H766" s="46" t="n">
        <f aca="false">MATCH(A766,Demand_History!$C:$C,0)+B766-1</f>
        <v>4675</v>
      </c>
      <c r="I766" s="32" t="n">
        <f aca="false">INDEX(Forecast_Walkforward!$C:$C,H766)</f>
        <v>63</v>
      </c>
      <c r="J766" s="79" t="n">
        <f aca="false">INDEX(Forecast_Walkforward!$E:$E,H766)</f>
        <v>81.5</v>
      </c>
      <c r="K766" s="33" t="n">
        <f aca="false">Baseline_Weeks*J766</f>
        <v>326</v>
      </c>
      <c r="L766" s="46" t="n">
        <f aca="false">SUMIFS(P$757:P765,$B$757:$B765,$B766-$D766)</f>
        <v>72</v>
      </c>
      <c r="M766" s="46" t="n">
        <f aca="false">S765+L766</f>
        <v>229</v>
      </c>
      <c r="N766" s="46" t="n">
        <f aca="false">SUMIFS(P$757:P765,$B$757:$B765,"&gt;"&amp;($B766-$D766))</f>
        <v>0</v>
      </c>
      <c r="O766" s="46" t="n">
        <f aca="false">M766+N766</f>
        <v>229</v>
      </c>
      <c r="P766" s="47" t="n">
        <f aca="false">IF(O766&lt;K766,ROUNDUP((K766-O766)/G766,0)*G766,0)</f>
        <v>120</v>
      </c>
      <c r="Q766" s="46" t="n">
        <f aca="false">MIN(M766,I766)</f>
        <v>63</v>
      </c>
      <c r="R766" s="46" t="n">
        <f aca="false">I766-Q766</f>
        <v>0</v>
      </c>
      <c r="S766" s="46" t="n">
        <f aca="false">M766-Q766</f>
        <v>166</v>
      </c>
      <c r="T766" s="46" t="n">
        <f aca="false">IF(R766&gt;0,1,0)</f>
        <v>0</v>
      </c>
      <c r="U766" s="32" t="n">
        <f aca="false">INDEX(Forecast!$AY$7:$AY$54,C766)</f>
        <v>2</v>
      </c>
      <c r="V766" s="33" t="n">
        <f aca="false">CHOOSE(U766,INDEX(Forecast_Walkforward!$D:$D,H766),INDEX(Forecast_Walkforward!$E:$E,H766),INDEX(Forecast_Walkforward!$F:$F,H766),INDEX(Forecast_Walkforward!$G:$G,H766))</f>
        <v>81.5</v>
      </c>
      <c r="W766" s="79" t="n">
        <f aca="false">INDEX(Forecast!$BA$7:$BA$54,C766)</f>
        <v>9.97570932734662</v>
      </c>
      <c r="X766" s="33" t="n">
        <f aca="false">Z_Value*W766*SQRT(D766)</f>
        <v>16.4085816684997</v>
      </c>
      <c r="Y766" s="33" t="n">
        <f aca="false">V766*D766+X766</f>
        <v>97.9085816684997</v>
      </c>
      <c r="Z766" s="33" t="n">
        <f aca="false">SQRT((2*V766*Weeks_Per_Year*F766)/(E766*Holding_Rate))</f>
        <v>460.325971459356</v>
      </c>
      <c r="AA766" s="46" t="n">
        <f aca="false">ROUNDUP(Z766/G766,0)*G766</f>
        <v>480</v>
      </c>
      <c r="AB766" s="46" t="n">
        <f aca="false">SUMIFS(AF$757:AF765,$B$757:$B765,$B766-$D766)</f>
        <v>0</v>
      </c>
      <c r="AC766" s="46" t="n">
        <f aca="false">AI765+AB766</f>
        <v>291</v>
      </c>
      <c r="AD766" s="46" t="n">
        <f aca="false">SUMIFS(AF$757:AF765,$B$757:$B765,"&gt;"&amp;($B766-$D766))</f>
        <v>0</v>
      </c>
      <c r="AE766" s="46" t="n">
        <f aca="false">AC766+AD766</f>
        <v>291</v>
      </c>
      <c r="AF766" s="47" t="n">
        <f aca="false">IF(AE766&lt;=Y766,AA766,0)</f>
        <v>0</v>
      </c>
      <c r="AG766" s="46" t="n">
        <f aca="false">MIN(AC766,I766)</f>
        <v>63</v>
      </c>
      <c r="AH766" s="46" t="n">
        <f aca="false">I766-AG766</f>
        <v>0</v>
      </c>
      <c r="AI766" s="46" t="n">
        <f aca="false">AC766-AG766</f>
        <v>228</v>
      </c>
      <c r="AJ766" s="46" t="n">
        <f aca="false">IF(AH766&gt;0,1,0)</f>
        <v>0</v>
      </c>
    </row>
    <row r="767" customFormat="false" ht="15" hidden="false" customHeight="false" outlineLevel="0" collapsed="false">
      <c r="A767" s="31" t="str">
        <f aca="false">Inputs!$B$84</f>
        <v>CLN-008</v>
      </c>
      <c r="B767" s="46" t="n">
        <f aca="false">B766+1</f>
        <v>99</v>
      </c>
      <c r="C767" s="46" t="n">
        <f aca="false">MATCH(A767,Inputs!$B$40:$B$87,0)</f>
        <v>45</v>
      </c>
      <c r="D767" s="32" t="n">
        <f aca="false">INDEX(Inputs!$F$40:$F$87,C767)</f>
        <v>1</v>
      </c>
      <c r="E767" s="78" t="n">
        <f aca="false">INDEX(Inputs!$H$40:$H$87,C767)</f>
        <v>7</v>
      </c>
      <c r="F767" s="78" t="n">
        <f aca="false">INDEX(Inputs!$G$40:$G$87,C767)</f>
        <v>35</v>
      </c>
      <c r="G767" s="32" t="n">
        <f aca="false">INDEX(Inputs!$I$40:$I$87,C767)</f>
        <v>24</v>
      </c>
      <c r="H767" s="46" t="n">
        <f aca="false">MATCH(A767,Demand_History!$C:$C,0)+B767-1</f>
        <v>4676</v>
      </c>
      <c r="I767" s="32" t="n">
        <f aca="false">INDEX(Forecast_Walkforward!$C:$C,H767)</f>
        <v>85</v>
      </c>
      <c r="J767" s="79" t="n">
        <f aca="false">INDEX(Forecast_Walkforward!$E:$E,H767)</f>
        <v>75.75</v>
      </c>
      <c r="K767" s="33" t="n">
        <f aca="false">Baseline_Weeks*J767</f>
        <v>303</v>
      </c>
      <c r="L767" s="46" t="n">
        <f aca="false">SUMIFS(P$757:P766,$B$757:$B766,$B767-$D767)</f>
        <v>120</v>
      </c>
      <c r="M767" s="46" t="n">
        <f aca="false">S766+L767</f>
        <v>286</v>
      </c>
      <c r="N767" s="46" t="n">
        <f aca="false">SUMIFS(P$757:P766,$B$757:$B766,"&gt;"&amp;($B767-$D767))</f>
        <v>0</v>
      </c>
      <c r="O767" s="46" t="n">
        <f aca="false">M767+N767</f>
        <v>286</v>
      </c>
      <c r="P767" s="47" t="n">
        <f aca="false">IF(O767&lt;K767,ROUNDUP((K767-O767)/G767,0)*G767,0)</f>
        <v>24</v>
      </c>
      <c r="Q767" s="46" t="n">
        <f aca="false">MIN(M767,I767)</f>
        <v>85</v>
      </c>
      <c r="R767" s="46" t="n">
        <f aca="false">I767-Q767</f>
        <v>0</v>
      </c>
      <c r="S767" s="46" t="n">
        <f aca="false">M767-Q767</f>
        <v>201</v>
      </c>
      <c r="T767" s="46" t="n">
        <f aca="false">IF(R767&gt;0,1,0)</f>
        <v>0</v>
      </c>
      <c r="U767" s="32" t="n">
        <f aca="false">INDEX(Forecast!$AY$7:$AY$54,C767)</f>
        <v>2</v>
      </c>
      <c r="V767" s="33" t="n">
        <f aca="false">CHOOSE(U767,INDEX(Forecast_Walkforward!$D:$D,H767),INDEX(Forecast_Walkforward!$E:$E,H767),INDEX(Forecast_Walkforward!$F:$F,H767),INDEX(Forecast_Walkforward!$G:$G,H767))</f>
        <v>75.75</v>
      </c>
      <c r="W767" s="79" t="n">
        <f aca="false">INDEX(Forecast!$BA$7:$BA$54,C767)</f>
        <v>9.97570932734662</v>
      </c>
      <c r="X767" s="33" t="n">
        <f aca="false">Z_Value*W767*SQRT(D767)</f>
        <v>16.4085816684997</v>
      </c>
      <c r="Y767" s="33" t="n">
        <f aca="false">V767*D767+X767</f>
        <v>92.1585816684997</v>
      </c>
      <c r="Z767" s="33" t="n">
        <f aca="false">SQRT((2*V767*Weeks_Per_Year*F767)/(E767*Holding_Rate))</f>
        <v>443.790491110389</v>
      </c>
      <c r="AA767" s="46" t="n">
        <f aca="false">ROUNDUP(Z767/G767,0)*G767</f>
        <v>456</v>
      </c>
      <c r="AB767" s="46" t="n">
        <f aca="false">SUMIFS(AF$757:AF766,$B$757:$B766,$B767-$D767)</f>
        <v>0</v>
      </c>
      <c r="AC767" s="46" t="n">
        <f aca="false">AI766+AB767</f>
        <v>228</v>
      </c>
      <c r="AD767" s="46" t="n">
        <f aca="false">SUMIFS(AF$757:AF766,$B$757:$B766,"&gt;"&amp;($B767-$D767))</f>
        <v>0</v>
      </c>
      <c r="AE767" s="46" t="n">
        <f aca="false">AC767+AD767</f>
        <v>228</v>
      </c>
      <c r="AF767" s="47" t="n">
        <f aca="false">IF(AE767&lt;=Y767,AA767,0)</f>
        <v>0</v>
      </c>
      <c r="AG767" s="46" t="n">
        <f aca="false">MIN(AC767,I767)</f>
        <v>85</v>
      </c>
      <c r="AH767" s="46" t="n">
        <f aca="false">I767-AG767</f>
        <v>0</v>
      </c>
      <c r="AI767" s="46" t="n">
        <f aca="false">AC767-AG767</f>
        <v>143</v>
      </c>
      <c r="AJ767" s="46" t="n">
        <f aca="false">IF(AH767&gt;0,1,0)</f>
        <v>0</v>
      </c>
    </row>
    <row r="768" customFormat="false" ht="15" hidden="false" customHeight="false" outlineLevel="0" collapsed="false">
      <c r="A768" s="31" t="str">
        <f aca="false">Inputs!$B$84</f>
        <v>CLN-008</v>
      </c>
      <c r="B768" s="46" t="n">
        <f aca="false">B767+1</f>
        <v>100</v>
      </c>
      <c r="C768" s="46" t="n">
        <f aca="false">MATCH(A768,Inputs!$B$40:$B$87,0)</f>
        <v>45</v>
      </c>
      <c r="D768" s="32" t="n">
        <f aca="false">INDEX(Inputs!$F$40:$F$87,C768)</f>
        <v>1</v>
      </c>
      <c r="E768" s="78" t="n">
        <f aca="false">INDEX(Inputs!$H$40:$H$87,C768)</f>
        <v>7</v>
      </c>
      <c r="F768" s="78" t="n">
        <f aca="false">INDEX(Inputs!$G$40:$G$87,C768)</f>
        <v>35</v>
      </c>
      <c r="G768" s="32" t="n">
        <f aca="false">INDEX(Inputs!$I$40:$I$87,C768)</f>
        <v>24</v>
      </c>
      <c r="H768" s="46" t="n">
        <f aca="false">MATCH(A768,Demand_History!$C:$C,0)+B768-1</f>
        <v>4677</v>
      </c>
      <c r="I768" s="32" t="n">
        <f aca="false">INDEX(Forecast_Walkforward!$C:$C,H768)</f>
        <v>72</v>
      </c>
      <c r="J768" s="79" t="n">
        <f aca="false">INDEX(Forecast_Walkforward!$E:$E,H768)</f>
        <v>78.25</v>
      </c>
      <c r="K768" s="33" t="n">
        <f aca="false">Baseline_Weeks*J768</f>
        <v>313</v>
      </c>
      <c r="L768" s="46" t="n">
        <f aca="false">SUMIFS(P$757:P767,$B$757:$B767,$B768-$D768)</f>
        <v>24</v>
      </c>
      <c r="M768" s="46" t="n">
        <f aca="false">S767+L768</f>
        <v>225</v>
      </c>
      <c r="N768" s="46" t="n">
        <f aca="false">SUMIFS(P$757:P767,$B$757:$B767,"&gt;"&amp;($B768-$D768))</f>
        <v>0</v>
      </c>
      <c r="O768" s="46" t="n">
        <f aca="false">M768+N768</f>
        <v>225</v>
      </c>
      <c r="P768" s="47" t="n">
        <f aca="false">IF(O768&lt;K768,ROUNDUP((K768-O768)/G768,0)*G768,0)</f>
        <v>96</v>
      </c>
      <c r="Q768" s="46" t="n">
        <f aca="false">MIN(M768,I768)</f>
        <v>72</v>
      </c>
      <c r="R768" s="46" t="n">
        <f aca="false">I768-Q768</f>
        <v>0</v>
      </c>
      <c r="S768" s="46" t="n">
        <f aca="false">M768-Q768</f>
        <v>153</v>
      </c>
      <c r="T768" s="46" t="n">
        <f aca="false">IF(R768&gt;0,1,0)</f>
        <v>0</v>
      </c>
      <c r="U768" s="32" t="n">
        <f aca="false">INDEX(Forecast!$AY$7:$AY$54,C768)</f>
        <v>2</v>
      </c>
      <c r="V768" s="33" t="n">
        <f aca="false">CHOOSE(U768,INDEX(Forecast_Walkforward!$D:$D,H768),INDEX(Forecast_Walkforward!$E:$E,H768),INDEX(Forecast_Walkforward!$F:$F,H768),INDEX(Forecast_Walkforward!$G:$G,H768))</f>
        <v>78.25</v>
      </c>
      <c r="W768" s="79" t="n">
        <f aca="false">INDEX(Forecast!$BA$7:$BA$54,C768)</f>
        <v>9.97570932734662</v>
      </c>
      <c r="X768" s="33" t="n">
        <f aca="false">Z_Value*W768*SQRT(D768)</f>
        <v>16.4085816684997</v>
      </c>
      <c r="Y768" s="33" t="n">
        <f aca="false">V768*D768+X768</f>
        <v>94.6585816684997</v>
      </c>
      <c r="Z768" s="33" t="n">
        <f aca="false">SQRT((2*V768*Weeks_Per_Year*F768)/(E768*Holding_Rate))</f>
        <v>451.054320453756</v>
      </c>
      <c r="AA768" s="46" t="n">
        <f aca="false">ROUNDUP(Z768/G768,0)*G768</f>
        <v>456</v>
      </c>
      <c r="AB768" s="46" t="n">
        <f aca="false">SUMIFS(AF$757:AF767,$B$757:$B767,$B768-$D768)</f>
        <v>0</v>
      </c>
      <c r="AC768" s="46" t="n">
        <f aca="false">AI767+AB768</f>
        <v>143</v>
      </c>
      <c r="AD768" s="46" t="n">
        <f aca="false">SUMIFS(AF$757:AF767,$B$757:$B767,"&gt;"&amp;($B768-$D768))</f>
        <v>0</v>
      </c>
      <c r="AE768" s="46" t="n">
        <f aca="false">AC768+AD768</f>
        <v>143</v>
      </c>
      <c r="AF768" s="47" t="n">
        <f aca="false">IF(AE768&lt;=Y768,AA768,0)</f>
        <v>0</v>
      </c>
      <c r="AG768" s="46" t="n">
        <f aca="false">MIN(AC768,I768)</f>
        <v>72</v>
      </c>
      <c r="AH768" s="46" t="n">
        <f aca="false">I768-AG768</f>
        <v>0</v>
      </c>
      <c r="AI768" s="46" t="n">
        <f aca="false">AC768-AG768</f>
        <v>71</v>
      </c>
      <c r="AJ768" s="46" t="n">
        <f aca="false">IF(AH768&gt;0,1,0)</f>
        <v>0</v>
      </c>
    </row>
    <row r="769" customFormat="false" ht="15" hidden="false" customHeight="false" outlineLevel="0" collapsed="false">
      <c r="A769" s="31" t="str">
        <f aca="false">Inputs!$B$84</f>
        <v>CLN-008</v>
      </c>
      <c r="B769" s="46" t="n">
        <f aca="false">B768+1</f>
        <v>101</v>
      </c>
      <c r="C769" s="46" t="n">
        <f aca="false">MATCH(A769,Inputs!$B$40:$B$87,0)</f>
        <v>45</v>
      </c>
      <c r="D769" s="32" t="n">
        <f aca="false">INDEX(Inputs!$F$40:$F$87,C769)</f>
        <v>1</v>
      </c>
      <c r="E769" s="78" t="n">
        <f aca="false">INDEX(Inputs!$H$40:$H$87,C769)</f>
        <v>7</v>
      </c>
      <c r="F769" s="78" t="n">
        <f aca="false">INDEX(Inputs!$G$40:$G$87,C769)</f>
        <v>35</v>
      </c>
      <c r="G769" s="32" t="n">
        <f aca="false">INDEX(Inputs!$I$40:$I$87,C769)</f>
        <v>24</v>
      </c>
      <c r="H769" s="46" t="n">
        <f aca="false">MATCH(A769,Demand_History!$C:$C,0)+B769-1</f>
        <v>4678</v>
      </c>
      <c r="I769" s="32" t="n">
        <f aca="false">INDEX(Forecast_Walkforward!$C:$C,H769)</f>
        <v>77</v>
      </c>
      <c r="J769" s="79" t="n">
        <f aca="false">INDEX(Forecast_Walkforward!$E:$E,H769)</f>
        <v>76</v>
      </c>
      <c r="K769" s="33" t="n">
        <f aca="false">Baseline_Weeks*J769</f>
        <v>304</v>
      </c>
      <c r="L769" s="46" t="n">
        <f aca="false">SUMIFS(P$757:P768,$B$757:$B768,$B769-$D769)</f>
        <v>96</v>
      </c>
      <c r="M769" s="46" t="n">
        <f aca="false">S768+L769</f>
        <v>249</v>
      </c>
      <c r="N769" s="46" t="n">
        <f aca="false">SUMIFS(P$757:P768,$B$757:$B768,"&gt;"&amp;($B769-$D769))</f>
        <v>0</v>
      </c>
      <c r="O769" s="46" t="n">
        <f aca="false">M769+N769</f>
        <v>249</v>
      </c>
      <c r="P769" s="47" t="n">
        <f aca="false">IF(O769&lt;K769,ROUNDUP((K769-O769)/G769,0)*G769,0)</f>
        <v>72</v>
      </c>
      <c r="Q769" s="46" t="n">
        <f aca="false">MIN(M769,I769)</f>
        <v>77</v>
      </c>
      <c r="R769" s="46" t="n">
        <f aca="false">I769-Q769</f>
        <v>0</v>
      </c>
      <c r="S769" s="46" t="n">
        <f aca="false">M769-Q769</f>
        <v>172</v>
      </c>
      <c r="T769" s="46" t="n">
        <f aca="false">IF(R769&gt;0,1,0)</f>
        <v>0</v>
      </c>
      <c r="U769" s="32" t="n">
        <f aca="false">INDEX(Forecast!$AY$7:$AY$54,C769)</f>
        <v>2</v>
      </c>
      <c r="V769" s="33" t="n">
        <f aca="false">CHOOSE(U769,INDEX(Forecast_Walkforward!$D:$D,H769),INDEX(Forecast_Walkforward!$E:$E,H769),INDEX(Forecast_Walkforward!$F:$F,H769),INDEX(Forecast_Walkforward!$G:$G,H769))</f>
        <v>76</v>
      </c>
      <c r="W769" s="79" t="n">
        <f aca="false">INDEX(Forecast!$BA$7:$BA$54,C769)</f>
        <v>9.97570932734662</v>
      </c>
      <c r="X769" s="33" t="n">
        <f aca="false">Z_Value*W769*SQRT(D769)</f>
        <v>16.4085816684997</v>
      </c>
      <c r="Y769" s="33" t="n">
        <f aca="false">V769*D769+X769</f>
        <v>92.4085816684997</v>
      </c>
      <c r="Z769" s="33" t="n">
        <f aca="false">SQRT((2*V769*Weeks_Per_Year*F769)/(E769*Holding_Rate))</f>
        <v>444.522215417857</v>
      </c>
      <c r="AA769" s="46" t="n">
        <f aca="false">ROUNDUP(Z769/G769,0)*G769</f>
        <v>456</v>
      </c>
      <c r="AB769" s="46" t="n">
        <f aca="false">SUMIFS(AF$757:AF768,$B$757:$B768,$B769-$D769)</f>
        <v>0</v>
      </c>
      <c r="AC769" s="46" t="n">
        <f aca="false">AI768+AB769</f>
        <v>71</v>
      </c>
      <c r="AD769" s="46" t="n">
        <f aca="false">SUMIFS(AF$757:AF768,$B$757:$B768,"&gt;"&amp;($B769-$D769))</f>
        <v>0</v>
      </c>
      <c r="AE769" s="46" t="n">
        <f aca="false">AC769+AD769</f>
        <v>71</v>
      </c>
      <c r="AF769" s="47" t="n">
        <f aca="false">IF(AE769&lt;=Y769,AA769,0)</f>
        <v>456</v>
      </c>
      <c r="AG769" s="46" t="n">
        <f aca="false">MIN(AC769,I769)</f>
        <v>71</v>
      </c>
      <c r="AH769" s="46" t="n">
        <f aca="false">I769-AG769</f>
        <v>6</v>
      </c>
      <c r="AI769" s="46" t="n">
        <f aca="false">AC769-AG769</f>
        <v>0</v>
      </c>
      <c r="AJ769" s="46" t="n">
        <f aca="false">IF(AH769&gt;0,1,0)</f>
        <v>1</v>
      </c>
    </row>
    <row r="770" customFormat="false" ht="15" hidden="false" customHeight="false" outlineLevel="0" collapsed="false">
      <c r="A770" s="31" t="str">
        <f aca="false">Inputs!$B$84</f>
        <v>CLN-008</v>
      </c>
      <c r="B770" s="46" t="n">
        <f aca="false">B769+1</f>
        <v>102</v>
      </c>
      <c r="C770" s="46" t="n">
        <f aca="false">MATCH(A770,Inputs!$B$40:$B$87,0)</f>
        <v>45</v>
      </c>
      <c r="D770" s="32" t="n">
        <f aca="false">INDEX(Inputs!$F$40:$F$87,C770)</f>
        <v>1</v>
      </c>
      <c r="E770" s="78" t="n">
        <f aca="false">INDEX(Inputs!$H$40:$H$87,C770)</f>
        <v>7</v>
      </c>
      <c r="F770" s="78" t="n">
        <f aca="false">INDEX(Inputs!$G$40:$G$87,C770)</f>
        <v>35</v>
      </c>
      <c r="G770" s="32" t="n">
        <f aca="false">INDEX(Inputs!$I$40:$I$87,C770)</f>
        <v>24</v>
      </c>
      <c r="H770" s="46" t="n">
        <f aca="false">MATCH(A770,Demand_History!$C:$C,0)+B770-1</f>
        <v>4679</v>
      </c>
      <c r="I770" s="32" t="n">
        <f aca="false">INDEX(Forecast_Walkforward!$C:$C,H770)</f>
        <v>79</v>
      </c>
      <c r="J770" s="79" t="n">
        <f aca="false">INDEX(Forecast_Walkforward!$E:$E,H770)</f>
        <v>74.25</v>
      </c>
      <c r="K770" s="33" t="n">
        <f aca="false">Baseline_Weeks*J770</f>
        <v>297</v>
      </c>
      <c r="L770" s="46" t="n">
        <f aca="false">SUMIFS(P$757:P769,$B$757:$B769,$B770-$D770)</f>
        <v>72</v>
      </c>
      <c r="M770" s="46" t="n">
        <f aca="false">S769+L770</f>
        <v>244</v>
      </c>
      <c r="N770" s="46" t="n">
        <f aca="false">SUMIFS(P$757:P769,$B$757:$B769,"&gt;"&amp;($B770-$D770))</f>
        <v>0</v>
      </c>
      <c r="O770" s="46" t="n">
        <f aca="false">M770+N770</f>
        <v>244</v>
      </c>
      <c r="P770" s="47" t="n">
        <f aca="false">IF(O770&lt;K770,ROUNDUP((K770-O770)/G770,0)*G770,0)</f>
        <v>72</v>
      </c>
      <c r="Q770" s="46" t="n">
        <f aca="false">MIN(M770,I770)</f>
        <v>79</v>
      </c>
      <c r="R770" s="46" t="n">
        <f aca="false">I770-Q770</f>
        <v>0</v>
      </c>
      <c r="S770" s="46" t="n">
        <f aca="false">M770-Q770</f>
        <v>165</v>
      </c>
      <c r="T770" s="46" t="n">
        <f aca="false">IF(R770&gt;0,1,0)</f>
        <v>0</v>
      </c>
      <c r="U770" s="32" t="n">
        <f aca="false">INDEX(Forecast!$AY$7:$AY$54,C770)</f>
        <v>2</v>
      </c>
      <c r="V770" s="33" t="n">
        <f aca="false">CHOOSE(U770,INDEX(Forecast_Walkforward!$D:$D,H770),INDEX(Forecast_Walkforward!$E:$E,H770),INDEX(Forecast_Walkforward!$F:$F,H770),INDEX(Forecast_Walkforward!$G:$G,H770))</f>
        <v>74.25</v>
      </c>
      <c r="W770" s="79" t="n">
        <f aca="false">INDEX(Forecast!$BA$7:$BA$54,C770)</f>
        <v>9.97570932734662</v>
      </c>
      <c r="X770" s="33" t="n">
        <f aca="false">Z_Value*W770*SQRT(D770)</f>
        <v>16.4085816684997</v>
      </c>
      <c r="Y770" s="33" t="n">
        <f aca="false">V770*D770+X770</f>
        <v>90.6585816684997</v>
      </c>
      <c r="Z770" s="33" t="n">
        <f aca="false">SQRT((2*V770*Weeks_Per_Year*F770)/(E770*Holding_Rate))</f>
        <v>439.374555476304</v>
      </c>
      <c r="AA770" s="46" t="n">
        <f aca="false">ROUNDUP(Z770/G770,0)*G770</f>
        <v>456</v>
      </c>
      <c r="AB770" s="46" t="n">
        <f aca="false">SUMIFS(AF$757:AF769,$B$757:$B769,$B770-$D770)</f>
        <v>456</v>
      </c>
      <c r="AC770" s="46" t="n">
        <f aca="false">AI769+AB770</f>
        <v>456</v>
      </c>
      <c r="AD770" s="46" t="n">
        <f aca="false">SUMIFS(AF$757:AF769,$B$757:$B769,"&gt;"&amp;($B770-$D770))</f>
        <v>0</v>
      </c>
      <c r="AE770" s="46" t="n">
        <f aca="false">AC770+AD770</f>
        <v>456</v>
      </c>
      <c r="AF770" s="47" t="n">
        <f aca="false">IF(AE770&lt;=Y770,AA770,0)</f>
        <v>0</v>
      </c>
      <c r="AG770" s="46" t="n">
        <f aca="false">MIN(AC770,I770)</f>
        <v>79</v>
      </c>
      <c r="AH770" s="46" t="n">
        <f aca="false">I770-AG770</f>
        <v>0</v>
      </c>
      <c r="AI770" s="46" t="n">
        <f aca="false">AC770-AG770</f>
        <v>377</v>
      </c>
      <c r="AJ770" s="46" t="n">
        <f aca="false">IF(AH770&gt;0,1,0)</f>
        <v>0</v>
      </c>
    </row>
    <row r="771" customFormat="false" ht="15" hidden="false" customHeight="false" outlineLevel="0" collapsed="false">
      <c r="A771" s="31" t="str">
        <f aca="false">Inputs!$B$84</f>
        <v>CLN-008</v>
      </c>
      <c r="B771" s="46" t="n">
        <f aca="false">B770+1</f>
        <v>103</v>
      </c>
      <c r="C771" s="46" t="n">
        <f aca="false">MATCH(A771,Inputs!$B$40:$B$87,0)</f>
        <v>45</v>
      </c>
      <c r="D771" s="32" t="n">
        <f aca="false">INDEX(Inputs!$F$40:$F$87,C771)</f>
        <v>1</v>
      </c>
      <c r="E771" s="78" t="n">
        <f aca="false">INDEX(Inputs!$H$40:$H$87,C771)</f>
        <v>7</v>
      </c>
      <c r="F771" s="78" t="n">
        <f aca="false">INDEX(Inputs!$G$40:$G$87,C771)</f>
        <v>35</v>
      </c>
      <c r="G771" s="32" t="n">
        <f aca="false">INDEX(Inputs!$I$40:$I$87,C771)</f>
        <v>24</v>
      </c>
      <c r="H771" s="46" t="n">
        <f aca="false">MATCH(A771,Demand_History!$C:$C,0)+B771-1</f>
        <v>4680</v>
      </c>
      <c r="I771" s="32" t="n">
        <f aca="false">INDEX(Forecast_Walkforward!$C:$C,H771)</f>
        <v>89</v>
      </c>
      <c r="J771" s="79" t="n">
        <f aca="false">INDEX(Forecast_Walkforward!$E:$E,H771)</f>
        <v>78.25</v>
      </c>
      <c r="K771" s="33" t="n">
        <f aca="false">Baseline_Weeks*J771</f>
        <v>313</v>
      </c>
      <c r="L771" s="46" t="n">
        <f aca="false">SUMIFS(P$757:P770,$B$757:$B770,$B771-$D771)</f>
        <v>72</v>
      </c>
      <c r="M771" s="46" t="n">
        <f aca="false">S770+L771</f>
        <v>237</v>
      </c>
      <c r="N771" s="46" t="n">
        <f aca="false">SUMIFS(P$757:P770,$B$757:$B770,"&gt;"&amp;($B771-$D771))</f>
        <v>0</v>
      </c>
      <c r="O771" s="46" t="n">
        <f aca="false">M771+N771</f>
        <v>237</v>
      </c>
      <c r="P771" s="47" t="n">
        <f aca="false">IF(O771&lt;K771,ROUNDUP((K771-O771)/G771,0)*G771,0)</f>
        <v>96</v>
      </c>
      <c r="Q771" s="46" t="n">
        <f aca="false">MIN(M771,I771)</f>
        <v>89</v>
      </c>
      <c r="R771" s="46" t="n">
        <f aca="false">I771-Q771</f>
        <v>0</v>
      </c>
      <c r="S771" s="46" t="n">
        <f aca="false">M771-Q771</f>
        <v>148</v>
      </c>
      <c r="T771" s="46" t="n">
        <f aca="false">IF(R771&gt;0,1,0)</f>
        <v>0</v>
      </c>
      <c r="U771" s="32" t="n">
        <f aca="false">INDEX(Forecast!$AY$7:$AY$54,C771)</f>
        <v>2</v>
      </c>
      <c r="V771" s="33" t="n">
        <f aca="false">CHOOSE(U771,INDEX(Forecast_Walkforward!$D:$D,H771),INDEX(Forecast_Walkforward!$E:$E,H771),INDEX(Forecast_Walkforward!$F:$F,H771),INDEX(Forecast_Walkforward!$G:$G,H771))</f>
        <v>78.25</v>
      </c>
      <c r="W771" s="79" t="n">
        <f aca="false">INDEX(Forecast!$BA$7:$BA$54,C771)</f>
        <v>9.97570932734662</v>
      </c>
      <c r="X771" s="33" t="n">
        <f aca="false">Z_Value*W771*SQRT(D771)</f>
        <v>16.4085816684997</v>
      </c>
      <c r="Y771" s="33" t="n">
        <f aca="false">V771*D771+X771</f>
        <v>94.6585816684997</v>
      </c>
      <c r="Z771" s="33" t="n">
        <f aca="false">SQRT((2*V771*Weeks_Per_Year*F771)/(E771*Holding_Rate))</f>
        <v>451.054320453756</v>
      </c>
      <c r="AA771" s="46" t="n">
        <f aca="false">ROUNDUP(Z771/G771,0)*G771</f>
        <v>456</v>
      </c>
      <c r="AB771" s="46" t="n">
        <f aca="false">SUMIFS(AF$757:AF770,$B$757:$B770,$B771-$D771)</f>
        <v>0</v>
      </c>
      <c r="AC771" s="46" t="n">
        <f aca="false">AI770+AB771</f>
        <v>377</v>
      </c>
      <c r="AD771" s="46" t="n">
        <f aca="false">SUMIFS(AF$757:AF770,$B$757:$B770,"&gt;"&amp;($B771-$D771))</f>
        <v>0</v>
      </c>
      <c r="AE771" s="46" t="n">
        <f aca="false">AC771+AD771</f>
        <v>377</v>
      </c>
      <c r="AF771" s="47" t="n">
        <f aca="false">IF(AE771&lt;=Y771,AA771,0)</f>
        <v>0</v>
      </c>
      <c r="AG771" s="46" t="n">
        <f aca="false">MIN(AC771,I771)</f>
        <v>89</v>
      </c>
      <c r="AH771" s="46" t="n">
        <f aca="false">I771-AG771</f>
        <v>0</v>
      </c>
      <c r="AI771" s="46" t="n">
        <f aca="false">AC771-AG771</f>
        <v>288</v>
      </c>
      <c r="AJ771" s="46" t="n">
        <f aca="false">IF(AH771&gt;0,1,0)</f>
        <v>0</v>
      </c>
    </row>
    <row r="772" customFormat="false" ht="15" hidden="false" customHeight="false" outlineLevel="0" collapsed="false">
      <c r="A772" s="80" t="str">
        <f aca="false">Inputs!$B$84</f>
        <v>CLN-008</v>
      </c>
      <c r="B772" s="81" t="n">
        <f aca="false">B771+1</f>
        <v>104</v>
      </c>
      <c r="C772" s="81" t="n">
        <f aca="false">MATCH(A772,Inputs!$B$40:$B$87,0)</f>
        <v>45</v>
      </c>
      <c r="D772" s="82" t="n">
        <f aca="false">INDEX(Inputs!$F$40:$F$87,C772)</f>
        <v>1</v>
      </c>
      <c r="E772" s="83" t="n">
        <f aca="false">INDEX(Inputs!$H$40:$H$87,C772)</f>
        <v>7</v>
      </c>
      <c r="F772" s="83" t="n">
        <f aca="false">INDEX(Inputs!$G$40:$G$87,C772)</f>
        <v>35</v>
      </c>
      <c r="G772" s="82" t="n">
        <f aca="false">INDEX(Inputs!$I$40:$I$87,C772)</f>
        <v>24</v>
      </c>
      <c r="H772" s="81" t="n">
        <f aca="false">MATCH(A772,Demand_History!$C:$C,0)+B772-1</f>
        <v>4681</v>
      </c>
      <c r="I772" s="82" t="n">
        <f aca="false">INDEX(Forecast_Walkforward!$C:$C,H772)</f>
        <v>88</v>
      </c>
      <c r="J772" s="84" t="n">
        <f aca="false">INDEX(Forecast_Walkforward!$E:$E,H772)</f>
        <v>79.25</v>
      </c>
      <c r="K772" s="85" t="n">
        <f aca="false">Baseline_Weeks*J772</f>
        <v>317</v>
      </c>
      <c r="L772" s="81" t="n">
        <f aca="false">SUMIFS(P$757:P771,$B$757:$B771,$B772-$D772)</f>
        <v>96</v>
      </c>
      <c r="M772" s="81" t="n">
        <f aca="false">S771+L772</f>
        <v>244</v>
      </c>
      <c r="N772" s="81" t="n">
        <f aca="false">SUMIFS(P$757:P771,$B$757:$B771,"&gt;"&amp;($B772-$D772))</f>
        <v>0</v>
      </c>
      <c r="O772" s="81" t="n">
        <f aca="false">M772+N772</f>
        <v>244</v>
      </c>
      <c r="P772" s="86" t="n">
        <f aca="false">IF(O772&lt;K772,ROUNDUP((K772-O772)/G772,0)*G772,0)</f>
        <v>96</v>
      </c>
      <c r="Q772" s="81" t="n">
        <f aca="false">MIN(M772,I772)</f>
        <v>88</v>
      </c>
      <c r="R772" s="81" t="n">
        <f aca="false">I772-Q772</f>
        <v>0</v>
      </c>
      <c r="S772" s="81" t="n">
        <f aca="false">M772-Q772</f>
        <v>156</v>
      </c>
      <c r="T772" s="81" t="n">
        <f aca="false">IF(R772&gt;0,1,0)</f>
        <v>0</v>
      </c>
      <c r="U772" s="82" t="n">
        <f aca="false">INDEX(Forecast!$AY$7:$AY$54,C772)</f>
        <v>2</v>
      </c>
      <c r="V772" s="85" t="n">
        <f aca="false">CHOOSE(U772,INDEX(Forecast_Walkforward!$D:$D,H772),INDEX(Forecast_Walkforward!$E:$E,H772),INDEX(Forecast_Walkforward!$F:$F,H772),INDEX(Forecast_Walkforward!$G:$G,H772))</f>
        <v>79.25</v>
      </c>
      <c r="W772" s="84" t="n">
        <f aca="false">INDEX(Forecast!$BA$7:$BA$54,C772)</f>
        <v>9.97570932734662</v>
      </c>
      <c r="X772" s="85" t="n">
        <f aca="false">Z_Value*W772*SQRT(D772)</f>
        <v>16.4085816684997</v>
      </c>
      <c r="Y772" s="85" t="n">
        <f aca="false">V772*D772+X772</f>
        <v>95.6585816684997</v>
      </c>
      <c r="Z772" s="85" t="n">
        <f aca="false">SQRT((2*V772*Weeks_Per_Year*F772)/(E772*Holding_Rate))</f>
        <v>453.92730695564</v>
      </c>
      <c r="AA772" s="81" t="n">
        <f aca="false">ROUNDUP(Z772/G772,0)*G772</f>
        <v>456</v>
      </c>
      <c r="AB772" s="81" t="n">
        <f aca="false">SUMIFS(AF$757:AF771,$B$757:$B771,$B772-$D772)</f>
        <v>0</v>
      </c>
      <c r="AC772" s="81" t="n">
        <f aca="false">AI771+AB772</f>
        <v>288</v>
      </c>
      <c r="AD772" s="81" t="n">
        <f aca="false">SUMIFS(AF$757:AF771,$B$757:$B771,"&gt;"&amp;($B772-$D772))</f>
        <v>0</v>
      </c>
      <c r="AE772" s="81" t="n">
        <f aca="false">AC772+AD772</f>
        <v>288</v>
      </c>
      <c r="AF772" s="86" t="n">
        <f aca="false">IF(AE772&lt;=Y772,AA772,0)</f>
        <v>0</v>
      </c>
      <c r="AG772" s="81" t="n">
        <f aca="false">MIN(AC772,I772)</f>
        <v>88</v>
      </c>
      <c r="AH772" s="81" t="n">
        <f aca="false">I772-AG772</f>
        <v>0</v>
      </c>
      <c r="AI772" s="81" t="n">
        <f aca="false">AC772-AG772</f>
        <v>200</v>
      </c>
      <c r="AJ772" s="81" t="n">
        <f aca="false">IF(AH772&gt;0,1,0)</f>
        <v>0</v>
      </c>
    </row>
    <row r="773" customFormat="false" ht="15" hidden="false" customHeight="false" outlineLevel="0" collapsed="false">
      <c r="A773" s="31" t="str">
        <f aca="false">Inputs!$B$85</f>
        <v>CLN-009</v>
      </c>
      <c r="B773" s="46" t="n">
        <f aca="false">BT_Start_Week</f>
        <v>89</v>
      </c>
      <c r="C773" s="46" t="n">
        <f aca="false">MATCH(A773,Inputs!$B$40:$B$87,0)</f>
        <v>46</v>
      </c>
      <c r="D773" s="32" t="n">
        <f aca="false">INDEX(Inputs!$F$40:$F$87,C773)</f>
        <v>1</v>
      </c>
      <c r="E773" s="78" t="n">
        <f aca="false">INDEX(Inputs!$H$40:$H$87,C773)</f>
        <v>13</v>
      </c>
      <c r="F773" s="78" t="n">
        <f aca="false">INDEX(Inputs!$G$40:$G$87,C773)</f>
        <v>35</v>
      </c>
      <c r="G773" s="32" t="n">
        <f aca="false">INDEX(Inputs!$I$40:$I$87,C773)</f>
        <v>24</v>
      </c>
      <c r="H773" s="46" t="n">
        <f aca="false">MATCH(A773,Demand_History!$C:$C,0)+B773-1</f>
        <v>4770</v>
      </c>
      <c r="I773" s="32" t="n">
        <f aca="false">INDEX(Forecast_Walkforward!$C:$C,H773)</f>
        <v>55</v>
      </c>
      <c r="J773" s="79" t="n">
        <f aca="false">INDEX(Forecast_Walkforward!$E:$E,H773)</f>
        <v>59.25</v>
      </c>
      <c r="K773" s="33" t="n">
        <f aca="false">Baseline_Weeks*J773</f>
        <v>237</v>
      </c>
      <c r="L773" s="46" t="n">
        <f aca="false">0</f>
        <v>0</v>
      </c>
      <c r="M773" s="46" t="n">
        <f aca="false">ROUND(BT_Open_Cover*INDEX(Forecast_Walkforward!$F:$F,H773),0)+L773</f>
        <v>344</v>
      </c>
      <c r="N773" s="46" t="n">
        <f aca="false">0</f>
        <v>0</v>
      </c>
      <c r="O773" s="46" t="n">
        <f aca="false">M773+N773</f>
        <v>344</v>
      </c>
      <c r="P773" s="47" t="n">
        <f aca="false">IF(O773&lt;K773,ROUNDUP((K773-O773)/G773,0)*G773,0)</f>
        <v>0</v>
      </c>
      <c r="Q773" s="46" t="n">
        <f aca="false">MIN(M773,I773)</f>
        <v>55</v>
      </c>
      <c r="R773" s="46" t="n">
        <f aca="false">I773-Q773</f>
        <v>0</v>
      </c>
      <c r="S773" s="46" t="n">
        <f aca="false">M773-Q773</f>
        <v>289</v>
      </c>
      <c r="T773" s="46" t="n">
        <f aca="false">IF(R773&gt;0,1,0)</f>
        <v>0</v>
      </c>
      <c r="U773" s="32" t="n">
        <f aca="false">INDEX(Forecast!$AY$7:$AY$54,C773)</f>
        <v>2</v>
      </c>
      <c r="V773" s="33" t="n">
        <f aca="false">CHOOSE(U773,INDEX(Forecast_Walkforward!$D:$D,H773),INDEX(Forecast_Walkforward!$E:$E,H773),INDEX(Forecast_Walkforward!$F:$F,H773),INDEX(Forecast_Walkforward!$G:$G,H773))</f>
        <v>59.25</v>
      </c>
      <c r="W773" s="79" t="n">
        <f aca="false">INDEX(Forecast!$BA$7:$BA$54,C773)</f>
        <v>6.82612373966372</v>
      </c>
      <c r="X773" s="33" t="n">
        <f aca="false">Z_Value*W773*SQRT(D773)</f>
        <v>11.2279743912054</v>
      </c>
      <c r="Y773" s="33" t="n">
        <f aca="false">V773*D773+X773</f>
        <v>70.4779743912054</v>
      </c>
      <c r="Z773" s="33" t="n">
        <f aca="false">SQRT((2*V773*Weeks_Per_Year*F773)/(E773*Holding_Rate))</f>
        <v>288.010416478293</v>
      </c>
      <c r="AA773" s="46" t="n">
        <f aca="false">ROUNDUP(Z773/G773,0)*G773</f>
        <v>312</v>
      </c>
      <c r="AB773" s="46" t="n">
        <f aca="false">0</f>
        <v>0</v>
      </c>
      <c r="AC773" s="46" t="n">
        <f aca="false">ROUND(BT_Open_Cover*INDEX(Forecast_Walkforward!$F:$F,H773),0)+AB773</f>
        <v>344</v>
      </c>
      <c r="AD773" s="46" t="n">
        <f aca="false">0</f>
        <v>0</v>
      </c>
      <c r="AE773" s="46" t="n">
        <f aca="false">AC773+AD773</f>
        <v>344</v>
      </c>
      <c r="AF773" s="47" t="n">
        <f aca="false">IF(AE773&lt;=Y773,AA773,0)</f>
        <v>0</v>
      </c>
      <c r="AG773" s="46" t="n">
        <f aca="false">MIN(AC773,I773)</f>
        <v>55</v>
      </c>
      <c r="AH773" s="46" t="n">
        <f aca="false">I773-AG773</f>
        <v>0</v>
      </c>
      <c r="AI773" s="46" t="n">
        <f aca="false">AC773-AG773</f>
        <v>289</v>
      </c>
      <c r="AJ773" s="46" t="n">
        <f aca="false">IF(AH773&gt;0,1,0)</f>
        <v>0</v>
      </c>
    </row>
    <row r="774" customFormat="false" ht="15" hidden="false" customHeight="false" outlineLevel="0" collapsed="false">
      <c r="A774" s="31" t="str">
        <f aca="false">Inputs!$B$85</f>
        <v>CLN-009</v>
      </c>
      <c r="B774" s="46" t="n">
        <f aca="false">B773+1</f>
        <v>90</v>
      </c>
      <c r="C774" s="46" t="n">
        <f aca="false">MATCH(A774,Inputs!$B$40:$B$87,0)</f>
        <v>46</v>
      </c>
      <c r="D774" s="32" t="n">
        <f aca="false">INDEX(Inputs!$F$40:$F$87,C774)</f>
        <v>1</v>
      </c>
      <c r="E774" s="78" t="n">
        <f aca="false">INDEX(Inputs!$H$40:$H$87,C774)</f>
        <v>13</v>
      </c>
      <c r="F774" s="78" t="n">
        <f aca="false">INDEX(Inputs!$G$40:$G$87,C774)</f>
        <v>35</v>
      </c>
      <c r="G774" s="32" t="n">
        <f aca="false">INDEX(Inputs!$I$40:$I$87,C774)</f>
        <v>24</v>
      </c>
      <c r="H774" s="46" t="n">
        <f aca="false">MATCH(A774,Demand_History!$C:$C,0)+B774-1</f>
        <v>4771</v>
      </c>
      <c r="I774" s="32" t="n">
        <f aca="false">INDEX(Forecast_Walkforward!$C:$C,H774)</f>
        <v>58</v>
      </c>
      <c r="J774" s="79" t="n">
        <f aca="false">INDEX(Forecast_Walkforward!$E:$E,H774)</f>
        <v>56.25</v>
      </c>
      <c r="K774" s="33" t="n">
        <f aca="false">Baseline_Weeks*J774</f>
        <v>225</v>
      </c>
      <c r="L774" s="46" t="n">
        <f aca="false">SUMIFS(P$773:P773,$B$773:$B773,$B774-$D774)</f>
        <v>0</v>
      </c>
      <c r="M774" s="46" t="n">
        <f aca="false">S773+L774</f>
        <v>289</v>
      </c>
      <c r="N774" s="46" t="n">
        <f aca="false">SUMIFS(P$773:P773,$B$773:$B773,"&gt;"&amp;($B774-$D774))</f>
        <v>0</v>
      </c>
      <c r="O774" s="46" t="n">
        <f aca="false">M774+N774</f>
        <v>289</v>
      </c>
      <c r="P774" s="47" t="n">
        <f aca="false">IF(O774&lt;K774,ROUNDUP((K774-O774)/G774,0)*G774,0)</f>
        <v>0</v>
      </c>
      <c r="Q774" s="46" t="n">
        <f aca="false">MIN(M774,I774)</f>
        <v>58</v>
      </c>
      <c r="R774" s="46" t="n">
        <f aca="false">I774-Q774</f>
        <v>0</v>
      </c>
      <c r="S774" s="46" t="n">
        <f aca="false">M774-Q774</f>
        <v>231</v>
      </c>
      <c r="T774" s="46" t="n">
        <f aca="false">IF(R774&gt;0,1,0)</f>
        <v>0</v>
      </c>
      <c r="U774" s="32" t="n">
        <f aca="false">INDEX(Forecast!$AY$7:$AY$54,C774)</f>
        <v>2</v>
      </c>
      <c r="V774" s="33" t="n">
        <f aca="false">CHOOSE(U774,INDEX(Forecast_Walkforward!$D:$D,H774),INDEX(Forecast_Walkforward!$E:$E,H774),INDEX(Forecast_Walkforward!$F:$F,H774),INDEX(Forecast_Walkforward!$G:$G,H774))</f>
        <v>56.25</v>
      </c>
      <c r="W774" s="79" t="n">
        <f aca="false">INDEX(Forecast!$BA$7:$BA$54,C774)</f>
        <v>6.82612373966372</v>
      </c>
      <c r="X774" s="33" t="n">
        <f aca="false">Z_Value*W774*SQRT(D774)</f>
        <v>11.2279743912054</v>
      </c>
      <c r="Y774" s="33" t="n">
        <f aca="false">V774*D774+X774</f>
        <v>67.4779743912054</v>
      </c>
      <c r="Z774" s="33" t="n">
        <f aca="false">SQRT((2*V774*Weeks_Per_Year*F774)/(E774*Holding_Rate))</f>
        <v>280.624304008046</v>
      </c>
      <c r="AA774" s="46" t="n">
        <f aca="false">ROUNDUP(Z774/G774,0)*G774</f>
        <v>288</v>
      </c>
      <c r="AB774" s="46" t="n">
        <f aca="false">SUMIFS(AF$773:AF773,$B$773:$B773,$B774-$D774)</f>
        <v>0</v>
      </c>
      <c r="AC774" s="46" t="n">
        <f aca="false">AI773+AB774</f>
        <v>289</v>
      </c>
      <c r="AD774" s="46" t="n">
        <f aca="false">SUMIFS(AF$773:AF773,$B$773:$B773,"&gt;"&amp;($B774-$D774))</f>
        <v>0</v>
      </c>
      <c r="AE774" s="46" t="n">
        <f aca="false">AC774+AD774</f>
        <v>289</v>
      </c>
      <c r="AF774" s="47" t="n">
        <f aca="false">IF(AE774&lt;=Y774,AA774,0)</f>
        <v>0</v>
      </c>
      <c r="AG774" s="46" t="n">
        <f aca="false">MIN(AC774,I774)</f>
        <v>58</v>
      </c>
      <c r="AH774" s="46" t="n">
        <f aca="false">I774-AG774</f>
        <v>0</v>
      </c>
      <c r="AI774" s="46" t="n">
        <f aca="false">AC774-AG774</f>
        <v>231</v>
      </c>
      <c r="AJ774" s="46" t="n">
        <f aca="false">IF(AH774&gt;0,1,0)</f>
        <v>0</v>
      </c>
    </row>
    <row r="775" customFormat="false" ht="15" hidden="false" customHeight="false" outlineLevel="0" collapsed="false">
      <c r="A775" s="31" t="str">
        <f aca="false">Inputs!$B$85</f>
        <v>CLN-009</v>
      </c>
      <c r="B775" s="46" t="n">
        <f aca="false">B774+1</f>
        <v>91</v>
      </c>
      <c r="C775" s="46" t="n">
        <f aca="false">MATCH(A775,Inputs!$B$40:$B$87,0)</f>
        <v>46</v>
      </c>
      <c r="D775" s="32" t="n">
        <f aca="false">INDEX(Inputs!$F$40:$F$87,C775)</f>
        <v>1</v>
      </c>
      <c r="E775" s="78" t="n">
        <f aca="false">INDEX(Inputs!$H$40:$H$87,C775)</f>
        <v>13</v>
      </c>
      <c r="F775" s="78" t="n">
        <f aca="false">INDEX(Inputs!$G$40:$G$87,C775)</f>
        <v>35</v>
      </c>
      <c r="G775" s="32" t="n">
        <f aca="false">INDEX(Inputs!$I$40:$I$87,C775)</f>
        <v>24</v>
      </c>
      <c r="H775" s="46" t="n">
        <f aca="false">MATCH(A775,Demand_History!$C:$C,0)+B775-1</f>
        <v>4772</v>
      </c>
      <c r="I775" s="32" t="n">
        <f aca="false">INDEX(Forecast_Walkforward!$C:$C,H775)</f>
        <v>65</v>
      </c>
      <c r="J775" s="79" t="n">
        <f aca="false">INDEX(Forecast_Walkforward!$E:$E,H775)</f>
        <v>57.5</v>
      </c>
      <c r="K775" s="33" t="n">
        <f aca="false">Baseline_Weeks*J775</f>
        <v>230</v>
      </c>
      <c r="L775" s="46" t="n">
        <f aca="false">SUMIFS(P$773:P774,$B$773:$B774,$B775-$D775)</f>
        <v>0</v>
      </c>
      <c r="M775" s="46" t="n">
        <f aca="false">S774+L775</f>
        <v>231</v>
      </c>
      <c r="N775" s="46" t="n">
        <f aca="false">SUMIFS(P$773:P774,$B$773:$B774,"&gt;"&amp;($B775-$D775))</f>
        <v>0</v>
      </c>
      <c r="O775" s="46" t="n">
        <f aca="false">M775+N775</f>
        <v>231</v>
      </c>
      <c r="P775" s="47" t="n">
        <f aca="false">IF(O775&lt;K775,ROUNDUP((K775-O775)/G775,0)*G775,0)</f>
        <v>0</v>
      </c>
      <c r="Q775" s="46" t="n">
        <f aca="false">MIN(M775,I775)</f>
        <v>65</v>
      </c>
      <c r="R775" s="46" t="n">
        <f aca="false">I775-Q775</f>
        <v>0</v>
      </c>
      <c r="S775" s="46" t="n">
        <f aca="false">M775-Q775</f>
        <v>166</v>
      </c>
      <c r="T775" s="46" t="n">
        <f aca="false">IF(R775&gt;0,1,0)</f>
        <v>0</v>
      </c>
      <c r="U775" s="32" t="n">
        <f aca="false">INDEX(Forecast!$AY$7:$AY$54,C775)</f>
        <v>2</v>
      </c>
      <c r="V775" s="33" t="n">
        <f aca="false">CHOOSE(U775,INDEX(Forecast_Walkforward!$D:$D,H775),INDEX(Forecast_Walkforward!$E:$E,H775),INDEX(Forecast_Walkforward!$F:$F,H775),INDEX(Forecast_Walkforward!$G:$G,H775))</f>
        <v>57.5</v>
      </c>
      <c r="W775" s="79" t="n">
        <f aca="false">INDEX(Forecast!$BA$7:$BA$54,C775)</f>
        <v>6.82612373966372</v>
      </c>
      <c r="X775" s="33" t="n">
        <f aca="false">Z_Value*W775*SQRT(D775)</f>
        <v>11.2279743912054</v>
      </c>
      <c r="Y775" s="33" t="n">
        <f aca="false">V775*D775+X775</f>
        <v>68.7279743912054</v>
      </c>
      <c r="Z775" s="33" t="n">
        <f aca="false">SQRT((2*V775*Weeks_Per_Year*F775)/(E775*Holding_Rate))</f>
        <v>283.725219182222</v>
      </c>
      <c r="AA775" s="46" t="n">
        <f aca="false">ROUNDUP(Z775/G775,0)*G775</f>
        <v>288</v>
      </c>
      <c r="AB775" s="46" t="n">
        <f aca="false">SUMIFS(AF$773:AF774,$B$773:$B774,$B775-$D775)</f>
        <v>0</v>
      </c>
      <c r="AC775" s="46" t="n">
        <f aca="false">AI774+AB775</f>
        <v>231</v>
      </c>
      <c r="AD775" s="46" t="n">
        <f aca="false">SUMIFS(AF$773:AF774,$B$773:$B774,"&gt;"&amp;($B775-$D775))</f>
        <v>0</v>
      </c>
      <c r="AE775" s="46" t="n">
        <f aca="false">AC775+AD775</f>
        <v>231</v>
      </c>
      <c r="AF775" s="47" t="n">
        <f aca="false">IF(AE775&lt;=Y775,AA775,0)</f>
        <v>0</v>
      </c>
      <c r="AG775" s="46" t="n">
        <f aca="false">MIN(AC775,I775)</f>
        <v>65</v>
      </c>
      <c r="AH775" s="46" t="n">
        <f aca="false">I775-AG775</f>
        <v>0</v>
      </c>
      <c r="AI775" s="46" t="n">
        <f aca="false">AC775-AG775</f>
        <v>166</v>
      </c>
      <c r="AJ775" s="46" t="n">
        <f aca="false">IF(AH775&gt;0,1,0)</f>
        <v>0</v>
      </c>
    </row>
    <row r="776" customFormat="false" ht="15" hidden="false" customHeight="false" outlineLevel="0" collapsed="false">
      <c r="A776" s="31" t="str">
        <f aca="false">Inputs!$B$85</f>
        <v>CLN-009</v>
      </c>
      <c r="B776" s="46" t="n">
        <f aca="false">B775+1</f>
        <v>92</v>
      </c>
      <c r="C776" s="46" t="n">
        <f aca="false">MATCH(A776,Inputs!$B$40:$B$87,0)</f>
        <v>46</v>
      </c>
      <c r="D776" s="32" t="n">
        <f aca="false">INDEX(Inputs!$F$40:$F$87,C776)</f>
        <v>1</v>
      </c>
      <c r="E776" s="78" t="n">
        <f aca="false">INDEX(Inputs!$H$40:$H$87,C776)</f>
        <v>13</v>
      </c>
      <c r="F776" s="78" t="n">
        <f aca="false">INDEX(Inputs!$G$40:$G$87,C776)</f>
        <v>35</v>
      </c>
      <c r="G776" s="32" t="n">
        <f aca="false">INDEX(Inputs!$I$40:$I$87,C776)</f>
        <v>24</v>
      </c>
      <c r="H776" s="46" t="n">
        <f aca="false">MATCH(A776,Demand_History!$C:$C,0)+B776-1</f>
        <v>4773</v>
      </c>
      <c r="I776" s="32" t="n">
        <f aca="false">INDEX(Forecast_Walkforward!$C:$C,H776)</f>
        <v>59</v>
      </c>
      <c r="J776" s="79" t="n">
        <f aca="false">INDEX(Forecast_Walkforward!$E:$E,H776)</f>
        <v>59.5</v>
      </c>
      <c r="K776" s="33" t="n">
        <f aca="false">Baseline_Weeks*J776</f>
        <v>238</v>
      </c>
      <c r="L776" s="46" t="n">
        <f aca="false">SUMIFS(P$773:P775,$B$773:$B775,$B776-$D776)</f>
        <v>0</v>
      </c>
      <c r="M776" s="46" t="n">
        <f aca="false">S775+L776</f>
        <v>166</v>
      </c>
      <c r="N776" s="46" t="n">
        <f aca="false">SUMIFS(P$773:P775,$B$773:$B775,"&gt;"&amp;($B776-$D776))</f>
        <v>0</v>
      </c>
      <c r="O776" s="46" t="n">
        <f aca="false">M776+N776</f>
        <v>166</v>
      </c>
      <c r="P776" s="47" t="n">
        <f aca="false">IF(O776&lt;K776,ROUNDUP((K776-O776)/G776,0)*G776,0)</f>
        <v>72</v>
      </c>
      <c r="Q776" s="46" t="n">
        <f aca="false">MIN(M776,I776)</f>
        <v>59</v>
      </c>
      <c r="R776" s="46" t="n">
        <f aca="false">I776-Q776</f>
        <v>0</v>
      </c>
      <c r="S776" s="46" t="n">
        <f aca="false">M776-Q776</f>
        <v>107</v>
      </c>
      <c r="T776" s="46" t="n">
        <f aca="false">IF(R776&gt;0,1,0)</f>
        <v>0</v>
      </c>
      <c r="U776" s="32" t="n">
        <f aca="false">INDEX(Forecast!$AY$7:$AY$54,C776)</f>
        <v>2</v>
      </c>
      <c r="V776" s="33" t="n">
        <f aca="false">CHOOSE(U776,INDEX(Forecast_Walkforward!$D:$D,H776),INDEX(Forecast_Walkforward!$E:$E,H776),INDEX(Forecast_Walkforward!$F:$F,H776),INDEX(Forecast_Walkforward!$G:$G,H776))</f>
        <v>59.5</v>
      </c>
      <c r="W776" s="79" t="n">
        <f aca="false">INDEX(Forecast!$BA$7:$BA$54,C776)</f>
        <v>6.82612373966372</v>
      </c>
      <c r="X776" s="33" t="n">
        <f aca="false">Z_Value*W776*SQRT(D776)</f>
        <v>11.2279743912054</v>
      </c>
      <c r="Y776" s="33" t="n">
        <f aca="false">V776*D776+X776</f>
        <v>70.7279743912054</v>
      </c>
      <c r="Z776" s="33" t="n">
        <f aca="false">SQRT((2*V776*Weeks_Per_Year*F776)/(E776*Holding_Rate))</f>
        <v>288.617393793236</v>
      </c>
      <c r="AA776" s="46" t="n">
        <f aca="false">ROUNDUP(Z776/G776,0)*G776</f>
        <v>312</v>
      </c>
      <c r="AB776" s="46" t="n">
        <f aca="false">SUMIFS(AF$773:AF775,$B$773:$B775,$B776-$D776)</f>
        <v>0</v>
      </c>
      <c r="AC776" s="46" t="n">
        <f aca="false">AI775+AB776</f>
        <v>166</v>
      </c>
      <c r="AD776" s="46" t="n">
        <f aca="false">SUMIFS(AF$773:AF775,$B$773:$B775,"&gt;"&amp;($B776-$D776))</f>
        <v>0</v>
      </c>
      <c r="AE776" s="46" t="n">
        <f aca="false">AC776+AD776</f>
        <v>166</v>
      </c>
      <c r="AF776" s="47" t="n">
        <f aca="false">IF(AE776&lt;=Y776,AA776,0)</f>
        <v>0</v>
      </c>
      <c r="AG776" s="46" t="n">
        <f aca="false">MIN(AC776,I776)</f>
        <v>59</v>
      </c>
      <c r="AH776" s="46" t="n">
        <f aca="false">I776-AG776</f>
        <v>0</v>
      </c>
      <c r="AI776" s="46" t="n">
        <f aca="false">AC776-AG776</f>
        <v>107</v>
      </c>
      <c r="AJ776" s="46" t="n">
        <f aca="false">IF(AH776&gt;0,1,0)</f>
        <v>0</v>
      </c>
    </row>
    <row r="777" customFormat="false" ht="15" hidden="false" customHeight="false" outlineLevel="0" collapsed="false">
      <c r="A777" s="31" t="str">
        <f aca="false">Inputs!$B$85</f>
        <v>CLN-009</v>
      </c>
      <c r="B777" s="46" t="n">
        <f aca="false">B776+1</f>
        <v>93</v>
      </c>
      <c r="C777" s="46" t="n">
        <f aca="false">MATCH(A777,Inputs!$B$40:$B$87,0)</f>
        <v>46</v>
      </c>
      <c r="D777" s="32" t="n">
        <f aca="false">INDEX(Inputs!$F$40:$F$87,C777)</f>
        <v>1</v>
      </c>
      <c r="E777" s="78" t="n">
        <f aca="false">INDEX(Inputs!$H$40:$H$87,C777)</f>
        <v>13</v>
      </c>
      <c r="F777" s="78" t="n">
        <f aca="false">INDEX(Inputs!$G$40:$G$87,C777)</f>
        <v>35</v>
      </c>
      <c r="G777" s="32" t="n">
        <f aca="false">INDEX(Inputs!$I$40:$I$87,C777)</f>
        <v>24</v>
      </c>
      <c r="H777" s="46" t="n">
        <f aca="false">MATCH(A777,Demand_History!$C:$C,0)+B777-1</f>
        <v>4774</v>
      </c>
      <c r="I777" s="32" t="n">
        <f aca="false">INDEX(Forecast_Walkforward!$C:$C,H777)</f>
        <v>70</v>
      </c>
      <c r="J777" s="79" t="n">
        <f aca="false">INDEX(Forecast_Walkforward!$E:$E,H777)</f>
        <v>59.25</v>
      </c>
      <c r="K777" s="33" t="n">
        <f aca="false">Baseline_Weeks*J777</f>
        <v>237</v>
      </c>
      <c r="L777" s="46" t="n">
        <f aca="false">SUMIFS(P$773:P776,$B$773:$B776,$B777-$D777)</f>
        <v>72</v>
      </c>
      <c r="M777" s="46" t="n">
        <f aca="false">S776+L777</f>
        <v>179</v>
      </c>
      <c r="N777" s="46" t="n">
        <f aca="false">SUMIFS(P$773:P776,$B$773:$B776,"&gt;"&amp;($B777-$D777))</f>
        <v>0</v>
      </c>
      <c r="O777" s="46" t="n">
        <f aca="false">M777+N777</f>
        <v>179</v>
      </c>
      <c r="P777" s="47" t="n">
        <f aca="false">IF(O777&lt;K777,ROUNDUP((K777-O777)/G777,0)*G777,0)</f>
        <v>72</v>
      </c>
      <c r="Q777" s="46" t="n">
        <f aca="false">MIN(M777,I777)</f>
        <v>70</v>
      </c>
      <c r="R777" s="46" t="n">
        <f aca="false">I777-Q777</f>
        <v>0</v>
      </c>
      <c r="S777" s="46" t="n">
        <f aca="false">M777-Q777</f>
        <v>109</v>
      </c>
      <c r="T777" s="46" t="n">
        <f aca="false">IF(R777&gt;0,1,0)</f>
        <v>0</v>
      </c>
      <c r="U777" s="32" t="n">
        <f aca="false">INDEX(Forecast!$AY$7:$AY$54,C777)</f>
        <v>2</v>
      </c>
      <c r="V777" s="33" t="n">
        <f aca="false">CHOOSE(U777,INDEX(Forecast_Walkforward!$D:$D,H777),INDEX(Forecast_Walkforward!$E:$E,H777),INDEX(Forecast_Walkforward!$F:$F,H777),INDEX(Forecast_Walkforward!$G:$G,H777))</f>
        <v>59.25</v>
      </c>
      <c r="W777" s="79" t="n">
        <f aca="false">INDEX(Forecast!$BA$7:$BA$54,C777)</f>
        <v>6.82612373966372</v>
      </c>
      <c r="X777" s="33" t="n">
        <f aca="false">Z_Value*W777*SQRT(D777)</f>
        <v>11.2279743912054</v>
      </c>
      <c r="Y777" s="33" t="n">
        <f aca="false">V777*D777+X777</f>
        <v>70.4779743912054</v>
      </c>
      <c r="Z777" s="33" t="n">
        <f aca="false">SQRT((2*V777*Weeks_Per_Year*F777)/(E777*Holding_Rate))</f>
        <v>288.010416478293</v>
      </c>
      <c r="AA777" s="46" t="n">
        <f aca="false">ROUNDUP(Z777/G777,0)*G777</f>
        <v>312</v>
      </c>
      <c r="AB777" s="46" t="n">
        <f aca="false">SUMIFS(AF$773:AF776,$B$773:$B776,$B777-$D777)</f>
        <v>0</v>
      </c>
      <c r="AC777" s="46" t="n">
        <f aca="false">AI776+AB777</f>
        <v>107</v>
      </c>
      <c r="AD777" s="46" t="n">
        <f aca="false">SUMIFS(AF$773:AF776,$B$773:$B776,"&gt;"&amp;($B777-$D777))</f>
        <v>0</v>
      </c>
      <c r="AE777" s="46" t="n">
        <f aca="false">AC777+AD777</f>
        <v>107</v>
      </c>
      <c r="AF777" s="47" t="n">
        <f aca="false">IF(AE777&lt;=Y777,AA777,0)</f>
        <v>0</v>
      </c>
      <c r="AG777" s="46" t="n">
        <f aca="false">MIN(AC777,I777)</f>
        <v>70</v>
      </c>
      <c r="AH777" s="46" t="n">
        <f aca="false">I777-AG777</f>
        <v>0</v>
      </c>
      <c r="AI777" s="46" t="n">
        <f aca="false">AC777-AG777</f>
        <v>37</v>
      </c>
      <c r="AJ777" s="46" t="n">
        <f aca="false">IF(AH777&gt;0,1,0)</f>
        <v>0</v>
      </c>
    </row>
    <row r="778" customFormat="false" ht="15" hidden="false" customHeight="false" outlineLevel="0" collapsed="false">
      <c r="A778" s="31" t="str">
        <f aca="false">Inputs!$B$85</f>
        <v>CLN-009</v>
      </c>
      <c r="B778" s="46" t="n">
        <f aca="false">B777+1</f>
        <v>94</v>
      </c>
      <c r="C778" s="46" t="n">
        <f aca="false">MATCH(A778,Inputs!$B$40:$B$87,0)</f>
        <v>46</v>
      </c>
      <c r="D778" s="32" t="n">
        <f aca="false">INDEX(Inputs!$F$40:$F$87,C778)</f>
        <v>1</v>
      </c>
      <c r="E778" s="78" t="n">
        <f aca="false">INDEX(Inputs!$H$40:$H$87,C778)</f>
        <v>13</v>
      </c>
      <c r="F778" s="78" t="n">
        <f aca="false">INDEX(Inputs!$G$40:$G$87,C778)</f>
        <v>35</v>
      </c>
      <c r="G778" s="32" t="n">
        <f aca="false">INDEX(Inputs!$I$40:$I$87,C778)</f>
        <v>24</v>
      </c>
      <c r="H778" s="46" t="n">
        <f aca="false">MATCH(A778,Demand_History!$C:$C,0)+B778-1</f>
        <v>4775</v>
      </c>
      <c r="I778" s="32" t="n">
        <f aca="false">INDEX(Forecast_Walkforward!$C:$C,H778)</f>
        <v>54</v>
      </c>
      <c r="J778" s="79" t="n">
        <f aca="false">INDEX(Forecast_Walkforward!$E:$E,H778)</f>
        <v>63</v>
      </c>
      <c r="K778" s="33" t="n">
        <f aca="false">Baseline_Weeks*J778</f>
        <v>252</v>
      </c>
      <c r="L778" s="46" t="n">
        <f aca="false">SUMIFS(P$773:P777,$B$773:$B777,$B778-$D778)</f>
        <v>72</v>
      </c>
      <c r="M778" s="46" t="n">
        <f aca="false">S777+L778</f>
        <v>181</v>
      </c>
      <c r="N778" s="46" t="n">
        <f aca="false">SUMIFS(P$773:P777,$B$773:$B777,"&gt;"&amp;($B778-$D778))</f>
        <v>0</v>
      </c>
      <c r="O778" s="46" t="n">
        <f aca="false">M778+N778</f>
        <v>181</v>
      </c>
      <c r="P778" s="47" t="n">
        <f aca="false">IF(O778&lt;K778,ROUNDUP((K778-O778)/G778,0)*G778,0)</f>
        <v>72</v>
      </c>
      <c r="Q778" s="46" t="n">
        <f aca="false">MIN(M778,I778)</f>
        <v>54</v>
      </c>
      <c r="R778" s="46" t="n">
        <f aca="false">I778-Q778</f>
        <v>0</v>
      </c>
      <c r="S778" s="46" t="n">
        <f aca="false">M778-Q778</f>
        <v>127</v>
      </c>
      <c r="T778" s="46" t="n">
        <f aca="false">IF(R778&gt;0,1,0)</f>
        <v>0</v>
      </c>
      <c r="U778" s="32" t="n">
        <f aca="false">INDEX(Forecast!$AY$7:$AY$54,C778)</f>
        <v>2</v>
      </c>
      <c r="V778" s="33" t="n">
        <f aca="false">CHOOSE(U778,INDEX(Forecast_Walkforward!$D:$D,H778),INDEX(Forecast_Walkforward!$E:$E,H778),INDEX(Forecast_Walkforward!$F:$F,H778),INDEX(Forecast_Walkforward!$G:$G,H778))</f>
        <v>63</v>
      </c>
      <c r="W778" s="79" t="n">
        <f aca="false">INDEX(Forecast!$BA$7:$BA$54,C778)</f>
        <v>6.82612373966372</v>
      </c>
      <c r="X778" s="33" t="n">
        <f aca="false">Z_Value*W778*SQRT(D778)</f>
        <v>11.2279743912054</v>
      </c>
      <c r="Y778" s="33" t="n">
        <f aca="false">V778*D778+X778</f>
        <v>74.2279743912054</v>
      </c>
      <c r="Z778" s="33" t="n">
        <f aca="false">SQRT((2*V778*Weeks_Per_Year*F778)/(E778*Holding_Rate))</f>
        <v>296.98484809835</v>
      </c>
      <c r="AA778" s="46" t="n">
        <f aca="false">ROUNDUP(Z778/G778,0)*G778</f>
        <v>312</v>
      </c>
      <c r="AB778" s="46" t="n">
        <f aca="false">SUMIFS(AF$773:AF777,$B$773:$B777,$B778-$D778)</f>
        <v>0</v>
      </c>
      <c r="AC778" s="46" t="n">
        <f aca="false">AI777+AB778</f>
        <v>37</v>
      </c>
      <c r="AD778" s="46" t="n">
        <f aca="false">SUMIFS(AF$773:AF777,$B$773:$B777,"&gt;"&amp;($B778-$D778))</f>
        <v>0</v>
      </c>
      <c r="AE778" s="46" t="n">
        <f aca="false">AC778+AD778</f>
        <v>37</v>
      </c>
      <c r="AF778" s="47" t="n">
        <f aca="false">IF(AE778&lt;=Y778,AA778,0)</f>
        <v>312</v>
      </c>
      <c r="AG778" s="46" t="n">
        <f aca="false">MIN(AC778,I778)</f>
        <v>37</v>
      </c>
      <c r="AH778" s="46" t="n">
        <f aca="false">I778-AG778</f>
        <v>17</v>
      </c>
      <c r="AI778" s="46" t="n">
        <f aca="false">AC778-AG778</f>
        <v>0</v>
      </c>
      <c r="AJ778" s="46" t="n">
        <f aca="false">IF(AH778&gt;0,1,0)</f>
        <v>1</v>
      </c>
    </row>
    <row r="779" customFormat="false" ht="15" hidden="false" customHeight="false" outlineLevel="0" collapsed="false">
      <c r="A779" s="31" t="str">
        <f aca="false">Inputs!$B$85</f>
        <v>CLN-009</v>
      </c>
      <c r="B779" s="46" t="n">
        <f aca="false">B778+1</f>
        <v>95</v>
      </c>
      <c r="C779" s="46" t="n">
        <f aca="false">MATCH(A779,Inputs!$B$40:$B$87,0)</f>
        <v>46</v>
      </c>
      <c r="D779" s="32" t="n">
        <f aca="false">INDEX(Inputs!$F$40:$F$87,C779)</f>
        <v>1</v>
      </c>
      <c r="E779" s="78" t="n">
        <f aca="false">INDEX(Inputs!$H$40:$H$87,C779)</f>
        <v>13</v>
      </c>
      <c r="F779" s="78" t="n">
        <f aca="false">INDEX(Inputs!$G$40:$G$87,C779)</f>
        <v>35</v>
      </c>
      <c r="G779" s="32" t="n">
        <f aca="false">INDEX(Inputs!$I$40:$I$87,C779)</f>
        <v>24</v>
      </c>
      <c r="H779" s="46" t="n">
        <f aca="false">MATCH(A779,Demand_History!$C:$C,0)+B779-1</f>
        <v>4776</v>
      </c>
      <c r="I779" s="32" t="n">
        <f aca="false">INDEX(Forecast_Walkforward!$C:$C,H779)</f>
        <v>62</v>
      </c>
      <c r="J779" s="79" t="n">
        <f aca="false">INDEX(Forecast_Walkforward!$E:$E,H779)</f>
        <v>62</v>
      </c>
      <c r="K779" s="33" t="n">
        <f aca="false">Baseline_Weeks*J779</f>
        <v>248</v>
      </c>
      <c r="L779" s="46" t="n">
        <f aca="false">SUMIFS(P$773:P778,$B$773:$B778,$B779-$D779)</f>
        <v>72</v>
      </c>
      <c r="M779" s="46" t="n">
        <f aca="false">S778+L779</f>
        <v>199</v>
      </c>
      <c r="N779" s="46" t="n">
        <f aca="false">SUMIFS(P$773:P778,$B$773:$B778,"&gt;"&amp;($B779-$D779))</f>
        <v>0</v>
      </c>
      <c r="O779" s="46" t="n">
        <f aca="false">M779+N779</f>
        <v>199</v>
      </c>
      <c r="P779" s="47" t="n">
        <f aca="false">IF(O779&lt;K779,ROUNDUP((K779-O779)/G779,0)*G779,0)</f>
        <v>72</v>
      </c>
      <c r="Q779" s="46" t="n">
        <f aca="false">MIN(M779,I779)</f>
        <v>62</v>
      </c>
      <c r="R779" s="46" t="n">
        <f aca="false">I779-Q779</f>
        <v>0</v>
      </c>
      <c r="S779" s="46" t="n">
        <f aca="false">M779-Q779</f>
        <v>137</v>
      </c>
      <c r="T779" s="46" t="n">
        <f aca="false">IF(R779&gt;0,1,0)</f>
        <v>0</v>
      </c>
      <c r="U779" s="32" t="n">
        <f aca="false">INDEX(Forecast!$AY$7:$AY$54,C779)</f>
        <v>2</v>
      </c>
      <c r="V779" s="33" t="n">
        <f aca="false">CHOOSE(U779,INDEX(Forecast_Walkforward!$D:$D,H779),INDEX(Forecast_Walkforward!$E:$E,H779),INDEX(Forecast_Walkforward!$F:$F,H779),INDEX(Forecast_Walkforward!$G:$G,H779))</f>
        <v>62</v>
      </c>
      <c r="W779" s="79" t="n">
        <f aca="false">INDEX(Forecast!$BA$7:$BA$54,C779)</f>
        <v>6.82612373966372</v>
      </c>
      <c r="X779" s="33" t="n">
        <f aca="false">Z_Value*W779*SQRT(D779)</f>
        <v>11.2279743912054</v>
      </c>
      <c r="Y779" s="33" t="n">
        <f aca="false">V779*D779+X779</f>
        <v>73.2279743912054</v>
      </c>
      <c r="Z779" s="33" t="n">
        <f aca="false">SQRT((2*V779*Weeks_Per_Year*F779)/(E779*Holding_Rate))</f>
        <v>294.618397253125</v>
      </c>
      <c r="AA779" s="46" t="n">
        <f aca="false">ROUNDUP(Z779/G779,0)*G779</f>
        <v>312</v>
      </c>
      <c r="AB779" s="46" t="n">
        <f aca="false">SUMIFS(AF$773:AF778,$B$773:$B778,$B779-$D779)</f>
        <v>312</v>
      </c>
      <c r="AC779" s="46" t="n">
        <f aca="false">AI778+AB779</f>
        <v>312</v>
      </c>
      <c r="AD779" s="46" t="n">
        <f aca="false">SUMIFS(AF$773:AF778,$B$773:$B778,"&gt;"&amp;($B779-$D779))</f>
        <v>0</v>
      </c>
      <c r="AE779" s="46" t="n">
        <f aca="false">AC779+AD779</f>
        <v>312</v>
      </c>
      <c r="AF779" s="47" t="n">
        <f aca="false">IF(AE779&lt;=Y779,AA779,0)</f>
        <v>0</v>
      </c>
      <c r="AG779" s="46" t="n">
        <f aca="false">MIN(AC779,I779)</f>
        <v>62</v>
      </c>
      <c r="AH779" s="46" t="n">
        <f aca="false">I779-AG779</f>
        <v>0</v>
      </c>
      <c r="AI779" s="46" t="n">
        <f aca="false">AC779-AG779</f>
        <v>250</v>
      </c>
      <c r="AJ779" s="46" t="n">
        <f aca="false">IF(AH779&gt;0,1,0)</f>
        <v>0</v>
      </c>
    </row>
    <row r="780" customFormat="false" ht="15" hidden="false" customHeight="false" outlineLevel="0" collapsed="false">
      <c r="A780" s="31" t="str">
        <f aca="false">Inputs!$B$85</f>
        <v>CLN-009</v>
      </c>
      <c r="B780" s="46" t="n">
        <f aca="false">B779+1</f>
        <v>96</v>
      </c>
      <c r="C780" s="46" t="n">
        <f aca="false">MATCH(A780,Inputs!$B$40:$B$87,0)</f>
        <v>46</v>
      </c>
      <c r="D780" s="32" t="n">
        <f aca="false">INDEX(Inputs!$F$40:$F$87,C780)</f>
        <v>1</v>
      </c>
      <c r="E780" s="78" t="n">
        <f aca="false">INDEX(Inputs!$H$40:$H$87,C780)</f>
        <v>13</v>
      </c>
      <c r="F780" s="78" t="n">
        <f aca="false">INDEX(Inputs!$G$40:$G$87,C780)</f>
        <v>35</v>
      </c>
      <c r="G780" s="32" t="n">
        <f aca="false">INDEX(Inputs!$I$40:$I$87,C780)</f>
        <v>24</v>
      </c>
      <c r="H780" s="46" t="n">
        <f aca="false">MATCH(A780,Demand_History!$C:$C,0)+B780-1</f>
        <v>4777</v>
      </c>
      <c r="I780" s="32" t="n">
        <f aca="false">INDEX(Forecast_Walkforward!$C:$C,H780)</f>
        <v>49</v>
      </c>
      <c r="J780" s="79" t="n">
        <f aca="false">INDEX(Forecast_Walkforward!$E:$E,H780)</f>
        <v>61.25</v>
      </c>
      <c r="K780" s="33" t="n">
        <f aca="false">Baseline_Weeks*J780</f>
        <v>245</v>
      </c>
      <c r="L780" s="46" t="n">
        <f aca="false">SUMIFS(P$773:P779,$B$773:$B779,$B780-$D780)</f>
        <v>72</v>
      </c>
      <c r="M780" s="46" t="n">
        <f aca="false">S779+L780</f>
        <v>209</v>
      </c>
      <c r="N780" s="46" t="n">
        <f aca="false">SUMIFS(P$773:P779,$B$773:$B779,"&gt;"&amp;($B780-$D780))</f>
        <v>0</v>
      </c>
      <c r="O780" s="46" t="n">
        <f aca="false">M780+N780</f>
        <v>209</v>
      </c>
      <c r="P780" s="47" t="n">
        <f aca="false">IF(O780&lt;K780,ROUNDUP((K780-O780)/G780,0)*G780,0)</f>
        <v>48</v>
      </c>
      <c r="Q780" s="46" t="n">
        <f aca="false">MIN(M780,I780)</f>
        <v>49</v>
      </c>
      <c r="R780" s="46" t="n">
        <f aca="false">I780-Q780</f>
        <v>0</v>
      </c>
      <c r="S780" s="46" t="n">
        <f aca="false">M780-Q780</f>
        <v>160</v>
      </c>
      <c r="T780" s="46" t="n">
        <f aca="false">IF(R780&gt;0,1,0)</f>
        <v>0</v>
      </c>
      <c r="U780" s="32" t="n">
        <f aca="false">INDEX(Forecast!$AY$7:$AY$54,C780)</f>
        <v>2</v>
      </c>
      <c r="V780" s="33" t="n">
        <f aca="false">CHOOSE(U780,INDEX(Forecast_Walkforward!$D:$D,H780),INDEX(Forecast_Walkforward!$E:$E,H780),INDEX(Forecast_Walkforward!$F:$F,H780),INDEX(Forecast_Walkforward!$G:$G,H780))</f>
        <v>61.25</v>
      </c>
      <c r="W780" s="79" t="n">
        <f aca="false">INDEX(Forecast!$BA$7:$BA$54,C780)</f>
        <v>6.82612373966372</v>
      </c>
      <c r="X780" s="33" t="n">
        <f aca="false">Z_Value*W780*SQRT(D780)</f>
        <v>11.2279743912054</v>
      </c>
      <c r="Y780" s="33" t="n">
        <f aca="false">V780*D780+X780</f>
        <v>72.4779743912054</v>
      </c>
      <c r="Z780" s="33" t="n">
        <f aca="false">SQRT((2*V780*Weeks_Per_Year*F780)/(E780*Holding_Rate))</f>
        <v>292.831009286926</v>
      </c>
      <c r="AA780" s="46" t="n">
        <f aca="false">ROUNDUP(Z780/G780,0)*G780</f>
        <v>312</v>
      </c>
      <c r="AB780" s="46" t="n">
        <f aca="false">SUMIFS(AF$773:AF779,$B$773:$B779,$B780-$D780)</f>
        <v>0</v>
      </c>
      <c r="AC780" s="46" t="n">
        <f aca="false">AI779+AB780</f>
        <v>250</v>
      </c>
      <c r="AD780" s="46" t="n">
        <f aca="false">SUMIFS(AF$773:AF779,$B$773:$B779,"&gt;"&amp;($B780-$D780))</f>
        <v>0</v>
      </c>
      <c r="AE780" s="46" t="n">
        <f aca="false">AC780+AD780</f>
        <v>250</v>
      </c>
      <c r="AF780" s="47" t="n">
        <f aca="false">IF(AE780&lt;=Y780,AA780,0)</f>
        <v>0</v>
      </c>
      <c r="AG780" s="46" t="n">
        <f aca="false">MIN(AC780,I780)</f>
        <v>49</v>
      </c>
      <c r="AH780" s="46" t="n">
        <f aca="false">I780-AG780</f>
        <v>0</v>
      </c>
      <c r="AI780" s="46" t="n">
        <f aca="false">AC780-AG780</f>
        <v>201</v>
      </c>
      <c r="AJ780" s="46" t="n">
        <f aca="false">IF(AH780&gt;0,1,0)</f>
        <v>0</v>
      </c>
    </row>
    <row r="781" customFormat="false" ht="15" hidden="false" customHeight="false" outlineLevel="0" collapsed="false">
      <c r="A781" s="31" t="str">
        <f aca="false">Inputs!$B$85</f>
        <v>CLN-009</v>
      </c>
      <c r="B781" s="46" t="n">
        <f aca="false">B780+1</f>
        <v>97</v>
      </c>
      <c r="C781" s="46" t="n">
        <f aca="false">MATCH(A781,Inputs!$B$40:$B$87,0)</f>
        <v>46</v>
      </c>
      <c r="D781" s="32" t="n">
        <f aca="false">INDEX(Inputs!$F$40:$F$87,C781)</f>
        <v>1</v>
      </c>
      <c r="E781" s="78" t="n">
        <f aca="false">INDEX(Inputs!$H$40:$H$87,C781)</f>
        <v>13</v>
      </c>
      <c r="F781" s="78" t="n">
        <f aca="false">INDEX(Inputs!$G$40:$G$87,C781)</f>
        <v>35</v>
      </c>
      <c r="G781" s="32" t="n">
        <f aca="false">INDEX(Inputs!$I$40:$I$87,C781)</f>
        <v>24</v>
      </c>
      <c r="H781" s="46" t="n">
        <f aca="false">MATCH(A781,Demand_History!$C:$C,0)+B781-1</f>
        <v>4778</v>
      </c>
      <c r="I781" s="32" t="n">
        <f aca="false">INDEX(Forecast_Walkforward!$C:$C,H781)</f>
        <v>60</v>
      </c>
      <c r="J781" s="79" t="n">
        <f aca="false">INDEX(Forecast_Walkforward!$E:$E,H781)</f>
        <v>58.75</v>
      </c>
      <c r="K781" s="33" t="n">
        <f aca="false">Baseline_Weeks*J781</f>
        <v>235</v>
      </c>
      <c r="L781" s="46" t="n">
        <f aca="false">SUMIFS(P$773:P780,$B$773:$B780,$B781-$D781)</f>
        <v>48</v>
      </c>
      <c r="M781" s="46" t="n">
        <f aca="false">S780+L781</f>
        <v>208</v>
      </c>
      <c r="N781" s="46" t="n">
        <f aca="false">SUMIFS(P$773:P780,$B$773:$B780,"&gt;"&amp;($B781-$D781))</f>
        <v>0</v>
      </c>
      <c r="O781" s="46" t="n">
        <f aca="false">M781+N781</f>
        <v>208</v>
      </c>
      <c r="P781" s="47" t="n">
        <f aca="false">IF(O781&lt;K781,ROUNDUP((K781-O781)/G781,0)*G781,0)</f>
        <v>48</v>
      </c>
      <c r="Q781" s="46" t="n">
        <f aca="false">MIN(M781,I781)</f>
        <v>60</v>
      </c>
      <c r="R781" s="46" t="n">
        <f aca="false">I781-Q781</f>
        <v>0</v>
      </c>
      <c r="S781" s="46" t="n">
        <f aca="false">M781-Q781</f>
        <v>148</v>
      </c>
      <c r="T781" s="46" t="n">
        <f aca="false">IF(R781&gt;0,1,0)</f>
        <v>0</v>
      </c>
      <c r="U781" s="32" t="n">
        <f aca="false">INDEX(Forecast!$AY$7:$AY$54,C781)</f>
        <v>2</v>
      </c>
      <c r="V781" s="33" t="n">
        <f aca="false">CHOOSE(U781,INDEX(Forecast_Walkforward!$D:$D,H781),INDEX(Forecast_Walkforward!$E:$E,H781),INDEX(Forecast_Walkforward!$F:$F,H781),INDEX(Forecast_Walkforward!$G:$G,H781))</f>
        <v>58.75</v>
      </c>
      <c r="W781" s="79" t="n">
        <f aca="false">INDEX(Forecast!$BA$7:$BA$54,C781)</f>
        <v>6.82612373966372</v>
      </c>
      <c r="X781" s="33" t="n">
        <f aca="false">Z_Value*W781*SQRT(D781)</f>
        <v>11.2279743912054</v>
      </c>
      <c r="Y781" s="33" t="n">
        <f aca="false">V781*D781+X781</f>
        <v>69.9779743912054</v>
      </c>
      <c r="Z781" s="33" t="n">
        <f aca="false">SQRT((2*V781*Weeks_Per_Year*F781)/(E781*Holding_Rate))</f>
        <v>286.792607994</v>
      </c>
      <c r="AA781" s="46" t="n">
        <f aca="false">ROUNDUP(Z781/G781,0)*G781</f>
        <v>288</v>
      </c>
      <c r="AB781" s="46" t="n">
        <f aca="false">SUMIFS(AF$773:AF780,$B$773:$B780,$B781-$D781)</f>
        <v>0</v>
      </c>
      <c r="AC781" s="46" t="n">
        <f aca="false">AI780+AB781</f>
        <v>201</v>
      </c>
      <c r="AD781" s="46" t="n">
        <f aca="false">SUMIFS(AF$773:AF780,$B$773:$B780,"&gt;"&amp;($B781-$D781))</f>
        <v>0</v>
      </c>
      <c r="AE781" s="46" t="n">
        <f aca="false">AC781+AD781</f>
        <v>201</v>
      </c>
      <c r="AF781" s="47" t="n">
        <f aca="false">IF(AE781&lt;=Y781,AA781,0)</f>
        <v>0</v>
      </c>
      <c r="AG781" s="46" t="n">
        <f aca="false">MIN(AC781,I781)</f>
        <v>60</v>
      </c>
      <c r="AH781" s="46" t="n">
        <f aca="false">I781-AG781</f>
        <v>0</v>
      </c>
      <c r="AI781" s="46" t="n">
        <f aca="false">AC781-AG781</f>
        <v>141</v>
      </c>
      <c r="AJ781" s="46" t="n">
        <f aca="false">IF(AH781&gt;0,1,0)</f>
        <v>0</v>
      </c>
    </row>
    <row r="782" customFormat="false" ht="15" hidden="false" customHeight="false" outlineLevel="0" collapsed="false">
      <c r="A782" s="31" t="str">
        <f aca="false">Inputs!$B$85</f>
        <v>CLN-009</v>
      </c>
      <c r="B782" s="46" t="n">
        <f aca="false">B781+1</f>
        <v>98</v>
      </c>
      <c r="C782" s="46" t="n">
        <f aca="false">MATCH(A782,Inputs!$B$40:$B$87,0)</f>
        <v>46</v>
      </c>
      <c r="D782" s="32" t="n">
        <f aca="false">INDEX(Inputs!$F$40:$F$87,C782)</f>
        <v>1</v>
      </c>
      <c r="E782" s="78" t="n">
        <f aca="false">INDEX(Inputs!$H$40:$H$87,C782)</f>
        <v>13</v>
      </c>
      <c r="F782" s="78" t="n">
        <f aca="false">INDEX(Inputs!$G$40:$G$87,C782)</f>
        <v>35</v>
      </c>
      <c r="G782" s="32" t="n">
        <f aca="false">INDEX(Inputs!$I$40:$I$87,C782)</f>
        <v>24</v>
      </c>
      <c r="H782" s="46" t="n">
        <f aca="false">MATCH(A782,Demand_History!$C:$C,0)+B782-1</f>
        <v>4779</v>
      </c>
      <c r="I782" s="32" t="n">
        <f aca="false">INDEX(Forecast_Walkforward!$C:$C,H782)</f>
        <v>55</v>
      </c>
      <c r="J782" s="79" t="n">
        <f aca="false">INDEX(Forecast_Walkforward!$E:$E,H782)</f>
        <v>56.25</v>
      </c>
      <c r="K782" s="33" t="n">
        <f aca="false">Baseline_Weeks*J782</f>
        <v>225</v>
      </c>
      <c r="L782" s="46" t="n">
        <f aca="false">SUMIFS(P$773:P781,$B$773:$B781,$B782-$D782)</f>
        <v>48</v>
      </c>
      <c r="M782" s="46" t="n">
        <f aca="false">S781+L782</f>
        <v>196</v>
      </c>
      <c r="N782" s="46" t="n">
        <f aca="false">SUMIFS(P$773:P781,$B$773:$B781,"&gt;"&amp;($B782-$D782))</f>
        <v>0</v>
      </c>
      <c r="O782" s="46" t="n">
        <f aca="false">M782+N782</f>
        <v>196</v>
      </c>
      <c r="P782" s="47" t="n">
        <f aca="false">IF(O782&lt;K782,ROUNDUP((K782-O782)/G782,0)*G782,0)</f>
        <v>48</v>
      </c>
      <c r="Q782" s="46" t="n">
        <f aca="false">MIN(M782,I782)</f>
        <v>55</v>
      </c>
      <c r="R782" s="46" t="n">
        <f aca="false">I782-Q782</f>
        <v>0</v>
      </c>
      <c r="S782" s="46" t="n">
        <f aca="false">M782-Q782</f>
        <v>141</v>
      </c>
      <c r="T782" s="46" t="n">
        <f aca="false">IF(R782&gt;0,1,0)</f>
        <v>0</v>
      </c>
      <c r="U782" s="32" t="n">
        <f aca="false">INDEX(Forecast!$AY$7:$AY$54,C782)</f>
        <v>2</v>
      </c>
      <c r="V782" s="33" t="n">
        <f aca="false">CHOOSE(U782,INDEX(Forecast_Walkforward!$D:$D,H782),INDEX(Forecast_Walkforward!$E:$E,H782),INDEX(Forecast_Walkforward!$F:$F,H782),INDEX(Forecast_Walkforward!$G:$G,H782))</f>
        <v>56.25</v>
      </c>
      <c r="W782" s="79" t="n">
        <f aca="false">INDEX(Forecast!$BA$7:$BA$54,C782)</f>
        <v>6.82612373966372</v>
      </c>
      <c r="X782" s="33" t="n">
        <f aca="false">Z_Value*W782*SQRT(D782)</f>
        <v>11.2279743912054</v>
      </c>
      <c r="Y782" s="33" t="n">
        <f aca="false">V782*D782+X782</f>
        <v>67.4779743912054</v>
      </c>
      <c r="Z782" s="33" t="n">
        <f aca="false">SQRT((2*V782*Weeks_Per_Year*F782)/(E782*Holding_Rate))</f>
        <v>280.624304008046</v>
      </c>
      <c r="AA782" s="46" t="n">
        <f aca="false">ROUNDUP(Z782/G782,0)*G782</f>
        <v>288</v>
      </c>
      <c r="AB782" s="46" t="n">
        <f aca="false">SUMIFS(AF$773:AF781,$B$773:$B781,$B782-$D782)</f>
        <v>0</v>
      </c>
      <c r="AC782" s="46" t="n">
        <f aca="false">AI781+AB782</f>
        <v>141</v>
      </c>
      <c r="AD782" s="46" t="n">
        <f aca="false">SUMIFS(AF$773:AF781,$B$773:$B781,"&gt;"&amp;($B782-$D782))</f>
        <v>0</v>
      </c>
      <c r="AE782" s="46" t="n">
        <f aca="false">AC782+AD782</f>
        <v>141</v>
      </c>
      <c r="AF782" s="47" t="n">
        <f aca="false">IF(AE782&lt;=Y782,AA782,0)</f>
        <v>0</v>
      </c>
      <c r="AG782" s="46" t="n">
        <f aca="false">MIN(AC782,I782)</f>
        <v>55</v>
      </c>
      <c r="AH782" s="46" t="n">
        <f aca="false">I782-AG782</f>
        <v>0</v>
      </c>
      <c r="AI782" s="46" t="n">
        <f aca="false">AC782-AG782</f>
        <v>86</v>
      </c>
      <c r="AJ782" s="46" t="n">
        <f aca="false">IF(AH782&gt;0,1,0)</f>
        <v>0</v>
      </c>
    </row>
    <row r="783" customFormat="false" ht="15" hidden="false" customHeight="false" outlineLevel="0" collapsed="false">
      <c r="A783" s="31" t="str">
        <f aca="false">Inputs!$B$85</f>
        <v>CLN-009</v>
      </c>
      <c r="B783" s="46" t="n">
        <f aca="false">B782+1</f>
        <v>99</v>
      </c>
      <c r="C783" s="46" t="n">
        <f aca="false">MATCH(A783,Inputs!$B$40:$B$87,0)</f>
        <v>46</v>
      </c>
      <c r="D783" s="32" t="n">
        <f aca="false">INDEX(Inputs!$F$40:$F$87,C783)</f>
        <v>1</v>
      </c>
      <c r="E783" s="78" t="n">
        <f aca="false">INDEX(Inputs!$H$40:$H$87,C783)</f>
        <v>13</v>
      </c>
      <c r="F783" s="78" t="n">
        <f aca="false">INDEX(Inputs!$G$40:$G$87,C783)</f>
        <v>35</v>
      </c>
      <c r="G783" s="32" t="n">
        <f aca="false">INDEX(Inputs!$I$40:$I$87,C783)</f>
        <v>24</v>
      </c>
      <c r="H783" s="46" t="n">
        <f aca="false">MATCH(A783,Demand_History!$C:$C,0)+B783-1</f>
        <v>4780</v>
      </c>
      <c r="I783" s="32" t="n">
        <f aca="false">INDEX(Forecast_Walkforward!$C:$C,H783)</f>
        <v>72</v>
      </c>
      <c r="J783" s="79" t="n">
        <f aca="false">INDEX(Forecast_Walkforward!$E:$E,H783)</f>
        <v>56.5</v>
      </c>
      <c r="K783" s="33" t="n">
        <f aca="false">Baseline_Weeks*J783</f>
        <v>226</v>
      </c>
      <c r="L783" s="46" t="n">
        <f aca="false">SUMIFS(P$773:P782,$B$773:$B782,$B783-$D783)</f>
        <v>48</v>
      </c>
      <c r="M783" s="46" t="n">
        <f aca="false">S782+L783</f>
        <v>189</v>
      </c>
      <c r="N783" s="46" t="n">
        <f aca="false">SUMIFS(P$773:P782,$B$773:$B782,"&gt;"&amp;($B783-$D783))</f>
        <v>0</v>
      </c>
      <c r="O783" s="46" t="n">
        <f aca="false">M783+N783</f>
        <v>189</v>
      </c>
      <c r="P783" s="47" t="n">
        <f aca="false">IF(O783&lt;K783,ROUNDUP((K783-O783)/G783,0)*G783,0)</f>
        <v>48</v>
      </c>
      <c r="Q783" s="46" t="n">
        <f aca="false">MIN(M783,I783)</f>
        <v>72</v>
      </c>
      <c r="R783" s="46" t="n">
        <f aca="false">I783-Q783</f>
        <v>0</v>
      </c>
      <c r="S783" s="46" t="n">
        <f aca="false">M783-Q783</f>
        <v>117</v>
      </c>
      <c r="T783" s="46" t="n">
        <f aca="false">IF(R783&gt;0,1,0)</f>
        <v>0</v>
      </c>
      <c r="U783" s="32" t="n">
        <f aca="false">INDEX(Forecast!$AY$7:$AY$54,C783)</f>
        <v>2</v>
      </c>
      <c r="V783" s="33" t="n">
        <f aca="false">CHOOSE(U783,INDEX(Forecast_Walkforward!$D:$D,H783),INDEX(Forecast_Walkforward!$E:$E,H783),INDEX(Forecast_Walkforward!$F:$F,H783),INDEX(Forecast_Walkforward!$G:$G,H783))</f>
        <v>56.5</v>
      </c>
      <c r="W783" s="79" t="n">
        <f aca="false">INDEX(Forecast!$BA$7:$BA$54,C783)</f>
        <v>6.82612373966372</v>
      </c>
      <c r="X783" s="33" t="n">
        <f aca="false">Z_Value*W783*SQRT(D783)</f>
        <v>11.2279743912054</v>
      </c>
      <c r="Y783" s="33" t="n">
        <f aca="false">V783*D783+X783</f>
        <v>67.7279743912054</v>
      </c>
      <c r="Z783" s="33" t="n">
        <f aca="false">SQRT((2*V783*Weeks_Per_Year*F783)/(E783*Holding_Rate))</f>
        <v>281.247222208505</v>
      </c>
      <c r="AA783" s="46" t="n">
        <f aca="false">ROUNDUP(Z783/G783,0)*G783</f>
        <v>288</v>
      </c>
      <c r="AB783" s="46" t="n">
        <f aca="false">SUMIFS(AF$773:AF782,$B$773:$B782,$B783-$D783)</f>
        <v>0</v>
      </c>
      <c r="AC783" s="46" t="n">
        <f aca="false">AI782+AB783</f>
        <v>86</v>
      </c>
      <c r="AD783" s="46" t="n">
        <f aca="false">SUMIFS(AF$773:AF782,$B$773:$B782,"&gt;"&amp;($B783-$D783))</f>
        <v>0</v>
      </c>
      <c r="AE783" s="46" t="n">
        <f aca="false">AC783+AD783</f>
        <v>86</v>
      </c>
      <c r="AF783" s="47" t="n">
        <f aca="false">IF(AE783&lt;=Y783,AA783,0)</f>
        <v>0</v>
      </c>
      <c r="AG783" s="46" t="n">
        <f aca="false">MIN(AC783,I783)</f>
        <v>72</v>
      </c>
      <c r="AH783" s="46" t="n">
        <f aca="false">I783-AG783</f>
        <v>0</v>
      </c>
      <c r="AI783" s="46" t="n">
        <f aca="false">AC783-AG783</f>
        <v>14</v>
      </c>
      <c r="AJ783" s="46" t="n">
        <f aca="false">IF(AH783&gt;0,1,0)</f>
        <v>0</v>
      </c>
    </row>
    <row r="784" customFormat="false" ht="15" hidden="false" customHeight="false" outlineLevel="0" collapsed="false">
      <c r="A784" s="31" t="str">
        <f aca="false">Inputs!$B$85</f>
        <v>CLN-009</v>
      </c>
      <c r="B784" s="46" t="n">
        <f aca="false">B783+1</f>
        <v>100</v>
      </c>
      <c r="C784" s="46" t="n">
        <f aca="false">MATCH(A784,Inputs!$B$40:$B$87,0)</f>
        <v>46</v>
      </c>
      <c r="D784" s="32" t="n">
        <f aca="false">INDEX(Inputs!$F$40:$F$87,C784)</f>
        <v>1</v>
      </c>
      <c r="E784" s="78" t="n">
        <f aca="false">INDEX(Inputs!$H$40:$H$87,C784)</f>
        <v>13</v>
      </c>
      <c r="F784" s="78" t="n">
        <f aca="false">INDEX(Inputs!$G$40:$G$87,C784)</f>
        <v>35</v>
      </c>
      <c r="G784" s="32" t="n">
        <f aca="false">INDEX(Inputs!$I$40:$I$87,C784)</f>
        <v>24</v>
      </c>
      <c r="H784" s="46" t="n">
        <f aca="false">MATCH(A784,Demand_History!$C:$C,0)+B784-1</f>
        <v>4781</v>
      </c>
      <c r="I784" s="32" t="n">
        <f aca="false">INDEX(Forecast_Walkforward!$C:$C,H784)</f>
        <v>68</v>
      </c>
      <c r="J784" s="79" t="n">
        <f aca="false">INDEX(Forecast_Walkforward!$E:$E,H784)</f>
        <v>59</v>
      </c>
      <c r="K784" s="33" t="n">
        <f aca="false">Baseline_Weeks*J784</f>
        <v>236</v>
      </c>
      <c r="L784" s="46" t="n">
        <f aca="false">SUMIFS(P$773:P783,$B$773:$B783,$B784-$D784)</f>
        <v>48</v>
      </c>
      <c r="M784" s="46" t="n">
        <f aca="false">S783+L784</f>
        <v>165</v>
      </c>
      <c r="N784" s="46" t="n">
        <f aca="false">SUMIFS(P$773:P783,$B$773:$B783,"&gt;"&amp;($B784-$D784))</f>
        <v>0</v>
      </c>
      <c r="O784" s="46" t="n">
        <f aca="false">M784+N784</f>
        <v>165</v>
      </c>
      <c r="P784" s="47" t="n">
        <f aca="false">IF(O784&lt;K784,ROUNDUP((K784-O784)/G784,0)*G784,0)</f>
        <v>72</v>
      </c>
      <c r="Q784" s="46" t="n">
        <f aca="false">MIN(M784,I784)</f>
        <v>68</v>
      </c>
      <c r="R784" s="46" t="n">
        <f aca="false">I784-Q784</f>
        <v>0</v>
      </c>
      <c r="S784" s="46" t="n">
        <f aca="false">M784-Q784</f>
        <v>97</v>
      </c>
      <c r="T784" s="46" t="n">
        <f aca="false">IF(R784&gt;0,1,0)</f>
        <v>0</v>
      </c>
      <c r="U784" s="32" t="n">
        <f aca="false">INDEX(Forecast!$AY$7:$AY$54,C784)</f>
        <v>2</v>
      </c>
      <c r="V784" s="33" t="n">
        <f aca="false">CHOOSE(U784,INDEX(Forecast_Walkforward!$D:$D,H784),INDEX(Forecast_Walkforward!$E:$E,H784),INDEX(Forecast_Walkforward!$F:$F,H784),INDEX(Forecast_Walkforward!$G:$G,H784))</f>
        <v>59</v>
      </c>
      <c r="W784" s="79" t="n">
        <f aca="false">INDEX(Forecast!$BA$7:$BA$54,C784)</f>
        <v>6.82612373966372</v>
      </c>
      <c r="X784" s="33" t="n">
        <f aca="false">Z_Value*W784*SQRT(D784)</f>
        <v>11.2279743912054</v>
      </c>
      <c r="Y784" s="33" t="n">
        <f aca="false">V784*D784+X784</f>
        <v>70.2279743912054</v>
      </c>
      <c r="Z784" s="33" t="n">
        <f aca="false">SQRT((2*V784*Weeks_Per_Year*F784)/(E784*Holding_Rate))</f>
        <v>287.402157263998</v>
      </c>
      <c r="AA784" s="46" t="n">
        <f aca="false">ROUNDUP(Z784/G784,0)*G784</f>
        <v>288</v>
      </c>
      <c r="AB784" s="46" t="n">
        <f aca="false">SUMIFS(AF$773:AF783,$B$773:$B783,$B784-$D784)</f>
        <v>0</v>
      </c>
      <c r="AC784" s="46" t="n">
        <f aca="false">AI783+AB784</f>
        <v>14</v>
      </c>
      <c r="AD784" s="46" t="n">
        <f aca="false">SUMIFS(AF$773:AF783,$B$773:$B783,"&gt;"&amp;($B784-$D784))</f>
        <v>0</v>
      </c>
      <c r="AE784" s="46" t="n">
        <f aca="false">AC784+AD784</f>
        <v>14</v>
      </c>
      <c r="AF784" s="47" t="n">
        <f aca="false">IF(AE784&lt;=Y784,AA784,0)</f>
        <v>288</v>
      </c>
      <c r="AG784" s="46" t="n">
        <f aca="false">MIN(AC784,I784)</f>
        <v>14</v>
      </c>
      <c r="AH784" s="46" t="n">
        <f aca="false">I784-AG784</f>
        <v>54</v>
      </c>
      <c r="AI784" s="46" t="n">
        <f aca="false">AC784-AG784</f>
        <v>0</v>
      </c>
      <c r="AJ784" s="46" t="n">
        <f aca="false">IF(AH784&gt;0,1,0)</f>
        <v>1</v>
      </c>
    </row>
    <row r="785" customFormat="false" ht="15" hidden="false" customHeight="false" outlineLevel="0" collapsed="false">
      <c r="A785" s="31" t="str">
        <f aca="false">Inputs!$B$85</f>
        <v>CLN-009</v>
      </c>
      <c r="B785" s="46" t="n">
        <f aca="false">B784+1</f>
        <v>101</v>
      </c>
      <c r="C785" s="46" t="n">
        <f aca="false">MATCH(A785,Inputs!$B$40:$B$87,0)</f>
        <v>46</v>
      </c>
      <c r="D785" s="32" t="n">
        <f aca="false">INDEX(Inputs!$F$40:$F$87,C785)</f>
        <v>1</v>
      </c>
      <c r="E785" s="78" t="n">
        <f aca="false">INDEX(Inputs!$H$40:$H$87,C785)</f>
        <v>13</v>
      </c>
      <c r="F785" s="78" t="n">
        <f aca="false">INDEX(Inputs!$G$40:$G$87,C785)</f>
        <v>35</v>
      </c>
      <c r="G785" s="32" t="n">
        <f aca="false">INDEX(Inputs!$I$40:$I$87,C785)</f>
        <v>24</v>
      </c>
      <c r="H785" s="46" t="n">
        <f aca="false">MATCH(A785,Demand_History!$C:$C,0)+B785-1</f>
        <v>4782</v>
      </c>
      <c r="I785" s="32" t="n">
        <f aca="false">INDEX(Forecast_Walkforward!$C:$C,H785)</f>
        <v>66</v>
      </c>
      <c r="J785" s="79" t="n">
        <f aca="false">INDEX(Forecast_Walkforward!$E:$E,H785)</f>
        <v>63.75</v>
      </c>
      <c r="K785" s="33" t="n">
        <f aca="false">Baseline_Weeks*J785</f>
        <v>255</v>
      </c>
      <c r="L785" s="46" t="n">
        <f aca="false">SUMIFS(P$773:P784,$B$773:$B784,$B785-$D785)</f>
        <v>72</v>
      </c>
      <c r="M785" s="46" t="n">
        <f aca="false">S784+L785</f>
        <v>169</v>
      </c>
      <c r="N785" s="46" t="n">
        <f aca="false">SUMIFS(P$773:P784,$B$773:$B784,"&gt;"&amp;($B785-$D785))</f>
        <v>0</v>
      </c>
      <c r="O785" s="46" t="n">
        <f aca="false">M785+N785</f>
        <v>169</v>
      </c>
      <c r="P785" s="47" t="n">
        <f aca="false">IF(O785&lt;K785,ROUNDUP((K785-O785)/G785,0)*G785,0)</f>
        <v>96</v>
      </c>
      <c r="Q785" s="46" t="n">
        <f aca="false">MIN(M785,I785)</f>
        <v>66</v>
      </c>
      <c r="R785" s="46" t="n">
        <f aca="false">I785-Q785</f>
        <v>0</v>
      </c>
      <c r="S785" s="46" t="n">
        <f aca="false">M785-Q785</f>
        <v>103</v>
      </c>
      <c r="T785" s="46" t="n">
        <f aca="false">IF(R785&gt;0,1,0)</f>
        <v>0</v>
      </c>
      <c r="U785" s="32" t="n">
        <f aca="false">INDEX(Forecast!$AY$7:$AY$54,C785)</f>
        <v>2</v>
      </c>
      <c r="V785" s="33" t="n">
        <f aca="false">CHOOSE(U785,INDEX(Forecast_Walkforward!$D:$D,H785),INDEX(Forecast_Walkforward!$E:$E,H785),INDEX(Forecast_Walkforward!$F:$F,H785),INDEX(Forecast_Walkforward!$G:$G,H785))</f>
        <v>63.75</v>
      </c>
      <c r="W785" s="79" t="n">
        <f aca="false">INDEX(Forecast!$BA$7:$BA$54,C785)</f>
        <v>6.82612373966372</v>
      </c>
      <c r="X785" s="33" t="n">
        <f aca="false">Z_Value*W785*SQRT(D785)</f>
        <v>11.2279743912054</v>
      </c>
      <c r="Y785" s="33" t="n">
        <f aca="false">V785*D785+X785</f>
        <v>74.9779743912054</v>
      </c>
      <c r="Z785" s="33" t="n">
        <f aca="false">SQRT((2*V785*Weeks_Per_Year*F785)/(E785*Holding_Rate))</f>
        <v>298.747384925793</v>
      </c>
      <c r="AA785" s="46" t="n">
        <f aca="false">ROUNDUP(Z785/G785,0)*G785</f>
        <v>312</v>
      </c>
      <c r="AB785" s="46" t="n">
        <f aca="false">SUMIFS(AF$773:AF784,$B$773:$B784,$B785-$D785)</f>
        <v>288</v>
      </c>
      <c r="AC785" s="46" t="n">
        <f aca="false">AI784+AB785</f>
        <v>288</v>
      </c>
      <c r="AD785" s="46" t="n">
        <f aca="false">SUMIFS(AF$773:AF784,$B$773:$B784,"&gt;"&amp;($B785-$D785))</f>
        <v>0</v>
      </c>
      <c r="AE785" s="46" t="n">
        <f aca="false">AC785+AD785</f>
        <v>288</v>
      </c>
      <c r="AF785" s="47" t="n">
        <f aca="false">IF(AE785&lt;=Y785,AA785,0)</f>
        <v>0</v>
      </c>
      <c r="AG785" s="46" t="n">
        <f aca="false">MIN(AC785,I785)</f>
        <v>66</v>
      </c>
      <c r="AH785" s="46" t="n">
        <f aca="false">I785-AG785</f>
        <v>0</v>
      </c>
      <c r="AI785" s="46" t="n">
        <f aca="false">AC785-AG785</f>
        <v>222</v>
      </c>
      <c r="AJ785" s="46" t="n">
        <f aca="false">IF(AH785&gt;0,1,0)</f>
        <v>0</v>
      </c>
    </row>
    <row r="786" customFormat="false" ht="15" hidden="false" customHeight="false" outlineLevel="0" collapsed="false">
      <c r="A786" s="31" t="str">
        <f aca="false">Inputs!$B$85</f>
        <v>CLN-009</v>
      </c>
      <c r="B786" s="46" t="n">
        <f aca="false">B785+1</f>
        <v>102</v>
      </c>
      <c r="C786" s="46" t="n">
        <f aca="false">MATCH(A786,Inputs!$B$40:$B$87,0)</f>
        <v>46</v>
      </c>
      <c r="D786" s="32" t="n">
        <f aca="false">INDEX(Inputs!$F$40:$F$87,C786)</f>
        <v>1</v>
      </c>
      <c r="E786" s="78" t="n">
        <f aca="false">INDEX(Inputs!$H$40:$H$87,C786)</f>
        <v>13</v>
      </c>
      <c r="F786" s="78" t="n">
        <f aca="false">INDEX(Inputs!$G$40:$G$87,C786)</f>
        <v>35</v>
      </c>
      <c r="G786" s="32" t="n">
        <f aca="false">INDEX(Inputs!$I$40:$I$87,C786)</f>
        <v>24</v>
      </c>
      <c r="H786" s="46" t="n">
        <f aca="false">MATCH(A786,Demand_History!$C:$C,0)+B786-1</f>
        <v>4783</v>
      </c>
      <c r="I786" s="32" t="n">
        <f aca="false">INDEX(Forecast_Walkforward!$C:$C,H786)</f>
        <v>77</v>
      </c>
      <c r="J786" s="79" t="n">
        <f aca="false">INDEX(Forecast_Walkforward!$E:$E,H786)</f>
        <v>65.25</v>
      </c>
      <c r="K786" s="33" t="n">
        <f aca="false">Baseline_Weeks*J786</f>
        <v>261</v>
      </c>
      <c r="L786" s="46" t="n">
        <f aca="false">SUMIFS(P$773:P785,$B$773:$B785,$B786-$D786)</f>
        <v>96</v>
      </c>
      <c r="M786" s="46" t="n">
        <f aca="false">S785+L786</f>
        <v>199</v>
      </c>
      <c r="N786" s="46" t="n">
        <f aca="false">SUMIFS(P$773:P785,$B$773:$B785,"&gt;"&amp;($B786-$D786))</f>
        <v>0</v>
      </c>
      <c r="O786" s="46" t="n">
        <f aca="false">M786+N786</f>
        <v>199</v>
      </c>
      <c r="P786" s="47" t="n">
        <f aca="false">IF(O786&lt;K786,ROUNDUP((K786-O786)/G786,0)*G786,0)</f>
        <v>72</v>
      </c>
      <c r="Q786" s="46" t="n">
        <f aca="false">MIN(M786,I786)</f>
        <v>77</v>
      </c>
      <c r="R786" s="46" t="n">
        <f aca="false">I786-Q786</f>
        <v>0</v>
      </c>
      <c r="S786" s="46" t="n">
        <f aca="false">M786-Q786</f>
        <v>122</v>
      </c>
      <c r="T786" s="46" t="n">
        <f aca="false">IF(R786&gt;0,1,0)</f>
        <v>0</v>
      </c>
      <c r="U786" s="32" t="n">
        <f aca="false">INDEX(Forecast!$AY$7:$AY$54,C786)</f>
        <v>2</v>
      </c>
      <c r="V786" s="33" t="n">
        <f aca="false">CHOOSE(U786,INDEX(Forecast_Walkforward!$D:$D,H786),INDEX(Forecast_Walkforward!$E:$E,H786),INDEX(Forecast_Walkforward!$F:$F,H786),INDEX(Forecast_Walkforward!$G:$G,H786))</f>
        <v>65.25</v>
      </c>
      <c r="W786" s="79" t="n">
        <f aca="false">INDEX(Forecast!$BA$7:$BA$54,C786)</f>
        <v>6.82612373966372</v>
      </c>
      <c r="X786" s="33" t="n">
        <f aca="false">Z_Value*W786*SQRT(D786)</f>
        <v>11.2279743912054</v>
      </c>
      <c r="Y786" s="33" t="n">
        <f aca="false">V786*D786+X786</f>
        <v>76.4779743912054</v>
      </c>
      <c r="Z786" s="33" t="n">
        <f aca="false">SQRT((2*V786*Weeks_Per_Year*F786)/(E786*Holding_Rate))</f>
        <v>302.241625194148</v>
      </c>
      <c r="AA786" s="46" t="n">
        <f aca="false">ROUNDUP(Z786/G786,0)*G786</f>
        <v>312</v>
      </c>
      <c r="AB786" s="46" t="n">
        <f aca="false">SUMIFS(AF$773:AF785,$B$773:$B785,$B786-$D786)</f>
        <v>0</v>
      </c>
      <c r="AC786" s="46" t="n">
        <f aca="false">AI785+AB786</f>
        <v>222</v>
      </c>
      <c r="AD786" s="46" t="n">
        <f aca="false">SUMIFS(AF$773:AF785,$B$773:$B785,"&gt;"&amp;($B786-$D786))</f>
        <v>0</v>
      </c>
      <c r="AE786" s="46" t="n">
        <f aca="false">AC786+AD786</f>
        <v>222</v>
      </c>
      <c r="AF786" s="47" t="n">
        <f aca="false">IF(AE786&lt;=Y786,AA786,0)</f>
        <v>0</v>
      </c>
      <c r="AG786" s="46" t="n">
        <f aca="false">MIN(AC786,I786)</f>
        <v>77</v>
      </c>
      <c r="AH786" s="46" t="n">
        <f aca="false">I786-AG786</f>
        <v>0</v>
      </c>
      <c r="AI786" s="46" t="n">
        <f aca="false">AC786-AG786</f>
        <v>145</v>
      </c>
      <c r="AJ786" s="46" t="n">
        <f aca="false">IF(AH786&gt;0,1,0)</f>
        <v>0</v>
      </c>
    </row>
    <row r="787" customFormat="false" ht="15" hidden="false" customHeight="false" outlineLevel="0" collapsed="false">
      <c r="A787" s="31" t="str">
        <f aca="false">Inputs!$B$85</f>
        <v>CLN-009</v>
      </c>
      <c r="B787" s="46" t="n">
        <f aca="false">B786+1</f>
        <v>103</v>
      </c>
      <c r="C787" s="46" t="n">
        <f aca="false">MATCH(A787,Inputs!$B$40:$B$87,0)</f>
        <v>46</v>
      </c>
      <c r="D787" s="32" t="n">
        <f aca="false">INDEX(Inputs!$F$40:$F$87,C787)</f>
        <v>1</v>
      </c>
      <c r="E787" s="78" t="n">
        <f aca="false">INDEX(Inputs!$H$40:$H$87,C787)</f>
        <v>13</v>
      </c>
      <c r="F787" s="78" t="n">
        <f aca="false">INDEX(Inputs!$G$40:$G$87,C787)</f>
        <v>35</v>
      </c>
      <c r="G787" s="32" t="n">
        <f aca="false">INDEX(Inputs!$I$40:$I$87,C787)</f>
        <v>24</v>
      </c>
      <c r="H787" s="46" t="n">
        <f aca="false">MATCH(A787,Demand_History!$C:$C,0)+B787-1</f>
        <v>4784</v>
      </c>
      <c r="I787" s="32" t="n">
        <f aca="false">INDEX(Forecast_Walkforward!$C:$C,H787)</f>
        <v>75</v>
      </c>
      <c r="J787" s="79" t="n">
        <f aca="false">INDEX(Forecast_Walkforward!$E:$E,H787)</f>
        <v>70.75</v>
      </c>
      <c r="K787" s="33" t="n">
        <f aca="false">Baseline_Weeks*J787</f>
        <v>283</v>
      </c>
      <c r="L787" s="46" t="n">
        <f aca="false">SUMIFS(P$773:P786,$B$773:$B786,$B787-$D787)</f>
        <v>72</v>
      </c>
      <c r="M787" s="46" t="n">
        <f aca="false">S786+L787</f>
        <v>194</v>
      </c>
      <c r="N787" s="46" t="n">
        <f aca="false">SUMIFS(P$773:P786,$B$773:$B786,"&gt;"&amp;($B787-$D787))</f>
        <v>0</v>
      </c>
      <c r="O787" s="46" t="n">
        <f aca="false">M787+N787</f>
        <v>194</v>
      </c>
      <c r="P787" s="47" t="n">
        <f aca="false">IF(O787&lt;K787,ROUNDUP((K787-O787)/G787,0)*G787,0)</f>
        <v>96</v>
      </c>
      <c r="Q787" s="46" t="n">
        <f aca="false">MIN(M787,I787)</f>
        <v>75</v>
      </c>
      <c r="R787" s="46" t="n">
        <f aca="false">I787-Q787</f>
        <v>0</v>
      </c>
      <c r="S787" s="46" t="n">
        <f aca="false">M787-Q787</f>
        <v>119</v>
      </c>
      <c r="T787" s="46" t="n">
        <f aca="false">IF(R787&gt;0,1,0)</f>
        <v>0</v>
      </c>
      <c r="U787" s="32" t="n">
        <f aca="false">INDEX(Forecast!$AY$7:$AY$54,C787)</f>
        <v>2</v>
      </c>
      <c r="V787" s="33" t="n">
        <f aca="false">CHOOSE(U787,INDEX(Forecast_Walkforward!$D:$D,H787),INDEX(Forecast_Walkforward!$E:$E,H787),INDEX(Forecast_Walkforward!$F:$F,H787),INDEX(Forecast_Walkforward!$G:$G,H787))</f>
        <v>70.75</v>
      </c>
      <c r="W787" s="79" t="n">
        <f aca="false">INDEX(Forecast!$BA$7:$BA$54,C787)</f>
        <v>6.82612373966372</v>
      </c>
      <c r="X787" s="33" t="n">
        <f aca="false">Z_Value*W787*SQRT(D787)</f>
        <v>11.2279743912054</v>
      </c>
      <c r="Y787" s="33" t="n">
        <f aca="false">V787*D787+X787</f>
        <v>81.9779743912054</v>
      </c>
      <c r="Z787" s="33" t="n">
        <f aca="false">SQRT((2*V787*Weeks_Per_Year*F787)/(E787*Holding_Rate))</f>
        <v>314.722099637124</v>
      </c>
      <c r="AA787" s="46" t="n">
        <f aca="false">ROUNDUP(Z787/G787,0)*G787</f>
        <v>336</v>
      </c>
      <c r="AB787" s="46" t="n">
        <f aca="false">SUMIFS(AF$773:AF786,$B$773:$B786,$B787-$D787)</f>
        <v>0</v>
      </c>
      <c r="AC787" s="46" t="n">
        <f aca="false">AI786+AB787</f>
        <v>145</v>
      </c>
      <c r="AD787" s="46" t="n">
        <f aca="false">SUMIFS(AF$773:AF786,$B$773:$B786,"&gt;"&amp;($B787-$D787))</f>
        <v>0</v>
      </c>
      <c r="AE787" s="46" t="n">
        <f aca="false">AC787+AD787</f>
        <v>145</v>
      </c>
      <c r="AF787" s="47" t="n">
        <f aca="false">IF(AE787&lt;=Y787,AA787,0)</f>
        <v>0</v>
      </c>
      <c r="AG787" s="46" t="n">
        <f aca="false">MIN(AC787,I787)</f>
        <v>75</v>
      </c>
      <c r="AH787" s="46" t="n">
        <f aca="false">I787-AG787</f>
        <v>0</v>
      </c>
      <c r="AI787" s="46" t="n">
        <f aca="false">AC787-AG787</f>
        <v>70</v>
      </c>
      <c r="AJ787" s="46" t="n">
        <f aca="false">IF(AH787&gt;0,1,0)</f>
        <v>0</v>
      </c>
    </row>
    <row r="788" customFormat="false" ht="15" hidden="false" customHeight="false" outlineLevel="0" collapsed="false">
      <c r="A788" s="80" t="str">
        <f aca="false">Inputs!$B$85</f>
        <v>CLN-009</v>
      </c>
      <c r="B788" s="81" t="n">
        <f aca="false">B787+1</f>
        <v>104</v>
      </c>
      <c r="C788" s="81" t="n">
        <f aca="false">MATCH(A788,Inputs!$B$40:$B$87,0)</f>
        <v>46</v>
      </c>
      <c r="D788" s="82" t="n">
        <f aca="false">INDEX(Inputs!$F$40:$F$87,C788)</f>
        <v>1</v>
      </c>
      <c r="E788" s="83" t="n">
        <f aca="false">INDEX(Inputs!$H$40:$H$87,C788)</f>
        <v>13</v>
      </c>
      <c r="F788" s="83" t="n">
        <f aca="false">INDEX(Inputs!$G$40:$G$87,C788)</f>
        <v>35</v>
      </c>
      <c r="G788" s="82" t="n">
        <f aca="false">INDEX(Inputs!$I$40:$I$87,C788)</f>
        <v>24</v>
      </c>
      <c r="H788" s="81" t="n">
        <f aca="false">MATCH(A788,Demand_History!$C:$C,0)+B788-1</f>
        <v>4785</v>
      </c>
      <c r="I788" s="82" t="n">
        <f aca="false">INDEX(Forecast_Walkforward!$C:$C,H788)</f>
        <v>69</v>
      </c>
      <c r="J788" s="84" t="n">
        <f aca="false">INDEX(Forecast_Walkforward!$E:$E,H788)</f>
        <v>71.5</v>
      </c>
      <c r="K788" s="85" t="n">
        <f aca="false">Baseline_Weeks*J788</f>
        <v>286</v>
      </c>
      <c r="L788" s="81" t="n">
        <f aca="false">SUMIFS(P$773:P787,$B$773:$B787,$B788-$D788)</f>
        <v>96</v>
      </c>
      <c r="M788" s="81" t="n">
        <f aca="false">S787+L788</f>
        <v>215</v>
      </c>
      <c r="N788" s="81" t="n">
        <f aca="false">SUMIFS(P$773:P787,$B$773:$B787,"&gt;"&amp;($B788-$D788))</f>
        <v>0</v>
      </c>
      <c r="O788" s="81" t="n">
        <f aca="false">M788+N788</f>
        <v>215</v>
      </c>
      <c r="P788" s="86" t="n">
        <f aca="false">IF(O788&lt;K788,ROUNDUP((K788-O788)/G788,0)*G788,0)</f>
        <v>72</v>
      </c>
      <c r="Q788" s="81" t="n">
        <f aca="false">MIN(M788,I788)</f>
        <v>69</v>
      </c>
      <c r="R788" s="81" t="n">
        <f aca="false">I788-Q788</f>
        <v>0</v>
      </c>
      <c r="S788" s="81" t="n">
        <f aca="false">M788-Q788</f>
        <v>146</v>
      </c>
      <c r="T788" s="81" t="n">
        <f aca="false">IF(R788&gt;0,1,0)</f>
        <v>0</v>
      </c>
      <c r="U788" s="82" t="n">
        <f aca="false">INDEX(Forecast!$AY$7:$AY$54,C788)</f>
        <v>2</v>
      </c>
      <c r="V788" s="85" t="n">
        <f aca="false">CHOOSE(U788,INDEX(Forecast_Walkforward!$D:$D,H788),INDEX(Forecast_Walkforward!$E:$E,H788),INDEX(Forecast_Walkforward!$F:$F,H788),INDEX(Forecast_Walkforward!$G:$G,H788))</f>
        <v>71.5</v>
      </c>
      <c r="W788" s="84" t="n">
        <f aca="false">INDEX(Forecast!$BA$7:$BA$54,C788)</f>
        <v>6.82612373966372</v>
      </c>
      <c r="X788" s="85" t="n">
        <f aca="false">Z_Value*W788*SQRT(D788)</f>
        <v>11.2279743912054</v>
      </c>
      <c r="Y788" s="85" t="n">
        <f aca="false">V788*D788+X788</f>
        <v>82.7279743912054</v>
      </c>
      <c r="Z788" s="85" t="n">
        <f aca="false">SQRT((2*V788*Weeks_Per_Year*F788)/(E788*Holding_Rate))</f>
        <v>316.385840391128</v>
      </c>
      <c r="AA788" s="81" t="n">
        <f aca="false">ROUNDUP(Z788/G788,0)*G788</f>
        <v>336</v>
      </c>
      <c r="AB788" s="81" t="n">
        <f aca="false">SUMIFS(AF$773:AF787,$B$773:$B787,$B788-$D788)</f>
        <v>0</v>
      </c>
      <c r="AC788" s="81" t="n">
        <f aca="false">AI787+AB788</f>
        <v>70</v>
      </c>
      <c r="AD788" s="81" t="n">
        <f aca="false">SUMIFS(AF$773:AF787,$B$773:$B787,"&gt;"&amp;($B788-$D788))</f>
        <v>0</v>
      </c>
      <c r="AE788" s="81" t="n">
        <f aca="false">AC788+AD788</f>
        <v>70</v>
      </c>
      <c r="AF788" s="86" t="n">
        <f aca="false">IF(AE788&lt;=Y788,AA788,0)</f>
        <v>336</v>
      </c>
      <c r="AG788" s="81" t="n">
        <f aca="false">MIN(AC788,I788)</f>
        <v>69</v>
      </c>
      <c r="AH788" s="81" t="n">
        <f aca="false">I788-AG788</f>
        <v>0</v>
      </c>
      <c r="AI788" s="81" t="n">
        <f aca="false">AC788-AG788</f>
        <v>1</v>
      </c>
      <c r="AJ788" s="81" t="n">
        <f aca="false">IF(AH788&gt;0,1,0)</f>
        <v>0</v>
      </c>
    </row>
    <row r="789" customFormat="false" ht="15" hidden="false" customHeight="false" outlineLevel="0" collapsed="false">
      <c r="A789" s="31" t="str">
        <f aca="false">Inputs!$B$86</f>
        <v>CLN-010</v>
      </c>
      <c r="B789" s="46" t="n">
        <f aca="false">BT_Start_Week</f>
        <v>89</v>
      </c>
      <c r="C789" s="46" t="n">
        <f aca="false">MATCH(A789,Inputs!$B$40:$B$87,0)</f>
        <v>47</v>
      </c>
      <c r="D789" s="32" t="n">
        <f aca="false">INDEX(Inputs!$F$40:$F$87,C789)</f>
        <v>1</v>
      </c>
      <c r="E789" s="78" t="n">
        <f aca="false">INDEX(Inputs!$H$40:$H$87,C789)</f>
        <v>16</v>
      </c>
      <c r="F789" s="78" t="n">
        <f aca="false">INDEX(Inputs!$G$40:$G$87,C789)</f>
        <v>35</v>
      </c>
      <c r="G789" s="32" t="n">
        <f aca="false">INDEX(Inputs!$I$40:$I$87,C789)</f>
        <v>12</v>
      </c>
      <c r="H789" s="46" t="n">
        <f aca="false">MATCH(A789,Demand_History!$C:$C,0)+B789-1</f>
        <v>4874</v>
      </c>
      <c r="I789" s="32" t="n">
        <f aca="false">INDEX(Forecast_Walkforward!$C:$C,H789)</f>
        <v>36</v>
      </c>
      <c r="J789" s="79" t="n">
        <f aca="false">INDEX(Forecast_Walkforward!$E:$E,H789)</f>
        <v>23.25</v>
      </c>
      <c r="K789" s="33" t="n">
        <f aca="false">Baseline_Weeks*J789</f>
        <v>93</v>
      </c>
      <c r="L789" s="46" t="n">
        <f aca="false">0</f>
        <v>0</v>
      </c>
      <c r="M789" s="46" t="n">
        <f aca="false">ROUND(BT_Open_Cover*INDEX(Forecast_Walkforward!$F:$F,H789),0)+L789</f>
        <v>228</v>
      </c>
      <c r="N789" s="46" t="n">
        <f aca="false">0</f>
        <v>0</v>
      </c>
      <c r="O789" s="46" t="n">
        <f aca="false">M789+N789</f>
        <v>228</v>
      </c>
      <c r="P789" s="47" t="n">
        <f aca="false">IF(O789&lt;K789,ROUNDUP((K789-O789)/G789,0)*G789,0)</f>
        <v>0</v>
      </c>
      <c r="Q789" s="46" t="n">
        <f aca="false">MIN(M789,I789)</f>
        <v>36</v>
      </c>
      <c r="R789" s="46" t="n">
        <f aca="false">I789-Q789</f>
        <v>0</v>
      </c>
      <c r="S789" s="46" t="n">
        <f aca="false">M789-Q789</f>
        <v>192</v>
      </c>
      <c r="T789" s="46" t="n">
        <f aca="false">IF(R789&gt;0,1,0)</f>
        <v>0</v>
      </c>
      <c r="U789" s="32" t="n">
        <f aca="false">INDEX(Forecast!$AY$7:$AY$54,C789)</f>
        <v>2</v>
      </c>
      <c r="V789" s="33" t="n">
        <f aca="false">CHOOSE(U789,INDEX(Forecast_Walkforward!$D:$D,H789),INDEX(Forecast_Walkforward!$E:$E,H789),INDEX(Forecast_Walkforward!$F:$F,H789),INDEX(Forecast_Walkforward!$G:$G,H789))</f>
        <v>23.25</v>
      </c>
      <c r="W789" s="79" t="n">
        <f aca="false">INDEX(Forecast!$BA$7:$BA$54,C789)</f>
        <v>13.4059802114528</v>
      </c>
      <c r="X789" s="33" t="n">
        <f aca="false">Z_Value*W789*SQRT(D789)</f>
        <v>22.0508751736478</v>
      </c>
      <c r="Y789" s="33" t="n">
        <f aca="false">V789*D789+X789</f>
        <v>45.3008751736478</v>
      </c>
      <c r="Z789" s="33" t="n">
        <f aca="false">SQRT((2*V789*Weeks_Per_Year*F789)/(E789*Holding_Rate))</f>
        <v>162.624951960024</v>
      </c>
      <c r="AA789" s="46" t="n">
        <f aca="false">ROUNDUP(Z789/G789,0)*G789</f>
        <v>168</v>
      </c>
      <c r="AB789" s="46" t="n">
        <f aca="false">0</f>
        <v>0</v>
      </c>
      <c r="AC789" s="46" t="n">
        <f aca="false">ROUND(BT_Open_Cover*INDEX(Forecast_Walkforward!$F:$F,H789),0)+AB789</f>
        <v>228</v>
      </c>
      <c r="AD789" s="46" t="n">
        <f aca="false">0</f>
        <v>0</v>
      </c>
      <c r="AE789" s="46" t="n">
        <f aca="false">AC789+AD789</f>
        <v>228</v>
      </c>
      <c r="AF789" s="47" t="n">
        <f aca="false">IF(AE789&lt;=Y789,AA789,0)</f>
        <v>0</v>
      </c>
      <c r="AG789" s="46" t="n">
        <f aca="false">MIN(AC789,I789)</f>
        <v>36</v>
      </c>
      <c r="AH789" s="46" t="n">
        <f aca="false">I789-AG789</f>
        <v>0</v>
      </c>
      <c r="AI789" s="46" t="n">
        <f aca="false">AC789-AG789</f>
        <v>192</v>
      </c>
      <c r="AJ789" s="46" t="n">
        <f aca="false">IF(AH789&gt;0,1,0)</f>
        <v>0</v>
      </c>
    </row>
    <row r="790" customFormat="false" ht="15" hidden="false" customHeight="false" outlineLevel="0" collapsed="false">
      <c r="A790" s="31" t="str">
        <f aca="false">Inputs!$B$86</f>
        <v>CLN-010</v>
      </c>
      <c r="B790" s="46" t="n">
        <f aca="false">B789+1</f>
        <v>90</v>
      </c>
      <c r="C790" s="46" t="n">
        <f aca="false">MATCH(A790,Inputs!$B$40:$B$87,0)</f>
        <v>47</v>
      </c>
      <c r="D790" s="32" t="n">
        <f aca="false">INDEX(Inputs!$F$40:$F$87,C790)</f>
        <v>1</v>
      </c>
      <c r="E790" s="78" t="n">
        <f aca="false">INDEX(Inputs!$H$40:$H$87,C790)</f>
        <v>16</v>
      </c>
      <c r="F790" s="78" t="n">
        <f aca="false">INDEX(Inputs!$G$40:$G$87,C790)</f>
        <v>35</v>
      </c>
      <c r="G790" s="32" t="n">
        <f aca="false">INDEX(Inputs!$I$40:$I$87,C790)</f>
        <v>12</v>
      </c>
      <c r="H790" s="46" t="n">
        <f aca="false">MATCH(A790,Demand_History!$C:$C,0)+B790-1</f>
        <v>4875</v>
      </c>
      <c r="I790" s="32" t="n">
        <f aca="false">INDEX(Forecast_Walkforward!$C:$C,H790)</f>
        <v>36</v>
      </c>
      <c r="J790" s="79" t="n">
        <f aca="false">INDEX(Forecast_Walkforward!$E:$E,H790)</f>
        <v>23</v>
      </c>
      <c r="K790" s="33" t="n">
        <f aca="false">Baseline_Weeks*J790</f>
        <v>92</v>
      </c>
      <c r="L790" s="46" t="n">
        <f aca="false">SUMIFS(P$789:P789,$B$789:$B789,$B790-$D790)</f>
        <v>0</v>
      </c>
      <c r="M790" s="46" t="n">
        <f aca="false">S789+L790</f>
        <v>192</v>
      </c>
      <c r="N790" s="46" t="n">
        <f aca="false">SUMIFS(P$789:P789,$B$789:$B789,"&gt;"&amp;($B790-$D790))</f>
        <v>0</v>
      </c>
      <c r="O790" s="46" t="n">
        <f aca="false">M790+N790</f>
        <v>192</v>
      </c>
      <c r="P790" s="47" t="n">
        <f aca="false">IF(O790&lt;K790,ROUNDUP((K790-O790)/G790,0)*G790,0)</f>
        <v>0</v>
      </c>
      <c r="Q790" s="46" t="n">
        <f aca="false">MIN(M790,I790)</f>
        <v>36</v>
      </c>
      <c r="R790" s="46" t="n">
        <f aca="false">I790-Q790</f>
        <v>0</v>
      </c>
      <c r="S790" s="46" t="n">
        <f aca="false">M790-Q790</f>
        <v>156</v>
      </c>
      <c r="T790" s="46" t="n">
        <f aca="false">IF(R790&gt;0,1,0)</f>
        <v>0</v>
      </c>
      <c r="U790" s="32" t="n">
        <f aca="false">INDEX(Forecast!$AY$7:$AY$54,C790)</f>
        <v>2</v>
      </c>
      <c r="V790" s="33" t="n">
        <f aca="false">CHOOSE(U790,INDEX(Forecast_Walkforward!$D:$D,H790),INDEX(Forecast_Walkforward!$E:$E,H790),INDEX(Forecast_Walkforward!$F:$F,H790),INDEX(Forecast_Walkforward!$G:$G,H790))</f>
        <v>23</v>
      </c>
      <c r="W790" s="79" t="n">
        <f aca="false">INDEX(Forecast!$BA$7:$BA$54,C790)</f>
        <v>13.4059802114528</v>
      </c>
      <c r="X790" s="33" t="n">
        <f aca="false">Z_Value*W790*SQRT(D790)</f>
        <v>22.0508751736478</v>
      </c>
      <c r="Y790" s="33" t="n">
        <f aca="false">V790*D790+X790</f>
        <v>45.0508751736478</v>
      </c>
      <c r="Z790" s="33" t="n">
        <f aca="false">SQRT((2*V790*Weeks_Per_Year*F790)/(E790*Holding_Rate))</f>
        <v>161.748261196218</v>
      </c>
      <c r="AA790" s="46" t="n">
        <f aca="false">ROUNDUP(Z790/G790,0)*G790</f>
        <v>168</v>
      </c>
      <c r="AB790" s="46" t="n">
        <f aca="false">SUMIFS(AF$789:AF789,$B$789:$B789,$B790-$D790)</f>
        <v>0</v>
      </c>
      <c r="AC790" s="46" t="n">
        <f aca="false">AI789+AB790</f>
        <v>192</v>
      </c>
      <c r="AD790" s="46" t="n">
        <f aca="false">SUMIFS(AF$789:AF789,$B$789:$B789,"&gt;"&amp;($B790-$D790))</f>
        <v>0</v>
      </c>
      <c r="AE790" s="46" t="n">
        <f aca="false">AC790+AD790</f>
        <v>192</v>
      </c>
      <c r="AF790" s="47" t="n">
        <f aca="false">IF(AE790&lt;=Y790,AA790,0)</f>
        <v>0</v>
      </c>
      <c r="AG790" s="46" t="n">
        <f aca="false">MIN(AC790,I790)</f>
        <v>36</v>
      </c>
      <c r="AH790" s="46" t="n">
        <f aca="false">I790-AG790</f>
        <v>0</v>
      </c>
      <c r="AI790" s="46" t="n">
        <f aca="false">AC790-AG790</f>
        <v>156</v>
      </c>
      <c r="AJ790" s="46" t="n">
        <f aca="false">IF(AH790&gt;0,1,0)</f>
        <v>0</v>
      </c>
    </row>
    <row r="791" customFormat="false" ht="15" hidden="false" customHeight="false" outlineLevel="0" collapsed="false">
      <c r="A791" s="31" t="str">
        <f aca="false">Inputs!$B$86</f>
        <v>CLN-010</v>
      </c>
      <c r="B791" s="46" t="n">
        <f aca="false">B790+1</f>
        <v>91</v>
      </c>
      <c r="C791" s="46" t="n">
        <f aca="false">MATCH(A791,Inputs!$B$40:$B$87,0)</f>
        <v>47</v>
      </c>
      <c r="D791" s="32" t="n">
        <f aca="false">INDEX(Inputs!$F$40:$F$87,C791)</f>
        <v>1</v>
      </c>
      <c r="E791" s="78" t="n">
        <f aca="false">INDEX(Inputs!$H$40:$H$87,C791)</f>
        <v>16</v>
      </c>
      <c r="F791" s="78" t="n">
        <f aca="false">INDEX(Inputs!$G$40:$G$87,C791)</f>
        <v>35</v>
      </c>
      <c r="G791" s="32" t="n">
        <f aca="false">INDEX(Inputs!$I$40:$I$87,C791)</f>
        <v>12</v>
      </c>
      <c r="H791" s="46" t="n">
        <f aca="false">MATCH(A791,Demand_History!$C:$C,0)+B791-1</f>
        <v>4876</v>
      </c>
      <c r="I791" s="32" t="n">
        <f aca="false">INDEX(Forecast_Walkforward!$C:$C,H791)</f>
        <v>20</v>
      </c>
      <c r="J791" s="79" t="n">
        <f aca="false">INDEX(Forecast_Walkforward!$E:$E,H791)</f>
        <v>31</v>
      </c>
      <c r="K791" s="33" t="n">
        <f aca="false">Baseline_Weeks*J791</f>
        <v>124</v>
      </c>
      <c r="L791" s="46" t="n">
        <f aca="false">SUMIFS(P$789:P790,$B$789:$B790,$B791-$D791)</f>
        <v>0</v>
      </c>
      <c r="M791" s="46" t="n">
        <f aca="false">S790+L791</f>
        <v>156</v>
      </c>
      <c r="N791" s="46" t="n">
        <f aca="false">SUMIFS(P$789:P790,$B$789:$B790,"&gt;"&amp;($B791-$D791))</f>
        <v>0</v>
      </c>
      <c r="O791" s="46" t="n">
        <f aca="false">M791+N791</f>
        <v>156</v>
      </c>
      <c r="P791" s="47" t="n">
        <f aca="false">IF(O791&lt;K791,ROUNDUP((K791-O791)/G791,0)*G791,0)</f>
        <v>0</v>
      </c>
      <c r="Q791" s="46" t="n">
        <f aca="false">MIN(M791,I791)</f>
        <v>20</v>
      </c>
      <c r="R791" s="46" t="n">
        <f aca="false">I791-Q791</f>
        <v>0</v>
      </c>
      <c r="S791" s="46" t="n">
        <f aca="false">M791-Q791</f>
        <v>136</v>
      </c>
      <c r="T791" s="46" t="n">
        <f aca="false">IF(R791&gt;0,1,0)</f>
        <v>0</v>
      </c>
      <c r="U791" s="32" t="n">
        <f aca="false">INDEX(Forecast!$AY$7:$AY$54,C791)</f>
        <v>2</v>
      </c>
      <c r="V791" s="33" t="n">
        <f aca="false">CHOOSE(U791,INDEX(Forecast_Walkforward!$D:$D,H791),INDEX(Forecast_Walkforward!$E:$E,H791),INDEX(Forecast_Walkforward!$F:$F,H791),INDEX(Forecast_Walkforward!$G:$G,H791))</f>
        <v>31</v>
      </c>
      <c r="W791" s="79" t="n">
        <f aca="false">INDEX(Forecast!$BA$7:$BA$54,C791)</f>
        <v>13.4059802114528</v>
      </c>
      <c r="X791" s="33" t="n">
        <f aca="false">Z_Value*W791*SQRT(D791)</f>
        <v>22.0508751736478</v>
      </c>
      <c r="Y791" s="33" t="n">
        <f aca="false">V791*D791+X791</f>
        <v>53.0508751736478</v>
      </c>
      <c r="Z791" s="33" t="n">
        <f aca="false">SQRT((2*V791*Weeks_Per_Year*F791)/(E791*Holding_Rate))</f>
        <v>187.783119582139</v>
      </c>
      <c r="AA791" s="46" t="n">
        <f aca="false">ROUNDUP(Z791/G791,0)*G791</f>
        <v>192</v>
      </c>
      <c r="AB791" s="46" t="n">
        <f aca="false">SUMIFS(AF$789:AF790,$B$789:$B790,$B791-$D791)</f>
        <v>0</v>
      </c>
      <c r="AC791" s="46" t="n">
        <f aca="false">AI790+AB791</f>
        <v>156</v>
      </c>
      <c r="AD791" s="46" t="n">
        <f aca="false">SUMIFS(AF$789:AF790,$B$789:$B790,"&gt;"&amp;($B791-$D791))</f>
        <v>0</v>
      </c>
      <c r="AE791" s="46" t="n">
        <f aca="false">AC791+AD791</f>
        <v>156</v>
      </c>
      <c r="AF791" s="47" t="n">
        <f aca="false">IF(AE791&lt;=Y791,AA791,0)</f>
        <v>0</v>
      </c>
      <c r="AG791" s="46" t="n">
        <f aca="false">MIN(AC791,I791)</f>
        <v>20</v>
      </c>
      <c r="AH791" s="46" t="n">
        <f aca="false">I791-AG791</f>
        <v>0</v>
      </c>
      <c r="AI791" s="46" t="n">
        <f aca="false">AC791-AG791</f>
        <v>136</v>
      </c>
      <c r="AJ791" s="46" t="n">
        <f aca="false">IF(AH791&gt;0,1,0)</f>
        <v>0</v>
      </c>
    </row>
    <row r="792" customFormat="false" ht="15" hidden="false" customHeight="false" outlineLevel="0" collapsed="false">
      <c r="A792" s="31" t="str">
        <f aca="false">Inputs!$B$86</f>
        <v>CLN-010</v>
      </c>
      <c r="B792" s="46" t="n">
        <f aca="false">B791+1</f>
        <v>92</v>
      </c>
      <c r="C792" s="46" t="n">
        <f aca="false">MATCH(A792,Inputs!$B$40:$B$87,0)</f>
        <v>47</v>
      </c>
      <c r="D792" s="32" t="n">
        <f aca="false">INDEX(Inputs!$F$40:$F$87,C792)</f>
        <v>1</v>
      </c>
      <c r="E792" s="78" t="n">
        <f aca="false">INDEX(Inputs!$H$40:$H$87,C792)</f>
        <v>16</v>
      </c>
      <c r="F792" s="78" t="n">
        <f aca="false">INDEX(Inputs!$G$40:$G$87,C792)</f>
        <v>35</v>
      </c>
      <c r="G792" s="32" t="n">
        <f aca="false">INDEX(Inputs!$I$40:$I$87,C792)</f>
        <v>12</v>
      </c>
      <c r="H792" s="46" t="n">
        <f aca="false">MATCH(A792,Demand_History!$C:$C,0)+B792-1</f>
        <v>4877</v>
      </c>
      <c r="I792" s="32" t="n">
        <f aca="false">INDEX(Forecast_Walkforward!$C:$C,H792)</f>
        <v>21</v>
      </c>
      <c r="J792" s="79" t="n">
        <f aca="false">INDEX(Forecast_Walkforward!$E:$E,H792)</f>
        <v>28.5</v>
      </c>
      <c r="K792" s="33" t="n">
        <f aca="false">Baseline_Weeks*J792</f>
        <v>114</v>
      </c>
      <c r="L792" s="46" t="n">
        <f aca="false">SUMIFS(P$789:P791,$B$789:$B791,$B792-$D792)</f>
        <v>0</v>
      </c>
      <c r="M792" s="46" t="n">
        <f aca="false">S791+L792</f>
        <v>136</v>
      </c>
      <c r="N792" s="46" t="n">
        <f aca="false">SUMIFS(P$789:P791,$B$789:$B791,"&gt;"&amp;($B792-$D792))</f>
        <v>0</v>
      </c>
      <c r="O792" s="46" t="n">
        <f aca="false">M792+N792</f>
        <v>136</v>
      </c>
      <c r="P792" s="47" t="n">
        <f aca="false">IF(O792&lt;K792,ROUNDUP((K792-O792)/G792,0)*G792,0)</f>
        <v>0</v>
      </c>
      <c r="Q792" s="46" t="n">
        <f aca="false">MIN(M792,I792)</f>
        <v>21</v>
      </c>
      <c r="R792" s="46" t="n">
        <f aca="false">I792-Q792</f>
        <v>0</v>
      </c>
      <c r="S792" s="46" t="n">
        <f aca="false">M792-Q792</f>
        <v>115</v>
      </c>
      <c r="T792" s="46" t="n">
        <f aca="false">IF(R792&gt;0,1,0)</f>
        <v>0</v>
      </c>
      <c r="U792" s="32" t="n">
        <f aca="false">INDEX(Forecast!$AY$7:$AY$54,C792)</f>
        <v>2</v>
      </c>
      <c r="V792" s="33" t="n">
        <f aca="false">CHOOSE(U792,INDEX(Forecast_Walkforward!$D:$D,H792),INDEX(Forecast_Walkforward!$E:$E,H792),INDEX(Forecast_Walkforward!$F:$F,H792),INDEX(Forecast_Walkforward!$G:$G,H792))</f>
        <v>28.5</v>
      </c>
      <c r="W792" s="79" t="n">
        <f aca="false">INDEX(Forecast!$BA$7:$BA$54,C792)</f>
        <v>13.4059802114528</v>
      </c>
      <c r="X792" s="33" t="n">
        <f aca="false">Z_Value*W792*SQRT(D792)</f>
        <v>22.0508751736478</v>
      </c>
      <c r="Y792" s="33" t="n">
        <f aca="false">V792*D792+X792</f>
        <v>50.5508751736478</v>
      </c>
      <c r="Z792" s="33" t="n">
        <f aca="false">SQRT((2*V792*Weeks_Per_Year*F792)/(E792*Holding_Rate))</f>
        <v>180.052075800308</v>
      </c>
      <c r="AA792" s="46" t="n">
        <f aca="false">ROUNDUP(Z792/G792,0)*G792</f>
        <v>192</v>
      </c>
      <c r="AB792" s="46" t="n">
        <f aca="false">SUMIFS(AF$789:AF791,$B$789:$B791,$B792-$D792)</f>
        <v>0</v>
      </c>
      <c r="AC792" s="46" t="n">
        <f aca="false">AI791+AB792</f>
        <v>136</v>
      </c>
      <c r="AD792" s="46" t="n">
        <f aca="false">SUMIFS(AF$789:AF791,$B$789:$B791,"&gt;"&amp;($B792-$D792))</f>
        <v>0</v>
      </c>
      <c r="AE792" s="46" t="n">
        <f aca="false">AC792+AD792</f>
        <v>136</v>
      </c>
      <c r="AF792" s="47" t="n">
        <f aca="false">IF(AE792&lt;=Y792,AA792,0)</f>
        <v>0</v>
      </c>
      <c r="AG792" s="46" t="n">
        <f aca="false">MIN(AC792,I792)</f>
        <v>21</v>
      </c>
      <c r="AH792" s="46" t="n">
        <f aca="false">I792-AG792</f>
        <v>0</v>
      </c>
      <c r="AI792" s="46" t="n">
        <f aca="false">AC792-AG792</f>
        <v>115</v>
      </c>
      <c r="AJ792" s="46" t="n">
        <f aca="false">IF(AH792&gt;0,1,0)</f>
        <v>0</v>
      </c>
    </row>
    <row r="793" customFormat="false" ht="15" hidden="false" customHeight="false" outlineLevel="0" collapsed="false">
      <c r="A793" s="31" t="str">
        <f aca="false">Inputs!$B$86</f>
        <v>CLN-010</v>
      </c>
      <c r="B793" s="46" t="n">
        <f aca="false">B792+1</f>
        <v>93</v>
      </c>
      <c r="C793" s="46" t="n">
        <f aca="false">MATCH(A793,Inputs!$B$40:$B$87,0)</f>
        <v>47</v>
      </c>
      <c r="D793" s="32" t="n">
        <f aca="false">INDEX(Inputs!$F$40:$F$87,C793)</f>
        <v>1</v>
      </c>
      <c r="E793" s="78" t="n">
        <f aca="false">INDEX(Inputs!$H$40:$H$87,C793)</f>
        <v>16</v>
      </c>
      <c r="F793" s="78" t="n">
        <f aca="false">INDEX(Inputs!$G$40:$G$87,C793)</f>
        <v>35</v>
      </c>
      <c r="G793" s="32" t="n">
        <f aca="false">INDEX(Inputs!$I$40:$I$87,C793)</f>
        <v>12</v>
      </c>
      <c r="H793" s="46" t="n">
        <f aca="false">MATCH(A793,Demand_History!$C:$C,0)+B793-1</f>
        <v>4878</v>
      </c>
      <c r="I793" s="32" t="n">
        <f aca="false">INDEX(Forecast_Walkforward!$C:$C,H793)</f>
        <v>32</v>
      </c>
      <c r="J793" s="79" t="n">
        <f aca="false">INDEX(Forecast_Walkforward!$E:$E,H793)</f>
        <v>28.25</v>
      </c>
      <c r="K793" s="33" t="n">
        <f aca="false">Baseline_Weeks*J793</f>
        <v>113</v>
      </c>
      <c r="L793" s="46" t="n">
        <f aca="false">SUMIFS(P$789:P792,$B$789:$B792,$B793-$D793)</f>
        <v>0</v>
      </c>
      <c r="M793" s="46" t="n">
        <f aca="false">S792+L793</f>
        <v>115</v>
      </c>
      <c r="N793" s="46" t="n">
        <f aca="false">SUMIFS(P$789:P792,$B$789:$B792,"&gt;"&amp;($B793-$D793))</f>
        <v>0</v>
      </c>
      <c r="O793" s="46" t="n">
        <f aca="false">M793+N793</f>
        <v>115</v>
      </c>
      <c r="P793" s="47" t="n">
        <f aca="false">IF(O793&lt;K793,ROUNDUP((K793-O793)/G793,0)*G793,0)</f>
        <v>0</v>
      </c>
      <c r="Q793" s="46" t="n">
        <f aca="false">MIN(M793,I793)</f>
        <v>32</v>
      </c>
      <c r="R793" s="46" t="n">
        <f aca="false">I793-Q793</f>
        <v>0</v>
      </c>
      <c r="S793" s="46" t="n">
        <f aca="false">M793-Q793</f>
        <v>83</v>
      </c>
      <c r="T793" s="46" t="n">
        <f aca="false">IF(R793&gt;0,1,0)</f>
        <v>0</v>
      </c>
      <c r="U793" s="32" t="n">
        <f aca="false">INDEX(Forecast!$AY$7:$AY$54,C793)</f>
        <v>2</v>
      </c>
      <c r="V793" s="33" t="n">
        <f aca="false">CHOOSE(U793,INDEX(Forecast_Walkforward!$D:$D,H793),INDEX(Forecast_Walkforward!$E:$E,H793),INDEX(Forecast_Walkforward!$F:$F,H793),INDEX(Forecast_Walkforward!$G:$G,H793))</f>
        <v>28.25</v>
      </c>
      <c r="W793" s="79" t="n">
        <f aca="false">INDEX(Forecast!$BA$7:$BA$54,C793)</f>
        <v>13.4059802114528</v>
      </c>
      <c r="X793" s="33" t="n">
        <f aca="false">Z_Value*W793*SQRT(D793)</f>
        <v>22.0508751736478</v>
      </c>
      <c r="Y793" s="33" t="n">
        <f aca="false">V793*D793+X793</f>
        <v>50.3008751736478</v>
      </c>
      <c r="Z793" s="33" t="n">
        <f aca="false">SQRT((2*V793*Weeks_Per_Year*F793)/(E793*Holding_Rate))</f>
        <v>179.260634273116</v>
      </c>
      <c r="AA793" s="46" t="n">
        <f aca="false">ROUNDUP(Z793/G793,0)*G793</f>
        <v>180</v>
      </c>
      <c r="AB793" s="46" t="n">
        <f aca="false">SUMIFS(AF$789:AF792,$B$789:$B792,$B793-$D793)</f>
        <v>0</v>
      </c>
      <c r="AC793" s="46" t="n">
        <f aca="false">AI792+AB793</f>
        <v>115</v>
      </c>
      <c r="AD793" s="46" t="n">
        <f aca="false">SUMIFS(AF$789:AF792,$B$789:$B792,"&gt;"&amp;($B793-$D793))</f>
        <v>0</v>
      </c>
      <c r="AE793" s="46" t="n">
        <f aca="false">AC793+AD793</f>
        <v>115</v>
      </c>
      <c r="AF793" s="47" t="n">
        <f aca="false">IF(AE793&lt;=Y793,AA793,0)</f>
        <v>0</v>
      </c>
      <c r="AG793" s="46" t="n">
        <f aca="false">MIN(AC793,I793)</f>
        <v>32</v>
      </c>
      <c r="AH793" s="46" t="n">
        <f aca="false">I793-AG793</f>
        <v>0</v>
      </c>
      <c r="AI793" s="46" t="n">
        <f aca="false">AC793-AG793</f>
        <v>83</v>
      </c>
      <c r="AJ793" s="46" t="n">
        <f aca="false">IF(AH793&gt;0,1,0)</f>
        <v>0</v>
      </c>
    </row>
    <row r="794" customFormat="false" ht="15" hidden="false" customHeight="false" outlineLevel="0" collapsed="false">
      <c r="A794" s="31" t="str">
        <f aca="false">Inputs!$B$86</f>
        <v>CLN-010</v>
      </c>
      <c r="B794" s="46" t="n">
        <f aca="false">B793+1</f>
        <v>94</v>
      </c>
      <c r="C794" s="46" t="n">
        <f aca="false">MATCH(A794,Inputs!$B$40:$B$87,0)</f>
        <v>47</v>
      </c>
      <c r="D794" s="32" t="n">
        <f aca="false">INDEX(Inputs!$F$40:$F$87,C794)</f>
        <v>1</v>
      </c>
      <c r="E794" s="78" t="n">
        <f aca="false">INDEX(Inputs!$H$40:$H$87,C794)</f>
        <v>16</v>
      </c>
      <c r="F794" s="78" t="n">
        <f aca="false">INDEX(Inputs!$G$40:$G$87,C794)</f>
        <v>35</v>
      </c>
      <c r="G794" s="32" t="n">
        <f aca="false">INDEX(Inputs!$I$40:$I$87,C794)</f>
        <v>12</v>
      </c>
      <c r="H794" s="46" t="n">
        <f aca="false">MATCH(A794,Demand_History!$C:$C,0)+B794-1</f>
        <v>4879</v>
      </c>
      <c r="I794" s="32" t="n">
        <f aca="false">INDEX(Forecast_Walkforward!$C:$C,H794)</f>
        <v>33</v>
      </c>
      <c r="J794" s="79" t="n">
        <f aca="false">INDEX(Forecast_Walkforward!$E:$E,H794)</f>
        <v>27.25</v>
      </c>
      <c r="K794" s="33" t="n">
        <f aca="false">Baseline_Weeks*J794</f>
        <v>109</v>
      </c>
      <c r="L794" s="46" t="n">
        <f aca="false">SUMIFS(P$789:P793,$B$789:$B793,$B794-$D794)</f>
        <v>0</v>
      </c>
      <c r="M794" s="46" t="n">
        <f aca="false">S793+L794</f>
        <v>83</v>
      </c>
      <c r="N794" s="46" t="n">
        <f aca="false">SUMIFS(P$789:P793,$B$789:$B793,"&gt;"&amp;($B794-$D794))</f>
        <v>0</v>
      </c>
      <c r="O794" s="46" t="n">
        <f aca="false">M794+N794</f>
        <v>83</v>
      </c>
      <c r="P794" s="47" t="n">
        <f aca="false">IF(O794&lt;K794,ROUNDUP((K794-O794)/G794,0)*G794,0)</f>
        <v>36</v>
      </c>
      <c r="Q794" s="46" t="n">
        <f aca="false">MIN(M794,I794)</f>
        <v>33</v>
      </c>
      <c r="R794" s="46" t="n">
        <f aca="false">I794-Q794</f>
        <v>0</v>
      </c>
      <c r="S794" s="46" t="n">
        <f aca="false">M794-Q794</f>
        <v>50</v>
      </c>
      <c r="T794" s="46" t="n">
        <f aca="false">IF(R794&gt;0,1,0)</f>
        <v>0</v>
      </c>
      <c r="U794" s="32" t="n">
        <f aca="false">INDEX(Forecast!$AY$7:$AY$54,C794)</f>
        <v>2</v>
      </c>
      <c r="V794" s="33" t="n">
        <f aca="false">CHOOSE(U794,INDEX(Forecast_Walkforward!$D:$D,H794),INDEX(Forecast_Walkforward!$E:$E,H794),INDEX(Forecast_Walkforward!$F:$F,H794),INDEX(Forecast_Walkforward!$G:$G,H794))</f>
        <v>27.25</v>
      </c>
      <c r="W794" s="79" t="n">
        <f aca="false">INDEX(Forecast!$BA$7:$BA$54,C794)</f>
        <v>13.4059802114528</v>
      </c>
      <c r="X794" s="33" t="n">
        <f aca="false">Z_Value*W794*SQRT(D794)</f>
        <v>22.0508751736478</v>
      </c>
      <c r="Y794" s="33" t="n">
        <f aca="false">V794*D794+X794</f>
        <v>49.3008751736478</v>
      </c>
      <c r="Z794" s="33" t="n">
        <f aca="false">SQRT((2*V794*Weeks_Per_Year*F794)/(E794*Holding_Rate))</f>
        <v>176.059293989269</v>
      </c>
      <c r="AA794" s="46" t="n">
        <f aca="false">ROUNDUP(Z794/G794,0)*G794</f>
        <v>180</v>
      </c>
      <c r="AB794" s="46" t="n">
        <f aca="false">SUMIFS(AF$789:AF793,$B$789:$B793,$B794-$D794)</f>
        <v>0</v>
      </c>
      <c r="AC794" s="46" t="n">
        <f aca="false">AI793+AB794</f>
        <v>83</v>
      </c>
      <c r="AD794" s="46" t="n">
        <f aca="false">SUMIFS(AF$789:AF793,$B$789:$B793,"&gt;"&amp;($B794-$D794))</f>
        <v>0</v>
      </c>
      <c r="AE794" s="46" t="n">
        <f aca="false">AC794+AD794</f>
        <v>83</v>
      </c>
      <c r="AF794" s="47" t="n">
        <f aca="false">IF(AE794&lt;=Y794,AA794,0)</f>
        <v>0</v>
      </c>
      <c r="AG794" s="46" t="n">
        <f aca="false">MIN(AC794,I794)</f>
        <v>33</v>
      </c>
      <c r="AH794" s="46" t="n">
        <f aca="false">I794-AG794</f>
        <v>0</v>
      </c>
      <c r="AI794" s="46" t="n">
        <f aca="false">AC794-AG794</f>
        <v>50</v>
      </c>
      <c r="AJ794" s="46" t="n">
        <f aca="false">IF(AH794&gt;0,1,0)</f>
        <v>0</v>
      </c>
    </row>
    <row r="795" customFormat="false" ht="15" hidden="false" customHeight="false" outlineLevel="0" collapsed="false">
      <c r="A795" s="31" t="str">
        <f aca="false">Inputs!$B$86</f>
        <v>CLN-010</v>
      </c>
      <c r="B795" s="46" t="n">
        <f aca="false">B794+1</f>
        <v>95</v>
      </c>
      <c r="C795" s="46" t="n">
        <f aca="false">MATCH(A795,Inputs!$B$40:$B$87,0)</f>
        <v>47</v>
      </c>
      <c r="D795" s="32" t="n">
        <f aca="false">INDEX(Inputs!$F$40:$F$87,C795)</f>
        <v>1</v>
      </c>
      <c r="E795" s="78" t="n">
        <f aca="false">INDEX(Inputs!$H$40:$H$87,C795)</f>
        <v>16</v>
      </c>
      <c r="F795" s="78" t="n">
        <f aca="false">INDEX(Inputs!$G$40:$G$87,C795)</f>
        <v>35</v>
      </c>
      <c r="G795" s="32" t="n">
        <f aca="false">INDEX(Inputs!$I$40:$I$87,C795)</f>
        <v>12</v>
      </c>
      <c r="H795" s="46" t="n">
        <f aca="false">MATCH(A795,Demand_History!$C:$C,0)+B795-1</f>
        <v>4880</v>
      </c>
      <c r="I795" s="32" t="n">
        <f aca="false">INDEX(Forecast_Walkforward!$C:$C,H795)</f>
        <v>4</v>
      </c>
      <c r="J795" s="79" t="n">
        <f aca="false">INDEX(Forecast_Walkforward!$E:$E,H795)</f>
        <v>26.5</v>
      </c>
      <c r="K795" s="33" t="n">
        <f aca="false">Baseline_Weeks*J795</f>
        <v>106</v>
      </c>
      <c r="L795" s="46" t="n">
        <f aca="false">SUMIFS(P$789:P794,$B$789:$B794,$B795-$D795)</f>
        <v>36</v>
      </c>
      <c r="M795" s="46" t="n">
        <f aca="false">S794+L795</f>
        <v>86</v>
      </c>
      <c r="N795" s="46" t="n">
        <f aca="false">SUMIFS(P$789:P794,$B$789:$B794,"&gt;"&amp;($B795-$D795))</f>
        <v>0</v>
      </c>
      <c r="O795" s="46" t="n">
        <f aca="false">M795+N795</f>
        <v>86</v>
      </c>
      <c r="P795" s="47" t="n">
        <f aca="false">IF(O795&lt;K795,ROUNDUP((K795-O795)/G795,0)*G795,0)</f>
        <v>24</v>
      </c>
      <c r="Q795" s="46" t="n">
        <f aca="false">MIN(M795,I795)</f>
        <v>4</v>
      </c>
      <c r="R795" s="46" t="n">
        <f aca="false">I795-Q795</f>
        <v>0</v>
      </c>
      <c r="S795" s="46" t="n">
        <f aca="false">M795-Q795</f>
        <v>82</v>
      </c>
      <c r="T795" s="46" t="n">
        <f aca="false">IF(R795&gt;0,1,0)</f>
        <v>0</v>
      </c>
      <c r="U795" s="32" t="n">
        <f aca="false">INDEX(Forecast!$AY$7:$AY$54,C795)</f>
        <v>2</v>
      </c>
      <c r="V795" s="33" t="n">
        <f aca="false">CHOOSE(U795,INDEX(Forecast_Walkforward!$D:$D,H795),INDEX(Forecast_Walkforward!$E:$E,H795),INDEX(Forecast_Walkforward!$F:$F,H795),INDEX(Forecast_Walkforward!$G:$G,H795))</f>
        <v>26.5</v>
      </c>
      <c r="W795" s="79" t="n">
        <f aca="false">INDEX(Forecast!$BA$7:$BA$54,C795)</f>
        <v>13.4059802114528</v>
      </c>
      <c r="X795" s="33" t="n">
        <f aca="false">Z_Value*W795*SQRT(D795)</f>
        <v>22.0508751736478</v>
      </c>
      <c r="Y795" s="33" t="n">
        <f aca="false">V795*D795+X795</f>
        <v>48.5508751736478</v>
      </c>
      <c r="Z795" s="33" t="n">
        <f aca="false">SQRT((2*V795*Weeks_Per_Year*F795)/(E795*Holding_Rate))</f>
        <v>173.619555350197</v>
      </c>
      <c r="AA795" s="46" t="n">
        <f aca="false">ROUNDUP(Z795/G795,0)*G795</f>
        <v>180</v>
      </c>
      <c r="AB795" s="46" t="n">
        <f aca="false">SUMIFS(AF$789:AF794,$B$789:$B794,$B795-$D795)</f>
        <v>0</v>
      </c>
      <c r="AC795" s="46" t="n">
        <f aca="false">AI794+AB795</f>
        <v>50</v>
      </c>
      <c r="AD795" s="46" t="n">
        <f aca="false">SUMIFS(AF$789:AF794,$B$789:$B794,"&gt;"&amp;($B795-$D795))</f>
        <v>0</v>
      </c>
      <c r="AE795" s="46" t="n">
        <f aca="false">AC795+AD795</f>
        <v>50</v>
      </c>
      <c r="AF795" s="47" t="n">
        <f aca="false">IF(AE795&lt;=Y795,AA795,0)</f>
        <v>0</v>
      </c>
      <c r="AG795" s="46" t="n">
        <f aca="false">MIN(AC795,I795)</f>
        <v>4</v>
      </c>
      <c r="AH795" s="46" t="n">
        <f aca="false">I795-AG795</f>
        <v>0</v>
      </c>
      <c r="AI795" s="46" t="n">
        <f aca="false">AC795-AG795</f>
        <v>46</v>
      </c>
      <c r="AJ795" s="46" t="n">
        <f aca="false">IF(AH795&gt;0,1,0)</f>
        <v>0</v>
      </c>
    </row>
    <row r="796" customFormat="false" ht="15" hidden="false" customHeight="false" outlineLevel="0" collapsed="false">
      <c r="A796" s="31" t="str">
        <f aca="false">Inputs!$B$86</f>
        <v>CLN-010</v>
      </c>
      <c r="B796" s="46" t="n">
        <f aca="false">B795+1</f>
        <v>96</v>
      </c>
      <c r="C796" s="46" t="n">
        <f aca="false">MATCH(A796,Inputs!$B$40:$B$87,0)</f>
        <v>47</v>
      </c>
      <c r="D796" s="32" t="n">
        <f aca="false">INDEX(Inputs!$F$40:$F$87,C796)</f>
        <v>1</v>
      </c>
      <c r="E796" s="78" t="n">
        <f aca="false">INDEX(Inputs!$H$40:$H$87,C796)</f>
        <v>16</v>
      </c>
      <c r="F796" s="78" t="n">
        <f aca="false">INDEX(Inputs!$G$40:$G$87,C796)</f>
        <v>35</v>
      </c>
      <c r="G796" s="32" t="n">
        <f aca="false">INDEX(Inputs!$I$40:$I$87,C796)</f>
        <v>12</v>
      </c>
      <c r="H796" s="46" t="n">
        <f aca="false">MATCH(A796,Demand_History!$C:$C,0)+B796-1</f>
        <v>4881</v>
      </c>
      <c r="I796" s="32" t="n">
        <f aca="false">INDEX(Forecast_Walkforward!$C:$C,H796)</f>
        <v>47</v>
      </c>
      <c r="J796" s="79" t="n">
        <f aca="false">INDEX(Forecast_Walkforward!$E:$E,H796)</f>
        <v>22.5</v>
      </c>
      <c r="K796" s="33" t="n">
        <f aca="false">Baseline_Weeks*J796</f>
        <v>90</v>
      </c>
      <c r="L796" s="46" t="n">
        <f aca="false">SUMIFS(P$789:P795,$B$789:$B795,$B796-$D796)</f>
        <v>24</v>
      </c>
      <c r="M796" s="46" t="n">
        <f aca="false">S795+L796</f>
        <v>106</v>
      </c>
      <c r="N796" s="46" t="n">
        <f aca="false">SUMIFS(P$789:P795,$B$789:$B795,"&gt;"&amp;($B796-$D796))</f>
        <v>0</v>
      </c>
      <c r="O796" s="46" t="n">
        <f aca="false">M796+N796</f>
        <v>106</v>
      </c>
      <c r="P796" s="47" t="n">
        <f aca="false">IF(O796&lt;K796,ROUNDUP((K796-O796)/G796,0)*G796,0)</f>
        <v>0</v>
      </c>
      <c r="Q796" s="46" t="n">
        <f aca="false">MIN(M796,I796)</f>
        <v>47</v>
      </c>
      <c r="R796" s="46" t="n">
        <f aca="false">I796-Q796</f>
        <v>0</v>
      </c>
      <c r="S796" s="46" t="n">
        <f aca="false">M796-Q796</f>
        <v>59</v>
      </c>
      <c r="T796" s="46" t="n">
        <f aca="false">IF(R796&gt;0,1,0)</f>
        <v>0</v>
      </c>
      <c r="U796" s="32" t="n">
        <f aca="false">INDEX(Forecast!$AY$7:$AY$54,C796)</f>
        <v>2</v>
      </c>
      <c r="V796" s="33" t="n">
        <f aca="false">CHOOSE(U796,INDEX(Forecast_Walkforward!$D:$D,H796),INDEX(Forecast_Walkforward!$E:$E,H796),INDEX(Forecast_Walkforward!$F:$F,H796),INDEX(Forecast_Walkforward!$G:$G,H796))</f>
        <v>22.5</v>
      </c>
      <c r="W796" s="79" t="n">
        <f aca="false">INDEX(Forecast!$BA$7:$BA$54,C796)</f>
        <v>13.4059802114528</v>
      </c>
      <c r="X796" s="33" t="n">
        <f aca="false">Z_Value*W796*SQRT(D796)</f>
        <v>22.0508751736478</v>
      </c>
      <c r="Y796" s="33" t="n">
        <f aca="false">V796*D796+X796</f>
        <v>44.5508751736478</v>
      </c>
      <c r="Z796" s="33" t="n">
        <f aca="false">SQRT((2*V796*Weeks_Per_Year*F796)/(E796*Holding_Rate))</f>
        <v>159.980467557762</v>
      </c>
      <c r="AA796" s="46" t="n">
        <f aca="false">ROUNDUP(Z796/G796,0)*G796</f>
        <v>168</v>
      </c>
      <c r="AB796" s="46" t="n">
        <f aca="false">SUMIFS(AF$789:AF795,$B$789:$B795,$B796-$D796)</f>
        <v>0</v>
      </c>
      <c r="AC796" s="46" t="n">
        <f aca="false">AI795+AB796</f>
        <v>46</v>
      </c>
      <c r="AD796" s="46" t="n">
        <f aca="false">SUMIFS(AF$789:AF795,$B$789:$B795,"&gt;"&amp;($B796-$D796))</f>
        <v>0</v>
      </c>
      <c r="AE796" s="46" t="n">
        <f aca="false">AC796+AD796</f>
        <v>46</v>
      </c>
      <c r="AF796" s="47" t="n">
        <f aca="false">IF(AE796&lt;=Y796,AA796,0)</f>
        <v>0</v>
      </c>
      <c r="AG796" s="46" t="n">
        <f aca="false">MIN(AC796,I796)</f>
        <v>46</v>
      </c>
      <c r="AH796" s="46" t="n">
        <f aca="false">I796-AG796</f>
        <v>1</v>
      </c>
      <c r="AI796" s="46" t="n">
        <f aca="false">AC796-AG796</f>
        <v>0</v>
      </c>
      <c r="AJ796" s="46" t="n">
        <f aca="false">IF(AH796&gt;0,1,0)</f>
        <v>1</v>
      </c>
    </row>
    <row r="797" customFormat="false" ht="15" hidden="false" customHeight="false" outlineLevel="0" collapsed="false">
      <c r="A797" s="31" t="str">
        <f aca="false">Inputs!$B$86</f>
        <v>CLN-010</v>
      </c>
      <c r="B797" s="46" t="n">
        <f aca="false">B796+1</f>
        <v>97</v>
      </c>
      <c r="C797" s="46" t="n">
        <f aca="false">MATCH(A797,Inputs!$B$40:$B$87,0)</f>
        <v>47</v>
      </c>
      <c r="D797" s="32" t="n">
        <f aca="false">INDEX(Inputs!$F$40:$F$87,C797)</f>
        <v>1</v>
      </c>
      <c r="E797" s="78" t="n">
        <f aca="false">INDEX(Inputs!$H$40:$H$87,C797)</f>
        <v>16</v>
      </c>
      <c r="F797" s="78" t="n">
        <f aca="false">INDEX(Inputs!$G$40:$G$87,C797)</f>
        <v>35</v>
      </c>
      <c r="G797" s="32" t="n">
        <f aca="false">INDEX(Inputs!$I$40:$I$87,C797)</f>
        <v>12</v>
      </c>
      <c r="H797" s="46" t="n">
        <f aca="false">MATCH(A797,Demand_History!$C:$C,0)+B797-1</f>
        <v>4882</v>
      </c>
      <c r="I797" s="32" t="n">
        <f aca="false">INDEX(Forecast_Walkforward!$C:$C,H797)</f>
        <v>35</v>
      </c>
      <c r="J797" s="79" t="n">
        <f aca="false">INDEX(Forecast_Walkforward!$E:$E,H797)</f>
        <v>29</v>
      </c>
      <c r="K797" s="33" t="n">
        <f aca="false">Baseline_Weeks*J797</f>
        <v>116</v>
      </c>
      <c r="L797" s="46" t="n">
        <f aca="false">SUMIFS(P$789:P796,$B$789:$B796,$B797-$D797)</f>
        <v>0</v>
      </c>
      <c r="M797" s="46" t="n">
        <f aca="false">S796+L797</f>
        <v>59</v>
      </c>
      <c r="N797" s="46" t="n">
        <f aca="false">SUMIFS(P$789:P796,$B$789:$B796,"&gt;"&amp;($B797-$D797))</f>
        <v>0</v>
      </c>
      <c r="O797" s="46" t="n">
        <f aca="false">M797+N797</f>
        <v>59</v>
      </c>
      <c r="P797" s="47" t="n">
        <f aca="false">IF(O797&lt;K797,ROUNDUP((K797-O797)/G797,0)*G797,0)</f>
        <v>60</v>
      </c>
      <c r="Q797" s="46" t="n">
        <f aca="false">MIN(M797,I797)</f>
        <v>35</v>
      </c>
      <c r="R797" s="46" t="n">
        <f aca="false">I797-Q797</f>
        <v>0</v>
      </c>
      <c r="S797" s="46" t="n">
        <f aca="false">M797-Q797</f>
        <v>24</v>
      </c>
      <c r="T797" s="46" t="n">
        <f aca="false">IF(R797&gt;0,1,0)</f>
        <v>0</v>
      </c>
      <c r="U797" s="32" t="n">
        <f aca="false">INDEX(Forecast!$AY$7:$AY$54,C797)</f>
        <v>2</v>
      </c>
      <c r="V797" s="33" t="n">
        <f aca="false">CHOOSE(U797,INDEX(Forecast_Walkforward!$D:$D,H797),INDEX(Forecast_Walkforward!$E:$E,H797),INDEX(Forecast_Walkforward!$F:$F,H797),INDEX(Forecast_Walkforward!$G:$G,H797))</f>
        <v>29</v>
      </c>
      <c r="W797" s="79" t="n">
        <f aca="false">INDEX(Forecast!$BA$7:$BA$54,C797)</f>
        <v>13.4059802114528</v>
      </c>
      <c r="X797" s="33" t="n">
        <f aca="false">Z_Value*W797*SQRT(D797)</f>
        <v>22.0508751736478</v>
      </c>
      <c r="Y797" s="33" t="n">
        <f aca="false">V797*D797+X797</f>
        <v>51.0508751736478</v>
      </c>
      <c r="Z797" s="33" t="n">
        <f aca="false">SQRT((2*V797*Weeks_Per_Year*F797)/(E797*Holding_Rate))</f>
        <v>181.624612869512</v>
      </c>
      <c r="AA797" s="46" t="n">
        <f aca="false">ROUNDUP(Z797/G797,0)*G797</f>
        <v>192</v>
      </c>
      <c r="AB797" s="46" t="n">
        <f aca="false">SUMIFS(AF$789:AF796,$B$789:$B796,$B797-$D797)</f>
        <v>0</v>
      </c>
      <c r="AC797" s="46" t="n">
        <f aca="false">AI796+AB797</f>
        <v>0</v>
      </c>
      <c r="AD797" s="46" t="n">
        <f aca="false">SUMIFS(AF$789:AF796,$B$789:$B796,"&gt;"&amp;($B797-$D797))</f>
        <v>0</v>
      </c>
      <c r="AE797" s="46" t="n">
        <f aca="false">AC797+AD797</f>
        <v>0</v>
      </c>
      <c r="AF797" s="47" t="n">
        <f aca="false">IF(AE797&lt;=Y797,AA797,0)</f>
        <v>192</v>
      </c>
      <c r="AG797" s="46" t="n">
        <f aca="false">MIN(AC797,I797)</f>
        <v>0</v>
      </c>
      <c r="AH797" s="46" t="n">
        <f aca="false">I797-AG797</f>
        <v>35</v>
      </c>
      <c r="AI797" s="46" t="n">
        <f aca="false">AC797-AG797</f>
        <v>0</v>
      </c>
      <c r="AJ797" s="46" t="n">
        <f aca="false">IF(AH797&gt;0,1,0)</f>
        <v>1</v>
      </c>
    </row>
    <row r="798" customFormat="false" ht="15" hidden="false" customHeight="false" outlineLevel="0" collapsed="false">
      <c r="A798" s="31" t="str">
        <f aca="false">Inputs!$B$86</f>
        <v>CLN-010</v>
      </c>
      <c r="B798" s="46" t="n">
        <f aca="false">B797+1</f>
        <v>98</v>
      </c>
      <c r="C798" s="46" t="n">
        <f aca="false">MATCH(A798,Inputs!$B$40:$B$87,0)</f>
        <v>47</v>
      </c>
      <c r="D798" s="32" t="n">
        <f aca="false">INDEX(Inputs!$F$40:$F$87,C798)</f>
        <v>1</v>
      </c>
      <c r="E798" s="78" t="n">
        <f aca="false">INDEX(Inputs!$H$40:$H$87,C798)</f>
        <v>16</v>
      </c>
      <c r="F798" s="78" t="n">
        <f aca="false">INDEX(Inputs!$G$40:$G$87,C798)</f>
        <v>35</v>
      </c>
      <c r="G798" s="32" t="n">
        <f aca="false">INDEX(Inputs!$I$40:$I$87,C798)</f>
        <v>12</v>
      </c>
      <c r="H798" s="46" t="n">
        <f aca="false">MATCH(A798,Demand_History!$C:$C,0)+B798-1</f>
        <v>4883</v>
      </c>
      <c r="I798" s="32" t="n">
        <f aca="false">INDEX(Forecast_Walkforward!$C:$C,H798)</f>
        <v>35</v>
      </c>
      <c r="J798" s="79" t="n">
        <f aca="false">INDEX(Forecast_Walkforward!$E:$E,H798)</f>
        <v>29.75</v>
      </c>
      <c r="K798" s="33" t="n">
        <f aca="false">Baseline_Weeks*J798</f>
        <v>119</v>
      </c>
      <c r="L798" s="46" t="n">
        <f aca="false">SUMIFS(P$789:P797,$B$789:$B797,$B798-$D798)</f>
        <v>60</v>
      </c>
      <c r="M798" s="46" t="n">
        <f aca="false">S797+L798</f>
        <v>84</v>
      </c>
      <c r="N798" s="46" t="n">
        <f aca="false">SUMIFS(P$789:P797,$B$789:$B797,"&gt;"&amp;($B798-$D798))</f>
        <v>0</v>
      </c>
      <c r="O798" s="46" t="n">
        <f aca="false">M798+N798</f>
        <v>84</v>
      </c>
      <c r="P798" s="47" t="n">
        <f aca="false">IF(O798&lt;K798,ROUNDUP((K798-O798)/G798,0)*G798,0)</f>
        <v>36</v>
      </c>
      <c r="Q798" s="46" t="n">
        <f aca="false">MIN(M798,I798)</f>
        <v>35</v>
      </c>
      <c r="R798" s="46" t="n">
        <f aca="false">I798-Q798</f>
        <v>0</v>
      </c>
      <c r="S798" s="46" t="n">
        <f aca="false">M798-Q798</f>
        <v>49</v>
      </c>
      <c r="T798" s="46" t="n">
        <f aca="false">IF(R798&gt;0,1,0)</f>
        <v>0</v>
      </c>
      <c r="U798" s="32" t="n">
        <f aca="false">INDEX(Forecast!$AY$7:$AY$54,C798)</f>
        <v>2</v>
      </c>
      <c r="V798" s="33" t="n">
        <f aca="false">CHOOSE(U798,INDEX(Forecast_Walkforward!$D:$D,H798),INDEX(Forecast_Walkforward!$E:$E,H798),INDEX(Forecast_Walkforward!$F:$F,H798),INDEX(Forecast_Walkforward!$G:$G,H798))</f>
        <v>29.75</v>
      </c>
      <c r="W798" s="79" t="n">
        <f aca="false">INDEX(Forecast!$BA$7:$BA$54,C798)</f>
        <v>13.4059802114528</v>
      </c>
      <c r="X798" s="33" t="n">
        <f aca="false">Z_Value*W798*SQRT(D798)</f>
        <v>22.0508751736478</v>
      </c>
      <c r="Y798" s="33" t="n">
        <f aca="false">V798*D798+X798</f>
        <v>51.8008751736478</v>
      </c>
      <c r="Z798" s="33" t="n">
        <f aca="false">SQRT((2*V798*Weeks_Per_Year*F798)/(E798*Holding_Rate))</f>
        <v>183.958215364251</v>
      </c>
      <c r="AA798" s="46" t="n">
        <f aca="false">ROUNDUP(Z798/G798,0)*G798</f>
        <v>192</v>
      </c>
      <c r="AB798" s="46" t="n">
        <f aca="false">SUMIFS(AF$789:AF797,$B$789:$B797,$B798-$D798)</f>
        <v>192</v>
      </c>
      <c r="AC798" s="46" t="n">
        <f aca="false">AI797+AB798</f>
        <v>192</v>
      </c>
      <c r="AD798" s="46" t="n">
        <f aca="false">SUMIFS(AF$789:AF797,$B$789:$B797,"&gt;"&amp;($B798-$D798))</f>
        <v>0</v>
      </c>
      <c r="AE798" s="46" t="n">
        <f aca="false">AC798+AD798</f>
        <v>192</v>
      </c>
      <c r="AF798" s="47" t="n">
        <f aca="false">IF(AE798&lt;=Y798,AA798,0)</f>
        <v>0</v>
      </c>
      <c r="AG798" s="46" t="n">
        <f aca="false">MIN(AC798,I798)</f>
        <v>35</v>
      </c>
      <c r="AH798" s="46" t="n">
        <f aca="false">I798-AG798</f>
        <v>0</v>
      </c>
      <c r="AI798" s="46" t="n">
        <f aca="false">AC798-AG798</f>
        <v>157</v>
      </c>
      <c r="AJ798" s="46" t="n">
        <f aca="false">IF(AH798&gt;0,1,0)</f>
        <v>0</v>
      </c>
    </row>
    <row r="799" customFormat="false" ht="15" hidden="false" customHeight="false" outlineLevel="0" collapsed="false">
      <c r="A799" s="31" t="str">
        <f aca="false">Inputs!$B$86</f>
        <v>CLN-010</v>
      </c>
      <c r="B799" s="46" t="n">
        <f aca="false">B798+1</f>
        <v>99</v>
      </c>
      <c r="C799" s="46" t="n">
        <f aca="false">MATCH(A799,Inputs!$B$40:$B$87,0)</f>
        <v>47</v>
      </c>
      <c r="D799" s="32" t="n">
        <f aca="false">INDEX(Inputs!$F$40:$F$87,C799)</f>
        <v>1</v>
      </c>
      <c r="E799" s="78" t="n">
        <f aca="false">INDEX(Inputs!$H$40:$H$87,C799)</f>
        <v>16</v>
      </c>
      <c r="F799" s="78" t="n">
        <f aca="false">INDEX(Inputs!$G$40:$G$87,C799)</f>
        <v>35</v>
      </c>
      <c r="G799" s="32" t="n">
        <f aca="false">INDEX(Inputs!$I$40:$I$87,C799)</f>
        <v>12</v>
      </c>
      <c r="H799" s="46" t="n">
        <f aca="false">MATCH(A799,Demand_History!$C:$C,0)+B799-1</f>
        <v>4884</v>
      </c>
      <c r="I799" s="32" t="n">
        <f aca="false">INDEX(Forecast_Walkforward!$C:$C,H799)</f>
        <v>39</v>
      </c>
      <c r="J799" s="79" t="n">
        <f aca="false">INDEX(Forecast_Walkforward!$E:$E,H799)</f>
        <v>30.25</v>
      </c>
      <c r="K799" s="33" t="n">
        <f aca="false">Baseline_Weeks*J799</f>
        <v>121</v>
      </c>
      <c r="L799" s="46" t="n">
        <f aca="false">SUMIFS(P$789:P798,$B$789:$B798,$B799-$D799)</f>
        <v>36</v>
      </c>
      <c r="M799" s="46" t="n">
        <f aca="false">S798+L799</f>
        <v>85</v>
      </c>
      <c r="N799" s="46" t="n">
        <f aca="false">SUMIFS(P$789:P798,$B$789:$B798,"&gt;"&amp;($B799-$D799))</f>
        <v>0</v>
      </c>
      <c r="O799" s="46" t="n">
        <f aca="false">M799+N799</f>
        <v>85</v>
      </c>
      <c r="P799" s="47" t="n">
        <f aca="false">IF(O799&lt;K799,ROUNDUP((K799-O799)/G799,0)*G799,0)</f>
        <v>36</v>
      </c>
      <c r="Q799" s="46" t="n">
        <f aca="false">MIN(M799,I799)</f>
        <v>39</v>
      </c>
      <c r="R799" s="46" t="n">
        <f aca="false">I799-Q799</f>
        <v>0</v>
      </c>
      <c r="S799" s="46" t="n">
        <f aca="false">M799-Q799</f>
        <v>46</v>
      </c>
      <c r="T799" s="46" t="n">
        <f aca="false">IF(R799&gt;0,1,0)</f>
        <v>0</v>
      </c>
      <c r="U799" s="32" t="n">
        <f aca="false">INDEX(Forecast!$AY$7:$AY$54,C799)</f>
        <v>2</v>
      </c>
      <c r="V799" s="33" t="n">
        <f aca="false">CHOOSE(U799,INDEX(Forecast_Walkforward!$D:$D,H799),INDEX(Forecast_Walkforward!$E:$E,H799),INDEX(Forecast_Walkforward!$F:$F,H799),INDEX(Forecast_Walkforward!$G:$G,H799))</f>
        <v>30.25</v>
      </c>
      <c r="W799" s="79" t="n">
        <f aca="false">INDEX(Forecast!$BA$7:$BA$54,C799)</f>
        <v>13.4059802114528</v>
      </c>
      <c r="X799" s="33" t="n">
        <f aca="false">Z_Value*W799*SQRT(D799)</f>
        <v>22.0508751736478</v>
      </c>
      <c r="Y799" s="33" t="n">
        <f aca="false">V799*D799+X799</f>
        <v>52.3008751736478</v>
      </c>
      <c r="Z799" s="33" t="n">
        <f aca="false">SQRT((2*V799*Weeks_Per_Year*F799)/(E799*Holding_Rate))</f>
        <v>185.497641494441</v>
      </c>
      <c r="AA799" s="46" t="n">
        <f aca="false">ROUNDUP(Z799/G799,0)*G799</f>
        <v>192</v>
      </c>
      <c r="AB799" s="46" t="n">
        <f aca="false">SUMIFS(AF$789:AF798,$B$789:$B798,$B799-$D799)</f>
        <v>0</v>
      </c>
      <c r="AC799" s="46" t="n">
        <f aca="false">AI798+AB799</f>
        <v>157</v>
      </c>
      <c r="AD799" s="46" t="n">
        <f aca="false">SUMIFS(AF$789:AF798,$B$789:$B798,"&gt;"&amp;($B799-$D799))</f>
        <v>0</v>
      </c>
      <c r="AE799" s="46" t="n">
        <f aca="false">AC799+AD799</f>
        <v>157</v>
      </c>
      <c r="AF799" s="47" t="n">
        <f aca="false">IF(AE799&lt;=Y799,AA799,0)</f>
        <v>0</v>
      </c>
      <c r="AG799" s="46" t="n">
        <f aca="false">MIN(AC799,I799)</f>
        <v>39</v>
      </c>
      <c r="AH799" s="46" t="n">
        <f aca="false">I799-AG799</f>
        <v>0</v>
      </c>
      <c r="AI799" s="46" t="n">
        <f aca="false">AC799-AG799</f>
        <v>118</v>
      </c>
      <c r="AJ799" s="46" t="n">
        <f aca="false">IF(AH799&gt;0,1,0)</f>
        <v>0</v>
      </c>
    </row>
    <row r="800" customFormat="false" ht="15" hidden="false" customHeight="false" outlineLevel="0" collapsed="false">
      <c r="A800" s="31" t="str">
        <f aca="false">Inputs!$B$86</f>
        <v>CLN-010</v>
      </c>
      <c r="B800" s="46" t="n">
        <f aca="false">B799+1</f>
        <v>100</v>
      </c>
      <c r="C800" s="46" t="n">
        <f aca="false">MATCH(A800,Inputs!$B$40:$B$87,0)</f>
        <v>47</v>
      </c>
      <c r="D800" s="32" t="n">
        <f aca="false">INDEX(Inputs!$F$40:$F$87,C800)</f>
        <v>1</v>
      </c>
      <c r="E800" s="78" t="n">
        <f aca="false">INDEX(Inputs!$H$40:$H$87,C800)</f>
        <v>16</v>
      </c>
      <c r="F800" s="78" t="n">
        <f aca="false">INDEX(Inputs!$G$40:$G$87,C800)</f>
        <v>35</v>
      </c>
      <c r="G800" s="32" t="n">
        <f aca="false">INDEX(Inputs!$I$40:$I$87,C800)</f>
        <v>12</v>
      </c>
      <c r="H800" s="46" t="n">
        <f aca="false">MATCH(A800,Demand_History!$C:$C,0)+B800-1</f>
        <v>4885</v>
      </c>
      <c r="I800" s="32" t="n">
        <f aca="false">INDEX(Forecast_Walkforward!$C:$C,H800)</f>
        <v>23</v>
      </c>
      <c r="J800" s="79" t="n">
        <f aca="false">INDEX(Forecast_Walkforward!$E:$E,H800)</f>
        <v>39</v>
      </c>
      <c r="K800" s="33" t="n">
        <f aca="false">Baseline_Weeks*J800</f>
        <v>156</v>
      </c>
      <c r="L800" s="46" t="n">
        <f aca="false">SUMIFS(P$789:P799,$B$789:$B799,$B800-$D800)</f>
        <v>36</v>
      </c>
      <c r="M800" s="46" t="n">
        <f aca="false">S799+L800</f>
        <v>82</v>
      </c>
      <c r="N800" s="46" t="n">
        <f aca="false">SUMIFS(P$789:P799,$B$789:$B799,"&gt;"&amp;($B800-$D800))</f>
        <v>0</v>
      </c>
      <c r="O800" s="46" t="n">
        <f aca="false">M800+N800</f>
        <v>82</v>
      </c>
      <c r="P800" s="47" t="n">
        <f aca="false">IF(O800&lt;K800,ROUNDUP((K800-O800)/G800,0)*G800,0)</f>
        <v>84</v>
      </c>
      <c r="Q800" s="46" t="n">
        <f aca="false">MIN(M800,I800)</f>
        <v>23</v>
      </c>
      <c r="R800" s="46" t="n">
        <f aca="false">I800-Q800</f>
        <v>0</v>
      </c>
      <c r="S800" s="46" t="n">
        <f aca="false">M800-Q800</f>
        <v>59</v>
      </c>
      <c r="T800" s="46" t="n">
        <f aca="false">IF(R800&gt;0,1,0)</f>
        <v>0</v>
      </c>
      <c r="U800" s="32" t="n">
        <f aca="false">INDEX(Forecast!$AY$7:$AY$54,C800)</f>
        <v>2</v>
      </c>
      <c r="V800" s="33" t="n">
        <f aca="false">CHOOSE(U800,INDEX(Forecast_Walkforward!$D:$D,H800),INDEX(Forecast_Walkforward!$E:$E,H800),INDEX(Forecast_Walkforward!$F:$F,H800),INDEX(Forecast_Walkforward!$G:$G,H800))</f>
        <v>39</v>
      </c>
      <c r="W800" s="79" t="n">
        <f aca="false">INDEX(Forecast!$BA$7:$BA$54,C800)</f>
        <v>13.4059802114528</v>
      </c>
      <c r="X800" s="33" t="n">
        <f aca="false">Z_Value*W800*SQRT(D800)</f>
        <v>22.0508751736478</v>
      </c>
      <c r="Y800" s="33" t="n">
        <f aca="false">V800*D800+X800</f>
        <v>61.0508751736478</v>
      </c>
      <c r="Z800" s="33" t="n">
        <f aca="false">SQRT((2*V800*Weeks_Per_Year*F800)/(E800*Holding_Rate))</f>
        <v>210.624072698255</v>
      </c>
      <c r="AA800" s="46" t="n">
        <f aca="false">ROUNDUP(Z800/G800,0)*G800</f>
        <v>216</v>
      </c>
      <c r="AB800" s="46" t="n">
        <f aca="false">SUMIFS(AF$789:AF799,$B$789:$B799,$B800-$D800)</f>
        <v>0</v>
      </c>
      <c r="AC800" s="46" t="n">
        <f aca="false">AI799+AB800</f>
        <v>118</v>
      </c>
      <c r="AD800" s="46" t="n">
        <f aca="false">SUMIFS(AF$789:AF799,$B$789:$B799,"&gt;"&amp;($B800-$D800))</f>
        <v>0</v>
      </c>
      <c r="AE800" s="46" t="n">
        <f aca="false">AC800+AD800</f>
        <v>118</v>
      </c>
      <c r="AF800" s="47" t="n">
        <f aca="false">IF(AE800&lt;=Y800,AA800,0)</f>
        <v>0</v>
      </c>
      <c r="AG800" s="46" t="n">
        <f aca="false">MIN(AC800,I800)</f>
        <v>23</v>
      </c>
      <c r="AH800" s="46" t="n">
        <f aca="false">I800-AG800</f>
        <v>0</v>
      </c>
      <c r="AI800" s="46" t="n">
        <f aca="false">AC800-AG800</f>
        <v>95</v>
      </c>
      <c r="AJ800" s="46" t="n">
        <f aca="false">IF(AH800&gt;0,1,0)</f>
        <v>0</v>
      </c>
    </row>
    <row r="801" customFormat="false" ht="15" hidden="false" customHeight="false" outlineLevel="0" collapsed="false">
      <c r="A801" s="31" t="str">
        <f aca="false">Inputs!$B$86</f>
        <v>CLN-010</v>
      </c>
      <c r="B801" s="46" t="n">
        <f aca="false">B800+1</f>
        <v>101</v>
      </c>
      <c r="C801" s="46" t="n">
        <f aca="false">MATCH(A801,Inputs!$B$40:$B$87,0)</f>
        <v>47</v>
      </c>
      <c r="D801" s="32" t="n">
        <f aca="false">INDEX(Inputs!$F$40:$F$87,C801)</f>
        <v>1</v>
      </c>
      <c r="E801" s="78" t="n">
        <f aca="false">INDEX(Inputs!$H$40:$H$87,C801)</f>
        <v>16</v>
      </c>
      <c r="F801" s="78" t="n">
        <f aca="false">INDEX(Inputs!$G$40:$G$87,C801)</f>
        <v>35</v>
      </c>
      <c r="G801" s="32" t="n">
        <f aca="false">INDEX(Inputs!$I$40:$I$87,C801)</f>
        <v>12</v>
      </c>
      <c r="H801" s="46" t="n">
        <f aca="false">MATCH(A801,Demand_History!$C:$C,0)+B801-1</f>
        <v>4886</v>
      </c>
      <c r="I801" s="32" t="n">
        <f aca="false">INDEX(Forecast_Walkforward!$C:$C,H801)</f>
        <v>34</v>
      </c>
      <c r="J801" s="79" t="n">
        <f aca="false">INDEX(Forecast_Walkforward!$E:$E,H801)</f>
        <v>33</v>
      </c>
      <c r="K801" s="33" t="n">
        <f aca="false">Baseline_Weeks*J801</f>
        <v>132</v>
      </c>
      <c r="L801" s="46" t="n">
        <f aca="false">SUMIFS(P$789:P800,$B$789:$B800,$B801-$D801)</f>
        <v>84</v>
      </c>
      <c r="M801" s="46" t="n">
        <f aca="false">S800+L801</f>
        <v>143</v>
      </c>
      <c r="N801" s="46" t="n">
        <f aca="false">SUMIFS(P$789:P800,$B$789:$B800,"&gt;"&amp;($B801-$D801))</f>
        <v>0</v>
      </c>
      <c r="O801" s="46" t="n">
        <f aca="false">M801+N801</f>
        <v>143</v>
      </c>
      <c r="P801" s="47" t="n">
        <f aca="false">IF(O801&lt;K801,ROUNDUP((K801-O801)/G801,0)*G801,0)</f>
        <v>0</v>
      </c>
      <c r="Q801" s="46" t="n">
        <f aca="false">MIN(M801,I801)</f>
        <v>34</v>
      </c>
      <c r="R801" s="46" t="n">
        <f aca="false">I801-Q801</f>
        <v>0</v>
      </c>
      <c r="S801" s="46" t="n">
        <f aca="false">M801-Q801</f>
        <v>109</v>
      </c>
      <c r="T801" s="46" t="n">
        <f aca="false">IF(R801&gt;0,1,0)</f>
        <v>0</v>
      </c>
      <c r="U801" s="32" t="n">
        <f aca="false">INDEX(Forecast!$AY$7:$AY$54,C801)</f>
        <v>2</v>
      </c>
      <c r="V801" s="33" t="n">
        <f aca="false">CHOOSE(U801,INDEX(Forecast_Walkforward!$D:$D,H801),INDEX(Forecast_Walkforward!$E:$E,H801),INDEX(Forecast_Walkforward!$F:$F,H801),INDEX(Forecast_Walkforward!$G:$G,H801))</f>
        <v>33</v>
      </c>
      <c r="W801" s="79" t="n">
        <f aca="false">INDEX(Forecast!$BA$7:$BA$54,C801)</f>
        <v>13.4059802114528</v>
      </c>
      <c r="X801" s="33" t="n">
        <f aca="false">Z_Value*W801*SQRT(D801)</f>
        <v>22.0508751736478</v>
      </c>
      <c r="Y801" s="33" t="n">
        <f aca="false">V801*D801+X801</f>
        <v>55.0508751736478</v>
      </c>
      <c r="Z801" s="33" t="n">
        <f aca="false">SQRT((2*V801*Weeks_Per_Year*F801)/(E801*Holding_Rate))</f>
        <v>193.745967699976</v>
      </c>
      <c r="AA801" s="46" t="n">
        <f aca="false">ROUNDUP(Z801/G801,0)*G801</f>
        <v>204</v>
      </c>
      <c r="AB801" s="46" t="n">
        <f aca="false">SUMIFS(AF$789:AF800,$B$789:$B800,$B801-$D801)</f>
        <v>0</v>
      </c>
      <c r="AC801" s="46" t="n">
        <f aca="false">AI800+AB801</f>
        <v>95</v>
      </c>
      <c r="AD801" s="46" t="n">
        <f aca="false">SUMIFS(AF$789:AF800,$B$789:$B800,"&gt;"&amp;($B801-$D801))</f>
        <v>0</v>
      </c>
      <c r="AE801" s="46" t="n">
        <f aca="false">AC801+AD801</f>
        <v>95</v>
      </c>
      <c r="AF801" s="47" t="n">
        <f aca="false">IF(AE801&lt;=Y801,AA801,0)</f>
        <v>0</v>
      </c>
      <c r="AG801" s="46" t="n">
        <f aca="false">MIN(AC801,I801)</f>
        <v>34</v>
      </c>
      <c r="AH801" s="46" t="n">
        <f aca="false">I801-AG801</f>
        <v>0</v>
      </c>
      <c r="AI801" s="46" t="n">
        <f aca="false">AC801-AG801</f>
        <v>61</v>
      </c>
      <c r="AJ801" s="46" t="n">
        <f aca="false">IF(AH801&gt;0,1,0)</f>
        <v>0</v>
      </c>
    </row>
    <row r="802" customFormat="false" ht="15" hidden="false" customHeight="false" outlineLevel="0" collapsed="false">
      <c r="A802" s="31" t="str">
        <f aca="false">Inputs!$B$86</f>
        <v>CLN-010</v>
      </c>
      <c r="B802" s="46" t="n">
        <f aca="false">B801+1</f>
        <v>102</v>
      </c>
      <c r="C802" s="46" t="n">
        <f aca="false">MATCH(A802,Inputs!$B$40:$B$87,0)</f>
        <v>47</v>
      </c>
      <c r="D802" s="32" t="n">
        <f aca="false">INDEX(Inputs!$F$40:$F$87,C802)</f>
        <v>1</v>
      </c>
      <c r="E802" s="78" t="n">
        <f aca="false">INDEX(Inputs!$H$40:$H$87,C802)</f>
        <v>16</v>
      </c>
      <c r="F802" s="78" t="n">
        <f aca="false">INDEX(Inputs!$G$40:$G$87,C802)</f>
        <v>35</v>
      </c>
      <c r="G802" s="32" t="n">
        <f aca="false">INDEX(Inputs!$I$40:$I$87,C802)</f>
        <v>12</v>
      </c>
      <c r="H802" s="46" t="n">
        <f aca="false">MATCH(A802,Demand_History!$C:$C,0)+B802-1</f>
        <v>4887</v>
      </c>
      <c r="I802" s="32" t="n">
        <f aca="false">INDEX(Forecast_Walkforward!$C:$C,H802)</f>
        <v>47</v>
      </c>
      <c r="J802" s="79" t="n">
        <f aca="false">INDEX(Forecast_Walkforward!$E:$E,H802)</f>
        <v>32.75</v>
      </c>
      <c r="K802" s="33" t="n">
        <f aca="false">Baseline_Weeks*J802</f>
        <v>131</v>
      </c>
      <c r="L802" s="46" t="n">
        <f aca="false">SUMIFS(P$789:P801,$B$789:$B801,$B802-$D802)</f>
        <v>0</v>
      </c>
      <c r="M802" s="46" t="n">
        <f aca="false">S801+L802</f>
        <v>109</v>
      </c>
      <c r="N802" s="46" t="n">
        <f aca="false">SUMIFS(P$789:P801,$B$789:$B801,"&gt;"&amp;($B802-$D802))</f>
        <v>0</v>
      </c>
      <c r="O802" s="46" t="n">
        <f aca="false">M802+N802</f>
        <v>109</v>
      </c>
      <c r="P802" s="47" t="n">
        <f aca="false">IF(O802&lt;K802,ROUNDUP((K802-O802)/G802,0)*G802,0)</f>
        <v>24</v>
      </c>
      <c r="Q802" s="46" t="n">
        <f aca="false">MIN(M802,I802)</f>
        <v>47</v>
      </c>
      <c r="R802" s="46" t="n">
        <f aca="false">I802-Q802</f>
        <v>0</v>
      </c>
      <c r="S802" s="46" t="n">
        <f aca="false">M802-Q802</f>
        <v>62</v>
      </c>
      <c r="T802" s="46" t="n">
        <f aca="false">IF(R802&gt;0,1,0)</f>
        <v>0</v>
      </c>
      <c r="U802" s="32" t="n">
        <f aca="false">INDEX(Forecast!$AY$7:$AY$54,C802)</f>
        <v>2</v>
      </c>
      <c r="V802" s="33" t="n">
        <f aca="false">CHOOSE(U802,INDEX(Forecast_Walkforward!$D:$D,H802),INDEX(Forecast_Walkforward!$E:$E,H802),INDEX(Forecast_Walkforward!$F:$F,H802),INDEX(Forecast_Walkforward!$G:$G,H802))</f>
        <v>32.75</v>
      </c>
      <c r="W802" s="79" t="n">
        <f aca="false">INDEX(Forecast!$BA$7:$BA$54,C802)</f>
        <v>13.4059802114528</v>
      </c>
      <c r="X802" s="33" t="n">
        <f aca="false">Z_Value*W802*SQRT(D802)</f>
        <v>22.0508751736478</v>
      </c>
      <c r="Y802" s="33" t="n">
        <f aca="false">V802*D802+X802</f>
        <v>54.8008751736478</v>
      </c>
      <c r="Z802" s="33" t="n">
        <f aca="false">SQRT((2*V802*Weeks_Per_Year*F802)/(E802*Holding_Rate))</f>
        <v>193.010686232654</v>
      </c>
      <c r="AA802" s="46" t="n">
        <f aca="false">ROUNDUP(Z802/G802,0)*G802</f>
        <v>204</v>
      </c>
      <c r="AB802" s="46" t="n">
        <f aca="false">SUMIFS(AF$789:AF801,$B$789:$B801,$B802-$D802)</f>
        <v>0</v>
      </c>
      <c r="AC802" s="46" t="n">
        <f aca="false">AI801+AB802</f>
        <v>61</v>
      </c>
      <c r="AD802" s="46" t="n">
        <f aca="false">SUMIFS(AF$789:AF801,$B$789:$B801,"&gt;"&amp;($B802-$D802))</f>
        <v>0</v>
      </c>
      <c r="AE802" s="46" t="n">
        <f aca="false">AC802+AD802</f>
        <v>61</v>
      </c>
      <c r="AF802" s="47" t="n">
        <f aca="false">IF(AE802&lt;=Y802,AA802,0)</f>
        <v>0</v>
      </c>
      <c r="AG802" s="46" t="n">
        <f aca="false">MIN(AC802,I802)</f>
        <v>47</v>
      </c>
      <c r="AH802" s="46" t="n">
        <f aca="false">I802-AG802</f>
        <v>0</v>
      </c>
      <c r="AI802" s="46" t="n">
        <f aca="false">AC802-AG802</f>
        <v>14</v>
      </c>
      <c r="AJ802" s="46" t="n">
        <f aca="false">IF(AH802&gt;0,1,0)</f>
        <v>0</v>
      </c>
    </row>
    <row r="803" customFormat="false" ht="15" hidden="false" customHeight="false" outlineLevel="0" collapsed="false">
      <c r="A803" s="31" t="str">
        <f aca="false">Inputs!$B$86</f>
        <v>CLN-010</v>
      </c>
      <c r="B803" s="46" t="n">
        <f aca="false">B802+1</f>
        <v>103</v>
      </c>
      <c r="C803" s="46" t="n">
        <f aca="false">MATCH(A803,Inputs!$B$40:$B$87,0)</f>
        <v>47</v>
      </c>
      <c r="D803" s="32" t="n">
        <f aca="false">INDEX(Inputs!$F$40:$F$87,C803)</f>
        <v>1</v>
      </c>
      <c r="E803" s="78" t="n">
        <f aca="false">INDEX(Inputs!$H$40:$H$87,C803)</f>
        <v>16</v>
      </c>
      <c r="F803" s="78" t="n">
        <f aca="false">INDEX(Inputs!$G$40:$G$87,C803)</f>
        <v>35</v>
      </c>
      <c r="G803" s="32" t="n">
        <f aca="false">INDEX(Inputs!$I$40:$I$87,C803)</f>
        <v>12</v>
      </c>
      <c r="H803" s="46" t="n">
        <f aca="false">MATCH(A803,Demand_History!$C:$C,0)+B803-1</f>
        <v>4888</v>
      </c>
      <c r="I803" s="32" t="n">
        <f aca="false">INDEX(Forecast_Walkforward!$C:$C,H803)</f>
        <v>48</v>
      </c>
      <c r="J803" s="79" t="n">
        <f aca="false">INDEX(Forecast_Walkforward!$E:$E,H803)</f>
        <v>35.75</v>
      </c>
      <c r="K803" s="33" t="n">
        <f aca="false">Baseline_Weeks*J803</f>
        <v>143</v>
      </c>
      <c r="L803" s="46" t="n">
        <f aca="false">SUMIFS(P$789:P802,$B$789:$B802,$B803-$D803)</f>
        <v>24</v>
      </c>
      <c r="M803" s="46" t="n">
        <f aca="false">S802+L803</f>
        <v>86</v>
      </c>
      <c r="N803" s="46" t="n">
        <f aca="false">SUMIFS(P$789:P802,$B$789:$B802,"&gt;"&amp;($B803-$D803))</f>
        <v>0</v>
      </c>
      <c r="O803" s="46" t="n">
        <f aca="false">M803+N803</f>
        <v>86</v>
      </c>
      <c r="P803" s="47" t="n">
        <f aca="false">IF(O803&lt;K803,ROUNDUP((K803-O803)/G803,0)*G803,0)</f>
        <v>60</v>
      </c>
      <c r="Q803" s="46" t="n">
        <f aca="false">MIN(M803,I803)</f>
        <v>48</v>
      </c>
      <c r="R803" s="46" t="n">
        <f aca="false">I803-Q803</f>
        <v>0</v>
      </c>
      <c r="S803" s="46" t="n">
        <f aca="false">M803-Q803</f>
        <v>38</v>
      </c>
      <c r="T803" s="46" t="n">
        <f aca="false">IF(R803&gt;0,1,0)</f>
        <v>0</v>
      </c>
      <c r="U803" s="32" t="n">
        <f aca="false">INDEX(Forecast!$AY$7:$AY$54,C803)</f>
        <v>2</v>
      </c>
      <c r="V803" s="33" t="n">
        <f aca="false">CHOOSE(U803,INDEX(Forecast_Walkforward!$D:$D,H803),INDEX(Forecast_Walkforward!$E:$E,H803),INDEX(Forecast_Walkforward!$F:$F,H803),INDEX(Forecast_Walkforward!$G:$G,H803))</f>
        <v>35.75</v>
      </c>
      <c r="W803" s="79" t="n">
        <f aca="false">INDEX(Forecast!$BA$7:$BA$54,C803)</f>
        <v>13.4059802114528</v>
      </c>
      <c r="X803" s="33" t="n">
        <f aca="false">Z_Value*W803*SQRT(D803)</f>
        <v>22.0508751736478</v>
      </c>
      <c r="Y803" s="33" t="n">
        <f aca="false">V803*D803+X803</f>
        <v>57.8008751736478</v>
      </c>
      <c r="Z803" s="33" t="n">
        <f aca="false">SQRT((2*V803*Weeks_Per_Year*F803)/(E803*Holding_Rate))</f>
        <v>201.657196747351</v>
      </c>
      <c r="AA803" s="46" t="n">
        <f aca="false">ROUNDUP(Z803/G803,0)*G803</f>
        <v>204</v>
      </c>
      <c r="AB803" s="46" t="n">
        <f aca="false">SUMIFS(AF$789:AF802,$B$789:$B802,$B803-$D803)</f>
        <v>0</v>
      </c>
      <c r="AC803" s="46" t="n">
        <f aca="false">AI802+AB803</f>
        <v>14</v>
      </c>
      <c r="AD803" s="46" t="n">
        <f aca="false">SUMIFS(AF$789:AF802,$B$789:$B802,"&gt;"&amp;($B803-$D803))</f>
        <v>0</v>
      </c>
      <c r="AE803" s="46" t="n">
        <f aca="false">AC803+AD803</f>
        <v>14</v>
      </c>
      <c r="AF803" s="47" t="n">
        <f aca="false">IF(AE803&lt;=Y803,AA803,0)</f>
        <v>204</v>
      </c>
      <c r="AG803" s="46" t="n">
        <f aca="false">MIN(AC803,I803)</f>
        <v>14</v>
      </c>
      <c r="AH803" s="46" t="n">
        <f aca="false">I803-AG803</f>
        <v>34</v>
      </c>
      <c r="AI803" s="46" t="n">
        <f aca="false">AC803-AG803</f>
        <v>0</v>
      </c>
      <c r="AJ803" s="46" t="n">
        <f aca="false">IF(AH803&gt;0,1,0)</f>
        <v>1</v>
      </c>
    </row>
    <row r="804" customFormat="false" ht="15" hidden="false" customHeight="false" outlineLevel="0" collapsed="false">
      <c r="A804" s="80" t="str">
        <f aca="false">Inputs!$B$86</f>
        <v>CLN-010</v>
      </c>
      <c r="B804" s="81" t="n">
        <f aca="false">B803+1</f>
        <v>104</v>
      </c>
      <c r="C804" s="81" t="n">
        <f aca="false">MATCH(A804,Inputs!$B$40:$B$87,0)</f>
        <v>47</v>
      </c>
      <c r="D804" s="82" t="n">
        <f aca="false">INDEX(Inputs!$F$40:$F$87,C804)</f>
        <v>1</v>
      </c>
      <c r="E804" s="83" t="n">
        <f aca="false">INDEX(Inputs!$H$40:$H$87,C804)</f>
        <v>16</v>
      </c>
      <c r="F804" s="83" t="n">
        <f aca="false">INDEX(Inputs!$G$40:$G$87,C804)</f>
        <v>35</v>
      </c>
      <c r="G804" s="82" t="n">
        <f aca="false">INDEX(Inputs!$I$40:$I$87,C804)</f>
        <v>12</v>
      </c>
      <c r="H804" s="81" t="n">
        <f aca="false">MATCH(A804,Demand_History!$C:$C,0)+B804-1</f>
        <v>4889</v>
      </c>
      <c r="I804" s="82" t="n">
        <f aca="false">INDEX(Forecast_Walkforward!$C:$C,H804)</f>
        <v>41</v>
      </c>
      <c r="J804" s="84" t="n">
        <f aca="false">INDEX(Forecast_Walkforward!$E:$E,H804)</f>
        <v>38</v>
      </c>
      <c r="K804" s="85" t="n">
        <f aca="false">Baseline_Weeks*J804</f>
        <v>152</v>
      </c>
      <c r="L804" s="81" t="n">
        <f aca="false">SUMIFS(P$789:P803,$B$789:$B803,$B804-$D804)</f>
        <v>60</v>
      </c>
      <c r="M804" s="81" t="n">
        <f aca="false">S803+L804</f>
        <v>98</v>
      </c>
      <c r="N804" s="81" t="n">
        <f aca="false">SUMIFS(P$789:P803,$B$789:$B803,"&gt;"&amp;($B804-$D804))</f>
        <v>0</v>
      </c>
      <c r="O804" s="81" t="n">
        <f aca="false">M804+N804</f>
        <v>98</v>
      </c>
      <c r="P804" s="86" t="n">
        <f aca="false">IF(O804&lt;K804,ROUNDUP((K804-O804)/G804,0)*G804,0)</f>
        <v>60</v>
      </c>
      <c r="Q804" s="81" t="n">
        <f aca="false">MIN(M804,I804)</f>
        <v>41</v>
      </c>
      <c r="R804" s="81" t="n">
        <f aca="false">I804-Q804</f>
        <v>0</v>
      </c>
      <c r="S804" s="81" t="n">
        <f aca="false">M804-Q804</f>
        <v>57</v>
      </c>
      <c r="T804" s="81" t="n">
        <f aca="false">IF(R804&gt;0,1,0)</f>
        <v>0</v>
      </c>
      <c r="U804" s="82" t="n">
        <f aca="false">INDEX(Forecast!$AY$7:$AY$54,C804)</f>
        <v>2</v>
      </c>
      <c r="V804" s="85" t="n">
        <f aca="false">CHOOSE(U804,INDEX(Forecast_Walkforward!$D:$D,H804),INDEX(Forecast_Walkforward!$E:$E,H804),INDEX(Forecast_Walkforward!$F:$F,H804),INDEX(Forecast_Walkforward!$G:$G,H804))</f>
        <v>38</v>
      </c>
      <c r="W804" s="84" t="n">
        <f aca="false">INDEX(Forecast!$BA$7:$BA$54,C804)</f>
        <v>13.4059802114528</v>
      </c>
      <c r="X804" s="85" t="n">
        <f aca="false">Z_Value*W804*SQRT(D804)</f>
        <v>22.0508751736478</v>
      </c>
      <c r="Y804" s="85" t="n">
        <f aca="false">V804*D804+X804</f>
        <v>60.0508751736478</v>
      </c>
      <c r="Z804" s="85" t="n">
        <f aca="false">SQRT((2*V804*Weeks_Per_Year*F804)/(E804*Holding_Rate))</f>
        <v>207.906228862918</v>
      </c>
      <c r="AA804" s="81" t="n">
        <f aca="false">ROUNDUP(Z804/G804,0)*G804</f>
        <v>216</v>
      </c>
      <c r="AB804" s="81" t="n">
        <f aca="false">SUMIFS(AF$789:AF803,$B$789:$B803,$B804-$D804)</f>
        <v>204</v>
      </c>
      <c r="AC804" s="81" t="n">
        <f aca="false">AI803+AB804</f>
        <v>204</v>
      </c>
      <c r="AD804" s="81" t="n">
        <f aca="false">SUMIFS(AF$789:AF803,$B$789:$B803,"&gt;"&amp;($B804-$D804))</f>
        <v>0</v>
      </c>
      <c r="AE804" s="81" t="n">
        <f aca="false">AC804+AD804</f>
        <v>204</v>
      </c>
      <c r="AF804" s="86" t="n">
        <f aca="false">IF(AE804&lt;=Y804,AA804,0)</f>
        <v>0</v>
      </c>
      <c r="AG804" s="81" t="n">
        <f aca="false">MIN(AC804,I804)</f>
        <v>41</v>
      </c>
      <c r="AH804" s="81" t="n">
        <f aca="false">I804-AG804</f>
        <v>0</v>
      </c>
      <c r="AI804" s="81" t="n">
        <f aca="false">AC804-AG804</f>
        <v>163</v>
      </c>
      <c r="AJ804" s="81" t="n">
        <f aca="false">IF(AH804&gt;0,1,0)</f>
        <v>0</v>
      </c>
    </row>
    <row r="805" customFormat="false" ht="15" hidden="false" customHeight="false" outlineLevel="0" collapsed="false">
      <c r="A805" s="31" t="str">
        <f aca="false">Inputs!$B$87</f>
        <v>CLN-011</v>
      </c>
      <c r="B805" s="46" t="n">
        <f aca="false">BT_Start_Week</f>
        <v>89</v>
      </c>
      <c r="C805" s="46" t="n">
        <f aca="false">MATCH(A805,Inputs!$B$40:$B$87,0)</f>
        <v>48</v>
      </c>
      <c r="D805" s="32" t="n">
        <f aca="false">INDEX(Inputs!$F$40:$F$87,C805)</f>
        <v>1</v>
      </c>
      <c r="E805" s="78" t="n">
        <f aca="false">INDEX(Inputs!$H$40:$H$87,C805)</f>
        <v>14</v>
      </c>
      <c r="F805" s="78" t="n">
        <f aca="false">INDEX(Inputs!$G$40:$G$87,C805)</f>
        <v>35</v>
      </c>
      <c r="G805" s="32" t="n">
        <f aca="false">INDEX(Inputs!$I$40:$I$87,C805)</f>
        <v>12</v>
      </c>
      <c r="H805" s="46" t="n">
        <f aca="false">MATCH(A805,Demand_History!$C:$C,0)+B805-1</f>
        <v>4978</v>
      </c>
      <c r="I805" s="32" t="n">
        <f aca="false">INDEX(Forecast_Walkforward!$C:$C,H805)</f>
        <v>44</v>
      </c>
      <c r="J805" s="79" t="n">
        <f aca="false">INDEX(Forecast_Walkforward!$E:$E,H805)</f>
        <v>40.25</v>
      </c>
      <c r="K805" s="33" t="n">
        <f aca="false">Baseline_Weeks*J805</f>
        <v>161</v>
      </c>
      <c r="L805" s="46" t="n">
        <f aca="false">0</f>
        <v>0</v>
      </c>
      <c r="M805" s="46" t="n">
        <f aca="false">ROUND(BT_Open_Cover*INDEX(Forecast_Walkforward!$F:$F,H805),0)+L805</f>
        <v>239</v>
      </c>
      <c r="N805" s="46" t="n">
        <f aca="false">0</f>
        <v>0</v>
      </c>
      <c r="O805" s="46" t="n">
        <f aca="false">M805+N805</f>
        <v>239</v>
      </c>
      <c r="P805" s="47" t="n">
        <f aca="false">IF(O805&lt;K805,ROUNDUP((K805-O805)/G805,0)*G805,0)</f>
        <v>0</v>
      </c>
      <c r="Q805" s="46" t="n">
        <f aca="false">MIN(M805,I805)</f>
        <v>44</v>
      </c>
      <c r="R805" s="46" t="n">
        <f aca="false">I805-Q805</f>
        <v>0</v>
      </c>
      <c r="S805" s="46" t="n">
        <f aca="false">M805-Q805</f>
        <v>195</v>
      </c>
      <c r="T805" s="46" t="n">
        <f aca="false">IF(R805&gt;0,1,0)</f>
        <v>0</v>
      </c>
      <c r="U805" s="32" t="n">
        <f aca="false">INDEX(Forecast!$AY$7:$AY$54,C805)</f>
        <v>2</v>
      </c>
      <c r="V805" s="33" t="n">
        <f aca="false">CHOOSE(U805,INDEX(Forecast_Walkforward!$D:$D,H805),INDEX(Forecast_Walkforward!$E:$E,H805),INDEX(Forecast_Walkforward!$F:$F,H805),INDEX(Forecast_Walkforward!$G:$G,H805))</f>
        <v>40.25</v>
      </c>
      <c r="W805" s="79" t="n">
        <f aca="false">INDEX(Forecast!$BA$7:$BA$54,C805)</f>
        <v>5.02776979185997</v>
      </c>
      <c r="X805" s="33" t="n">
        <f aca="false">Z_Value*W805*SQRT(D805)</f>
        <v>8.26994537761792</v>
      </c>
      <c r="Y805" s="33" t="n">
        <f aca="false">V805*D805+X805</f>
        <v>48.5199453776179</v>
      </c>
      <c r="Z805" s="33" t="n">
        <f aca="false">SQRT((2*V805*Weeks_Per_Year*F805)/(E805*Holding_Rate))</f>
        <v>228.746584673957</v>
      </c>
      <c r="AA805" s="46" t="n">
        <f aca="false">ROUNDUP(Z805/G805,0)*G805</f>
        <v>240</v>
      </c>
      <c r="AB805" s="46" t="n">
        <f aca="false">0</f>
        <v>0</v>
      </c>
      <c r="AC805" s="46" t="n">
        <f aca="false">ROUND(BT_Open_Cover*INDEX(Forecast_Walkforward!$F:$F,H805),0)+AB805</f>
        <v>239</v>
      </c>
      <c r="AD805" s="46" t="n">
        <f aca="false">0</f>
        <v>0</v>
      </c>
      <c r="AE805" s="46" t="n">
        <f aca="false">AC805+AD805</f>
        <v>239</v>
      </c>
      <c r="AF805" s="47" t="n">
        <f aca="false">IF(AE805&lt;=Y805,AA805,0)</f>
        <v>0</v>
      </c>
      <c r="AG805" s="46" t="n">
        <f aca="false">MIN(AC805,I805)</f>
        <v>44</v>
      </c>
      <c r="AH805" s="46" t="n">
        <f aca="false">I805-AG805</f>
        <v>0</v>
      </c>
      <c r="AI805" s="46" t="n">
        <f aca="false">AC805-AG805</f>
        <v>195</v>
      </c>
      <c r="AJ805" s="46" t="n">
        <f aca="false">IF(AH805&gt;0,1,0)</f>
        <v>0</v>
      </c>
    </row>
    <row r="806" customFormat="false" ht="15" hidden="false" customHeight="false" outlineLevel="0" collapsed="false">
      <c r="A806" s="31" t="str">
        <f aca="false">Inputs!$B$87</f>
        <v>CLN-011</v>
      </c>
      <c r="B806" s="46" t="n">
        <f aca="false">B805+1</f>
        <v>90</v>
      </c>
      <c r="C806" s="46" t="n">
        <f aca="false">MATCH(A806,Inputs!$B$40:$B$87,0)</f>
        <v>48</v>
      </c>
      <c r="D806" s="32" t="n">
        <f aca="false">INDEX(Inputs!$F$40:$F$87,C806)</f>
        <v>1</v>
      </c>
      <c r="E806" s="78" t="n">
        <f aca="false">INDEX(Inputs!$H$40:$H$87,C806)</f>
        <v>14</v>
      </c>
      <c r="F806" s="78" t="n">
        <f aca="false">INDEX(Inputs!$G$40:$G$87,C806)</f>
        <v>35</v>
      </c>
      <c r="G806" s="32" t="n">
        <f aca="false">INDEX(Inputs!$I$40:$I$87,C806)</f>
        <v>12</v>
      </c>
      <c r="H806" s="46" t="n">
        <f aca="false">MATCH(A806,Demand_History!$C:$C,0)+B806-1</f>
        <v>4979</v>
      </c>
      <c r="I806" s="32" t="n">
        <f aca="false">INDEX(Forecast_Walkforward!$C:$C,H806)</f>
        <v>34</v>
      </c>
      <c r="J806" s="79" t="n">
        <f aca="false">INDEX(Forecast_Walkforward!$E:$E,H806)</f>
        <v>41.75</v>
      </c>
      <c r="K806" s="33" t="n">
        <f aca="false">Baseline_Weeks*J806</f>
        <v>167</v>
      </c>
      <c r="L806" s="46" t="n">
        <f aca="false">SUMIFS(P$805:P805,$B$805:$B805,$B806-$D806)</f>
        <v>0</v>
      </c>
      <c r="M806" s="46" t="n">
        <f aca="false">S805+L806</f>
        <v>195</v>
      </c>
      <c r="N806" s="46" t="n">
        <f aca="false">SUMIFS(P$805:P805,$B$805:$B805,"&gt;"&amp;($B806-$D806))</f>
        <v>0</v>
      </c>
      <c r="O806" s="46" t="n">
        <f aca="false">M806+N806</f>
        <v>195</v>
      </c>
      <c r="P806" s="47" t="n">
        <f aca="false">IF(O806&lt;K806,ROUNDUP((K806-O806)/G806,0)*G806,0)</f>
        <v>0</v>
      </c>
      <c r="Q806" s="46" t="n">
        <f aca="false">MIN(M806,I806)</f>
        <v>34</v>
      </c>
      <c r="R806" s="46" t="n">
        <f aca="false">I806-Q806</f>
        <v>0</v>
      </c>
      <c r="S806" s="46" t="n">
        <f aca="false">M806-Q806</f>
        <v>161</v>
      </c>
      <c r="T806" s="46" t="n">
        <f aca="false">IF(R806&gt;0,1,0)</f>
        <v>0</v>
      </c>
      <c r="U806" s="32" t="n">
        <f aca="false">INDEX(Forecast!$AY$7:$AY$54,C806)</f>
        <v>2</v>
      </c>
      <c r="V806" s="33" t="n">
        <f aca="false">CHOOSE(U806,INDEX(Forecast_Walkforward!$D:$D,H806),INDEX(Forecast_Walkforward!$E:$E,H806),INDEX(Forecast_Walkforward!$F:$F,H806),INDEX(Forecast_Walkforward!$G:$G,H806))</f>
        <v>41.75</v>
      </c>
      <c r="W806" s="79" t="n">
        <f aca="false">INDEX(Forecast!$BA$7:$BA$54,C806)</f>
        <v>5.02776979185997</v>
      </c>
      <c r="X806" s="33" t="n">
        <f aca="false">Z_Value*W806*SQRT(D806)</f>
        <v>8.26994537761792</v>
      </c>
      <c r="Y806" s="33" t="n">
        <f aca="false">V806*D806+X806</f>
        <v>50.0199453776179</v>
      </c>
      <c r="Z806" s="33" t="n">
        <f aca="false">SQRT((2*V806*Weeks_Per_Year*F806)/(E806*Holding_Rate))</f>
        <v>232.969955144435</v>
      </c>
      <c r="AA806" s="46" t="n">
        <f aca="false">ROUNDUP(Z806/G806,0)*G806</f>
        <v>240</v>
      </c>
      <c r="AB806" s="46" t="n">
        <f aca="false">SUMIFS(AF$805:AF805,$B$805:$B805,$B806-$D806)</f>
        <v>0</v>
      </c>
      <c r="AC806" s="46" t="n">
        <f aca="false">AI805+AB806</f>
        <v>195</v>
      </c>
      <c r="AD806" s="46" t="n">
        <f aca="false">SUMIFS(AF$805:AF805,$B$805:$B805,"&gt;"&amp;($B806-$D806))</f>
        <v>0</v>
      </c>
      <c r="AE806" s="46" t="n">
        <f aca="false">AC806+AD806</f>
        <v>195</v>
      </c>
      <c r="AF806" s="47" t="n">
        <f aca="false">IF(AE806&lt;=Y806,AA806,0)</f>
        <v>0</v>
      </c>
      <c r="AG806" s="46" t="n">
        <f aca="false">MIN(AC806,I806)</f>
        <v>34</v>
      </c>
      <c r="AH806" s="46" t="n">
        <f aca="false">I806-AG806</f>
        <v>0</v>
      </c>
      <c r="AI806" s="46" t="n">
        <f aca="false">AC806-AG806</f>
        <v>161</v>
      </c>
      <c r="AJ806" s="46" t="n">
        <f aca="false">IF(AH806&gt;0,1,0)</f>
        <v>0</v>
      </c>
    </row>
    <row r="807" customFormat="false" ht="15" hidden="false" customHeight="false" outlineLevel="0" collapsed="false">
      <c r="A807" s="31" t="str">
        <f aca="false">Inputs!$B$87</f>
        <v>CLN-011</v>
      </c>
      <c r="B807" s="46" t="n">
        <f aca="false">B806+1</f>
        <v>91</v>
      </c>
      <c r="C807" s="46" t="n">
        <f aca="false">MATCH(A807,Inputs!$B$40:$B$87,0)</f>
        <v>48</v>
      </c>
      <c r="D807" s="32" t="n">
        <f aca="false">INDEX(Inputs!$F$40:$F$87,C807)</f>
        <v>1</v>
      </c>
      <c r="E807" s="78" t="n">
        <f aca="false">INDEX(Inputs!$H$40:$H$87,C807)</f>
        <v>14</v>
      </c>
      <c r="F807" s="78" t="n">
        <f aca="false">INDEX(Inputs!$G$40:$G$87,C807)</f>
        <v>35</v>
      </c>
      <c r="G807" s="32" t="n">
        <f aca="false">INDEX(Inputs!$I$40:$I$87,C807)</f>
        <v>12</v>
      </c>
      <c r="H807" s="46" t="n">
        <f aca="false">MATCH(A807,Demand_History!$C:$C,0)+B807-1</f>
        <v>4980</v>
      </c>
      <c r="I807" s="32" t="n">
        <f aca="false">INDEX(Forecast_Walkforward!$C:$C,H807)</f>
        <v>28</v>
      </c>
      <c r="J807" s="79" t="n">
        <f aca="false">INDEX(Forecast_Walkforward!$E:$E,H807)</f>
        <v>40.25</v>
      </c>
      <c r="K807" s="33" t="n">
        <f aca="false">Baseline_Weeks*J807</f>
        <v>161</v>
      </c>
      <c r="L807" s="46" t="n">
        <f aca="false">SUMIFS(P$805:P806,$B$805:$B806,$B807-$D807)</f>
        <v>0</v>
      </c>
      <c r="M807" s="46" t="n">
        <f aca="false">S806+L807</f>
        <v>161</v>
      </c>
      <c r="N807" s="46" t="n">
        <f aca="false">SUMIFS(P$805:P806,$B$805:$B806,"&gt;"&amp;($B807-$D807))</f>
        <v>0</v>
      </c>
      <c r="O807" s="46" t="n">
        <f aca="false">M807+N807</f>
        <v>161</v>
      </c>
      <c r="P807" s="47" t="n">
        <f aca="false">IF(O807&lt;K807,ROUNDUP((K807-O807)/G807,0)*G807,0)</f>
        <v>0</v>
      </c>
      <c r="Q807" s="46" t="n">
        <f aca="false">MIN(M807,I807)</f>
        <v>28</v>
      </c>
      <c r="R807" s="46" t="n">
        <f aca="false">I807-Q807</f>
        <v>0</v>
      </c>
      <c r="S807" s="46" t="n">
        <f aca="false">M807-Q807</f>
        <v>133</v>
      </c>
      <c r="T807" s="46" t="n">
        <f aca="false">IF(R807&gt;0,1,0)</f>
        <v>0</v>
      </c>
      <c r="U807" s="32" t="n">
        <f aca="false">INDEX(Forecast!$AY$7:$AY$54,C807)</f>
        <v>2</v>
      </c>
      <c r="V807" s="33" t="n">
        <f aca="false">CHOOSE(U807,INDEX(Forecast_Walkforward!$D:$D,H807),INDEX(Forecast_Walkforward!$E:$E,H807),INDEX(Forecast_Walkforward!$F:$F,H807),INDEX(Forecast_Walkforward!$G:$G,H807))</f>
        <v>40.25</v>
      </c>
      <c r="W807" s="79" t="n">
        <f aca="false">INDEX(Forecast!$BA$7:$BA$54,C807)</f>
        <v>5.02776979185997</v>
      </c>
      <c r="X807" s="33" t="n">
        <f aca="false">Z_Value*W807*SQRT(D807)</f>
        <v>8.26994537761792</v>
      </c>
      <c r="Y807" s="33" t="n">
        <f aca="false">V807*D807+X807</f>
        <v>48.5199453776179</v>
      </c>
      <c r="Z807" s="33" t="n">
        <f aca="false">SQRT((2*V807*Weeks_Per_Year*F807)/(E807*Holding_Rate))</f>
        <v>228.746584673957</v>
      </c>
      <c r="AA807" s="46" t="n">
        <f aca="false">ROUNDUP(Z807/G807,0)*G807</f>
        <v>240</v>
      </c>
      <c r="AB807" s="46" t="n">
        <f aca="false">SUMIFS(AF$805:AF806,$B$805:$B806,$B807-$D807)</f>
        <v>0</v>
      </c>
      <c r="AC807" s="46" t="n">
        <f aca="false">AI806+AB807</f>
        <v>161</v>
      </c>
      <c r="AD807" s="46" t="n">
        <f aca="false">SUMIFS(AF$805:AF806,$B$805:$B806,"&gt;"&amp;($B807-$D807))</f>
        <v>0</v>
      </c>
      <c r="AE807" s="46" t="n">
        <f aca="false">AC807+AD807</f>
        <v>161</v>
      </c>
      <c r="AF807" s="47" t="n">
        <f aca="false">IF(AE807&lt;=Y807,AA807,0)</f>
        <v>0</v>
      </c>
      <c r="AG807" s="46" t="n">
        <f aca="false">MIN(AC807,I807)</f>
        <v>28</v>
      </c>
      <c r="AH807" s="46" t="n">
        <f aca="false">I807-AG807</f>
        <v>0</v>
      </c>
      <c r="AI807" s="46" t="n">
        <f aca="false">AC807-AG807</f>
        <v>133</v>
      </c>
      <c r="AJ807" s="46" t="n">
        <f aca="false">IF(AH807&gt;0,1,0)</f>
        <v>0</v>
      </c>
    </row>
    <row r="808" customFormat="false" ht="15" hidden="false" customHeight="false" outlineLevel="0" collapsed="false">
      <c r="A808" s="31" t="str">
        <f aca="false">Inputs!$B$87</f>
        <v>CLN-011</v>
      </c>
      <c r="B808" s="46" t="n">
        <f aca="false">B807+1</f>
        <v>92</v>
      </c>
      <c r="C808" s="46" t="n">
        <f aca="false">MATCH(A808,Inputs!$B$40:$B$87,0)</f>
        <v>48</v>
      </c>
      <c r="D808" s="32" t="n">
        <f aca="false">INDEX(Inputs!$F$40:$F$87,C808)</f>
        <v>1</v>
      </c>
      <c r="E808" s="78" t="n">
        <f aca="false">INDEX(Inputs!$H$40:$H$87,C808)</f>
        <v>14</v>
      </c>
      <c r="F808" s="78" t="n">
        <f aca="false">INDEX(Inputs!$G$40:$G$87,C808)</f>
        <v>35</v>
      </c>
      <c r="G808" s="32" t="n">
        <f aca="false">INDEX(Inputs!$I$40:$I$87,C808)</f>
        <v>12</v>
      </c>
      <c r="H808" s="46" t="n">
        <f aca="false">MATCH(A808,Demand_History!$C:$C,0)+B808-1</f>
        <v>4981</v>
      </c>
      <c r="I808" s="32" t="n">
        <f aca="false">INDEX(Forecast_Walkforward!$C:$C,H808)</f>
        <v>39</v>
      </c>
      <c r="J808" s="79" t="n">
        <f aca="false">INDEX(Forecast_Walkforward!$E:$E,H808)</f>
        <v>36.25</v>
      </c>
      <c r="K808" s="33" t="n">
        <f aca="false">Baseline_Weeks*J808</f>
        <v>145</v>
      </c>
      <c r="L808" s="46" t="n">
        <f aca="false">SUMIFS(P$805:P807,$B$805:$B807,$B808-$D808)</f>
        <v>0</v>
      </c>
      <c r="M808" s="46" t="n">
        <f aca="false">S807+L808</f>
        <v>133</v>
      </c>
      <c r="N808" s="46" t="n">
        <f aca="false">SUMIFS(P$805:P807,$B$805:$B807,"&gt;"&amp;($B808-$D808))</f>
        <v>0</v>
      </c>
      <c r="O808" s="46" t="n">
        <f aca="false">M808+N808</f>
        <v>133</v>
      </c>
      <c r="P808" s="47" t="n">
        <f aca="false">IF(O808&lt;K808,ROUNDUP((K808-O808)/G808,0)*G808,0)</f>
        <v>12</v>
      </c>
      <c r="Q808" s="46" t="n">
        <f aca="false">MIN(M808,I808)</f>
        <v>39</v>
      </c>
      <c r="R808" s="46" t="n">
        <f aca="false">I808-Q808</f>
        <v>0</v>
      </c>
      <c r="S808" s="46" t="n">
        <f aca="false">M808-Q808</f>
        <v>94</v>
      </c>
      <c r="T808" s="46" t="n">
        <f aca="false">IF(R808&gt;0,1,0)</f>
        <v>0</v>
      </c>
      <c r="U808" s="32" t="n">
        <f aca="false">INDEX(Forecast!$AY$7:$AY$54,C808)</f>
        <v>2</v>
      </c>
      <c r="V808" s="33" t="n">
        <f aca="false">CHOOSE(U808,INDEX(Forecast_Walkforward!$D:$D,H808),INDEX(Forecast_Walkforward!$E:$E,H808),INDEX(Forecast_Walkforward!$F:$F,H808),INDEX(Forecast_Walkforward!$G:$G,H808))</f>
        <v>36.25</v>
      </c>
      <c r="W808" s="79" t="n">
        <f aca="false">INDEX(Forecast!$BA$7:$BA$54,C808)</f>
        <v>5.02776979185997</v>
      </c>
      <c r="X808" s="33" t="n">
        <f aca="false">Z_Value*W808*SQRT(D808)</f>
        <v>8.26994537761792</v>
      </c>
      <c r="Y808" s="33" t="n">
        <f aca="false">V808*D808+X808</f>
        <v>44.5199453776179</v>
      </c>
      <c r="Z808" s="33" t="n">
        <f aca="false">SQRT((2*V808*Weeks_Per_Year*F808)/(E808*Holding_Rate))</f>
        <v>217.082933460924</v>
      </c>
      <c r="AA808" s="46" t="n">
        <f aca="false">ROUNDUP(Z808/G808,0)*G808</f>
        <v>228</v>
      </c>
      <c r="AB808" s="46" t="n">
        <f aca="false">SUMIFS(AF$805:AF807,$B$805:$B807,$B808-$D808)</f>
        <v>0</v>
      </c>
      <c r="AC808" s="46" t="n">
        <f aca="false">AI807+AB808</f>
        <v>133</v>
      </c>
      <c r="AD808" s="46" t="n">
        <f aca="false">SUMIFS(AF$805:AF807,$B$805:$B807,"&gt;"&amp;($B808-$D808))</f>
        <v>0</v>
      </c>
      <c r="AE808" s="46" t="n">
        <f aca="false">AC808+AD808</f>
        <v>133</v>
      </c>
      <c r="AF808" s="47" t="n">
        <f aca="false">IF(AE808&lt;=Y808,AA808,0)</f>
        <v>0</v>
      </c>
      <c r="AG808" s="46" t="n">
        <f aca="false">MIN(AC808,I808)</f>
        <v>39</v>
      </c>
      <c r="AH808" s="46" t="n">
        <f aca="false">I808-AG808</f>
        <v>0</v>
      </c>
      <c r="AI808" s="46" t="n">
        <f aca="false">AC808-AG808</f>
        <v>94</v>
      </c>
      <c r="AJ808" s="46" t="n">
        <f aca="false">IF(AH808&gt;0,1,0)</f>
        <v>0</v>
      </c>
    </row>
    <row r="809" customFormat="false" ht="15" hidden="false" customHeight="false" outlineLevel="0" collapsed="false">
      <c r="A809" s="31" t="str">
        <f aca="false">Inputs!$B$87</f>
        <v>CLN-011</v>
      </c>
      <c r="B809" s="46" t="n">
        <f aca="false">B808+1</f>
        <v>93</v>
      </c>
      <c r="C809" s="46" t="n">
        <f aca="false">MATCH(A809,Inputs!$B$40:$B$87,0)</f>
        <v>48</v>
      </c>
      <c r="D809" s="32" t="n">
        <f aca="false">INDEX(Inputs!$F$40:$F$87,C809)</f>
        <v>1</v>
      </c>
      <c r="E809" s="78" t="n">
        <f aca="false">INDEX(Inputs!$H$40:$H$87,C809)</f>
        <v>14</v>
      </c>
      <c r="F809" s="78" t="n">
        <f aca="false">INDEX(Inputs!$G$40:$G$87,C809)</f>
        <v>35</v>
      </c>
      <c r="G809" s="32" t="n">
        <f aca="false">INDEX(Inputs!$I$40:$I$87,C809)</f>
        <v>12</v>
      </c>
      <c r="H809" s="46" t="n">
        <f aca="false">MATCH(A809,Demand_History!$C:$C,0)+B809-1</f>
        <v>4982</v>
      </c>
      <c r="I809" s="32" t="n">
        <f aca="false">INDEX(Forecast_Walkforward!$C:$C,H809)</f>
        <v>42</v>
      </c>
      <c r="J809" s="79" t="n">
        <f aca="false">INDEX(Forecast_Walkforward!$E:$E,H809)</f>
        <v>36.25</v>
      </c>
      <c r="K809" s="33" t="n">
        <f aca="false">Baseline_Weeks*J809</f>
        <v>145</v>
      </c>
      <c r="L809" s="46" t="n">
        <f aca="false">SUMIFS(P$805:P808,$B$805:$B808,$B809-$D809)</f>
        <v>12</v>
      </c>
      <c r="M809" s="46" t="n">
        <f aca="false">S808+L809</f>
        <v>106</v>
      </c>
      <c r="N809" s="46" t="n">
        <f aca="false">SUMIFS(P$805:P808,$B$805:$B808,"&gt;"&amp;($B809-$D809))</f>
        <v>0</v>
      </c>
      <c r="O809" s="46" t="n">
        <f aca="false">M809+N809</f>
        <v>106</v>
      </c>
      <c r="P809" s="47" t="n">
        <f aca="false">IF(O809&lt;K809,ROUNDUP((K809-O809)/G809,0)*G809,0)</f>
        <v>48</v>
      </c>
      <c r="Q809" s="46" t="n">
        <f aca="false">MIN(M809,I809)</f>
        <v>42</v>
      </c>
      <c r="R809" s="46" t="n">
        <f aca="false">I809-Q809</f>
        <v>0</v>
      </c>
      <c r="S809" s="46" t="n">
        <f aca="false">M809-Q809</f>
        <v>64</v>
      </c>
      <c r="T809" s="46" t="n">
        <f aca="false">IF(R809&gt;0,1,0)</f>
        <v>0</v>
      </c>
      <c r="U809" s="32" t="n">
        <f aca="false">INDEX(Forecast!$AY$7:$AY$54,C809)</f>
        <v>2</v>
      </c>
      <c r="V809" s="33" t="n">
        <f aca="false">CHOOSE(U809,INDEX(Forecast_Walkforward!$D:$D,H809),INDEX(Forecast_Walkforward!$E:$E,H809),INDEX(Forecast_Walkforward!$F:$F,H809),INDEX(Forecast_Walkforward!$G:$G,H809))</f>
        <v>36.25</v>
      </c>
      <c r="W809" s="79" t="n">
        <f aca="false">INDEX(Forecast!$BA$7:$BA$54,C809)</f>
        <v>5.02776979185997</v>
      </c>
      <c r="X809" s="33" t="n">
        <f aca="false">Z_Value*W809*SQRT(D809)</f>
        <v>8.26994537761792</v>
      </c>
      <c r="Y809" s="33" t="n">
        <f aca="false">V809*D809+X809</f>
        <v>44.5199453776179</v>
      </c>
      <c r="Z809" s="33" t="n">
        <f aca="false">SQRT((2*V809*Weeks_Per_Year*F809)/(E809*Holding_Rate))</f>
        <v>217.082933460924</v>
      </c>
      <c r="AA809" s="46" t="n">
        <f aca="false">ROUNDUP(Z809/G809,0)*G809</f>
        <v>228</v>
      </c>
      <c r="AB809" s="46" t="n">
        <f aca="false">SUMIFS(AF$805:AF808,$B$805:$B808,$B809-$D809)</f>
        <v>0</v>
      </c>
      <c r="AC809" s="46" t="n">
        <f aca="false">AI808+AB809</f>
        <v>94</v>
      </c>
      <c r="AD809" s="46" t="n">
        <f aca="false">SUMIFS(AF$805:AF808,$B$805:$B808,"&gt;"&amp;($B809-$D809))</f>
        <v>0</v>
      </c>
      <c r="AE809" s="46" t="n">
        <f aca="false">AC809+AD809</f>
        <v>94</v>
      </c>
      <c r="AF809" s="47" t="n">
        <f aca="false">IF(AE809&lt;=Y809,AA809,0)</f>
        <v>0</v>
      </c>
      <c r="AG809" s="46" t="n">
        <f aca="false">MIN(AC809,I809)</f>
        <v>42</v>
      </c>
      <c r="AH809" s="46" t="n">
        <f aca="false">I809-AG809</f>
        <v>0</v>
      </c>
      <c r="AI809" s="46" t="n">
        <f aca="false">AC809-AG809</f>
        <v>52</v>
      </c>
      <c r="AJ809" s="46" t="n">
        <f aca="false">IF(AH809&gt;0,1,0)</f>
        <v>0</v>
      </c>
    </row>
    <row r="810" customFormat="false" ht="15" hidden="false" customHeight="false" outlineLevel="0" collapsed="false">
      <c r="A810" s="31" t="str">
        <f aca="false">Inputs!$B$87</f>
        <v>CLN-011</v>
      </c>
      <c r="B810" s="46" t="n">
        <f aca="false">B809+1</f>
        <v>94</v>
      </c>
      <c r="C810" s="46" t="n">
        <f aca="false">MATCH(A810,Inputs!$B$40:$B$87,0)</f>
        <v>48</v>
      </c>
      <c r="D810" s="32" t="n">
        <f aca="false">INDEX(Inputs!$F$40:$F$87,C810)</f>
        <v>1</v>
      </c>
      <c r="E810" s="78" t="n">
        <f aca="false">INDEX(Inputs!$H$40:$H$87,C810)</f>
        <v>14</v>
      </c>
      <c r="F810" s="78" t="n">
        <f aca="false">INDEX(Inputs!$G$40:$G$87,C810)</f>
        <v>35</v>
      </c>
      <c r="G810" s="32" t="n">
        <f aca="false">INDEX(Inputs!$I$40:$I$87,C810)</f>
        <v>12</v>
      </c>
      <c r="H810" s="46" t="n">
        <f aca="false">MATCH(A810,Demand_History!$C:$C,0)+B810-1</f>
        <v>4983</v>
      </c>
      <c r="I810" s="32" t="n">
        <f aca="false">INDEX(Forecast_Walkforward!$C:$C,H810)</f>
        <v>39</v>
      </c>
      <c r="J810" s="79" t="n">
        <f aca="false">INDEX(Forecast_Walkforward!$E:$E,H810)</f>
        <v>35.75</v>
      </c>
      <c r="K810" s="33" t="n">
        <f aca="false">Baseline_Weeks*J810</f>
        <v>143</v>
      </c>
      <c r="L810" s="46" t="n">
        <f aca="false">SUMIFS(P$805:P809,$B$805:$B809,$B810-$D810)</f>
        <v>48</v>
      </c>
      <c r="M810" s="46" t="n">
        <f aca="false">S809+L810</f>
        <v>112</v>
      </c>
      <c r="N810" s="46" t="n">
        <f aca="false">SUMIFS(P$805:P809,$B$805:$B809,"&gt;"&amp;($B810-$D810))</f>
        <v>0</v>
      </c>
      <c r="O810" s="46" t="n">
        <f aca="false">M810+N810</f>
        <v>112</v>
      </c>
      <c r="P810" s="47" t="n">
        <f aca="false">IF(O810&lt;K810,ROUNDUP((K810-O810)/G810,0)*G810,0)</f>
        <v>36</v>
      </c>
      <c r="Q810" s="46" t="n">
        <f aca="false">MIN(M810,I810)</f>
        <v>39</v>
      </c>
      <c r="R810" s="46" t="n">
        <f aca="false">I810-Q810</f>
        <v>0</v>
      </c>
      <c r="S810" s="46" t="n">
        <f aca="false">M810-Q810</f>
        <v>73</v>
      </c>
      <c r="T810" s="46" t="n">
        <f aca="false">IF(R810&gt;0,1,0)</f>
        <v>0</v>
      </c>
      <c r="U810" s="32" t="n">
        <f aca="false">INDEX(Forecast!$AY$7:$AY$54,C810)</f>
        <v>2</v>
      </c>
      <c r="V810" s="33" t="n">
        <f aca="false">CHOOSE(U810,INDEX(Forecast_Walkforward!$D:$D,H810),INDEX(Forecast_Walkforward!$E:$E,H810),INDEX(Forecast_Walkforward!$F:$F,H810),INDEX(Forecast_Walkforward!$G:$G,H810))</f>
        <v>35.75</v>
      </c>
      <c r="W810" s="79" t="n">
        <f aca="false">INDEX(Forecast!$BA$7:$BA$54,C810)</f>
        <v>5.02776979185997</v>
      </c>
      <c r="X810" s="33" t="n">
        <f aca="false">Z_Value*W810*SQRT(D810)</f>
        <v>8.26994537761792</v>
      </c>
      <c r="Y810" s="33" t="n">
        <f aca="false">V810*D810+X810</f>
        <v>44.0199453776179</v>
      </c>
      <c r="Z810" s="33" t="n">
        <f aca="false">SQRT((2*V810*Weeks_Per_Year*F810)/(E810*Holding_Rate))</f>
        <v>215.580611373101</v>
      </c>
      <c r="AA810" s="46" t="n">
        <f aca="false">ROUNDUP(Z810/G810,0)*G810</f>
        <v>216</v>
      </c>
      <c r="AB810" s="46" t="n">
        <f aca="false">SUMIFS(AF$805:AF809,$B$805:$B809,$B810-$D810)</f>
        <v>0</v>
      </c>
      <c r="AC810" s="46" t="n">
        <f aca="false">AI809+AB810</f>
        <v>52</v>
      </c>
      <c r="AD810" s="46" t="n">
        <f aca="false">SUMIFS(AF$805:AF809,$B$805:$B809,"&gt;"&amp;($B810-$D810))</f>
        <v>0</v>
      </c>
      <c r="AE810" s="46" t="n">
        <f aca="false">AC810+AD810</f>
        <v>52</v>
      </c>
      <c r="AF810" s="47" t="n">
        <f aca="false">IF(AE810&lt;=Y810,AA810,0)</f>
        <v>0</v>
      </c>
      <c r="AG810" s="46" t="n">
        <f aca="false">MIN(AC810,I810)</f>
        <v>39</v>
      </c>
      <c r="AH810" s="46" t="n">
        <f aca="false">I810-AG810</f>
        <v>0</v>
      </c>
      <c r="AI810" s="46" t="n">
        <f aca="false">AC810-AG810</f>
        <v>13</v>
      </c>
      <c r="AJ810" s="46" t="n">
        <f aca="false">IF(AH810&gt;0,1,0)</f>
        <v>0</v>
      </c>
    </row>
    <row r="811" customFormat="false" ht="15" hidden="false" customHeight="false" outlineLevel="0" collapsed="false">
      <c r="A811" s="31" t="str">
        <f aca="false">Inputs!$B$87</f>
        <v>CLN-011</v>
      </c>
      <c r="B811" s="46" t="n">
        <f aca="false">B810+1</f>
        <v>95</v>
      </c>
      <c r="C811" s="46" t="n">
        <f aca="false">MATCH(A811,Inputs!$B$40:$B$87,0)</f>
        <v>48</v>
      </c>
      <c r="D811" s="32" t="n">
        <f aca="false">INDEX(Inputs!$F$40:$F$87,C811)</f>
        <v>1</v>
      </c>
      <c r="E811" s="78" t="n">
        <f aca="false">INDEX(Inputs!$H$40:$H$87,C811)</f>
        <v>14</v>
      </c>
      <c r="F811" s="78" t="n">
        <f aca="false">INDEX(Inputs!$G$40:$G$87,C811)</f>
        <v>35</v>
      </c>
      <c r="G811" s="32" t="n">
        <f aca="false">INDEX(Inputs!$I$40:$I$87,C811)</f>
        <v>12</v>
      </c>
      <c r="H811" s="46" t="n">
        <f aca="false">MATCH(A811,Demand_History!$C:$C,0)+B811-1</f>
        <v>4984</v>
      </c>
      <c r="I811" s="32" t="n">
        <f aca="false">INDEX(Forecast_Walkforward!$C:$C,H811)</f>
        <v>36</v>
      </c>
      <c r="J811" s="79" t="n">
        <f aca="false">INDEX(Forecast_Walkforward!$E:$E,H811)</f>
        <v>37</v>
      </c>
      <c r="K811" s="33" t="n">
        <f aca="false">Baseline_Weeks*J811</f>
        <v>148</v>
      </c>
      <c r="L811" s="46" t="n">
        <f aca="false">SUMIFS(P$805:P810,$B$805:$B810,$B811-$D811)</f>
        <v>36</v>
      </c>
      <c r="M811" s="46" t="n">
        <f aca="false">S810+L811</f>
        <v>109</v>
      </c>
      <c r="N811" s="46" t="n">
        <f aca="false">SUMIFS(P$805:P810,$B$805:$B810,"&gt;"&amp;($B811-$D811))</f>
        <v>0</v>
      </c>
      <c r="O811" s="46" t="n">
        <f aca="false">M811+N811</f>
        <v>109</v>
      </c>
      <c r="P811" s="47" t="n">
        <f aca="false">IF(O811&lt;K811,ROUNDUP((K811-O811)/G811,0)*G811,0)</f>
        <v>48</v>
      </c>
      <c r="Q811" s="46" t="n">
        <f aca="false">MIN(M811,I811)</f>
        <v>36</v>
      </c>
      <c r="R811" s="46" t="n">
        <f aca="false">I811-Q811</f>
        <v>0</v>
      </c>
      <c r="S811" s="46" t="n">
        <f aca="false">M811-Q811</f>
        <v>73</v>
      </c>
      <c r="T811" s="46" t="n">
        <f aca="false">IF(R811&gt;0,1,0)</f>
        <v>0</v>
      </c>
      <c r="U811" s="32" t="n">
        <f aca="false">INDEX(Forecast!$AY$7:$AY$54,C811)</f>
        <v>2</v>
      </c>
      <c r="V811" s="33" t="n">
        <f aca="false">CHOOSE(U811,INDEX(Forecast_Walkforward!$D:$D,H811),INDEX(Forecast_Walkforward!$E:$E,H811),INDEX(Forecast_Walkforward!$F:$F,H811),INDEX(Forecast_Walkforward!$G:$G,H811))</f>
        <v>37</v>
      </c>
      <c r="W811" s="79" t="n">
        <f aca="false">INDEX(Forecast!$BA$7:$BA$54,C811)</f>
        <v>5.02776979185997</v>
      </c>
      <c r="X811" s="33" t="n">
        <f aca="false">Z_Value*W811*SQRT(D811)</f>
        <v>8.26994537761792</v>
      </c>
      <c r="Y811" s="33" t="n">
        <f aca="false">V811*D811+X811</f>
        <v>45.2699453776179</v>
      </c>
      <c r="Z811" s="33" t="n">
        <f aca="false">SQRT((2*V811*Weeks_Per_Year*F811)/(E811*Holding_Rate))</f>
        <v>219.317121994613</v>
      </c>
      <c r="AA811" s="46" t="n">
        <f aca="false">ROUNDUP(Z811/G811,0)*G811</f>
        <v>228</v>
      </c>
      <c r="AB811" s="46" t="n">
        <f aca="false">SUMIFS(AF$805:AF810,$B$805:$B810,$B811-$D811)</f>
        <v>0</v>
      </c>
      <c r="AC811" s="46" t="n">
        <f aca="false">AI810+AB811</f>
        <v>13</v>
      </c>
      <c r="AD811" s="46" t="n">
        <f aca="false">SUMIFS(AF$805:AF810,$B$805:$B810,"&gt;"&amp;($B811-$D811))</f>
        <v>0</v>
      </c>
      <c r="AE811" s="46" t="n">
        <f aca="false">AC811+AD811</f>
        <v>13</v>
      </c>
      <c r="AF811" s="47" t="n">
        <f aca="false">IF(AE811&lt;=Y811,AA811,0)</f>
        <v>228</v>
      </c>
      <c r="AG811" s="46" t="n">
        <f aca="false">MIN(AC811,I811)</f>
        <v>13</v>
      </c>
      <c r="AH811" s="46" t="n">
        <f aca="false">I811-AG811</f>
        <v>23</v>
      </c>
      <c r="AI811" s="46" t="n">
        <f aca="false">AC811-AG811</f>
        <v>0</v>
      </c>
      <c r="AJ811" s="46" t="n">
        <f aca="false">IF(AH811&gt;0,1,0)</f>
        <v>1</v>
      </c>
    </row>
    <row r="812" customFormat="false" ht="15" hidden="false" customHeight="false" outlineLevel="0" collapsed="false">
      <c r="A812" s="31" t="str">
        <f aca="false">Inputs!$B$87</f>
        <v>CLN-011</v>
      </c>
      <c r="B812" s="46" t="n">
        <f aca="false">B811+1</f>
        <v>96</v>
      </c>
      <c r="C812" s="46" t="n">
        <f aca="false">MATCH(A812,Inputs!$B$40:$B$87,0)</f>
        <v>48</v>
      </c>
      <c r="D812" s="32" t="n">
        <f aca="false">INDEX(Inputs!$F$40:$F$87,C812)</f>
        <v>1</v>
      </c>
      <c r="E812" s="78" t="n">
        <f aca="false">INDEX(Inputs!$H$40:$H$87,C812)</f>
        <v>14</v>
      </c>
      <c r="F812" s="78" t="n">
        <f aca="false">INDEX(Inputs!$G$40:$G$87,C812)</f>
        <v>35</v>
      </c>
      <c r="G812" s="32" t="n">
        <f aca="false">INDEX(Inputs!$I$40:$I$87,C812)</f>
        <v>12</v>
      </c>
      <c r="H812" s="46" t="n">
        <f aca="false">MATCH(A812,Demand_History!$C:$C,0)+B812-1</f>
        <v>4985</v>
      </c>
      <c r="I812" s="32" t="n">
        <f aca="false">INDEX(Forecast_Walkforward!$C:$C,H812)</f>
        <v>42</v>
      </c>
      <c r="J812" s="79" t="n">
        <f aca="false">INDEX(Forecast_Walkforward!$E:$E,H812)</f>
        <v>39</v>
      </c>
      <c r="K812" s="33" t="n">
        <f aca="false">Baseline_Weeks*J812</f>
        <v>156</v>
      </c>
      <c r="L812" s="46" t="n">
        <f aca="false">SUMIFS(P$805:P811,$B$805:$B811,$B812-$D812)</f>
        <v>48</v>
      </c>
      <c r="M812" s="46" t="n">
        <f aca="false">S811+L812</f>
        <v>121</v>
      </c>
      <c r="N812" s="46" t="n">
        <f aca="false">SUMIFS(P$805:P811,$B$805:$B811,"&gt;"&amp;($B812-$D812))</f>
        <v>0</v>
      </c>
      <c r="O812" s="46" t="n">
        <f aca="false">M812+N812</f>
        <v>121</v>
      </c>
      <c r="P812" s="47" t="n">
        <f aca="false">IF(O812&lt;K812,ROUNDUP((K812-O812)/G812,0)*G812,0)</f>
        <v>36</v>
      </c>
      <c r="Q812" s="46" t="n">
        <f aca="false">MIN(M812,I812)</f>
        <v>42</v>
      </c>
      <c r="R812" s="46" t="n">
        <f aca="false">I812-Q812</f>
        <v>0</v>
      </c>
      <c r="S812" s="46" t="n">
        <f aca="false">M812-Q812</f>
        <v>79</v>
      </c>
      <c r="T812" s="46" t="n">
        <f aca="false">IF(R812&gt;0,1,0)</f>
        <v>0</v>
      </c>
      <c r="U812" s="32" t="n">
        <f aca="false">INDEX(Forecast!$AY$7:$AY$54,C812)</f>
        <v>2</v>
      </c>
      <c r="V812" s="33" t="n">
        <f aca="false">CHOOSE(U812,INDEX(Forecast_Walkforward!$D:$D,H812),INDEX(Forecast_Walkforward!$E:$E,H812),INDEX(Forecast_Walkforward!$F:$F,H812),INDEX(Forecast_Walkforward!$G:$G,H812))</f>
        <v>39</v>
      </c>
      <c r="W812" s="79" t="n">
        <f aca="false">INDEX(Forecast!$BA$7:$BA$54,C812)</f>
        <v>5.02776979185997</v>
      </c>
      <c r="X812" s="33" t="n">
        <f aca="false">Z_Value*W812*SQRT(D812)</f>
        <v>8.26994537761792</v>
      </c>
      <c r="Y812" s="33" t="n">
        <f aca="false">V812*D812+X812</f>
        <v>47.2699453776179</v>
      </c>
      <c r="Z812" s="33" t="n">
        <f aca="false">SQRT((2*V812*Weeks_Per_Year*F812)/(E812*Holding_Rate))</f>
        <v>225.166604983954</v>
      </c>
      <c r="AA812" s="46" t="n">
        <f aca="false">ROUNDUP(Z812/G812,0)*G812</f>
        <v>228</v>
      </c>
      <c r="AB812" s="46" t="n">
        <f aca="false">SUMIFS(AF$805:AF811,$B$805:$B811,$B812-$D812)</f>
        <v>228</v>
      </c>
      <c r="AC812" s="46" t="n">
        <f aca="false">AI811+AB812</f>
        <v>228</v>
      </c>
      <c r="AD812" s="46" t="n">
        <f aca="false">SUMIFS(AF$805:AF811,$B$805:$B811,"&gt;"&amp;($B812-$D812))</f>
        <v>0</v>
      </c>
      <c r="AE812" s="46" t="n">
        <f aca="false">AC812+AD812</f>
        <v>228</v>
      </c>
      <c r="AF812" s="47" t="n">
        <f aca="false">IF(AE812&lt;=Y812,AA812,0)</f>
        <v>0</v>
      </c>
      <c r="AG812" s="46" t="n">
        <f aca="false">MIN(AC812,I812)</f>
        <v>42</v>
      </c>
      <c r="AH812" s="46" t="n">
        <f aca="false">I812-AG812</f>
        <v>0</v>
      </c>
      <c r="AI812" s="46" t="n">
        <f aca="false">AC812-AG812</f>
        <v>186</v>
      </c>
      <c r="AJ812" s="46" t="n">
        <f aca="false">IF(AH812&gt;0,1,0)</f>
        <v>0</v>
      </c>
    </row>
    <row r="813" customFormat="false" ht="15" hidden="false" customHeight="false" outlineLevel="0" collapsed="false">
      <c r="A813" s="31" t="str">
        <f aca="false">Inputs!$B$87</f>
        <v>CLN-011</v>
      </c>
      <c r="B813" s="46" t="n">
        <f aca="false">B812+1</f>
        <v>97</v>
      </c>
      <c r="C813" s="46" t="n">
        <f aca="false">MATCH(A813,Inputs!$B$40:$B$87,0)</f>
        <v>48</v>
      </c>
      <c r="D813" s="32" t="n">
        <f aca="false">INDEX(Inputs!$F$40:$F$87,C813)</f>
        <v>1</v>
      </c>
      <c r="E813" s="78" t="n">
        <f aca="false">INDEX(Inputs!$H$40:$H$87,C813)</f>
        <v>14</v>
      </c>
      <c r="F813" s="78" t="n">
        <f aca="false">INDEX(Inputs!$G$40:$G$87,C813)</f>
        <v>35</v>
      </c>
      <c r="G813" s="32" t="n">
        <f aca="false">INDEX(Inputs!$I$40:$I$87,C813)</f>
        <v>12</v>
      </c>
      <c r="H813" s="46" t="n">
        <f aca="false">MATCH(A813,Demand_History!$C:$C,0)+B813-1</f>
        <v>4986</v>
      </c>
      <c r="I813" s="32" t="n">
        <f aca="false">INDEX(Forecast_Walkforward!$C:$C,H813)</f>
        <v>48</v>
      </c>
      <c r="J813" s="79" t="n">
        <f aca="false">INDEX(Forecast_Walkforward!$E:$E,H813)</f>
        <v>39.75</v>
      </c>
      <c r="K813" s="33" t="n">
        <f aca="false">Baseline_Weeks*J813</f>
        <v>159</v>
      </c>
      <c r="L813" s="46" t="n">
        <f aca="false">SUMIFS(P$805:P812,$B$805:$B812,$B813-$D813)</f>
        <v>36</v>
      </c>
      <c r="M813" s="46" t="n">
        <f aca="false">S812+L813</f>
        <v>115</v>
      </c>
      <c r="N813" s="46" t="n">
        <f aca="false">SUMIFS(P$805:P812,$B$805:$B812,"&gt;"&amp;($B813-$D813))</f>
        <v>0</v>
      </c>
      <c r="O813" s="46" t="n">
        <f aca="false">M813+N813</f>
        <v>115</v>
      </c>
      <c r="P813" s="47" t="n">
        <f aca="false">IF(O813&lt;K813,ROUNDUP((K813-O813)/G813,0)*G813,0)</f>
        <v>48</v>
      </c>
      <c r="Q813" s="46" t="n">
        <f aca="false">MIN(M813,I813)</f>
        <v>48</v>
      </c>
      <c r="R813" s="46" t="n">
        <f aca="false">I813-Q813</f>
        <v>0</v>
      </c>
      <c r="S813" s="46" t="n">
        <f aca="false">M813-Q813</f>
        <v>67</v>
      </c>
      <c r="T813" s="46" t="n">
        <f aca="false">IF(R813&gt;0,1,0)</f>
        <v>0</v>
      </c>
      <c r="U813" s="32" t="n">
        <f aca="false">INDEX(Forecast!$AY$7:$AY$54,C813)</f>
        <v>2</v>
      </c>
      <c r="V813" s="33" t="n">
        <f aca="false">CHOOSE(U813,INDEX(Forecast_Walkforward!$D:$D,H813),INDEX(Forecast_Walkforward!$E:$E,H813),INDEX(Forecast_Walkforward!$F:$F,H813),INDEX(Forecast_Walkforward!$G:$G,H813))</f>
        <v>39.75</v>
      </c>
      <c r="W813" s="79" t="n">
        <f aca="false">INDEX(Forecast!$BA$7:$BA$54,C813)</f>
        <v>5.02776979185997</v>
      </c>
      <c r="X813" s="33" t="n">
        <f aca="false">Z_Value*W813*SQRT(D813)</f>
        <v>8.26994537761792</v>
      </c>
      <c r="Y813" s="33" t="n">
        <f aca="false">V813*D813+X813</f>
        <v>48.0199453776179</v>
      </c>
      <c r="Z813" s="33" t="n">
        <f aca="false">SQRT((2*V813*Weeks_Per_Year*F813)/(E813*Holding_Rate))</f>
        <v>227.321358433386</v>
      </c>
      <c r="AA813" s="46" t="n">
        <f aca="false">ROUNDUP(Z813/G813,0)*G813</f>
        <v>228</v>
      </c>
      <c r="AB813" s="46" t="n">
        <f aca="false">SUMIFS(AF$805:AF812,$B$805:$B812,$B813-$D813)</f>
        <v>0</v>
      </c>
      <c r="AC813" s="46" t="n">
        <f aca="false">AI812+AB813</f>
        <v>186</v>
      </c>
      <c r="AD813" s="46" t="n">
        <f aca="false">SUMIFS(AF$805:AF812,$B$805:$B812,"&gt;"&amp;($B813-$D813))</f>
        <v>0</v>
      </c>
      <c r="AE813" s="46" t="n">
        <f aca="false">AC813+AD813</f>
        <v>186</v>
      </c>
      <c r="AF813" s="47" t="n">
        <f aca="false">IF(AE813&lt;=Y813,AA813,0)</f>
        <v>0</v>
      </c>
      <c r="AG813" s="46" t="n">
        <f aca="false">MIN(AC813,I813)</f>
        <v>48</v>
      </c>
      <c r="AH813" s="46" t="n">
        <f aca="false">I813-AG813</f>
        <v>0</v>
      </c>
      <c r="AI813" s="46" t="n">
        <f aca="false">AC813-AG813</f>
        <v>138</v>
      </c>
      <c r="AJ813" s="46" t="n">
        <f aca="false">IF(AH813&gt;0,1,0)</f>
        <v>0</v>
      </c>
    </row>
    <row r="814" customFormat="false" ht="15" hidden="false" customHeight="false" outlineLevel="0" collapsed="false">
      <c r="A814" s="31" t="str">
        <f aca="false">Inputs!$B$87</f>
        <v>CLN-011</v>
      </c>
      <c r="B814" s="46" t="n">
        <f aca="false">B813+1</f>
        <v>98</v>
      </c>
      <c r="C814" s="46" t="n">
        <f aca="false">MATCH(A814,Inputs!$B$40:$B$87,0)</f>
        <v>48</v>
      </c>
      <c r="D814" s="32" t="n">
        <f aca="false">INDEX(Inputs!$F$40:$F$87,C814)</f>
        <v>1</v>
      </c>
      <c r="E814" s="78" t="n">
        <f aca="false">INDEX(Inputs!$H$40:$H$87,C814)</f>
        <v>14</v>
      </c>
      <c r="F814" s="78" t="n">
        <f aca="false">INDEX(Inputs!$G$40:$G$87,C814)</f>
        <v>35</v>
      </c>
      <c r="G814" s="32" t="n">
        <f aca="false">INDEX(Inputs!$I$40:$I$87,C814)</f>
        <v>12</v>
      </c>
      <c r="H814" s="46" t="n">
        <f aca="false">MATCH(A814,Demand_History!$C:$C,0)+B814-1</f>
        <v>4987</v>
      </c>
      <c r="I814" s="32" t="n">
        <f aca="false">INDEX(Forecast_Walkforward!$C:$C,H814)</f>
        <v>40</v>
      </c>
      <c r="J814" s="79" t="n">
        <f aca="false">INDEX(Forecast_Walkforward!$E:$E,H814)</f>
        <v>41.25</v>
      </c>
      <c r="K814" s="33" t="n">
        <f aca="false">Baseline_Weeks*J814</f>
        <v>165</v>
      </c>
      <c r="L814" s="46" t="n">
        <f aca="false">SUMIFS(P$805:P813,$B$805:$B813,$B814-$D814)</f>
        <v>48</v>
      </c>
      <c r="M814" s="46" t="n">
        <f aca="false">S813+L814</f>
        <v>115</v>
      </c>
      <c r="N814" s="46" t="n">
        <f aca="false">SUMIFS(P$805:P813,$B$805:$B813,"&gt;"&amp;($B814-$D814))</f>
        <v>0</v>
      </c>
      <c r="O814" s="46" t="n">
        <f aca="false">M814+N814</f>
        <v>115</v>
      </c>
      <c r="P814" s="47" t="n">
        <f aca="false">IF(O814&lt;K814,ROUNDUP((K814-O814)/G814,0)*G814,0)</f>
        <v>60</v>
      </c>
      <c r="Q814" s="46" t="n">
        <f aca="false">MIN(M814,I814)</f>
        <v>40</v>
      </c>
      <c r="R814" s="46" t="n">
        <f aca="false">I814-Q814</f>
        <v>0</v>
      </c>
      <c r="S814" s="46" t="n">
        <f aca="false">M814-Q814</f>
        <v>75</v>
      </c>
      <c r="T814" s="46" t="n">
        <f aca="false">IF(R814&gt;0,1,0)</f>
        <v>0</v>
      </c>
      <c r="U814" s="32" t="n">
        <f aca="false">INDEX(Forecast!$AY$7:$AY$54,C814)</f>
        <v>2</v>
      </c>
      <c r="V814" s="33" t="n">
        <f aca="false">CHOOSE(U814,INDEX(Forecast_Walkforward!$D:$D,H814),INDEX(Forecast_Walkforward!$E:$E,H814),INDEX(Forecast_Walkforward!$F:$F,H814),INDEX(Forecast_Walkforward!$G:$G,H814))</f>
        <v>41.25</v>
      </c>
      <c r="W814" s="79" t="n">
        <f aca="false">INDEX(Forecast!$BA$7:$BA$54,C814)</f>
        <v>5.02776979185997</v>
      </c>
      <c r="X814" s="33" t="n">
        <f aca="false">Z_Value*W814*SQRT(D814)</f>
        <v>8.26994537761792</v>
      </c>
      <c r="Y814" s="33" t="n">
        <f aca="false">V814*D814+X814</f>
        <v>49.5199453776179</v>
      </c>
      <c r="Z814" s="33" t="n">
        <f aca="false">SQRT((2*V814*Weeks_Per_Year*F814)/(E814*Holding_Rate))</f>
        <v>231.570723538188</v>
      </c>
      <c r="AA814" s="46" t="n">
        <f aca="false">ROUNDUP(Z814/G814,0)*G814</f>
        <v>240</v>
      </c>
      <c r="AB814" s="46" t="n">
        <f aca="false">SUMIFS(AF$805:AF813,$B$805:$B813,$B814-$D814)</f>
        <v>0</v>
      </c>
      <c r="AC814" s="46" t="n">
        <f aca="false">AI813+AB814</f>
        <v>138</v>
      </c>
      <c r="AD814" s="46" t="n">
        <f aca="false">SUMIFS(AF$805:AF813,$B$805:$B813,"&gt;"&amp;($B814-$D814))</f>
        <v>0</v>
      </c>
      <c r="AE814" s="46" t="n">
        <f aca="false">AC814+AD814</f>
        <v>138</v>
      </c>
      <c r="AF814" s="47" t="n">
        <f aca="false">IF(AE814&lt;=Y814,AA814,0)</f>
        <v>0</v>
      </c>
      <c r="AG814" s="46" t="n">
        <f aca="false">MIN(AC814,I814)</f>
        <v>40</v>
      </c>
      <c r="AH814" s="46" t="n">
        <f aca="false">I814-AG814</f>
        <v>0</v>
      </c>
      <c r="AI814" s="46" t="n">
        <f aca="false">AC814-AG814</f>
        <v>98</v>
      </c>
      <c r="AJ814" s="46" t="n">
        <f aca="false">IF(AH814&gt;0,1,0)</f>
        <v>0</v>
      </c>
    </row>
    <row r="815" customFormat="false" ht="15" hidden="false" customHeight="false" outlineLevel="0" collapsed="false">
      <c r="A815" s="31" t="str">
        <f aca="false">Inputs!$B$87</f>
        <v>CLN-011</v>
      </c>
      <c r="B815" s="46" t="n">
        <f aca="false">B814+1</f>
        <v>99</v>
      </c>
      <c r="C815" s="46" t="n">
        <f aca="false">MATCH(A815,Inputs!$B$40:$B$87,0)</f>
        <v>48</v>
      </c>
      <c r="D815" s="32" t="n">
        <f aca="false">INDEX(Inputs!$F$40:$F$87,C815)</f>
        <v>1</v>
      </c>
      <c r="E815" s="78" t="n">
        <f aca="false">INDEX(Inputs!$H$40:$H$87,C815)</f>
        <v>14</v>
      </c>
      <c r="F815" s="78" t="n">
        <f aca="false">INDEX(Inputs!$G$40:$G$87,C815)</f>
        <v>35</v>
      </c>
      <c r="G815" s="32" t="n">
        <f aca="false">INDEX(Inputs!$I$40:$I$87,C815)</f>
        <v>12</v>
      </c>
      <c r="H815" s="46" t="n">
        <f aca="false">MATCH(A815,Demand_History!$C:$C,0)+B815-1</f>
        <v>4988</v>
      </c>
      <c r="I815" s="32" t="n">
        <f aca="false">INDEX(Forecast_Walkforward!$C:$C,H815)</f>
        <v>37</v>
      </c>
      <c r="J815" s="79" t="n">
        <f aca="false">INDEX(Forecast_Walkforward!$E:$E,H815)</f>
        <v>41.5</v>
      </c>
      <c r="K815" s="33" t="n">
        <f aca="false">Baseline_Weeks*J815</f>
        <v>166</v>
      </c>
      <c r="L815" s="46" t="n">
        <f aca="false">SUMIFS(P$805:P814,$B$805:$B814,$B815-$D815)</f>
        <v>60</v>
      </c>
      <c r="M815" s="46" t="n">
        <f aca="false">S814+L815</f>
        <v>135</v>
      </c>
      <c r="N815" s="46" t="n">
        <f aca="false">SUMIFS(P$805:P814,$B$805:$B814,"&gt;"&amp;($B815-$D815))</f>
        <v>0</v>
      </c>
      <c r="O815" s="46" t="n">
        <f aca="false">M815+N815</f>
        <v>135</v>
      </c>
      <c r="P815" s="47" t="n">
        <f aca="false">IF(O815&lt;K815,ROUNDUP((K815-O815)/G815,0)*G815,0)</f>
        <v>36</v>
      </c>
      <c r="Q815" s="46" t="n">
        <f aca="false">MIN(M815,I815)</f>
        <v>37</v>
      </c>
      <c r="R815" s="46" t="n">
        <f aca="false">I815-Q815</f>
        <v>0</v>
      </c>
      <c r="S815" s="46" t="n">
        <f aca="false">M815-Q815</f>
        <v>98</v>
      </c>
      <c r="T815" s="46" t="n">
        <f aca="false">IF(R815&gt;0,1,0)</f>
        <v>0</v>
      </c>
      <c r="U815" s="32" t="n">
        <f aca="false">INDEX(Forecast!$AY$7:$AY$54,C815)</f>
        <v>2</v>
      </c>
      <c r="V815" s="33" t="n">
        <f aca="false">CHOOSE(U815,INDEX(Forecast_Walkforward!$D:$D,H815),INDEX(Forecast_Walkforward!$E:$E,H815),INDEX(Forecast_Walkforward!$F:$F,H815),INDEX(Forecast_Walkforward!$G:$G,H815))</f>
        <v>41.5</v>
      </c>
      <c r="W815" s="79" t="n">
        <f aca="false">INDEX(Forecast!$BA$7:$BA$54,C815)</f>
        <v>5.02776979185997</v>
      </c>
      <c r="X815" s="33" t="n">
        <f aca="false">Z_Value*W815*SQRT(D815)</f>
        <v>8.26994537761792</v>
      </c>
      <c r="Y815" s="33" t="n">
        <f aca="false">V815*D815+X815</f>
        <v>49.7699453776179</v>
      </c>
      <c r="Z815" s="33" t="n">
        <f aca="false">SQRT((2*V815*Weeks_Per_Year*F815)/(E815*Holding_Rate))</f>
        <v>232.271392986739</v>
      </c>
      <c r="AA815" s="46" t="n">
        <f aca="false">ROUNDUP(Z815/G815,0)*G815</f>
        <v>240</v>
      </c>
      <c r="AB815" s="46" t="n">
        <f aca="false">SUMIFS(AF$805:AF814,$B$805:$B814,$B815-$D815)</f>
        <v>0</v>
      </c>
      <c r="AC815" s="46" t="n">
        <f aca="false">AI814+AB815</f>
        <v>98</v>
      </c>
      <c r="AD815" s="46" t="n">
        <f aca="false">SUMIFS(AF$805:AF814,$B$805:$B814,"&gt;"&amp;($B815-$D815))</f>
        <v>0</v>
      </c>
      <c r="AE815" s="46" t="n">
        <f aca="false">AC815+AD815</f>
        <v>98</v>
      </c>
      <c r="AF815" s="47" t="n">
        <f aca="false">IF(AE815&lt;=Y815,AA815,0)</f>
        <v>0</v>
      </c>
      <c r="AG815" s="46" t="n">
        <f aca="false">MIN(AC815,I815)</f>
        <v>37</v>
      </c>
      <c r="AH815" s="46" t="n">
        <f aca="false">I815-AG815</f>
        <v>0</v>
      </c>
      <c r="AI815" s="46" t="n">
        <f aca="false">AC815-AG815</f>
        <v>61</v>
      </c>
      <c r="AJ815" s="46" t="n">
        <f aca="false">IF(AH815&gt;0,1,0)</f>
        <v>0</v>
      </c>
    </row>
    <row r="816" customFormat="false" ht="15" hidden="false" customHeight="false" outlineLevel="0" collapsed="false">
      <c r="A816" s="31" t="str">
        <f aca="false">Inputs!$B$87</f>
        <v>CLN-011</v>
      </c>
      <c r="B816" s="46" t="n">
        <f aca="false">B815+1</f>
        <v>100</v>
      </c>
      <c r="C816" s="46" t="n">
        <f aca="false">MATCH(A816,Inputs!$B$40:$B$87,0)</f>
        <v>48</v>
      </c>
      <c r="D816" s="32" t="n">
        <f aca="false">INDEX(Inputs!$F$40:$F$87,C816)</f>
        <v>1</v>
      </c>
      <c r="E816" s="78" t="n">
        <f aca="false">INDEX(Inputs!$H$40:$H$87,C816)</f>
        <v>14</v>
      </c>
      <c r="F816" s="78" t="n">
        <f aca="false">INDEX(Inputs!$G$40:$G$87,C816)</f>
        <v>35</v>
      </c>
      <c r="G816" s="32" t="n">
        <f aca="false">INDEX(Inputs!$I$40:$I$87,C816)</f>
        <v>12</v>
      </c>
      <c r="H816" s="46" t="n">
        <f aca="false">MATCH(A816,Demand_History!$C:$C,0)+B816-1</f>
        <v>4989</v>
      </c>
      <c r="I816" s="32" t="n">
        <f aca="false">INDEX(Forecast_Walkforward!$C:$C,H816)</f>
        <v>37</v>
      </c>
      <c r="J816" s="79" t="n">
        <f aca="false">INDEX(Forecast_Walkforward!$E:$E,H816)</f>
        <v>41.75</v>
      </c>
      <c r="K816" s="33" t="n">
        <f aca="false">Baseline_Weeks*J816</f>
        <v>167</v>
      </c>
      <c r="L816" s="46" t="n">
        <f aca="false">SUMIFS(P$805:P815,$B$805:$B815,$B816-$D816)</f>
        <v>36</v>
      </c>
      <c r="M816" s="46" t="n">
        <f aca="false">S815+L816</f>
        <v>134</v>
      </c>
      <c r="N816" s="46" t="n">
        <f aca="false">SUMIFS(P$805:P815,$B$805:$B815,"&gt;"&amp;($B816-$D816))</f>
        <v>0</v>
      </c>
      <c r="O816" s="46" t="n">
        <f aca="false">M816+N816</f>
        <v>134</v>
      </c>
      <c r="P816" s="47" t="n">
        <f aca="false">IF(O816&lt;K816,ROUNDUP((K816-O816)/G816,0)*G816,0)</f>
        <v>36</v>
      </c>
      <c r="Q816" s="46" t="n">
        <f aca="false">MIN(M816,I816)</f>
        <v>37</v>
      </c>
      <c r="R816" s="46" t="n">
        <f aca="false">I816-Q816</f>
        <v>0</v>
      </c>
      <c r="S816" s="46" t="n">
        <f aca="false">M816-Q816</f>
        <v>97</v>
      </c>
      <c r="T816" s="46" t="n">
        <f aca="false">IF(R816&gt;0,1,0)</f>
        <v>0</v>
      </c>
      <c r="U816" s="32" t="n">
        <f aca="false">INDEX(Forecast!$AY$7:$AY$54,C816)</f>
        <v>2</v>
      </c>
      <c r="V816" s="33" t="n">
        <f aca="false">CHOOSE(U816,INDEX(Forecast_Walkforward!$D:$D,H816),INDEX(Forecast_Walkforward!$E:$E,H816),INDEX(Forecast_Walkforward!$F:$F,H816),INDEX(Forecast_Walkforward!$G:$G,H816))</f>
        <v>41.75</v>
      </c>
      <c r="W816" s="79" t="n">
        <f aca="false">INDEX(Forecast!$BA$7:$BA$54,C816)</f>
        <v>5.02776979185997</v>
      </c>
      <c r="X816" s="33" t="n">
        <f aca="false">Z_Value*W816*SQRT(D816)</f>
        <v>8.26994537761792</v>
      </c>
      <c r="Y816" s="33" t="n">
        <f aca="false">V816*D816+X816</f>
        <v>50.0199453776179</v>
      </c>
      <c r="Z816" s="33" t="n">
        <f aca="false">SQRT((2*V816*Weeks_Per_Year*F816)/(E816*Holding_Rate))</f>
        <v>232.969955144435</v>
      </c>
      <c r="AA816" s="46" t="n">
        <f aca="false">ROUNDUP(Z816/G816,0)*G816</f>
        <v>240</v>
      </c>
      <c r="AB816" s="46" t="n">
        <f aca="false">SUMIFS(AF$805:AF815,$B$805:$B815,$B816-$D816)</f>
        <v>0</v>
      </c>
      <c r="AC816" s="46" t="n">
        <f aca="false">AI815+AB816</f>
        <v>61</v>
      </c>
      <c r="AD816" s="46" t="n">
        <f aca="false">SUMIFS(AF$805:AF815,$B$805:$B815,"&gt;"&amp;($B816-$D816))</f>
        <v>0</v>
      </c>
      <c r="AE816" s="46" t="n">
        <f aca="false">AC816+AD816</f>
        <v>61</v>
      </c>
      <c r="AF816" s="47" t="n">
        <f aca="false">IF(AE816&lt;=Y816,AA816,0)</f>
        <v>0</v>
      </c>
      <c r="AG816" s="46" t="n">
        <f aca="false">MIN(AC816,I816)</f>
        <v>37</v>
      </c>
      <c r="AH816" s="46" t="n">
        <f aca="false">I816-AG816</f>
        <v>0</v>
      </c>
      <c r="AI816" s="46" t="n">
        <f aca="false">AC816-AG816</f>
        <v>24</v>
      </c>
      <c r="AJ816" s="46" t="n">
        <f aca="false">IF(AH816&gt;0,1,0)</f>
        <v>0</v>
      </c>
    </row>
    <row r="817" customFormat="false" ht="15" hidden="false" customHeight="false" outlineLevel="0" collapsed="false">
      <c r="A817" s="31" t="str">
        <f aca="false">Inputs!$B$87</f>
        <v>CLN-011</v>
      </c>
      <c r="B817" s="46" t="n">
        <f aca="false">B816+1</f>
        <v>101</v>
      </c>
      <c r="C817" s="46" t="n">
        <f aca="false">MATCH(A817,Inputs!$B$40:$B$87,0)</f>
        <v>48</v>
      </c>
      <c r="D817" s="32" t="n">
        <f aca="false">INDEX(Inputs!$F$40:$F$87,C817)</f>
        <v>1</v>
      </c>
      <c r="E817" s="78" t="n">
        <f aca="false">INDEX(Inputs!$H$40:$H$87,C817)</f>
        <v>14</v>
      </c>
      <c r="F817" s="78" t="n">
        <f aca="false">INDEX(Inputs!$G$40:$G$87,C817)</f>
        <v>35</v>
      </c>
      <c r="G817" s="32" t="n">
        <f aca="false">INDEX(Inputs!$I$40:$I$87,C817)</f>
        <v>12</v>
      </c>
      <c r="H817" s="46" t="n">
        <f aca="false">MATCH(A817,Demand_History!$C:$C,0)+B817-1</f>
        <v>4990</v>
      </c>
      <c r="I817" s="32" t="n">
        <f aca="false">INDEX(Forecast_Walkforward!$C:$C,H817)</f>
        <v>48</v>
      </c>
      <c r="J817" s="79" t="n">
        <f aca="false">INDEX(Forecast_Walkforward!$E:$E,H817)</f>
        <v>40.5</v>
      </c>
      <c r="K817" s="33" t="n">
        <f aca="false">Baseline_Weeks*J817</f>
        <v>162</v>
      </c>
      <c r="L817" s="46" t="n">
        <f aca="false">SUMIFS(P$805:P816,$B$805:$B816,$B817-$D817)</f>
        <v>36</v>
      </c>
      <c r="M817" s="46" t="n">
        <f aca="false">S816+L817</f>
        <v>133</v>
      </c>
      <c r="N817" s="46" t="n">
        <f aca="false">SUMIFS(P$805:P816,$B$805:$B816,"&gt;"&amp;($B817-$D817))</f>
        <v>0</v>
      </c>
      <c r="O817" s="46" t="n">
        <f aca="false">M817+N817</f>
        <v>133</v>
      </c>
      <c r="P817" s="47" t="n">
        <f aca="false">IF(O817&lt;K817,ROUNDUP((K817-O817)/G817,0)*G817,0)</f>
        <v>36</v>
      </c>
      <c r="Q817" s="46" t="n">
        <f aca="false">MIN(M817,I817)</f>
        <v>48</v>
      </c>
      <c r="R817" s="46" t="n">
        <f aca="false">I817-Q817</f>
        <v>0</v>
      </c>
      <c r="S817" s="46" t="n">
        <f aca="false">M817-Q817</f>
        <v>85</v>
      </c>
      <c r="T817" s="46" t="n">
        <f aca="false">IF(R817&gt;0,1,0)</f>
        <v>0</v>
      </c>
      <c r="U817" s="32" t="n">
        <f aca="false">INDEX(Forecast!$AY$7:$AY$54,C817)</f>
        <v>2</v>
      </c>
      <c r="V817" s="33" t="n">
        <f aca="false">CHOOSE(U817,INDEX(Forecast_Walkforward!$D:$D,H817),INDEX(Forecast_Walkforward!$E:$E,H817),INDEX(Forecast_Walkforward!$F:$F,H817),INDEX(Forecast_Walkforward!$G:$G,H817))</f>
        <v>40.5</v>
      </c>
      <c r="W817" s="79" t="n">
        <f aca="false">INDEX(Forecast!$BA$7:$BA$54,C817)</f>
        <v>5.02776979185997</v>
      </c>
      <c r="X817" s="33" t="n">
        <f aca="false">Z_Value*W817*SQRT(D817)</f>
        <v>8.26994537761792</v>
      </c>
      <c r="Y817" s="33" t="n">
        <f aca="false">V817*D817+X817</f>
        <v>48.7699453776179</v>
      </c>
      <c r="Z817" s="33" t="n">
        <f aca="false">SQRT((2*V817*Weeks_Per_Year*F817)/(E817*Holding_Rate))</f>
        <v>229.455878111675</v>
      </c>
      <c r="AA817" s="46" t="n">
        <f aca="false">ROUNDUP(Z817/G817,0)*G817</f>
        <v>240</v>
      </c>
      <c r="AB817" s="46" t="n">
        <f aca="false">SUMIFS(AF$805:AF816,$B$805:$B816,$B817-$D817)</f>
        <v>0</v>
      </c>
      <c r="AC817" s="46" t="n">
        <f aca="false">AI816+AB817</f>
        <v>24</v>
      </c>
      <c r="AD817" s="46" t="n">
        <f aca="false">SUMIFS(AF$805:AF816,$B$805:$B816,"&gt;"&amp;($B817-$D817))</f>
        <v>0</v>
      </c>
      <c r="AE817" s="46" t="n">
        <f aca="false">AC817+AD817</f>
        <v>24</v>
      </c>
      <c r="AF817" s="47" t="n">
        <f aca="false">IF(AE817&lt;=Y817,AA817,0)</f>
        <v>240</v>
      </c>
      <c r="AG817" s="46" t="n">
        <f aca="false">MIN(AC817,I817)</f>
        <v>24</v>
      </c>
      <c r="AH817" s="46" t="n">
        <f aca="false">I817-AG817</f>
        <v>24</v>
      </c>
      <c r="AI817" s="46" t="n">
        <f aca="false">AC817-AG817</f>
        <v>0</v>
      </c>
      <c r="AJ817" s="46" t="n">
        <f aca="false">IF(AH817&gt;0,1,0)</f>
        <v>1</v>
      </c>
    </row>
    <row r="818" customFormat="false" ht="15" hidden="false" customHeight="false" outlineLevel="0" collapsed="false">
      <c r="A818" s="31" t="str">
        <f aca="false">Inputs!$B$87</f>
        <v>CLN-011</v>
      </c>
      <c r="B818" s="46" t="n">
        <f aca="false">B817+1</f>
        <v>102</v>
      </c>
      <c r="C818" s="46" t="n">
        <f aca="false">MATCH(A818,Inputs!$B$40:$B$87,0)</f>
        <v>48</v>
      </c>
      <c r="D818" s="32" t="n">
        <f aca="false">INDEX(Inputs!$F$40:$F$87,C818)</f>
        <v>1</v>
      </c>
      <c r="E818" s="78" t="n">
        <f aca="false">INDEX(Inputs!$H$40:$H$87,C818)</f>
        <v>14</v>
      </c>
      <c r="F818" s="78" t="n">
        <f aca="false">INDEX(Inputs!$G$40:$G$87,C818)</f>
        <v>35</v>
      </c>
      <c r="G818" s="32" t="n">
        <f aca="false">INDEX(Inputs!$I$40:$I$87,C818)</f>
        <v>12</v>
      </c>
      <c r="H818" s="46" t="n">
        <f aca="false">MATCH(A818,Demand_History!$C:$C,0)+B818-1</f>
        <v>4991</v>
      </c>
      <c r="I818" s="32" t="n">
        <f aca="false">INDEX(Forecast_Walkforward!$C:$C,H818)</f>
        <v>40</v>
      </c>
      <c r="J818" s="79" t="n">
        <f aca="false">INDEX(Forecast_Walkforward!$E:$E,H818)</f>
        <v>40.5</v>
      </c>
      <c r="K818" s="33" t="n">
        <f aca="false">Baseline_Weeks*J818</f>
        <v>162</v>
      </c>
      <c r="L818" s="46" t="n">
        <f aca="false">SUMIFS(P$805:P817,$B$805:$B817,$B818-$D818)</f>
        <v>36</v>
      </c>
      <c r="M818" s="46" t="n">
        <f aca="false">S817+L818</f>
        <v>121</v>
      </c>
      <c r="N818" s="46" t="n">
        <f aca="false">SUMIFS(P$805:P817,$B$805:$B817,"&gt;"&amp;($B818-$D818))</f>
        <v>0</v>
      </c>
      <c r="O818" s="46" t="n">
        <f aca="false">M818+N818</f>
        <v>121</v>
      </c>
      <c r="P818" s="47" t="n">
        <f aca="false">IF(O818&lt;K818,ROUNDUP((K818-O818)/G818,0)*G818,0)</f>
        <v>48</v>
      </c>
      <c r="Q818" s="46" t="n">
        <f aca="false">MIN(M818,I818)</f>
        <v>40</v>
      </c>
      <c r="R818" s="46" t="n">
        <f aca="false">I818-Q818</f>
        <v>0</v>
      </c>
      <c r="S818" s="46" t="n">
        <f aca="false">M818-Q818</f>
        <v>81</v>
      </c>
      <c r="T818" s="46" t="n">
        <f aca="false">IF(R818&gt;0,1,0)</f>
        <v>0</v>
      </c>
      <c r="U818" s="32" t="n">
        <f aca="false">INDEX(Forecast!$AY$7:$AY$54,C818)</f>
        <v>2</v>
      </c>
      <c r="V818" s="33" t="n">
        <f aca="false">CHOOSE(U818,INDEX(Forecast_Walkforward!$D:$D,H818),INDEX(Forecast_Walkforward!$E:$E,H818),INDEX(Forecast_Walkforward!$F:$F,H818),INDEX(Forecast_Walkforward!$G:$G,H818))</f>
        <v>40.5</v>
      </c>
      <c r="W818" s="79" t="n">
        <f aca="false">INDEX(Forecast!$BA$7:$BA$54,C818)</f>
        <v>5.02776979185997</v>
      </c>
      <c r="X818" s="33" t="n">
        <f aca="false">Z_Value*W818*SQRT(D818)</f>
        <v>8.26994537761792</v>
      </c>
      <c r="Y818" s="33" t="n">
        <f aca="false">V818*D818+X818</f>
        <v>48.7699453776179</v>
      </c>
      <c r="Z818" s="33" t="n">
        <f aca="false">SQRT((2*V818*Weeks_Per_Year*F818)/(E818*Holding_Rate))</f>
        <v>229.455878111675</v>
      </c>
      <c r="AA818" s="46" t="n">
        <f aca="false">ROUNDUP(Z818/G818,0)*G818</f>
        <v>240</v>
      </c>
      <c r="AB818" s="46" t="n">
        <f aca="false">SUMIFS(AF$805:AF817,$B$805:$B817,$B818-$D818)</f>
        <v>240</v>
      </c>
      <c r="AC818" s="46" t="n">
        <f aca="false">AI817+AB818</f>
        <v>240</v>
      </c>
      <c r="AD818" s="46" t="n">
        <f aca="false">SUMIFS(AF$805:AF817,$B$805:$B817,"&gt;"&amp;($B818-$D818))</f>
        <v>0</v>
      </c>
      <c r="AE818" s="46" t="n">
        <f aca="false">AC818+AD818</f>
        <v>240</v>
      </c>
      <c r="AF818" s="47" t="n">
        <f aca="false">IF(AE818&lt;=Y818,AA818,0)</f>
        <v>0</v>
      </c>
      <c r="AG818" s="46" t="n">
        <f aca="false">MIN(AC818,I818)</f>
        <v>40</v>
      </c>
      <c r="AH818" s="46" t="n">
        <f aca="false">I818-AG818</f>
        <v>0</v>
      </c>
      <c r="AI818" s="46" t="n">
        <f aca="false">AC818-AG818</f>
        <v>200</v>
      </c>
      <c r="AJ818" s="46" t="n">
        <f aca="false">IF(AH818&gt;0,1,0)</f>
        <v>0</v>
      </c>
    </row>
    <row r="819" customFormat="false" ht="15" hidden="false" customHeight="false" outlineLevel="0" collapsed="false">
      <c r="A819" s="31" t="str">
        <f aca="false">Inputs!$B$87</f>
        <v>CLN-011</v>
      </c>
      <c r="B819" s="46" t="n">
        <f aca="false">B818+1</f>
        <v>103</v>
      </c>
      <c r="C819" s="46" t="n">
        <f aca="false">MATCH(A819,Inputs!$B$40:$B$87,0)</f>
        <v>48</v>
      </c>
      <c r="D819" s="32" t="n">
        <f aca="false">INDEX(Inputs!$F$40:$F$87,C819)</f>
        <v>1</v>
      </c>
      <c r="E819" s="78" t="n">
        <f aca="false">INDEX(Inputs!$H$40:$H$87,C819)</f>
        <v>14</v>
      </c>
      <c r="F819" s="78" t="n">
        <f aca="false">INDEX(Inputs!$G$40:$G$87,C819)</f>
        <v>35</v>
      </c>
      <c r="G819" s="32" t="n">
        <f aca="false">INDEX(Inputs!$I$40:$I$87,C819)</f>
        <v>12</v>
      </c>
      <c r="H819" s="46" t="n">
        <f aca="false">MATCH(A819,Demand_History!$C:$C,0)+B819-1</f>
        <v>4992</v>
      </c>
      <c r="I819" s="32" t="n">
        <f aca="false">INDEX(Forecast_Walkforward!$C:$C,H819)</f>
        <v>42</v>
      </c>
      <c r="J819" s="79" t="n">
        <f aca="false">INDEX(Forecast_Walkforward!$E:$E,H819)</f>
        <v>40.5</v>
      </c>
      <c r="K819" s="33" t="n">
        <f aca="false">Baseline_Weeks*J819</f>
        <v>162</v>
      </c>
      <c r="L819" s="46" t="n">
        <f aca="false">SUMIFS(P$805:P818,$B$805:$B818,$B819-$D819)</f>
        <v>48</v>
      </c>
      <c r="M819" s="46" t="n">
        <f aca="false">S818+L819</f>
        <v>129</v>
      </c>
      <c r="N819" s="46" t="n">
        <f aca="false">SUMIFS(P$805:P818,$B$805:$B818,"&gt;"&amp;($B819-$D819))</f>
        <v>0</v>
      </c>
      <c r="O819" s="46" t="n">
        <f aca="false">M819+N819</f>
        <v>129</v>
      </c>
      <c r="P819" s="47" t="n">
        <f aca="false">IF(O819&lt;K819,ROUNDUP((K819-O819)/G819,0)*G819,0)</f>
        <v>36</v>
      </c>
      <c r="Q819" s="46" t="n">
        <f aca="false">MIN(M819,I819)</f>
        <v>42</v>
      </c>
      <c r="R819" s="46" t="n">
        <f aca="false">I819-Q819</f>
        <v>0</v>
      </c>
      <c r="S819" s="46" t="n">
        <f aca="false">M819-Q819</f>
        <v>87</v>
      </c>
      <c r="T819" s="46" t="n">
        <f aca="false">IF(R819&gt;0,1,0)</f>
        <v>0</v>
      </c>
      <c r="U819" s="32" t="n">
        <f aca="false">INDEX(Forecast!$AY$7:$AY$54,C819)</f>
        <v>2</v>
      </c>
      <c r="V819" s="33" t="n">
        <f aca="false">CHOOSE(U819,INDEX(Forecast_Walkforward!$D:$D,H819),INDEX(Forecast_Walkforward!$E:$E,H819),INDEX(Forecast_Walkforward!$F:$F,H819),INDEX(Forecast_Walkforward!$G:$G,H819))</f>
        <v>40.5</v>
      </c>
      <c r="W819" s="79" t="n">
        <f aca="false">INDEX(Forecast!$BA$7:$BA$54,C819)</f>
        <v>5.02776979185997</v>
      </c>
      <c r="X819" s="33" t="n">
        <f aca="false">Z_Value*W819*SQRT(D819)</f>
        <v>8.26994537761792</v>
      </c>
      <c r="Y819" s="33" t="n">
        <f aca="false">V819*D819+X819</f>
        <v>48.7699453776179</v>
      </c>
      <c r="Z819" s="33" t="n">
        <f aca="false">SQRT((2*V819*Weeks_Per_Year*F819)/(E819*Holding_Rate))</f>
        <v>229.455878111675</v>
      </c>
      <c r="AA819" s="46" t="n">
        <f aca="false">ROUNDUP(Z819/G819,0)*G819</f>
        <v>240</v>
      </c>
      <c r="AB819" s="46" t="n">
        <f aca="false">SUMIFS(AF$805:AF818,$B$805:$B818,$B819-$D819)</f>
        <v>0</v>
      </c>
      <c r="AC819" s="46" t="n">
        <f aca="false">AI818+AB819</f>
        <v>200</v>
      </c>
      <c r="AD819" s="46" t="n">
        <f aca="false">SUMIFS(AF$805:AF818,$B$805:$B818,"&gt;"&amp;($B819-$D819))</f>
        <v>0</v>
      </c>
      <c r="AE819" s="46" t="n">
        <f aca="false">AC819+AD819</f>
        <v>200</v>
      </c>
      <c r="AF819" s="47" t="n">
        <f aca="false">IF(AE819&lt;=Y819,AA819,0)</f>
        <v>0</v>
      </c>
      <c r="AG819" s="46" t="n">
        <f aca="false">MIN(AC819,I819)</f>
        <v>42</v>
      </c>
      <c r="AH819" s="46" t="n">
        <f aca="false">I819-AG819</f>
        <v>0</v>
      </c>
      <c r="AI819" s="46" t="n">
        <f aca="false">AC819-AG819</f>
        <v>158</v>
      </c>
      <c r="AJ819" s="46" t="n">
        <f aca="false">IF(AH819&gt;0,1,0)</f>
        <v>0</v>
      </c>
    </row>
    <row r="820" customFormat="false" ht="15" hidden="false" customHeight="false" outlineLevel="0" collapsed="false">
      <c r="A820" s="80" t="str">
        <f aca="false">Inputs!$B$87</f>
        <v>CLN-011</v>
      </c>
      <c r="B820" s="81" t="n">
        <f aca="false">B819+1</f>
        <v>104</v>
      </c>
      <c r="C820" s="81" t="n">
        <f aca="false">MATCH(A820,Inputs!$B$40:$B$87,0)</f>
        <v>48</v>
      </c>
      <c r="D820" s="82" t="n">
        <f aca="false">INDEX(Inputs!$F$40:$F$87,C820)</f>
        <v>1</v>
      </c>
      <c r="E820" s="83" t="n">
        <f aca="false">INDEX(Inputs!$H$40:$H$87,C820)</f>
        <v>14</v>
      </c>
      <c r="F820" s="83" t="n">
        <f aca="false">INDEX(Inputs!$G$40:$G$87,C820)</f>
        <v>35</v>
      </c>
      <c r="G820" s="82" t="n">
        <f aca="false">INDEX(Inputs!$I$40:$I$87,C820)</f>
        <v>12</v>
      </c>
      <c r="H820" s="81" t="n">
        <f aca="false">MATCH(A820,Demand_History!$C:$C,0)+B820-1</f>
        <v>4993</v>
      </c>
      <c r="I820" s="82" t="n">
        <f aca="false">INDEX(Forecast_Walkforward!$C:$C,H820)</f>
        <v>45</v>
      </c>
      <c r="J820" s="84" t="n">
        <f aca="false">INDEX(Forecast_Walkforward!$E:$E,H820)</f>
        <v>41.75</v>
      </c>
      <c r="K820" s="85" t="n">
        <f aca="false">Baseline_Weeks*J820</f>
        <v>167</v>
      </c>
      <c r="L820" s="81" t="n">
        <f aca="false">SUMIFS(P$805:P819,$B$805:$B819,$B820-$D820)</f>
        <v>36</v>
      </c>
      <c r="M820" s="81" t="n">
        <f aca="false">S819+L820</f>
        <v>123</v>
      </c>
      <c r="N820" s="81" t="n">
        <f aca="false">SUMIFS(P$805:P819,$B$805:$B819,"&gt;"&amp;($B820-$D820))</f>
        <v>0</v>
      </c>
      <c r="O820" s="81" t="n">
        <f aca="false">M820+N820</f>
        <v>123</v>
      </c>
      <c r="P820" s="86" t="n">
        <f aca="false">IF(O820&lt;K820,ROUNDUP((K820-O820)/G820,0)*G820,0)</f>
        <v>48</v>
      </c>
      <c r="Q820" s="81" t="n">
        <f aca="false">MIN(M820,I820)</f>
        <v>45</v>
      </c>
      <c r="R820" s="81" t="n">
        <f aca="false">I820-Q820</f>
        <v>0</v>
      </c>
      <c r="S820" s="81" t="n">
        <f aca="false">M820-Q820</f>
        <v>78</v>
      </c>
      <c r="T820" s="81" t="n">
        <f aca="false">IF(R820&gt;0,1,0)</f>
        <v>0</v>
      </c>
      <c r="U820" s="82" t="n">
        <f aca="false">INDEX(Forecast!$AY$7:$AY$54,C820)</f>
        <v>2</v>
      </c>
      <c r="V820" s="85" t="n">
        <f aca="false">CHOOSE(U820,INDEX(Forecast_Walkforward!$D:$D,H820),INDEX(Forecast_Walkforward!$E:$E,H820),INDEX(Forecast_Walkforward!$F:$F,H820),INDEX(Forecast_Walkforward!$G:$G,H820))</f>
        <v>41.75</v>
      </c>
      <c r="W820" s="84" t="n">
        <f aca="false">INDEX(Forecast!$BA$7:$BA$54,C820)</f>
        <v>5.02776979185997</v>
      </c>
      <c r="X820" s="85" t="n">
        <f aca="false">Z_Value*W820*SQRT(D820)</f>
        <v>8.26994537761792</v>
      </c>
      <c r="Y820" s="85" t="n">
        <f aca="false">V820*D820+X820</f>
        <v>50.0199453776179</v>
      </c>
      <c r="Z820" s="85" t="n">
        <f aca="false">SQRT((2*V820*Weeks_Per_Year*F820)/(E820*Holding_Rate))</f>
        <v>232.969955144435</v>
      </c>
      <c r="AA820" s="81" t="n">
        <f aca="false">ROUNDUP(Z820/G820,0)*G820</f>
        <v>240</v>
      </c>
      <c r="AB820" s="81" t="n">
        <f aca="false">SUMIFS(AF$805:AF819,$B$805:$B819,$B820-$D820)</f>
        <v>0</v>
      </c>
      <c r="AC820" s="81" t="n">
        <f aca="false">AI819+AB820</f>
        <v>158</v>
      </c>
      <c r="AD820" s="81" t="n">
        <f aca="false">SUMIFS(AF$805:AF819,$B$805:$B819,"&gt;"&amp;($B820-$D820))</f>
        <v>0</v>
      </c>
      <c r="AE820" s="81" t="n">
        <f aca="false">AC820+AD820</f>
        <v>158</v>
      </c>
      <c r="AF820" s="86" t="n">
        <f aca="false">IF(AE820&lt;=Y820,AA820,0)</f>
        <v>0</v>
      </c>
      <c r="AG820" s="81" t="n">
        <f aca="false">MIN(AC820,I820)</f>
        <v>45</v>
      </c>
      <c r="AH820" s="81" t="n">
        <f aca="false">I820-AG820</f>
        <v>0</v>
      </c>
      <c r="AI820" s="81" t="n">
        <f aca="false">AC820-AG820</f>
        <v>113</v>
      </c>
      <c r="AJ820" s="81" t="n">
        <f aca="false">IF(AH820&gt;0,1,0)</f>
        <v>0</v>
      </c>
    </row>
  </sheetData>
  <mergeCells count="19">
    <mergeCell ref="A4:F4"/>
    <mergeCell ref="B5:F5"/>
    <mergeCell ref="B6:F6"/>
    <mergeCell ref="B7:F7"/>
    <mergeCell ref="B8:F8"/>
    <mergeCell ref="B9:F9"/>
    <mergeCell ref="B10:F10"/>
    <mergeCell ref="A12:F12"/>
    <mergeCell ref="E13:F13"/>
    <mergeCell ref="E14:F14"/>
    <mergeCell ref="E15:F15"/>
    <mergeCell ref="E16:F16"/>
    <mergeCell ref="E17:F17"/>
    <mergeCell ref="E18:F18"/>
    <mergeCell ref="A20:F21"/>
    <mergeCell ref="A23:I23"/>
    <mergeCell ref="A51:I51"/>
    <mergeCell ref="J51:T51"/>
    <mergeCell ref="U51:AJ51"/>
  </mergeCells>
  <dataValidations count="1">
    <dataValidation allowBlank="false" errorStyle="stop" operator="between" showDropDown="false" showErrorMessage="false" showInputMessage="false" sqref="B24" type="list">
      <formula1>Inputs!$B$40:$B$87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6"/>
    <col collapsed="false" customWidth="true" hidden="false" outlineLevel="0" max="3" min="3" style="0" width="18"/>
    <col collapsed="false" customWidth="true" hidden="false" outlineLevel="0" max="4" min="4" style="0" width="20"/>
    <col collapsed="false" customWidth="true" hidden="false" outlineLevel="0" max="5" min="5" style="0" width="13"/>
    <col collapsed="false" customWidth="true" hidden="false" outlineLevel="0" max="6" min="6" style="0" width="11"/>
    <col collapsed="false" customWidth="true" hidden="false" outlineLevel="0" max="7" min="7" style="0" width="9"/>
    <col collapsed="false" customWidth="true" hidden="false" outlineLevel="0" max="8" min="8" style="0" width="62"/>
  </cols>
  <sheetData>
    <row r="1" customFormat="false" ht="18.55" hidden="false" customHeight="false" outlineLevel="0" collapsed="false">
      <c r="A1" s="1" t="s">
        <v>627</v>
      </c>
    </row>
    <row r="2" customFormat="false" ht="15" hidden="false" customHeight="false" outlineLevel="0" collapsed="false">
      <c r="A2" s="2" t="s">
        <v>628</v>
      </c>
    </row>
    <row r="3" customFormat="false" ht="15" hidden="false" customHeight="false" outlineLevel="0" collapsed="false">
      <c r="A3" s="13" t="s">
        <v>629</v>
      </c>
      <c r="C3" s="87" t="str">
        <f aca="false">COUNTIF(G:G,"PASS")&amp;" of "&amp;(COUNTIF(G:G,"PASS")+COUNTIF(G:G,"FAIL"))</f>
        <v>94 of 94</v>
      </c>
    </row>
    <row r="5" customFormat="false" ht="15" hidden="false" customHeight="false" outlineLevel="0" collapsed="false">
      <c r="A5" s="4" t="s">
        <v>630</v>
      </c>
      <c r="B5" s="4"/>
      <c r="C5" s="4"/>
      <c r="D5" s="4"/>
      <c r="E5" s="4"/>
      <c r="F5" s="4"/>
      <c r="G5" s="4"/>
      <c r="H5" s="4"/>
    </row>
    <row r="6" customFormat="false" ht="31.5" hidden="false" customHeight="true" outlineLevel="0" collapsed="false">
      <c r="A6" s="6" t="s">
        <v>631</v>
      </c>
      <c r="B6" s="6" t="s">
        <v>632</v>
      </c>
      <c r="C6" s="6" t="s">
        <v>633</v>
      </c>
      <c r="D6" s="6" t="s">
        <v>634</v>
      </c>
      <c r="E6" s="6" t="s">
        <v>635</v>
      </c>
      <c r="F6" s="6" t="s">
        <v>636</v>
      </c>
      <c r="G6" s="6" t="s">
        <v>422</v>
      </c>
      <c r="H6" s="6" t="s">
        <v>637</v>
      </c>
    </row>
    <row r="7" customFormat="false" ht="15" hidden="false" customHeight="false" outlineLevel="0" collapsed="false">
      <c r="A7" s="12" t="s">
        <v>638</v>
      </c>
      <c r="B7" s="7" t="s">
        <v>483</v>
      </c>
      <c r="C7" s="88" t="n">
        <f aca="false">20*0.2</f>
        <v>4</v>
      </c>
      <c r="D7" s="89" t="n">
        <v>4</v>
      </c>
      <c r="E7" s="88" t="n">
        <f aca="false">C7-D7</f>
        <v>0</v>
      </c>
      <c r="F7" s="88" t="n">
        <v>0.0001</v>
      </c>
      <c r="G7" s="90" t="str">
        <f aca="false">IF(ABS(E7)&lt;=F7,"PASS","FAIL")</f>
        <v>PASS</v>
      </c>
      <c r="H7" s="7" t="s">
        <v>639</v>
      </c>
    </row>
    <row r="8" customFormat="false" ht="15" hidden="false" customHeight="false" outlineLevel="0" collapsed="false">
      <c r="A8" s="12" t="s">
        <v>638</v>
      </c>
      <c r="B8" s="7" t="s">
        <v>553</v>
      </c>
      <c r="C8" s="88" t="n">
        <f aca="false">SQRT((2*5200*40)/C7)</f>
        <v>322.490309931942</v>
      </c>
      <c r="D8" s="89" t="n">
        <v>322.49</v>
      </c>
      <c r="E8" s="88" t="n">
        <f aca="false">C8-D8</f>
        <v>0.000309931941956165</v>
      </c>
      <c r="F8" s="88" t="n">
        <v>0.01</v>
      </c>
      <c r="G8" s="90" t="str">
        <f aca="false">IF(ABS(E8)&lt;=F8,"PASS","FAIL")</f>
        <v>PASS</v>
      </c>
      <c r="H8" s="7" t="s">
        <v>640</v>
      </c>
    </row>
    <row r="9" customFormat="false" ht="15" hidden="false" customHeight="false" outlineLevel="0" collapsed="false">
      <c r="A9" s="12" t="s">
        <v>641</v>
      </c>
      <c r="B9" s="7" t="s">
        <v>642</v>
      </c>
      <c r="C9" s="88" t="n">
        <f aca="false">_xlfn.NORM.S.INV(0.95)</f>
        <v>1.64485362695147</v>
      </c>
      <c r="D9" s="89" t="n">
        <v>1.645</v>
      </c>
      <c r="E9" s="88" t="n">
        <f aca="false">C9-D9</f>
        <v>-0.000146373048528492</v>
      </c>
      <c r="F9" s="88" t="n">
        <v>0.001</v>
      </c>
      <c r="G9" s="90" t="str">
        <f aca="false">IF(ABS(E9)&lt;=F9,"PASS","FAIL")</f>
        <v>PASS</v>
      </c>
      <c r="H9" s="7" t="s">
        <v>643</v>
      </c>
    </row>
    <row r="10" customFormat="false" ht="15" hidden="false" customHeight="false" outlineLevel="0" collapsed="false">
      <c r="A10" s="12" t="s">
        <v>641</v>
      </c>
      <c r="B10" s="7" t="s">
        <v>451</v>
      </c>
      <c r="C10" s="88" t="n">
        <f aca="false">1.645*35*SQRT(3)</f>
        <v>99.7228252457781</v>
      </c>
      <c r="D10" s="89" t="n">
        <v>99.72</v>
      </c>
      <c r="E10" s="88" t="n">
        <f aca="false">C10-D10</f>
        <v>0.00282524577811216</v>
      </c>
      <c r="F10" s="88" t="n">
        <v>0.01</v>
      </c>
      <c r="G10" s="90" t="str">
        <f aca="false">IF(ABS(E10)&lt;=F10,"PASS","FAIL")</f>
        <v>PASS</v>
      </c>
      <c r="H10" s="7" t="s">
        <v>644</v>
      </c>
    </row>
    <row r="11" customFormat="false" ht="15" hidden="false" customHeight="false" outlineLevel="0" collapsed="false">
      <c r="A11" s="12" t="s">
        <v>645</v>
      </c>
      <c r="B11" s="7" t="s">
        <v>454</v>
      </c>
      <c r="C11" s="88" t="n">
        <f aca="false">100*3</f>
        <v>300</v>
      </c>
      <c r="D11" s="89" t="n">
        <v>300</v>
      </c>
      <c r="E11" s="88" t="n">
        <f aca="false">C11-D11</f>
        <v>0</v>
      </c>
      <c r="F11" s="88" t="n">
        <v>0.0001</v>
      </c>
      <c r="G11" s="90" t="str">
        <f aca="false">IF(ABS(E11)&lt;=F11,"PASS","FAIL")</f>
        <v>PASS</v>
      </c>
      <c r="H11" s="7" t="s">
        <v>646</v>
      </c>
    </row>
    <row r="12" customFormat="false" ht="15" hidden="false" customHeight="false" outlineLevel="0" collapsed="false">
      <c r="A12" s="12" t="s">
        <v>647</v>
      </c>
      <c r="B12" s="7" t="s">
        <v>514</v>
      </c>
      <c r="C12" s="88" t="n">
        <f aca="false">C11+90</f>
        <v>390</v>
      </c>
      <c r="D12" s="89" t="n">
        <v>390</v>
      </c>
      <c r="E12" s="88" t="n">
        <f aca="false">C12-D12</f>
        <v>0</v>
      </c>
      <c r="F12" s="88" t="n">
        <v>0.0001</v>
      </c>
      <c r="G12" s="90" t="str">
        <f aca="false">IF(ABS(E12)&lt;=F12,"PASS","FAIL")</f>
        <v>PASS</v>
      </c>
      <c r="H12" s="7" t="s">
        <v>648</v>
      </c>
    </row>
    <row r="13" customFormat="false" ht="23.85" hidden="false" customHeight="false" outlineLevel="0" collapsed="false">
      <c r="A13" s="12" t="s">
        <v>649</v>
      </c>
      <c r="B13" s="7" t="s">
        <v>650</v>
      </c>
      <c r="C13" s="88" t="n">
        <f aca="false">(ABS(90-100)+ABS(10-0)+ABS(60-50))/(100+0+50)</f>
        <v>0.2</v>
      </c>
      <c r="D13" s="89" t="n">
        <v>0.2</v>
      </c>
      <c r="E13" s="88" t="n">
        <f aca="false">C13-D13</f>
        <v>0</v>
      </c>
      <c r="F13" s="88" t="n">
        <v>0.0001</v>
      </c>
      <c r="G13" s="90" t="str">
        <f aca="false">IF(ABS(E13)&lt;=F13,"PASS","FAIL")</f>
        <v>PASS</v>
      </c>
      <c r="H13" s="7" t="s">
        <v>651</v>
      </c>
    </row>
    <row r="14" customFormat="false" ht="15" hidden="false" customHeight="false" outlineLevel="0" collapsed="false">
      <c r="A14" s="12" t="s">
        <v>652</v>
      </c>
      <c r="B14" s="7" t="s">
        <v>653</v>
      </c>
      <c r="C14" s="88" t="n">
        <f aca="false">((90-100)+(10-0)+(60-50))/(100+0+50)</f>
        <v>0.0666666666666667</v>
      </c>
      <c r="D14" s="89" t="n">
        <v>0.0666666666666667</v>
      </c>
      <c r="E14" s="88" t="n">
        <f aca="false">C14-D14</f>
        <v>0</v>
      </c>
      <c r="F14" s="88" t="n">
        <v>0.0001</v>
      </c>
      <c r="G14" s="90" t="str">
        <f aca="false">IF(ABS(E14)&lt;=F14,"PASS","FAIL")</f>
        <v>PASS</v>
      </c>
      <c r="H14" s="7" t="s">
        <v>654</v>
      </c>
    </row>
    <row r="17" customFormat="false" ht="15" hidden="false" customHeight="false" outlineLevel="0" collapsed="false">
      <c r="A17" s="4" t="s">
        <v>655</v>
      </c>
      <c r="B17" s="4"/>
      <c r="C17" s="4"/>
      <c r="D17" s="4"/>
      <c r="E17" s="4"/>
      <c r="F17" s="4"/>
      <c r="G17" s="4"/>
      <c r="H17" s="4"/>
    </row>
    <row r="18" customFormat="false" ht="31.5" hidden="false" customHeight="true" outlineLevel="0" collapsed="false">
      <c r="A18" s="6" t="s">
        <v>139</v>
      </c>
      <c r="B18" s="6" t="s">
        <v>632</v>
      </c>
      <c r="C18" s="6" t="s">
        <v>656</v>
      </c>
      <c r="D18" s="6" t="s">
        <v>657</v>
      </c>
      <c r="E18" s="6" t="s">
        <v>635</v>
      </c>
      <c r="F18" s="6" t="s">
        <v>636</v>
      </c>
      <c r="G18" s="6" t="s">
        <v>422</v>
      </c>
      <c r="H18" s="6" t="s">
        <v>658</v>
      </c>
    </row>
    <row r="19" customFormat="false" ht="15" hidden="false" customHeight="false" outlineLevel="0" collapsed="false">
      <c r="A19" s="12" t="s">
        <v>179</v>
      </c>
      <c r="B19" s="10" t="s">
        <v>430</v>
      </c>
      <c r="C19" s="11" t="str">
        <f aca="false">Replenishment_Plan!D18</f>
        <v>MA4</v>
      </c>
      <c r="D19" s="9" t="s">
        <v>408</v>
      </c>
      <c r="E19" s="10" t="s">
        <v>72</v>
      </c>
      <c r="F19" s="10" t="s">
        <v>659</v>
      </c>
      <c r="G19" s="90" t="str">
        <f aca="false">IF(C19=D19,"PASS","FAIL")</f>
        <v>PASS</v>
      </c>
      <c r="H19" s="7"/>
    </row>
    <row r="20" customFormat="false" ht="15" hidden="false" customHeight="false" outlineLevel="0" collapsed="false">
      <c r="A20" s="12" t="s">
        <v>179</v>
      </c>
      <c r="B20" s="10" t="s">
        <v>433</v>
      </c>
      <c r="C20" s="91" t="n">
        <f aca="false">Replenishment_Plan!E18</f>
        <v>146.25</v>
      </c>
      <c r="D20" s="92" t="n">
        <v>146.25</v>
      </c>
      <c r="E20" s="93" t="n">
        <f aca="false">C20-D20</f>
        <v>0</v>
      </c>
      <c r="F20" s="93" t="n">
        <v>1E-006</v>
      </c>
      <c r="G20" s="90" t="str">
        <f aca="false">IF(ABS(E20)&lt;=F20,"PASS","FAIL")</f>
        <v>PASS</v>
      </c>
      <c r="H20" s="7" t="str">
        <f aca="false">"From Forecast!"&amp;"AF18"</f>
        <v>From Forecast!AF18</v>
      </c>
    </row>
    <row r="21" customFormat="false" ht="15" hidden="false" customHeight="false" outlineLevel="0" collapsed="false">
      <c r="A21" s="12" t="s">
        <v>179</v>
      </c>
      <c r="B21" s="10" t="s">
        <v>344</v>
      </c>
      <c r="C21" s="94" t="n">
        <f aca="false">Replenishment_Plan!F18</f>
        <v>0.0709159044715447</v>
      </c>
      <c r="D21" s="95" t="n">
        <v>0.0709159044715447</v>
      </c>
      <c r="E21" s="93" t="n">
        <f aca="false">C21-D21</f>
        <v>0</v>
      </c>
      <c r="F21" s="93" t="n">
        <v>1E-006</v>
      </c>
      <c r="G21" s="90" t="str">
        <f aca="false">IF(ABS(E21)&lt;=F21,"PASS","FAIL")</f>
        <v>PASS</v>
      </c>
      <c r="H21" s="7"/>
    </row>
    <row r="22" customFormat="false" ht="15" hidden="false" customHeight="false" outlineLevel="0" collapsed="false">
      <c r="A22" s="12" t="s">
        <v>179</v>
      </c>
      <c r="B22" s="10" t="s">
        <v>345</v>
      </c>
      <c r="C22" s="94" t="n">
        <f aca="false">Replenishment_Plan!G18</f>
        <v>0.00390625</v>
      </c>
      <c r="D22" s="95" t="n">
        <v>0.00390625</v>
      </c>
      <c r="E22" s="93" t="n">
        <f aca="false">C22-D22</f>
        <v>0</v>
      </c>
      <c r="F22" s="93" t="n">
        <v>1E-006</v>
      </c>
      <c r="G22" s="90" t="str">
        <f aca="false">IF(ABS(E22)&lt;=F22,"PASS","FAIL")</f>
        <v>PASS</v>
      </c>
      <c r="H22" s="7"/>
    </row>
    <row r="23" customFormat="false" ht="15" hidden="false" customHeight="false" outlineLevel="0" collapsed="false">
      <c r="A23" s="12" t="s">
        <v>179</v>
      </c>
      <c r="B23" s="10" t="s">
        <v>660</v>
      </c>
      <c r="C23" s="91" t="n">
        <f aca="false">Replenishment_Plan!H18</f>
        <v>14.0634964872344</v>
      </c>
      <c r="D23" s="92" t="n">
        <v>14.0634964872344</v>
      </c>
      <c r="E23" s="93" t="n">
        <f aca="false">C23-D23</f>
        <v>0</v>
      </c>
      <c r="F23" s="93" t="n">
        <v>1E-006</v>
      </c>
      <c r="G23" s="90" t="str">
        <f aca="false">IF(ABS(E23)&lt;=F23,"PASS","FAIL")</f>
        <v>PASS</v>
      </c>
      <c r="H23" s="7"/>
    </row>
    <row r="24" customFormat="false" ht="15" hidden="false" customHeight="false" outlineLevel="0" collapsed="false">
      <c r="A24" s="12" t="s">
        <v>179</v>
      </c>
      <c r="B24" s="10" t="s">
        <v>83</v>
      </c>
      <c r="C24" s="96" t="n">
        <f aca="false">Replenishment_Plan!J18</f>
        <v>1.64485362695147</v>
      </c>
      <c r="D24" s="89" t="n">
        <v>1.64485362695147</v>
      </c>
      <c r="E24" s="93" t="n">
        <f aca="false">C24-D24</f>
        <v>0</v>
      </c>
      <c r="F24" s="93" t="n">
        <v>1E-006</v>
      </c>
      <c r="G24" s="90" t="str">
        <f aca="false">IF(ABS(E24)&lt;=F24,"PASS","FAIL")</f>
        <v>PASS</v>
      </c>
      <c r="H24" s="7"/>
    </row>
    <row r="25" customFormat="false" ht="15" hidden="false" customHeight="false" outlineLevel="0" collapsed="false">
      <c r="A25" s="12" t="s">
        <v>179</v>
      </c>
      <c r="B25" s="10" t="s">
        <v>451</v>
      </c>
      <c r="C25" s="91" t="n">
        <f aca="false">Replenishment_Plan!L18</f>
        <v>40.0664803311094</v>
      </c>
      <c r="D25" s="92" t="n">
        <v>40.0664803311094</v>
      </c>
      <c r="E25" s="93" t="n">
        <f aca="false">C25-D25</f>
        <v>0</v>
      </c>
      <c r="F25" s="93" t="n">
        <v>1E-006</v>
      </c>
      <c r="G25" s="90" t="str">
        <f aca="false">IF(ABS(E25)&lt;=F25,"PASS","FAIL")</f>
        <v>PASS</v>
      </c>
      <c r="H25" s="7" t="str">
        <f aca="false">FIXED(Replenishment_Plan!J18,3)&amp;" x "&amp;FIXED(Replenishment_Plan!H18,2)&amp;" x SQRT("&amp;Replenishment_Plan!K18&amp;") = "&amp;FIXED(Replenishment_Plan!J18*Replenishment_Plan!H18*SQRT(Replenishment_Plan!K18),2)</f>
        <v>1.645 x 14.06 x SQRT(3) = 40.07</v>
      </c>
    </row>
    <row r="26" customFormat="false" ht="15" hidden="false" customHeight="false" outlineLevel="0" collapsed="false">
      <c r="A26" s="12" t="s">
        <v>179</v>
      </c>
      <c r="B26" s="10" t="s">
        <v>454</v>
      </c>
      <c r="C26" s="91" t="n">
        <f aca="false">Replenishment_Plan!M18</f>
        <v>438.75</v>
      </c>
      <c r="D26" s="92" t="n">
        <v>438.75</v>
      </c>
      <c r="E26" s="93" t="n">
        <f aca="false">C26-D26</f>
        <v>0</v>
      </c>
      <c r="F26" s="93" t="n">
        <v>1E-006</v>
      </c>
      <c r="G26" s="90" t="str">
        <f aca="false">IF(ABS(E26)&lt;=F26,"PASS","FAIL")</f>
        <v>PASS</v>
      </c>
      <c r="H26" s="7" t="str">
        <f aca="false">FIXED(Replenishment_Plan!E18,2)&amp;" x "&amp;Replenishment_Plan!K18&amp;" = "&amp;FIXED(Replenishment_Plan!E18*Replenishment_Plan!K18,2)</f>
        <v>146.25 x 3 = 438.75</v>
      </c>
    </row>
    <row r="27" customFormat="false" ht="15" hidden="false" customHeight="false" outlineLevel="0" collapsed="false">
      <c r="A27" s="12" t="s">
        <v>179</v>
      </c>
      <c r="B27" s="10" t="s">
        <v>514</v>
      </c>
      <c r="C27" s="91" t="n">
        <f aca="false">Replenishment_Plan!N18</f>
        <v>478.816480331109</v>
      </c>
      <c r="D27" s="92" t="n">
        <v>478.816480331109</v>
      </c>
      <c r="E27" s="93" t="n">
        <f aca="false">C27-D27</f>
        <v>0</v>
      </c>
      <c r="F27" s="93" t="n">
        <v>1E-006</v>
      </c>
      <c r="G27" s="90" t="str">
        <f aca="false">IF(ABS(E27)&lt;=F27,"PASS","FAIL")</f>
        <v>PASS</v>
      </c>
      <c r="H27" s="7" t="str">
        <f aca="false">FIXED(Replenishment_Plan!M18,2)&amp;" + "&amp;FIXED(Replenishment_Plan!L18,2)&amp;" = "&amp;FIXED(Replenishment_Plan!M18+Replenishment_Plan!L18,2)</f>
        <v>438.75 + 40.07 = 478.82</v>
      </c>
    </row>
    <row r="28" customFormat="false" ht="15" hidden="false" customHeight="false" outlineLevel="0" collapsed="false">
      <c r="A28" s="12" t="s">
        <v>179</v>
      </c>
      <c r="B28" s="10" t="s">
        <v>469</v>
      </c>
      <c r="C28" s="39" t="n">
        <f aca="false">Replenishment_Plan!R18</f>
        <v>455</v>
      </c>
      <c r="D28" s="17" t="n">
        <v>455</v>
      </c>
      <c r="E28" s="93" t="n">
        <f aca="false">C28-D28</f>
        <v>0</v>
      </c>
      <c r="F28" s="93" t="n">
        <v>1E-006</v>
      </c>
      <c r="G28" s="90" t="str">
        <f aca="false">IF(ABS(E28)&lt;=F28,"PASS","FAIL")</f>
        <v>PASS</v>
      </c>
      <c r="H28" s="7" t="str">
        <f aca="false">Replenishment_Plan!O18&amp;" + "&amp;Replenishment_Plan!P18&amp;" - "&amp;Replenishment_Plan!Q18&amp;" = "&amp;(Replenishment_Plan!O18+Replenishment_Plan!P18-Replenishment_Plan!Q18)</f>
        <v>75 + 380 - 0 = 455</v>
      </c>
    </row>
    <row r="29" customFormat="false" ht="15" hidden="false" customHeight="false" outlineLevel="0" collapsed="false">
      <c r="A29" s="12" t="s">
        <v>179</v>
      </c>
      <c r="B29" s="10" t="s">
        <v>475</v>
      </c>
      <c r="C29" s="91" t="n">
        <f aca="false">Replenishment_Plan!U18</f>
        <v>7605</v>
      </c>
      <c r="D29" s="92" t="n">
        <v>7605</v>
      </c>
      <c r="E29" s="93" t="n">
        <f aca="false">C29-D29</f>
        <v>0</v>
      </c>
      <c r="F29" s="93" t="n">
        <v>1E-006</v>
      </c>
      <c r="G29" s="90" t="str">
        <f aca="false">IF(ABS(E29)&lt;=F29,"PASS","FAIL")</f>
        <v>PASS</v>
      </c>
      <c r="H29" s="7" t="str">
        <f aca="false">FIXED(Replenishment_Plan!E18,2)&amp;" x 52 = "&amp;FIXED(Replenishment_Plan!E18*52,2)</f>
        <v>146.25 x 52 = 7,605.00</v>
      </c>
    </row>
    <row r="30" customFormat="false" ht="15" hidden="false" customHeight="false" outlineLevel="0" collapsed="false">
      <c r="A30" s="12" t="s">
        <v>179</v>
      </c>
      <c r="B30" s="10" t="s">
        <v>483</v>
      </c>
      <c r="C30" s="91" t="n">
        <f aca="false">Replenishment_Plan!Y18</f>
        <v>1.2</v>
      </c>
      <c r="D30" s="92" t="n">
        <v>1.2</v>
      </c>
      <c r="E30" s="93" t="n">
        <f aca="false">C30-D30</f>
        <v>0</v>
      </c>
      <c r="F30" s="93" t="n">
        <v>1E-006</v>
      </c>
      <c r="G30" s="90" t="str">
        <f aca="false">IF(ABS(E30)&lt;=F30,"PASS","FAIL")</f>
        <v>PASS</v>
      </c>
      <c r="H30" s="7" t="str">
        <f aca="false">"€"&amp;FIXED(Replenishment_Plan!V18,2)&amp;" x "&amp;FIXED(Replenishment_Plan!X18*100,0)&amp;"% = €"&amp;FIXED(Replenishment_Plan!V18*Replenishment_Plan!X18,2)</f>
        <v>€6.00 x 20% = €1.20</v>
      </c>
    </row>
    <row r="31" customFormat="false" ht="15" hidden="false" customHeight="false" outlineLevel="0" collapsed="false">
      <c r="A31" s="12" t="s">
        <v>179</v>
      </c>
      <c r="B31" s="10" t="s">
        <v>553</v>
      </c>
      <c r="C31" s="91" t="n">
        <f aca="false">Replenishment_Plan!Z18</f>
        <v>755.231752510446</v>
      </c>
      <c r="D31" s="92" t="n">
        <v>755.231752510446</v>
      </c>
      <c r="E31" s="93" t="n">
        <f aca="false">C31-D31</f>
        <v>0</v>
      </c>
      <c r="F31" s="93" t="n">
        <v>1E-006</v>
      </c>
      <c r="G31" s="90" t="str">
        <f aca="false">IF(ABS(E31)&lt;=F31,"PASS","FAIL")</f>
        <v>PASS</v>
      </c>
      <c r="H31" s="7" t="str">
        <f aca="false">"SQRT((2 x "&amp;FIXED(Replenishment_Plan!U18,1)&amp;" x "&amp;Replenishment_Plan!W18&amp;") / "&amp;FIXED(Replenishment_Plan!Y18,2)&amp;") = "&amp;FIXED(SQRT(2*Replenishment_Plan!U18*Replenishment_Plan!W18/Replenishment_Plan!Y18),2)</f>
        <v>SQRT((2 x 7,605.0 x 45) / 1.20) = 755.23</v>
      </c>
    </row>
    <row r="32" customFormat="false" ht="15" hidden="false" customHeight="false" outlineLevel="0" collapsed="false">
      <c r="A32" s="12" t="s">
        <v>179</v>
      </c>
      <c r="B32" s="10" t="s">
        <v>490</v>
      </c>
      <c r="C32" s="39" t="n">
        <f aca="false">Replenishment_Plan!AB18</f>
        <v>760</v>
      </c>
      <c r="D32" s="17" t="n">
        <v>760</v>
      </c>
      <c r="E32" s="93" t="n">
        <f aca="false">C32-D32</f>
        <v>0</v>
      </c>
      <c r="F32" s="93" t="n">
        <v>1E-006</v>
      </c>
      <c r="G32" s="90" t="str">
        <f aca="false">IF(ABS(E32)&lt;=F32,"PASS","FAIL")</f>
        <v>PASS</v>
      </c>
      <c r="H32" s="7" t="str">
        <f aca="false">"ROUNDUP("&amp;FIXED(Replenishment_Plan!Z18,2)&amp;" / "&amp;Replenishment_Plan!AA18&amp;") x "&amp;Replenishment_Plan!AA18</f>
        <v>ROUNDUP(755.23 / 20) x 20</v>
      </c>
    </row>
    <row r="33" customFormat="false" ht="15" hidden="false" customHeight="false" outlineLevel="0" collapsed="false">
      <c r="A33" s="12" t="s">
        <v>179</v>
      </c>
      <c r="B33" s="10" t="s">
        <v>661</v>
      </c>
      <c r="C33" s="11" t="str">
        <f aca="false">Replenishment_Plan!AC18</f>
        <v>YES</v>
      </c>
      <c r="D33" s="9" t="s">
        <v>662</v>
      </c>
      <c r="E33" s="10" t="s">
        <v>72</v>
      </c>
      <c r="F33" s="10" t="s">
        <v>659</v>
      </c>
      <c r="G33" s="90" t="str">
        <f aca="false">IF(C33=D33,"PASS","FAIL")</f>
        <v>PASS</v>
      </c>
      <c r="H33" s="7" t="str">
        <f aca="false">FIXED(Replenishment_Plan!R18,0)&amp;" &lt;= "&amp;FIXED(Replenishment_Plan!N18,2)&amp;" ?"</f>
        <v>455 &lt;= 478.82 ?</v>
      </c>
    </row>
    <row r="34" customFormat="false" ht="15" hidden="false" customHeight="false" outlineLevel="0" collapsed="false">
      <c r="A34" s="12" t="s">
        <v>179</v>
      </c>
      <c r="B34" s="10" t="s">
        <v>493</v>
      </c>
      <c r="C34" s="39" t="n">
        <f aca="false">Replenishment_Plan!AD18</f>
        <v>760</v>
      </c>
      <c r="D34" s="17" t="n">
        <v>760</v>
      </c>
      <c r="E34" s="93" t="n">
        <f aca="false">C34-D34</f>
        <v>0</v>
      </c>
      <c r="F34" s="93" t="n">
        <v>1E-006</v>
      </c>
      <c r="G34" s="90" t="str">
        <f aca="false">IF(ABS(E34)&lt;=F34,"PASS","FAIL")</f>
        <v>PASS</v>
      </c>
      <c r="H34" s="7"/>
    </row>
    <row r="35" customFormat="false" ht="15" hidden="false" customHeight="false" outlineLevel="0" collapsed="false">
      <c r="A35" s="12" t="s">
        <v>179</v>
      </c>
      <c r="B35" s="10" t="s">
        <v>663</v>
      </c>
      <c r="C35" s="91" t="n">
        <f aca="false">Projection!AV18</f>
        <v>630</v>
      </c>
      <c r="D35" s="92" t="n">
        <v>630</v>
      </c>
      <c r="E35" s="93" t="n">
        <f aca="false">C35-D35</f>
        <v>0</v>
      </c>
      <c r="F35" s="93" t="n">
        <v>1E-006</v>
      </c>
      <c r="G35" s="90" t="str">
        <f aca="false">IF(ABS(E35)&lt;=F35,"PASS","FAIL")</f>
        <v>PASS</v>
      </c>
      <c r="H35" s="7"/>
    </row>
    <row r="36" customFormat="false" ht="15" hidden="false" customHeight="false" outlineLevel="0" collapsed="false">
      <c r="A36" s="12" t="s">
        <v>179</v>
      </c>
      <c r="B36" s="10" t="s">
        <v>499</v>
      </c>
      <c r="C36" s="91" t="n">
        <f aca="false">Projection!BD18</f>
        <v>-540</v>
      </c>
      <c r="D36" s="92" t="n">
        <v>-540</v>
      </c>
      <c r="E36" s="93" t="n">
        <f aca="false">C36-D36</f>
        <v>0</v>
      </c>
      <c r="F36" s="93" t="n">
        <v>1E-006</v>
      </c>
      <c r="G36" s="90" t="str">
        <f aca="false">IF(ABS(E36)&lt;=F36,"PASS","FAIL")</f>
        <v>PASS</v>
      </c>
      <c r="H36" s="7"/>
    </row>
    <row r="37" customFormat="false" ht="15" hidden="false" customHeight="false" outlineLevel="0" collapsed="false">
      <c r="A37" s="12" t="s">
        <v>179</v>
      </c>
      <c r="B37" s="10" t="s">
        <v>367</v>
      </c>
      <c r="C37" s="11" t="str">
        <f aca="false">Replenishment_Plan!AG18</f>
        <v>REORDER REQUIRED</v>
      </c>
      <c r="D37" s="9" t="s">
        <v>545</v>
      </c>
      <c r="E37" s="10" t="s">
        <v>72</v>
      </c>
      <c r="F37" s="10" t="s">
        <v>659</v>
      </c>
      <c r="G37" s="90" t="str">
        <f aca="false">IF(C37=D37,"PASS","FAIL")</f>
        <v>PASS</v>
      </c>
      <c r="H37" s="7"/>
    </row>
    <row r="39" customFormat="false" ht="15" hidden="false" customHeight="false" outlineLevel="0" collapsed="false">
      <c r="A39" s="12" t="s">
        <v>187</v>
      </c>
      <c r="B39" s="10" t="s">
        <v>430</v>
      </c>
      <c r="C39" s="11" t="str">
        <f aca="false">Replenishment_Plan!D22</f>
        <v>Naive</v>
      </c>
      <c r="D39" s="9" t="s">
        <v>407</v>
      </c>
      <c r="E39" s="10" t="s">
        <v>72</v>
      </c>
      <c r="F39" s="10" t="s">
        <v>659</v>
      </c>
      <c r="G39" s="90" t="str">
        <f aca="false">IF(C39=D39,"PASS","FAIL")</f>
        <v>PASS</v>
      </c>
      <c r="H39" s="7"/>
    </row>
    <row r="40" customFormat="false" ht="15" hidden="false" customHeight="false" outlineLevel="0" collapsed="false">
      <c r="A40" s="12" t="s">
        <v>187</v>
      </c>
      <c r="B40" s="10" t="s">
        <v>433</v>
      </c>
      <c r="C40" s="91" t="n">
        <f aca="false">Replenishment_Plan!E22</f>
        <v>36</v>
      </c>
      <c r="D40" s="92" t="n">
        <v>36</v>
      </c>
      <c r="E40" s="93" t="n">
        <f aca="false">C40-D40</f>
        <v>0</v>
      </c>
      <c r="F40" s="93" t="n">
        <v>1E-006</v>
      </c>
      <c r="G40" s="90" t="str">
        <f aca="false">IF(ABS(E40)&lt;=F40,"PASS","FAIL")</f>
        <v>PASS</v>
      </c>
      <c r="H40" s="7" t="str">
        <f aca="false">"From Forecast!"&amp;"AF22"</f>
        <v>From Forecast!AF22</v>
      </c>
    </row>
    <row r="41" customFormat="false" ht="15" hidden="false" customHeight="false" outlineLevel="0" collapsed="false">
      <c r="A41" s="12" t="s">
        <v>187</v>
      </c>
      <c r="B41" s="10" t="s">
        <v>344</v>
      </c>
      <c r="C41" s="94" t="n">
        <f aca="false">Replenishment_Plan!F22</f>
        <v>0.0960698689956332</v>
      </c>
      <c r="D41" s="95" t="n">
        <v>0.0960698689956332</v>
      </c>
      <c r="E41" s="93" t="n">
        <f aca="false">C41-D41</f>
        <v>0</v>
      </c>
      <c r="F41" s="93" t="n">
        <v>1E-006</v>
      </c>
      <c r="G41" s="90" t="str">
        <f aca="false">IF(ABS(E41)&lt;=F41,"PASS","FAIL")</f>
        <v>PASS</v>
      </c>
      <c r="H41" s="7"/>
    </row>
    <row r="42" customFormat="false" ht="15" hidden="false" customHeight="false" outlineLevel="0" collapsed="false">
      <c r="A42" s="12" t="s">
        <v>187</v>
      </c>
      <c r="B42" s="10" t="s">
        <v>345</v>
      </c>
      <c r="C42" s="94" t="n">
        <f aca="false">Replenishment_Plan!G22</f>
        <v>0</v>
      </c>
      <c r="D42" s="95" t="n">
        <v>0</v>
      </c>
      <c r="E42" s="93" t="n">
        <f aca="false">C42-D42</f>
        <v>0</v>
      </c>
      <c r="F42" s="93" t="n">
        <v>1E-006</v>
      </c>
      <c r="G42" s="90" t="str">
        <f aca="false">IF(ABS(E42)&lt;=F42,"PASS","FAIL")</f>
        <v>PASS</v>
      </c>
      <c r="H42" s="7"/>
    </row>
    <row r="43" customFormat="false" ht="15" hidden="false" customHeight="false" outlineLevel="0" collapsed="false">
      <c r="A43" s="12" t="s">
        <v>187</v>
      </c>
      <c r="B43" s="10" t="s">
        <v>660</v>
      </c>
      <c r="C43" s="91" t="n">
        <f aca="false">Replenishment_Plan!H22</f>
        <v>4.51576758289719</v>
      </c>
      <c r="D43" s="92" t="n">
        <v>4.51576758289719</v>
      </c>
      <c r="E43" s="93" t="n">
        <f aca="false">C43-D43</f>
        <v>0</v>
      </c>
      <c r="F43" s="93" t="n">
        <v>1E-006</v>
      </c>
      <c r="G43" s="90" t="str">
        <f aca="false">IF(ABS(E43)&lt;=F43,"PASS","FAIL")</f>
        <v>PASS</v>
      </c>
      <c r="H43" s="7"/>
    </row>
    <row r="44" customFormat="false" ht="15" hidden="false" customHeight="false" outlineLevel="0" collapsed="false">
      <c r="A44" s="12" t="s">
        <v>187</v>
      </c>
      <c r="B44" s="10" t="s">
        <v>83</v>
      </c>
      <c r="C44" s="96" t="n">
        <f aca="false">Replenishment_Plan!J22</f>
        <v>1.64485362695147</v>
      </c>
      <c r="D44" s="89" t="n">
        <v>1.64485362695147</v>
      </c>
      <c r="E44" s="93" t="n">
        <f aca="false">C44-D44</f>
        <v>0</v>
      </c>
      <c r="F44" s="93" t="n">
        <v>1E-006</v>
      </c>
      <c r="G44" s="90" t="str">
        <f aca="false">IF(ABS(E44)&lt;=F44,"PASS","FAIL")</f>
        <v>PASS</v>
      </c>
      <c r="H44" s="7"/>
    </row>
    <row r="45" customFormat="false" ht="15" hidden="false" customHeight="false" outlineLevel="0" collapsed="false">
      <c r="A45" s="12" t="s">
        <v>187</v>
      </c>
      <c r="B45" s="10" t="s">
        <v>451</v>
      </c>
      <c r="C45" s="91" t="n">
        <f aca="false">Replenishment_Plan!L22</f>
        <v>12.8652866095031</v>
      </c>
      <c r="D45" s="92" t="n">
        <v>12.8652866095031</v>
      </c>
      <c r="E45" s="93" t="n">
        <f aca="false">C45-D45</f>
        <v>0</v>
      </c>
      <c r="F45" s="93" t="n">
        <v>1E-006</v>
      </c>
      <c r="G45" s="90" t="str">
        <f aca="false">IF(ABS(E45)&lt;=F45,"PASS","FAIL")</f>
        <v>PASS</v>
      </c>
      <c r="H45" s="7" t="str">
        <f aca="false">FIXED(Replenishment_Plan!J22,3)&amp;" x "&amp;FIXED(Replenishment_Plan!H22,2)&amp;" x SQRT("&amp;Replenishment_Plan!K22&amp;") = "&amp;FIXED(Replenishment_Plan!J22*Replenishment_Plan!H22*SQRT(Replenishment_Plan!K22),2)</f>
        <v>1.645 x 4.52 x SQRT(3) = 12.87</v>
      </c>
    </row>
    <row r="46" customFormat="false" ht="15" hidden="false" customHeight="false" outlineLevel="0" collapsed="false">
      <c r="A46" s="12" t="s">
        <v>187</v>
      </c>
      <c r="B46" s="10" t="s">
        <v>454</v>
      </c>
      <c r="C46" s="91" t="n">
        <f aca="false">Replenishment_Plan!M22</f>
        <v>108</v>
      </c>
      <c r="D46" s="92" t="n">
        <v>108</v>
      </c>
      <c r="E46" s="93" t="n">
        <f aca="false">C46-D46</f>
        <v>0</v>
      </c>
      <c r="F46" s="93" t="n">
        <v>1E-006</v>
      </c>
      <c r="G46" s="90" t="str">
        <f aca="false">IF(ABS(E46)&lt;=F46,"PASS","FAIL")</f>
        <v>PASS</v>
      </c>
      <c r="H46" s="7" t="str">
        <f aca="false">FIXED(Replenishment_Plan!E22,2)&amp;" x "&amp;Replenishment_Plan!K22&amp;" = "&amp;FIXED(Replenishment_Plan!E22*Replenishment_Plan!K22,2)</f>
        <v>36.00 x 3 = 108.00</v>
      </c>
    </row>
    <row r="47" customFormat="false" ht="15" hidden="false" customHeight="false" outlineLevel="0" collapsed="false">
      <c r="A47" s="12" t="s">
        <v>187</v>
      </c>
      <c r="B47" s="10" t="s">
        <v>514</v>
      </c>
      <c r="C47" s="91" t="n">
        <f aca="false">Replenishment_Plan!N22</f>
        <v>120.865286609503</v>
      </c>
      <c r="D47" s="92" t="n">
        <v>120.865286609503</v>
      </c>
      <c r="E47" s="93" t="n">
        <f aca="false">C47-D47</f>
        <v>0</v>
      </c>
      <c r="F47" s="93" t="n">
        <v>1E-006</v>
      </c>
      <c r="G47" s="90" t="str">
        <f aca="false">IF(ABS(E47)&lt;=F47,"PASS","FAIL")</f>
        <v>PASS</v>
      </c>
      <c r="H47" s="7" t="str">
        <f aca="false">FIXED(Replenishment_Plan!M22,2)&amp;" + "&amp;FIXED(Replenishment_Plan!L22,2)&amp;" = "&amp;FIXED(Replenishment_Plan!M22+Replenishment_Plan!L22,2)</f>
        <v>108.00 + 12.87 = 120.87</v>
      </c>
    </row>
    <row r="48" customFormat="false" ht="15" hidden="false" customHeight="false" outlineLevel="0" collapsed="false">
      <c r="A48" s="12" t="s">
        <v>187</v>
      </c>
      <c r="B48" s="10" t="s">
        <v>469</v>
      </c>
      <c r="C48" s="39" t="n">
        <f aca="false">Replenishment_Plan!R22</f>
        <v>164</v>
      </c>
      <c r="D48" s="17" t="n">
        <v>164</v>
      </c>
      <c r="E48" s="93" t="n">
        <f aca="false">C48-D48</f>
        <v>0</v>
      </c>
      <c r="F48" s="93" t="n">
        <v>1E-006</v>
      </c>
      <c r="G48" s="90" t="str">
        <f aca="false">IF(ABS(E48)&lt;=F48,"PASS","FAIL")</f>
        <v>PASS</v>
      </c>
      <c r="H48" s="7" t="str">
        <f aca="false">Replenishment_Plan!O22&amp;" + "&amp;Replenishment_Plan!P22&amp;" - "&amp;Replenishment_Plan!Q22&amp;" = "&amp;(Replenishment_Plan!O22+Replenishment_Plan!P22-Replenishment_Plan!Q22)</f>
        <v>164 + 0 - 0 = 164</v>
      </c>
    </row>
    <row r="49" customFormat="false" ht="15" hidden="false" customHeight="false" outlineLevel="0" collapsed="false">
      <c r="A49" s="12" t="s">
        <v>187</v>
      </c>
      <c r="B49" s="10" t="s">
        <v>475</v>
      </c>
      <c r="C49" s="91" t="n">
        <f aca="false">Replenishment_Plan!U22</f>
        <v>1872</v>
      </c>
      <c r="D49" s="92" t="n">
        <v>1872</v>
      </c>
      <c r="E49" s="93" t="n">
        <f aca="false">C49-D49</f>
        <v>0</v>
      </c>
      <c r="F49" s="93" t="n">
        <v>1E-006</v>
      </c>
      <c r="G49" s="90" t="str">
        <f aca="false">IF(ABS(E49)&lt;=F49,"PASS","FAIL")</f>
        <v>PASS</v>
      </c>
      <c r="H49" s="7" t="str">
        <f aca="false">FIXED(Replenishment_Plan!E22,2)&amp;" x 52 = "&amp;FIXED(Replenishment_Plan!E22*52,2)</f>
        <v>36.00 x 52 = 1,872.00</v>
      </c>
    </row>
    <row r="50" customFormat="false" ht="15" hidden="false" customHeight="false" outlineLevel="0" collapsed="false">
      <c r="A50" s="12" t="s">
        <v>187</v>
      </c>
      <c r="B50" s="10" t="s">
        <v>483</v>
      </c>
      <c r="C50" s="91" t="n">
        <f aca="false">Replenishment_Plan!Y22</f>
        <v>3.2</v>
      </c>
      <c r="D50" s="92" t="n">
        <v>3.2</v>
      </c>
      <c r="E50" s="93" t="n">
        <f aca="false">C50-D50</f>
        <v>0</v>
      </c>
      <c r="F50" s="93" t="n">
        <v>1E-006</v>
      </c>
      <c r="G50" s="90" t="str">
        <f aca="false">IF(ABS(E50)&lt;=F50,"PASS","FAIL")</f>
        <v>PASS</v>
      </c>
      <c r="H50" s="7" t="str">
        <f aca="false">"€"&amp;FIXED(Replenishment_Plan!V22,2)&amp;" x "&amp;FIXED(Replenishment_Plan!X22*100,0)&amp;"% = €"&amp;FIXED(Replenishment_Plan!V22*Replenishment_Plan!X22,2)</f>
        <v>€16.00 x 20% = €3.20</v>
      </c>
    </row>
    <row r="51" customFormat="false" ht="15" hidden="false" customHeight="false" outlineLevel="0" collapsed="false">
      <c r="A51" s="12" t="s">
        <v>187</v>
      </c>
      <c r="B51" s="10" t="s">
        <v>553</v>
      </c>
      <c r="C51" s="91" t="n">
        <f aca="false">Replenishment_Plan!Z22</f>
        <v>229.455878111675</v>
      </c>
      <c r="D51" s="92" t="n">
        <v>229.455878111675</v>
      </c>
      <c r="E51" s="93" t="n">
        <f aca="false">C51-D51</f>
        <v>0</v>
      </c>
      <c r="F51" s="93" t="n">
        <v>1E-006</v>
      </c>
      <c r="G51" s="90" t="str">
        <f aca="false">IF(ABS(E51)&lt;=F51,"PASS","FAIL")</f>
        <v>PASS</v>
      </c>
      <c r="H51" s="7" t="str">
        <f aca="false">"SQRT((2 x "&amp;FIXED(Replenishment_Plan!U22,1)&amp;" x "&amp;Replenishment_Plan!W22&amp;") / "&amp;FIXED(Replenishment_Plan!Y22,2)&amp;") = "&amp;FIXED(SQRT(2*Replenishment_Plan!U22*Replenishment_Plan!W22/Replenishment_Plan!Y22),2)</f>
        <v>SQRT((2 x 1,872.0 x 45) / 3.20) = 229.46</v>
      </c>
    </row>
    <row r="52" customFormat="false" ht="15" hidden="false" customHeight="false" outlineLevel="0" collapsed="false">
      <c r="A52" s="12" t="s">
        <v>187</v>
      </c>
      <c r="B52" s="10" t="s">
        <v>490</v>
      </c>
      <c r="C52" s="39" t="n">
        <f aca="false">Replenishment_Plan!AB22</f>
        <v>240</v>
      </c>
      <c r="D52" s="17" t="n">
        <v>240</v>
      </c>
      <c r="E52" s="93" t="n">
        <f aca="false">C52-D52</f>
        <v>0</v>
      </c>
      <c r="F52" s="93" t="n">
        <v>1E-006</v>
      </c>
      <c r="G52" s="90" t="str">
        <f aca="false">IF(ABS(E52)&lt;=F52,"PASS","FAIL")</f>
        <v>PASS</v>
      </c>
      <c r="H52" s="7" t="str">
        <f aca="false">"ROUNDUP("&amp;FIXED(Replenishment_Plan!Z22,2)&amp;" / "&amp;Replenishment_Plan!AA22&amp;") x "&amp;Replenishment_Plan!AA22</f>
        <v>ROUNDUP(229.46 / 12) x 12</v>
      </c>
    </row>
    <row r="53" customFormat="false" ht="15" hidden="false" customHeight="false" outlineLevel="0" collapsed="false">
      <c r="A53" s="12" t="s">
        <v>187</v>
      </c>
      <c r="B53" s="10" t="s">
        <v>661</v>
      </c>
      <c r="C53" s="11" t="str">
        <f aca="false">Replenishment_Plan!AC22</f>
        <v>NO</v>
      </c>
      <c r="D53" s="9" t="s">
        <v>664</v>
      </c>
      <c r="E53" s="10" t="s">
        <v>72</v>
      </c>
      <c r="F53" s="10" t="s">
        <v>659</v>
      </c>
      <c r="G53" s="90" t="str">
        <f aca="false">IF(C53=D53,"PASS","FAIL")</f>
        <v>PASS</v>
      </c>
      <c r="H53" s="7" t="str">
        <f aca="false">FIXED(Replenishment_Plan!R22,0)&amp;" &lt;= "&amp;FIXED(Replenishment_Plan!N22,2)&amp;" ?"</f>
        <v>164 &lt;= 120.87 ?</v>
      </c>
    </row>
    <row r="54" customFormat="false" ht="15" hidden="false" customHeight="false" outlineLevel="0" collapsed="false">
      <c r="A54" s="12" t="s">
        <v>187</v>
      </c>
      <c r="B54" s="10" t="s">
        <v>493</v>
      </c>
      <c r="C54" s="39" t="n">
        <f aca="false">Replenishment_Plan!AD22</f>
        <v>0</v>
      </c>
      <c r="D54" s="17" t="n">
        <v>0</v>
      </c>
      <c r="E54" s="93" t="n">
        <f aca="false">C54-D54</f>
        <v>0</v>
      </c>
      <c r="F54" s="93" t="n">
        <v>1E-006</v>
      </c>
      <c r="G54" s="90" t="str">
        <f aca="false">IF(ABS(E54)&lt;=F54,"PASS","FAIL")</f>
        <v>PASS</v>
      </c>
      <c r="H54" s="7"/>
    </row>
    <row r="55" customFormat="false" ht="15" hidden="false" customHeight="false" outlineLevel="0" collapsed="false">
      <c r="A55" s="12" t="s">
        <v>187</v>
      </c>
      <c r="B55" s="10" t="s">
        <v>663</v>
      </c>
      <c r="C55" s="91" t="n">
        <f aca="false">Projection!AV22</f>
        <v>20</v>
      </c>
      <c r="D55" s="92" t="n">
        <v>20</v>
      </c>
      <c r="E55" s="93" t="n">
        <f aca="false">C55-D55</f>
        <v>0</v>
      </c>
      <c r="F55" s="93" t="n">
        <v>1E-006</v>
      </c>
      <c r="G55" s="90" t="str">
        <f aca="false">IF(ABS(E55)&lt;=F55,"PASS","FAIL")</f>
        <v>PASS</v>
      </c>
      <c r="H55" s="7"/>
    </row>
    <row r="56" customFormat="false" ht="15" hidden="false" customHeight="false" outlineLevel="0" collapsed="false">
      <c r="A56" s="12" t="s">
        <v>187</v>
      </c>
      <c r="B56" s="10" t="s">
        <v>499</v>
      </c>
      <c r="C56" s="91" t="n">
        <f aca="false">Projection!BD22</f>
        <v>-268</v>
      </c>
      <c r="D56" s="92" t="n">
        <v>-268</v>
      </c>
      <c r="E56" s="93" t="n">
        <f aca="false">C56-D56</f>
        <v>0</v>
      </c>
      <c r="F56" s="93" t="n">
        <v>1E-006</v>
      </c>
      <c r="G56" s="90" t="str">
        <f aca="false">IF(ABS(E56)&lt;=F56,"PASS","FAIL")</f>
        <v>PASS</v>
      </c>
      <c r="H56" s="7"/>
    </row>
    <row r="57" customFormat="false" ht="15" hidden="false" customHeight="false" outlineLevel="0" collapsed="false">
      <c r="A57" s="12" t="s">
        <v>187</v>
      </c>
      <c r="B57" s="10" t="s">
        <v>367</v>
      </c>
      <c r="C57" s="11" t="str">
        <f aca="false">Replenishment_Plan!AG22</f>
        <v>HEALTHY</v>
      </c>
      <c r="D57" s="9" t="s">
        <v>547</v>
      </c>
      <c r="E57" s="10" t="s">
        <v>72</v>
      </c>
      <c r="F57" s="10" t="s">
        <v>659</v>
      </c>
      <c r="G57" s="90" t="str">
        <f aca="false">IF(C57=D57,"PASS","FAIL")</f>
        <v>PASS</v>
      </c>
      <c r="H57" s="7"/>
    </row>
    <row r="59" customFormat="false" ht="15" hidden="false" customHeight="false" outlineLevel="0" collapsed="false">
      <c r="A59" s="12" t="s">
        <v>221</v>
      </c>
      <c r="B59" s="10" t="s">
        <v>430</v>
      </c>
      <c r="C59" s="11" t="str">
        <f aca="false">Replenishment_Plan!D38</f>
        <v>MA4</v>
      </c>
      <c r="D59" s="9" t="s">
        <v>408</v>
      </c>
      <c r="E59" s="10" t="s">
        <v>72</v>
      </c>
      <c r="F59" s="10" t="s">
        <v>659</v>
      </c>
      <c r="G59" s="90" t="str">
        <f aca="false">IF(C59=D59,"PASS","FAIL")</f>
        <v>PASS</v>
      </c>
      <c r="H59" s="7"/>
    </row>
    <row r="60" customFormat="false" ht="15" hidden="false" customHeight="false" outlineLevel="0" collapsed="false">
      <c r="A60" s="12" t="s">
        <v>221</v>
      </c>
      <c r="B60" s="10" t="s">
        <v>433</v>
      </c>
      <c r="C60" s="91" t="n">
        <f aca="false">Replenishment_Plan!E38</f>
        <v>36.5</v>
      </c>
      <c r="D60" s="92" t="n">
        <v>36.5</v>
      </c>
      <c r="E60" s="93" t="n">
        <f aca="false">C60-D60</f>
        <v>0</v>
      </c>
      <c r="F60" s="93" t="n">
        <v>1E-006</v>
      </c>
      <c r="G60" s="90" t="str">
        <f aca="false">IF(ABS(E60)&lt;=F60,"PASS","FAIL")</f>
        <v>PASS</v>
      </c>
      <c r="H60" s="7" t="str">
        <f aca="false">"From Forecast!"&amp;"AF38"</f>
        <v>From Forecast!AF38</v>
      </c>
    </row>
    <row r="61" customFormat="false" ht="15" hidden="false" customHeight="false" outlineLevel="0" collapsed="false">
      <c r="A61" s="12" t="s">
        <v>221</v>
      </c>
      <c r="B61" s="10" t="s">
        <v>344</v>
      </c>
      <c r="C61" s="94" t="n">
        <f aca="false">Replenishment_Plan!F38</f>
        <v>0.144225188624492</v>
      </c>
      <c r="D61" s="95" t="n">
        <v>0.144225188624492</v>
      </c>
      <c r="E61" s="93" t="n">
        <f aca="false">C61-D61</f>
        <v>0</v>
      </c>
      <c r="F61" s="93" t="n">
        <v>1E-006</v>
      </c>
      <c r="G61" s="90" t="str">
        <f aca="false">IF(ABS(E61)&lt;=F61,"PASS","FAIL")</f>
        <v>PASS</v>
      </c>
      <c r="H61" s="7"/>
    </row>
    <row r="62" customFormat="false" ht="15" hidden="false" customHeight="false" outlineLevel="0" collapsed="false">
      <c r="A62" s="12" t="s">
        <v>221</v>
      </c>
      <c r="B62" s="10" t="s">
        <v>345</v>
      </c>
      <c r="C62" s="94" t="n">
        <f aca="false">Replenishment_Plan!G38</f>
        <v>-0.0130586186883343</v>
      </c>
      <c r="D62" s="95" t="n">
        <v>-0.0130586186883343</v>
      </c>
      <c r="E62" s="93" t="n">
        <f aca="false">C62-D62</f>
        <v>0</v>
      </c>
      <c r="F62" s="93" t="n">
        <v>1E-006</v>
      </c>
      <c r="G62" s="90" t="str">
        <f aca="false">IF(ABS(E62)&lt;=F62,"PASS","FAIL")</f>
        <v>PASS</v>
      </c>
      <c r="H62" s="7"/>
    </row>
    <row r="63" customFormat="false" ht="15" hidden="false" customHeight="false" outlineLevel="0" collapsed="false">
      <c r="A63" s="12" t="s">
        <v>221</v>
      </c>
      <c r="B63" s="10" t="s">
        <v>660</v>
      </c>
      <c r="C63" s="91" t="n">
        <f aca="false">Replenishment_Plan!H38</f>
        <v>5.7571599464117</v>
      </c>
      <c r="D63" s="92" t="n">
        <v>5.7571599464117</v>
      </c>
      <c r="E63" s="93" t="n">
        <f aca="false">C63-D63</f>
        <v>0</v>
      </c>
      <c r="F63" s="93" t="n">
        <v>1E-006</v>
      </c>
      <c r="G63" s="90" t="str">
        <f aca="false">IF(ABS(E63)&lt;=F63,"PASS","FAIL")</f>
        <v>PASS</v>
      </c>
      <c r="H63" s="7"/>
    </row>
    <row r="64" customFormat="false" ht="15" hidden="false" customHeight="false" outlineLevel="0" collapsed="false">
      <c r="A64" s="12" t="s">
        <v>221</v>
      </c>
      <c r="B64" s="10" t="s">
        <v>83</v>
      </c>
      <c r="C64" s="96" t="n">
        <f aca="false">Replenishment_Plan!J38</f>
        <v>1.64485362695147</v>
      </c>
      <c r="D64" s="89" t="n">
        <v>1.64485362695147</v>
      </c>
      <c r="E64" s="93" t="n">
        <f aca="false">C64-D64</f>
        <v>0</v>
      </c>
      <c r="F64" s="93" t="n">
        <v>1E-006</v>
      </c>
      <c r="G64" s="90" t="str">
        <f aca="false">IF(ABS(E64)&lt;=F64,"PASS","FAIL")</f>
        <v>PASS</v>
      </c>
      <c r="H64" s="7"/>
    </row>
    <row r="65" customFormat="false" ht="15" hidden="false" customHeight="false" outlineLevel="0" collapsed="false">
      <c r="A65" s="12" t="s">
        <v>221</v>
      </c>
      <c r="B65" s="10" t="s">
        <v>451</v>
      </c>
      <c r="C65" s="91" t="n">
        <f aca="false">Replenishment_Plan!L38</f>
        <v>23.1958973007218</v>
      </c>
      <c r="D65" s="92" t="n">
        <v>23.1958973007218</v>
      </c>
      <c r="E65" s="93" t="n">
        <f aca="false">C65-D65</f>
        <v>0</v>
      </c>
      <c r="F65" s="93" t="n">
        <v>1E-006</v>
      </c>
      <c r="G65" s="90" t="str">
        <f aca="false">IF(ABS(E65)&lt;=F65,"PASS","FAIL")</f>
        <v>PASS</v>
      </c>
      <c r="H65" s="7" t="str">
        <f aca="false">FIXED(Replenishment_Plan!J38,3)&amp;" x "&amp;FIXED(Replenishment_Plan!H38,2)&amp;" x SQRT("&amp;Replenishment_Plan!K38&amp;") = "&amp;FIXED(Replenishment_Plan!J38*Replenishment_Plan!H38*SQRT(Replenishment_Plan!K38),2)</f>
        <v>1.645 x 5.76 x SQRT(6) = 23.20</v>
      </c>
    </row>
    <row r="66" customFormat="false" ht="15" hidden="false" customHeight="false" outlineLevel="0" collapsed="false">
      <c r="A66" s="12" t="s">
        <v>221</v>
      </c>
      <c r="B66" s="10" t="s">
        <v>454</v>
      </c>
      <c r="C66" s="91" t="n">
        <f aca="false">Replenishment_Plan!M38</f>
        <v>219</v>
      </c>
      <c r="D66" s="92" t="n">
        <v>219</v>
      </c>
      <c r="E66" s="93" t="n">
        <f aca="false">C66-D66</f>
        <v>0</v>
      </c>
      <c r="F66" s="93" t="n">
        <v>1E-006</v>
      </c>
      <c r="G66" s="90" t="str">
        <f aca="false">IF(ABS(E66)&lt;=F66,"PASS","FAIL")</f>
        <v>PASS</v>
      </c>
      <c r="H66" s="7" t="str">
        <f aca="false">FIXED(Replenishment_Plan!E38,2)&amp;" x "&amp;Replenishment_Plan!K38&amp;" = "&amp;FIXED(Replenishment_Plan!E38*Replenishment_Plan!K38,2)</f>
        <v>36.50 x 6 = 219.00</v>
      </c>
    </row>
    <row r="67" customFormat="false" ht="15" hidden="false" customHeight="false" outlineLevel="0" collapsed="false">
      <c r="A67" s="12" t="s">
        <v>221</v>
      </c>
      <c r="B67" s="10" t="s">
        <v>514</v>
      </c>
      <c r="C67" s="91" t="n">
        <f aca="false">Replenishment_Plan!N38</f>
        <v>242.195897300722</v>
      </c>
      <c r="D67" s="92" t="n">
        <v>242.195897300722</v>
      </c>
      <c r="E67" s="93" t="n">
        <f aca="false">C67-D67</f>
        <v>0</v>
      </c>
      <c r="F67" s="93" t="n">
        <v>1E-006</v>
      </c>
      <c r="G67" s="90" t="str">
        <f aca="false">IF(ABS(E67)&lt;=F67,"PASS","FAIL")</f>
        <v>PASS</v>
      </c>
      <c r="H67" s="7" t="str">
        <f aca="false">FIXED(Replenishment_Plan!M38,2)&amp;" + "&amp;FIXED(Replenishment_Plan!L38,2)&amp;" = "&amp;FIXED(Replenishment_Plan!M38+Replenishment_Plan!L38,2)</f>
        <v>219.00 + 23.20 = 242.20</v>
      </c>
    </row>
    <row r="68" customFormat="false" ht="15" hidden="false" customHeight="false" outlineLevel="0" collapsed="false">
      <c r="A68" s="12" t="s">
        <v>221</v>
      </c>
      <c r="B68" s="10" t="s">
        <v>469</v>
      </c>
      <c r="C68" s="39" t="n">
        <f aca="false">Replenishment_Plan!R38</f>
        <v>334</v>
      </c>
      <c r="D68" s="17" t="n">
        <v>334</v>
      </c>
      <c r="E68" s="93" t="n">
        <f aca="false">C68-D68</f>
        <v>0</v>
      </c>
      <c r="F68" s="93" t="n">
        <v>1E-006</v>
      </c>
      <c r="G68" s="90" t="str">
        <f aca="false">IF(ABS(E68)&lt;=F68,"PASS","FAIL")</f>
        <v>PASS</v>
      </c>
      <c r="H68" s="7" t="str">
        <f aca="false">Replenishment_Plan!O38&amp;" + "&amp;Replenishment_Plan!P38&amp;" - "&amp;Replenishment_Plan!Q38&amp;" = "&amp;(Replenishment_Plan!O38+Replenishment_Plan!P38-Replenishment_Plan!Q38)</f>
        <v>58 + 276 - 0 = 334</v>
      </c>
    </row>
    <row r="69" customFormat="false" ht="15" hidden="false" customHeight="false" outlineLevel="0" collapsed="false">
      <c r="A69" s="12" t="s">
        <v>221</v>
      </c>
      <c r="B69" s="10" t="s">
        <v>475</v>
      </c>
      <c r="C69" s="91" t="n">
        <f aca="false">Replenishment_Plan!U38</f>
        <v>1898</v>
      </c>
      <c r="D69" s="92" t="n">
        <v>1898</v>
      </c>
      <c r="E69" s="93" t="n">
        <f aca="false">C69-D69</f>
        <v>0</v>
      </c>
      <c r="F69" s="93" t="n">
        <v>1E-006</v>
      </c>
      <c r="G69" s="90" t="str">
        <f aca="false">IF(ABS(E69)&lt;=F69,"PASS","FAIL")</f>
        <v>PASS</v>
      </c>
      <c r="H69" s="7" t="str">
        <f aca="false">FIXED(Replenishment_Plan!E38,2)&amp;" x 52 = "&amp;FIXED(Replenishment_Plan!E38*52,2)</f>
        <v>36.50 x 52 = 1,898.00</v>
      </c>
    </row>
    <row r="70" customFormat="false" ht="15" hidden="false" customHeight="false" outlineLevel="0" collapsed="false">
      <c r="A70" s="12" t="s">
        <v>221</v>
      </c>
      <c r="B70" s="10" t="s">
        <v>483</v>
      </c>
      <c r="C70" s="91" t="n">
        <f aca="false">Replenishment_Plan!Y38</f>
        <v>7.2</v>
      </c>
      <c r="D70" s="92" t="n">
        <v>7.2</v>
      </c>
      <c r="E70" s="93" t="n">
        <f aca="false">C70-D70</f>
        <v>0</v>
      </c>
      <c r="F70" s="93" t="n">
        <v>1E-006</v>
      </c>
      <c r="G70" s="90" t="str">
        <f aca="false">IF(ABS(E70)&lt;=F70,"PASS","FAIL")</f>
        <v>PASS</v>
      </c>
      <c r="H70" s="7" t="str">
        <f aca="false">"€"&amp;FIXED(Replenishment_Plan!V38,2)&amp;" x "&amp;FIXED(Replenishment_Plan!X38*100,0)&amp;"% = €"&amp;FIXED(Replenishment_Plan!V38*Replenishment_Plan!X38,2)</f>
        <v>€36.00 x 20% = €7.20</v>
      </c>
    </row>
    <row r="71" customFormat="false" ht="15" hidden="false" customHeight="false" outlineLevel="0" collapsed="false">
      <c r="A71" s="12" t="s">
        <v>221</v>
      </c>
      <c r="B71" s="10" t="s">
        <v>553</v>
      </c>
      <c r="C71" s="91" t="n">
        <f aca="false">Replenishment_Plan!Z38</f>
        <v>217.83020910792</v>
      </c>
      <c r="D71" s="92" t="n">
        <v>217.83020910792</v>
      </c>
      <c r="E71" s="93" t="n">
        <f aca="false">C71-D71</f>
        <v>0</v>
      </c>
      <c r="F71" s="93" t="n">
        <v>1E-006</v>
      </c>
      <c r="G71" s="90" t="str">
        <f aca="false">IF(ABS(E71)&lt;=F71,"PASS","FAIL")</f>
        <v>PASS</v>
      </c>
      <c r="H71" s="7" t="str">
        <f aca="false">"SQRT((2 x "&amp;FIXED(Replenishment_Plan!U38,1)&amp;" x "&amp;Replenishment_Plan!W38&amp;") / "&amp;FIXED(Replenishment_Plan!Y38,2)&amp;") = "&amp;FIXED(SQRT(2*Replenishment_Plan!U38*Replenishment_Plan!W38/Replenishment_Plan!Y38),2)</f>
        <v>SQRT((2 x 1,898.0 x 90) / 7.20) = 217.83</v>
      </c>
    </row>
    <row r="72" customFormat="false" ht="15" hidden="false" customHeight="false" outlineLevel="0" collapsed="false">
      <c r="A72" s="12" t="s">
        <v>221</v>
      </c>
      <c r="B72" s="10" t="s">
        <v>490</v>
      </c>
      <c r="C72" s="39" t="n">
        <f aca="false">Replenishment_Plan!AB38</f>
        <v>220</v>
      </c>
      <c r="D72" s="17" t="n">
        <v>220</v>
      </c>
      <c r="E72" s="93" t="n">
        <f aca="false">C72-D72</f>
        <v>0</v>
      </c>
      <c r="F72" s="93" t="n">
        <v>1E-006</v>
      </c>
      <c r="G72" s="90" t="str">
        <f aca="false">IF(ABS(E72)&lt;=F72,"PASS","FAIL")</f>
        <v>PASS</v>
      </c>
      <c r="H72" s="7" t="str">
        <f aca="false">"ROUNDUP("&amp;FIXED(Replenishment_Plan!Z38,2)&amp;" / "&amp;Replenishment_Plan!AA38&amp;") x "&amp;Replenishment_Plan!AA38</f>
        <v>ROUNDUP(217.83 / 4) x 4</v>
      </c>
    </row>
    <row r="73" customFormat="false" ht="15" hidden="false" customHeight="false" outlineLevel="0" collapsed="false">
      <c r="A73" s="12" t="s">
        <v>221</v>
      </c>
      <c r="B73" s="10" t="s">
        <v>661</v>
      </c>
      <c r="C73" s="11" t="str">
        <f aca="false">Replenishment_Plan!AC38</f>
        <v>NO</v>
      </c>
      <c r="D73" s="9" t="s">
        <v>664</v>
      </c>
      <c r="E73" s="10" t="s">
        <v>72</v>
      </c>
      <c r="F73" s="10" t="s">
        <v>659</v>
      </c>
      <c r="G73" s="90" t="str">
        <f aca="false">IF(C73=D73,"PASS","FAIL")</f>
        <v>PASS</v>
      </c>
      <c r="H73" s="7" t="str">
        <f aca="false">FIXED(Replenishment_Plan!R38,0)&amp;" &lt;= "&amp;FIXED(Replenishment_Plan!N38,2)&amp;" ?"</f>
        <v>334 &lt;= 242.20 ?</v>
      </c>
    </row>
    <row r="74" customFormat="false" ht="15" hidden="false" customHeight="false" outlineLevel="0" collapsed="false">
      <c r="A74" s="12" t="s">
        <v>221</v>
      </c>
      <c r="B74" s="10" t="s">
        <v>493</v>
      </c>
      <c r="C74" s="39" t="n">
        <f aca="false">Replenishment_Plan!AD38</f>
        <v>0</v>
      </c>
      <c r="D74" s="17" t="n">
        <v>0</v>
      </c>
      <c r="E74" s="93" t="n">
        <f aca="false">C74-D74</f>
        <v>0</v>
      </c>
      <c r="F74" s="93" t="n">
        <v>1E-006</v>
      </c>
      <c r="G74" s="90" t="str">
        <f aca="false">IF(ABS(E74)&lt;=F74,"PASS","FAIL")</f>
        <v>PASS</v>
      </c>
      <c r="H74" s="7"/>
    </row>
    <row r="75" customFormat="false" ht="15" hidden="false" customHeight="false" outlineLevel="0" collapsed="false">
      <c r="A75" s="12" t="s">
        <v>221</v>
      </c>
      <c r="B75" s="10" t="s">
        <v>663</v>
      </c>
      <c r="C75" s="91" t="n">
        <f aca="false">Projection!AV38</f>
        <v>-88</v>
      </c>
      <c r="D75" s="92" t="n">
        <v>-88</v>
      </c>
      <c r="E75" s="93" t="n">
        <f aca="false">C75-D75</f>
        <v>0</v>
      </c>
      <c r="F75" s="93" t="n">
        <v>1E-006</v>
      </c>
      <c r="G75" s="90" t="str">
        <f aca="false">IF(ABS(E75)&lt;=F75,"PASS","FAIL")</f>
        <v>PASS</v>
      </c>
      <c r="H75" s="7"/>
    </row>
    <row r="76" customFormat="false" ht="15" hidden="false" customHeight="false" outlineLevel="0" collapsed="false">
      <c r="A76" s="12" t="s">
        <v>221</v>
      </c>
      <c r="B76" s="10" t="s">
        <v>499</v>
      </c>
      <c r="C76" s="91" t="n">
        <f aca="false">Projection!BD38</f>
        <v>-104</v>
      </c>
      <c r="D76" s="92" t="n">
        <v>-104</v>
      </c>
      <c r="E76" s="93" t="n">
        <f aca="false">C76-D76</f>
        <v>0</v>
      </c>
      <c r="F76" s="93" t="n">
        <v>1E-006</v>
      </c>
      <c r="G76" s="90" t="str">
        <f aca="false">IF(ABS(E76)&lt;=F76,"PASS","FAIL")</f>
        <v>PASS</v>
      </c>
      <c r="H76" s="7"/>
    </row>
    <row r="77" customFormat="false" ht="15" hidden="false" customHeight="false" outlineLevel="0" collapsed="false">
      <c r="A77" s="12" t="s">
        <v>221</v>
      </c>
      <c r="B77" s="10" t="s">
        <v>367</v>
      </c>
      <c r="C77" s="11" t="str">
        <f aca="false">Replenishment_Plan!AG38</f>
        <v>STOCKOUT RISK</v>
      </c>
      <c r="D77" s="9" t="s">
        <v>543</v>
      </c>
      <c r="E77" s="10" t="s">
        <v>72</v>
      </c>
      <c r="F77" s="10" t="s">
        <v>659</v>
      </c>
      <c r="G77" s="90" t="str">
        <f aca="false">IF(C77=D77,"PASS","FAIL")</f>
        <v>PASS</v>
      </c>
      <c r="H77" s="7"/>
    </row>
    <row r="79" customFormat="false" ht="15" hidden="false" customHeight="false" outlineLevel="0" collapsed="false">
      <c r="A79" s="12" t="s">
        <v>244</v>
      </c>
      <c r="B79" s="10" t="s">
        <v>430</v>
      </c>
      <c r="C79" s="11" t="str">
        <f aca="false">Replenishment_Plan!D49</f>
        <v>MA4</v>
      </c>
      <c r="D79" s="9" t="s">
        <v>408</v>
      </c>
      <c r="E79" s="10" t="s">
        <v>72</v>
      </c>
      <c r="F79" s="10" t="s">
        <v>659</v>
      </c>
      <c r="G79" s="90" t="str">
        <f aca="false">IF(C79=D79,"PASS","FAIL")</f>
        <v>PASS</v>
      </c>
      <c r="H79" s="7"/>
    </row>
    <row r="80" customFormat="false" ht="15" hidden="false" customHeight="false" outlineLevel="0" collapsed="false">
      <c r="A80" s="12" t="s">
        <v>244</v>
      </c>
      <c r="B80" s="10" t="s">
        <v>433</v>
      </c>
      <c r="C80" s="91" t="n">
        <f aca="false">Replenishment_Plan!E49</f>
        <v>47</v>
      </c>
      <c r="D80" s="92" t="n">
        <v>47</v>
      </c>
      <c r="E80" s="93" t="n">
        <f aca="false">C80-D80</f>
        <v>0</v>
      </c>
      <c r="F80" s="93" t="n">
        <v>1E-006</v>
      </c>
      <c r="G80" s="90" t="str">
        <f aca="false">IF(ABS(E80)&lt;=F80,"PASS","FAIL")</f>
        <v>PASS</v>
      </c>
      <c r="H80" s="7" t="str">
        <f aca="false">"From Forecast!"&amp;"AF49"</f>
        <v>From Forecast!AF49</v>
      </c>
    </row>
    <row r="81" customFormat="false" ht="15" hidden="false" customHeight="false" outlineLevel="0" collapsed="false">
      <c r="A81" s="12" t="s">
        <v>244</v>
      </c>
      <c r="B81" s="10" t="s">
        <v>344</v>
      </c>
      <c r="C81" s="94" t="n">
        <f aca="false">Replenishment_Plan!F49</f>
        <v>0.103592605510987</v>
      </c>
      <c r="D81" s="95" t="n">
        <v>0.103592605510987</v>
      </c>
      <c r="E81" s="93" t="n">
        <f aca="false">C81-D81</f>
        <v>0</v>
      </c>
      <c r="F81" s="93" t="n">
        <v>1E-006</v>
      </c>
      <c r="G81" s="90" t="str">
        <f aca="false">IF(ABS(E81)&lt;=F81,"PASS","FAIL")</f>
        <v>PASS</v>
      </c>
      <c r="H81" s="7"/>
    </row>
    <row r="82" customFormat="false" ht="15" hidden="false" customHeight="false" outlineLevel="0" collapsed="false">
      <c r="A82" s="12" t="s">
        <v>244</v>
      </c>
      <c r="B82" s="10" t="s">
        <v>345</v>
      </c>
      <c r="C82" s="94" t="n">
        <f aca="false">Replenishment_Plan!G49</f>
        <v>0.0261597488664109</v>
      </c>
      <c r="D82" s="95" t="n">
        <v>0.0261597488664109</v>
      </c>
      <c r="E82" s="93" t="n">
        <f aca="false">C82-D82</f>
        <v>0</v>
      </c>
      <c r="F82" s="93" t="n">
        <v>1E-006</v>
      </c>
      <c r="G82" s="90" t="str">
        <f aca="false">IF(ABS(E82)&lt;=F82,"PASS","FAIL")</f>
        <v>PASS</v>
      </c>
      <c r="H82" s="7"/>
    </row>
    <row r="83" customFormat="false" ht="15" hidden="false" customHeight="false" outlineLevel="0" collapsed="false">
      <c r="A83" s="12" t="s">
        <v>244</v>
      </c>
      <c r="B83" s="10" t="s">
        <v>660</v>
      </c>
      <c r="C83" s="91" t="n">
        <f aca="false">Replenishment_Plan!H49</f>
        <v>7.40174452552343</v>
      </c>
      <c r="D83" s="92" t="n">
        <v>7.40174452552343</v>
      </c>
      <c r="E83" s="93" t="n">
        <f aca="false">C83-D83</f>
        <v>0</v>
      </c>
      <c r="F83" s="93" t="n">
        <v>1E-006</v>
      </c>
      <c r="G83" s="90" t="str">
        <f aca="false">IF(ABS(E83)&lt;=F83,"PASS","FAIL")</f>
        <v>PASS</v>
      </c>
      <c r="H83" s="7"/>
    </row>
    <row r="84" customFormat="false" ht="15" hidden="false" customHeight="false" outlineLevel="0" collapsed="false">
      <c r="A84" s="12" t="s">
        <v>244</v>
      </c>
      <c r="B84" s="10" t="s">
        <v>83</v>
      </c>
      <c r="C84" s="96" t="n">
        <f aca="false">Replenishment_Plan!J49</f>
        <v>1.64485362695147</v>
      </c>
      <c r="D84" s="89" t="n">
        <v>1.64485362695147</v>
      </c>
      <c r="E84" s="93" t="n">
        <f aca="false">C84-D84</f>
        <v>0</v>
      </c>
      <c r="F84" s="93" t="n">
        <v>1E-006</v>
      </c>
      <c r="G84" s="90" t="str">
        <f aca="false">IF(ABS(E84)&lt;=F84,"PASS","FAIL")</f>
        <v>PASS</v>
      </c>
      <c r="H84" s="7"/>
    </row>
    <row r="85" customFormat="false" ht="15" hidden="false" customHeight="false" outlineLevel="0" collapsed="false">
      <c r="A85" s="12" t="s">
        <v>244</v>
      </c>
      <c r="B85" s="10" t="s">
        <v>451</v>
      </c>
      <c r="C85" s="91" t="n">
        <f aca="false">Replenishment_Plan!L49</f>
        <v>12.1747863285754</v>
      </c>
      <c r="D85" s="92" t="n">
        <v>12.1747863285754</v>
      </c>
      <c r="E85" s="93" t="n">
        <f aca="false">C85-D85</f>
        <v>0</v>
      </c>
      <c r="F85" s="93" t="n">
        <v>1E-006</v>
      </c>
      <c r="G85" s="90" t="str">
        <f aca="false">IF(ABS(E85)&lt;=F85,"PASS","FAIL")</f>
        <v>PASS</v>
      </c>
      <c r="H85" s="7" t="str">
        <f aca="false">FIXED(Replenishment_Plan!J49,3)&amp;" x "&amp;FIXED(Replenishment_Plan!H49,2)&amp;" x SQRT("&amp;Replenishment_Plan!K49&amp;") = "&amp;FIXED(Replenishment_Plan!J49*Replenishment_Plan!H49*SQRT(Replenishment_Plan!K49),2)</f>
        <v>1.645 x 7.40 x SQRT(1) = 12.17</v>
      </c>
    </row>
    <row r="86" customFormat="false" ht="15" hidden="false" customHeight="false" outlineLevel="0" collapsed="false">
      <c r="A86" s="12" t="s">
        <v>244</v>
      </c>
      <c r="B86" s="10" t="s">
        <v>454</v>
      </c>
      <c r="C86" s="91" t="n">
        <f aca="false">Replenishment_Plan!M49</f>
        <v>47</v>
      </c>
      <c r="D86" s="92" t="n">
        <v>47</v>
      </c>
      <c r="E86" s="93" t="n">
        <f aca="false">C86-D86</f>
        <v>0</v>
      </c>
      <c r="F86" s="93" t="n">
        <v>1E-006</v>
      </c>
      <c r="G86" s="90" t="str">
        <f aca="false">IF(ABS(E86)&lt;=F86,"PASS","FAIL")</f>
        <v>PASS</v>
      </c>
      <c r="H86" s="7" t="str">
        <f aca="false">FIXED(Replenishment_Plan!E49,2)&amp;" x "&amp;Replenishment_Plan!K49&amp;" = "&amp;FIXED(Replenishment_Plan!E49*Replenishment_Plan!K49,2)</f>
        <v>47.00 x 1 = 47.00</v>
      </c>
    </row>
    <row r="87" customFormat="false" ht="15" hidden="false" customHeight="false" outlineLevel="0" collapsed="false">
      <c r="A87" s="12" t="s">
        <v>244</v>
      </c>
      <c r="B87" s="10" t="s">
        <v>514</v>
      </c>
      <c r="C87" s="91" t="n">
        <f aca="false">Replenishment_Plan!N49</f>
        <v>59.1747863285754</v>
      </c>
      <c r="D87" s="92" t="n">
        <v>59.1747863285754</v>
      </c>
      <c r="E87" s="93" t="n">
        <f aca="false">C87-D87</f>
        <v>0</v>
      </c>
      <c r="F87" s="93" t="n">
        <v>1E-006</v>
      </c>
      <c r="G87" s="90" t="str">
        <f aca="false">IF(ABS(E87)&lt;=F87,"PASS","FAIL")</f>
        <v>PASS</v>
      </c>
      <c r="H87" s="7" t="str">
        <f aca="false">FIXED(Replenishment_Plan!M49,2)&amp;" + "&amp;FIXED(Replenishment_Plan!L49,2)&amp;" = "&amp;FIXED(Replenishment_Plan!M49+Replenishment_Plan!L49,2)</f>
        <v>47.00 + 12.17 = 59.17</v>
      </c>
    </row>
    <row r="88" customFormat="false" ht="15" hidden="false" customHeight="false" outlineLevel="0" collapsed="false">
      <c r="A88" s="12" t="s">
        <v>244</v>
      </c>
      <c r="B88" s="10" t="s">
        <v>469</v>
      </c>
      <c r="C88" s="39" t="n">
        <f aca="false">Replenishment_Plan!R49</f>
        <v>930</v>
      </c>
      <c r="D88" s="17" t="n">
        <v>930</v>
      </c>
      <c r="E88" s="93" t="n">
        <f aca="false">C88-D88</f>
        <v>0</v>
      </c>
      <c r="F88" s="93" t="n">
        <v>1E-006</v>
      </c>
      <c r="G88" s="90" t="str">
        <f aca="false">IF(ABS(E88)&lt;=F88,"PASS","FAIL")</f>
        <v>PASS</v>
      </c>
      <c r="H88" s="7" t="str">
        <f aca="false">Replenishment_Plan!O49&amp;" + "&amp;Replenishment_Plan!P49&amp;" - "&amp;Replenishment_Plan!Q49&amp;" = "&amp;(Replenishment_Plan!O49+Replenishment_Plan!P49-Replenishment_Plan!Q49)</f>
        <v>930 + 0 - 0 = 930</v>
      </c>
    </row>
    <row r="89" customFormat="false" ht="15" hidden="false" customHeight="false" outlineLevel="0" collapsed="false">
      <c r="A89" s="12" t="s">
        <v>244</v>
      </c>
      <c r="B89" s="10" t="s">
        <v>475</v>
      </c>
      <c r="C89" s="91" t="n">
        <f aca="false">Replenishment_Plan!U49</f>
        <v>2444</v>
      </c>
      <c r="D89" s="92" t="n">
        <v>2444</v>
      </c>
      <c r="E89" s="93" t="n">
        <f aca="false">C89-D89</f>
        <v>0</v>
      </c>
      <c r="F89" s="93" t="n">
        <v>1E-006</v>
      </c>
      <c r="G89" s="90" t="str">
        <f aca="false">IF(ABS(E89)&lt;=F89,"PASS","FAIL")</f>
        <v>PASS</v>
      </c>
      <c r="H89" s="7" t="str">
        <f aca="false">FIXED(Replenishment_Plan!E49,2)&amp;" x 52 = "&amp;FIXED(Replenishment_Plan!E49*52,2)</f>
        <v>47.00 x 52 = 2,444.00</v>
      </c>
    </row>
    <row r="90" customFormat="false" ht="15" hidden="false" customHeight="false" outlineLevel="0" collapsed="false">
      <c r="A90" s="12" t="s">
        <v>244</v>
      </c>
      <c r="B90" s="10" t="s">
        <v>483</v>
      </c>
      <c r="C90" s="91" t="n">
        <f aca="false">Replenishment_Plan!Y49</f>
        <v>2</v>
      </c>
      <c r="D90" s="92" t="n">
        <v>2</v>
      </c>
      <c r="E90" s="93" t="n">
        <f aca="false">C90-D90</f>
        <v>0</v>
      </c>
      <c r="F90" s="93" t="n">
        <v>1E-006</v>
      </c>
      <c r="G90" s="90" t="str">
        <f aca="false">IF(ABS(E90)&lt;=F90,"PASS","FAIL")</f>
        <v>PASS</v>
      </c>
      <c r="H90" s="7" t="str">
        <f aca="false">"€"&amp;FIXED(Replenishment_Plan!V49,2)&amp;" x "&amp;FIXED(Replenishment_Plan!X49*100,0)&amp;"% = €"&amp;FIXED(Replenishment_Plan!V49*Replenishment_Plan!X49,2)</f>
        <v>€10.00 x 20% = €2.00</v>
      </c>
    </row>
    <row r="91" customFormat="false" ht="15" hidden="false" customHeight="false" outlineLevel="0" collapsed="false">
      <c r="A91" s="12" t="s">
        <v>244</v>
      </c>
      <c r="B91" s="10" t="s">
        <v>553</v>
      </c>
      <c r="C91" s="91" t="n">
        <f aca="false">Replenishment_Plan!Z49</f>
        <v>292.472220903114</v>
      </c>
      <c r="D91" s="92" t="n">
        <v>292.472220903114</v>
      </c>
      <c r="E91" s="93" t="n">
        <f aca="false">C91-D91</f>
        <v>0</v>
      </c>
      <c r="F91" s="93" t="n">
        <v>1E-006</v>
      </c>
      <c r="G91" s="90" t="str">
        <f aca="false">IF(ABS(E91)&lt;=F91,"PASS","FAIL")</f>
        <v>PASS</v>
      </c>
      <c r="H91" s="7" t="str">
        <f aca="false">"SQRT((2 x "&amp;FIXED(Replenishment_Plan!U49,1)&amp;" x "&amp;Replenishment_Plan!W49&amp;") / "&amp;FIXED(Replenishment_Plan!Y49,2)&amp;") = "&amp;FIXED(SQRT(2*Replenishment_Plan!U49*Replenishment_Plan!W49/Replenishment_Plan!Y49),2)</f>
        <v>SQRT((2 x 2,444.0 x 35) / 2.00) = 292.47</v>
      </c>
    </row>
    <row r="92" customFormat="false" ht="15" hidden="false" customHeight="false" outlineLevel="0" collapsed="false">
      <c r="A92" s="12" t="s">
        <v>244</v>
      </c>
      <c r="B92" s="10" t="s">
        <v>490</v>
      </c>
      <c r="C92" s="39" t="n">
        <f aca="false">Replenishment_Plan!AB49</f>
        <v>300</v>
      </c>
      <c r="D92" s="17" t="n">
        <v>300</v>
      </c>
      <c r="E92" s="93" t="n">
        <f aca="false">C92-D92</f>
        <v>0</v>
      </c>
      <c r="F92" s="93" t="n">
        <v>1E-006</v>
      </c>
      <c r="G92" s="90" t="str">
        <f aca="false">IF(ABS(E92)&lt;=F92,"PASS","FAIL")</f>
        <v>PASS</v>
      </c>
      <c r="H92" s="7" t="str">
        <f aca="false">"ROUNDUP("&amp;FIXED(Replenishment_Plan!Z49,2)&amp;" / "&amp;Replenishment_Plan!AA49&amp;") x "&amp;Replenishment_Plan!AA49</f>
        <v>ROUNDUP(292.47 / 12) x 12</v>
      </c>
    </row>
    <row r="93" customFormat="false" ht="15" hidden="false" customHeight="false" outlineLevel="0" collapsed="false">
      <c r="A93" s="12" t="s">
        <v>244</v>
      </c>
      <c r="B93" s="10" t="s">
        <v>661</v>
      </c>
      <c r="C93" s="11" t="str">
        <f aca="false">Replenishment_Plan!AC49</f>
        <v>NO</v>
      </c>
      <c r="D93" s="9" t="s">
        <v>664</v>
      </c>
      <c r="E93" s="10" t="s">
        <v>72</v>
      </c>
      <c r="F93" s="10" t="s">
        <v>659</v>
      </c>
      <c r="G93" s="90" t="str">
        <f aca="false">IF(C93=D93,"PASS","FAIL")</f>
        <v>PASS</v>
      </c>
      <c r="H93" s="7" t="str">
        <f aca="false">FIXED(Replenishment_Plan!R49,0)&amp;" &lt;= "&amp;FIXED(Replenishment_Plan!N49,2)&amp;" ?"</f>
        <v>930 &lt;= 59.17 ?</v>
      </c>
    </row>
    <row r="94" customFormat="false" ht="15" hidden="false" customHeight="false" outlineLevel="0" collapsed="false">
      <c r="A94" s="12" t="s">
        <v>244</v>
      </c>
      <c r="B94" s="10" t="s">
        <v>493</v>
      </c>
      <c r="C94" s="39" t="n">
        <f aca="false">Replenishment_Plan!AD49</f>
        <v>0</v>
      </c>
      <c r="D94" s="17" t="n">
        <v>0</v>
      </c>
      <c r="E94" s="93" t="n">
        <f aca="false">C94-D94</f>
        <v>0</v>
      </c>
      <c r="F94" s="93" t="n">
        <v>1E-006</v>
      </c>
      <c r="G94" s="90" t="str">
        <f aca="false">IF(ABS(E94)&lt;=F94,"PASS","FAIL")</f>
        <v>PASS</v>
      </c>
      <c r="H94" s="7"/>
    </row>
    <row r="95" customFormat="false" ht="15" hidden="false" customHeight="false" outlineLevel="0" collapsed="false">
      <c r="A95" s="12" t="s">
        <v>244</v>
      </c>
      <c r="B95" s="10" t="s">
        <v>663</v>
      </c>
      <c r="C95" s="91" t="n">
        <f aca="false">Projection!AV49</f>
        <v>742</v>
      </c>
      <c r="D95" s="92" t="n">
        <v>742</v>
      </c>
      <c r="E95" s="93" t="n">
        <f aca="false">C95-D95</f>
        <v>0</v>
      </c>
      <c r="F95" s="93" t="n">
        <v>1E-006</v>
      </c>
      <c r="G95" s="90" t="str">
        <f aca="false">IF(ABS(E95)&lt;=F95,"PASS","FAIL")</f>
        <v>PASS</v>
      </c>
      <c r="H95" s="7"/>
    </row>
    <row r="96" customFormat="false" ht="15" hidden="false" customHeight="false" outlineLevel="0" collapsed="false">
      <c r="A96" s="12" t="s">
        <v>244</v>
      </c>
      <c r="B96" s="10" t="s">
        <v>499</v>
      </c>
      <c r="C96" s="91" t="n">
        <f aca="false">Projection!BD49</f>
        <v>366</v>
      </c>
      <c r="D96" s="92" t="n">
        <v>366</v>
      </c>
      <c r="E96" s="93" t="n">
        <f aca="false">C96-D96</f>
        <v>0</v>
      </c>
      <c r="F96" s="93" t="n">
        <v>1E-006</v>
      </c>
      <c r="G96" s="90" t="str">
        <f aca="false">IF(ABS(E96)&lt;=F96,"PASS","FAIL")</f>
        <v>PASS</v>
      </c>
      <c r="H96" s="7"/>
    </row>
    <row r="97" customFormat="false" ht="15" hidden="false" customHeight="false" outlineLevel="0" collapsed="false">
      <c r="A97" s="12" t="s">
        <v>244</v>
      </c>
      <c r="B97" s="10" t="s">
        <v>367</v>
      </c>
      <c r="C97" s="11" t="str">
        <f aca="false">Replenishment_Plan!AG49</f>
        <v>EXCESS STOCK</v>
      </c>
      <c r="D97" s="9" t="s">
        <v>546</v>
      </c>
      <c r="E97" s="10" t="s">
        <v>72</v>
      </c>
      <c r="F97" s="10" t="s">
        <v>659</v>
      </c>
      <c r="G97" s="90" t="str">
        <f aca="false">IF(C97=D97,"PASS","FAIL")</f>
        <v>PASS</v>
      </c>
      <c r="H97" s="7"/>
    </row>
    <row r="99" customFormat="false" ht="15" hidden="false" customHeight="false" outlineLevel="0" collapsed="false">
      <c r="A99" s="4" t="s">
        <v>665</v>
      </c>
      <c r="B99" s="4"/>
      <c r="C99" s="4"/>
      <c r="D99" s="4"/>
      <c r="E99" s="4"/>
      <c r="F99" s="4"/>
      <c r="G99" s="4"/>
      <c r="H99" s="4"/>
    </row>
    <row r="100" customFormat="false" ht="31.5" hidden="false" customHeight="true" outlineLevel="0" collapsed="false">
      <c r="A100" s="6" t="s">
        <v>666</v>
      </c>
      <c r="B100" s="6" t="s">
        <v>632</v>
      </c>
      <c r="C100" s="6" t="s">
        <v>656</v>
      </c>
      <c r="D100" s="6" t="s">
        <v>657</v>
      </c>
      <c r="E100" s="6" t="s">
        <v>635</v>
      </c>
      <c r="F100" s="6" t="s">
        <v>636</v>
      </c>
      <c r="G100" s="6" t="s">
        <v>422</v>
      </c>
      <c r="H100" s="6" t="s">
        <v>69</v>
      </c>
    </row>
    <row r="101" customFormat="false" ht="15" hidden="false" customHeight="false" outlineLevel="0" collapsed="false">
      <c r="A101" s="12" t="s">
        <v>568</v>
      </c>
      <c r="B101" s="10" t="s">
        <v>667</v>
      </c>
      <c r="C101" s="97" t="n">
        <f aca="false">Backtest!B14</f>
        <v>0.927781064440501</v>
      </c>
      <c r="D101" s="98" t="n">
        <v>0.927781064440501</v>
      </c>
      <c r="E101" s="93" t="n">
        <f aca="false">C101-D101</f>
        <v>0</v>
      </c>
      <c r="F101" s="93" t="n">
        <v>1E-009</v>
      </c>
      <c r="G101" s="90" t="str">
        <f aca="false">IF(ABS(E101)&lt;=F101,"PASS","FAIL")</f>
        <v>PASS</v>
      </c>
      <c r="H101" s="10" t="s">
        <v>668</v>
      </c>
    </row>
    <row r="102" customFormat="false" ht="15" hidden="false" customHeight="false" outlineLevel="0" collapsed="false">
      <c r="A102" s="12" t="s">
        <v>568</v>
      </c>
      <c r="B102" s="10" t="s">
        <v>669</v>
      </c>
      <c r="C102" s="39" t="n">
        <f aca="false">Backtest!B15</f>
        <v>145</v>
      </c>
      <c r="D102" s="17" t="n">
        <v>145</v>
      </c>
      <c r="E102" s="93" t="n">
        <f aca="false">C102-D102</f>
        <v>0</v>
      </c>
      <c r="F102" s="93" t="n">
        <v>0</v>
      </c>
      <c r="G102" s="90" t="str">
        <f aca="false">IF(ABS(E102)&lt;=F102,"PASS","FAIL")</f>
        <v>PASS</v>
      </c>
      <c r="H102" s="10" t="s">
        <v>668</v>
      </c>
    </row>
    <row r="103" customFormat="false" ht="15" hidden="false" customHeight="false" outlineLevel="0" collapsed="false">
      <c r="A103" s="12" t="s">
        <v>568</v>
      </c>
      <c r="B103" s="10" t="s">
        <v>670</v>
      </c>
      <c r="C103" s="91" t="n">
        <f aca="false">Backtest!B16</f>
        <v>4780.9375</v>
      </c>
      <c r="D103" s="92" t="n">
        <v>4780.9375</v>
      </c>
      <c r="E103" s="93" t="n">
        <f aca="false">C103-D103</f>
        <v>0</v>
      </c>
      <c r="F103" s="93" t="n">
        <v>1E-006</v>
      </c>
      <c r="G103" s="90" t="str">
        <f aca="false">IF(ABS(E103)&lt;=F103,"PASS","FAIL")</f>
        <v>PASS</v>
      </c>
      <c r="H103" s="10" t="s">
        <v>668</v>
      </c>
    </row>
    <row r="104" customFormat="false" ht="15" hidden="false" customHeight="false" outlineLevel="0" collapsed="false">
      <c r="A104" s="12" t="s">
        <v>568</v>
      </c>
      <c r="B104" s="10" t="s">
        <v>671</v>
      </c>
      <c r="C104" s="39" t="n">
        <f aca="false">Backtest!B17</f>
        <v>592</v>
      </c>
      <c r="D104" s="17" t="n">
        <v>592</v>
      </c>
      <c r="E104" s="93" t="n">
        <f aca="false">C104-D104</f>
        <v>0</v>
      </c>
      <c r="F104" s="93" t="n">
        <v>0</v>
      </c>
      <c r="G104" s="90" t="str">
        <f aca="false">IF(ABS(E104)&lt;=F104,"PASS","FAIL")</f>
        <v>PASS</v>
      </c>
      <c r="H104" s="10" t="s">
        <v>668</v>
      </c>
    </row>
    <row r="105" customFormat="false" ht="15" hidden="false" customHeight="false" outlineLevel="0" collapsed="false">
      <c r="A105" s="12" t="s">
        <v>568</v>
      </c>
      <c r="B105" s="10" t="s">
        <v>672</v>
      </c>
      <c r="C105" s="40" t="n">
        <f aca="false">Backtest!B18</f>
        <v>63090.9375</v>
      </c>
      <c r="D105" s="20" t="n">
        <v>63090.9375</v>
      </c>
      <c r="E105" s="93" t="n">
        <f aca="false">C105-D105</f>
        <v>0</v>
      </c>
      <c r="F105" s="93" t="n">
        <v>0.0001</v>
      </c>
      <c r="G105" s="90" t="str">
        <f aca="false">IF(ABS(E105)&lt;=F105,"PASS","FAIL")</f>
        <v>PASS</v>
      </c>
      <c r="H105" s="10" t="s">
        <v>668</v>
      </c>
    </row>
    <row r="106" customFormat="false" ht="15" hidden="false" customHeight="false" outlineLevel="0" collapsed="false">
      <c r="A106" s="12" t="s">
        <v>569</v>
      </c>
      <c r="B106" s="10" t="s">
        <v>667</v>
      </c>
      <c r="C106" s="97" t="n">
        <f aca="false">Backtest!C14</f>
        <v>0.958149827997984</v>
      </c>
      <c r="D106" s="98" t="n">
        <v>0.958149827997984</v>
      </c>
      <c r="E106" s="93" t="n">
        <f aca="false">C106-D106</f>
        <v>0</v>
      </c>
      <c r="F106" s="93" t="n">
        <v>1E-009</v>
      </c>
      <c r="G106" s="90" t="str">
        <f aca="false">IF(ABS(E106)&lt;=F106,"PASS","FAIL")</f>
        <v>PASS</v>
      </c>
      <c r="H106" s="10" t="s">
        <v>668</v>
      </c>
    </row>
    <row r="107" customFormat="false" ht="15" hidden="false" customHeight="false" outlineLevel="0" collapsed="false">
      <c r="A107" s="12" t="s">
        <v>569</v>
      </c>
      <c r="B107" s="10" t="s">
        <v>669</v>
      </c>
      <c r="C107" s="39" t="n">
        <f aca="false">Backtest!C15</f>
        <v>71</v>
      </c>
      <c r="D107" s="17" t="n">
        <v>71</v>
      </c>
      <c r="E107" s="93" t="n">
        <f aca="false">C107-D107</f>
        <v>0</v>
      </c>
      <c r="F107" s="93" t="n">
        <v>0</v>
      </c>
      <c r="G107" s="90" t="str">
        <f aca="false">IF(ABS(E107)&lt;=F107,"PASS","FAIL")</f>
        <v>PASS</v>
      </c>
      <c r="H107" s="10" t="s">
        <v>668</v>
      </c>
    </row>
    <row r="108" customFormat="false" ht="15" hidden="false" customHeight="false" outlineLevel="0" collapsed="false">
      <c r="A108" s="12" t="s">
        <v>569</v>
      </c>
      <c r="B108" s="10" t="s">
        <v>670</v>
      </c>
      <c r="C108" s="91" t="n">
        <f aca="false">Backtest!C16</f>
        <v>6907.6875</v>
      </c>
      <c r="D108" s="92" t="n">
        <v>6907.6875</v>
      </c>
      <c r="E108" s="93" t="n">
        <f aca="false">C108-D108</f>
        <v>0</v>
      </c>
      <c r="F108" s="93" t="n">
        <v>1E-006</v>
      </c>
      <c r="G108" s="90" t="str">
        <f aca="false">IF(ABS(E108)&lt;=F108,"PASS","FAIL")</f>
        <v>PASS</v>
      </c>
      <c r="H108" s="10" t="s">
        <v>668</v>
      </c>
    </row>
    <row r="109" customFormat="false" ht="15" hidden="false" customHeight="false" outlineLevel="0" collapsed="false">
      <c r="A109" s="12" t="s">
        <v>569</v>
      </c>
      <c r="B109" s="10" t="s">
        <v>671</v>
      </c>
      <c r="C109" s="39" t="n">
        <f aca="false">Backtest!C17</f>
        <v>129</v>
      </c>
      <c r="D109" s="17" t="n">
        <v>129</v>
      </c>
      <c r="E109" s="93" t="n">
        <f aca="false">C109-D109</f>
        <v>0</v>
      </c>
      <c r="F109" s="93" t="n">
        <v>0</v>
      </c>
      <c r="G109" s="90" t="str">
        <f aca="false">IF(ABS(E109)&lt;=F109,"PASS","FAIL")</f>
        <v>PASS</v>
      </c>
      <c r="H109" s="10" t="s">
        <v>668</v>
      </c>
    </row>
    <row r="110" customFormat="false" ht="15" hidden="false" customHeight="false" outlineLevel="0" collapsed="false">
      <c r="A110" s="12" t="s">
        <v>569</v>
      </c>
      <c r="B110" s="10" t="s">
        <v>672</v>
      </c>
      <c r="C110" s="40" t="n">
        <f aca="false">Backtest!C18</f>
        <v>110962.75</v>
      </c>
      <c r="D110" s="20" t="n">
        <v>110962.75</v>
      </c>
      <c r="E110" s="93" t="n">
        <f aca="false">C110-D110</f>
        <v>0</v>
      </c>
      <c r="F110" s="93" t="n">
        <v>0.0001</v>
      </c>
      <c r="G110" s="90" t="str">
        <f aca="false">IF(ABS(E110)&lt;=F110,"PASS","FAIL")</f>
        <v>PASS</v>
      </c>
      <c r="H110" s="10" t="s">
        <v>668</v>
      </c>
    </row>
  </sheetData>
  <mergeCells count="3">
    <mergeCell ref="A5:H5"/>
    <mergeCell ref="A17:H17"/>
    <mergeCell ref="A99:H99"/>
  </mergeCells>
  <conditionalFormatting sqref="G7:G400">
    <cfRule type="expression" priority="2" aboveAverage="0" equalAverage="0" bottom="0" percent="0" rank="0" text="" dxfId="7">
      <formula>OR(G7="FAIL",G7="MISMATCH")</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5" min="3" style="0" width="34"/>
    <col collapsed="false" customWidth="true" hidden="false" outlineLevel="0" max="6" min="6" style="0" width="30"/>
    <col collapsed="false" customWidth="true" hidden="false" outlineLevel="0" max="7" min="7" style="0" width="40"/>
  </cols>
  <sheetData>
    <row r="1" customFormat="false" ht="18.55" hidden="false" customHeight="false" outlineLevel="0" collapsed="false">
      <c r="A1" s="1" t="s">
        <v>673</v>
      </c>
    </row>
    <row r="3" customFormat="false" ht="30" hidden="false" customHeight="true" outlineLevel="0" collapsed="false">
      <c r="A3" s="6" t="s">
        <v>674</v>
      </c>
      <c r="B3" s="6" t="s">
        <v>675</v>
      </c>
      <c r="C3" s="6" t="s">
        <v>676</v>
      </c>
      <c r="D3" s="6" t="s">
        <v>677</v>
      </c>
      <c r="E3" s="6" t="s">
        <v>678</v>
      </c>
      <c r="F3" s="6" t="s">
        <v>679</v>
      </c>
      <c r="G3" s="6" t="s">
        <v>680</v>
      </c>
    </row>
    <row r="4" customFormat="false" ht="78" hidden="false" customHeight="true" outlineLevel="0" collapsed="false">
      <c r="A4" s="53" t="n">
        <v>1</v>
      </c>
      <c r="B4" s="8" t="s">
        <v>681</v>
      </c>
      <c r="C4" s="7" t="s">
        <v>682</v>
      </c>
      <c r="D4" s="7" t="s">
        <v>683</v>
      </c>
      <c r="E4" s="7" t="s">
        <v>684</v>
      </c>
      <c r="F4" s="7" t="s">
        <v>685</v>
      </c>
      <c r="G4" s="7" t="s">
        <v>686</v>
      </c>
    </row>
    <row r="5" customFormat="false" ht="78" hidden="false" customHeight="true" outlineLevel="0" collapsed="false">
      <c r="A5" s="53" t="n">
        <v>2</v>
      </c>
      <c r="B5" s="8" t="s">
        <v>687</v>
      </c>
      <c r="C5" s="7" t="s">
        <v>688</v>
      </c>
      <c r="D5" s="7" t="s">
        <v>689</v>
      </c>
      <c r="E5" s="7" t="s">
        <v>690</v>
      </c>
      <c r="F5" s="7" t="s">
        <v>691</v>
      </c>
      <c r="G5" s="7" t="s">
        <v>692</v>
      </c>
    </row>
    <row r="6" customFormat="false" ht="78" hidden="false" customHeight="true" outlineLevel="0" collapsed="false">
      <c r="A6" s="53" t="n">
        <v>3</v>
      </c>
      <c r="B6" s="8" t="s">
        <v>693</v>
      </c>
      <c r="C6" s="7" t="s">
        <v>694</v>
      </c>
      <c r="D6" s="7" t="s">
        <v>695</v>
      </c>
      <c r="E6" s="7" t="s">
        <v>696</v>
      </c>
      <c r="F6" s="7" t="s">
        <v>697</v>
      </c>
      <c r="G6" s="7" t="s">
        <v>698</v>
      </c>
    </row>
    <row r="7" customFormat="false" ht="78" hidden="false" customHeight="true" outlineLevel="0" collapsed="false">
      <c r="A7" s="53" t="n">
        <v>4</v>
      </c>
      <c r="B7" s="8" t="s">
        <v>699</v>
      </c>
      <c r="C7" s="7" t="s">
        <v>700</v>
      </c>
      <c r="D7" s="7" t="s">
        <v>701</v>
      </c>
      <c r="E7" s="7" t="s">
        <v>702</v>
      </c>
      <c r="F7" s="7" t="s">
        <v>703</v>
      </c>
      <c r="G7" s="7" t="s">
        <v>704</v>
      </c>
    </row>
    <row r="8" customFormat="false" ht="78" hidden="false" customHeight="true" outlineLevel="0" collapsed="false">
      <c r="A8" s="53" t="n">
        <v>5</v>
      </c>
      <c r="B8" s="8" t="s">
        <v>344</v>
      </c>
      <c r="C8" s="7" t="s">
        <v>705</v>
      </c>
      <c r="D8" s="7" t="s">
        <v>706</v>
      </c>
      <c r="E8" s="7" t="s">
        <v>707</v>
      </c>
      <c r="F8" s="7" t="s">
        <v>708</v>
      </c>
      <c r="G8" s="7" t="s">
        <v>709</v>
      </c>
    </row>
    <row r="9" customFormat="false" ht="78" hidden="false" customHeight="true" outlineLevel="0" collapsed="false">
      <c r="A9" s="53" t="n">
        <v>6</v>
      </c>
      <c r="B9" s="8" t="s">
        <v>438</v>
      </c>
      <c r="C9" s="7" t="s">
        <v>710</v>
      </c>
      <c r="D9" s="7" t="s">
        <v>711</v>
      </c>
      <c r="E9" s="7" t="s">
        <v>712</v>
      </c>
      <c r="F9" s="7" t="s">
        <v>713</v>
      </c>
      <c r="G9" s="7" t="s">
        <v>714</v>
      </c>
    </row>
    <row r="10" customFormat="false" ht="78" hidden="false" customHeight="true" outlineLevel="0" collapsed="false">
      <c r="A10" s="53" t="n">
        <v>7</v>
      </c>
      <c r="B10" s="8" t="s">
        <v>441</v>
      </c>
      <c r="C10" s="7" t="s">
        <v>715</v>
      </c>
      <c r="D10" s="7" t="s">
        <v>716</v>
      </c>
      <c r="E10" s="7" t="s">
        <v>717</v>
      </c>
      <c r="F10" s="7" t="s">
        <v>718</v>
      </c>
      <c r="G10" s="7" t="s">
        <v>719</v>
      </c>
    </row>
    <row r="11" customFormat="false" ht="78" hidden="false" customHeight="true" outlineLevel="0" collapsed="false">
      <c r="A11" s="53" t="n">
        <v>8</v>
      </c>
      <c r="B11" s="8" t="s">
        <v>80</v>
      </c>
      <c r="C11" s="7" t="s">
        <v>720</v>
      </c>
      <c r="D11" s="7" t="s">
        <v>721</v>
      </c>
      <c r="E11" s="7" t="s">
        <v>722</v>
      </c>
      <c r="F11" s="7" t="s">
        <v>723</v>
      </c>
      <c r="G11" s="7" t="s">
        <v>724</v>
      </c>
    </row>
    <row r="12" customFormat="false" ht="78" hidden="false" customHeight="true" outlineLevel="0" collapsed="false">
      <c r="A12" s="53" t="n">
        <v>9</v>
      </c>
      <c r="B12" s="8" t="s">
        <v>83</v>
      </c>
      <c r="C12" s="7" t="s">
        <v>725</v>
      </c>
      <c r="D12" s="7" t="s">
        <v>726</v>
      </c>
      <c r="E12" s="7" t="s">
        <v>727</v>
      </c>
      <c r="F12" s="7" t="s">
        <v>728</v>
      </c>
      <c r="G12" s="7" t="s">
        <v>729</v>
      </c>
    </row>
    <row r="13" customFormat="false" ht="78" hidden="false" customHeight="true" outlineLevel="0" collapsed="false">
      <c r="A13" s="53" t="n">
        <v>10</v>
      </c>
      <c r="B13" s="8" t="s">
        <v>451</v>
      </c>
      <c r="C13" s="7" t="s">
        <v>730</v>
      </c>
      <c r="D13" s="7" t="s">
        <v>731</v>
      </c>
      <c r="E13" s="7" t="s">
        <v>732</v>
      </c>
      <c r="F13" s="7" t="s">
        <v>733</v>
      </c>
      <c r="G13" s="7" t="s">
        <v>734</v>
      </c>
    </row>
    <row r="14" customFormat="false" ht="78" hidden="false" customHeight="true" outlineLevel="0" collapsed="false">
      <c r="A14" s="53" t="n">
        <v>11</v>
      </c>
      <c r="B14" s="8" t="s">
        <v>454</v>
      </c>
      <c r="C14" s="7" t="s">
        <v>735</v>
      </c>
      <c r="D14" s="7" t="s">
        <v>736</v>
      </c>
      <c r="E14" s="7" t="s">
        <v>737</v>
      </c>
      <c r="F14" s="7" t="s">
        <v>738</v>
      </c>
      <c r="G14" s="7" t="s">
        <v>739</v>
      </c>
    </row>
    <row r="15" customFormat="false" ht="78" hidden="false" customHeight="true" outlineLevel="0" collapsed="false">
      <c r="A15" s="53" t="n">
        <v>12</v>
      </c>
      <c r="B15" s="8" t="s">
        <v>740</v>
      </c>
      <c r="C15" s="7" t="s">
        <v>741</v>
      </c>
      <c r="D15" s="7" t="s">
        <v>742</v>
      </c>
      <c r="E15" s="7" t="s">
        <v>743</v>
      </c>
      <c r="F15" s="7" t="s">
        <v>744</v>
      </c>
      <c r="G15" s="7" t="s">
        <v>745</v>
      </c>
    </row>
    <row r="16" customFormat="false" ht="78" hidden="false" customHeight="true" outlineLevel="0" collapsed="false">
      <c r="A16" s="53" t="n">
        <v>13</v>
      </c>
      <c r="B16" s="8" t="s">
        <v>469</v>
      </c>
      <c r="C16" s="7" t="s">
        <v>746</v>
      </c>
      <c r="D16" s="7" t="s">
        <v>747</v>
      </c>
      <c r="E16" s="7" t="s">
        <v>748</v>
      </c>
      <c r="F16" s="7" t="s">
        <v>749</v>
      </c>
      <c r="G16" s="7" t="s">
        <v>750</v>
      </c>
    </row>
    <row r="17" customFormat="false" ht="78" hidden="false" customHeight="true" outlineLevel="0" collapsed="false">
      <c r="A17" s="53" t="n">
        <v>14</v>
      </c>
      <c r="B17" s="8" t="s">
        <v>496</v>
      </c>
      <c r="C17" s="7" t="s">
        <v>751</v>
      </c>
      <c r="D17" s="7" t="s">
        <v>752</v>
      </c>
      <c r="E17" s="7" t="s">
        <v>753</v>
      </c>
      <c r="F17" s="7" t="s">
        <v>754</v>
      </c>
      <c r="G17" s="7" t="s">
        <v>755</v>
      </c>
    </row>
    <row r="18" customFormat="false" ht="78" hidden="false" customHeight="true" outlineLevel="0" collapsed="false">
      <c r="A18" s="53" t="n">
        <v>15</v>
      </c>
      <c r="B18" s="8" t="s">
        <v>475</v>
      </c>
      <c r="C18" s="7" t="s">
        <v>756</v>
      </c>
      <c r="D18" s="7" t="s">
        <v>757</v>
      </c>
      <c r="E18" s="7" t="s">
        <v>758</v>
      </c>
      <c r="F18" s="7" t="s">
        <v>759</v>
      </c>
      <c r="G18" s="7" t="s">
        <v>760</v>
      </c>
    </row>
    <row r="19" customFormat="false" ht="78" hidden="false" customHeight="true" outlineLevel="0" collapsed="false">
      <c r="A19" s="53" t="n">
        <v>16</v>
      </c>
      <c r="B19" s="8" t="s">
        <v>483</v>
      </c>
      <c r="C19" s="7" t="s">
        <v>761</v>
      </c>
      <c r="D19" s="7" t="s">
        <v>762</v>
      </c>
      <c r="E19" s="7" t="s">
        <v>763</v>
      </c>
      <c r="F19" s="7" t="s">
        <v>764</v>
      </c>
      <c r="G19" s="7" t="s">
        <v>765</v>
      </c>
    </row>
    <row r="20" customFormat="false" ht="78" hidden="false" customHeight="true" outlineLevel="0" collapsed="false">
      <c r="A20" s="53" t="n">
        <v>17</v>
      </c>
      <c r="B20" s="8" t="s">
        <v>766</v>
      </c>
      <c r="C20" s="7" t="s">
        <v>767</v>
      </c>
      <c r="D20" s="7" t="s">
        <v>768</v>
      </c>
      <c r="E20" s="7" t="s">
        <v>769</v>
      </c>
      <c r="F20" s="7" t="s">
        <v>770</v>
      </c>
      <c r="G20" s="7" t="s">
        <v>771</v>
      </c>
    </row>
    <row r="21" customFormat="false" ht="78" hidden="false" customHeight="true" outlineLevel="0" collapsed="false">
      <c r="A21" s="53" t="n">
        <v>18</v>
      </c>
      <c r="B21" s="8" t="s">
        <v>493</v>
      </c>
      <c r="C21" s="7" t="s">
        <v>772</v>
      </c>
      <c r="D21" s="7" t="s">
        <v>773</v>
      </c>
      <c r="E21" s="7" t="s">
        <v>774</v>
      </c>
      <c r="F21" s="7" t="s">
        <v>775</v>
      </c>
      <c r="G21" s="7" t="s">
        <v>776</v>
      </c>
    </row>
    <row r="22" customFormat="false" ht="78" hidden="false" customHeight="true" outlineLevel="0" collapsed="false">
      <c r="A22" s="53" t="n">
        <v>19</v>
      </c>
      <c r="B22" s="8" t="s">
        <v>667</v>
      </c>
      <c r="C22" s="7" t="s">
        <v>777</v>
      </c>
      <c r="D22" s="7" t="s">
        <v>778</v>
      </c>
      <c r="E22" s="7" t="s">
        <v>779</v>
      </c>
      <c r="F22" s="7" t="s">
        <v>780</v>
      </c>
      <c r="G22" s="7" t="s">
        <v>781</v>
      </c>
    </row>
    <row r="24" customFormat="false" ht="15" hidden="false" customHeight="false" outlineLevel="0" collapsed="false">
      <c r="A24" s="4" t="s">
        <v>782</v>
      </c>
      <c r="B24" s="4"/>
      <c r="C24" s="4"/>
      <c r="D24" s="4"/>
      <c r="E24" s="4"/>
      <c r="F24" s="4"/>
      <c r="G24" s="4"/>
    </row>
    <row r="25" customFormat="false" ht="15" hidden="false" customHeight="true" outlineLevel="0" collapsed="false">
      <c r="B25" s="5" t="s">
        <v>783</v>
      </c>
      <c r="C25" s="5"/>
      <c r="D25" s="5"/>
      <c r="E25" s="5"/>
      <c r="F25" s="5"/>
      <c r="G25" s="5"/>
    </row>
    <row r="26" customFormat="false" ht="15" hidden="false" customHeight="true" outlineLevel="0" collapsed="false">
      <c r="B26" s="5" t="s">
        <v>784</v>
      </c>
      <c r="C26" s="5"/>
      <c r="D26" s="5"/>
      <c r="E26" s="5"/>
      <c r="F26" s="5"/>
      <c r="G26" s="5"/>
    </row>
    <row r="27" customFormat="false" ht="15" hidden="false" customHeight="true" outlineLevel="0" collapsed="false">
      <c r="B27" s="5" t="s">
        <v>785</v>
      </c>
      <c r="C27" s="5"/>
      <c r="D27" s="5"/>
      <c r="E27" s="5"/>
      <c r="F27" s="5"/>
      <c r="G27" s="5"/>
    </row>
    <row r="28" customFormat="false" ht="15" hidden="false" customHeight="true" outlineLevel="0" collapsed="false">
      <c r="B28" s="5" t="s">
        <v>786</v>
      </c>
      <c r="C28" s="5"/>
      <c r="D28" s="5"/>
      <c r="E28" s="5"/>
      <c r="F28" s="5"/>
      <c r="G28" s="5"/>
    </row>
    <row r="29" customFormat="false" ht="15" hidden="false" customHeight="true" outlineLevel="0" collapsed="false">
      <c r="B29" s="5" t="s">
        <v>787</v>
      </c>
      <c r="C29" s="5"/>
      <c r="D29" s="5"/>
      <c r="E29" s="5"/>
      <c r="F29" s="5"/>
      <c r="G29" s="5"/>
    </row>
    <row r="30" customFormat="false" ht="15" hidden="false" customHeight="true" outlineLevel="0" collapsed="false">
      <c r="B30" s="5" t="s">
        <v>788</v>
      </c>
      <c r="C30" s="5"/>
      <c r="D30" s="5"/>
      <c r="E30" s="5"/>
      <c r="F30" s="5"/>
      <c r="G30" s="5"/>
    </row>
    <row r="32" customFormat="false" ht="15" hidden="false" customHeight="false" outlineLevel="0" collapsed="false">
      <c r="A32" s="4" t="s">
        <v>789</v>
      </c>
      <c r="B32" s="4"/>
      <c r="C32" s="4"/>
      <c r="D32" s="4"/>
      <c r="E32" s="4"/>
      <c r="F32" s="4"/>
      <c r="G32" s="4"/>
    </row>
    <row r="33" customFormat="false" ht="15" hidden="false" customHeight="false" outlineLevel="0" collapsed="false">
      <c r="B33" s="99" t="s">
        <v>790</v>
      </c>
      <c r="C33" s="99"/>
      <c r="D33" s="99"/>
      <c r="E33" s="99"/>
      <c r="F33" s="99"/>
      <c r="G33" s="99"/>
    </row>
    <row r="34" customFormat="false" ht="15" hidden="false" customHeight="false" outlineLevel="0" collapsed="false">
      <c r="B34" s="99" t="s">
        <v>791</v>
      </c>
      <c r="C34" s="99"/>
      <c r="D34" s="99"/>
      <c r="E34" s="99"/>
      <c r="F34" s="99"/>
      <c r="G34" s="99"/>
    </row>
    <row r="35" customFormat="false" ht="15" hidden="false" customHeight="false" outlineLevel="0" collapsed="false">
      <c r="B35" s="99" t="s">
        <v>792</v>
      </c>
      <c r="C35" s="99"/>
      <c r="D35" s="99"/>
      <c r="E35" s="99"/>
      <c r="F35" s="99"/>
      <c r="G35" s="99"/>
    </row>
    <row r="36" customFormat="false" ht="15" hidden="false" customHeight="false" outlineLevel="0" collapsed="false">
      <c r="B36" s="99" t="s">
        <v>793</v>
      </c>
      <c r="C36" s="99"/>
      <c r="D36" s="99"/>
      <c r="E36" s="99"/>
      <c r="F36" s="99"/>
      <c r="G36" s="99"/>
    </row>
    <row r="37" customFormat="false" ht="15" hidden="false" customHeight="false" outlineLevel="0" collapsed="false">
      <c r="B37" s="99" t="s">
        <v>794</v>
      </c>
      <c r="C37" s="99"/>
      <c r="D37" s="99"/>
      <c r="E37" s="99"/>
      <c r="F37" s="99"/>
      <c r="G37" s="99"/>
    </row>
    <row r="38" customFormat="false" ht="15" hidden="false" customHeight="false" outlineLevel="0" collapsed="false">
      <c r="B38" s="99" t="s">
        <v>795</v>
      </c>
      <c r="C38" s="99"/>
      <c r="D38" s="99"/>
      <c r="E38" s="99"/>
      <c r="F38" s="99"/>
      <c r="G38" s="99"/>
    </row>
    <row r="39" customFormat="false" ht="15" hidden="false" customHeight="false" outlineLevel="0" collapsed="false">
      <c r="B39" s="99" t="s">
        <v>796</v>
      </c>
      <c r="C39" s="99"/>
      <c r="D39" s="99"/>
      <c r="E39" s="99"/>
      <c r="F39" s="99"/>
      <c r="G39" s="99"/>
    </row>
    <row r="40" customFormat="false" ht="15" hidden="false" customHeight="false" outlineLevel="0" collapsed="false">
      <c r="B40" s="99" t="s">
        <v>797</v>
      </c>
      <c r="C40" s="99"/>
      <c r="D40" s="99"/>
      <c r="E40" s="99"/>
      <c r="F40" s="99"/>
      <c r="G40" s="99"/>
    </row>
    <row r="41" customFormat="false" ht="15" hidden="false" customHeight="false" outlineLevel="0" collapsed="false">
      <c r="B41" s="99" t="s">
        <v>798</v>
      </c>
      <c r="C41" s="99"/>
      <c r="D41" s="99"/>
      <c r="E41" s="99"/>
      <c r="F41" s="99"/>
      <c r="G41" s="99"/>
    </row>
  </sheetData>
  <mergeCells count="17">
    <mergeCell ref="A24:G24"/>
    <mergeCell ref="B25:G25"/>
    <mergeCell ref="B26:G26"/>
    <mergeCell ref="B27:G27"/>
    <mergeCell ref="B28:G28"/>
    <mergeCell ref="B29:G29"/>
    <mergeCell ref="B30:G30"/>
    <mergeCell ref="A32:G32"/>
    <mergeCell ref="B33:G33"/>
    <mergeCell ref="B34:G34"/>
    <mergeCell ref="B35:G35"/>
    <mergeCell ref="B36:G36"/>
    <mergeCell ref="B37:G37"/>
    <mergeCell ref="B38:G38"/>
    <mergeCell ref="B39:G39"/>
    <mergeCell ref="B40:G40"/>
    <mergeCell ref="B41:G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2026-09-16T09:08:32Z</dcterms:created>
  <dc:creator>openpyxl</dc:creator>
  <dc:description/>
  <dc:language>en-US</dc:language>
  <cp:lastModifiedBy/>
  <dcterms:modified xsi:type="dcterms:W3CDTF">2026-09-16T09:08:37Z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